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45" windowWidth="18195" windowHeight="12075" tabRatio="787"/>
  </bookViews>
  <sheets>
    <sheet name="CONTROL" sheetId="1" r:id="rId1"/>
    <sheet name="RAP-LIGHT OIL" sheetId="2" r:id="rId2"/>
    <sheet name="RAP-HEAVY OIL&amp;WTI" sheetId="3" r:id="rId3"/>
    <sheet name="RAP-NATURAL GAS PRICES" sheetId="4" r:id="rId4"/>
    <sheet name="RAP TEMPLATE-GAS AVAILABILITY" sheetId="5" r:id="rId5"/>
    <sheet name="RAP-SOLID FUEL PRICES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4">'RAP TEMPLATE-GAS AVAILABILITY'!$A$12:$T$1144</definedName>
    <definedName name="_xlnm.Print_Area" localSheetId="2">'RAP-HEAVY OIL&amp;WTI'!$A$12:$J$1144</definedName>
    <definedName name="_xlnm.Print_Area" localSheetId="1">'RAP-LIGHT OIL'!$A$12:$K$1144</definedName>
    <definedName name="_xlnm.Print_Area" localSheetId="3">'RAP-NATURAL GAS PRICES'!$A$13:$AD$1145</definedName>
    <definedName name="_xlnm.Print_Area" localSheetId="5">'RAP-SOLID FUEL PRICES'!$A$14:$O$1146</definedName>
    <definedName name="_xlnm.Print_Titles" localSheetId="4">'RAP TEMPLATE-GAS AVAILABILITY'!$1:$11</definedName>
    <definedName name="_xlnm.Print_Titles" localSheetId="2">'RAP-HEAVY OIL&amp;WTI'!$1:$11</definedName>
    <definedName name="_xlnm.Print_Titles" localSheetId="1">'RAP-LIGHT OIL'!$1:$11</definedName>
    <definedName name="_xlnm.Print_Titles" localSheetId="3">'RAP-NATURAL GAS PRICES'!$1:$12</definedName>
    <definedName name="_xlnm.Print_Titles" localSheetId="5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9" i="6" l="1"/>
  <c r="E9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B42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B46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B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B80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B81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B82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B83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B115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B118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B187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B188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B189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B190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B191" i="6"/>
  <c r="C191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B223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B224" i="6"/>
  <c r="C224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B225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B226" i="6"/>
  <c r="C226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B227" i="6"/>
  <c r="C227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B259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B260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B261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B262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B263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B295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B296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B297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B298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B299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B300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B301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B302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B303" i="6"/>
  <c r="C303" i="6"/>
  <c r="D303" i="6"/>
  <c r="E303" i="6"/>
  <c r="F303" i="6"/>
  <c r="G303" i="6"/>
  <c r="H303" i="6"/>
  <c r="I303" i="6"/>
  <c r="J303" i="6"/>
  <c r="K303" i="6"/>
  <c r="L303" i="6"/>
  <c r="M303" i="6"/>
  <c r="N303" i="6"/>
  <c r="O303" i="6"/>
  <c r="B304" i="6"/>
  <c r="C304" i="6"/>
  <c r="D304" i="6"/>
  <c r="E304" i="6"/>
  <c r="F304" i="6"/>
  <c r="G304" i="6"/>
  <c r="H304" i="6"/>
  <c r="I304" i="6"/>
  <c r="J304" i="6"/>
  <c r="K304" i="6"/>
  <c r="L304" i="6"/>
  <c r="M304" i="6"/>
  <c r="N304" i="6"/>
  <c r="O304" i="6"/>
  <c r="B305" i="6"/>
  <c r="C305" i="6"/>
  <c r="D305" i="6"/>
  <c r="E305" i="6"/>
  <c r="F305" i="6"/>
  <c r="G305" i="6"/>
  <c r="H305" i="6"/>
  <c r="I305" i="6"/>
  <c r="J305" i="6"/>
  <c r="K305" i="6"/>
  <c r="L305" i="6"/>
  <c r="M305" i="6"/>
  <c r="N305" i="6"/>
  <c r="O305" i="6"/>
  <c r="B306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B307" i="6"/>
  <c r="C307" i="6"/>
  <c r="D307" i="6"/>
  <c r="E307" i="6"/>
  <c r="F307" i="6"/>
  <c r="G307" i="6"/>
  <c r="H307" i="6"/>
  <c r="I307" i="6"/>
  <c r="J307" i="6"/>
  <c r="K307" i="6"/>
  <c r="L307" i="6"/>
  <c r="M307" i="6"/>
  <c r="N307" i="6"/>
  <c r="O307" i="6"/>
  <c r="B308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B309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B310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B311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B312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B313" i="6"/>
  <c r="C313" i="6"/>
  <c r="D313" i="6"/>
  <c r="E313" i="6"/>
  <c r="F313" i="6"/>
  <c r="G313" i="6"/>
  <c r="H313" i="6"/>
  <c r="I313" i="6"/>
  <c r="J313" i="6"/>
  <c r="K313" i="6"/>
  <c r="L313" i="6"/>
  <c r="M313" i="6"/>
  <c r="N313" i="6"/>
  <c r="O313" i="6"/>
  <c r="B314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B315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B316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B348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B349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B350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B351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B352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B384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B385" i="6"/>
  <c r="C385" i="6"/>
  <c r="D385" i="6"/>
  <c r="E385" i="6"/>
  <c r="F385" i="6"/>
  <c r="G385" i="6"/>
  <c r="H385" i="6"/>
  <c r="I385" i="6"/>
  <c r="J385" i="6"/>
  <c r="K385" i="6"/>
  <c r="L385" i="6"/>
  <c r="M385" i="6"/>
  <c r="N385" i="6"/>
  <c r="O385" i="6"/>
  <c r="B386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B388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B420" i="6"/>
  <c r="C420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B421" i="6"/>
  <c r="C421" i="6"/>
  <c r="D421" i="6"/>
  <c r="E421" i="6"/>
  <c r="F421" i="6"/>
  <c r="G421" i="6"/>
  <c r="H421" i="6"/>
  <c r="I421" i="6"/>
  <c r="J421" i="6"/>
  <c r="K421" i="6"/>
  <c r="L421" i="6"/>
  <c r="M421" i="6"/>
  <c r="N421" i="6"/>
  <c r="O421" i="6"/>
  <c r="B422" i="6"/>
  <c r="C422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B423" i="6"/>
  <c r="C423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B424" i="6"/>
  <c r="C424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B456" i="6"/>
  <c r="C456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B457" i="6"/>
  <c r="C457" i="6"/>
  <c r="D457" i="6"/>
  <c r="E457" i="6"/>
  <c r="F457" i="6"/>
  <c r="G457" i="6"/>
  <c r="H457" i="6"/>
  <c r="I457" i="6"/>
  <c r="J457" i="6"/>
  <c r="K457" i="6"/>
  <c r="L457" i="6"/>
  <c r="M457" i="6"/>
  <c r="N457" i="6"/>
  <c r="O457" i="6"/>
  <c r="B458" i="6"/>
  <c r="C458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B459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B460" i="6"/>
  <c r="C460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B492" i="6"/>
  <c r="C492" i="6"/>
  <c r="D492" i="6"/>
  <c r="E492" i="6"/>
  <c r="F492" i="6"/>
  <c r="G492" i="6"/>
  <c r="H492" i="6"/>
  <c r="I492" i="6"/>
  <c r="J492" i="6"/>
  <c r="K492" i="6"/>
  <c r="L492" i="6"/>
  <c r="M492" i="6"/>
  <c r="N492" i="6"/>
  <c r="O492" i="6"/>
  <c r="B493" i="6"/>
  <c r="C493" i="6"/>
  <c r="D493" i="6"/>
  <c r="E493" i="6"/>
  <c r="F493" i="6"/>
  <c r="G493" i="6"/>
  <c r="H493" i="6"/>
  <c r="I493" i="6"/>
  <c r="J493" i="6"/>
  <c r="K493" i="6"/>
  <c r="L493" i="6"/>
  <c r="M493" i="6"/>
  <c r="N493" i="6"/>
  <c r="O493" i="6"/>
  <c r="B494" i="6"/>
  <c r="C494" i="6"/>
  <c r="D494" i="6"/>
  <c r="E494" i="6"/>
  <c r="F494" i="6"/>
  <c r="G494" i="6"/>
  <c r="H494" i="6"/>
  <c r="I494" i="6"/>
  <c r="J494" i="6"/>
  <c r="K494" i="6"/>
  <c r="L494" i="6"/>
  <c r="M494" i="6"/>
  <c r="N494" i="6"/>
  <c r="O494" i="6"/>
  <c r="B495" i="6"/>
  <c r="C495" i="6"/>
  <c r="D495" i="6"/>
  <c r="E495" i="6"/>
  <c r="F495" i="6"/>
  <c r="G495" i="6"/>
  <c r="H495" i="6"/>
  <c r="I495" i="6"/>
  <c r="J495" i="6"/>
  <c r="K495" i="6"/>
  <c r="L495" i="6"/>
  <c r="M495" i="6"/>
  <c r="N495" i="6"/>
  <c r="O495" i="6"/>
  <c r="B496" i="6"/>
  <c r="C496" i="6"/>
  <c r="D496" i="6"/>
  <c r="E496" i="6"/>
  <c r="F496" i="6"/>
  <c r="G496" i="6"/>
  <c r="H496" i="6"/>
  <c r="I496" i="6"/>
  <c r="J496" i="6"/>
  <c r="K496" i="6"/>
  <c r="L496" i="6"/>
  <c r="M496" i="6"/>
  <c r="N496" i="6"/>
  <c r="O496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B528" i="6"/>
  <c r="C528" i="6"/>
  <c r="D528" i="6"/>
  <c r="E528" i="6"/>
  <c r="F528" i="6"/>
  <c r="G528" i="6"/>
  <c r="H528" i="6"/>
  <c r="I528" i="6"/>
  <c r="J528" i="6"/>
  <c r="K528" i="6"/>
  <c r="L528" i="6"/>
  <c r="M528" i="6"/>
  <c r="N528" i="6"/>
  <c r="O528" i="6"/>
  <c r="B529" i="6"/>
  <c r="C529" i="6"/>
  <c r="D529" i="6"/>
  <c r="E529" i="6"/>
  <c r="F529" i="6"/>
  <c r="G529" i="6"/>
  <c r="H529" i="6"/>
  <c r="I529" i="6"/>
  <c r="J529" i="6"/>
  <c r="K529" i="6"/>
  <c r="L529" i="6"/>
  <c r="M529" i="6"/>
  <c r="N529" i="6"/>
  <c r="O529" i="6"/>
  <c r="B530" i="6"/>
  <c r="C530" i="6"/>
  <c r="D530" i="6"/>
  <c r="E530" i="6"/>
  <c r="F530" i="6"/>
  <c r="G530" i="6"/>
  <c r="H530" i="6"/>
  <c r="I530" i="6"/>
  <c r="J530" i="6"/>
  <c r="K530" i="6"/>
  <c r="L530" i="6"/>
  <c r="M530" i="6"/>
  <c r="N530" i="6"/>
  <c r="O530" i="6"/>
  <c r="B531" i="6"/>
  <c r="C531" i="6"/>
  <c r="D531" i="6"/>
  <c r="E531" i="6"/>
  <c r="F531" i="6"/>
  <c r="G531" i="6"/>
  <c r="H531" i="6"/>
  <c r="I531" i="6"/>
  <c r="J531" i="6"/>
  <c r="K531" i="6"/>
  <c r="L531" i="6"/>
  <c r="M531" i="6"/>
  <c r="N531" i="6"/>
  <c r="O531" i="6"/>
  <c r="B532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O532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B564" i="6"/>
  <c r="C564" i="6"/>
  <c r="D564" i="6"/>
  <c r="E564" i="6"/>
  <c r="F564" i="6"/>
  <c r="G564" i="6"/>
  <c r="H564" i="6"/>
  <c r="I564" i="6"/>
  <c r="J564" i="6"/>
  <c r="K564" i="6"/>
  <c r="L564" i="6"/>
  <c r="M564" i="6"/>
  <c r="N564" i="6"/>
  <c r="O564" i="6"/>
  <c r="B565" i="6"/>
  <c r="C565" i="6"/>
  <c r="D565" i="6"/>
  <c r="E565" i="6"/>
  <c r="F565" i="6"/>
  <c r="G565" i="6"/>
  <c r="H565" i="6"/>
  <c r="I565" i="6"/>
  <c r="J565" i="6"/>
  <c r="K565" i="6"/>
  <c r="L565" i="6"/>
  <c r="M565" i="6"/>
  <c r="N565" i="6"/>
  <c r="O565" i="6"/>
  <c r="B566" i="6"/>
  <c r="C566" i="6"/>
  <c r="D566" i="6"/>
  <c r="E566" i="6"/>
  <c r="F566" i="6"/>
  <c r="G566" i="6"/>
  <c r="H566" i="6"/>
  <c r="I566" i="6"/>
  <c r="J566" i="6"/>
  <c r="K566" i="6"/>
  <c r="L566" i="6"/>
  <c r="M566" i="6"/>
  <c r="N566" i="6"/>
  <c r="O566" i="6"/>
  <c r="B567" i="6"/>
  <c r="C567" i="6"/>
  <c r="D567" i="6"/>
  <c r="E567" i="6"/>
  <c r="F567" i="6"/>
  <c r="G567" i="6"/>
  <c r="H567" i="6"/>
  <c r="I567" i="6"/>
  <c r="J567" i="6"/>
  <c r="K567" i="6"/>
  <c r="L567" i="6"/>
  <c r="M567" i="6"/>
  <c r="N567" i="6"/>
  <c r="O567" i="6"/>
  <c r="B568" i="6"/>
  <c r="C568" i="6"/>
  <c r="D568" i="6"/>
  <c r="E568" i="6"/>
  <c r="F568" i="6"/>
  <c r="G568" i="6"/>
  <c r="H568" i="6"/>
  <c r="I568" i="6"/>
  <c r="J568" i="6"/>
  <c r="K568" i="6"/>
  <c r="L568" i="6"/>
  <c r="M568" i="6"/>
  <c r="N568" i="6"/>
  <c r="O568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B600" i="6"/>
  <c r="C600" i="6"/>
  <c r="D600" i="6"/>
  <c r="E600" i="6"/>
  <c r="F600" i="6"/>
  <c r="G600" i="6"/>
  <c r="H600" i="6"/>
  <c r="I600" i="6"/>
  <c r="J600" i="6"/>
  <c r="K600" i="6"/>
  <c r="L600" i="6"/>
  <c r="M600" i="6"/>
  <c r="N600" i="6"/>
  <c r="O600" i="6"/>
  <c r="B601" i="6"/>
  <c r="C601" i="6"/>
  <c r="D601" i="6"/>
  <c r="E601" i="6"/>
  <c r="F601" i="6"/>
  <c r="G601" i="6"/>
  <c r="H601" i="6"/>
  <c r="I601" i="6"/>
  <c r="J601" i="6"/>
  <c r="K601" i="6"/>
  <c r="L601" i="6"/>
  <c r="M601" i="6"/>
  <c r="N601" i="6"/>
  <c r="O601" i="6"/>
  <c r="B602" i="6"/>
  <c r="C602" i="6"/>
  <c r="D602" i="6"/>
  <c r="E602" i="6"/>
  <c r="F602" i="6"/>
  <c r="G602" i="6"/>
  <c r="H602" i="6"/>
  <c r="I602" i="6"/>
  <c r="J602" i="6"/>
  <c r="K602" i="6"/>
  <c r="L602" i="6"/>
  <c r="M602" i="6"/>
  <c r="N602" i="6"/>
  <c r="O602" i="6"/>
  <c r="B603" i="6"/>
  <c r="C603" i="6"/>
  <c r="D603" i="6"/>
  <c r="E603" i="6"/>
  <c r="F603" i="6"/>
  <c r="G603" i="6"/>
  <c r="H603" i="6"/>
  <c r="I603" i="6"/>
  <c r="J603" i="6"/>
  <c r="K603" i="6"/>
  <c r="L603" i="6"/>
  <c r="M603" i="6"/>
  <c r="N603" i="6"/>
  <c r="O603" i="6"/>
  <c r="B604" i="6"/>
  <c r="C604" i="6"/>
  <c r="D604" i="6"/>
  <c r="E604" i="6"/>
  <c r="F604" i="6"/>
  <c r="G604" i="6"/>
  <c r="H604" i="6"/>
  <c r="I604" i="6"/>
  <c r="J604" i="6"/>
  <c r="K604" i="6"/>
  <c r="L604" i="6"/>
  <c r="M604" i="6"/>
  <c r="N604" i="6"/>
  <c r="O604" i="6"/>
  <c r="B605" i="6"/>
  <c r="C605" i="6"/>
  <c r="D605" i="6"/>
  <c r="E605" i="6"/>
  <c r="F605" i="6"/>
  <c r="G605" i="6"/>
  <c r="H605" i="6"/>
  <c r="I605" i="6"/>
  <c r="J605" i="6"/>
  <c r="K605" i="6"/>
  <c r="L605" i="6"/>
  <c r="M605" i="6"/>
  <c r="N605" i="6"/>
  <c r="O605" i="6"/>
  <c r="B606" i="6"/>
  <c r="C606" i="6"/>
  <c r="D606" i="6"/>
  <c r="E606" i="6"/>
  <c r="F606" i="6"/>
  <c r="G606" i="6"/>
  <c r="H606" i="6"/>
  <c r="I606" i="6"/>
  <c r="J606" i="6"/>
  <c r="K606" i="6"/>
  <c r="L606" i="6"/>
  <c r="M606" i="6"/>
  <c r="N606" i="6"/>
  <c r="O606" i="6"/>
  <c r="B607" i="6"/>
  <c r="C607" i="6"/>
  <c r="D607" i="6"/>
  <c r="E607" i="6"/>
  <c r="F607" i="6"/>
  <c r="G607" i="6"/>
  <c r="H607" i="6"/>
  <c r="I607" i="6"/>
  <c r="J607" i="6"/>
  <c r="K607" i="6"/>
  <c r="L607" i="6"/>
  <c r="M607" i="6"/>
  <c r="N607" i="6"/>
  <c r="O607" i="6"/>
  <c r="B608" i="6"/>
  <c r="C608" i="6"/>
  <c r="D608" i="6"/>
  <c r="E608" i="6"/>
  <c r="F608" i="6"/>
  <c r="G608" i="6"/>
  <c r="H608" i="6"/>
  <c r="I608" i="6"/>
  <c r="J608" i="6"/>
  <c r="K608" i="6"/>
  <c r="L608" i="6"/>
  <c r="M608" i="6"/>
  <c r="N608" i="6"/>
  <c r="O608" i="6"/>
  <c r="B609" i="6"/>
  <c r="C609" i="6"/>
  <c r="D609" i="6"/>
  <c r="E609" i="6"/>
  <c r="F609" i="6"/>
  <c r="G609" i="6"/>
  <c r="H609" i="6"/>
  <c r="I609" i="6"/>
  <c r="J609" i="6"/>
  <c r="K609" i="6"/>
  <c r="L609" i="6"/>
  <c r="M609" i="6"/>
  <c r="N609" i="6"/>
  <c r="O609" i="6"/>
  <c r="B610" i="6"/>
  <c r="C610" i="6"/>
  <c r="D610" i="6"/>
  <c r="E610" i="6"/>
  <c r="F610" i="6"/>
  <c r="G610" i="6"/>
  <c r="H610" i="6"/>
  <c r="I610" i="6"/>
  <c r="J610" i="6"/>
  <c r="K610" i="6"/>
  <c r="L610" i="6"/>
  <c r="M610" i="6"/>
  <c r="N610" i="6"/>
  <c r="O610" i="6"/>
  <c r="B611" i="6"/>
  <c r="C611" i="6"/>
  <c r="D611" i="6"/>
  <c r="E611" i="6"/>
  <c r="F611" i="6"/>
  <c r="G611" i="6"/>
  <c r="H611" i="6"/>
  <c r="I611" i="6"/>
  <c r="J611" i="6"/>
  <c r="K611" i="6"/>
  <c r="L611" i="6"/>
  <c r="M611" i="6"/>
  <c r="N611" i="6"/>
  <c r="O611" i="6"/>
  <c r="B612" i="6"/>
  <c r="C612" i="6"/>
  <c r="D612" i="6"/>
  <c r="E612" i="6"/>
  <c r="F612" i="6"/>
  <c r="G612" i="6"/>
  <c r="H612" i="6"/>
  <c r="I612" i="6"/>
  <c r="J612" i="6"/>
  <c r="K612" i="6"/>
  <c r="L612" i="6"/>
  <c r="M612" i="6"/>
  <c r="N612" i="6"/>
  <c r="O612" i="6"/>
  <c r="B613" i="6"/>
  <c r="C613" i="6"/>
  <c r="D613" i="6"/>
  <c r="E613" i="6"/>
  <c r="F613" i="6"/>
  <c r="G613" i="6"/>
  <c r="H613" i="6"/>
  <c r="I613" i="6"/>
  <c r="J613" i="6"/>
  <c r="K613" i="6"/>
  <c r="L613" i="6"/>
  <c r="M613" i="6"/>
  <c r="N613" i="6"/>
  <c r="O613" i="6"/>
  <c r="B614" i="6"/>
  <c r="C614" i="6"/>
  <c r="D614" i="6"/>
  <c r="E614" i="6"/>
  <c r="F614" i="6"/>
  <c r="G614" i="6"/>
  <c r="H614" i="6"/>
  <c r="I614" i="6"/>
  <c r="J614" i="6"/>
  <c r="K614" i="6"/>
  <c r="L614" i="6"/>
  <c r="M614" i="6"/>
  <c r="N614" i="6"/>
  <c r="O614" i="6"/>
  <c r="B615" i="6"/>
  <c r="C615" i="6"/>
  <c r="D615" i="6"/>
  <c r="E615" i="6"/>
  <c r="F615" i="6"/>
  <c r="G615" i="6"/>
  <c r="H615" i="6"/>
  <c r="I615" i="6"/>
  <c r="J615" i="6"/>
  <c r="K615" i="6"/>
  <c r="L615" i="6"/>
  <c r="M615" i="6"/>
  <c r="N615" i="6"/>
  <c r="O615" i="6"/>
  <c r="B616" i="6"/>
  <c r="C616" i="6"/>
  <c r="D616" i="6"/>
  <c r="E616" i="6"/>
  <c r="F616" i="6"/>
  <c r="G616" i="6"/>
  <c r="H616" i="6"/>
  <c r="I616" i="6"/>
  <c r="J616" i="6"/>
  <c r="K616" i="6"/>
  <c r="L616" i="6"/>
  <c r="M616" i="6"/>
  <c r="N616" i="6"/>
  <c r="O616" i="6"/>
  <c r="B617" i="6"/>
  <c r="C617" i="6"/>
  <c r="D617" i="6"/>
  <c r="E617" i="6"/>
  <c r="F617" i="6"/>
  <c r="G617" i="6"/>
  <c r="H617" i="6"/>
  <c r="I617" i="6"/>
  <c r="J617" i="6"/>
  <c r="K617" i="6"/>
  <c r="L617" i="6"/>
  <c r="M617" i="6"/>
  <c r="N617" i="6"/>
  <c r="O617" i="6"/>
  <c r="B618" i="6"/>
  <c r="C618" i="6"/>
  <c r="D618" i="6"/>
  <c r="E618" i="6"/>
  <c r="F618" i="6"/>
  <c r="G618" i="6"/>
  <c r="H618" i="6"/>
  <c r="I618" i="6"/>
  <c r="J618" i="6"/>
  <c r="K618" i="6"/>
  <c r="L618" i="6"/>
  <c r="M618" i="6"/>
  <c r="N618" i="6"/>
  <c r="O618" i="6"/>
  <c r="B619" i="6"/>
  <c r="C619" i="6"/>
  <c r="D619" i="6"/>
  <c r="E619" i="6"/>
  <c r="F619" i="6"/>
  <c r="G619" i="6"/>
  <c r="H619" i="6"/>
  <c r="I619" i="6"/>
  <c r="J619" i="6"/>
  <c r="K619" i="6"/>
  <c r="L619" i="6"/>
  <c r="M619" i="6"/>
  <c r="N619" i="6"/>
  <c r="O619" i="6"/>
  <c r="B620" i="6"/>
  <c r="C620" i="6"/>
  <c r="D620" i="6"/>
  <c r="E620" i="6"/>
  <c r="F620" i="6"/>
  <c r="G620" i="6"/>
  <c r="H620" i="6"/>
  <c r="I620" i="6"/>
  <c r="J620" i="6"/>
  <c r="K620" i="6"/>
  <c r="L620" i="6"/>
  <c r="M620" i="6"/>
  <c r="N620" i="6"/>
  <c r="O620" i="6"/>
  <c r="B621" i="6"/>
  <c r="C621" i="6"/>
  <c r="D621" i="6"/>
  <c r="E621" i="6"/>
  <c r="F621" i="6"/>
  <c r="G621" i="6"/>
  <c r="H621" i="6"/>
  <c r="I621" i="6"/>
  <c r="J621" i="6"/>
  <c r="K621" i="6"/>
  <c r="L621" i="6"/>
  <c r="M621" i="6"/>
  <c r="N621" i="6"/>
  <c r="O621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B653" i="6"/>
  <c r="C653" i="6"/>
  <c r="D653" i="6"/>
  <c r="E653" i="6"/>
  <c r="F653" i="6"/>
  <c r="G653" i="6"/>
  <c r="H653" i="6"/>
  <c r="I653" i="6"/>
  <c r="J653" i="6"/>
  <c r="K653" i="6"/>
  <c r="L653" i="6"/>
  <c r="M653" i="6"/>
  <c r="N653" i="6"/>
  <c r="O653" i="6"/>
  <c r="B654" i="6"/>
  <c r="C654" i="6"/>
  <c r="D654" i="6"/>
  <c r="E654" i="6"/>
  <c r="F654" i="6"/>
  <c r="G654" i="6"/>
  <c r="H654" i="6"/>
  <c r="I654" i="6"/>
  <c r="J654" i="6"/>
  <c r="K654" i="6"/>
  <c r="L654" i="6"/>
  <c r="M654" i="6"/>
  <c r="N654" i="6"/>
  <c r="O654" i="6"/>
  <c r="B655" i="6"/>
  <c r="C655" i="6"/>
  <c r="D655" i="6"/>
  <c r="E655" i="6"/>
  <c r="F655" i="6"/>
  <c r="G655" i="6"/>
  <c r="H655" i="6"/>
  <c r="I655" i="6"/>
  <c r="J655" i="6"/>
  <c r="K655" i="6"/>
  <c r="L655" i="6"/>
  <c r="M655" i="6"/>
  <c r="N655" i="6"/>
  <c r="O655" i="6"/>
  <c r="B656" i="6"/>
  <c r="C656" i="6"/>
  <c r="D656" i="6"/>
  <c r="E656" i="6"/>
  <c r="F656" i="6"/>
  <c r="G656" i="6"/>
  <c r="H656" i="6"/>
  <c r="I656" i="6"/>
  <c r="J656" i="6"/>
  <c r="K656" i="6"/>
  <c r="L656" i="6"/>
  <c r="M656" i="6"/>
  <c r="N656" i="6"/>
  <c r="O656" i="6"/>
  <c r="B657" i="6"/>
  <c r="C657" i="6"/>
  <c r="D657" i="6"/>
  <c r="E657" i="6"/>
  <c r="F657" i="6"/>
  <c r="G657" i="6"/>
  <c r="H657" i="6"/>
  <c r="I657" i="6"/>
  <c r="J657" i="6"/>
  <c r="K657" i="6"/>
  <c r="L657" i="6"/>
  <c r="M657" i="6"/>
  <c r="N657" i="6"/>
  <c r="O657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B689" i="6"/>
  <c r="C689" i="6"/>
  <c r="D689" i="6"/>
  <c r="E689" i="6"/>
  <c r="F689" i="6"/>
  <c r="G689" i="6"/>
  <c r="H689" i="6"/>
  <c r="I689" i="6"/>
  <c r="J689" i="6"/>
  <c r="K689" i="6"/>
  <c r="L689" i="6"/>
  <c r="M689" i="6"/>
  <c r="N689" i="6"/>
  <c r="O689" i="6"/>
  <c r="B690" i="6"/>
  <c r="C690" i="6"/>
  <c r="D690" i="6"/>
  <c r="E690" i="6"/>
  <c r="F690" i="6"/>
  <c r="G690" i="6"/>
  <c r="H690" i="6"/>
  <c r="I690" i="6"/>
  <c r="J690" i="6"/>
  <c r="K690" i="6"/>
  <c r="L690" i="6"/>
  <c r="M690" i="6"/>
  <c r="N690" i="6"/>
  <c r="O690" i="6"/>
  <c r="B691" i="6"/>
  <c r="C691" i="6"/>
  <c r="D691" i="6"/>
  <c r="E691" i="6"/>
  <c r="F691" i="6"/>
  <c r="G691" i="6"/>
  <c r="H691" i="6"/>
  <c r="I691" i="6"/>
  <c r="J691" i="6"/>
  <c r="K691" i="6"/>
  <c r="L691" i="6"/>
  <c r="M691" i="6"/>
  <c r="N691" i="6"/>
  <c r="O691" i="6"/>
  <c r="B692" i="6"/>
  <c r="C692" i="6"/>
  <c r="D692" i="6"/>
  <c r="E692" i="6"/>
  <c r="F692" i="6"/>
  <c r="G692" i="6"/>
  <c r="H692" i="6"/>
  <c r="I692" i="6"/>
  <c r="J692" i="6"/>
  <c r="K692" i="6"/>
  <c r="L692" i="6"/>
  <c r="M692" i="6"/>
  <c r="N692" i="6"/>
  <c r="O692" i="6"/>
  <c r="B693" i="6"/>
  <c r="C693" i="6"/>
  <c r="D693" i="6"/>
  <c r="E693" i="6"/>
  <c r="F693" i="6"/>
  <c r="G693" i="6"/>
  <c r="H693" i="6"/>
  <c r="I693" i="6"/>
  <c r="J693" i="6"/>
  <c r="K693" i="6"/>
  <c r="L693" i="6"/>
  <c r="M693" i="6"/>
  <c r="N693" i="6"/>
  <c r="O693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B725" i="6"/>
  <c r="C725" i="6"/>
  <c r="D725" i="6"/>
  <c r="E725" i="6"/>
  <c r="F725" i="6"/>
  <c r="G725" i="6"/>
  <c r="H725" i="6"/>
  <c r="I725" i="6"/>
  <c r="J725" i="6"/>
  <c r="K725" i="6"/>
  <c r="L725" i="6"/>
  <c r="M725" i="6"/>
  <c r="N725" i="6"/>
  <c r="O725" i="6"/>
  <c r="B726" i="6"/>
  <c r="C726" i="6"/>
  <c r="D726" i="6"/>
  <c r="E726" i="6"/>
  <c r="F726" i="6"/>
  <c r="G726" i="6"/>
  <c r="H726" i="6"/>
  <c r="I726" i="6"/>
  <c r="J726" i="6"/>
  <c r="K726" i="6"/>
  <c r="L726" i="6"/>
  <c r="M726" i="6"/>
  <c r="N726" i="6"/>
  <c r="O726" i="6"/>
  <c r="B727" i="6"/>
  <c r="C727" i="6"/>
  <c r="D727" i="6"/>
  <c r="E727" i="6"/>
  <c r="F727" i="6"/>
  <c r="G727" i="6"/>
  <c r="H727" i="6"/>
  <c r="I727" i="6"/>
  <c r="J727" i="6"/>
  <c r="K727" i="6"/>
  <c r="L727" i="6"/>
  <c r="M727" i="6"/>
  <c r="N727" i="6"/>
  <c r="O727" i="6"/>
  <c r="B728" i="6"/>
  <c r="C728" i="6"/>
  <c r="D728" i="6"/>
  <c r="E728" i="6"/>
  <c r="F728" i="6"/>
  <c r="G728" i="6"/>
  <c r="H728" i="6"/>
  <c r="I728" i="6"/>
  <c r="J728" i="6"/>
  <c r="K728" i="6"/>
  <c r="L728" i="6"/>
  <c r="M728" i="6"/>
  <c r="N728" i="6"/>
  <c r="O728" i="6"/>
  <c r="B729" i="6"/>
  <c r="C729" i="6"/>
  <c r="D729" i="6"/>
  <c r="E729" i="6"/>
  <c r="F729" i="6"/>
  <c r="G729" i="6"/>
  <c r="H729" i="6"/>
  <c r="I729" i="6"/>
  <c r="J729" i="6"/>
  <c r="K729" i="6"/>
  <c r="L729" i="6"/>
  <c r="M729" i="6"/>
  <c r="N729" i="6"/>
  <c r="O729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B761" i="6"/>
  <c r="C761" i="6"/>
  <c r="D761" i="6"/>
  <c r="E761" i="6"/>
  <c r="F761" i="6"/>
  <c r="G761" i="6"/>
  <c r="H761" i="6"/>
  <c r="I761" i="6"/>
  <c r="J761" i="6"/>
  <c r="K761" i="6"/>
  <c r="L761" i="6"/>
  <c r="M761" i="6"/>
  <c r="N761" i="6"/>
  <c r="O761" i="6"/>
  <c r="B762" i="6"/>
  <c r="C762" i="6"/>
  <c r="D762" i="6"/>
  <c r="E762" i="6"/>
  <c r="F762" i="6"/>
  <c r="G762" i="6"/>
  <c r="H762" i="6"/>
  <c r="I762" i="6"/>
  <c r="J762" i="6"/>
  <c r="K762" i="6"/>
  <c r="L762" i="6"/>
  <c r="M762" i="6"/>
  <c r="N762" i="6"/>
  <c r="O762" i="6"/>
  <c r="B763" i="6"/>
  <c r="C763" i="6"/>
  <c r="D763" i="6"/>
  <c r="E763" i="6"/>
  <c r="F763" i="6"/>
  <c r="G763" i="6"/>
  <c r="H763" i="6"/>
  <c r="I763" i="6"/>
  <c r="J763" i="6"/>
  <c r="K763" i="6"/>
  <c r="L763" i="6"/>
  <c r="M763" i="6"/>
  <c r="N763" i="6"/>
  <c r="O763" i="6"/>
  <c r="B764" i="6"/>
  <c r="C764" i="6"/>
  <c r="D764" i="6"/>
  <c r="E764" i="6"/>
  <c r="F764" i="6"/>
  <c r="G764" i="6"/>
  <c r="H764" i="6"/>
  <c r="I764" i="6"/>
  <c r="J764" i="6"/>
  <c r="K764" i="6"/>
  <c r="L764" i="6"/>
  <c r="M764" i="6"/>
  <c r="N764" i="6"/>
  <c r="O764" i="6"/>
  <c r="B765" i="6"/>
  <c r="C765" i="6"/>
  <c r="D765" i="6"/>
  <c r="E765" i="6"/>
  <c r="F765" i="6"/>
  <c r="G765" i="6"/>
  <c r="H765" i="6"/>
  <c r="I765" i="6"/>
  <c r="J765" i="6"/>
  <c r="K765" i="6"/>
  <c r="L765" i="6"/>
  <c r="M765" i="6"/>
  <c r="N765" i="6"/>
  <c r="O765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B797" i="6"/>
  <c r="C797" i="6"/>
  <c r="D797" i="6"/>
  <c r="E797" i="6"/>
  <c r="F797" i="6"/>
  <c r="G797" i="6"/>
  <c r="H797" i="6"/>
  <c r="I797" i="6"/>
  <c r="J797" i="6"/>
  <c r="K797" i="6"/>
  <c r="L797" i="6"/>
  <c r="M797" i="6"/>
  <c r="N797" i="6"/>
  <c r="O797" i="6"/>
  <c r="B798" i="6"/>
  <c r="C798" i="6"/>
  <c r="D798" i="6"/>
  <c r="E798" i="6"/>
  <c r="F798" i="6"/>
  <c r="G798" i="6"/>
  <c r="H798" i="6"/>
  <c r="I798" i="6"/>
  <c r="J798" i="6"/>
  <c r="K798" i="6"/>
  <c r="L798" i="6"/>
  <c r="M798" i="6"/>
  <c r="N798" i="6"/>
  <c r="O798" i="6"/>
  <c r="B799" i="6"/>
  <c r="C799" i="6"/>
  <c r="D799" i="6"/>
  <c r="E799" i="6"/>
  <c r="F799" i="6"/>
  <c r="G799" i="6"/>
  <c r="H799" i="6"/>
  <c r="I799" i="6"/>
  <c r="J799" i="6"/>
  <c r="K799" i="6"/>
  <c r="L799" i="6"/>
  <c r="M799" i="6"/>
  <c r="N799" i="6"/>
  <c r="O799" i="6"/>
  <c r="B800" i="6"/>
  <c r="C800" i="6"/>
  <c r="D800" i="6"/>
  <c r="E800" i="6"/>
  <c r="F800" i="6"/>
  <c r="G800" i="6"/>
  <c r="H800" i="6"/>
  <c r="I800" i="6"/>
  <c r="J800" i="6"/>
  <c r="K800" i="6"/>
  <c r="L800" i="6"/>
  <c r="M800" i="6"/>
  <c r="N800" i="6"/>
  <c r="O800" i="6"/>
  <c r="B801" i="6"/>
  <c r="C801" i="6"/>
  <c r="D801" i="6"/>
  <c r="E801" i="6"/>
  <c r="F801" i="6"/>
  <c r="G801" i="6"/>
  <c r="H801" i="6"/>
  <c r="I801" i="6"/>
  <c r="J801" i="6"/>
  <c r="K801" i="6"/>
  <c r="L801" i="6"/>
  <c r="M801" i="6"/>
  <c r="N801" i="6"/>
  <c r="O801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B833" i="6"/>
  <c r="C833" i="6"/>
  <c r="D833" i="6"/>
  <c r="E833" i="6"/>
  <c r="F833" i="6"/>
  <c r="G833" i="6"/>
  <c r="H833" i="6"/>
  <c r="I833" i="6"/>
  <c r="J833" i="6"/>
  <c r="K833" i="6"/>
  <c r="L833" i="6"/>
  <c r="M833" i="6"/>
  <c r="N833" i="6"/>
  <c r="O833" i="6"/>
  <c r="B834" i="6"/>
  <c r="C834" i="6"/>
  <c r="D834" i="6"/>
  <c r="E834" i="6"/>
  <c r="F834" i="6"/>
  <c r="G834" i="6"/>
  <c r="H834" i="6"/>
  <c r="I834" i="6"/>
  <c r="J834" i="6"/>
  <c r="K834" i="6"/>
  <c r="L834" i="6"/>
  <c r="M834" i="6"/>
  <c r="N834" i="6"/>
  <c r="O834" i="6"/>
  <c r="B835" i="6"/>
  <c r="C835" i="6"/>
  <c r="D835" i="6"/>
  <c r="E835" i="6"/>
  <c r="F835" i="6"/>
  <c r="G835" i="6"/>
  <c r="H835" i="6"/>
  <c r="I835" i="6"/>
  <c r="J835" i="6"/>
  <c r="K835" i="6"/>
  <c r="L835" i="6"/>
  <c r="M835" i="6"/>
  <c r="N835" i="6"/>
  <c r="O835" i="6"/>
  <c r="B836" i="6"/>
  <c r="C836" i="6"/>
  <c r="D836" i="6"/>
  <c r="E836" i="6"/>
  <c r="F836" i="6"/>
  <c r="G836" i="6"/>
  <c r="H836" i="6"/>
  <c r="I836" i="6"/>
  <c r="J836" i="6"/>
  <c r="K836" i="6"/>
  <c r="L836" i="6"/>
  <c r="M836" i="6"/>
  <c r="N836" i="6"/>
  <c r="O836" i="6"/>
  <c r="B837" i="6"/>
  <c r="C837" i="6"/>
  <c r="D837" i="6"/>
  <c r="E837" i="6"/>
  <c r="F837" i="6"/>
  <c r="G837" i="6"/>
  <c r="H837" i="6"/>
  <c r="I837" i="6"/>
  <c r="J837" i="6"/>
  <c r="K837" i="6"/>
  <c r="L837" i="6"/>
  <c r="M837" i="6"/>
  <c r="N837" i="6"/>
  <c r="O837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B869" i="6"/>
  <c r="C869" i="6"/>
  <c r="D869" i="6"/>
  <c r="E869" i="6"/>
  <c r="F869" i="6"/>
  <c r="G869" i="6"/>
  <c r="H869" i="6"/>
  <c r="I869" i="6"/>
  <c r="J869" i="6"/>
  <c r="K869" i="6"/>
  <c r="L869" i="6"/>
  <c r="M869" i="6"/>
  <c r="N869" i="6"/>
  <c r="O869" i="6"/>
  <c r="B870" i="6"/>
  <c r="C870" i="6"/>
  <c r="D870" i="6"/>
  <c r="E870" i="6"/>
  <c r="F870" i="6"/>
  <c r="G870" i="6"/>
  <c r="H870" i="6"/>
  <c r="I870" i="6"/>
  <c r="J870" i="6"/>
  <c r="K870" i="6"/>
  <c r="L870" i="6"/>
  <c r="M870" i="6"/>
  <c r="N870" i="6"/>
  <c r="O870" i="6"/>
  <c r="B871" i="6"/>
  <c r="C871" i="6"/>
  <c r="D871" i="6"/>
  <c r="E871" i="6"/>
  <c r="F871" i="6"/>
  <c r="G871" i="6"/>
  <c r="H871" i="6"/>
  <c r="I871" i="6"/>
  <c r="J871" i="6"/>
  <c r="K871" i="6"/>
  <c r="L871" i="6"/>
  <c r="M871" i="6"/>
  <c r="N871" i="6"/>
  <c r="O871" i="6"/>
  <c r="B872" i="6"/>
  <c r="C872" i="6"/>
  <c r="D872" i="6"/>
  <c r="E872" i="6"/>
  <c r="F872" i="6"/>
  <c r="G872" i="6"/>
  <c r="H872" i="6"/>
  <c r="I872" i="6"/>
  <c r="J872" i="6"/>
  <c r="K872" i="6"/>
  <c r="L872" i="6"/>
  <c r="M872" i="6"/>
  <c r="N872" i="6"/>
  <c r="O872" i="6"/>
  <c r="B873" i="6"/>
  <c r="C873" i="6"/>
  <c r="D873" i="6"/>
  <c r="E873" i="6"/>
  <c r="F873" i="6"/>
  <c r="G873" i="6"/>
  <c r="H873" i="6"/>
  <c r="I873" i="6"/>
  <c r="J873" i="6"/>
  <c r="K873" i="6"/>
  <c r="L873" i="6"/>
  <c r="M873" i="6"/>
  <c r="N873" i="6"/>
  <c r="O873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B905" i="6"/>
  <c r="C905" i="6"/>
  <c r="D905" i="6"/>
  <c r="E905" i="6"/>
  <c r="F905" i="6"/>
  <c r="G905" i="6"/>
  <c r="H905" i="6"/>
  <c r="I905" i="6"/>
  <c r="J905" i="6"/>
  <c r="K905" i="6"/>
  <c r="L905" i="6"/>
  <c r="M905" i="6"/>
  <c r="N905" i="6"/>
  <c r="O905" i="6"/>
  <c r="B906" i="6"/>
  <c r="C906" i="6"/>
  <c r="D906" i="6"/>
  <c r="E906" i="6"/>
  <c r="F906" i="6"/>
  <c r="G906" i="6"/>
  <c r="H906" i="6"/>
  <c r="I906" i="6"/>
  <c r="J906" i="6"/>
  <c r="K906" i="6"/>
  <c r="L906" i="6"/>
  <c r="M906" i="6"/>
  <c r="N906" i="6"/>
  <c r="O906" i="6"/>
  <c r="B907" i="6"/>
  <c r="C907" i="6"/>
  <c r="D907" i="6"/>
  <c r="E907" i="6"/>
  <c r="F907" i="6"/>
  <c r="G907" i="6"/>
  <c r="H907" i="6"/>
  <c r="I907" i="6"/>
  <c r="J907" i="6"/>
  <c r="K907" i="6"/>
  <c r="L907" i="6"/>
  <c r="M907" i="6"/>
  <c r="N907" i="6"/>
  <c r="O907" i="6"/>
  <c r="B908" i="6"/>
  <c r="C908" i="6"/>
  <c r="D908" i="6"/>
  <c r="E908" i="6"/>
  <c r="F908" i="6"/>
  <c r="G908" i="6"/>
  <c r="H908" i="6"/>
  <c r="I908" i="6"/>
  <c r="J908" i="6"/>
  <c r="K908" i="6"/>
  <c r="L908" i="6"/>
  <c r="M908" i="6"/>
  <c r="N908" i="6"/>
  <c r="O908" i="6"/>
  <c r="B909" i="6"/>
  <c r="C909" i="6"/>
  <c r="D909" i="6"/>
  <c r="E909" i="6"/>
  <c r="F909" i="6"/>
  <c r="G909" i="6"/>
  <c r="H909" i="6"/>
  <c r="I909" i="6"/>
  <c r="J909" i="6"/>
  <c r="K909" i="6"/>
  <c r="L909" i="6"/>
  <c r="M909" i="6"/>
  <c r="N909" i="6"/>
  <c r="O909" i="6"/>
  <c r="B910" i="6"/>
  <c r="C910" i="6"/>
  <c r="D910" i="6"/>
  <c r="E910" i="6"/>
  <c r="F910" i="6"/>
  <c r="G910" i="6"/>
  <c r="H910" i="6"/>
  <c r="I910" i="6"/>
  <c r="J910" i="6"/>
  <c r="K910" i="6"/>
  <c r="L910" i="6"/>
  <c r="M910" i="6"/>
  <c r="N910" i="6"/>
  <c r="O910" i="6"/>
  <c r="B911" i="6"/>
  <c r="C911" i="6"/>
  <c r="D911" i="6"/>
  <c r="E911" i="6"/>
  <c r="F911" i="6"/>
  <c r="G911" i="6"/>
  <c r="H911" i="6"/>
  <c r="I911" i="6"/>
  <c r="J911" i="6"/>
  <c r="K911" i="6"/>
  <c r="L911" i="6"/>
  <c r="M911" i="6"/>
  <c r="N911" i="6"/>
  <c r="O911" i="6"/>
  <c r="B912" i="6"/>
  <c r="C912" i="6"/>
  <c r="D912" i="6"/>
  <c r="E912" i="6"/>
  <c r="F912" i="6"/>
  <c r="G912" i="6"/>
  <c r="H912" i="6"/>
  <c r="I912" i="6"/>
  <c r="J912" i="6"/>
  <c r="K912" i="6"/>
  <c r="L912" i="6"/>
  <c r="M912" i="6"/>
  <c r="N912" i="6"/>
  <c r="O912" i="6"/>
  <c r="B913" i="6"/>
  <c r="C913" i="6"/>
  <c r="D913" i="6"/>
  <c r="E913" i="6"/>
  <c r="F913" i="6"/>
  <c r="G913" i="6"/>
  <c r="H913" i="6"/>
  <c r="I913" i="6"/>
  <c r="J913" i="6"/>
  <c r="K913" i="6"/>
  <c r="L913" i="6"/>
  <c r="M913" i="6"/>
  <c r="N913" i="6"/>
  <c r="O913" i="6"/>
  <c r="B914" i="6"/>
  <c r="C914" i="6"/>
  <c r="D914" i="6"/>
  <c r="E914" i="6"/>
  <c r="F914" i="6"/>
  <c r="G914" i="6"/>
  <c r="H914" i="6"/>
  <c r="I914" i="6"/>
  <c r="J914" i="6"/>
  <c r="K914" i="6"/>
  <c r="L914" i="6"/>
  <c r="M914" i="6"/>
  <c r="N914" i="6"/>
  <c r="O914" i="6"/>
  <c r="B915" i="6"/>
  <c r="C915" i="6"/>
  <c r="D915" i="6"/>
  <c r="E915" i="6"/>
  <c r="F915" i="6"/>
  <c r="G915" i="6"/>
  <c r="H915" i="6"/>
  <c r="I915" i="6"/>
  <c r="J915" i="6"/>
  <c r="K915" i="6"/>
  <c r="L915" i="6"/>
  <c r="M915" i="6"/>
  <c r="N915" i="6"/>
  <c r="O915" i="6"/>
  <c r="B916" i="6"/>
  <c r="C916" i="6"/>
  <c r="D916" i="6"/>
  <c r="E916" i="6"/>
  <c r="F916" i="6"/>
  <c r="G916" i="6"/>
  <c r="H916" i="6"/>
  <c r="I916" i="6"/>
  <c r="J916" i="6"/>
  <c r="K916" i="6"/>
  <c r="L916" i="6"/>
  <c r="M916" i="6"/>
  <c r="N916" i="6"/>
  <c r="O916" i="6"/>
  <c r="B917" i="6"/>
  <c r="C917" i="6"/>
  <c r="D917" i="6"/>
  <c r="E917" i="6"/>
  <c r="F917" i="6"/>
  <c r="G917" i="6"/>
  <c r="H917" i="6"/>
  <c r="I917" i="6"/>
  <c r="J917" i="6"/>
  <c r="K917" i="6"/>
  <c r="L917" i="6"/>
  <c r="M917" i="6"/>
  <c r="N917" i="6"/>
  <c r="O917" i="6"/>
  <c r="B918" i="6"/>
  <c r="C918" i="6"/>
  <c r="D918" i="6"/>
  <c r="E918" i="6"/>
  <c r="F918" i="6"/>
  <c r="G918" i="6"/>
  <c r="H918" i="6"/>
  <c r="I918" i="6"/>
  <c r="J918" i="6"/>
  <c r="K918" i="6"/>
  <c r="L918" i="6"/>
  <c r="M918" i="6"/>
  <c r="N918" i="6"/>
  <c r="O918" i="6"/>
  <c r="B919" i="6"/>
  <c r="C919" i="6"/>
  <c r="D919" i="6"/>
  <c r="E919" i="6"/>
  <c r="F919" i="6"/>
  <c r="G919" i="6"/>
  <c r="H919" i="6"/>
  <c r="I919" i="6"/>
  <c r="J919" i="6"/>
  <c r="K919" i="6"/>
  <c r="L919" i="6"/>
  <c r="M919" i="6"/>
  <c r="N919" i="6"/>
  <c r="O919" i="6"/>
  <c r="B920" i="6"/>
  <c r="C920" i="6"/>
  <c r="D920" i="6"/>
  <c r="E920" i="6"/>
  <c r="F920" i="6"/>
  <c r="G920" i="6"/>
  <c r="H920" i="6"/>
  <c r="I920" i="6"/>
  <c r="J920" i="6"/>
  <c r="K920" i="6"/>
  <c r="L920" i="6"/>
  <c r="M920" i="6"/>
  <c r="N920" i="6"/>
  <c r="O920" i="6"/>
  <c r="B921" i="6"/>
  <c r="C921" i="6"/>
  <c r="D921" i="6"/>
  <c r="E921" i="6"/>
  <c r="F921" i="6"/>
  <c r="G921" i="6"/>
  <c r="H921" i="6"/>
  <c r="I921" i="6"/>
  <c r="J921" i="6"/>
  <c r="K921" i="6"/>
  <c r="L921" i="6"/>
  <c r="M921" i="6"/>
  <c r="N921" i="6"/>
  <c r="O921" i="6"/>
  <c r="B922" i="6"/>
  <c r="C922" i="6"/>
  <c r="D922" i="6"/>
  <c r="E922" i="6"/>
  <c r="F922" i="6"/>
  <c r="G922" i="6"/>
  <c r="H922" i="6"/>
  <c r="I922" i="6"/>
  <c r="J922" i="6"/>
  <c r="K922" i="6"/>
  <c r="L922" i="6"/>
  <c r="M922" i="6"/>
  <c r="N922" i="6"/>
  <c r="O922" i="6"/>
  <c r="B923" i="6"/>
  <c r="C923" i="6"/>
  <c r="D923" i="6"/>
  <c r="E923" i="6"/>
  <c r="F923" i="6"/>
  <c r="G923" i="6"/>
  <c r="H923" i="6"/>
  <c r="I923" i="6"/>
  <c r="J923" i="6"/>
  <c r="K923" i="6"/>
  <c r="L923" i="6"/>
  <c r="M923" i="6"/>
  <c r="N923" i="6"/>
  <c r="O923" i="6"/>
  <c r="B924" i="6"/>
  <c r="C924" i="6"/>
  <c r="D924" i="6"/>
  <c r="E924" i="6"/>
  <c r="F924" i="6"/>
  <c r="G924" i="6"/>
  <c r="H924" i="6"/>
  <c r="I924" i="6"/>
  <c r="J924" i="6"/>
  <c r="K924" i="6"/>
  <c r="L924" i="6"/>
  <c r="M924" i="6"/>
  <c r="N924" i="6"/>
  <c r="O924" i="6"/>
  <c r="B925" i="6"/>
  <c r="C925" i="6"/>
  <c r="D925" i="6"/>
  <c r="E925" i="6"/>
  <c r="F925" i="6"/>
  <c r="G925" i="6"/>
  <c r="H925" i="6"/>
  <c r="I925" i="6"/>
  <c r="J925" i="6"/>
  <c r="K925" i="6"/>
  <c r="L925" i="6"/>
  <c r="M925" i="6"/>
  <c r="N925" i="6"/>
  <c r="O925" i="6"/>
  <c r="B926" i="6"/>
  <c r="C926" i="6"/>
  <c r="D926" i="6"/>
  <c r="E926" i="6"/>
  <c r="F926" i="6"/>
  <c r="G926" i="6"/>
  <c r="H926" i="6"/>
  <c r="I926" i="6"/>
  <c r="J926" i="6"/>
  <c r="K926" i="6"/>
  <c r="L926" i="6"/>
  <c r="M926" i="6"/>
  <c r="N926" i="6"/>
  <c r="O926" i="6"/>
  <c r="B927" i="6"/>
  <c r="C927" i="6"/>
  <c r="D927" i="6"/>
  <c r="E927" i="6"/>
  <c r="F927" i="6"/>
  <c r="G927" i="6"/>
  <c r="H927" i="6"/>
  <c r="I927" i="6"/>
  <c r="J927" i="6"/>
  <c r="K927" i="6"/>
  <c r="L927" i="6"/>
  <c r="M927" i="6"/>
  <c r="N927" i="6"/>
  <c r="O927" i="6"/>
  <c r="B928" i="6"/>
  <c r="C928" i="6"/>
  <c r="D928" i="6"/>
  <c r="E928" i="6"/>
  <c r="F928" i="6"/>
  <c r="G928" i="6"/>
  <c r="H928" i="6"/>
  <c r="I928" i="6"/>
  <c r="J928" i="6"/>
  <c r="K928" i="6"/>
  <c r="L928" i="6"/>
  <c r="M928" i="6"/>
  <c r="N928" i="6"/>
  <c r="O928" i="6"/>
  <c r="B929" i="6"/>
  <c r="C929" i="6"/>
  <c r="D929" i="6"/>
  <c r="E929" i="6"/>
  <c r="F929" i="6"/>
  <c r="G929" i="6"/>
  <c r="H929" i="6"/>
  <c r="I929" i="6"/>
  <c r="J929" i="6"/>
  <c r="K929" i="6"/>
  <c r="L929" i="6"/>
  <c r="M929" i="6"/>
  <c r="N929" i="6"/>
  <c r="O929" i="6"/>
  <c r="B930" i="6"/>
  <c r="C930" i="6"/>
  <c r="D930" i="6"/>
  <c r="E930" i="6"/>
  <c r="F930" i="6"/>
  <c r="G930" i="6"/>
  <c r="H930" i="6"/>
  <c r="I930" i="6"/>
  <c r="J930" i="6"/>
  <c r="K930" i="6"/>
  <c r="L930" i="6"/>
  <c r="M930" i="6"/>
  <c r="N930" i="6"/>
  <c r="O930" i="6"/>
  <c r="B931" i="6"/>
  <c r="C931" i="6"/>
  <c r="D931" i="6"/>
  <c r="E931" i="6"/>
  <c r="F931" i="6"/>
  <c r="G931" i="6"/>
  <c r="H931" i="6"/>
  <c r="I931" i="6"/>
  <c r="J931" i="6"/>
  <c r="K931" i="6"/>
  <c r="L931" i="6"/>
  <c r="M931" i="6"/>
  <c r="N931" i="6"/>
  <c r="O931" i="6"/>
  <c r="B932" i="6"/>
  <c r="C932" i="6"/>
  <c r="D932" i="6"/>
  <c r="E932" i="6"/>
  <c r="F932" i="6"/>
  <c r="G932" i="6"/>
  <c r="H932" i="6"/>
  <c r="I932" i="6"/>
  <c r="J932" i="6"/>
  <c r="K932" i="6"/>
  <c r="L932" i="6"/>
  <c r="M932" i="6"/>
  <c r="N932" i="6"/>
  <c r="O932" i="6"/>
  <c r="B933" i="6"/>
  <c r="C933" i="6"/>
  <c r="D933" i="6"/>
  <c r="E933" i="6"/>
  <c r="F933" i="6"/>
  <c r="G933" i="6"/>
  <c r="H933" i="6"/>
  <c r="I933" i="6"/>
  <c r="J933" i="6"/>
  <c r="K933" i="6"/>
  <c r="L933" i="6"/>
  <c r="M933" i="6"/>
  <c r="N933" i="6"/>
  <c r="O933" i="6"/>
  <c r="B934" i="6"/>
  <c r="C934" i="6"/>
  <c r="D934" i="6"/>
  <c r="E934" i="6"/>
  <c r="F934" i="6"/>
  <c r="G934" i="6"/>
  <c r="H934" i="6"/>
  <c r="I934" i="6"/>
  <c r="J934" i="6"/>
  <c r="K934" i="6"/>
  <c r="L934" i="6"/>
  <c r="M934" i="6"/>
  <c r="N934" i="6"/>
  <c r="O934" i="6"/>
  <c r="B935" i="6"/>
  <c r="C935" i="6"/>
  <c r="D935" i="6"/>
  <c r="E935" i="6"/>
  <c r="F935" i="6"/>
  <c r="G935" i="6"/>
  <c r="H935" i="6"/>
  <c r="I935" i="6"/>
  <c r="J935" i="6"/>
  <c r="K935" i="6"/>
  <c r="L935" i="6"/>
  <c r="M935" i="6"/>
  <c r="N935" i="6"/>
  <c r="O935" i="6"/>
  <c r="B936" i="6"/>
  <c r="C936" i="6"/>
  <c r="D936" i="6"/>
  <c r="E936" i="6"/>
  <c r="F936" i="6"/>
  <c r="G936" i="6"/>
  <c r="H936" i="6"/>
  <c r="I936" i="6"/>
  <c r="J936" i="6"/>
  <c r="K936" i="6"/>
  <c r="L936" i="6"/>
  <c r="M936" i="6"/>
  <c r="N936" i="6"/>
  <c r="O936" i="6"/>
  <c r="B937" i="6"/>
  <c r="C937" i="6"/>
  <c r="D937" i="6"/>
  <c r="E937" i="6"/>
  <c r="F937" i="6"/>
  <c r="G937" i="6"/>
  <c r="H937" i="6"/>
  <c r="I937" i="6"/>
  <c r="J937" i="6"/>
  <c r="K937" i="6"/>
  <c r="L937" i="6"/>
  <c r="M937" i="6"/>
  <c r="N937" i="6"/>
  <c r="O937" i="6"/>
  <c r="B938" i="6"/>
  <c r="C938" i="6"/>
  <c r="D938" i="6"/>
  <c r="E938" i="6"/>
  <c r="F938" i="6"/>
  <c r="G938" i="6"/>
  <c r="H938" i="6"/>
  <c r="I938" i="6"/>
  <c r="J938" i="6"/>
  <c r="K938" i="6"/>
  <c r="L938" i="6"/>
  <c r="M938" i="6"/>
  <c r="N938" i="6"/>
  <c r="O938" i="6"/>
  <c r="B939" i="6"/>
  <c r="C939" i="6"/>
  <c r="D939" i="6"/>
  <c r="E939" i="6"/>
  <c r="F939" i="6"/>
  <c r="G939" i="6"/>
  <c r="H939" i="6"/>
  <c r="I939" i="6"/>
  <c r="J939" i="6"/>
  <c r="K939" i="6"/>
  <c r="L939" i="6"/>
  <c r="M939" i="6"/>
  <c r="N939" i="6"/>
  <c r="O939" i="6"/>
  <c r="B940" i="6"/>
  <c r="C940" i="6"/>
  <c r="D940" i="6"/>
  <c r="E940" i="6"/>
  <c r="F940" i="6"/>
  <c r="G940" i="6"/>
  <c r="H940" i="6"/>
  <c r="I940" i="6"/>
  <c r="J940" i="6"/>
  <c r="K940" i="6"/>
  <c r="L940" i="6"/>
  <c r="M940" i="6"/>
  <c r="N940" i="6"/>
  <c r="O940" i="6"/>
  <c r="B941" i="6"/>
  <c r="C941" i="6"/>
  <c r="D941" i="6"/>
  <c r="E941" i="6"/>
  <c r="F941" i="6"/>
  <c r="G941" i="6"/>
  <c r="H941" i="6"/>
  <c r="I941" i="6"/>
  <c r="J941" i="6"/>
  <c r="K941" i="6"/>
  <c r="L941" i="6"/>
  <c r="M941" i="6"/>
  <c r="N941" i="6"/>
  <c r="O941" i="6"/>
  <c r="B942" i="6"/>
  <c r="C942" i="6"/>
  <c r="D942" i="6"/>
  <c r="E942" i="6"/>
  <c r="F942" i="6"/>
  <c r="G942" i="6"/>
  <c r="H942" i="6"/>
  <c r="I942" i="6"/>
  <c r="J942" i="6"/>
  <c r="K942" i="6"/>
  <c r="L942" i="6"/>
  <c r="M942" i="6"/>
  <c r="N942" i="6"/>
  <c r="O942" i="6"/>
  <c r="B943" i="6"/>
  <c r="C943" i="6"/>
  <c r="D943" i="6"/>
  <c r="E943" i="6"/>
  <c r="F943" i="6"/>
  <c r="G943" i="6"/>
  <c r="H943" i="6"/>
  <c r="I943" i="6"/>
  <c r="J943" i="6"/>
  <c r="K943" i="6"/>
  <c r="L943" i="6"/>
  <c r="M943" i="6"/>
  <c r="N943" i="6"/>
  <c r="O943" i="6"/>
  <c r="B944" i="6"/>
  <c r="C944" i="6"/>
  <c r="D944" i="6"/>
  <c r="E944" i="6"/>
  <c r="F944" i="6"/>
  <c r="G944" i="6"/>
  <c r="H944" i="6"/>
  <c r="I944" i="6"/>
  <c r="J944" i="6"/>
  <c r="K944" i="6"/>
  <c r="L944" i="6"/>
  <c r="M944" i="6"/>
  <c r="N944" i="6"/>
  <c r="O944" i="6"/>
  <c r="B945" i="6"/>
  <c r="C945" i="6"/>
  <c r="D945" i="6"/>
  <c r="E945" i="6"/>
  <c r="F945" i="6"/>
  <c r="G945" i="6"/>
  <c r="H945" i="6"/>
  <c r="I945" i="6"/>
  <c r="J945" i="6"/>
  <c r="K945" i="6"/>
  <c r="L945" i="6"/>
  <c r="M945" i="6"/>
  <c r="N945" i="6"/>
  <c r="O945" i="6"/>
  <c r="B946" i="6"/>
  <c r="C946" i="6"/>
  <c r="D946" i="6"/>
  <c r="E946" i="6"/>
  <c r="F946" i="6"/>
  <c r="G946" i="6"/>
  <c r="H946" i="6"/>
  <c r="I946" i="6"/>
  <c r="J946" i="6"/>
  <c r="K946" i="6"/>
  <c r="L946" i="6"/>
  <c r="M946" i="6"/>
  <c r="N946" i="6"/>
  <c r="O946" i="6"/>
  <c r="B947" i="6"/>
  <c r="C947" i="6"/>
  <c r="D947" i="6"/>
  <c r="E947" i="6"/>
  <c r="F947" i="6"/>
  <c r="G947" i="6"/>
  <c r="H947" i="6"/>
  <c r="I947" i="6"/>
  <c r="J947" i="6"/>
  <c r="K947" i="6"/>
  <c r="L947" i="6"/>
  <c r="M947" i="6"/>
  <c r="N947" i="6"/>
  <c r="O947" i="6"/>
  <c r="B948" i="6"/>
  <c r="C948" i="6"/>
  <c r="D948" i="6"/>
  <c r="E948" i="6"/>
  <c r="F948" i="6"/>
  <c r="G948" i="6"/>
  <c r="H948" i="6"/>
  <c r="I948" i="6"/>
  <c r="J948" i="6"/>
  <c r="K948" i="6"/>
  <c r="L948" i="6"/>
  <c r="M948" i="6"/>
  <c r="N948" i="6"/>
  <c r="O948" i="6"/>
  <c r="B949" i="6"/>
  <c r="C949" i="6"/>
  <c r="D949" i="6"/>
  <c r="E949" i="6"/>
  <c r="F949" i="6"/>
  <c r="G949" i="6"/>
  <c r="H949" i="6"/>
  <c r="I949" i="6"/>
  <c r="J949" i="6"/>
  <c r="K949" i="6"/>
  <c r="L949" i="6"/>
  <c r="M949" i="6"/>
  <c r="N949" i="6"/>
  <c r="O949" i="6"/>
  <c r="B950" i="6"/>
  <c r="C950" i="6"/>
  <c r="D950" i="6"/>
  <c r="E950" i="6"/>
  <c r="F950" i="6"/>
  <c r="G950" i="6"/>
  <c r="H950" i="6"/>
  <c r="I950" i="6"/>
  <c r="J950" i="6"/>
  <c r="K950" i="6"/>
  <c r="L950" i="6"/>
  <c r="M950" i="6"/>
  <c r="N950" i="6"/>
  <c r="O950" i="6"/>
  <c r="B951" i="6"/>
  <c r="C951" i="6"/>
  <c r="D951" i="6"/>
  <c r="E951" i="6"/>
  <c r="F951" i="6"/>
  <c r="G951" i="6"/>
  <c r="H951" i="6"/>
  <c r="I951" i="6"/>
  <c r="J951" i="6"/>
  <c r="K951" i="6"/>
  <c r="L951" i="6"/>
  <c r="M951" i="6"/>
  <c r="N951" i="6"/>
  <c r="O951" i="6"/>
  <c r="B952" i="6"/>
  <c r="C952" i="6"/>
  <c r="D952" i="6"/>
  <c r="E952" i="6"/>
  <c r="F952" i="6"/>
  <c r="G952" i="6"/>
  <c r="H952" i="6"/>
  <c r="I952" i="6"/>
  <c r="J952" i="6"/>
  <c r="K952" i="6"/>
  <c r="L952" i="6"/>
  <c r="M952" i="6"/>
  <c r="N952" i="6"/>
  <c r="O952" i="6"/>
  <c r="B953" i="6"/>
  <c r="C953" i="6"/>
  <c r="D953" i="6"/>
  <c r="E953" i="6"/>
  <c r="F953" i="6"/>
  <c r="G953" i="6"/>
  <c r="H953" i="6"/>
  <c r="I953" i="6"/>
  <c r="J953" i="6"/>
  <c r="K953" i="6"/>
  <c r="L953" i="6"/>
  <c r="M953" i="6"/>
  <c r="N953" i="6"/>
  <c r="O953" i="6"/>
  <c r="B954" i="6"/>
  <c r="C954" i="6"/>
  <c r="D954" i="6"/>
  <c r="E954" i="6"/>
  <c r="F954" i="6"/>
  <c r="G954" i="6"/>
  <c r="H954" i="6"/>
  <c r="I954" i="6"/>
  <c r="J954" i="6"/>
  <c r="K954" i="6"/>
  <c r="L954" i="6"/>
  <c r="M954" i="6"/>
  <c r="N954" i="6"/>
  <c r="O954" i="6"/>
  <c r="B955" i="6"/>
  <c r="C955" i="6"/>
  <c r="D955" i="6"/>
  <c r="E955" i="6"/>
  <c r="F955" i="6"/>
  <c r="G955" i="6"/>
  <c r="H955" i="6"/>
  <c r="I955" i="6"/>
  <c r="J955" i="6"/>
  <c r="K955" i="6"/>
  <c r="L955" i="6"/>
  <c r="M955" i="6"/>
  <c r="N955" i="6"/>
  <c r="O955" i="6"/>
  <c r="B956" i="6"/>
  <c r="C956" i="6"/>
  <c r="D956" i="6"/>
  <c r="E956" i="6"/>
  <c r="F956" i="6"/>
  <c r="G956" i="6"/>
  <c r="H956" i="6"/>
  <c r="I956" i="6"/>
  <c r="J956" i="6"/>
  <c r="K956" i="6"/>
  <c r="L956" i="6"/>
  <c r="M956" i="6"/>
  <c r="N956" i="6"/>
  <c r="O956" i="6"/>
  <c r="B957" i="6"/>
  <c r="C957" i="6"/>
  <c r="D957" i="6"/>
  <c r="E957" i="6"/>
  <c r="F957" i="6"/>
  <c r="G957" i="6"/>
  <c r="H957" i="6"/>
  <c r="I957" i="6"/>
  <c r="J957" i="6"/>
  <c r="K957" i="6"/>
  <c r="L957" i="6"/>
  <c r="M957" i="6"/>
  <c r="N957" i="6"/>
  <c r="O957" i="6"/>
  <c r="B958" i="6"/>
  <c r="C958" i="6"/>
  <c r="D958" i="6"/>
  <c r="E958" i="6"/>
  <c r="F958" i="6"/>
  <c r="G958" i="6"/>
  <c r="H958" i="6"/>
  <c r="I958" i="6"/>
  <c r="J958" i="6"/>
  <c r="K958" i="6"/>
  <c r="L958" i="6"/>
  <c r="M958" i="6"/>
  <c r="N958" i="6"/>
  <c r="O958" i="6"/>
  <c r="B959" i="6"/>
  <c r="C959" i="6"/>
  <c r="D959" i="6"/>
  <c r="E959" i="6"/>
  <c r="F959" i="6"/>
  <c r="G959" i="6"/>
  <c r="H959" i="6"/>
  <c r="I959" i="6"/>
  <c r="J959" i="6"/>
  <c r="K959" i="6"/>
  <c r="L959" i="6"/>
  <c r="M959" i="6"/>
  <c r="N959" i="6"/>
  <c r="O959" i="6"/>
  <c r="B960" i="6"/>
  <c r="C960" i="6"/>
  <c r="D960" i="6"/>
  <c r="E960" i="6"/>
  <c r="F960" i="6"/>
  <c r="G960" i="6"/>
  <c r="H960" i="6"/>
  <c r="I960" i="6"/>
  <c r="J960" i="6"/>
  <c r="K960" i="6"/>
  <c r="L960" i="6"/>
  <c r="M960" i="6"/>
  <c r="N960" i="6"/>
  <c r="O960" i="6"/>
  <c r="B961" i="6"/>
  <c r="C961" i="6"/>
  <c r="D961" i="6"/>
  <c r="E961" i="6"/>
  <c r="F961" i="6"/>
  <c r="G961" i="6"/>
  <c r="H961" i="6"/>
  <c r="I961" i="6"/>
  <c r="J961" i="6"/>
  <c r="K961" i="6"/>
  <c r="L961" i="6"/>
  <c r="M961" i="6"/>
  <c r="N961" i="6"/>
  <c r="O961" i="6"/>
  <c r="B962" i="6"/>
  <c r="C962" i="6"/>
  <c r="D962" i="6"/>
  <c r="E962" i="6"/>
  <c r="F962" i="6"/>
  <c r="G962" i="6"/>
  <c r="H962" i="6"/>
  <c r="I962" i="6"/>
  <c r="J962" i="6"/>
  <c r="K962" i="6"/>
  <c r="L962" i="6"/>
  <c r="M962" i="6"/>
  <c r="N962" i="6"/>
  <c r="O962" i="6"/>
  <c r="B963" i="6"/>
  <c r="C963" i="6"/>
  <c r="D963" i="6"/>
  <c r="E963" i="6"/>
  <c r="F963" i="6"/>
  <c r="G963" i="6"/>
  <c r="H963" i="6"/>
  <c r="I963" i="6"/>
  <c r="J963" i="6"/>
  <c r="K963" i="6"/>
  <c r="L963" i="6"/>
  <c r="M963" i="6"/>
  <c r="N963" i="6"/>
  <c r="O963" i="6"/>
  <c r="B964" i="6"/>
  <c r="C964" i="6"/>
  <c r="D964" i="6"/>
  <c r="E964" i="6"/>
  <c r="F964" i="6"/>
  <c r="G964" i="6"/>
  <c r="H964" i="6"/>
  <c r="I964" i="6"/>
  <c r="J964" i="6"/>
  <c r="K964" i="6"/>
  <c r="L964" i="6"/>
  <c r="M964" i="6"/>
  <c r="N964" i="6"/>
  <c r="O964" i="6"/>
  <c r="B965" i="6"/>
  <c r="C965" i="6"/>
  <c r="D965" i="6"/>
  <c r="E965" i="6"/>
  <c r="F965" i="6"/>
  <c r="G965" i="6"/>
  <c r="H965" i="6"/>
  <c r="I965" i="6"/>
  <c r="J965" i="6"/>
  <c r="K965" i="6"/>
  <c r="L965" i="6"/>
  <c r="M965" i="6"/>
  <c r="N965" i="6"/>
  <c r="O965" i="6"/>
  <c r="B966" i="6"/>
  <c r="C966" i="6"/>
  <c r="D966" i="6"/>
  <c r="E966" i="6"/>
  <c r="F966" i="6"/>
  <c r="G966" i="6"/>
  <c r="H966" i="6"/>
  <c r="I966" i="6"/>
  <c r="J966" i="6"/>
  <c r="K966" i="6"/>
  <c r="L966" i="6"/>
  <c r="M966" i="6"/>
  <c r="N966" i="6"/>
  <c r="O966" i="6"/>
  <c r="B967" i="6"/>
  <c r="C967" i="6"/>
  <c r="D967" i="6"/>
  <c r="E967" i="6"/>
  <c r="F967" i="6"/>
  <c r="G967" i="6"/>
  <c r="H967" i="6"/>
  <c r="I967" i="6"/>
  <c r="J967" i="6"/>
  <c r="K967" i="6"/>
  <c r="L967" i="6"/>
  <c r="M967" i="6"/>
  <c r="N967" i="6"/>
  <c r="O967" i="6"/>
  <c r="B968" i="6"/>
  <c r="C968" i="6"/>
  <c r="D968" i="6"/>
  <c r="E968" i="6"/>
  <c r="F968" i="6"/>
  <c r="G968" i="6"/>
  <c r="H968" i="6"/>
  <c r="I968" i="6"/>
  <c r="J968" i="6"/>
  <c r="K968" i="6"/>
  <c r="L968" i="6"/>
  <c r="M968" i="6"/>
  <c r="N968" i="6"/>
  <c r="O968" i="6"/>
  <c r="B969" i="6"/>
  <c r="C969" i="6"/>
  <c r="D969" i="6"/>
  <c r="E969" i="6"/>
  <c r="F969" i="6"/>
  <c r="G969" i="6"/>
  <c r="H969" i="6"/>
  <c r="I969" i="6"/>
  <c r="J969" i="6"/>
  <c r="K969" i="6"/>
  <c r="L969" i="6"/>
  <c r="M969" i="6"/>
  <c r="N969" i="6"/>
  <c r="O969" i="6"/>
  <c r="B970" i="6"/>
  <c r="C970" i="6"/>
  <c r="D970" i="6"/>
  <c r="E970" i="6"/>
  <c r="F970" i="6"/>
  <c r="G970" i="6"/>
  <c r="H970" i="6"/>
  <c r="I970" i="6"/>
  <c r="J970" i="6"/>
  <c r="K970" i="6"/>
  <c r="L970" i="6"/>
  <c r="M970" i="6"/>
  <c r="N970" i="6"/>
  <c r="O970" i="6"/>
  <c r="B971" i="6"/>
  <c r="C971" i="6"/>
  <c r="D971" i="6"/>
  <c r="E971" i="6"/>
  <c r="F971" i="6"/>
  <c r="G971" i="6"/>
  <c r="H971" i="6"/>
  <c r="I971" i="6"/>
  <c r="J971" i="6"/>
  <c r="K971" i="6"/>
  <c r="L971" i="6"/>
  <c r="M971" i="6"/>
  <c r="N971" i="6"/>
  <c r="O971" i="6"/>
  <c r="B972" i="6"/>
  <c r="C972" i="6"/>
  <c r="D972" i="6"/>
  <c r="E972" i="6"/>
  <c r="F972" i="6"/>
  <c r="G972" i="6"/>
  <c r="H972" i="6"/>
  <c r="I972" i="6"/>
  <c r="J972" i="6"/>
  <c r="K972" i="6"/>
  <c r="L972" i="6"/>
  <c r="M972" i="6"/>
  <c r="N972" i="6"/>
  <c r="O972" i="6"/>
  <c r="B973" i="6"/>
  <c r="C973" i="6"/>
  <c r="D973" i="6"/>
  <c r="E973" i="6"/>
  <c r="F973" i="6"/>
  <c r="G973" i="6"/>
  <c r="H973" i="6"/>
  <c r="I973" i="6"/>
  <c r="J973" i="6"/>
  <c r="K973" i="6"/>
  <c r="L973" i="6"/>
  <c r="M973" i="6"/>
  <c r="N973" i="6"/>
  <c r="O973" i="6"/>
  <c r="B974" i="6"/>
  <c r="C974" i="6"/>
  <c r="D974" i="6"/>
  <c r="E974" i="6"/>
  <c r="F974" i="6"/>
  <c r="G974" i="6"/>
  <c r="H974" i="6"/>
  <c r="I974" i="6"/>
  <c r="J974" i="6"/>
  <c r="K974" i="6"/>
  <c r="L974" i="6"/>
  <c r="M974" i="6"/>
  <c r="N974" i="6"/>
  <c r="O974" i="6"/>
  <c r="B975" i="6"/>
  <c r="C975" i="6"/>
  <c r="D975" i="6"/>
  <c r="E975" i="6"/>
  <c r="F975" i="6"/>
  <c r="G975" i="6"/>
  <c r="H975" i="6"/>
  <c r="I975" i="6"/>
  <c r="J975" i="6"/>
  <c r="K975" i="6"/>
  <c r="L975" i="6"/>
  <c r="M975" i="6"/>
  <c r="N975" i="6"/>
  <c r="O975" i="6"/>
  <c r="B976" i="6"/>
  <c r="C976" i="6"/>
  <c r="D976" i="6"/>
  <c r="E976" i="6"/>
  <c r="F976" i="6"/>
  <c r="G976" i="6"/>
  <c r="H976" i="6"/>
  <c r="I976" i="6"/>
  <c r="J976" i="6"/>
  <c r="K976" i="6"/>
  <c r="L976" i="6"/>
  <c r="M976" i="6"/>
  <c r="N976" i="6"/>
  <c r="O976" i="6"/>
  <c r="B977" i="6"/>
  <c r="C977" i="6"/>
  <c r="D977" i="6"/>
  <c r="E977" i="6"/>
  <c r="F977" i="6"/>
  <c r="G977" i="6"/>
  <c r="H977" i="6"/>
  <c r="I977" i="6"/>
  <c r="J977" i="6"/>
  <c r="K977" i="6"/>
  <c r="L977" i="6"/>
  <c r="M977" i="6"/>
  <c r="N977" i="6"/>
  <c r="O977" i="6"/>
  <c r="B978" i="6"/>
  <c r="C978" i="6"/>
  <c r="D978" i="6"/>
  <c r="E978" i="6"/>
  <c r="F978" i="6"/>
  <c r="G978" i="6"/>
  <c r="H978" i="6"/>
  <c r="I978" i="6"/>
  <c r="J978" i="6"/>
  <c r="K978" i="6"/>
  <c r="L978" i="6"/>
  <c r="M978" i="6"/>
  <c r="N978" i="6"/>
  <c r="O978" i="6"/>
  <c r="B979" i="6"/>
  <c r="C979" i="6"/>
  <c r="D979" i="6"/>
  <c r="E979" i="6"/>
  <c r="F979" i="6"/>
  <c r="G979" i="6"/>
  <c r="H979" i="6"/>
  <c r="I979" i="6"/>
  <c r="J979" i="6"/>
  <c r="K979" i="6"/>
  <c r="L979" i="6"/>
  <c r="M979" i="6"/>
  <c r="N979" i="6"/>
  <c r="O979" i="6"/>
  <c r="B980" i="6"/>
  <c r="C980" i="6"/>
  <c r="D980" i="6"/>
  <c r="E980" i="6"/>
  <c r="F980" i="6"/>
  <c r="G980" i="6"/>
  <c r="H980" i="6"/>
  <c r="I980" i="6"/>
  <c r="J980" i="6"/>
  <c r="K980" i="6"/>
  <c r="L980" i="6"/>
  <c r="M980" i="6"/>
  <c r="N980" i="6"/>
  <c r="O980" i="6"/>
  <c r="B981" i="6"/>
  <c r="C981" i="6"/>
  <c r="D981" i="6"/>
  <c r="E981" i="6"/>
  <c r="F981" i="6"/>
  <c r="G981" i="6"/>
  <c r="H981" i="6"/>
  <c r="I981" i="6"/>
  <c r="J981" i="6"/>
  <c r="K981" i="6"/>
  <c r="L981" i="6"/>
  <c r="M981" i="6"/>
  <c r="N981" i="6"/>
  <c r="O981" i="6"/>
  <c r="B982" i="6"/>
  <c r="C982" i="6"/>
  <c r="D982" i="6"/>
  <c r="E982" i="6"/>
  <c r="F982" i="6"/>
  <c r="G982" i="6"/>
  <c r="H982" i="6"/>
  <c r="I982" i="6"/>
  <c r="J982" i="6"/>
  <c r="K982" i="6"/>
  <c r="L982" i="6"/>
  <c r="M982" i="6"/>
  <c r="N982" i="6"/>
  <c r="O982" i="6"/>
  <c r="B983" i="6"/>
  <c r="C983" i="6"/>
  <c r="D983" i="6"/>
  <c r="E983" i="6"/>
  <c r="F983" i="6"/>
  <c r="G983" i="6"/>
  <c r="H983" i="6"/>
  <c r="I983" i="6"/>
  <c r="J983" i="6"/>
  <c r="K983" i="6"/>
  <c r="L983" i="6"/>
  <c r="M983" i="6"/>
  <c r="N983" i="6"/>
  <c r="O983" i="6"/>
  <c r="B984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O984" i="6"/>
  <c r="B985" i="6"/>
  <c r="C985" i="6"/>
  <c r="D985" i="6"/>
  <c r="E985" i="6"/>
  <c r="F985" i="6"/>
  <c r="G985" i="6"/>
  <c r="H985" i="6"/>
  <c r="I985" i="6"/>
  <c r="J985" i="6"/>
  <c r="K985" i="6"/>
  <c r="L985" i="6"/>
  <c r="M985" i="6"/>
  <c r="N985" i="6"/>
  <c r="O985" i="6"/>
  <c r="B986" i="6"/>
  <c r="C986" i="6"/>
  <c r="D986" i="6"/>
  <c r="E986" i="6"/>
  <c r="F986" i="6"/>
  <c r="G986" i="6"/>
  <c r="H986" i="6"/>
  <c r="I986" i="6"/>
  <c r="J986" i="6"/>
  <c r="K986" i="6"/>
  <c r="L986" i="6"/>
  <c r="M986" i="6"/>
  <c r="N986" i="6"/>
  <c r="O986" i="6"/>
  <c r="B987" i="6"/>
  <c r="C987" i="6"/>
  <c r="D987" i="6"/>
  <c r="E987" i="6"/>
  <c r="F987" i="6"/>
  <c r="G987" i="6"/>
  <c r="H987" i="6"/>
  <c r="I987" i="6"/>
  <c r="J987" i="6"/>
  <c r="K987" i="6"/>
  <c r="L987" i="6"/>
  <c r="M987" i="6"/>
  <c r="N987" i="6"/>
  <c r="O987" i="6"/>
  <c r="B988" i="6"/>
  <c r="C988" i="6"/>
  <c r="D988" i="6"/>
  <c r="E988" i="6"/>
  <c r="F988" i="6"/>
  <c r="G988" i="6"/>
  <c r="H988" i="6"/>
  <c r="I988" i="6"/>
  <c r="J988" i="6"/>
  <c r="K988" i="6"/>
  <c r="L988" i="6"/>
  <c r="M988" i="6"/>
  <c r="N988" i="6"/>
  <c r="O988" i="6"/>
  <c r="B989" i="6"/>
  <c r="C989" i="6"/>
  <c r="D989" i="6"/>
  <c r="E989" i="6"/>
  <c r="F989" i="6"/>
  <c r="G989" i="6"/>
  <c r="H989" i="6"/>
  <c r="I989" i="6"/>
  <c r="J989" i="6"/>
  <c r="K989" i="6"/>
  <c r="L989" i="6"/>
  <c r="M989" i="6"/>
  <c r="N989" i="6"/>
  <c r="O989" i="6"/>
  <c r="B990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O990" i="6"/>
  <c r="B991" i="6"/>
  <c r="C991" i="6"/>
  <c r="D991" i="6"/>
  <c r="E991" i="6"/>
  <c r="F991" i="6"/>
  <c r="G991" i="6"/>
  <c r="H991" i="6"/>
  <c r="I991" i="6"/>
  <c r="J991" i="6"/>
  <c r="K991" i="6"/>
  <c r="L991" i="6"/>
  <c r="M991" i="6"/>
  <c r="N991" i="6"/>
  <c r="O991" i="6"/>
  <c r="B992" i="6"/>
  <c r="C992" i="6"/>
  <c r="D992" i="6"/>
  <c r="E992" i="6"/>
  <c r="F992" i="6"/>
  <c r="G992" i="6"/>
  <c r="H992" i="6"/>
  <c r="I992" i="6"/>
  <c r="J992" i="6"/>
  <c r="K992" i="6"/>
  <c r="L992" i="6"/>
  <c r="M992" i="6"/>
  <c r="N992" i="6"/>
  <c r="O992" i="6"/>
  <c r="B993" i="6"/>
  <c r="C993" i="6"/>
  <c r="D993" i="6"/>
  <c r="E993" i="6"/>
  <c r="F993" i="6"/>
  <c r="G993" i="6"/>
  <c r="H993" i="6"/>
  <c r="I993" i="6"/>
  <c r="J993" i="6"/>
  <c r="K993" i="6"/>
  <c r="L993" i="6"/>
  <c r="M993" i="6"/>
  <c r="N993" i="6"/>
  <c r="O993" i="6"/>
  <c r="B994" i="6"/>
  <c r="C994" i="6"/>
  <c r="D994" i="6"/>
  <c r="E994" i="6"/>
  <c r="F994" i="6"/>
  <c r="G994" i="6"/>
  <c r="H994" i="6"/>
  <c r="I994" i="6"/>
  <c r="J994" i="6"/>
  <c r="K994" i="6"/>
  <c r="L994" i="6"/>
  <c r="M994" i="6"/>
  <c r="N994" i="6"/>
  <c r="O994" i="6"/>
  <c r="B995" i="6"/>
  <c r="C995" i="6"/>
  <c r="D995" i="6"/>
  <c r="E995" i="6"/>
  <c r="F995" i="6"/>
  <c r="G995" i="6"/>
  <c r="H995" i="6"/>
  <c r="I995" i="6"/>
  <c r="J995" i="6"/>
  <c r="K995" i="6"/>
  <c r="L995" i="6"/>
  <c r="M995" i="6"/>
  <c r="N995" i="6"/>
  <c r="O995" i="6"/>
  <c r="B996" i="6"/>
  <c r="C996" i="6"/>
  <c r="D996" i="6"/>
  <c r="E996" i="6"/>
  <c r="F996" i="6"/>
  <c r="G996" i="6"/>
  <c r="H996" i="6"/>
  <c r="I996" i="6"/>
  <c r="J996" i="6"/>
  <c r="K996" i="6"/>
  <c r="L996" i="6"/>
  <c r="M996" i="6"/>
  <c r="N996" i="6"/>
  <c r="O996" i="6"/>
  <c r="B997" i="6"/>
  <c r="C997" i="6"/>
  <c r="D997" i="6"/>
  <c r="E997" i="6"/>
  <c r="F997" i="6"/>
  <c r="G997" i="6"/>
  <c r="H997" i="6"/>
  <c r="I997" i="6"/>
  <c r="J997" i="6"/>
  <c r="K997" i="6"/>
  <c r="L997" i="6"/>
  <c r="M997" i="6"/>
  <c r="N997" i="6"/>
  <c r="O997" i="6"/>
  <c r="B998" i="6"/>
  <c r="C998" i="6"/>
  <c r="D998" i="6"/>
  <c r="E998" i="6"/>
  <c r="F998" i="6"/>
  <c r="G998" i="6"/>
  <c r="H998" i="6"/>
  <c r="I998" i="6"/>
  <c r="J998" i="6"/>
  <c r="K998" i="6"/>
  <c r="L998" i="6"/>
  <c r="M998" i="6"/>
  <c r="N998" i="6"/>
  <c r="O998" i="6"/>
  <c r="B999" i="6"/>
  <c r="C999" i="6"/>
  <c r="D999" i="6"/>
  <c r="E999" i="6"/>
  <c r="F999" i="6"/>
  <c r="G999" i="6"/>
  <c r="H999" i="6"/>
  <c r="I999" i="6"/>
  <c r="J999" i="6"/>
  <c r="K999" i="6"/>
  <c r="L999" i="6"/>
  <c r="M999" i="6"/>
  <c r="N999" i="6"/>
  <c r="O999" i="6"/>
  <c r="B1000" i="6"/>
  <c r="C1000" i="6"/>
  <c r="D1000" i="6"/>
  <c r="E1000" i="6"/>
  <c r="F1000" i="6"/>
  <c r="G1000" i="6"/>
  <c r="H1000" i="6"/>
  <c r="I1000" i="6"/>
  <c r="J1000" i="6"/>
  <c r="K1000" i="6"/>
  <c r="L1000" i="6"/>
  <c r="M1000" i="6"/>
  <c r="N1000" i="6"/>
  <c r="O1000" i="6"/>
  <c r="B1001" i="6"/>
  <c r="C1001" i="6"/>
  <c r="D1001" i="6"/>
  <c r="E1001" i="6"/>
  <c r="F1001" i="6"/>
  <c r="G1001" i="6"/>
  <c r="H1001" i="6"/>
  <c r="I1001" i="6"/>
  <c r="J1001" i="6"/>
  <c r="K1001" i="6"/>
  <c r="L1001" i="6"/>
  <c r="M1001" i="6"/>
  <c r="N1001" i="6"/>
  <c r="O1001" i="6"/>
  <c r="B1002" i="6"/>
  <c r="C1002" i="6"/>
  <c r="D1002" i="6"/>
  <c r="E1002" i="6"/>
  <c r="F1002" i="6"/>
  <c r="G1002" i="6"/>
  <c r="H1002" i="6"/>
  <c r="I1002" i="6"/>
  <c r="J1002" i="6"/>
  <c r="K1002" i="6"/>
  <c r="L1002" i="6"/>
  <c r="M1002" i="6"/>
  <c r="N1002" i="6"/>
  <c r="O1002" i="6"/>
  <c r="B1003" i="6"/>
  <c r="C1003" i="6"/>
  <c r="D1003" i="6"/>
  <c r="E1003" i="6"/>
  <c r="F1003" i="6"/>
  <c r="G1003" i="6"/>
  <c r="H1003" i="6"/>
  <c r="I1003" i="6"/>
  <c r="J1003" i="6"/>
  <c r="K1003" i="6"/>
  <c r="L1003" i="6"/>
  <c r="M1003" i="6"/>
  <c r="N1003" i="6"/>
  <c r="O1003" i="6"/>
  <c r="B1004" i="6"/>
  <c r="C1004" i="6"/>
  <c r="D1004" i="6"/>
  <c r="E1004" i="6"/>
  <c r="F1004" i="6"/>
  <c r="G1004" i="6"/>
  <c r="H1004" i="6"/>
  <c r="I1004" i="6"/>
  <c r="J1004" i="6"/>
  <c r="K1004" i="6"/>
  <c r="L1004" i="6"/>
  <c r="M1004" i="6"/>
  <c r="N1004" i="6"/>
  <c r="O1004" i="6"/>
  <c r="B1005" i="6"/>
  <c r="C1005" i="6"/>
  <c r="D1005" i="6"/>
  <c r="E1005" i="6"/>
  <c r="F1005" i="6"/>
  <c r="G1005" i="6"/>
  <c r="H1005" i="6"/>
  <c r="I1005" i="6"/>
  <c r="J1005" i="6"/>
  <c r="K1005" i="6"/>
  <c r="L1005" i="6"/>
  <c r="M1005" i="6"/>
  <c r="N1005" i="6"/>
  <c r="O1005" i="6"/>
  <c r="B1006" i="6"/>
  <c r="C1006" i="6"/>
  <c r="D1006" i="6"/>
  <c r="E1006" i="6"/>
  <c r="F1006" i="6"/>
  <c r="G1006" i="6"/>
  <c r="H1006" i="6"/>
  <c r="I1006" i="6"/>
  <c r="J1006" i="6"/>
  <c r="K1006" i="6"/>
  <c r="L1006" i="6"/>
  <c r="M1006" i="6"/>
  <c r="N1006" i="6"/>
  <c r="O1006" i="6"/>
  <c r="B1007" i="6"/>
  <c r="C1007" i="6"/>
  <c r="D1007" i="6"/>
  <c r="E1007" i="6"/>
  <c r="F1007" i="6"/>
  <c r="G1007" i="6"/>
  <c r="H1007" i="6"/>
  <c r="I1007" i="6"/>
  <c r="J1007" i="6"/>
  <c r="K1007" i="6"/>
  <c r="L1007" i="6"/>
  <c r="M1007" i="6"/>
  <c r="N1007" i="6"/>
  <c r="O1007" i="6"/>
  <c r="B1008" i="6"/>
  <c r="C1008" i="6"/>
  <c r="D1008" i="6"/>
  <c r="E1008" i="6"/>
  <c r="F1008" i="6"/>
  <c r="G1008" i="6"/>
  <c r="H1008" i="6"/>
  <c r="I1008" i="6"/>
  <c r="J1008" i="6"/>
  <c r="K1008" i="6"/>
  <c r="L1008" i="6"/>
  <c r="M1008" i="6"/>
  <c r="N1008" i="6"/>
  <c r="O1008" i="6"/>
  <c r="B1009" i="6"/>
  <c r="C1009" i="6"/>
  <c r="D1009" i="6"/>
  <c r="E1009" i="6"/>
  <c r="F1009" i="6"/>
  <c r="G1009" i="6"/>
  <c r="H1009" i="6"/>
  <c r="I1009" i="6"/>
  <c r="J1009" i="6"/>
  <c r="K1009" i="6"/>
  <c r="L1009" i="6"/>
  <c r="M1009" i="6"/>
  <c r="N1009" i="6"/>
  <c r="O1009" i="6"/>
  <c r="B1010" i="6"/>
  <c r="C1010" i="6"/>
  <c r="D1010" i="6"/>
  <c r="E1010" i="6"/>
  <c r="F1010" i="6"/>
  <c r="G1010" i="6"/>
  <c r="H1010" i="6"/>
  <c r="I1010" i="6"/>
  <c r="J1010" i="6"/>
  <c r="K1010" i="6"/>
  <c r="L1010" i="6"/>
  <c r="M1010" i="6"/>
  <c r="N1010" i="6"/>
  <c r="O1010" i="6"/>
  <c r="B1011" i="6"/>
  <c r="C1011" i="6"/>
  <c r="D1011" i="6"/>
  <c r="E1011" i="6"/>
  <c r="F1011" i="6"/>
  <c r="G1011" i="6"/>
  <c r="H1011" i="6"/>
  <c r="I1011" i="6"/>
  <c r="J1011" i="6"/>
  <c r="K1011" i="6"/>
  <c r="L1011" i="6"/>
  <c r="M1011" i="6"/>
  <c r="N1011" i="6"/>
  <c r="O1011" i="6"/>
  <c r="B1012" i="6"/>
  <c r="C1012" i="6"/>
  <c r="D1012" i="6"/>
  <c r="E1012" i="6"/>
  <c r="F1012" i="6"/>
  <c r="G1012" i="6"/>
  <c r="H1012" i="6"/>
  <c r="I1012" i="6"/>
  <c r="J1012" i="6"/>
  <c r="K1012" i="6"/>
  <c r="L1012" i="6"/>
  <c r="M1012" i="6"/>
  <c r="N1012" i="6"/>
  <c r="O1012" i="6"/>
  <c r="B1013" i="6"/>
  <c r="C1013" i="6"/>
  <c r="D1013" i="6"/>
  <c r="E1013" i="6"/>
  <c r="F1013" i="6"/>
  <c r="G1013" i="6"/>
  <c r="H1013" i="6"/>
  <c r="I1013" i="6"/>
  <c r="J1013" i="6"/>
  <c r="K1013" i="6"/>
  <c r="L1013" i="6"/>
  <c r="M1013" i="6"/>
  <c r="N1013" i="6"/>
  <c r="O1013" i="6"/>
  <c r="B1014" i="6"/>
  <c r="C1014" i="6"/>
  <c r="D1014" i="6"/>
  <c r="E1014" i="6"/>
  <c r="F1014" i="6"/>
  <c r="G1014" i="6"/>
  <c r="H1014" i="6"/>
  <c r="I1014" i="6"/>
  <c r="J1014" i="6"/>
  <c r="K1014" i="6"/>
  <c r="L1014" i="6"/>
  <c r="M1014" i="6"/>
  <c r="N1014" i="6"/>
  <c r="O1014" i="6"/>
  <c r="B1015" i="6"/>
  <c r="C1015" i="6"/>
  <c r="D1015" i="6"/>
  <c r="E1015" i="6"/>
  <c r="F1015" i="6"/>
  <c r="G1015" i="6"/>
  <c r="H1015" i="6"/>
  <c r="I1015" i="6"/>
  <c r="J1015" i="6"/>
  <c r="K1015" i="6"/>
  <c r="L1015" i="6"/>
  <c r="M1015" i="6"/>
  <c r="N1015" i="6"/>
  <c r="O1015" i="6"/>
  <c r="B1016" i="6"/>
  <c r="C1016" i="6"/>
  <c r="D1016" i="6"/>
  <c r="E1016" i="6"/>
  <c r="F1016" i="6"/>
  <c r="G1016" i="6"/>
  <c r="H1016" i="6"/>
  <c r="I1016" i="6"/>
  <c r="J1016" i="6"/>
  <c r="K1016" i="6"/>
  <c r="L1016" i="6"/>
  <c r="M1016" i="6"/>
  <c r="N1016" i="6"/>
  <c r="O1016" i="6"/>
  <c r="B1017" i="6"/>
  <c r="C1017" i="6"/>
  <c r="D1017" i="6"/>
  <c r="E1017" i="6"/>
  <c r="F1017" i="6"/>
  <c r="G1017" i="6"/>
  <c r="H1017" i="6"/>
  <c r="I1017" i="6"/>
  <c r="J1017" i="6"/>
  <c r="K1017" i="6"/>
  <c r="L1017" i="6"/>
  <c r="M1017" i="6"/>
  <c r="N1017" i="6"/>
  <c r="O1017" i="6"/>
  <c r="B1018" i="6"/>
  <c r="C1018" i="6"/>
  <c r="D1018" i="6"/>
  <c r="E1018" i="6"/>
  <c r="F1018" i="6"/>
  <c r="G1018" i="6"/>
  <c r="H1018" i="6"/>
  <c r="I1018" i="6"/>
  <c r="J1018" i="6"/>
  <c r="K1018" i="6"/>
  <c r="L1018" i="6"/>
  <c r="M1018" i="6"/>
  <c r="N1018" i="6"/>
  <c r="O1018" i="6"/>
  <c r="B1019" i="6"/>
  <c r="C1019" i="6"/>
  <c r="D1019" i="6"/>
  <c r="E1019" i="6"/>
  <c r="F1019" i="6"/>
  <c r="G1019" i="6"/>
  <c r="H1019" i="6"/>
  <c r="I1019" i="6"/>
  <c r="J1019" i="6"/>
  <c r="K1019" i="6"/>
  <c r="L1019" i="6"/>
  <c r="M1019" i="6"/>
  <c r="N1019" i="6"/>
  <c r="O1019" i="6"/>
  <c r="B1020" i="6"/>
  <c r="C1020" i="6"/>
  <c r="D1020" i="6"/>
  <c r="E1020" i="6"/>
  <c r="F1020" i="6"/>
  <c r="G1020" i="6"/>
  <c r="H1020" i="6"/>
  <c r="I1020" i="6"/>
  <c r="J1020" i="6"/>
  <c r="K1020" i="6"/>
  <c r="L1020" i="6"/>
  <c r="M1020" i="6"/>
  <c r="N1020" i="6"/>
  <c r="O1020" i="6"/>
  <c r="B1021" i="6"/>
  <c r="C1021" i="6"/>
  <c r="D1021" i="6"/>
  <c r="E1021" i="6"/>
  <c r="F1021" i="6"/>
  <c r="G1021" i="6"/>
  <c r="H1021" i="6"/>
  <c r="I1021" i="6"/>
  <c r="J1021" i="6"/>
  <c r="K1021" i="6"/>
  <c r="L1021" i="6"/>
  <c r="M1021" i="6"/>
  <c r="N1021" i="6"/>
  <c r="O1021" i="6"/>
  <c r="B1022" i="6"/>
  <c r="C1022" i="6"/>
  <c r="D1022" i="6"/>
  <c r="E1022" i="6"/>
  <c r="F1022" i="6"/>
  <c r="G1022" i="6"/>
  <c r="H1022" i="6"/>
  <c r="I1022" i="6"/>
  <c r="J1022" i="6"/>
  <c r="K1022" i="6"/>
  <c r="L1022" i="6"/>
  <c r="M1022" i="6"/>
  <c r="N1022" i="6"/>
  <c r="O1022" i="6"/>
  <c r="B1023" i="6"/>
  <c r="C1023" i="6"/>
  <c r="D1023" i="6"/>
  <c r="E1023" i="6"/>
  <c r="F1023" i="6"/>
  <c r="G1023" i="6"/>
  <c r="H1023" i="6"/>
  <c r="I1023" i="6"/>
  <c r="J1023" i="6"/>
  <c r="K1023" i="6"/>
  <c r="L1023" i="6"/>
  <c r="M1023" i="6"/>
  <c r="N1023" i="6"/>
  <c r="O1023" i="6"/>
  <c r="B1024" i="6"/>
  <c r="C1024" i="6"/>
  <c r="D1024" i="6"/>
  <c r="E1024" i="6"/>
  <c r="F1024" i="6"/>
  <c r="G1024" i="6"/>
  <c r="H1024" i="6"/>
  <c r="I1024" i="6"/>
  <c r="J1024" i="6"/>
  <c r="K1024" i="6"/>
  <c r="L1024" i="6"/>
  <c r="M1024" i="6"/>
  <c r="N1024" i="6"/>
  <c r="O1024" i="6"/>
  <c r="B1025" i="6"/>
  <c r="C1025" i="6"/>
  <c r="D1025" i="6"/>
  <c r="E1025" i="6"/>
  <c r="F1025" i="6"/>
  <c r="G1025" i="6"/>
  <c r="H1025" i="6"/>
  <c r="I1025" i="6"/>
  <c r="J1025" i="6"/>
  <c r="K1025" i="6"/>
  <c r="L1025" i="6"/>
  <c r="M1025" i="6"/>
  <c r="N1025" i="6"/>
  <c r="O1025" i="6"/>
  <c r="B1026" i="6"/>
  <c r="C1026" i="6"/>
  <c r="D1026" i="6"/>
  <c r="E1026" i="6"/>
  <c r="F1026" i="6"/>
  <c r="G1026" i="6"/>
  <c r="H1026" i="6"/>
  <c r="I1026" i="6"/>
  <c r="J1026" i="6"/>
  <c r="K1026" i="6"/>
  <c r="L1026" i="6"/>
  <c r="M1026" i="6"/>
  <c r="N1026" i="6"/>
  <c r="O1026" i="6"/>
  <c r="B1027" i="6"/>
  <c r="C1027" i="6"/>
  <c r="D1027" i="6"/>
  <c r="E1027" i="6"/>
  <c r="F1027" i="6"/>
  <c r="G1027" i="6"/>
  <c r="H1027" i="6"/>
  <c r="I1027" i="6"/>
  <c r="J1027" i="6"/>
  <c r="K1027" i="6"/>
  <c r="L1027" i="6"/>
  <c r="M1027" i="6"/>
  <c r="N1027" i="6"/>
  <c r="O1027" i="6"/>
  <c r="B1028" i="6"/>
  <c r="C1028" i="6"/>
  <c r="D1028" i="6"/>
  <c r="E1028" i="6"/>
  <c r="F1028" i="6"/>
  <c r="G1028" i="6"/>
  <c r="H1028" i="6"/>
  <c r="I1028" i="6"/>
  <c r="J1028" i="6"/>
  <c r="K1028" i="6"/>
  <c r="L1028" i="6"/>
  <c r="M1028" i="6"/>
  <c r="N1028" i="6"/>
  <c r="O1028" i="6"/>
  <c r="B1029" i="6"/>
  <c r="C1029" i="6"/>
  <c r="D1029" i="6"/>
  <c r="E1029" i="6"/>
  <c r="F1029" i="6"/>
  <c r="G1029" i="6"/>
  <c r="H1029" i="6"/>
  <c r="I1029" i="6"/>
  <c r="J1029" i="6"/>
  <c r="K1029" i="6"/>
  <c r="L1029" i="6"/>
  <c r="M1029" i="6"/>
  <c r="N1029" i="6"/>
  <c r="O1029" i="6"/>
  <c r="B1030" i="6"/>
  <c r="C1030" i="6"/>
  <c r="D1030" i="6"/>
  <c r="E1030" i="6"/>
  <c r="F1030" i="6"/>
  <c r="G1030" i="6"/>
  <c r="H1030" i="6"/>
  <c r="I1030" i="6"/>
  <c r="J1030" i="6"/>
  <c r="K1030" i="6"/>
  <c r="L1030" i="6"/>
  <c r="M1030" i="6"/>
  <c r="N1030" i="6"/>
  <c r="O1030" i="6"/>
  <c r="B1031" i="6"/>
  <c r="C1031" i="6"/>
  <c r="D1031" i="6"/>
  <c r="E1031" i="6"/>
  <c r="F1031" i="6"/>
  <c r="G1031" i="6"/>
  <c r="H1031" i="6"/>
  <c r="I1031" i="6"/>
  <c r="J1031" i="6"/>
  <c r="K1031" i="6"/>
  <c r="L1031" i="6"/>
  <c r="M1031" i="6"/>
  <c r="N1031" i="6"/>
  <c r="O1031" i="6"/>
  <c r="B1032" i="6"/>
  <c r="C1032" i="6"/>
  <c r="D1032" i="6"/>
  <c r="E1032" i="6"/>
  <c r="F1032" i="6"/>
  <c r="G1032" i="6"/>
  <c r="H1032" i="6"/>
  <c r="I1032" i="6"/>
  <c r="J1032" i="6"/>
  <c r="K1032" i="6"/>
  <c r="L1032" i="6"/>
  <c r="M1032" i="6"/>
  <c r="N1032" i="6"/>
  <c r="O1032" i="6"/>
  <c r="B1033" i="6"/>
  <c r="C1033" i="6"/>
  <c r="D1033" i="6"/>
  <c r="E1033" i="6"/>
  <c r="F1033" i="6"/>
  <c r="G1033" i="6"/>
  <c r="H1033" i="6"/>
  <c r="I1033" i="6"/>
  <c r="J1033" i="6"/>
  <c r="K1033" i="6"/>
  <c r="L1033" i="6"/>
  <c r="M1033" i="6"/>
  <c r="N1033" i="6"/>
  <c r="O1033" i="6"/>
  <c r="B1034" i="6"/>
  <c r="C1034" i="6"/>
  <c r="D1034" i="6"/>
  <c r="E1034" i="6"/>
  <c r="F1034" i="6"/>
  <c r="G1034" i="6"/>
  <c r="H1034" i="6"/>
  <c r="I1034" i="6"/>
  <c r="J1034" i="6"/>
  <c r="K1034" i="6"/>
  <c r="L1034" i="6"/>
  <c r="M1034" i="6"/>
  <c r="N1034" i="6"/>
  <c r="O1034" i="6"/>
  <c r="B1035" i="6"/>
  <c r="C1035" i="6"/>
  <c r="D1035" i="6"/>
  <c r="E1035" i="6"/>
  <c r="F1035" i="6"/>
  <c r="G1035" i="6"/>
  <c r="H1035" i="6"/>
  <c r="I1035" i="6"/>
  <c r="J1035" i="6"/>
  <c r="K1035" i="6"/>
  <c r="L1035" i="6"/>
  <c r="M1035" i="6"/>
  <c r="N1035" i="6"/>
  <c r="O1035" i="6"/>
  <c r="B1036" i="6"/>
  <c r="C1036" i="6"/>
  <c r="D1036" i="6"/>
  <c r="E1036" i="6"/>
  <c r="F1036" i="6"/>
  <c r="G1036" i="6"/>
  <c r="H1036" i="6"/>
  <c r="I1036" i="6"/>
  <c r="J1036" i="6"/>
  <c r="K1036" i="6"/>
  <c r="L1036" i="6"/>
  <c r="M1036" i="6"/>
  <c r="N1036" i="6"/>
  <c r="O1036" i="6"/>
  <c r="B1037" i="6"/>
  <c r="C1037" i="6"/>
  <c r="D1037" i="6"/>
  <c r="E1037" i="6"/>
  <c r="F1037" i="6"/>
  <c r="G1037" i="6"/>
  <c r="H1037" i="6"/>
  <c r="I1037" i="6"/>
  <c r="J1037" i="6"/>
  <c r="K1037" i="6"/>
  <c r="L1037" i="6"/>
  <c r="M1037" i="6"/>
  <c r="N1037" i="6"/>
  <c r="O1037" i="6"/>
  <c r="B1038" i="6"/>
  <c r="C1038" i="6"/>
  <c r="D1038" i="6"/>
  <c r="E1038" i="6"/>
  <c r="F1038" i="6"/>
  <c r="G1038" i="6"/>
  <c r="H1038" i="6"/>
  <c r="I1038" i="6"/>
  <c r="J1038" i="6"/>
  <c r="K1038" i="6"/>
  <c r="L1038" i="6"/>
  <c r="M1038" i="6"/>
  <c r="N1038" i="6"/>
  <c r="O1038" i="6"/>
  <c r="B1039" i="6"/>
  <c r="C1039" i="6"/>
  <c r="D1039" i="6"/>
  <c r="E1039" i="6"/>
  <c r="F1039" i="6"/>
  <c r="G1039" i="6"/>
  <c r="H1039" i="6"/>
  <c r="I1039" i="6"/>
  <c r="J1039" i="6"/>
  <c r="K1039" i="6"/>
  <c r="L1039" i="6"/>
  <c r="M1039" i="6"/>
  <c r="N1039" i="6"/>
  <c r="O1039" i="6"/>
  <c r="B1040" i="6"/>
  <c r="C1040" i="6"/>
  <c r="D1040" i="6"/>
  <c r="E1040" i="6"/>
  <c r="F1040" i="6"/>
  <c r="G1040" i="6"/>
  <c r="H1040" i="6"/>
  <c r="I1040" i="6"/>
  <c r="J1040" i="6"/>
  <c r="K1040" i="6"/>
  <c r="L1040" i="6"/>
  <c r="M1040" i="6"/>
  <c r="N1040" i="6"/>
  <c r="O1040" i="6"/>
  <c r="B1041" i="6"/>
  <c r="C1041" i="6"/>
  <c r="D1041" i="6"/>
  <c r="E1041" i="6"/>
  <c r="F1041" i="6"/>
  <c r="G1041" i="6"/>
  <c r="H1041" i="6"/>
  <c r="I1041" i="6"/>
  <c r="J1041" i="6"/>
  <c r="K1041" i="6"/>
  <c r="L1041" i="6"/>
  <c r="M1041" i="6"/>
  <c r="N1041" i="6"/>
  <c r="O1041" i="6"/>
  <c r="B1042" i="6"/>
  <c r="C1042" i="6"/>
  <c r="D1042" i="6"/>
  <c r="E1042" i="6"/>
  <c r="F1042" i="6"/>
  <c r="G1042" i="6"/>
  <c r="H1042" i="6"/>
  <c r="I1042" i="6"/>
  <c r="J1042" i="6"/>
  <c r="K1042" i="6"/>
  <c r="L1042" i="6"/>
  <c r="M1042" i="6"/>
  <c r="N1042" i="6"/>
  <c r="O1042" i="6"/>
  <c r="B1043" i="6"/>
  <c r="C1043" i="6"/>
  <c r="D1043" i="6"/>
  <c r="E1043" i="6"/>
  <c r="F1043" i="6"/>
  <c r="G1043" i="6"/>
  <c r="H1043" i="6"/>
  <c r="I1043" i="6"/>
  <c r="J1043" i="6"/>
  <c r="K1043" i="6"/>
  <c r="L1043" i="6"/>
  <c r="M1043" i="6"/>
  <c r="N1043" i="6"/>
  <c r="O1043" i="6"/>
  <c r="B1044" i="6"/>
  <c r="C1044" i="6"/>
  <c r="D1044" i="6"/>
  <c r="E1044" i="6"/>
  <c r="F1044" i="6"/>
  <c r="G1044" i="6"/>
  <c r="H1044" i="6"/>
  <c r="I1044" i="6"/>
  <c r="J1044" i="6"/>
  <c r="K1044" i="6"/>
  <c r="L1044" i="6"/>
  <c r="M1044" i="6"/>
  <c r="N1044" i="6"/>
  <c r="O1044" i="6"/>
  <c r="B1045" i="6"/>
  <c r="C1045" i="6"/>
  <c r="D1045" i="6"/>
  <c r="E1045" i="6"/>
  <c r="F1045" i="6"/>
  <c r="G1045" i="6"/>
  <c r="H1045" i="6"/>
  <c r="I1045" i="6"/>
  <c r="J1045" i="6"/>
  <c r="K1045" i="6"/>
  <c r="L1045" i="6"/>
  <c r="M1045" i="6"/>
  <c r="N1045" i="6"/>
  <c r="O1045" i="6"/>
  <c r="B1046" i="6"/>
  <c r="C1046" i="6"/>
  <c r="D1046" i="6"/>
  <c r="E1046" i="6"/>
  <c r="F1046" i="6"/>
  <c r="G1046" i="6"/>
  <c r="H1046" i="6"/>
  <c r="I1046" i="6"/>
  <c r="J1046" i="6"/>
  <c r="K1046" i="6"/>
  <c r="L1046" i="6"/>
  <c r="M1046" i="6"/>
  <c r="N1046" i="6"/>
  <c r="O1046" i="6"/>
  <c r="B1047" i="6"/>
  <c r="C1047" i="6"/>
  <c r="D1047" i="6"/>
  <c r="E1047" i="6"/>
  <c r="F1047" i="6"/>
  <c r="G1047" i="6"/>
  <c r="H1047" i="6"/>
  <c r="I1047" i="6"/>
  <c r="J1047" i="6"/>
  <c r="K1047" i="6"/>
  <c r="L1047" i="6"/>
  <c r="M1047" i="6"/>
  <c r="N1047" i="6"/>
  <c r="O1047" i="6"/>
  <c r="B1048" i="6"/>
  <c r="C1048" i="6"/>
  <c r="D1048" i="6"/>
  <c r="E1048" i="6"/>
  <c r="F1048" i="6"/>
  <c r="G1048" i="6"/>
  <c r="H1048" i="6"/>
  <c r="I1048" i="6"/>
  <c r="J1048" i="6"/>
  <c r="K1048" i="6"/>
  <c r="L1048" i="6"/>
  <c r="M1048" i="6"/>
  <c r="N1048" i="6"/>
  <c r="O1048" i="6"/>
  <c r="B1049" i="6"/>
  <c r="C1049" i="6"/>
  <c r="D1049" i="6"/>
  <c r="E1049" i="6"/>
  <c r="F1049" i="6"/>
  <c r="G1049" i="6"/>
  <c r="H1049" i="6"/>
  <c r="I1049" i="6"/>
  <c r="J1049" i="6"/>
  <c r="K1049" i="6"/>
  <c r="L1049" i="6"/>
  <c r="M1049" i="6"/>
  <c r="N1049" i="6"/>
  <c r="O1049" i="6"/>
  <c r="B1050" i="6"/>
  <c r="C1050" i="6"/>
  <c r="D1050" i="6"/>
  <c r="E1050" i="6"/>
  <c r="F1050" i="6"/>
  <c r="G1050" i="6"/>
  <c r="H1050" i="6"/>
  <c r="I1050" i="6"/>
  <c r="J1050" i="6"/>
  <c r="K1050" i="6"/>
  <c r="L1050" i="6"/>
  <c r="M1050" i="6"/>
  <c r="N1050" i="6"/>
  <c r="O1050" i="6"/>
  <c r="B1051" i="6"/>
  <c r="C1051" i="6"/>
  <c r="D1051" i="6"/>
  <c r="E1051" i="6"/>
  <c r="F1051" i="6"/>
  <c r="G1051" i="6"/>
  <c r="H1051" i="6"/>
  <c r="I1051" i="6"/>
  <c r="J1051" i="6"/>
  <c r="K1051" i="6"/>
  <c r="L1051" i="6"/>
  <c r="M1051" i="6"/>
  <c r="N1051" i="6"/>
  <c r="O1051" i="6"/>
  <c r="B1052" i="6"/>
  <c r="C1052" i="6"/>
  <c r="D1052" i="6"/>
  <c r="E1052" i="6"/>
  <c r="F1052" i="6"/>
  <c r="G1052" i="6"/>
  <c r="H1052" i="6"/>
  <c r="I1052" i="6"/>
  <c r="J1052" i="6"/>
  <c r="K1052" i="6"/>
  <c r="L1052" i="6"/>
  <c r="M1052" i="6"/>
  <c r="N1052" i="6"/>
  <c r="O1052" i="6"/>
  <c r="B1053" i="6"/>
  <c r="C1053" i="6"/>
  <c r="D1053" i="6"/>
  <c r="E1053" i="6"/>
  <c r="F1053" i="6"/>
  <c r="G1053" i="6"/>
  <c r="H1053" i="6"/>
  <c r="I1053" i="6"/>
  <c r="J1053" i="6"/>
  <c r="K1053" i="6"/>
  <c r="L1053" i="6"/>
  <c r="M1053" i="6"/>
  <c r="N1053" i="6"/>
  <c r="O1053" i="6"/>
  <c r="B1054" i="6"/>
  <c r="C1054" i="6"/>
  <c r="D1054" i="6"/>
  <c r="E1054" i="6"/>
  <c r="F1054" i="6"/>
  <c r="G1054" i="6"/>
  <c r="H1054" i="6"/>
  <c r="I1054" i="6"/>
  <c r="J1054" i="6"/>
  <c r="K1054" i="6"/>
  <c r="L1054" i="6"/>
  <c r="M1054" i="6"/>
  <c r="N1054" i="6"/>
  <c r="O1054" i="6"/>
  <c r="B1055" i="6"/>
  <c r="C1055" i="6"/>
  <c r="D1055" i="6"/>
  <c r="E1055" i="6"/>
  <c r="F1055" i="6"/>
  <c r="G1055" i="6"/>
  <c r="H1055" i="6"/>
  <c r="I1055" i="6"/>
  <c r="J1055" i="6"/>
  <c r="K1055" i="6"/>
  <c r="L1055" i="6"/>
  <c r="M1055" i="6"/>
  <c r="N1055" i="6"/>
  <c r="O1055" i="6"/>
  <c r="B1056" i="6"/>
  <c r="C1056" i="6"/>
  <c r="D1056" i="6"/>
  <c r="E1056" i="6"/>
  <c r="F1056" i="6"/>
  <c r="G1056" i="6"/>
  <c r="H1056" i="6"/>
  <c r="I1056" i="6"/>
  <c r="J1056" i="6"/>
  <c r="K1056" i="6"/>
  <c r="L1056" i="6"/>
  <c r="M1056" i="6"/>
  <c r="N1056" i="6"/>
  <c r="O1056" i="6"/>
  <c r="B1057" i="6"/>
  <c r="C1057" i="6"/>
  <c r="D1057" i="6"/>
  <c r="E1057" i="6"/>
  <c r="F1057" i="6"/>
  <c r="G1057" i="6"/>
  <c r="H1057" i="6"/>
  <c r="I1057" i="6"/>
  <c r="J1057" i="6"/>
  <c r="K1057" i="6"/>
  <c r="L1057" i="6"/>
  <c r="M1057" i="6"/>
  <c r="N1057" i="6"/>
  <c r="O1057" i="6"/>
  <c r="B1059" i="6"/>
  <c r="C1059" i="6"/>
  <c r="I1059" i="6"/>
  <c r="M1059" i="6"/>
  <c r="E1060" i="6"/>
  <c r="G1060" i="6"/>
  <c r="I1060" i="6"/>
  <c r="O1060" i="6"/>
  <c r="B1061" i="6"/>
  <c r="E1061" i="6"/>
  <c r="G1061" i="6"/>
  <c r="K1061" i="6"/>
  <c r="M1061" i="6"/>
  <c r="C1062" i="6"/>
  <c r="K1062" i="6"/>
  <c r="M1062" i="6"/>
  <c r="K1063" i="6"/>
  <c r="O1063" i="6"/>
  <c r="C1064" i="6"/>
  <c r="E1064" i="6"/>
  <c r="M1064" i="6"/>
  <c r="O1064" i="6"/>
  <c r="F1067" i="6"/>
  <c r="C1068" i="6"/>
  <c r="K1068" i="6"/>
  <c r="I1069" i="6"/>
  <c r="K1070" i="6"/>
  <c r="K1071" i="6"/>
  <c r="E1072" i="6"/>
  <c r="J1074" i="6"/>
  <c r="K1074" i="6"/>
  <c r="C1076" i="6"/>
  <c r="C1078" i="6"/>
  <c r="G1078" i="6"/>
  <c r="M1079" i="6"/>
  <c r="C1080" i="6"/>
  <c r="C1082" i="6"/>
  <c r="K1082" i="6"/>
  <c r="O1082" i="6"/>
  <c r="K1083" i="6"/>
  <c r="G1086" i="6"/>
  <c r="M1088" i="6"/>
  <c r="G1093" i="6"/>
  <c r="I1093" i="6"/>
  <c r="E1101" i="6"/>
  <c r="O1105" i="6"/>
  <c r="I1113" i="6"/>
  <c r="G1120" i="6"/>
  <c r="K1122" i="6"/>
  <c r="G1123" i="6"/>
  <c r="J1145" i="6"/>
  <c r="C16" i="5"/>
  <c r="D16" i="5"/>
  <c r="E16" i="5"/>
  <c r="F16" i="5"/>
  <c r="L16" i="5"/>
  <c r="N16" i="5"/>
  <c r="P16" i="5"/>
  <c r="Q16" i="5"/>
  <c r="R16" i="5"/>
  <c r="T16" i="5"/>
  <c r="C17" i="5"/>
  <c r="D17" i="5"/>
  <c r="E17" i="5"/>
  <c r="F17" i="5"/>
  <c r="N17" i="5"/>
  <c r="P17" i="5"/>
  <c r="R17" i="5"/>
  <c r="Q17" i="5" s="1"/>
  <c r="S17" i="5" s="1"/>
  <c r="T17" i="5"/>
  <c r="C18" i="5"/>
  <c r="L18" i="5" s="1"/>
  <c r="D18" i="5"/>
  <c r="E18" i="5"/>
  <c r="F18" i="5"/>
  <c r="N18" i="5"/>
  <c r="P18" i="5"/>
  <c r="R18" i="5"/>
  <c r="T18" i="5"/>
  <c r="C19" i="5"/>
  <c r="L19" i="5" s="1"/>
  <c r="D19" i="5"/>
  <c r="E19" i="5"/>
  <c r="F19" i="5"/>
  <c r="N19" i="5"/>
  <c r="P19" i="5"/>
  <c r="Q19" i="5"/>
  <c r="R19" i="5"/>
  <c r="S19" i="5"/>
  <c r="T19" i="5"/>
  <c r="C20" i="5"/>
  <c r="D20" i="5"/>
  <c r="E20" i="5"/>
  <c r="L20" i="5" s="1"/>
  <c r="F20" i="5"/>
  <c r="N20" i="5"/>
  <c r="P20" i="5"/>
  <c r="R20" i="5"/>
  <c r="Q20" i="5" s="1"/>
  <c r="T20" i="5"/>
  <c r="C21" i="5"/>
  <c r="D21" i="5"/>
  <c r="E21" i="5"/>
  <c r="F21" i="5"/>
  <c r="N21" i="5"/>
  <c r="P21" i="5"/>
  <c r="Q21" i="5"/>
  <c r="S21" i="5" s="1"/>
  <c r="R21" i="5"/>
  <c r="T21" i="5"/>
  <c r="C22" i="5"/>
  <c r="D22" i="5"/>
  <c r="E22" i="5"/>
  <c r="F22" i="5"/>
  <c r="L22" i="5"/>
  <c r="N22" i="5"/>
  <c r="R22" i="5"/>
  <c r="Q22" i="5" s="1"/>
  <c r="S22" i="5" s="1"/>
  <c r="T22" i="5"/>
  <c r="C23" i="5"/>
  <c r="D23" i="5"/>
  <c r="E23" i="5"/>
  <c r="L23" i="5" s="1"/>
  <c r="F23" i="5"/>
  <c r="N23" i="5"/>
  <c r="Q23" i="5"/>
  <c r="S23" i="5" s="1"/>
  <c r="R23" i="5"/>
  <c r="T23" i="5"/>
  <c r="C24" i="5"/>
  <c r="L24" i="5" s="1"/>
  <c r="D24" i="5"/>
  <c r="E24" i="5"/>
  <c r="F24" i="5"/>
  <c r="N24" i="5"/>
  <c r="Q24" i="5"/>
  <c r="R24" i="5"/>
  <c r="S24" i="5"/>
  <c r="T24" i="5"/>
  <c r="C25" i="5"/>
  <c r="D25" i="5"/>
  <c r="E25" i="5"/>
  <c r="F25" i="5"/>
  <c r="N25" i="5"/>
  <c r="R25" i="5"/>
  <c r="Q25" i="5" s="1"/>
  <c r="S25" i="5" s="1"/>
  <c r="T25" i="5"/>
  <c r="C26" i="5"/>
  <c r="D26" i="5"/>
  <c r="E26" i="5"/>
  <c r="F26" i="5"/>
  <c r="L26" i="5"/>
  <c r="N26" i="5"/>
  <c r="Q26" i="5"/>
  <c r="S26" i="5" s="1"/>
  <c r="R26" i="5"/>
  <c r="T26" i="5"/>
  <c r="C27" i="5"/>
  <c r="D27" i="5"/>
  <c r="E27" i="5"/>
  <c r="F27" i="5"/>
  <c r="H27" i="5"/>
  <c r="N27" i="5"/>
  <c r="P27" i="5"/>
  <c r="R27" i="5"/>
  <c r="T27" i="5"/>
  <c r="C28" i="5"/>
  <c r="D28" i="5"/>
  <c r="E28" i="5"/>
  <c r="F28" i="5"/>
  <c r="H28" i="5"/>
  <c r="N28" i="5"/>
  <c r="P28" i="5"/>
  <c r="R28" i="5"/>
  <c r="Q28" i="5" s="1"/>
  <c r="S28" i="5"/>
  <c r="T28" i="5"/>
  <c r="C29" i="5"/>
  <c r="D29" i="5"/>
  <c r="E29" i="5"/>
  <c r="F29" i="5"/>
  <c r="H29" i="5"/>
  <c r="L29" i="5"/>
  <c r="N29" i="5"/>
  <c r="P29" i="5"/>
  <c r="Q29" i="5" s="1"/>
  <c r="R29" i="5"/>
  <c r="S29" i="5"/>
  <c r="T29" i="5"/>
  <c r="C30" i="5"/>
  <c r="D30" i="5"/>
  <c r="E30" i="5"/>
  <c r="F30" i="5"/>
  <c r="F1058" i="5" s="1"/>
  <c r="H30" i="5"/>
  <c r="N30" i="5"/>
  <c r="P30" i="5"/>
  <c r="R30" i="5"/>
  <c r="T30" i="5"/>
  <c r="C31" i="5"/>
  <c r="D31" i="5"/>
  <c r="E31" i="5"/>
  <c r="F31" i="5"/>
  <c r="H31" i="5"/>
  <c r="N31" i="5"/>
  <c r="P31" i="5"/>
  <c r="Q31" i="5"/>
  <c r="R31" i="5"/>
  <c r="T31" i="5"/>
  <c r="C32" i="5"/>
  <c r="D32" i="5"/>
  <c r="E32" i="5"/>
  <c r="F32" i="5"/>
  <c r="H32" i="5"/>
  <c r="N32" i="5"/>
  <c r="P32" i="5"/>
  <c r="R32" i="5"/>
  <c r="Q32" i="5" s="1"/>
  <c r="S32" i="5" s="1"/>
  <c r="T32" i="5"/>
  <c r="T1058" i="5" s="1"/>
  <c r="C33" i="5"/>
  <c r="L33" i="5" s="1"/>
  <c r="D33" i="5"/>
  <c r="E33" i="5"/>
  <c r="F33" i="5"/>
  <c r="H33" i="5"/>
  <c r="N33" i="5"/>
  <c r="P33" i="5"/>
  <c r="Q33" i="5" s="1"/>
  <c r="R33" i="5"/>
  <c r="S33" i="5"/>
  <c r="T33" i="5"/>
  <c r="C34" i="5"/>
  <c r="D34" i="5"/>
  <c r="E34" i="5"/>
  <c r="F34" i="5"/>
  <c r="H34" i="5"/>
  <c r="N34" i="5"/>
  <c r="Q34" i="5"/>
  <c r="S34" i="5" s="1"/>
  <c r="R34" i="5"/>
  <c r="T34" i="5"/>
  <c r="C35" i="5"/>
  <c r="D35" i="5"/>
  <c r="E35" i="5"/>
  <c r="F35" i="5"/>
  <c r="H35" i="5"/>
  <c r="H1058" i="5" s="1"/>
  <c r="N35" i="5"/>
  <c r="Q35" i="5"/>
  <c r="S35" i="5" s="1"/>
  <c r="R35" i="5"/>
  <c r="T35" i="5"/>
  <c r="C36" i="5"/>
  <c r="D36" i="5"/>
  <c r="E36" i="5"/>
  <c r="F36" i="5"/>
  <c r="H36" i="5"/>
  <c r="N36" i="5"/>
  <c r="R36" i="5"/>
  <c r="Q36" i="5" s="1"/>
  <c r="S36" i="5" s="1"/>
  <c r="T36" i="5"/>
  <c r="C37" i="5"/>
  <c r="D37" i="5"/>
  <c r="E37" i="5"/>
  <c r="F37" i="5"/>
  <c r="H37" i="5"/>
  <c r="L37" i="5"/>
  <c r="N37" i="5"/>
  <c r="Q37" i="5"/>
  <c r="R37" i="5"/>
  <c r="S37" i="5"/>
  <c r="T37" i="5"/>
  <c r="C38" i="5"/>
  <c r="D38" i="5"/>
  <c r="E38" i="5"/>
  <c r="F38" i="5"/>
  <c r="H38" i="5"/>
  <c r="N38" i="5"/>
  <c r="R38" i="5"/>
  <c r="Q38" i="5" s="1"/>
  <c r="S38" i="5" s="1"/>
  <c r="T38" i="5"/>
  <c r="C39" i="5"/>
  <c r="D39" i="5"/>
  <c r="L39" i="5" s="1"/>
  <c r="E39" i="5"/>
  <c r="F39" i="5"/>
  <c r="H39" i="5"/>
  <c r="N39" i="5"/>
  <c r="Q39" i="5"/>
  <c r="R39" i="5"/>
  <c r="S39" i="5"/>
  <c r="S1059" i="5" s="1"/>
  <c r="T39" i="5"/>
  <c r="C40" i="5"/>
  <c r="D40" i="5"/>
  <c r="E40" i="5"/>
  <c r="F40" i="5"/>
  <c r="H40" i="5"/>
  <c r="I40" i="5"/>
  <c r="L40" i="5"/>
  <c r="N40" i="5"/>
  <c r="R40" i="5"/>
  <c r="Q40" i="5" s="1"/>
  <c r="S40" i="5"/>
  <c r="T40" i="5"/>
  <c r="C41" i="5"/>
  <c r="D41" i="5"/>
  <c r="E41" i="5"/>
  <c r="F41" i="5"/>
  <c r="H41" i="5"/>
  <c r="I41" i="5"/>
  <c r="N41" i="5"/>
  <c r="Q41" i="5"/>
  <c r="S41" i="5" s="1"/>
  <c r="R41" i="5"/>
  <c r="T41" i="5"/>
  <c r="C42" i="5"/>
  <c r="D42" i="5"/>
  <c r="E42" i="5"/>
  <c r="F42" i="5"/>
  <c r="H42" i="5"/>
  <c r="I42" i="5"/>
  <c r="N42" i="5"/>
  <c r="R42" i="5"/>
  <c r="Q42" i="5" s="1"/>
  <c r="S42" i="5"/>
  <c r="T42" i="5"/>
  <c r="C43" i="5"/>
  <c r="D43" i="5"/>
  <c r="E43" i="5"/>
  <c r="F43" i="5"/>
  <c r="H43" i="5"/>
  <c r="I43" i="5"/>
  <c r="L43" i="5"/>
  <c r="N43" i="5"/>
  <c r="R43" i="5"/>
  <c r="Q43" i="5" s="1"/>
  <c r="S43" i="5"/>
  <c r="T43" i="5"/>
  <c r="C44" i="5"/>
  <c r="D44" i="5"/>
  <c r="E44" i="5"/>
  <c r="F44" i="5"/>
  <c r="H44" i="5"/>
  <c r="I44" i="5"/>
  <c r="L44" i="5"/>
  <c r="N44" i="5"/>
  <c r="R44" i="5"/>
  <c r="Q44" i="5" s="1"/>
  <c r="S44" i="5" s="1"/>
  <c r="T44" i="5"/>
  <c r="C45" i="5"/>
  <c r="D45" i="5"/>
  <c r="E45" i="5"/>
  <c r="F45" i="5"/>
  <c r="H45" i="5"/>
  <c r="I45" i="5"/>
  <c r="N45" i="5"/>
  <c r="Q45" i="5"/>
  <c r="R45" i="5"/>
  <c r="S45" i="5"/>
  <c r="T45" i="5"/>
  <c r="C46" i="5"/>
  <c r="D46" i="5"/>
  <c r="E46" i="5"/>
  <c r="F46" i="5"/>
  <c r="H46" i="5"/>
  <c r="I46" i="5"/>
  <c r="L46" i="5"/>
  <c r="N46" i="5"/>
  <c r="R46" i="5"/>
  <c r="Q46" i="5" s="1"/>
  <c r="S46" i="5"/>
  <c r="T46" i="5"/>
  <c r="C47" i="5"/>
  <c r="L47" i="5" s="1"/>
  <c r="D47" i="5"/>
  <c r="E47" i="5"/>
  <c r="F47" i="5"/>
  <c r="H47" i="5"/>
  <c r="I47" i="5"/>
  <c r="N47" i="5"/>
  <c r="Q47" i="5"/>
  <c r="S47" i="5" s="1"/>
  <c r="R47" i="5"/>
  <c r="T47" i="5"/>
  <c r="C48" i="5"/>
  <c r="D48" i="5"/>
  <c r="E48" i="5"/>
  <c r="F48" i="5"/>
  <c r="H48" i="5"/>
  <c r="I48" i="5"/>
  <c r="N48" i="5"/>
  <c r="R48" i="5"/>
  <c r="Q48" i="5" s="1"/>
  <c r="S48" i="5" s="1"/>
  <c r="T48" i="5"/>
  <c r="C49" i="5"/>
  <c r="D49" i="5"/>
  <c r="E49" i="5"/>
  <c r="F49" i="5"/>
  <c r="H49" i="5"/>
  <c r="I49" i="5"/>
  <c r="N49" i="5"/>
  <c r="Q49" i="5"/>
  <c r="S49" i="5" s="1"/>
  <c r="R49" i="5"/>
  <c r="T49" i="5"/>
  <c r="C50" i="5"/>
  <c r="D50" i="5"/>
  <c r="E50" i="5"/>
  <c r="F50" i="5"/>
  <c r="H50" i="5"/>
  <c r="I50" i="5"/>
  <c r="N50" i="5"/>
  <c r="R50" i="5"/>
  <c r="Q50" i="5" s="1"/>
  <c r="S50" i="5" s="1"/>
  <c r="T50" i="5"/>
  <c r="C51" i="5"/>
  <c r="D51" i="5"/>
  <c r="E51" i="5"/>
  <c r="F51" i="5"/>
  <c r="H51" i="5"/>
  <c r="I51" i="5"/>
  <c r="N51" i="5"/>
  <c r="R51" i="5"/>
  <c r="Q51" i="5" s="1"/>
  <c r="T51" i="5"/>
  <c r="C52" i="5"/>
  <c r="D52" i="5"/>
  <c r="L52" i="5" s="1"/>
  <c r="E52" i="5"/>
  <c r="F52" i="5"/>
  <c r="H52" i="5"/>
  <c r="I52" i="5"/>
  <c r="N52" i="5"/>
  <c r="R52" i="5"/>
  <c r="Q52" i="5" s="1"/>
  <c r="S52" i="5"/>
  <c r="T52" i="5"/>
  <c r="C53" i="5"/>
  <c r="D53" i="5"/>
  <c r="E53" i="5"/>
  <c r="F53" i="5"/>
  <c r="H53" i="5"/>
  <c r="I53" i="5"/>
  <c r="L53" i="5"/>
  <c r="N53" i="5"/>
  <c r="R53" i="5"/>
  <c r="Q53" i="5" s="1"/>
  <c r="S53" i="5"/>
  <c r="T53" i="5"/>
  <c r="C54" i="5"/>
  <c r="D54" i="5"/>
  <c r="E54" i="5"/>
  <c r="F54" i="5"/>
  <c r="H54" i="5"/>
  <c r="I54" i="5"/>
  <c r="L54" i="5"/>
  <c r="N54" i="5"/>
  <c r="R54" i="5"/>
  <c r="Q54" i="5" s="1"/>
  <c r="S54" i="5" s="1"/>
  <c r="T54" i="5"/>
  <c r="C55" i="5"/>
  <c r="D55" i="5"/>
  <c r="E55" i="5"/>
  <c r="F55" i="5"/>
  <c r="H55" i="5"/>
  <c r="I55" i="5"/>
  <c r="N55" i="5"/>
  <c r="Q55" i="5"/>
  <c r="R55" i="5"/>
  <c r="S55" i="5"/>
  <c r="T55" i="5"/>
  <c r="C56" i="5"/>
  <c r="D56" i="5"/>
  <c r="E56" i="5"/>
  <c r="F56" i="5"/>
  <c r="H56" i="5"/>
  <c r="I56" i="5"/>
  <c r="L56" i="5"/>
  <c r="N56" i="5"/>
  <c r="R56" i="5"/>
  <c r="Q56" i="5" s="1"/>
  <c r="S56" i="5"/>
  <c r="T56" i="5"/>
  <c r="C57" i="5"/>
  <c r="D57" i="5"/>
  <c r="E57" i="5"/>
  <c r="F57" i="5"/>
  <c r="H57" i="5"/>
  <c r="I57" i="5"/>
  <c r="N57" i="5"/>
  <c r="Q57" i="5"/>
  <c r="S57" i="5" s="1"/>
  <c r="R57" i="5"/>
  <c r="T57" i="5"/>
  <c r="C58" i="5"/>
  <c r="D58" i="5"/>
  <c r="E58" i="5"/>
  <c r="F58" i="5"/>
  <c r="H58" i="5"/>
  <c r="I58" i="5"/>
  <c r="N58" i="5"/>
  <c r="R58" i="5"/>
  <c r="Q58" i="5" s="1"/>
  <c r="S58" i="5"/>
  <c r="T58" i="5"/>
  <c r="C59" i="5"/>
  <c r="D59" i="5"/>
  <c r="E59" i="5"/>
  <c r="F59" i="5"/>
  <c r="H59" i="5"/>
  <c r="I59" i="5"/>
  <c r="L59" i="5"/>
  <c r="N59" i="5"/>
  <c r="R59" i="5"/>
  <c r="Q59" i="5" s="1"/>
  <c r="S59" i="5" s="1"/>
  <c r="T59" i="5"/>
  <c r="C60" i="5"/>
  <c r="D60" i="5"/>
  <c r="E60" i="5"/>
  <c r="F60" i="5"/>
  <c r="H60" i="5"/>
  <c r="I60" i="5"/>
  <c r="N60" i="5"/>
  <c r="R60" i="5"/>
  <c r="Q60" i="5" s="1"/>
  <c r="S60" i="5" s="1"/>
  <c r="T60" i="5"/>
  <c r="C61" i="5"/>
  <c r="D61" i="5"/>
  <c r="E61" i="5"/>
  <c r="F61" i="5"/>
  <c r="H61" i="5"/>
  <c r="I61" i="5"/>
  <c r="N61" i="5"/>
  <c r="Q61" i="5"/>
  <c r="S61" i="5" s="1"/>
  <c r="R61" i="5"/>
  <c r="T61" i="5"/>
  <c r="C62" i="5"/>
  <c r="D62" i="5"/>
  <c r="E62" i="5"/>
  <c r="F62" i="5"/>
  <c r="H62" i="5"/>
  <c r="I62" i="5"/>
  <c r="N62" i="5"/>
  <c r="R62" i="5"/>
  <c r="Q62" i="5" s="1"/>
  <c r="S62" i="5"/>
  <c r="T62" i="5"/>
  <c r="C63" i="5"/>
  <c r="D63" i="5"/>
  <c r="E63" i="5"/>
  <c r="F63" i="5"/>
  <c r="H63" i="5"/>
  <c r="I63" i="5"/>
  <c r="L63" i="5"/>
  <c r="N63" i="5"/>
  <c r="R63" i="5"/>
  <c r="Q63" i="5" s="1"/>
  <c r="S63" i="5" s="1"/>
  <c r="T63" i="5"/>
  <c r="C64" i="5"/>
  <c r="D64" i="5"/>
  <c r="E64" i="5"/>
  <c r="L64" i="5" s="1"/>
  <c r="F64" i="5"/>
  <c r="H64" i="5"/>
  <c r="I64" i="5"/>
  <c r="N64" i="5"/>
  <c r="R64" i="5"/>
  <c r="Q64" i="5" s="1"/>
  <c r="S64" i="5" s="1"/>
  <c r="T64" i="5"/>
  <c r="C65" i="5"/>
  <c r="D65" i="5"/>
  <c r="E65" i="5"/>
  <c r="F65" i="5"/>
  <c r="H65" i="5"/>
  <c r="I65" i="5"/>
  <c r="N65" i="5"/>
  <c r="R65" i="5"/>
  <c r="Q65" i="5" s="1"/>
  <c r="S65" i="5" s="1"/>
  <c r="T65" i="5"/>
  <c r="C66" i="5"/>
  <c r="D66" i="5"/>
  <c r="E66" i="5"/>
  <c r="F66" i="5"/>
  <c r="H66" i="5"/>
  <c r="L66" i="5" s="1"/>
  <c r="I66" i="5"/>
  <c r="N66" i="5"/>
  <c r="R66" i="5"/>
  <c r="Q66" i="5" s="1"/>
  <c r="S66" i="5" s="1"/>
  <c r="T66" i="5"/>
  <c r="C67" i="5"/>
  <c r="D67" i="5"/>
  <c r="E67" i="5"/>
  <c r="F67" i="5"/>
  <c r="H67" i="5"/>
  <c r="I67" i="5"/>
  <c r="N67" i="5"/>
  <c r="R67" i="5"/>
  <c r="Q67" i="5" s="1"/>
  <c r="S67" i="5"/>
  <c r="T67" i="5"/>
  <c r="C68" i="5"/>
  <c r="D68" i="5"/>
  <c r="E68" i="5"/>
  <c r="F68" i="5"/>
  <c r="H68" i="5"/>
  <c r="I68" i="5"/>
  <c r="L68" i="5"/>
  <c r="N68" i="5"/>
  <c r="N1061" i="5" s="1"/>
  <c r="R68" i="5"/>
  <c r="Q68" i="5" s="1"/>
  <c r="S68" i="5" s="1"/>
  <c r="T68" i="5"/>
  <c r="C69" i="5"/>
  <c r="D69" i="5"/>
  <c r="E69" i="5"/>
  <c r="F69" i="5"/>
  <c r="H69" i="5"/>
  <c r="I69" i="5"/>
  <c r="N69" i="5"/>
  <c r="R69" i="5"/>
  <c r="Q69" i="5" s="1"/>
  <c r="S69" i="5" s="1"/>
  <c r="T69" i="5"/>
  <c r="C70" i="5"/>
  <c r="D70" i="5"/>
  <c r="E70" i="5"/>
  <c r="F70" i="5"/>
  <c r="H70" i="5"/>
  <c r="I70" i="5"/>
  <c r="N70" i="5"/>
  <c r="R70" i="5"/>
  <c r="Q70" i="5" s="1"/>
  <c r="S70" i="5"/>
  <c r="T70" i="5"/>
  <c r="C71" i="5"/>
  <c r="D71" i="5"/>
  <c r="E71" i="5"/>
  <c r="F71" i="5"/>
  <c r="H71" i="5"/>
  <c r="I71" i="5"/>
  <c r="N71" i="5"/>
  <c r="Q71" i="5"/>
  <c r="S71" i="5" s="1"/>
  <c r="R71" i="5"/>
  <c r="T71" i="5"/>
  <c r="C72" i="5"/>
  <c r="D72" i="5"/>
  <c r="E72" i="5"/>
  <c r="F72" i="5"/>
  <c r="H72" i="5"/>
  <c r="L72" i="5" s="1"/>
  <c r="I72" i="5"/>
  <c r="N72" i="5"/>
  <c r="R72" i="5"/>
  <c r="Q72" i="5" s="1"/>
  <c r="S72" i="5" s="1"/>
  <c r="T72" i="5"/>
  <c r="C73" i="5"/>
  <c r="D73" i="5"/>
  <c r="E73" i="5"/>
  <c r="F73" i="5"/>
  <c r="H73" i="5"/>
  <c r="I73" i="5"/>
  <c r="N73" i="5"/>
  <c r="R73" i="5"/>
  <c r="Q73" i="5" s="1"/>
  <c r="S73" i="5" s="1"/>
  <c r="T73" i="5"/>
  <c r="C74" i="5"/>
  <c r="D74" i="5"/>
  <c r="E74" i="5"/>
  <c r="F74" i="5"/>
  <c r="H74" i="5"/>
  <c r="I74" i="5"/>
  <c r="N74" i="5"/>
  <c r="R74" i="5"/>
  <c r="Q74" i="5" s="1"/>
  <c r="S74" i="5" s="1"/>
  <c r="T74" i="5"/>
  <c r="C75" i="5"/>
  <c r="D75" i="5"/>
  <c r="E75" i="5"/>
  <c r="F75" i="5"/>
  <c r="H75" i="5"/>
  <c r="I75" i="5"/>
  <c r="N75" i="5"/>
  <c r="Q75" i="5"/>
  <c r="S75" i="5" s="1"/>
  <c r="R75" i="5"/>
  <c r="T75" i="5"/>
  <c r="C76" i="5"/>
  <c r="D76" i="5"/>
  <c r="E76" i="5"/>
  <c r="E1062" i="5" s="1"/>
  <c r="F76" i="5"/>
  <c r="H76" i="5"/>
  <c r="I76" i="5"/>
  <c r="N76" i="5"/>
  <c r="R76" i="5"/>
  <c r="Q76" i="5" s="1"/>
  <c r="S76" i="5" s="1"/>
  <c r="T76" i="5"/>
  <c r="C77" i="5"/>
  <c r="D77" i="5"/>
  <c r="E77" i="5"/>
  <c r="F77" i="5"/>
  <c r="H77" i="5"/>
  <c r="I77" i="5"/>
  <c r="N77" i="5"/>
  <c r="R77" i="5"/>
  <c r="Q77" i="5" s="1"/>
  <c r="S77" i="5"/>
  <c r="T77" i="5"/>
  <c r="C78" i="5"/>
  <c r="D78" i="5"/>
  <c r="E78" i="5"/>
  <c r="F78" i="5"/>
  <c r="H78" i="5"/>
  <c r="I78" i="5"/>
  <c r="L78" i="5"/>
  <c r="N78" i="5"/>
  <c r="R78" i="5"/>
  <c r="Q78" i="5" s="1"/>
  <c r="S78" i="5"/>
  <c r="T78" i="5"/>
  <c r="C79" i="5"/>
  <c r="D79" i="5"/>
  <c r="E79" i="5"/>
  <c r="F79" i="5"/>
  <c r="L79" i="5" s="1"/>
  <c r="H79" i="5"/>
  <c r="I79" i="5"/>
  <c r="N79" i="5"/>
  <c r="Q79" i="5"/>
  <c r="R79" i="5"/>
  <c r="S79" i="5"/>
  <c r="T79" i="5"/>
  <c r="C80" i="5"/>
  <c r="D80" i="5"/>
  <c r="E80" i="5"/>
  <c r="L80" i="5" s="1"/>
  <c r="F80" i="5"/>
  <c r="H80" i="5"/>
  <c r="I80" i="5"/>
  <c r="N80" i="5"/>
  <c r="R80" i="5"/>
  <c r="Q80" i="5" s="1"/>
  <c r="S80" i="5" s="1"/>
  <c r="T80" i="5"/>
  <c r="C81" i="5"/>
  <c r="D81" i="5"/>
  <c r="E81" i="5"/>
  <c r="F81" i="5"/>
  <c r="H81" i="5"/>
  <c r="I81" i="5"/>
  <c r="N81" i="5"/>
  <c r="R81" i="5"/>
  <c r="Q81" i="5" s="1"/>
  <c r="T81" i="5"/>
  <c r="C82" i="5"/>
  <c r="D82" i="5"/>
  <c r="E82" i="5"/>
  <c r="F82" i="5"/>
  <c r="H82" i="5"/>
  <c r="I82" i="5"/>
  <c r="N82" i="5"/>
  <c r="N1062" i="5" s="1"/>
  <c r="R82" i="5"/>
  <c r="Q82" i="5" s="1"/>
  <c r="S82" i="5"/>
  <c r="T82" i="5"/>
  <c r="C83" i="5"/>
  <c r="D83" i="5"/>
  <c r="E83" i="5"/>
  <c r="L83" i="5" s="1"/>
  <c r="F83" i="5"/>
  <c r="H83" i="5"/>
  <c r="I83" i="5"/>
  <c r="N83" i="5"/>
  <c r="R83" i="5"/>
  <c r="Q83" i="5" s="1"/>
  <c r="S83" i="5"/>
  <c r="T83" i="5"/>
  <c r="C84" i="5"/>
  <c r="D84" i="5"/>
  <c r="E84" i="5"/>
  <c r="F84" i="5"/>
  <c r="H84" i="5"/>
  <c r="I84" i="5"/>
  <c r="L84" i="5"/>
  <c r="N84" i="5"/>
  <c r="R84" i="5"/>
  <c r="Q84" i="5" s="1"/>
  <c r="S84" i="5" s="1"/>
  <c r="T84" i="5"/>
  <c r="C85" i="5"/>
  <c r="D85" i="5"/>
  <c r="E85" i="5"/>
  <c r="F85" i="5"/>
  <c r="H85" i="5"/>
  <c r="I85" i="5"/>
  <c r="N85" i="5"/>
  <c r="R85" i="5"/>
  <c r="Q85" i="5" s="1"/>
  <c r="S85" i="5" s="1"/>
  <c r="T85" i="5"/>
  <c r="C86" i="5"/>
  <c r="D86" i="5"/>
  <c r="E86" i="5"/>
  <c r="F86" i="5"/>
  <c r="H86" i="5"/>
  <c r="I86" i="5"/>
  <c r="N86" i="5"/>
  <c r="R86" i="5"/>
  <c r="Q86" i="5" s="1"/>
  <c r="S86" i="5"/>
  <c r="T86" i="5"/>
  <c r="C87" i="5"/>
  <c r="D87" i="5"/>
  <c r="E87" i="5"/>
  <c r="L87" i="5" s="1"/>
  <c r="F87" i="5"/>
  <c r="H87" i="5"/>
  <c r="I87" i="5"/>
  <c r="N87" i="5"/>
  <c r="Q87" i="5"/>
  <c r="R87" i="5"/>
  <c r="S87" i="5"/>
  <c r="T87" i="5"/>
  <c r="C88" i="5"/>
  <c r="D88" i="5"/>
  <c r="E88" i="5"/>
  <c r="F88" i="5"/>
  <c r="H88" i="5"/>
  <c r="I88" i="5"/>
  <c r="L88" i="5"/>
  <c r="N88" i="5"/>
  <c r="R88" i="5"/>
  <c r="Q88" i="5" s="1"/>
  <c r="S88" i="5" s="1"/>
  <c r="T88" i="5"/>
  <c r="C89" i="5"/>
  <c r="D89" i="5"/>
  <c r="E89" i="5"/>
  <c r="F89" i="5"/>
  <c r="H89" i="5"/>
  <c r="I89" i="5"/>
  <c r="N89" i="5"/>
  <c r="Q89" i="5"/>
  <c r="S89" i="5" s="1"/>
  <c r="R89" i="5"/>
  <c r="T89" i="5"/>
  <c r="C90" i="5"/>
  <c r="D90" i="5"/>
  <c r="E90" i="5"/>
  <c r="F90" i="5"/>
  <c r="H90" i="5"/>
  <c r="I90" i="5"/>
  <c r="N90" i="5"/>
  <c r="R90" i="5"/>
  <c r="Q90" i="5" s="1"/>
  <c r="S90" i="5" s="1"/>
  <c r="T90" i="5"/>
  <c r="C91" i="5"/>
  <c r="D91" i="5"/>
  <c r="E91" i="5"/>
  <c r="F91" i="5"/>
  <c r="H91" i="5"/>
  <c r="I91" i="5"/>
  <c r="I1063" i="5" s="1"/>
  <c r="N91" i="5"/>
  <c r="Q91" i="5"/>
  <c r="S91" i="5" s="1"/>
  <c r="R91" i="5"/>
  <c r="T91" i="5"/>
  <c r="C92" i="5"/>
  <c r="D92" i="5"/>
  <c r="L92" i="5" s="1"/>
  <c r="E92" i="5"/>
  <c r="F92" i="5"/>
  <c r="H92" i="5"/>
  <c r="I92" i="5"/>
  <c r="N92" i="5"/>
  <c r="R92" i="5"/>
  <c r="Q92" i="5" s="1"/>
  <c r="S92" i="5"/>
  <c r="T92" i="5"/>
  <c r="C93" i="5"/>
  <c r="L93" i="5" s="1"/>
  <c r="D93" i="5"/>
  <c r="E93" i="5"/>
  <c r="F93" i="5"/>
  <c r="H93" i="5"/>
  <c r="I93" i="5"/>
  <c r="N93" i="5"/>
  <c r="Q93" i="5"/>
  <c r="S93" i="5" s="1"/>
  <c r="R93" i="5"/>
  <c r="T93" i="5"/>
  <c r="C94" i="5"/>
  <c r="D94" i="5"/>
  <c r="E94" i="5"/>
  <c r="F94" i="5"/>
  <c r="H94" i="5"/>
  <c r="I94" i="5"/>
  <c r="N94" i="5"/>
  <c r="R94" i="5"/>
  <c r="Q94" i="5" s="1"/>
  <c r="S94" i="5"/>
  <c r="T94" i="5"/>
  <c r="C95" i="5"/>
  <c r="D95" i="5"/>
  <c r="E95" i="5"/>
  <c r="F95" i="5"/>
  <c r="H95" i="5"/>
  <c r="I95" i="5"/>
  <c r="N95" i="5"/>
  <c r="Q95" i="5"/>
  <c r="S95" i="5" s="1"/>
  <c r="R95" i="5"/>
  <c r="T95" i="5"/>
  <c r="C96" i="5"/>
  <c r="D96" i="5"/>
  <c r="E96" i="5"/>
  <c r="F96" i="5"/>
  <c r="H96" i="5"/>
  <c r="L96" i="5" s="1"/>
  <c r="I96" i="5"/>
  <c r="N96" i="5"/>
  <c r="R96" i="5"/>
  <c r="Q96" i="5" s="1"/>
  <c r="S96" i="5" s="1"/>
  <c r="T96" i="5"/>
  <c r="C97" i="5"/>
  <c r="D97" i="5"/>
  <c r="E97" i="5"/>
  <c r="F97" i="5"/>
  <c r="H97" i="5"/>
  <c r="I97" i="5"/>
  <c r="N97" i="5"/>
  <c r="Q97" i="5"/>
  <c r="R97" i="5"/>
  <c r="S97" i="5"/>
  <c r="T97" i="5"/>
  <c r="C98" i="5"/>
  <c r="D98" i="5"/>
  <c r="E98" i="5"/>
  <c r="F98" i="5"/>
  <c r="H98" i="5"/>
  <c r="I98" i="5"/>
  <c r="L98" i="5"/>
  <c r="N98" i="5"/>
  <c r="R98" i="5"/>
  <c r="Q98" i="5" s="1"/>
  <c r="S98" i="5"/>
  <c r="T98" i="5"/>
  <c r="C99" i="5"/>
  <c r="D99" i="5"/>
  <c r="E99" i="5"/>
  <c r="F99" i="5"/>
  <c r="L99" i="5" s="1"/>
  <c r="H99" i="5"/>
  <c r="I99" i="5"/>
  <c r="N99" i="5"/>
  <c r="R99" i="5"/>
  <c r="Q99" i="5" s="1"/>
  <c r="S99" i="5" s="1"/>
  <c r="T99" i="5"/>
  <c r="C100" i="5"/>
  <c r="D100" i="5"/>
  <c r="L100" i="5" s="1"/>
  <c r="E100" i="5"/>
  <c r="F100" i="5"/>
  <c r="H100" i="5"/>
  <c r="I100" i="5"/>
  <c r="N100" i="5"/>
  <c r="R100" i="5"/>
  <c r="Q100" i="5" s="1"/>
  <c r="S100" i="5"/>
  <c r="T100" i="5"/>
  <c r="C101" i="5"/>
  <c r="D101" i="5"/>
  <c r="E101" i="5"/>
  <c r="F101" i="5"/>
  <c r="H101" i="5"/>
  <c r="I101" i="5"/>
  <c r="L101" i="5"/>
  <c r="N101" i="5"/>
  <c r="R101" i="5"/>
  <c r="Q101" i="5" s="1"/>
  <c r="S101" i="5" s="1"/>
  <c r="T101" i="5"/>
  <c r="C102" i="5"/>
  <c r="D102" i="5"/>
  <c r="E102" i="5"/>
  <c r="F102" i="5"/>
  <c r="H102" i="5"/>
  <c r="I102" i="5"/>
  <c r="N102" i="5"/>
  <c r="R102" i="5"/>
  <c r="Q102" i="5" s="1"/>
  <c r="S102" i="5"/>
  <c r="T102" i="5"/>
  <c r="C103" i="5"/>
  <c r="L103" i="5" s="1"/>
  <c r="D103" i="5"/>
  <c r="E103" i="5"/>
  <c r="F103" i="5"/>
  <c r="H103" i="5"/>
  <c r="I103" i="5"/>
  <c r="N103" i="5"/>
  <c r="Q103" i="5"/>
  <c r="R103" i="5"/>
  <c r="S103" i="5"/>
  <c r="T103" i="5"/>
  <c r="C104" i="5"/>
  <c r="D104" i="5"/>
  <c r="E104" i="5"/>
  <c r="F104" i="5"/>
  <c r="H104" i="5"/>
  <c r="I104" i="5"/>
  <c r="L104" i="5"/>
  <c r="N104" i="5"/>
  <c r="R104" i="5"/>
  <c r="Q104" i="5" s="1"/>
  <c r="S104" i="5" s="1"/>
  <c r="T104" i="5"/>
  <c r="C105" i="5"/>
  <c r="D105" i="5"/>
  <c r="E105" i="5"/>
  <c r="F105" i="5"/>
  <c r="H105" i="5"/>
  <c r="I105" i="5"/>
  <c r="N105" i="5"/>
  <c r="R105" i="5"/>
  <c r="Q105" i="5" s="1"/>
  <c r="S105" i="5" s="1"/>
  <c r="T105" i="5"/>
  <c r="C106" i="5"/>
  <c r="D106" i="5"/>
  <c r="E106" i="5"/>
  <c r="F106" i="5"/>
  <c r="H106" i="5"/>
  <c r="I106" i="5"/>
  <c r="N106" i="5"/>
  <c r="R106" i="5"/>
  <c r="Q106" i="5" s="1"/>
  <c r="S106" i="5"/>
  <c r="T106" i="5"/>
  <c r="C107" i="5"/>
  <c r="L107" i="5" s="1"/>
  <c r="D107" i="5"/>
  <c r="E107" i="5"/>
  <c r="F107" i="5"/>
  <c r="H107" i="5"/>
  <c r="I107" i="5"/>
  <c r="N107" i="5"/>
  <c r="Q107" i="5"/>
  <c r="R107" i="5"/>
  <c r="S107" i="5"/>
  <c r="T107" i="5"/>
  <c r="C108" i="5"/>
  <c r="D108" i="5"/>
  <c r="E108" i="5"/>
  <c r="F108" i="5"/>
  <c r="H108" i="5"/>
  <c r="I108" i="5"/>
  <c r="L108" i="5"/>
  <c r="N108" i="5"/>
  <c r="R108" i="5"/>
  <c r="Q108" i="5" s="1"/>
  <c r="S108" i="5"/>
  <c r="T108" i="5"/>
  <c r="C109" i="5"/>
  <c r="L109" i="5" s="1"/>
  <c r="D109" i="5"/>
  <c r="E109" i="5"/>
  <c r="F109" i="5"/>
  <c r="H109" i="5"/>
  <c r="I109" i="5"/>
  <c r="N109" i="5"/>
  <c r="Q109" i="5"/>
  <c r="R109" i="5"/>
  <c r="T109" i="5"/>
  <c r="C110" i="5"/>
  <c r="D110" i="5"/>
  <c r="E110" i="5"/>
  <c r="F110" i="5"/>
  <c r="H110" i="5"/>
  <c r="I110" i="5"/>
  <c r="N110" i="5"/>
  <c r="R110" i="5"/>
  <c r="Q110" i="5" s="1"/>
  <c r="S110" i="5"/>
  <c r="T110" i="5"/>
  <c r="C111" i="5"/>
  <c r="D111" i="5"/>
  <c r="E111" i="5"/>
  <c r="F111" i="5"/>
  <c r="H111" i="5"/>
  <c r="I111" i="5"/>
  <c r="L111" i="5"/>
  <c r="N111" i="5"/>
  <c r="R111" i="5"/>
  <c r="Q111" i="5" s="1"/>
  <c r="S111" i="5"/>
  <c r="T111" i="5"/>
  <c r="C112" i="5"/>
  <c r="D112" i="5"/>
  <c r="E112" i="5"/>
  <c r="L112" i="5" s="1"/>
  <c r="F112" i="5"/>
  <c r="H112" i="5"/>
  <c r="I112" i="5"/>
  <c r="N112" i="5"/>
  <c r="R112" i="5"/>
  <c r="Q112" i="5" s="1"/>
  <c r="S112" i="5" s="1"/>
  <c r="T112" i="5"/>
  <c r="C113" i="5"/>
  <c r="L113" i="5" s="1"/>
  <c r="D113" i="5"/>
  <c r="E113" i="5"/>
  <c r="F113" i="5"/>
  <c r="H113" i="5"/>
  <c r="I113" i="5"/>
  <c r="N113" i="5"/>
  <c r="Q113" i="5"/>
  <c r="S113" i="5" s="1"/>
  <c r="R113" i="5"/>
  <c r="T113" i="5"/>
  <c r="C114" i="5"/>
  <c r="D114" i="5"/>
  <c r="E114" i="5"/>
  <c r="F114" i="5"/>
  <c r="H114" i="5"/>
  <c r="I114" i="5"/>
  <c r="N114" i="5"/>
  <c r="R114" i="5"/>
  <c r="Q114" i="5" s="1"/>
  <c r="S114" i="5" s="1"/>
  <c r="T114" i="5"/>
  <c r="C115" i="5"/>
  <c r="D115" i="5"/>
  <c r="E115" i="5"/>
  <c r="F115" i="5"/>
  <c r="H115" i="5"/>
  <c r="I115" i="5"/>
  <c r="N115" i="5"/>
  <c r="Q115" i="5"/>
  <c r="S115" i="5" s="1"/>
  <c r="R115" i="5"/>
  <c r="T115" i="5"/>
  <c r="C116" i="5"/>
  <c r="D116" i="5"/>
  <c r="E116" i="5"/>
  <c r="F116" i="5"/>
  <c r="H116" i="5"/>
  <c r="I116" i="5"/>
  <c r="N116" i="5"/>
  <c r="R116" i="5"/>
  <c r="Q116" i="5" s="1"/>
  <c r="S116" i="5"/>
  <c r="T116" i="5"/>
  <c r="C117" i="5"/>
  <c r="D117" i="5"/>
  <c r="L117" i="5" s="1"/>
  <c r="E117" i="5"/>
  <c r="F117" i="5"/>
  <c r="H117" i="5"/>
  <c r="I117" i="5"/>
  <c r="N117" i="5"/>
  <c r="R117" i="5"/>
  <c r="Q117" i="5" s="1"/>
  <c r="S117" i="5"/>
  <c r="T117" i="5"/>
  <c r="C118" i="5"/>
  <c r="D118" i="5"/>
  <c r="E118" i="5"/>
  <c r="F118" i="5"/>
  <c r="H118" i="5"/>
  <c r="I118" i="5"/>
  <c r="L118" i="5"/>
  <c r="N118" i="5"/>
  <c r="R118" i="5"/>
  <c r="Q118" i="5" s="1"/>
  <c r="S118" i="5" s="1"/>
  <c r="T118" i="5"/>
  <c r="C119" i="5"/>
  <c r="L119" i="5" s="1"/>
  <c r="D119" i="5"/>
  <c r="E119" i="5"/>
  <c r="F119" i="5"/>
  <c r="H119" i="5"/>
  <c r="I119" i="5"/>
  <c r="N119" i="5"/>
  <c r="Q119" i="5"/>
  <c r="S119" i="5" s="1"/>
  <c r="R119" i="5"/>
  <c r="T119" i="5"/>
  <c r="C120" i="5"/>
  <c r="D120" i="5"/>
  <c r="E120" i="5"/>
  <c r="E1066" i="5" s="1"/>
  <c r="F120" i="5"/>
  <c r="H120" i="5"/>
  <c r="I120" i="5"/>
  <c r="N120" i="5"/>
  <c r="R120" i="5"/>
  <c r="Q120" i="5" s="1"/>
  <c r="S120" i="5" s="1"/>
  <c r="T120" i="5"/>
  <c r="C121" i="5"/>
  <c r="L121" i="5" s="1"/>
  <c r="D121" i="5"/>
  <c r="E121" i="5"/>
  <c r="F121" i="5"/>
  <c r="H121" i="5"/>
  <c r="I121" i="5"/>
  <c r="N121" i="5"/>
  <c r="Q121" i="5"/>
  <c r="S121" i="5" s="1"/>
  <c r="R121" i="5"/>
  <c r="T121" i="5"/>
  <c r="C122" i="5"/>
  <c r="D122" i="5"/>
  <c r="E122" i="5"/>
  <c r="F122" i="5"/>
  <c r="H122" i="5"/>
  <c r="I122" i="5"/>
  <c r="N122" i="5"/>
  <c r="R122" i="5"/>
  <c r="Q122" i="5" s="1"/>
  <c r="S122" i="5" s="1"/>
  <c r="T122" i="5"/>
  <c r="C123" i="5"/>
  <c r="D123" i="5"/>
  <c r="E123" i="5"/>
  <c r="F123" i="5"/>
  <c r="H123" i="5"/>
  <c r="I123" i="5"/>
  <c r="N123" i="5"/>
  <c r="Q123" i="5"/>
  <c r="S123" i="5" s="1"/>
  <c r="R123" i="5"/>
  <c r="T123" i="5"/>
  <c r="C124" i="5"/>
  <c r="D124" i="5"/>
  <c r="E124" i="5"/>
  <c r="F124" i="5"/>
  <c r="H124" i="5"/>
  <c r="H1066" i="5" s="1"/>
  <c r="I124" i="5"/>
  <c r="N124" i="5"/>
  <c r="R124" i="5"/>
  <c r="Q124" i="5" s="1"/>
  <c r="S124" i="5"/>
  <c r="T124" i="5"/>
  <c r="C125" i="5"/>
  <c r="D125" i="5"/>
  <c r="L125" i="5" s="1"/>
  <c r="E125" i="5"/>
  <c r="F125" i="5"/>
  <c r="H125" i="5"/>
  <c r="I125" i="5"/>
  <c r="N125" i="5"/>
  <c r="R125" i="5"/>
  <c r="Q125" i="5" s="1"/>
  <c r="S125" i="5"/>
  <c r="T125" i="5"/>
  <c r="C126" i="5"/>
  <c r="D126" i="5"/>
  <c r="E126" i="5"/>
  <c r="F126" i="5"/>
  <c r="H126" i="5"/>
  <c r="I126" i="5"/>
  <c r="L126" i="5"/>
  <c r="N126" i="5"/>
  <c r="R126" i="5"/>
  <c r="Q126" i="5" s="1"/>
  <c r="S126" i="5"/>
  <c r="T126" i="5"/>
  <c r="C127" i="5"/>
  <c r="D127" i="5"/>
  <c r="E127" i="5"/>
  <c r="F127" i="5"/>
  <c r="F1066" i="5" s="1"/>
  <c r="H127" i="5"/>
  <c r="I127" i="5"/>
  <c r="N127" i="5"/>
  <c r="R127" i="5"/>
  <c r="Q127" i="5" s="1"/>
  <c r="S127" i="5"/>
  <c r="T127" i="5"/>
  <c r="C128" i="5"/>
  <c r="D128" i="5"/>
  <c r="E128" i="5"/>
  <c r="F128" i="5"/>
  <c r="H128" i="5"/>
  <c r="I128" i="5"/>
  <c r="L128" i="5"/>
  <c r="N128" i="5"/>
  <c r="R128" i="5"/>
  <c r="Q128" i="5" s="1"/>
  <c r="S128" i="5" s="1"/>
  <c r="T128" i="5"/>
  <c r="C129" i="5"/>
  <c r="D129" i="5"/>
  <c r="E129" i="5"/>
  <c r="F129" i="5"/>
  <c r="H129" i="5"/>
  <c r="I129" i="5"/>
  <c r="N129" i="5"/>
  <c r="Q129" i="5"/>
  <c r="S129" i="5" s="1"/>
  <c r="R129" i="5"/>
  <c r="T129" i="5"/>
  <c r="C130" i="5"/>
  <c r="D130" i="5"/>
  <c r="E130" i="5"/>
  <c r="F130" i="5"/>
  <c r="H130" i="5"/>
  <c r="I130" i="5"/>
  <c r="N130" i="5"/>
  <c r="R130" i="5"/>
  <c r="Q130" i="5" s="1"/>
  <c r="S130" i="5"/>
  <c r="T130" i="5"/>
  <c r="C131" i="5"/>
  <c r="D131" i="5"/>
  <c r="E131" i="5"/>
  <c r="F131" i="5"/>
  <c r="H131" i="5"/>
  <c r="I131" i="5"/>
  <c r="L131" i="5"/>
  <c r="N131" i="5"/>
  <c r="Q131" i="5"/>
  <c r="S131" i="5" s="1"/>
  <c r="R131" i="5"/>
  <c r="T131" i="5"/>
  <c r="C132" i="5"/>
  <c r="D132" i="5"/>
  <c r="E132" i="5"/>
  <c r="F132" i="5"/>
  <c r="H132" i="5"/>
  <c r="I132" i="5"/>
  <c r="N132" i="5"/>
  <c r="R132" i="5"/>
  <c r="Q132" i="5" s="1"/>
  <c r="S132" i="5"/>
  <c r="T132" i="5"/>
  <c r="C133" i="5"/>
  <c r="D133" i="5"/>
  <c r="L133" i="5" s="1"/>
  <c r="E133" i="5"/>
  <c r="F133" i="5"/>
  <c r="H133" i="5"/>
  <c r="I133" i="5"/>
  <c r="N133" i="5"/>
  <c r="R133" i="5"/>
  <c r="T133" i="5"/>
  <c r="C134" i="5"/>
  <c r="D134" i="5"/>
  <c r="E134" i="5"/>
  <c r="F134" i="5"/>
  <c r="H134" i="5"/>
  <c r="I134" i="5"/>
  <c r="L134" i="5"/>
  <c r="N134" i="5"/>
  <c r="R134" i="5"/>
  <c r="Q134" i="5" s="1"/>
  <c r="S134" i="5" s="1"/>
  <c r="T134" i="5"/>
  <c r="C135" i="5"/>
  <c r="D135" i="5"/>
  <c r="E135" i="5"/>
  <c r="L135" i="5" s="1"/>
  <c r="F135" i="5"/>
  <c r="H135" i="5"/>
  <c r="I135" i="5"/>
  <c r="N135" i="5"/>
  <c r="Q135" i="5"/>
  <c r="R135" i="5"/>
  <c r="S135" i="5"/>
  <c r="T135" i="5"/>
  <c r="T1067" i="5" s="1"/>
  <c r="C136" i="5"/>
  <c r="D136" i="5"/>
  <c r="E136" i="5"/>
  <c r="F136" i="5"/>
  <c r="H136" i="5"/>
  <c r="I136" i="5"/>
  <c r="N136" i="5"/>
  <c r="R136" i="5"/>
  <c r="Q136" i="5" s="1"/>
  <c r="S136" i="5"/>
  <c r="T136" i="5"/>
  <c r="C137" i="5"/>
  <c r="D137" i="5"/>
  <c r="E137" i="5"/>
  <c r="F137" i="5"/>
  <c r="H137" i="5"/>
  <c r="I137" i="5"/>
  <c r="L137" i="5"/>
  <c r="N137" i="5"/>
  <c r="R137" i="5"/>
  <c r="Q137" i="5" s="1"/>
  <c r="S137" i="5" s="1"/>
  <c r="T137" i="5"/>
  <c r="C138" i="5"/>
  <c r="D138" i="5"/>
  <c r="E138" i="5"/>
  <c r="F138" i="5"/>
  <c r="H138" i="5"/>
  <c r="I138" i="5"/>
  <c r="N138" i="5"/>
  <c r="R138" i="5"/>
  <c r="Q138" i="5" s="1"/>
  <c r="S138" i="5"/>
  <c r="T138" i="5"/>
  <c r="C139" i="5"/>
  <c r="D139" i="5"/>
  <c r="E139" i="5"/>
  <c r="F139" i="5"/>
  <c r="H139" i="5"/>
  <c r="I139" i="5"/>
  <c r="N139" i="5"/>
  <c r="R139" i="5"/>
  <c r="Q139" i="5" s="1"/>
  <c r="S139" i="5" s="1"/>
  <c r="T139" i="5"/>
  <c r="C140" i="5"/>
  <c r="D140" i="5"/>
  <c r="E140" i="5"/>
  <c r="F140" i="5"/>
  <c r="H140" i="5"/>
  <c r="I140" i="5"/>
  <c r="L140" i="5" s="1"/>
  <c r="N140" i="5"/>
  <c r="R140" i="5"/>
  <c r="Q140" i="5" s="1"/>
  <c r="S140" i="5" s="1"/>
  <c r="T140" i="5"/>
  <c r="C141" i="5"/>
  <c r="D141" i="5"/>
  <c r="E141" i="5"/>
  <c r="F141" i="5"/>
  <c r="H141" i="5"/>
  <c r="I141" i="5"/>
  <c r="I1067" i="5" s="1"/>
  <c r="N141" i="5"/>
  <c r="R141" i="5"/>
  <c r="Q141" i="5" s="1"/>
  <c r="S141" i="5"/>
  <c r="T141" i="5"/>
  <c r="C142" i="5"/>
  <c r="D142" i="5"/>
  <c r="L142" i="5" s="1"/>
  <c r="E142" i="5"/>
  <c r="F142" i="5"/>
  <c r="H142" i="5"/>
  <c r="I142" i="5"/>
  <c r="N142" i="5"/>
  <c r="R142" i="5"/>
  <c r="Q142" i="5" s="1"/>
  <c r="S142" i="5"/>
  <c r="T142" i="5"/>
  <c r="C143" i="5"/>
  <c r="D143" i="5"/>
  <c r="E143" i="5"/>
  <c r="F143" i="5"/>
  <c r="H143" i="5"/>
  <c r="I143" i="5"/>
  <c r="L143" i="5"/>
  <c r="N143" i="5"/>
  <c r="R143" i="5"/>
  <c r="Q143" i="5" s="1"/>
  <c r="S143" i="5"/>
  <c r="T143" i="5"/>
  <c r="C144" i="5"/>
  <c r="D144" i="5"/>
  <c r="E144" i="5"/>
  <c r="F144" i="5"/>
  <c r="H144" i="5"/>
  <c r="I144" i="5"/>
  <c r="L144" i="5"/>
  <c r="N144" i="5"/>
  <c r="R144" i="5"/>
  <c r="Q144" i="5" s="1"/>
  <c r="S144" i="5" s="1"/>
  <c r="T144" i="5"/>
  <c r="C145" i="5"/>
  <c r="D145" i="5"/>
  <c r="E145" i="5"/>
  <c r="F145" i="5"/>
  <c r="H145" i="5"/>
  <c r="H1068" i="5" s="1"/>
  <c r="I145" i="5"/>
  <c r="N145" i="5"/>
  <c r="R145" i="5"/>
  <c r="Q145" i="5" s="1"/>
  <c r="S145" i="5" s="1"/>
  <c r="T145" i="5"/>
  <c r="C146" i="5"/>
  <c r="D146" i="5"/>
  <c r="E146" i="5"/>
  <c r="F146" i="5"/>
  <c r="H146" i="5"/>
  <c r="I146" i="5"/>
  <c r="L146" i="5" s="1"/>
  <c r="N146" i="5"/>
  <c r="R146" i="5"/>
  <c r="Q146" i="5" s="1"/>
  <c r="S146" i="5" s="1"/>
  <c r="T146" i="5"/>
  <c r="C147" i="5"/>
  <c r="L147" i="5" s="1"/>
  <c r="D147" i="5"/>
  <c r="E147" i="5"/>
  <c r="F147" i="5"/>
  <c r="H147" i="5"/>
  <c r="I147" i="5"/>
  <c r="N147" i="5"/>
  <c r="R147" i="5"/>
  <c r="Q147" i="5" s="1"/>
  <c r="T147" i="5"/>
  <c r="C148" i="5"/>
  <c r="D148" i="5"/>
  <c r="E148" i="5"/>
  <c r="F148" i="5"/>
  <c r="H148" i="5"/>
  <c r="I148" i="5"/>
  <c r="I1068" i="5" s="1"/>
  <c r="N148" i="5"/>
  <c r="R148" i="5"/>
  <c r="Q148" i="5" s="1"/>
  <c r="S148" i="5" s="1"/>
  <c r="T148" i="5"/>
  <c r="C149" i="5"/>
  <c r="D149" i="5"/>
  <c r="E149" i="5"/>
  <c r="F149" i="5"/>
  <c r="H149" i="5"/>
  <c r="I149" i="5"/>
  <c r="N149" i="5"/>
  <c r="Q149" i="5"/>
  <c r="S149" i="5" s="1"/>
  <c r="R149" i="5"/>
  <c r="T149" i="5"/>
  <c r="C150" i="5"/>
  <c r="D150" i="5"/>
  <c r="L150" i="5" s="1"/>
  <c r="E150" i="5"/>
  <c r="F150" i="5"/>
  <c r="H150" i="5"/>
  <c r="I150" i="5"/>
  <c r="N150" i="5"/>
  <c r="R150" i="5"/>
  <c r="Q150" i="5" s="1"/>
  <c r="S150" i="5" s="1"/>
  <c r="T150" i="5"/>
  <c r="C151" i="5"/>
  <c r="D151" i="5"/>
  <c r="E151" i="5"/>
  <c r="F151" i="5"/>
  <c r="H151" i="5"/>
  <c r="I151" i="5"/>
  <c r="N151" i="5"/>
  <c r="Q151" i="5"/>
  <c r="R151" i="5"/>
  <c r="S151" i="5"/>
  <c r="T151" i="5"/>
  <c r="C152" i="5"/>
  <c r="D152" i="5"/>
  <c r="E152" i="5"/>
  <c r="F152" i="5"/>
  <c r="H152" i="5"/>
  <c r="I152" i="5"/>
  <c r="L152" i="5"/>
  <c r="N152" i="5"/>
  <c r="R152" i="5"/>
  <c r="Q152" i="5" s="1"/>
  <c r="S152" i="5" s="1"/>
  <c r="T152" i="5"/>
  <c r="C153" i="5"/>
  <c r="D153" i="5"/>
  <c r="E153" i="5"/>
  <c r="F153" i="5"/>
  <c r="H153" i="5"/>
  <c r="I153" i="5"/>
  <c r="N153" i="5"/>
  <c r="R153" i="5"/>
  <c r="Q153" i="5" s="1"/>
  <c r="S153" i="5"/>
  <c r="T153" i="5"/>
  <c r="C154" i="5"/>
  <c r="L154" i="5" s="1"/>
  <c r="D154" i="5"/>
  <c r="E154" i="5"/>
  <c r="F154" i="5"/>
  <c r="H154" i="5"/>
  <c r="I154" i="5"/>
  <c r="N154" i="5"/>
  <c r="R154" i="5"/>
  <c r="Q154" i="5" s="1"/>
  <c r="S154" i="5" s="1"/>
  <c r="T154" i="5"/>
  <c r="C155" i="5"/>
  <c r="D155" i="5"/>
  <c r="E155" i="5"/>
  <c r="F155" i="5"/>
  <c r="H155" i="5"/>
  <c r="I155" i="5"/>
  <c r="N155" i="5"/>
  <c r="Q155" i="5"/>
  <c r="S155" i="5" s="1"/>
  <c r="R155" i="5"/>
  <c r="T155" i="5"/>
  <c r="C156" i="5"/>
  <c r="D156" i="5"/>
  <c r="E156" i="5"/>
  <c r="F156" i="5"/>
  <c r="H156" i="5"/>
  <c r="I156" i="5"/>
  <c r="N156" i="5"/>
  <c r="Q156" i="5"/>
  <c r="S156" i="5" s="1"/>
  <c r="R156" i="5"/>
  <c r="T156" i="5"/>
  <c r="C157" i="5"/>
  <c r="L157" i="5" s="1"/>
  <c r="D157" i="5"/>
  <c r="E157" i="5"/>
  <c r="F157" i="5"/>
  <c r="H157" i="5"/>
  <c r="I157" i="5"/>
  <c r="N157" i="5"/>
  <c r="R157" i="5"/>
  <c r="Q157" i="5" s="1"/>
  <c r="S157" i="5"/>
  <c r="T157" i="5"/>
  <c r="C158" i="5"/>
  <c r="D158" i="5"/>
  <c r="E158" i="5"/>
  <c r="F158" i="5"/>
  <c r="H158" i="5"/>
  <c r="I158" i="5"/>
  <c r="L158" i="5"/>
  <c r="N158" i="5"/>
  <c r="R158" i="5"/>
  <c r="Q158" i="5" s="1"/>
  <c r="S158" i="5" s="1"/>
  <c r="T158" i="5"/>
  <c r="C159" i="5"/>
  <c r="D159" i="5"/>
  <c r="E159" i="5"/>
  <c r="F159" i="5"/>
  <c r="F1069" i="5" s="1"/>
  <c r="H159" i="5"/>
  <c r="I159" i="5"/>
  <c r="N159" i="5"/>
  <c r="R159" i="5"/>
  <c r="Q159" i="5" s="1"/>
  <c r="S159" i="5" s="1"/>
  <c r="T159" i="5"/>
  <c r="C160" i="5"/>
  <c r="D160" i="5"/>
  <c r="E160" i="5"/>
  <c r="F160" i="5"/>
  <c r="H160" i="5"/>
  <c r="I160" i="5"/>
  <c r="N160" i="5"/>
  <c r="R160" i="5"/>
  <c r="Q160" i="5" s="1"/>
  <c r="S160" i="5" s="1"/>
  <c r="T160" i="5"/>
  <c r="C161" i="5"/>
  <c r="L161" i="5" s="1"/>
  <c r="D161" i="5"/>
  <c r="E161" i="5"/>
  <c r="F161" i="5"/>
  <c r="H161" i="5"/>
  <c r="I161" i="5"/>
  <c r="N161" i="5"/>
  <c r="R161" i="5"/>
  <c r="Q161" i="5" s="1"/>
  <c r="S161" i="5"/>
  <c r="T161" i="5"/>
  <c r="C162" i="5"/>
  <c r="D162" i="5"/>
  <c r="E162" i="5"/>
  <c r="F162" i="5"/>
  <c r="H162" i="5"/>
  <c r="I162" i="5"/>
  <c r="L162" i="5"/>
  <c r="N162" i="5"/>
  <c r="R162" i="5"/>
  <c r="Q162" i="5" s="1"/>
  <c r="S162" i="5" s="1"/>
  <c r="T162" i="5"/>
  <c r="C163" i="5"/>
  <c r="D163" i="5"/>
  <c r="E163" i="5"/>
  <c r="E1069" i="5" s="1"/>
  <c r="F163" i="5"/>
  <c r="H163" i="5"/>
  <c r="I163" i="5"/>
  <c r="N163" i="5"/>
  <c r="R163" i="5"/>
  <c r="Q163" i="5" s="1"/>
  <c r="S163" i="5" s="1"/>
  <c r="T163" i="5"/>
  <c r="C164" i="5"/>
  <c r="D164" i="5"/>
  <c r="E164" i="5"/>
  <c r="F164" i="5"/>
  <c r="H164" i="5"/>
  <c r="I164" i="5"/>
  <c r="N164" i="5"/>
  <c r="R164" i="5"/>
  <c r="Q164" i="5" s="1"/>
  <c r="S164" i="5" s="1"/>
  <c r="T164" i="5"/>
  <c r="C165" i="5"/>
  <c r="D165" i="5"/>
  <c r="E165" i="5"/>
  <c r="F165" i="5"/>
  <c r="H165" i="5"/>
  <c r="I165" i="5"/>
  <c r="N165" i="5"/>
  <c r="Q165" i="5"/>
  <c r="R165" i="5"/>
  <c r="S165" i="5"/>
  <c r="T165" i="5"/>
  <c r="C166" i="5"/>
  <c r="D166" i="5"/>
  <c r="E166" i="5"/>
  <c r="F166" i="5"/>
  <c r="H166" i="5"/>
  <c r="I166" i="5"/>
  <c r="L166" i="5"/>
  <c r="N166" i="5"/>
  <c r="R166" i="5"/>
  <c r="Q166" i="5" s="1"/>
  <c r="S166" i="5" s="1"/>
  <c r="T166" i="5"/>
  <c r="C167" i="5"/>
  <c r="D167" i="5"/>
  <c r="E167" i="5"/>
  <c r="F167" i="5"/>
  <c r="H167" i="5"/>
  <c r="I167" i="5"/>
  <c r="N167" i="5"/>
  <c r="R167" i="5"/>
  <c r="Q167" i="5" s="1"/>
  <c r="S167" i="5" s="1"/>
  <c r="T167" i="5"/>
  <c r="C168" i="5"/>
  <c r="D168" i="5"/>
  <c r="E168" i="5"/>
  <c r="F168" i="5"/>
  <c r="H168" i="5"/>
  <c r="I168" i="5"/>
  <c r="N168" i="5"/>
  <c r="R168" i="5"/>
  <c r="Q168" i="5" s="1"/>
  <c r="S168" i="5" s="1"/>
  <c r="T168" i="5"/>
  <c r="C169" i="5"/>
  <c r="D169" i="5"/>
  <c r="E169" i="5"/>
  <c r="F169" i="5"/>
  <c r="H169" i="5"/>
  <c r="I169" i="5"/>
  <c r="N169" i="5"/>
  <c r="R169" i="5"/>
  <c r="Q169" i="5" s="1"/>
  <c r="S169" i="5" s="1"/>
  <c r="T169" i="5"/>
  <c r="C170" i="5"/>
  <c r="D170" i="5"/>
  <c r="L170" i="5" s="1"/>
  <c r="E170" i="5"/>
  <c r="F170" i="5"/>
  <c r="H170" i="5"/>
  <c r="I170" i="5"/>
  <c r="N170" i="5"/>
  <c r="R170" i="5"/>
  <c r="Q170" i="5" s="1"/>
  <c r="S170" i="5" s="1"/>
  <c r="T170" i="5"/>
  <c r="C171" i="5"/>
  <c r="D171" i="5"/>
  <c r="E171" i="5"/>
  <c r="F171" i="5"/>
  <c r="H171" i="5"/>
  <c r="I171" i="5"/>
  <c r="N171" i="5"/>
  <c r="Q171" i="5"/>
  <c r="S171" i="5" s="1"/>
  <c r="R171" i="5"/>
  <c r="T171" i="5"/>
  <c r="C172" i="5"/>
  <c r="D172" i="5"/>
  <c r="E172" i="5"/>
  <c r="F172" i="5"/>
  <c r="H172" i="5"/>
  <c r="I172" i="5"/>
  <c r="N172" i="5"/>
  <c r="R172" i="5"/>
  <c r="T172" i="5"/>
  <c r="C173" i="5"/>
  <c r="D173" i="5"/>
  <c r="E173" i="5"/>
  <c r="F173" i="5"/>
  <c r="H173" i="5"/>
  <c r="I173" i="5"/>
  <c r="N173" i="5"/>
  <c r="Q173" i="5"/>
  <c r="S173" i="5" s="1"/>
  <c r="R173" i="5"/>
  <c r="T173" i="5"/>
  <c r="C174" i="5"/>
  <c r="D174" i="5"/>
  <c r="E174" i="5"/>
  <c r="F174" i="5"/>
  <c r="H174" i="5"/>
  <c r="L174" i="5" s="1"/>
  <c r="I174" i="5"/>
  <c r="N174" i="5"/>
  <c r="R174" i="5"/>
  <c r="Q174" i="5" s="1"/>
  <c r="S174" i="5" s="1"/>
  <c r="T174" i="5"/>
  <c r="C175" i="5"/>
  <c r="L175" i="5" s="1"/>
  <c r="D175" i="5"/>
  <c r="E175" i="5"/>
  <c r="F175" i="5"/>
  <c r="H175" i="5"/>
  <c r="I175" i="5"/>
  <c r="N175" i="5"/>
  <c r="R175" i="5"/>
  <c r="Q175" i="5" s="1"/>
  <c r="S175" i="5" s="1"/>
  <c r="T175" i="5"/>
  <c r="C176" i="5"/>
  <c r="D176" i="5"/>
  <c r="E176" i="5"/>
  <c r="F176" i="5"/>
  <c r="H176" i="5"/>
  <c r="I176" i="5"/>
  <c r="L176" i="5" s="1"/>
  <c r="N176" i="5"/>
  <c r="Q176" i="5"/>
  <c r="S176" i="5" s="1"/>
  <c r="R176" i="5"/>
  <c r="T176" i="5"/>
  <c r="C177" i="5"/>
  <c r="D177" i="5"/>
  <c r="E177" i="5"/>
  <c r="F177" i="5"/>
  <c r="H177" i="5"/>
  <c r="I177" i="5"/>
  <c r="N177" i="5"/>
  <c r="R177" i="5"/>
  <c r="Q177" i="5" s="1"/>
  <c r="S177" i="5"/>
  <c r="T177" i="5"/>
  <c r="C178" i="5"/>
  <c r="L178" i="5" s="1"/>
  <c r="D178" i="5"/>
  <c r="E178" i="5"/>
  <c r="F178" i="5"/>
  <c r="H178" i="5"/>
  <c r="I178" i="5"/>
  <c r="N178" i="5"/>
  <c r="R178" i="5"/>
  <c r="Q178" i="5" s="1"/>
  <c r="S178" i="5" s="1"/>
  <c r="T178" i="5"/>
  <c r="C179" i="5"/>
  <c r="D179" i="5"/>
  <c r="E179" i="5"/>
  <c r="F179" i="5"/>
  <c r="H179" i="5"/>
  <c r="I179" i="5"/>
  <c r="N179" i="5"/>
  <c r="R179" i="5"/>
  <c r="Q179" i="5" s="1"/>
  <c r="S179" i="5" s="1"/>
  <c r="T179" i="5"/>
  <c r="C180" i="5"/>
  <c r="D180" i="5"/>
  <c r="E180" i="5"/>
  <c r="F180" i="5"/>
  <c r="H180" i="5"/>
  <c r="I180" i="5"/>
  <c r="N180" i="5"/>
  <c r="R180" i="5"/>
  <c r="Q180" i="5" s="1"/>
  <c r="T180" i="5"/>
  <c r="C181" i="5"/>
  <c r="D181" i="5"/>
  <c r="E181" i="5"/>
  <c r="F181" i="5"/>
  <c r="H181" i="5"/>
  <c r="I181" i="5"/>
  <c r="N181" i="5"/>
  <c r="Q181" i="5"/>
  <c r="S181" i="5" s="1"/>
  <c r="R181" i="5"/>
  <c r="T181" i="5"/>
  <c r="C182" i="5"/>
  <c r="D182" i="5"/>
  <c r="E182" i="5"/>
  <c r="F182" i="5"/>
  <c r="H182" i="5"/>
  <c r="I182" i="5"/>
  <c r="N182" i="5"/>
  <c r="R182" i="5"/>
  <c r="T182" i="5"/>
  <c r="C183" i="5"/>
  <c r="D183" i="5"/>
  <c r="E183" i="5"/>
  <c r="F183" i="5"/>
  <c r="H183" i="5"/>
  <c r="I183" i="5"/>
  <c r="N183" i="5"/>
  <c r="Q183" i="5"/>
  <c r="S183" i="5" s="1"/>
  <c r="R183" i="5"/>
  <c r="T183" i="5"/>
  <c r="C184" i="5"/>
  <c r="D184" i="5"/>
  <c r="E184" i="5"/>
  <c r="F184" i="5"/>
  <c r="H184" i="5"/>
  <c r="I184" i="5"/>
  <c r="N184" i="5"/>
  <c r="R184" i="5"/>
  <c r="Q184" i="5" s="1"/>
  <c r="S184" i="5" s="1"/>
  <c r="T184" i="5"/>
  <c r="C185" i="5"/>
  <c r="D185" i="5"/>
  <c r="E185" i="5"/>
  <c r="F185" i="5"/>
  <c r="H185" i="5"/>
  <c r="I185" i="5"/>
  <c r="N185" i="5"/>
  <c r="R185" i="5"/>
  <c r="Q185" i="5" s="1"/>
  <c r="S185" i="5" s="1"/>
  <c r="T185" i="5"/>
  <c r="C186" i="5"/>
  <c r="D186" i="5"/>
  <c r="E186" i="5"/>
  <c r="F186" i="5"/>
  <c r="H186" i="5"/>
  <c r="I186" i="5"/>
  <c r="L186" i="5" s="1"/>
  <c r="N186" i="5"/>
  <c r="Q186" i="5"/>
  <c r="S186" i="5" s="1"/>
  <c r="R186" i="5"/>
  <c r="T186" i="5"/>
  <c r="C187" i="5"/>
  <c r="D187" i="5"/>
  <c r="E187" i="5"/>
  <c r="F187" i="5"/>
  <c r="H187" i="5"/>
  <c r="I187" i="5"/>
  <c r="N187" i="5"/>
  <c r="Q187" i="5"/>
  <c r="S187" i="5" s="1"/>
  <c r="R187" i="5"/>
  <c r="T187" i="5"/>
  <c r="C188" i="5"/>
  <c r="L188" i="5" s="1"/>
  <c r="D188" i="5"/>
  <c r="E188" i="5"/>
  <c r="F188" i="5"/>
  <c r="H188" i="5"/>
  <c r="I188" i="5"/>
  <c r="N188" i="5"/>
  <c r="Q188" i="5"/>
  <c r="S188" i="5" s="1"/>
  <c r="R188" i="5"/>
  <c r="T188" i="5"/>
  <c r="C189" i="5"/>
  <c r="D189" i="5"/>
  <c r="E189" i="5"/>
  <c r="F189" i="5"/>
  <c r="H189" i="5"/>
  <c r="I189" i="5"/>
  <c r="N189" i="5"/>
  <c r="R189" i="5"/>
  <c r="Q189" i="5" s="1"/>
  <c r="S189" i="5" s="1"/>
  <c r="T189" i="5"/>
  <c r="C190" i="5"/>
  <c r="D190" i="5"/>
  <c r="E190" i="5"/>
  <c r="F190" i="5"/>
  <c r="H190" i="5"/>
  <c r="L190" i="5" s="1"/>
  <c r="I190" i="5"/>
  <c r="N190" i="5"/>
  <c r="R190" i="5"/>
  <c r="Q190" i="5" s="1"/>
  <c r="S190" i="5" s="1"/>
  <c r="T190" i="5"/>
  <c r="C191" i="5"/>
  <c r="D191" i="5"/>
  <c r="E191" i="5"/>
  <c r="E1071" i="5" s="1"/>
  <c r="F191" i="5"/>
  <c r="F1071" i="5" s="1"/>
  <c r="H191" i="5"/>
  <c r="I191" i="5"/>
  <c r="N191" i="5"/>
  <c r="R191" i="5"/>
  <c r="Q191" i="5" s="1"/>
  <c r="S191" i="5"/>
  <c r="T191" i="5"/>
  <c r="C192" i="5"/>
  <c r="L192" i="5" s="1"/>
  <c r="D192" i="5"/>
  <c r="E192" i="5"/>
  <c r="F192" i="5"/>
  <c r="H192" i="5"/>
  <c r="I192" i="5"/>
  <c r="N192" i="5"/>
  <c r="Q192" i="5"/>
  <c r="S192" i="5" s="1"/>
  <c r="R192" i="5"/>
  <c r="T192" i="5"/>
  <c r="C193" i="5"/>
  <c r="D193" i="5"/>
  <c r="E193" i="5"/>
  <c r="F193" i="5"/>
  <c r="H193" i="5"/>
  <c r="I193" i="5"/>
  <c r="I1072" i="5" s="1"/>
  <c r="N193" i="5"/>
  <c r="R193" i="5"/>
  <c r="Q193" i="5" s="1"/>
  <c r="S193" i="5" s="1"/>
  <c r="T193" i="5"/>
  <c r="C194" i="5"/>
  <c r="D194" i="5"/>
  <c r="E194" i="5"/>
  <c r="F194" i="5"/>
  <c r="H194" i="5"/>
  <c r="I194" i="5"/>
  <c r="N194" i="5"/>
  <c r="Q194" i="5"/>
  <c r="S194" i="5" s="1"/>
  <c r="R194" i="5"/>
  <c r="T194" i="5"/>
  <c r="C195" i="5"/>
  <c r="D195" i="5"/>
  <c r="E195" i="5"/>
  <c r="E1072" i="5" s="1"/>
  <c r="F195" i="5"/>
  <c r="H195" i="5"/>
  <c r="I195" i="5"/>
  <c r="N195" i="5"/>
  <c r="R195" i="5"/>
  <c r="Q195" i="5" s="1"/>
  <c r="S195" i="5" s="1"/>
  <c r="T195" i="5"/>
  <c r="T1072" i="5" s="1"/>
  <c r="C196" i="5"/>
  <c r="L196" i="5" s="1"/>
  <c r="D196" i="5"/>
  <c r="E196" i="5"/>
  <c r="F196" i="5"/>
  <c r="H196" i="5"/>
  <c r="I196" i="5"/>
  <c r="N196" i="5"/>
  <c r="Q196" i="5"/>
  <c r="S196" i="5" s="1"/>
  <c r="R196" i="5"/>
  <c r="R1072" i="5" s="1"/>
  <c r="T196" i="5"/>
  <c r="C197" i="5"/>
  <c r="D197" i="5"/>
  <c r="E197" i="5"/>
  <c r="F197" i="5"/>
  <c r="H197" i="5"/>
  <c r="I197" i="5"/>
  <c r="N197" i="5"/>
  <c r="Q197" i="5"/>
  <c r="R197" i="5"/>
  <c r="S197" i="5"/>
  <c r="T197" i="5"/>
  <c r="C198" i="5"/>
  <c r="D198" i="5"/>
  <c r="L198" i="5" s="1"/>
  <c r="E198" i="5"/>
  <c r="F198" i="5"/>
  <c r="H198" i="5"/>
  <c r="I198" i="5"/>
  <c r="N198" i="5"/>
  <c r="R198" i="5"/>
  <c r="Q198" i="5" s="1"/>
  <c r="S198" i="5" s="1"/>
  <c r="T198" i="5"/>
  <c r="C199" i="5"/>
  <c r="L199" i="5" s="1"/>
  <c r="D199" i="5"/>
  <c r="E199" i="5"/>
  <c r="F199" i="5"/>
  <c r="H199" i="5"/>
  <c r="I199" i="5"/>
  <c r="N199" i="5"/>
  <c r="R199" i="5"/>
  <c r="Q199" i="5" s="1"/>
  <c r="S199" i="5"/>
  <c r="T199" i="5"/>
  <c r="C200" i="5"/>
  <c r="D200" i="5"/>
  <c r="E200" i="5"/>
  <c r="F200" i="5"/>
  <c r="H200" i="5"/>
  <c r="I200" i="5"/>
  <c r="L200" i="5"/>
  <c r="N200" i="5"/>
  <c r="R200" i="5"/>
  <c r="Q200" i="5" s="1"/>
  <c r="S200" i="5" s="1"/>
  <c r="T200" i="5"/>
  <c r="C201" i="5"/>
  <c r="D201" i="5"/>
  <c r="E201" i="5"/>
  <c r="F201" i="5"/>
  <c r="H201" i="5"/>
  <c r="H1072" i="5" s="1"/>
  <c r="I201" i="5"/>
  <c r="N201" i="5"/>
  <c r="R201" i="5"/>
  <c r="Q201" i="5" s="1"/>
  <c r="S201" i="5" s="1"/>
  <c r="T201" i="5"/>
  <c r="C202" i="5"/>
  <c r="D202" i="5"/>
  <c r="E202" i="5"/>
  <c r="F202" i="5"/>
  <c r="H202" i="5"/>
  <c r="I202" i="5"/>
  <c r="N202" i="5"/>
  <c r="Q202" i="5"/>
  <c r="S202" i="5" s="1"/>
  <c r="R202" i="5"/>
  <c r="T202" i="5"/>
  <c r="C203" i="5"/>
  <c r="D203" i="5"/>
  <c r="E203" i="5"/>
  <c r="F203" i="5"/>
  <c r="H203" i="5"/>
  <c r="I203" i="5"/>
  <c r="N203" i="5"/>
  <c r="Q203" i="5"/>
  <c r="S203" i="5" s="1"/>
  <c r="R203" i="5"/>
  <c r="T203" i="5"/>
  <c r="C204" i="5"/>
  <c r="D204" i="5"/>
  <c r="E204" i="5"/>
  <c r="F204" i="5"/>
  <c r="H204" i="5"/>
  <c r="I204" i="5"/>
  <c r="N204" i="5"/>
  <c r="R204" i="5"/>
  <c r="T204" i="5"/>
  <c r="C205" i="5"/>
  <c r="D205" i="5"/>
  <c r="E205" i="5"/>
  <c r="F205" i="5"/>
  <c r="H205" i="5"/>
  <c r="I205" i="5"/>
  <c r="N205" i="5"/>
  <c r="Q205" i="5"/>
  <c r="S205" i="5" s="1"/>
  <c r="R205" i="5"/>
  <c r="T205" i="5"/>
  <c r="C206" i="5"/>
  <c r="D206" i="5"/>
  <c r="E206" i="5"/>
  <c r="F206" i="5"/>
  <c r="H206" i="5"/>
  <c r="I206" i="5"/>
  <c r="N206" i="5"/>
  <c r="R206" i="5"/>
  <c r="Q206" i="5" s="1"/>
  <c r="S206" i="5" s="1"/>
  <c r="T206" i="5"/>
  <c r="C207" i="5"/>
  <c r="D207" i="5"/>
  <c r="E207" i="5"/>
  <c r="F207" i="5"/>
  <c r="H207" i="5"/>
  <c r="I207" i="5"/>
  <c r="N207" i="5"/>
  <c r="R207" i="5"/>
  <c r="Q207" i="5" s="1"/>
  <c r="S207" i="5"/>
  <c r="T207" i="5"/>
  <c r="C208" i="5"/>
  <c r="L208" i="5" s="1"/>
  <c r="D208" i="5"/>
  <c r="E208" i="5"/>
  <c r="F208" i="5"/>
  <c r="H208" i="5"/>
  <c r="I208" i="5"/>
  <c r="N208" i="5"/>
  <c r="R208" i="5"/>
  <c r="Q208" i="5" s="1"/>
  <c r="S208" i="5" s="1"/>
  <c r="T208" i="5"/>
  <c r="C209" i="5"/>
  <c r="D209" i="5"/>
  <c r="E209" i="5"/>
  <c r="F209" i="5"/>
  <c r="H209" i="5"/>
  <c r="I209" i="5"/>
  <c r="N209" i="5"/>
  <c r="R209" i="5"/>
  <c r="Q209" i="5" s="1"/>
  <c r="S209" i="5"/>
  <c r="T209" i="5"/>
  <c r="C210" i="5"/>
  <c r="D210" i="5"/>
  <c r="E210" i="5"/>
  <c r="F210" i="5"/>
  <c r="H210" i="5"/>
  <c r="I210" i="5"/>
  <c r="L210" i="5"/>
  <c r="N210" i="5"/>
  <c r="R210" i="5"/>
  <c r="Q210" i="5" s="1"/>
  <c r="S210" i="5" s="1"/>
  <c r="T210" i="5"/>
  <c r="C211" i="5"/>
  <c r="L211" i="5" s="1"/>
  <c r="D211" i="5"/>
  <c r="E211" i="5"/>
  <c r="F211" i="5"/>
  <c r="H211" i="5"/>
  <c r="I211" i="5"/>
  <c r="N211" i="5"/>
  <c r="Q211" i="5"/>
  <c r="S211" i="5" s="1"/>
  <c r="R211" i="5"/>
  <c r="T211" i="5"/>
  <c r="C212" i="5"/>
  <c r="D212" i="5"/>
  <c r="E212" i="5"/>
  <c r="F212" i="5"/>
  <c r="H212" i="5"/>
  <c r="I212" i="5"/>
  <c r="I1073" i="5" s="1"/>
  <c r="N212" i="5"/>
  <c r="R212" i="5"/>
  <c r="Q212" i="5" s="1"/>
  <c r="S212" i="5" s="1"/>
  <c r="T212" i="5"/>
  <c r="C213" i="5"/>
  <c r="D213" i="5"/>
  <c r="E213" i="5"/>
  <c r="F213" i="5"/>
  <c r="H213" i="5"/>
  <c r="I213" i="5"/>
  <c r="N213" i="5"/>
  <c r="Q213" i="5"/>
  <c r="S213" i="5" s="1"/>
  <c r="R213" i="5"/>
  <c r="T213" i="5"/>
  <c r="C214" i="5"/>
  <c r="D214" i="5"/>
  <c r="L214" i="5" s="1"/>
  <c r="E214" i="5"/>
  <c r="F214" i="5"/>
  <c r="H214" i="5"/>
  <c r="I214" i="5"/>
  <c r="N214" i="5"/>
  <c r="R214" i="5"/>
  <c r="Q214" i="5" s="1"/>
  <c r="S214" i="5" s="1"/>
  <c r="T214" i="5"/>
  <c r="C215" i="5"/>
  <c r="D215" i="5"/>
  <c r="E215" i="5"/>
  <c r="F215" i="5"/>
  <c r="H215" i="5"/>
  <c r="I215" i="5"/>
  <c r="N215" i="5"/>
  <c r="R215" i="5"/>
  <c r="Q215" i="5" s="1"/>
  <c r="S215" i="5" s="1"/>
  <c r="T215" i="5"/>
  <c r="C216" i="5"/>
  <c r="D216" i="5"/>
  <c r="E216" i="5"/>
  <c r="F216" i="5"/>
  <c r="H216" i="5"/>
  <c r="I216" i="5"/>
  <c r="L216" i="5" s="1"/>
  <c r="N216" i="5"/>
  <c r="R216" i="5"/>
  <c r="Q216" i="5" s="1"/>
  <c r="S216" i="5" s="1"/>
  <c r="T216" i="5"/>
  <c r="C217" i="5"/>
  <c r="D217" i="5"/>
  <c r="E217" i="5"/>
  <c r="F217" i="5"/>
  <c r="H217" i="5"/>
  <c r="I217" i="5"/>
  <c r="N217" i="5"/>
  <c r="R217" i="5"/>
  <c r="Q217" i="5" s="1"/>
  <c r="S217" i="5"/>
  <c r="T217" i="5"/>
  <c r="C218" i="5"/>
  <c r="D218" i="5"/>
  <c r="E218" i="5"/>
  <c r="F218" i="5"/>
  <c r="H218" i="5"/>
  <c r="I218" i="5"/>
  <c r="N218" i="5"/>
  <c r="Q218" i="5"/>
  <c r="S218" i="5" s="1"/>
  <c r="R218" i="5"/>
  <c r="T218" i="5"/>
  <c r="C219" i="5"/>
  <c r="D219" i="5"/>
  <c r="E219" i="5"/>
  <c r="F219" i="5"/>
  <c r="H219" i="5"/>
  <c r="I219" i="5"/>
  <c r="N219" i="5"/>
  <c r="Q219" i="5"/>
  <c r="S219" i="5" s="1"/>
  <c r="R219" i="5"/>
  <c r="T219" i="5"/>
  <c r="C220" i="5"/>
  <c r="D220" i="5"/>
  <c r="E220" i="5"/>
  <c r="F220" i="5"/>
  <c r="H220" i="5"/>
  <c r="I220" i="5"/>
  <c r="N220" i="5"/>
  <c r="Q220" i="5"/>
  <c r="S220" i="5" s="1"/>
  <c r="R220" i="5"/>
  <c r="T220" i="5"/>
  <c r="C221" i="5"/>
  <c r="D221" i="5"/>
  <c r="E221" i="5"/>
  <c r="F221" i="5"/>
  <c r="H221" i="5"/>
  <c r="I221" i="5"/>
  <c r="N221" i="5"/>
  <c r="R221" i="5"/>
  <c r="Q221" i="5" s="1"/>
  <c r="S221" i="5"/>
  <c r="T221" i="5"/>
  <c r="C222" i="5"/>
  <c r="D222" i="5"/>
  <c r="E222" i="5"/>
  <c r="F222" i="5"/>
  <c r="H222" i="5"/>
  <c r="I222" i="5"/>
  <c r="L222" i="5"/>
  <c r="N222" i="5"/>
  <c r="R222" i="5"/>
  <c r="Q222" i="5" s="1"/>
  <c r="S222" i="5" s="1"/>
  <c r="T222" i="5"/>
  <c r="C223" i="5"/>
  <c r="D223" i="5"/>
  <c r="E223" i="5"/>
  <c r="F223" i="5"/>
  <c r="H223" i="5"/>
  <c r="I223" i="5"/>
  <c r="N223" i="5"/>
  <c r="R223" i="5"/>
  <c r="Q223" i="5" s="1"/>
  <c r="S223" i="5" s="1"/>
  <c r="T223" i="5"/>
  <c r="C224" i="5"/>
  <c r="D224" i="5"/>
  <c r="E224" i="5"/>
  <c r="F224" i="5"/>
  <c r="H224" i="5"/>
  <c r="I224" i="5"/>
  <c r="L224" i="5" s="1"/>
  <c r="N224" i="5"/>
  <c r="R224" i="5"/>
  <c r="Q224" i="5" s="1"/>
  <c r="S224" i="5" s="1"/>
  <c r="T224" i="5"/>
  <c r="C225" i="5"/>
  <c r="D225" i="5"/>
  <c r="E225" i="5"/>
  <c r="F225" i="5"/>
  <c r="H225" i="5"/>
  <c r="I225" i="5"/>
  <c r="N225" i="5"/>
  <c r="R225" i="5"/>
  <c r="Q225" i="5" s="1"/>
  <c r="S225" i="5"/>
  <c r="T225" i="5"/>
  <c r="C226" i="5"/>
  <c r="D226" i="5"/>
  <c r="E226" i="5"/>
  <c r="F226" i="5"/>
  <c r="H226" i="5"/>
  <c r="I226" i="5"/>
  <c r="N226" i="5"/>
  <c r="Q226" i="5"/>
  <c r="S226" i="5" s="1"/>
  <c r="R226" i="5"/>
  <c r="T226" i="5"/>
  <c r="C227" i="5"/>
  <c r="D227" i="5"/>
  <c r="E227" i="5"/>
  <c r="F227" i="5"/>
  <c r="H227" i="5"/>
  <c r="I227" i="5"/>
  <c r="N227" i="5"/>
  <c r="R227" i="5"/>
  <c r="Q227" i="5" s="1"/>
  <c r="S227" i="5" s="1"/>
  <c r="T227" i="5"/>
  <c r="T1074" i="5" s="1"/>
  <c r="C228" i="5"/>
  <c r="D228" i="5"/>
  <c r="E228" i="5"/>
  <c r="F228" i="5"/>
  <c r="H228" i="5"/>
  <c r="I228" i="5"/>
  <c r="N228" i="5"/>
  <c r="Q228" i="5"/>
  <c r="S228" i="5" s="1"/>
  <c r="R228" i="5"/>
  <c r="T228" i="5"/>
  <c r="C229" i="5"/>
  <c r="D229" i="5"/>
  <c r="E229" i="5"/>
  <c r="F229" i="5"/>
  <c r="H229" i="5"/>
  <c r="I229" i="5"/>
  <c r="N229" i="5"/>
  <c r="Q229" i="5"/>
  <c r="R229" i="5"/>
  <c r="S229" i="5"/>
  <c r="T229" i="5"/>
  <c r="C230" i="5"/>
  <c r="D230" i="5"/>
  <c r="E230" i="5"/>
  <c r="F230" i="5"/>
  <c r="H230" i="5"/>
  <c r="I230" i="5"/>
  <c r="L230" i="5"/>
  <c r="N230" i="5"/>
  <c r="R230" i="5"/>
  <c r="Q230" i="5" s="1"/>
  <c r="S230" i="5" s="1"/>
  <c r="T230" i="5"/>
  <c r="C231" i="5"/>
  <c r="D231" i="5"/>
  <c r="E231" i="5"/>
  <c r="F231" i="5"/>
  <c r="H231" i="5"/>
  <c r="I231" i="5"/>
  <c r="N231" i="5"/>
  <c r="R231" i="5"/>
  <c r="T231" i="5"/>
  <c r="C232" i="5"/>
  <c r="D232" i="5"/>
  <c r="E232" i="5"/>
  <c r="F232" i="5"/>
  <c r="H232" i="5"/>
  <c r="I232" i="5"/>
  <c r="L232" i="5" s="1"/>
  <c r="N232" i="5"/>
  <c r="R232" i="5"/>
  <c r="Q232" i="5" s="1"/>
  <c r="S232" i="5" s="1"/>
  <c r="T232" i="5"/>
  <c r="C233" i="5"/>
  <c r="D233" i="5"/>
  <c r="E233" i="5"/>
  <c r="F233" i="5"/>
  <c r="H233" i="5"/>
  <c r="I233" i="5"/>
  <c r="N233" i="5"/>
  <c r="R233" i="5"/>
  <c r="Q233" i="5" s="1"/>
  <c r="S233" i="5"/>
  <c r="T233" i="5"/>
  <c r="C234" i="5"/>
  <c r="D234" i="5"/>
  <c r="E234" i="5"/>
  <c r="F234" i="5"/>
  <c r="H234" i="5"/>
  <c r="I234" i="5"/>
  <c r="N234" i="5"/>
  <c r="R234" i="5"/>
  <c r="Q234" i="5" s="1"/>
  <c r="S234" i="5" s="1"/>
  <c r="T234" i="5"/>
  <c r="C235" i="5"/>
  <c r="D235" i="5"/>
  <c r="E235" i="5"/>
  <c r="F235" i="5"/>
  <c r="H235" i="5"/>
  <c r="I235" i="5"/>
  <c r="N235" i="5"/>
  <c r="Q235" i="5"/>
  <c r="S235" i="5" s="1"/>
  <c r="R235" i="5"/>
  <c r="T235" i="5"/>
  <c r="C236" i="5"/>
  <c r="D236" i="5"/>
  <c r="E236" i="5"/>
  <c r="F236" i="5"/>
  <c r="H236" i="5"/>
  <c r="I236" i="5"/>
  <c r="N236" i="5"/>
  <c r="Q236" i="5"/>
  <c r="S236" i="5" s="1"/>
  <c r="R236" i="5"/>
  <c r="T236" i="5"/>
  <c r="C237" i="5"/>
  <c r="D237" i="5"/>
  <c r="E237" i="5"/>
  <c r="F237" i="5"/>
  <c r="H237" i="5"/>
  <c r="I237" i="5"/>
  <c r="N237" i="5"/>
  <c r="Q237" i="5"/>
  <c r="S237" i="5" s="1"/>
  <c r="R237" i="5"/>
  <c r="T237" i="5"/>
  <c r="C238" i="5"/>
  <c r="D238" i="5"/>
  <c r="E238" i="5"/>
  <c r="F238" i="5"/>
  <c r="H238" i="5"/>
  <c r="L238" i="5" s="1"/>
  <c r="I238" i="5"/>
  <c r="N238" i="5"/>
  <c r="R238" i="5"/>
  <c r="Q238" i="5" s="1"/>
  <c r="S238" i="5" s="1"/>
  <c r="T238" i="5"/>
  <c r="C239" i="5"/>
  <c r="L239" i="5" s="1"/>
  <c r="D239" i="5"/>
  <c r="E239" i="5"/>
  <c r="F239" i="5"/>
  <c r="H239" i="5"/>
  <c r="I239" i="5"/>
  <c r="N239" i="5"/>
  <c r="R239" i="5"/>
  <c r="Q239" i="5" s="1"/>
  <c r="S239" i="5"/>
  <c r="T239" i="5"/>
  <c r="T1075" i="5" s="1"/>
  <c r="C240" i="5"/>
  <c r="D240" i="5"/>
  <c r="E240" i="5"/>
  <c r="F240" i="5"/>
  <c r="H240" i="5"/>
  <c r="I240" i="5"/>
  <c r="L240" i="5"/>
  <c r="N240" i="5"/>
  <c r="N1076" i="5" s="1"/>
  <c r="Q240" i="5"/>
  <c r="S240" i="5" s="1"/>
  <c r="R240" i="5"/>
  <c r="T240" i="5"/>
  <c r="C241" i="5"/>
  <c r="D241" i="5"/>
  <c r="E241" i="5"/>
  <c r="F241" i="5"/>
  <c r="F1076" i="5" s="1"/>
  <c r="H241" i="5"/>
  <c r="H1076" i="5" s="1"/>
  <c r="I241" i="5"/>
  <c r="N241" i="5"/>
  <c r="R241" i="5"/>
  <c r="Q241" i="5" s="1"/>
  <c r="S241" i="5"/>
  <c r="T241" i="5"/>
  <c r="C242" i="5"/>
  <c r="D242" i="5"/>
  <c r="E242" i="5"/>
  <c r="F242" i="5"/>
  <c r="H242" i="5"/>
  <c r="I242" i="5"/>
  <c r="N242" i="5"/>
  <c r="R242" i="5"/>
  <c r="Q242" i="5" s="1"/>
  <c r="S242" i="5" s="1"/>
  <c r="T242" i="5"/>
  <c r="C243" i="5"/>
  <c r="D243" i="5"/>
  <c r="E243" i="5"/>
  <c r="F243" i="5"/>
  <c r="H243" i="5"/>
  <c r="I243" i="5"/>
  <c r="N243" i="5"/>
  <c r="Q243" i="5"/>
  <c r="S243" i="5" s="1"/>
  <c r="R243" i="5"/>
  <c r="T243" i="5"/>
  <c r="C244" i="5"/>
  <c r="D244" i="5"/>
  <c r="E244" i="5"/>
  <c r="F244" i="5"/>
  <c r="H244" i="5"/>
  <c r="I244" i="5"/>
  <c r="N244" i="5"/>
  <c r="R244" i="5"/>
  <c r="Q244" i="5" s="1"/>
  <c r="S244" i="5" s="1"/>
  <c r="T244" i="5"/>
  <c r="C245" i="5"/>
  <c r="D245" i="5"/>
  <c r="E245" i="5"/>
  <c r="F245" i="5"/>
  <c r="H245" i="5"/>
  <c r="I245" i="5"/>
  <c r="N245" i="5"/>
  <c r="Q245" i="5"/>
  <c r="R245" i="5"/>
  <c r="S245" i="5"/>
  <c r="T245" i="5"/>
  <c r="C246" i="5"/>
  <c r="D246" i="5"/>
  <c r="L246" i="5" s="1"/>
  <c r="E246" i="5"/>
  <c r="F246" i="5"/>
  <c r="H246" i="5"/>
  <c r="I246" i="5"/>
  <c r="N246" i="5"/>
  <c r="R246" i="5"/>
  <c r="Q246" i="5" s="1"/>
  <c r="S246" i="5" s="1"/>
  <c r="T246" i="5"/>
  <c r="C247" i="5"/>
  <c r="D247" i="5"/>
  <c r="E247" i="5"/>
  <c r="F247" i="5"/>
  <c r="H247" i="5"/>
  <c r="I247" i="5"/>
  <c r="N247" i="5"/>
  <c r="Q247" i="5"/>
  <c r="S247" i="5" s="1"/>
  <c r="R247" i="5"/>
  <c r="T247" i="5"/>
  <c r="C248" i="5"/>
  <c r="D248" i="5"/>
  <c r="E248" i="5"/>
  <c r="F248" i="5"/>
  <c r="H248" i="5"/>
  <c r="I248" i="5"/>
  <c r="N248" i="5"/>
  <c r="R248" i="5"/>
  <c r="Q248" i="5" s="1"/>
  <c r="S248" i="5" s="1"/>
  <c r="T248" i="5"/>
  <c r="C249" i="5"/>
  <c r="D249" i="5"/>
  <c r="E249" i="5"/>
  <c r="F249" i="5"/>
  <c r="H249" i="5"/>
  <c r="I249" i="5"/>
  <c r="N249" i="5"/>
  <c r="R249" i="5"/>
  <c r="Q249" i="5" s="1"/>
  <c r="S249" i="5"/>
  <c r="T249" i="5"/>
  <c r="C250" i="5"/>
  <c r="D250" i="5"/>
  <c r="E250" i="5"/>
  <c r="F250" i="5"/>
  <c r="H250" i="5"/>
  <c r="I250" i="5"/>
  <c r="L250" i="5"/>
  <c r="N250" i="5"/>
  <c r="Q250" i="5"/>
  <c r="S250" i="5" s="1"/>
  <c r="R250" i="5"/>
  <c r="T250" i="5"/>
  <c r="C251" i="5"/>
  <c r="D251" i="5"/>
  <c r="E251" i="5"/>
  <c r="F251" i="5"/>
  <c r="H251" i="5"/>
  <c r="I251" i="5"/>
  <c r="N251" i="5"/>
  <c r="Q251" i="5"/>
  <c r="S251" i="5" s="1"/>
  <c r="R251" i="5"/>
  <c r="T251" i="5"/>
  <c r="C252" i="5"/>
  <c r="D252" i="5"/>
  <c r="E252" i="5"/>
  <c r="F252" i="5"/>
  <c r="H252" i="5"/>
  <c r="I252" i="5"/>
  <c r="N252" i="5"/>
  <c r="R252" i="5"/>
  <c r="Q252" i="5" s="1"/>
  <c r="T252" i="5"/>
  <c r="C253" i="5"/>
  <c r="D253" i="5"/>
  <c r="E253" i="5"/>
  <c r="F253" i="5"/>
  <c r="H253" i="5"/>
  <c r="I253" i="5"/>
  <c r="N253" i="5"/>
  <c r="Q253" i="5"/>
  <c r="S253" i="5" s="1"/>
  <c r="R253" i="5"/>
  <c r="T253" i="5"/>
  <c r="C254" i="5"/>
  <c r="D254" i="5"/>
  <c r="E254" i="5"/>
  <c r="F254" i="5"/>
  <c r="H254" i="5"/>
  <c r="I254" i="5"/>
  <c r="N254" i="5"/>
  <c r="R254" i="5"/>
  <c r="Q254" i="5" s="1"/>
  <c r="S254" i="5" s="1"/>
  <c r="T254" i="5"/>
  <c r="C255" i="5"/>
  <c r="D255" i="5"/>
  <c r="E255" i="5"/>
  <c r="F255" i="5"/>
  <c r="H255" i="5"/>
  <c r="I255" i="5"/>
  <c r="N255" i="5"/>
  <c r="R255" i="5"/>
  <c r="Q255" i="5" s="1"/>
  <c r="S255" i="5" s="1"/>
  <c r="T255" i="5"/>
  <c r="C256" i="5"/>
  <c r="D256" i="5"/>
  <c r="E256" i="5"/>
  <c r="F256" i="5"/>
  <c r="H256" i="5"/>
  <c r="I256" i="5"/>
  <c r="N256" i="5"/>
  <c r="R256" i="5"/>
  <c r="Q256" i="5" s="1"/>
  <c r="S256" i="5" s="1"/>
  <c r="T256" i="5"/>
  <c r="C257" i="5"/>
  <c r="D257" i="5"/>
  <c r="E257" i="5"/>
  <c r="F257" i="5"/>
  <c r="H257" i="5"/>
  <c r="I257" i="5"/>
  <c r="N257" i="5"/>
  <c r="R257" i="5"/>
  <c r="Q257" i="5" s="1"/>
  <c r="S257" i="5" s="1"/>
  <c r="T257" i="5"/>
  <c r="C258" i="5"/>
  <c r="D258" i="5"/>
  <c r="E258" i="5"/>
  <c r="F258" i="5"/>
  <c r="H258" i="5"/>
  <c r="I258" i="5"/>
  <c r="N258" i="5"/>
  <c r="Q258" i="5"/>
  <c r="S258" i="5" s="1"/>
  <c r="R258" i="5"/>
  <c r="T258" i="5"/>
  <c r="C259" i="5"/>
  <c r="D259" i="5"/>
  <c r="E259" i="5"/>
  <c r="F259" i="5"/>
  <c r="H259" i="5"/>
  <c r="I259" i="5"/>
  <c r="N259" i="5"/>
  <c r="Q259" i="5"/>
  <c r="S259" i="5" s="1"/>
  <c r="R259" i="5"/>
  <c r="T259" i="5"/>
  <c r="C260" i="5"/>
  <c r="D260" i="5"/>
  <c r="E260" i="5"/>
  <c r="F260" i="5"/>
  <c r="H260" i="5"/>
  <c r="I260" i="5"/>
  <c r="N260" i="5"/>
  <c r="R260" i="5"/>
  <c r="Q260" i="5" s="1"/>
  <c r="S260" i="5" s="1"/>
  <c r="T260" i="5"/>
  <c r="C261" i="5"/>
  <c r="D261" i="5"/>
  <c r="E261" i="5"/>
  <c r="F261" i="5"/>
  <c r="H261" i="5"/>
  <c r="I261" i="5"/>
  <c r="N261" i="5"/>
  <c r="Q261" i="5"/>
  <c r="R261" i="5"/>
  <c r="S261" i="5"/>
  <c r="T261" i="5"/>
  <c r="C262" i="5"/>
  <c r="D262" i="5"/>
  <c r="E262" i="5"/>
  <c r="F262" i="5"/>
  <c r="H262" i="5"/>
  <c r="I262" i="5"/>
  <c r="L262" i="5"/>
  <c r="N262" i="5"/>
  <c r="R262" i="5"/>
  <c r="Q262" i="5" s="1"/>
  <c r="S262" i="5" s="1"/>
  <c r="T262" i="5"/>
  <c r="C263" i="5"/>
  <c r="D263" i="5"/>
  <c r="D1077" i="5" s="1"/>
  <c r="E263" i="5"/>
  <c r="F263" i="5"/>
  <c r="H263" i="5"/>
  <c r="I263" i="5"/>
  <c r="N263" i="5"/>
  <c r="R263" i="5"/>
  <c r="Q263" i="5" s="1"/>
  <c r="S263" i="5"/>
  <c r="T263" i="5"/>
  <c r="C264" i="5"/>
  <c r="D264" i="5"/>
  <c r="L264" i="5" s="1"/>
  <c r="E264" i="5"/>
  <c r="F264" i="5"/>
  <c r="H264" i="5"/>
  <c r="I264" i="5"/>
  <c r="N264" i="5"/>
  <c r="R264" i="5"/>
  <c r="Q264" i="5" s="1"/>
  <c r="S264" i="5" s="1"/>
  <c r="T264" i="5"/>
  <c r="C265" i="5"/>
  <c r="D265" i="5"/>
  <c r="E265" i="5"/>
  <c r="F265" i="5"/>
  <c r="H265" i="5"/>
  <c r="I265" i="5"/>
  <c r="N265" i="5"/>
  <c r="R265" i="5"/>
  <c r="T265" i="5"/>
  <c r="C266" i="5"/>
  <c r="D266" i="5"/>
  <c r="E266" i="5"/>
  <c r="F266" i="5"/>
  <c r="H266" i="5"/>
  <c r="I266" i="5"/>
  <c r="N266" i="5"/>
  <c r="R266" i="5"/>
  <c r="Q266" i="5" s="1"/>
  <c r="S266" i="5" s="1"/>
  <c r="T266" i="5"/>
  <c r="C267" i="5"/>
  <c r="D267" i="5"/>
  <c r="E267" i="5"/>
  <c r="F267" i="5"/>
  <c r="H267" i="5"/>
  <c r="I267" i="5"/>
  <c r="N267" i="5"/>
  <c r="Q267" i="5"/>
  <c r="S267" i="5" s="1"/>
  <c r="R267" i="5"/>
  <c r="T267" i="5"/>
  <c r="C268" i="5"/>
  <c r="D268" i="5"/>
  <c r="E268" i="5"/>
  <c r="F268" i="5"/>
  <c r="H268" i="5"/>
  <c r="I268" i="5"/>
  <c r="N268" i="5"/>
  <c r="R268" i="5"/>
  <c r="Q268" i="5" s="1"/>
  <c r="S268" i="5" s="1"/>
  <c r="T268" i="5"/>
  <c r="C269" i="5"/>
  <c r="D269" i="5"/>
  <c r="E269" i="5"/>
  <c r="F269" i="5"/>
  <c r="H269" i="5"/>
  <c r="I269" i="5"/>
  <c r="N269" i="5"/>
  <c r="R269" i="5"/>
  <c r="Q269" i="5" s="1"/>
  <c r="S269" i="5" s="1"/>
  <c r="T269" i="5"/>
  <c r="C270" i="5"/>
  <c r="D270" i="5"/>
  <c r="E270" i="5"/>
  <c r="F270" i="5"/>
  <c r="H270" i="5"/>
  <c r="I270" i="5"/>
  <c r="L270" i="5" s="1"/>
  <c r="N270" i="5"/>
  <c r="R270" i="5"/>
  <c r="Q270" i="5" s="1"/>
  <c r="S270" i="5" s="1"/>
  <c r="T270" i="5"/>
  <c r="C271" i="5"/>
  <c r="D271" i="5"/>
  <c r="E271" i="5"/>
  <c r="F271" i="5"/>
  <c r="H271" i="5"/>
  <c r="H1078" i="5" s="1"/>
  <c r="I271" i="5"/>
  <c r="N271" i="5"/>
  <c r="R271" i="5"/>
  <c r="Q271" i="5" s="1"/>
  <c r="S271" i="5"/>
  <c r="T271" i="5"/>
  <c r="C272" i="5"/>
  <c r="D272" i="5"/>
  <c r="E272" i="5"/>
  <c r="F272" i="5"/>
  <c r="H272" i="5"/>
  <c r="I272" i="5"/>
  <c r="N272" i="5"/>
  <c r="Q272" i="5"/>
  <c r="S272" i="5" s="1"/>
  <c r="R272" i="5"/>
  <c r="T272" i="5"/>
  <c r="C273" i="5"/>
  <c r="L273" i="5" s="1"/>
  <c r="D273" i="5"/>
  <c r="E273" i="5"/>
  <c r="F273" i="5"/>
  <c r="H273" i="5"/>
  <c r="I273" i="5"/>
  <c r="N273" i="5"/>
  <c r="R273" i="5"/>
  <c r="Q273" i="5" s="1"/>
  <c r="S273" i="5" s="1"/>
  <c r="T273" i="5"/>
  <c r="C274" i="5"/>
  <c r="D274" i="5"/>
  <c r="E274" i="5"/>
  <c r="F274" i="5"/>
  <c r="H274" i="5"/>
  <c r="I274" i="5"/>
  <c r="L274" i="5" s="1"/>
  <c r="N274" i="5"/>
  <c r="R274" i="5"/>
  <c r="Q274" i="5" s="1"/>
  <c r="S274" i="5" s="1"/>
  <c r="T274" i="5"/>
  <c r="C275" i="5"/>
  <c r="D275" i="5"/>
  <c r="E275" i="5"/>
  <c r="F275" i="5"/>
  <c r="H275" i="5"/>
  <c r="I275" i="5"/>
  <c r="N275" i="5"/>
  <c r="R275" i="5"/>
  <c r="Q275" i="5" s="1"/>
  <c r="S275" i="5" s="1"/>
  <c r="T275" i="5"/>
  <c r="C276" i="5"/>
  <c r="D276" i="5"/>
  <c r="D1079" i="5" s="1"/>
  <c r="E276" i="5"/>
  <c r="F276" i="5"/>
  <c r="H276" i="5"/>
  <c r="I276" i="5"/>
  <c r="N276" i="5"/>
  <c r="Q276" i="5"/>
  <c r="S276" i="5" s="1"/>
  <c r="R276" i="5"/>
  <c r="T276" i="5"/>
  <c r="C277" i="5"/>
  <c r="D277" i="5"/>
  <c r="E277" i="5"/>
  <c r="F277" i="5"/>
  <c r="H277" i="5"/>
  <c r="I277" i="5"/>
  <c r="N277" i="5"/>
  <c r="Q277" i="5"/>
  <c r="R277" i="5"/>
  <c r="T277" i="5"/>
  <c r="C278" i="5"/>
  <c r="D278" i="5"/>
  <c r="E278" i="5"/>
  <c r="F278" i="5"/>
  <c r="H278" i="5"/>
  <c r="I278" i="5"/>
  <c r="N278" i="5"/>
  <c r="R278" i="5"/>
  <c r="Q278" i="5" s="1"/>
  <c r="S278" i="5" s="1"/>
  <c r="T278" i="5"/>
  <c r="C279" i="5"/>
  <c r="D279" i="5"/>
  <c r="E279" i="5"/>
  <c r="F279" i="5"/>
  <c r="H279" i="5"/>
  <c r="I279" i="5"/>
  <c r="N279" i="5"/>
  <c r="R279" i="5"/>
  <c r="Q279" i="5" s="1"/>
  <c r="S279" i="5" s="1"/>
  <c r="T279" i="5"/>
  <c r="C280" i="5"/>
  <c r="D280" i="5"/>
  <c r="E280" i="5"/>
  <c r="F280" i="5"/>
  <c r="H280" i="5"/>
  <c r="I280" i="5"/>
  <c r="L280" i="5" s="1"/>
  <c r="N280" i="5"/>
  <c r="R280" i="5"/>
  <c r="Q280" i="5" s="1"/>
  <c r="S280" i="5" s="1"/>
  <c r="T280" i="5"/>
  <c r="C281" i="5"/>
  <c r="D281" i="5"/>
  <c r="E281" i="5"/>
  <c r="F281" i="5"/>
  <c r="F1079" i="5" s="1"/>
  <c r="H281" i="5"/>
  <c r="I281" i="5"/>
  <c r="N281" i="5"/>
  <c r="R281" i="5"/>
  <c r="Q281" i="5" s="1"/>
  <c r="S281" i="5"/>
  <c r="T281" i="5"/>
  <c r="C282" i="5"/>
  <c r="D282" i="5"/>
  <c r="E282" i="5"/>
  <c r="F282" i="5"/>
  <c r="H282" i="5"/>
  <c r="I282" i="5"/>
  <c r="N282" i="5"/>
  <c r="R282" i="5"/>
  <c r="Q282" i="5" s="1"/>
  <c r="S282" i="5" s="1"/>
  <c r="T282" i="5"/>
  <c r="C283" i="5"/>
  <c r="D283" i="5"/>
  <c r="E283" i="5"/>
  <c r="F283" i="5"/>
  <c r="H283" i="5"/>
  <c r="I283" i="5"/>
  <c r="N283" i="5"/>
  <c r="Q283" i="5"/>
  <c r="S283" i="5" s="1"/>
  <c r="R283" i="5"/>
  <c r="T283" i="5"/>
  <c r="C284" i="5"/>
  <c r="D284" i="5"/>
  <c r="E284" i="5"/>
  <c r="F284" i="5"/>
  <c r="H284" i="5"/>
  <c r="I284" i="5"/>
  <c r="I1079" i="5" s="1"/>
  <c r="N284" i="5"/>
  <c r="Q284" i="5"/>
  <c r="S284" i="5" s="1"/>
  <c r="R284" i="5"/>
  <c r="T284" i="5"/>
  <c r="C285" i="5"/>
  <c r="L285" i="5" s="1"/>
  <c r="D285" i="5"/>
  <c r="E285" i="5"/>
  <c r="F285" i="5"/>
  <c r="H285" i="5"/>
  <c r="I285" i="5"/>
  <c r="N285" i="5"/>
  <c r="R285" i="5"/>
  <c r="Q285" i="5" s="1"/>
  <c r="S285" i="5" s="1"/>
  <c r="T285" i="5"/>
  <c r="C286" i="5"/>
  <c r="D286" i="5"/>
  <c r="E286" i="5"/>
  <c r="F286" i="5"/>
  <c r="H286" i="5"/>
  <c r="I286" i="5"/>
  <c r="L286" i="5" s="1"/>
  <c r="N286" i="5"/>
  <c r="R286" i="5"/>
  <c r="Q286" i="5" s="1"/>
  <c r="S286" i="5" s="1"/>
  <c r="T286" i="5"/>
  <c r="C287" i="5"/>
  <c r="D287" i="5"/>
  <c r="E287" i="5"/>
  <c r="F287" i="5"/>
  <c r="H287" i="5"/>
  <c r="I287" i="5"/>
  <c r="N287" i="5"/>
  <c r="R287" i="5"/>
  <c r="Q287" i="5" s="1"/>
  <c r="S287" i="5" s="1"/>
  <c r="T287" i="5"/>
  <c r="C288" i="5"/>
  <c r="D288" i="5"/>
  <c r="E288" i="5"/>
  <c r="F288" i="5"/>
  <c r="H288" i="5"/>
  <c r="I288" i="5"/>
  <c r="N288" i="5"/>
  <c r="R288" i="5"/>
  <c r="Q288" i="5" s="1"/>
  <c r="S288" i="5" s="1"/>
  <c r="T288" i="5"/>
  <c r="C289" i="5"/>
  <c r="D289" i="5"/>
  <c r="E289" i="5"/>
  <c r="F289" i="5"/>
  <c r="H289" i="5"/>
  <c r="I289" i="5"/>
  <c r="N289" i="5"/>
  <c r="R289" i="5"/>
  <c r="T289" i="5"/>
  <c r="C290" i="5"/>
  <c r="D290" i="5"/>
  <c r="E290" i="5"/>
  <c r="F290" i="5"/>
  <c r="H290" i="5"/>
  <c r="I290" i="5"/>
  <c r="N290" i="5"/>
  <c r="R290" i="5"/>
  <c r="Q290" i="5" s="1"/>
  <c r="S290" i="5" s="1"/>
  <c r="T290" i="5"/>
  <c r="C291" i="5"/>
  <c r="D291" i="5"/>
  <c r="E291" i="5"/>
  <c r="F291" i="5"/>
  <c r="H291" i="5"/>
  <c r="I291" i="5"/>
  <c r="N291" i="5"/>
  <c r="R291" i="5"/>
  <c r="Q291" i="5" s="1"/>
  <c r="S291" i="5" s="1"/>
  <c r="T291" i="5"/>
  <c r="C292" i="5"/>
  <c r="D292" i="5"/>
  <c r="E292" i="5"/>
  <c r="F292" i="5"/>
  <c r="H292" i="5"/>
  <c r="I292" i="5"/>
  <c r="N292" i="5"/>
  <c r="Q292" i="5"/>
  <c r="S292" i="5" s="1"/>
  <c r="R292" i="5"/>
  <c r="T292" i="5"/>
  <c r="C293" i="5"/>
  <c r="D293" i="5"/>
  <c r="E293" i="5"/>
  <c r="F293" i="5"/>
  <c r="H293" i="5"/>
  <c r="I293" i="5"/>
  <c r="N293" i="5"/>
  <c r="Q293" i="5"/>
  <c r="S293" i="5" s="1"/>
  <c r="R293" i="5"/>
  <c r="T293" i="5"/>
  <c r="C294" i="5"/>
  <c r="D294" i="5"/>
  <c r="E294" i="5"/>
  <c r="F294" i="5"/>
  <c r="H294" i="5"/>
  <c r="L294" i="5" s="1"/>
  <c r="I294" i="5"/>
  <c r="N294" i="5"/>
  <c r="R294" i="5"/>
  <c r="Q294" i="5" s="1"/>
  <c r="S294" i="5" s="1"/>
  <c r="T294" i="5"/>
  <c r="C295" i="5"/>
  <c r="D295" i="5"/>
  <c r="E295" i="5"/>
  <c r="F295" i="5"/>
  <c r="H295" i="5"/>
  <c r="I295" i="5"/>
  <c r="N295" i="5"/>
  <c r="R295" i="5"/>
  <c r="Q295" i="5" s="1"/>
  <c r="S295" i="5" s="1"/>
  <c r="T295" i="5"/>
  <c r="C296" i="5"/>
  <c r="D296" i="5"/>
  <c r="E296" i="5"/>
  <c r="F296" i="5"/>
  <c r="H296" i="5"/>
  <c r="I296" i="5"/>
  <c r="N296" i="5"/>
  <c r="N1080" i="5" s="1"/>
  <c r="R296" i="5"/>
  <c r="Q296" i="5" s="1"/>
  <c r="S296" i="5" s="1"/>
  <c r="T296" i="5"/>
  <c r="C297" i="5"/>
  <c r="D297" i="5"/>
  <c r="E297" i="5"/>
  <c r="F297" i="5"/>
  <c r="F1080" i="5" s="1"/>
  <c r="H297" i="5"/>
  <c r="I297" i="5"/>
  <c r="N297" i="5"/>
  <c r="R297" i="5"/>
  <c r="Q297" i="5" s="1"/>
  <c r="S297" i="5" s="1"/>
  <c r="T297" i="5"/>
  <c r="C298" i="5"/>
  <c r="D298" i="5"/>
  <c r="E298" i="5"/>
  <c r="F298" i="5"/>
  <c r="H298" i="5"/>
  <c r="I298" i="5"/>
  <c r="N298" i="5"/>
  <c r="R298" i="5"/>
  <c r="Q298" i="5" s="1"/>
  <c r="S298" i="5" s="1"/>
  <c r="T298" i="5"/>
  <c r="C299" i="5"/>
  <c r="D299" i="5"/>
  <c r="E299" i="5"/>
  <c r="E1080" i="5" s="1"/>
  <c r="F299" i="5"/>
  <c r="H299" i="5"/>
  <c r="I299" i="5"/>
  <c r="N299" i="5"/>
  <c r="Q299" i="5"/>
  <c r="S299" i="5" s="1"/>
  <c r="R299" i="5"/>
  <c r="T299" i="5"/>
  <c r="C300" i="5"/>
  <c r="D300" i="5"/>
  <c r="D1081" i="5" s="1"/>
  <c r="E300" i="5"/>
  <c r="F300" i="5"/>
  <c r="H300" i="5"/>
  <c r="I300" i="5"/>
  <c r="N300" i="5"/>
  <c r="Q300" i="5"/>
  <c r="R300" i="5"/>
  <c r="T300" i="5"/>
  <c r="C301" i="5"/>
  <c r="D301" i="5"/>
  <c r="E301" i="5"/>
  <c r="F301" i="5"/>
  <c r="H301" i="5"/>
  <c r="I301" i="5"/>
  <c r="N301" i="5"/>
  <c r="Q301" i="5"/>
  <c r="S301" i="5" s="1"/>
  <c r="R301" i="5"/>
  <c r="T301" i="5"/>
  <c r="C302" i="5"/>
  <c r="D302" i="5"/>
  <c r="E302" i="5"/>
  <c r="F302" i="5"/>
  <c r="H302" i="5"/>
  <c r="I302" i="5"/>
  <c r="N302" i="5"/>
  <c r="R302" i="5"/>
  <c r="Q302" i="5" s="1"/>
  <c r="S302" i="5" s="1"/>
  <c r="T302" i="5"/>
  <c r="C303" i="5"/>
  <c r="D303" i="5"/>
  <c r="E303" i="5"/>
  <c r="E1081" i="5" s="1"/>
  <c r="F303" i="5"/>
  <c r="H303" i="5"/>
  <c r="I303" i="5"/>
  <c r="N303" i="5"/>
  <c r="R303" i="5"/>
  <c r="Q303" i="5" s="1"/>
  <c r="S303" i="5"/>
  <c r="T303" i="5"/>
  <c r="C304" i="5"/>
  <c r="L304" i="5" s="1"/>
  <c r="D304" i="5"/>
  <c r="E304" i="5"/>
  <c r="F304" i="5"/>
  <c r="H304" i="5"/>
  <c r="I304" i="5"/>
  <c r="N304" i="5"/>
  <c r="Q304" i="5"/>
  <c r="S304" i="5" s="1"/>
  <c r="R304" i="5"/>
  <c r="T304" i="5"/>
  <c r="C305" i="5"/>
  <c r="D305" i="5"/>
  <c r="E305" i="5"/>
  <c r="F305" i="5"/>
  <c r="H305" i="5"/>
  <c r="I305" i="5"/>
  <c r="N305" i="5"/>
  <c r="R305" i="5"/>
  <c r="Q305" i="5" s="1"/>
  <c r="S305" i="5"/>
  <c r="T305" i="5"/>
  <c r="C306" i="5"/>
  <c r="D306" i="5"/>
  <c r="E306" i="5"/>
  <c r="F306" i="5"/>
  <c r="H306" i="5"/>
  <c r="I306" i="5"/>
  <c r="N306" i="5"/>
  <c r="R306" i="5"/>
  <c r="Q306" i="5" s="1"/>
  <c r="S306" i="5" s="1"/>
  <c r="T306" i="5"/>
  <c r="C307" i="5"/>
  <c r="L307" i="5" s="1"/>
  <c r="D307" i="5"/>
  <c r="E307" i="5"/>
  <c r="F307" i="5"/>
  <c r="H307" i="5"/>
  <c r="I307" i="5"/>
  <c r="N307" i="5"/>
  <c r="Q307" i="5"/>
  <c r="S307" i="5" s="1"/>
  <c r="R307" i="5"/>
  <c r="T307" i="5"/>
  <c r="C308" i="5"/>
  <c r="D308" i="5"/>
  <c r="E308" i="5"/>
  <c r="F308" i="5"/>
  <c r="H308" i="5"/>
  <c r="I308" i="5"/>
  <c r="N308" i="5"/>
  <c r="R308" i="5"/>
  <c r="Q308" i="5" s="1"/>
  <c r="S308" i="5" s="1"/>
  <c r="T308" i="5"/>
  <c r="C309" i="5"/>
  <c r="D309" i="5"/>
  <c r="E309" i="5"/>
  <c r="F309" i="5"/>
  <c r="H309" i="5"/>
  <c r="I309" i="5"/>
  <c r="N309" i="5"/>
  <c r="Q309" i="5"/>
  <c r="S309" i="5" s="1"/>
  <c r="R309" i="5"/>
  <c r="T309" i="5"/>
  <c r="T1081" i="5" s="1"/>
  <c r="C310" i="5"/>
  <c r="D310" i="5"/>
  <c r="E310" i="5"/>
  <c r="F310" i="5"/>
  <c r="H310" i="5"/>
  <c r="I310" i="5"/>
  <c r="N310" i="5"/>
  <c r="N1081" i="5" s="1"/>
  <c r="R310" i="5"/>
  <c r="Q310" i="5" s="1"/>
  <c r="S310" i="5" s="1"/>
  <c r="T310" i="5"/>
  <c r="C311" i="5"/>
  <c r="D311" i="5"/>
  <c r="E311" i="5"/>
  <c r="F311" i="5"/>
  <c r="H311" i="5"/>
  <c r="I311" i="5"/>
  <c r="N311" i="5"/>
  <c r="Q311" i="5"/>
  <c r="S311" i="5" s="1"/>
  <c r="R311" i="5"/>
  <c r="T311" i="5"/>
  <c r="C312" i="5"/>
  <c r="D312" i="5"/>
  <c r="E312" i="5"/>
  <c r="F312" i="5"/>
  <c r="H312" i="5"/>
  <c r="I312" i="5"/>
  <c r="N312" i="5"/>
  <c r="R312" i="5"/>
  <c r="Q312" i="5" s="1"/>
  <c r="S312" i="5" s="1"/>
  <c r="T312" i="5"/>
  <c r="C313" i="5"/>
  <c r="D313" i="5"/>
  <c r="E313" i="5"/>
  <c r="E1082" i="5" s="1"/>
  <c r="F313" i="5"/>
  <c r="H313" i="5"/>
  <c r="I313" i="5"/>
  <c r="N313" i="5"/>
  <c r="R313" i="5"/>
  <c r="Q313" i="5" s="1"/>
  <c r="S313" i="5" s="1"/>
  <c r="T313" i="5"/>
  <c r="C314" i="5"/>
  <c r="D314" i="5"/>
  <c r="E314" i="5"/>
  <c r="F314" i="5"/>
  <c r="H314" i="5"/>
  <c r="I314" i="5"/>
  <c r="N314" i="5"/>
  <c r="Q314" i="5"/>
  <c r="S314" i="5" s="1"/>
  <c r="R314" i="5"/>
  <c r="T314" i="5"/>
  <c r="C315" i="5"/>
  <c r="D315" i="5"/>
  <c r="E315" i="5"/>
  <c r="F315" i="5"/>
  <c r="H315" i="5"/>
  <c r="I315" i="5"/>
  <c r="N315" i="5"/>
  <c r="Q315" i="5"/>
  <c r="S315" i="5" s="1"/>
  <c r="R315" i="5"/>
  <c r="T315" i="5"/>
  <c r="C316" i="5"/>
  <c r="L316" i="5" s="1"/>
  <c r="D316" i="5"/>
  <c r="E316" i="5"/>
  <c r="F316" i="5"/>
  <c r="H316" i="5"/>
  <c r="I316" i="5"/>
  <c r="N316" i="5"/>
  <c r="R316" i="5"/>
  <c r="Q316" i="5" s="1"/>
  <c r="S316" i="5" s="1"/>
  <c r="T316" i="5"/>
  <c r="C317" i="5"/>
  <c r="D317" i="5"/>
  <c r="E317" i="5"/>
  <c r="F317" i="5"/>
  <c r="H317" i="5"/>
  <c r="I317" i="5"/>
  <c r="N317" i="5"/>
  <c r="R317" i="5"/>
  <c r="Q317" i="5" s="1"/>
  <c r="S317" i="5" s="1"/>
  <c r="T317" i="5"/>
  <c r="C318" i="5"/>
  <c r="D318" i="5"/>
  <c r="E318" i="5"/>
  <c r="F318" i="5"/>
  <c r="H318" i="5"/>
  <c r="I318" i="5"/>
  <c r="L318" i="5"/>
  <c r="N318" i="5"/>
  <c r="R318" i="5"/>
  <c r="Q318" i="5" s="1"/>
  <c r="S318" i="5" s="1"/>
  <c r="T318" i="5"/>
  <c r="C319" i="5"/>
  <c r="L319" i="5" s="1"/>
  <c r="D319" i="5"/>
  <c r="E319" i="5"/>
  <c r="F319" i="5"/>
  <c r="H319" i="5"/>
  <c r="I319" i="5"/>
  <c r="N319" i="5"/>
  <c r="R319" i="5"/>
  <c r="Q319" i="5" s="1"/>
  <c r="S319" i="5"/>
  <c r="T319" i="5"/>
  <c r="C320" i="5"/>
  <c r="D320" i="5"/>
  <c r="E320" i="5"/>
  <c r="F320" i="5"/>
  <c r="H320" i="5"/>
  <c r="I320" i="5"/>
  <c r="L320" i="5"/>
  <c r="N320" i="5"/>
  <c r="R320" i="5"/>
  <c r="Q320" i="5" s="1"/>
  <c r="S320" i="5" s="1"/>
  <c r="T320" i="5"/>
  <c r="C321" i="5"/>
  <c r="D321" i="5"/>
  <c r="E321" i="5"/>
  <c r="F321" i="5"/>
  <c r="F1082" i="5" s="1"/>
  <c r="H321" i="5"/>
  <c r="I321" i="5"/>
  <c r="N321" i="5"/>
  <c r="R321" i="5"/>
  <c r="Q321" i="5" s="1"/>
  <c r="S321" i="5" s="1"/>
  <c r="T321" i="5"/>
  <c r="C322" i="5"/>
  <c r="D322" i="5"/>
  <c r="E322" i="5"/>
  <c r="F322" i="5"/>
  <c r="H322" i="5"/>
  <c r="I322" i="5"/>
  <c r="N322" i="5"/>
  <c r="R322" i="5"/>
  <c r="Q322" i="5" s="1"/>
  <c r="S322" i="5" s="1"/>
  <c r="T322" i="5"/>
  <c r="C323" i="5"/>
  <c r="L323" i="5" s="1"/>
  <c r="D323" i="5"/>
  <c r="E323" i="5"/>
  <c r="F323" i="5"/>
  <c r="H323" i="5"/>
  <c r="I323" i="5"/>
  <c r="N323" i="5"/>
  <c r="R323" i="5"/>
  <c r="Q323" i="5" s="1"/>
  <c r="S323" i="5" s="1"/>
  <c r="T323" i="5"/>
  <c r="T1082" i="5" s="1"/>
  <c r="C324" i="5"/>
  <c r="D324" i="5"/>
  <c r="E324" i="5"/>
  <c r="F324" i="5"/>
  <c r="H324" i="5"/>
  <c r="I324" i="5"/>
  <c r="N324" i="5"/>
  <c r="Q324" i="5"/>
  <c r="R324" i="5"/>
  <c r="T324" i="5"/>
  <c r="C325" i="5"/>
  <c r="D325" i="5"/>
  <c r="E325" i="5"/>
  <c r="F325" i="5"/>
  <c r="H325" i="5"/>
  <c r="I325" i="5"/>
  <c r="N325" i="5"/>
  <c r="Q325" i="5"/>
  <c r="R325" i="5"/>
  <c r="S325" i="5"/>
  <c r="T325" i="5"/>
  <c r="C326" i="5"/>
  <c r="D326" i="5"/>
  <c r="L326" i="5" s="1"/>
  <c r="E326" i="5"/>
  <c r="F326" i="5"/>
  <c r="H326" i="5"/>
  <c r="I326" i="5"/>
  <c r="N326" i="5"/>
  <c r="R326" i="5"/>
  <c r="Q326" i="5" s="1"/>
  <c r="S326" i="5" s="1"/>
  <c r="T326" i="5"/>
  <c r="C327" i="5"/>
  <c r="L327" i="5" s="1"/>
  <c r="D327" i="5"/>
  <c r="E327" i="5"/>
  <c r="F327" i="5"/>
  <c r="H327" i="5"/>
  <c r="I327" i="5"/>
  <c r="N327" i="5"/>
  <c r="R327" i="5"/>
  <c r="Q327" i="5" s="1"/>
  <c r="S327" i="5" s="1"/>
  <c r="T327" i="5"/>
  <c r="C328" i="5"/>
  <c r="D328" i="5"/>
  <c r="E328" i="5"/>
  <c r="F328" i="5"/>
  <c r="H328" i="5"/>
  <c r="I328" i="5"/>
  <c r="N328" i="5"/>
  <c r="R328" i="5"/>
  <c r="Q328" i="5" s="1"/>
  <c r="S328" i="5" s="1"/>
  <c r="T328" i="5"/>
  <c r="C329" i="5"/>
  <c r="L329" i="5" s="1"/>
  <c r="D329" i="5"/>
  <c r="E329" i="5"/>
  <c r="F329" i="5"/>
  <c r="H329" i="5"/>
  <c r="I329" i="5"/>
  <c r="N329" i="5"/>
  <c r="R329" i="5"/>
  <c r="Q329" i="5" s="1"/>
  <c r="S329" i="5"/>
  <c r="T329" i="5"/>
  <c r="C330" i="5"/>
  <c r="D330" i="5"/>
  <c r="E330" i="5"/>
  <c r="F330" i="5"/>
  <c r="H330" i="5"/>
  <c r="I330" i="5"/>
  <c r="L330" i="5"/>
  <c r="N330" i="5"/>
  <c r="R330" i="5"/>
  <c r="Q330" i="5" s="1"/>
  <c r="S330" i="5" s="1"/>
  <c r="T330" i="5"/>
  <c r="C331" i="5"/>
  <c r="D331" i="5"/>
  <c r="E331" i="5"/>
  <c r="F331" i="5"/>
  <c r="H331" i="5"/>
  <c r="I331" i="5"/>
  <c r="N331" i="5"/>
  <c r="Q331" i="5"/>
  <c r="S331" i="5" s="1"/>
  <c r="R331" i="5"/>
  <c r="T331" i="5"/>
  <c r="C332" i="5"/>
  <c r="D332" i="5"/>
  <c r="E332" i="5"/>
  <c r="F332" i="5"/>
  <c r="H332" i="5"/>
  <c r="I332" i="5"/>
  <c r="N332" i="5"/>
  <c r="R332" i="5"/>
  <c r="Q332" i="5" s="1"/>
  <c r="S332" i="5" s="1"/>
  <c r="T332" i="5"/>
  <c r="C333" i="5"/>
  <c r="L333" i="5" s="1"/>
  <c r="D333" i="5"/>
  <c r="E333" i="5"/>
  <c r="F333" i="5"/>
  <c r="H333" i="5"/>
  <c r="I333" i="5"/>
  <c r="N333" i="5"/>
  <c r="R333" i="5"/>
  <c r="Q333" i="5" s="1"/>
  <c r="S333" i="5" s="1"/>
  <c r="T333" i="5"/>
  <c r="C334" i="5"/>
  <c r="D334" i="5"/>
  <c r="E334" i="5"/>
  <c r="F334" i="5"/>
  <c r="H334" i="5"/>
  <c r="L334" i="5" s="1"/>
  <c r="I334" i="5"/>
  <c r="N334" i="5"/>
  <c r="R334" i="5"/>
  <c r="Q334" i="5" s="1"/>
  <c r="S334" i="5" s="1"/>
  <c r="T334" i="5"/>
  <c r="C335" i="5"/>
  <c r="D335" i="5"/>
  <c r="E335" i="5"/>
  <c r="F335" i="5"/>
  <c r="H335" i="5"/>
  <c r="I335" i="5"/>
  <c r="N335" i="5"/>
  <c r="R335" i="5"/>
  <c r="Q335" i="5" s="1"/>
  <c r="S335" i="5"/>
  <c r="T335" i="5"/>
  <c r="C336" i="5"/>
  <c r="D336" i="5"/>
  <c r="E336" i="5"/>
  <c r="F336" i="5"/>
  <c r="H336" i="5"/>
  <c r="I336" i="5"/>
  <c r="N336" i="5"/>
  <c r="R336" i="5"/>
  <c r="Q336" i="5" s="1"/>
  <c r="S336" i="5" s="1"/>
  <c r="T336" i="5"/>
  <c r="C337" i="5"/>
  <c r="L337" i="5" s="1"/>
  <c r="D337" i="5"/>
  <c r="E337" i="5"/>
  <c r="F337" i="5"/>
  <c r="H337" i="5"/>
  <c r="I337" i="5"/>
  <c r="N337" i="5"/>
  <c r="R337" i="5"/>
  <c r="Q337" i="5" s="1"/>
  <c r="S337" i="5" s="1"/>
  <c r="T337" i="5"/>
  <c r="C338" i="5"/>
  <c r="D338" i="5"/>
  <c r="E338" i="5"/>
  <c r="F338" i="5"/>
  <c r="H338" i="5"/>
  <c r="I338" i="5"/>
  <c r="L338" i="5" s="1"/>
  <c r="N338" i="5"/>
  <c r="R338" i="5"/>
  <c r="Q338" i="5" s="1"/>
  <c r="S338" i="5" s="1"/>
  <c r="T338" i="5"/>
  <c r="C339" i="5"/>
  <c r="D339" i="5"/>
  <c r="E339" i="5"/>
  <c r="F339" i="5"/>
  <c r="H339" i="5"/>
  <c r="I339" i="5"/>
  <c r="N339" i="5"/>
  <c r="R339" i="5"/>
  <c r="Q339" i="5" s="1"/>
  <c r="S339" i="5" s="1"/>
  <c r="T339" i="5"/>
  <c r="T1084" i="5" s="1"/>
  <c r="C340" i="5"/>
  <c r="D340" i="5"/>
  <c r="E340" i="5"/>
  <c r="F340" i="5"/>
  <c r="H340" i="5"/>
  <c r="I340" i="5"/>
  <c r="N340" i="5"/>
  <c r="Q340" i="5"/>
  <c r="S340" i="5" s="1"/>
  <c r="R340" i="5"/>
  <c r="T340" i="5"/>
  <c r="C341" i="5"/>
  <c r="D341" i="5"/>
  <c r="E341" i="5"/>
  <c r="F341" i="5"/>
  <c r="H341" i="5"/>
  <c r="I341" i="5"/>
  <c r="N341" i="5"/>
  <c r="Q341" i="5"/>
  <c r="S341" i="5" s="1"/>
  <c r="R341" i="5"/>
  <c r="T341" i="5"/>
  <c r="C342" i="5"/>
  <c r="D342" i="5"/>
  <c r="E342" i="5"/>
  <c r="F342" i="5"/>
  <c r="H342" i="5"/>
  <c r="I342" i="5"/>
  <c r="N342" i="5"/>
  <c r="R342" i="5"/>
  <c r="Q342" i="5" s="1"/>
  <c r="S342" i="5" s="1"/>
  <c r="T342" i="5"/>
  <c r="C343" i="5"/>
  <c r="D343" i="5"/>
  <c r="E343" i="5"/>
  <c r="E1084" i="5" s="1"/>
  <c r="F343" i="5"/>
  <c r="H343" i="5"/>
  <c r="I343" i="5"/>
  <c r="N343" i="5"/>
  <c r="Q343" i="5"/>
  <c r="S343" i="5" s="1"/>
  <c r="R343" i="5"/>
  <c r="T343" i="5"/>
  <c r="C344" i="5"/>
  <c r="D344" i="5"/>
  <c r="E344" i="5"/>
  <c r="F344" i="5"/>
  <c r="H344" i="5"/>
  <c r="L344" i="5" s="1"/>
  <c r="I344" i="5"/>
  <c r="N344" i="5"/>
  <c r="R344" i="5"/>
  <c r="Q344" i="5" s="1"/>
  <c r="S344" i="5" s="1"/>
  <c r="T344" i="5"/>
  <c r="C345" i="5"/>
  <c r="D345" i="5"/>
  <c r="E345" i="5"/>
  <c r="F345" i="5"/>
  <c r="H345" i="5"/>
  <c r="I345" i="5"/>
  <c r="N345" i="5"/>
  <c r="R345" i="5"/>
  <c r="Q345" i="5" s="1"/>
  <c r="S345" i="5"/>
  <c r="T345" i="5"/>
  <c r="C346" i="5"/>
  <c r="L346" i="5" s="1"/>
  <c r="D346" i="5"/>
  <c r="E346" i="5"/>
  <c r="F346" i="5"/>
  <c r="H346" i="5"/>
  <c r="I346" i="5"/>
  <c r="N346" i="5"/>
  <c r="R346" i="5"/>
  <c r="Q346" i="5" s="1"/>
  <c r="S346" i="5" s="1"/>
  <c r="T346" i="5"/>
  <c r="C347" i="5"/>
  <c r="D347" i="5"/>
  <c r="E347" i="5"/>
  <c r="F347" i="5"/>
  <c r="H347" i="5"/>
  <c r="I347" i="5"/>
  <c r="N347" i="5"/>
  <c r="Q347" i="5"/>
  <c r="R347" i="5"/>
  <c r="S347" i="5"/>
  <c r="T347" i="5"/>
  <c r="C348" i="5"/>
  <c r="D348" i="5"/>
  <c r="E348" i="5"/>
  <c r="F348" i="5"/>
  <c r="H348" i="5"/>
  <c r="I348" i="5"/>
  <c r="L348" i="5"/>
  <c r="N348" i="5"/>
  <c r="R348" i="5"/>
  <c r="Q348" i="5" s="1"/>
  <c r="S348" i="5" s="1"/>
  <c r="T348" i="5"/>
  <c r="C349" i="5"/>
  <c r="D349" i="5"/>
  <c r="E349" i="5"/>
  <c r="F349" i="5"/>
  <c r="H349" i="5"/>
  <c r="I349" i="5"/>
  <c r="L349" i="5"/>
  <c r="N349" i="5"/>
  <c r="R349" i="5"/>
  <c r="Q349" i="5" s="1"/>
  <c r="T349" i="5"/>
  <c r="C350" i="5"/>
  <c r="D350" i="5"/>
  <c r="E350" i="5"/>
  <c r="F350" i="5"/>
  <c r="H350" i="5"/>
  <c r="I350" i="5"/>
  <c r="N350" i="5"/>
  <c r="R350" i="5"/>
  <c r="Q350" i="5" s="1"/>
  <c r="S350" i="5" s="1"/>
  <c r="T350" i="5"/>
  <c r="C351" i="5"/>
  <c r="D351" i="5"/>
  <c r="E351" i="5"/>
  <c r="F351" i="5"/>
  <c r="H351" i="5"/>
  <c r="I351" i="5"/>
  <c r="N351" i="5"/>
  <c r="R351" i="5"/>
  <c r="Q351" i="5" s="1"/>
  <c r="S351" i="5" s="1"/>
  <c r="T351" i="5"/>
  <c r="C352" i="5"/>
  <c r="D352" i="5"/>
  <c r="E352" i="5"/>
  <c r="F352" i="5"/>
  <c r="H352" i="5"/>
  <c r="I352" i="5"/>
  <c r="I1085" i="5" s="1"/>
  <c r="N352" i="5"/>
  <c r="N1085" i="5" s="1"/>
  <c r="R352" i="5"/>
  <c r="Q352" i="5" s="1"/>
  <c r="S352" i="5" s="1"/>
  <c r="T352" i="5"/>
  <c r="C353" i="5"/>
  <c r="D353" i="5"/>
  <c r="E353" i="5"/>
  <c r="F353" i="5"/>
  <c r="H353" i="5"/>
  <c r="H1085" i="5" s="1"/>
  <c r="I353" i="5"/>
  <c r="N353" i="5"/>
  <c r="R353" i="5"/>
  <c r="Q353" i="5" s="1"/>
  <c r="S353" i="5" s="1"/>
  <c r="T353" i="5"/>
  <c r="C354" i="5"/>
  <c r="D354" i="5"/>
  <c r="E354" i="5"/>
  <c r="E1085" i="5" s="1"/>
  <c r="F354" i="5"/>
  <c r="H354" i="5"/>
  <c r="I354" i="5"/>
  <c r="N354" i="5"/>
  <c r="R354" i="5"/>
  <c r="Q354" i="5" s="1"/>
  <c r="S354" i="5"/>
  <c r="T354" i="5"/>
  <c r="C355" i="5"/>
  <c r="D355" i="5"/>
  <c r="D1085" i="5" s="1"/>
  <c r="E355" i="5"/>
  <c r="F355" i="5"/>
  <c r="H355" i="5"/>
  <c r="I355" i="5"/>
  <c r="N355" i="5"/>
  <c r="R355" i="5"/>
  <c r="Q355" i="5" s="1"/>
  <c r="S355" i="5" s="1"/>
  <c r="T355" i="5"/>
  <c r="C356" i="5"/>
  <c r="D356" i="5"/>
  <c r="E356" i="5"/>
  <c r="F356" i="5"/>
  <c r="H356" i="5"/>
  <c r="I356" i="5"/>
  <c r="N356" i="5"/>
  <c r="R356" i="5"/>
  <c r="Q356" i="5" s="1"/>
  <c r="S356" i="5" s="1"/>
  <c r="T356" i="5"/>
  <c r="C357" i="5"/>
  <c r="L357" i="5" s="1"/>
  <c r="D357" i="5"/>
  <c r="E357" i="5"/>
  <c r="F357" i="5"/>
  <c r="H357" i="5"/>
  <c r="I357" i="5"/>
  <c r="N357" i="5"/>
  <c r="R357" i="5"/>
  <c r="Q357" i="5" s="1"/>
  <c r="S357" i="5" s="1"/>
  <c r="T357" i="5"/>
  <c r="C358" i="5"/>
  <c r="D358" i="5"/>
  <c r="E358" i="5"/>
  <c r="F358" i="5"/>
  <c r="H358" i="5"/>
  <c r="I358" i="5"/>
  <c r="N358" i="5"/>
  <c r="R358" i="5"/>
  <c r="Q358" i="5" s="1"/>
  <c r="S358" i="5" s="1"/>
  <c r="T358" i="5"/>
  <c r="C359" i="5"/>
  <c r="D359" i="5"/>
  <c r="E359" i="5"/>
  <c r="F359" i="5"/>
  <c r="H359" i="5"/>
  <c r="I359" i="5"/>
  <c r="N359" i="5"/>
  <c r="Q359" i="5"/>
  <c r="S359" i="5" s="1"/>
  <c r="R359" i="5"/>
  <c r="T359" i="5"/>
  <c r="C360" i="5"/>
  <c r="D360" i="5"/>
  <c r="E360" i="5"/>
  <c r="F360" i="5"/>
  <c r="H360" i="5"/>
  <c r="I360" i="5"/>
  <c r="N360" i="5"/>
  <c r="Q360" i="5"/>
  <c r="S360" i="5" s="1"/>
  <c r="R360" i="5"/>
  <c r="T360" i="5"/>
  <c r="C361" i="5"/>
  <c r="D361" i="5"/>
  <c r="E361" i="5"/>
  <c r="F361" i="5"/>
  <c r="H361" i="5"/>
  <c r="I361" i="5"/>
  <c r="N361" i="5"/>
  <c r="Q361" i="5"/>
  <c r="S361" i="5" s="1"/>
  <c r="R361" i="5"/>
  <c r="T361" i="5"/>
  <c r="C362" i="5"/>
  <c r="D362" i="5"/>
  <c r="E362" i="5"/>
  <c r="F362" i="5"/>
  <c r="H362" i="5"/>
  <c r="I362" i="5"/>
  <c r="N362" i="5"/>
  <c r="R362" i="5"/>
  <c r="Q362" i="5" s="1"/>
  <c r="S362" i="5" s="1"/>
  <c r="T362" i="5"/>
  <c r="C363" i="5"/>
  <c r="D363" i="5"/>
  <c r="E363" i="5"/>
  <c r="F363" i="5"/>
  <c r="H363" i="5"/>
  <c r="I363" i="5"/>
  <c r="N363" i="5"/>
  <c r="R363" i="5"/>
  <c r="Q363" i="5" s="1"/>
  <c r="S363" i="5" s="1"/>
  <c r="T363" i="5"/>
  <c r="C364" i="5"/>
  <c r="D364" i="5"/>
  <c r="E364" i="5"/>
  <c r="F364" i="5"/>
  <c r="H364" i="5"/>
  <c r="I364" i="5"/>
  <c r="N364" i="5"/>
  <c r="Q364" i="5"/>
  <c r="S364" i="5" s="1"/>
  <c r="R364" i="5"/>
  <c r="T364" i="5"/>
  <c r="C365" i="5"/>
  <c r="D365" i="5"/>
  <c r="E365" i="5"/>
  <c r="F365" i="5"/>
  <c r="H365" i="5"/>
  <c r="I365" i="5"/>
  <c r="N365" i="5"/>
  <c r="R365" i="5"/>
  <c r="Q365" i="5" s="1"/>
  <c r="S365" i="5" s="1"/>
  <c r="T365" i="5"/>
  <c r="T1086" i="5" s="1"/>
  <c r="C366" i="5"/>
  <c r="D366" i="5"/>
  <c r="E366" i="5"/>
  <c r="F366" i="5"/>
  <c r="H366" i="5"/>
  <c r="I366" i="5"/>
  <c r="L366" i="5"/>
  <c r="N366" i="5"/>
  <c r="N1086" i="5" s="1"/>
  <c r="Q366" i="5"/>
  <c r="S366" i="5" s="1"/>
  <c r="R366" i="5"/>
  <c r="T366" i="5"/>
  <c r="C367" i="5"/>
  <c r="D367" i="5"/>
  <c r="E367" i="5"/>
  <c r="F367" i="5"/>
  <c r="H367" i="5"/>
  <c r="I367" i="5"/>
  <c r="N367" i="5"/>
  <c r="Q367" i="5"/>
  <c r="S367" i="5" s="1"/>
  <c r="R367" i="5"/>
  <c r="T367" i="5"/>
  <c r="C368" i="5"/>
  <c r="L368" i="5" s="1"/>
  <c r="D368" i="5"/>
  <c r="E368" i="5"/>
  <c r="F368" i="5"/>
  <c r="H368" i="5"/>
  <c r="I368" i="5"/>
  <c r="N368" i="5"/>
  <c r="R368" i="5"/>
  <c r="Q368" i="5" s="1"/>
  <c r="S368" i="5" s="1"/>
  <c r="T368" i="5"/>
  <c r="C369" i="5"/>
  <c r="D369" i="5"/>
  <c r="E369" i="5"/>
  <c r="F369" i="5"/>
  <c r="H369" i="5"/>
  <c r="I369" i="5"/>
  <c r="N369" i="5"/>
  <c r="Q369" i="5"/>
  <c r="R369" i="5"/>
  <c r="S369" i="5"/>
  <c r="T369" i="5"/>
  <c r="C370" i="5"/>
  <c r="D370" i="5"/>
  <c r="E370" i="5"/>
  <c r="F370" i="5"/>
  <c r="H370" i="5"/>
  <c r="I370" i="5"/>
  <c r="L370" i="5"/>
  <c r="N370" i="5"/>
  <c r="R370" i="5"/>
  <c r="Q370" i="5" s="1"/>
  <c r="S370" i="5" s="1"/>
  <c r="T370" i="5"/>
  <c r="C371" i="5"/>
  <c r="D371" i="5"/>
  <c r="E371" i="5"/>
  <c r="F371" i="5"/>
  <c r="H371" i="5"/>
  <c r="I371" i="5"/>
  <c r="N371" i="5"/>
  <c r="Q371" i="5"/>
  <c r="R371" i="5"/>
  <c r="S371" i="5"/>
  <c r="T371" i="5"/>
  <c r="C372" i="5"/>
  <c r="D372" i="5"/>
  <c r="E372" i="5"/>
  <c r="F372" i="5"/>
  <c r="H372" i="5"/>
  <c r="I372" i="5"/>
  <c r="N372" i="5"/>
  <c r="R372" i="5"/>
  <c r="T372" i="5"/>
  <c r="C373" i="5"/>
  <c r="D373" i="5"/>
  <c r="E373" i="5"/>
  <c r="F373" i="5"/>
  <c r="H373" i="5"/>
  <c r="H1087" i="5" s="1"/>
  <c r="I373" i="5"/>
  <c r="N373" i="5"/>
  <c r="R373" i="5"/>
  <c r="Q373" i="5" s="1"/>
  <c r="S373" i="5"/>
  <c r="T373" i="5"/>
  <c r="C374" i="5"/>
  <c r="D374" i="5"/>
  <c r="L374" i="5" s="1"/>
  <c r="E374" i="5"/>
  <c r="F374" i="5"/>
  <c r="H374" i="5"/>
  <c r="I374" i="5"/>
  <c r="N374" i="5"/>
  <c r="R374" i="5"/>
  <c r="Q374" i="5" s="1"/>
  <c r="S374" i="5" s="1"/>
  <c r="T374" i="5"/>
  <c r="C375" i="5"/>
  <c r="D375" i="5"/>
  <c r="E375" i="5"/>
  <c r="F375" i="5"/>
  <c r="F1087" i="5" s="1"/>
  <c r="H375" i="5"/>
  <c r="I375" i="5"/>
  <c r="N375" i="5"/>
  <c r="Q375" i="5"/>
  <c r="S375" i="5" s="1"/>
  <c r="R375" i="5"/>
  <c r="T375" i="5"/>
  <c r="C376" i="5"/>
  <c r="D376" i="5"/>
  <c r="E376" i="5"/>
  <c r="F376" i="5"/>
  <c r="H376" i="5"/>
  <c r="I376" i="5"/>
  <c r="N376" i="5"/>
  <c r="Q376" i="5"/>
  <c r="S376" i="5" s="1"/>
  <c r="R376" i="5"/>
  <c r="T376" i="5"/>
  <c r="C377" i="5"/>
  <c r="D377" i="5"/>
  <c r="E377" i="5"/>
  <c r="F377" i="5"/>
  <c r="H377" i="5"/>
  <c r="I377" i="5"/>
  <c r="N377" i="5"/>
  <c r="Q377" i="5"/>
  <c r="S377" i="5" s="1"/>
  <c r="R377" i="5"/>
  <c r="T377" i="5"/>
  <c r="C378" i="5"/>
  <c r="D378" i="5"/>
  <c r="E378" i="5"/>
  <c r="F378" i="5"/>
  <c r="H378" i="5"/>
  <c r="I378" i="5"/>
  <c r="N378" i="5"/>
  <c r="R378" i="5"/>
  <c r="Q378" i="5" s="1"/>
  <c r="S378" i="5" s="1"/>
  <c r="T378" i="5"/>
  <c r="C379" i="5"/>
  <c r="L379" i="5" s="1"/>
  <c r="D379" i="5"/>
  <c r="E379" i="5"/>
  <c r="F379" i="5"/>
  <c r="H379" i="5"/>
  <c r="I379" i="5"/>
  <c r="N379" i="5"/>
  <c r="R379" i="5"/>
  <c r="Q379" i="5" s="1"/>
  <c r="S379" i="5" s="1"/>
  <c r="T379" i="5"/>
  <c r="C380" i="5"/>
  <c r="L380" i="5" s="1"/>
  <c r="D380" i="5"/>
  <c r="E380" i="5"/>
  <c r="F380" i="5"/>
  <c r="H380" i="5"/>
  <c r="I380" i="5"/>
  <c r="N380" i="5"/>
  <c r="Q380" i="5"/>
  <c r="S380" i="5" s="1"/>
  <c r="R380" i="5"/>
  <c r="T380" i="5"/>
  <c r="C381" i="5"/>
  <c r="D381" i="5"/>
  <c r="E381" i="5"/>
  <c r="F381" i="5"/>
  <c r="H381" i="5"/>
  <c r="I381" i="5"/>
  <c r="N381" i="5"/>
  <c r="R381" i="5"/>
  <c r="Q381" i="5" s="1"/>
  <c r="S381" i="5" s="1"/>
  <c r="T381" i="5"/>
  <c r="C382" i="5"/>
  <c r="D382" i="5"/>
  <c r="E382" i="5"/>
  <c r="F382" i="5"/>
  <c r="H382" i="5"/>
  <c r="I382" i="5"/>
  <c r="L382" i="5"/>
  <c r="N382" i="5"/>
  <c r="Q382" i="5"/>
  <c r="S382" i="5" s="1"/>
  <c r="R382" i="5"/>
  <c r="T382" i="5"/>
  <c r="C383" i="5"/>
  <c r="L383" i="5" s="1"/>
  <c r="D383" i="5"/>
  <c r="E383" i="5"/>
  <c r="F383" i="5"/>
  <c r="H383" i="5"/>
  <c r="I383" i="5"/>
  <c r="N383" i="5"/>
  <c r="R383" i="5"/>
  <c r="Q383" i="5" s="1"/>
  <c r="S383" i="5" s="1"/>
  <c r="T383" i="5"/>
  <c r="C384" i="5"/>
  <c r="D384" i="5"/>
  <c r="D1088" i="5" s="1"/>
  <c r="E384" i="5"/>
  <c r="F384" i="5"/>
  <c r="H384" i="5"/>
  <c r="I384" i="5"/>
  <c r="N384" i="5"/>
  <c r="R384" i="5"/>
  <c r="T384" i="5"/>
  <c r="C385" i="5"/>
  <c r="L385" i="5" s="1"/>
  <c r="D385" i="5"/>
  <c r="E385" i="5"/>
  <c r="F385" i="5"/>
  <c r="H385" i="5"/>
  <c r="I385" i="5"/>
  <c r="N385" i="5"/>
  <c r="R385" i="5"/>
  <c r="Q385" i="5" s="1"/>
  <c r="S385" i="5" s="1"/>
  <c r="T385" i="5"/>
  <c r="C386" i="5"/>
  <c r="D386" i="5"/>
  <c r="E386" i="5"/>
  <c r="F386" i="5"/>
  <c r="H386" i="5"/>
  <c r="I386" i="5"/>
  <c r="N386" i="5"/>
  <c r="R386" i="5"/>
  <c r="Q386" i="5" s="1"/>
  <c r="S386" i="5" s="1"/>
  <c r="T386" i="5"/>
  <c r="C387" i="5"/>
  <c r="D387" i="5"/>
  <c r="E387" i="5"/>
  <c r="F387" i="5"/>
  <c r="H387" i="5"/>
  <c r="I387" i="5"/>
  <c r="N387" i="5"/>
  <c r="Q387" i="5"/>
  <c r="R387" i="5"/>
  <c r="S387" i="5"/>
  <c r="T387" i="5"/>
  <c r="T1088" i="5" s="1"/>
  <c r="C388" i="5"/>
  <c r="L388" i="5" s="1"/>
  <c r="D388" i="5"/>
  <c r="E388" i="5"/>
  <c r="F388" i="5"/>
  <c r="H388" i="5"/>
  <c r="I388" i="5"/>
  <c r="N388" i="5"/>
  <c r="Q388" i="5"/>
  <c r="S388" i="5" s="1"/>
  <c r="R388" i="5"/>
  <c r="T388" i="5"/>
  <c r="C389" i="5"/>
  <c r="D389" i="5"/>
  <c r="E389" i="5"/>
  <c r="F389" i="5"/>
  <c r="H389" i="5"/>
  <c r="I389" i="5"/>
  <c r="N389" i="5"/>
  <c r="R389" i="5"/>
  <c r="Q389" i="5" s="1"/>
  <c r="S389" i="5"/>
  <c r="T389" i="5"/>
  <c r="C390" i="5"/>
  <c r="D390" i="5"/>
  <c r="L390" i="5" s="1"/>
  <c r="E390" i="5"/>
  <c r="F390" i="5"/>
  <c r="H390" i="5"/>
  <c r="I390" i="5"/>
  <c r="N390" i="5"/>
  <c r="R390" i="5"/>
  <c r="Q390" i="5" s="1"/>
  <c r="S390" i="5" s="1"/>
  <c r="T390" i="5"/>
  <c r="C391" i="5"/>
  <c r="L391" i="5" s="1"/>
  <c r="D391" i="5"/>
  <c r="E391" i="5"/>
  <c r="F391" i="5"/>
  <c r="H391" i="5"/>
  <c r="I391" i="5"/>
  <c r="N391" i="5"/>
  <c r="Q391" i="5"/>
  <c r="S391" i="5" s="1"/>
  <c r="R391" i="5"/>
  <c r="T391" i="5"/>
  <c r="C392" i="5"/>
  <c r="D392" i="5"/>
  <c r="E392" i="5"/>
  <c r="F392" i="5"/>
  <c r="H392" i="5"/>
  <c r="I392" i="5"/>
  <c r="N392" i="5"/>
  <c r="Q392" i="5"/>
  <c r="S392" i="5" s="1"/>
  <c r="R392" i="5"/>
  <c r="T392" i="5"/>
  <c r="C393" i="5"/>
  <c r="D393" i="5"/>
  <c r="E393" i="5"/>
  <c r="F393" i="5"/>
  <c r="H393" i="5"/>
  <c r="I393" i="5"/>
  <c r="N393" i="5"/>
  <c r="Q393" i="5"/>
  <c r="S393" i="5" s="1"/>
  <c r="R393" i="5"/>
  <c r="T393" i="5"/>
  <c r="C394" i="5"/>
  <c r="D394" i="5"/>
  <c r="E394" i="5"/>
  <c r="F394" i="5"/>
  <c r="H394" i="5"/>
  <c r="I394" i="5"/>
  <c r="N394" i="5"/>
  <c r="R394" i="5"/>
  <c r="Q394" i="5" s="1"/>
  <c r="S394" i="5" s="1"/>
  <c r="T394" i="5"/>
  <c r="C395" i="5"/>
  <c r="D395" i="5"/>
  <c r="E395" i="5"/>
  <c r="F395" i="5"/>
  <c r="H395" i="5"/>
  <c r="I395" i="5"/>
  <c r="N395" i="5"/>
  <c r="R395" i="5"/>
  <c r="Q395" i="5" s="1"/>
  <c r="S395" i="5" s="1"/>
  <c r="T395" i="5"/>
  <c r="C396" i="5"/>
  <c r="L396" i="5" s="1"/>
  <c r="D396" i="5"/>
  <c r="E396" i="5"/>
  <c r="F396" i="5"/>
  <c r="H396" i="5"/>
  <c r="I396" i="5"/>
  <c r="N396" i="5"/>
  <c r="Q396" i="5"/>
  <c r="S396" i="5" s="1"/>
  <c r="R396" i="5"/>
  <c r="T396" i="5"/>
  <c r="C397" i="5"/>
  <c r="D397" i="5"/>
  <c r="E397" i="5"/>
  <c r="F397" i="5"/>
  <c r="H397" i="5"/>
  <c r="I397" i="5"/>
  <c r="N397" i="5"/>
  <c r="R397" i="5"/>
  <c r="Q397" i="5" s="1"/>
  <c r="S397" i="5"/>
  <c r="T397" i="5"/>
  <c r="C398" i="5"/>
  <c r="L398" i="5" s="1"/>
  <c r="D398" i="5"/>
  <c r="E398" i="5"/>
  <c r="F398" i="5"/>
  <c r="H398" i="5"/>
  <c r="I398" i="5"/>
  <c r="N398" i="5"/>
  <c r="Q398" i="5"/>
  <c r="R398" i="5"/>
  <c r="T398" i="5"/>
  <c r="C399" i="5"/>
  <c r="D399" i="5"/>
  <c r="E399" i="5"/>
  <c r="F399" i="5"/>
  <c r="H399" i="5"/>
  <c r="I399" i="5"/>
  <c r="I1089" i="5" s="1"/>
  <c r="N399" i="5"/>
  <c r="R399" i="5"/>
  <c r="Q399" i="5" s="1"/>
  <c r="S399" i="5" s="1"/>
  <c r="T399" i="5"/>
  <c r="C400" i="5"/>
  <c r="D400" i="5"/>
  <c r="E400" i="5"/>
  <c r="F400" i="5"/>
  <c r="H400" i="5"/>
  <c r="I400" i="5"/>
  <c r="N400" i="5"/>
  <c r="R400" i="5"/>
  <c r="Q400" i="5" s="1"/>
  <c r="S400" i="5" s="1"/>
  <c r="T400" i="5"/>
  <c r="C401" i="5"/>
  <c r="L401" i="5" s="1"/>
  <c r="D401" i="5"/>
  <c r="E401" i="5"/>
  <c r="F401" i="5"/>
  <c r="H401" i="5"/>
  <c r="I401" i="5"/>
  <c r="N401" i="5"/>
  <c r="R401" i="5"/>
  <c r="Q401" i="5" s="1"/>
  <c r="S401" i="5" s="1"/>
  <c r="T401" i="5"/>
  <c r="C402" i="5"/>
  <c r="D402" i="5"/>
  <c r="E402" i="5"/>
  <c r="F402" i="5"/>
  <c r="H402" i="5"/>
  <c r="I402" i="5"/>
  <c r="L402" i="5" s="1"/>
  <c r="N402" i="5"/>
  <c r="R402" i="5"/>
  <c r="Q402" i="5" s="1"/>
  <c r="S402" i="5" s="1"/>
  <c r="T402" i="5"/>
  <c r="C403" i="5"/>
  <c r="D403" i="5"/>
  <c r="E403" i="5"/>
  <c r="F403" i="5"/>
  <c r="H403" i="5"/>
  <c r="I403" i="5"/>
  <c r="N403" i="5"/>
  <c r="Q403" i="5"/>
  <c r="R403" i="5"/>
  <c r="S403" i="5"/>
  <c r="T403" i="5"/>
  <c r="C404" i="5"/>
  <c r="D404" i="5"/>
  <c r="E404" i="5"/>
  <c r="F404" i="5"/>
  <c r="H404" i="5"/>
  <c r="I404" i="5"/>
  <c r="L404" i="5"/>
  <c r="N404" i="5"/>
  <c r="Q404" i="5"/>
  <c r="S404" i="5" s="1"/>
  <c r="R404" i="5"/>
  <c r="T404" i="5"/>
  <c r="C405" i="5"/>
  <c r="D405" i="5"/>
  <c r="E405" i="5"/>
  <c r="F405" i="5"/>
  <c r="H405" i="5"/>
  <c r="I405" i="5"/>
  <c r="N405" i="5"/>
  <c r="R405" i="5"/>
  <c r="Q405" i="5" s="1"/>
  <c r="S405" i="5"/>
  <c r="T405" i="5"/>
  <c r="T1089" i="5" s="1"/>
  <c r="C406" i="5"/>
  <c r="D406" i="5"/>
  <c r="E406" i="5"/>
  <c r="F406" i="5"/>
  <c r="H406" i="5"/>
  <c r="I406" i="5"/>
  <c r="L406" i="5"/>
  <c r="N406" i="5"/>
  <c r="R406" i="5"/>
  <c r="T406" i="5"/>
  <c r="C407" i="5"/>
  <c r="D407" i="5"/>
  <c r="E407" i="5"/>
  <c r="F407" i="5"/>
  <c r="H407" i="5"/>
  <c r="I407" i="5"/>
  <c r="N407" i="5"/>
  <c r="Q407" i="5"/>
  <c r="S407" i="5" s="1"/>
  <c r="R407" i="5"/>
  <c r="T407" i="5"/>
  <c r="C408" i="5"/>
  <c r="D408" i="5"/>
  <c r="E408" i="5"/>
  <c r="F408" i="5"/>
  <c r="H408" i="5"/>
  <c r="I408" i="5"/>
  <c r="N408" i="5"/>
  <c r="Q408" i="5"/>
  <c r="S408" i="5" s="1"/>
  <c r="R408" i="5"/>
  <c r="T408" i="5"/>
  <c r="C409" i="5"/>
  <c r="D409" i="5"/>
  <c r="E409" i="5"/>
  <c r="F409" i="5"/>
  <c r="H409" i="5"/>
  <c r="I409" i="5"/>
  <c r="N409" i="5"/>
  <c r="R409" i="5"/>
  <c r="R1090" i="5" s="1"/>
  <c r="T409" i="5"/>
  <c r="C410" i="5"/>
  <c r="D410" i="5"/>
  <c r="E410" i="5"/>
  <c r="F410" i="5"/>
  <c r="H410" i="5"/>
  <c r="I410" i="5"/>
  <c r="N410" i="5"/>
  <c r="N1090" i="5" s="1"/>
  <c r="R410" i="5"/>
  <c r="Q410" i="5" s="1"/>
  <c r="S410" i="5" s="1"/>
  <c r="T410" i="5"/>
  <c r="C411" i="5"/>
  <c r="L411" i="5" s="1"/>
  <c r="D411" i="5"/>
  <c r="E411" i="5"/>
  <c r="F411" i="5"/>
  <c r="H411" i="5"/>
  <c r="I411" i="5"/>
  <c r="N411" i="5"/>
  <c r="R411" i="5"/>
  <c r="Q411" i="5" s="1"/>
  <c r="S411" i="5" s="1"/>
  <c r="T411" i="5"/>
  <c r="C412" i="5"/>
  <c r="D412" i="5"/>
  <c r="E412" i="5"/>
  <c r="F412" i="5"/>
  <c r="H412" i="5"/>
  <c r="I412" i="5"/>
  <c r="N412" i="5"/>
  <c r="Q412" i="5"/>
  <c r="S412" i="5" s="1"/>
  <c r="R412" i="5"/>
  <c r="T412" i="5"/>
  <c r="C413" i="5"/>
  <c r="D413" i="5"/>
  <c r="E413" i="5"/>
  <c r="F413" i="5"/>
  <c r="H413" i="5"/>
  <c r="I413" i="5"/>
  <c r="N413" i="5"/>
  <c r="R413" i="5"/>
  <c r="Q413" i="5" s="1"/>
  <c r="S413" i="5"/>
  <c r="T413" i="5"/>
  <c r="C414" i="5"/>
  <c r="D414" i="5"/>
  <c r="E414" i="5"/>
  <c r="F414" i="5"/>
  <c r="H414" i="5"/>
  <c r="I414" i="5"/>
  <c r="L414" i="5"/>
  <c r="N414" i="5"/>
  <c r="Q414" i="5"/>
  <c r="S414" i="5" s="1"/>
  <c r="R414" i="5"/>
  <c r="T414" i="5"/>
  <c r="C415" i="5"/>
  <c r="D415" i="5"/>
  <c r="E415" i="5"/>
  <c r="F415" i="5"/>
  <c r="F1090" i="5" s="1"/>
  <c r="H415" i="5"/>
  <c r="I415" i="5"/>
  <c r="N415" i="5"/>
  <c r="Q415" i="5"/>
  <c r="S415" i="5" s="1"/>
  <c r="R415" i="5"/>
  <c r="T415" i="5"/>
  <c r="C416" i="5"/>
  <c r="D416" i="5"/>
  <c r="E416" i="5"/>
  <c r="F416" i="5"/>
  <c r="H416" i="5"/>
  <c r="I416" i="5"/>
  <c r="N416" i="5"/>
  <c r="R416" i="5"/>
  <c r="Q416" i="5" s="1"/>
  <c r="S416" i="5" s="1"/>
  <c r="T416" i="5"/>
  <c r="C417" i="5"/>
  <c r="D417" i="5"/>
  <c r="E417" i="5"/>
  <c r="F417" i="5"/>
  <c r="H417" i="5"/>
  <c r="I417" i="5"/>
  <c r="N417" i="5"/>
  <c r="R417" i="5"/>
  <c r="Q417" i="5" s="1"/>
  <c r="S417" i="5"/>
  <c r="T417" i="5"/>
  <c r="C418" i="5"/>
  <c r="D418" i="5"/>
  <c r="E418" i="5"/>
  <c r="F418" i="5"/>
  <c r="H418" i="5"/>
  <c r="I418" i="5"/>
  <c r="L418" i="5"/>
  <c r="N418" i="5"/>
  <c r="R418" i="5"/>
  <c r="Q418" i="5" s="1"/>
  <c r="S418" i="5" s="1"/>
  <c r="T418" i="5"/>
  <c r="C419" i="5"/>
  <c r="D419" i="5"/>
  <c r="E419" i="5"/>
  <c r="F419" i="5"/>
  <c r="H419" i="5"/>
  <c r="I419" i="5"/>
  <c r="N419" i="5"/>
  <c r="Q419" i="5"/>
  <c r="S419" i="5" s="1"/>
  <c r="R419" i="5"/>
  <c r="T419" i="5"/>
  <c r="C420" i="5"/>
  <c r="D420" i="5"/>
  <c r="E420" i="5"/>
  <c r="F420" i="5"/>
  <c r="H420" i="5"/>
  <c r="H1091" i="5" s="1"/>
  <c r="I420" i="5"/>
  <c r="N420" i="5"/>
  <c r="R420" i="5"/>
  <c r="Q420" i="5" s="1"/>
  <c r="T420" i="5"/>
  <c r="C421" i="5"/>
  <c r="D421" i="5"/>
  <c r="E421" i="5"/>
  <c r="F421" i="5"/>
  <c r="H421" i="5"/>
  <c r="I421" i="5"/>
  <c r="N421" i="5"/>
  <c r="R421" i="5"/>
  <c r="Q421" i="5" s="1"/>
  <c r="S421" i="5"/>
  <c r="T421" i="5"/>
  <c r="T1091" i="5" s="1"/>
  <c r="C422" i="5"/>
  <c r="D422" i="5"/>
  <c r="E422" i="5"/>
  <c r="F422" i="5"/>
  <c r="H422" i="5"/>
  <c r="I422" i="5"/>
  <c r="L422" i="5"/>
  <c r="N422" i="5"/>
  <c r="N1091" i="5" s="1"/>
  <c r="R422" i="5"/>
  <c r="Q422" i="5" s="1"/>
  <c r="S422" i="5" s="1"/>
  <c r="T422" i="5"/>
  <c r="C423" i="5"/>
  <c r="D423" i="5"/>
  <c r="E423" i="5"/>
  <c r="F423" i="5"/>
  <c r="H423" i="5"/>
  <c r="I423" i="5"/>
  <c r="N423" i="5"/>
  <c r="Q423" i="5"/>
  <c r="S423" i="5" s="1"/>
  <c r="R423" i="5"/>
  <c r="T423" i="5"/>
  <c r="C424" i="5"/>
  <c r="D424" i="5"/>
  <c r="E424" i="5"/>
  <c r="F424" i="5"/>
  <c r="H424" i="5"/>
  <c r="I424" i="5"/>
  <c r="N424" i="5"/>
  <c r="Q424" i="5"/>
  <c r="S424" i="5" s="1"/>
  <c r="R424" i="5"/>
  <c r="T424" i="5"/>
  <c r="C425" i="5"/>
  <c r="L425" i="5" s="1"/>
  <c r="D425" i="5"/>
  <c r="E425" i="5"/>
  <c r="F425" i="5"/>
  <c r="H425" i="5"/>
  <c r="I425" i="5"/>
  <c r="N425" i="5"/>
  <c r="R425" i="5"/>
  <c r="Q425" i="5" s="1"/>
  <c r="S425" i="5" s="1"/>
  <c r="T425" i="5"/>
  <c r="C426" i="5"/>
  <c r="D426" i="5"/>
  <c r="E426" i="5"/>
  <c r="F426" i="5"/>
  <c r="H426" i="5"/>
  <c r="L426" i="5" s="1"/>
  <c r="I426" i="5"/>
  <c r="N426" i="5"/>
  <c r="R426" i="5"/>
  <c r="Q426" i="5" s="1"/>
  <c r="S426" i="5" s="1"/>
  <c r="T426" i="5"/>
  <c r="C427" i="5"/>
  <c r="D427" i="5"/>
  <c r="E427" i="5"/>
  <c r="F427" i="5"/>
  <c r="H427" i="5"/>
  <c r="I427" i="5"/>
  <c r="N427" i="5"/>
  <c r="R427" i="5"/>
  <c r="Q427" i="5" s="1"/>
  <c r="S427" i="5" s="1"/>
  <c r="T427" i="5"/>
  <c r="C428" i="5"/>
  <c r="D428" i="5"/>
  <c r="E428" i="5"/>
  <c r="F428" i="5"/>
  <c r="H428" i="5"/>
  <c r="I428" i="5"/>
  <c r="N428" i="5"/>
  <c r="Q428" i="5"/>
  <c r="S428" i="5" s="1"/>
  <c r="R428" i="5"/>
  <c r="T428" i="5"/>
  <c r="C429" i="5"/>
  <c r="D429" i="5"/>
  <c r="E429" i="5"/>
  <c r="F429" i="5"/>
  <c r="H429" i="5"/>
  <c r="I429" i="5"/>
  <c r="N429" i="5"/>
  <c r="R429" i="5"/>
  <c r="Q429" i="5" s="1"/>
  <c r="S429" i="5"/>
  <c r="T429" i="5"/>
  <c r="C430" i="5"/>
  <c r="L430" i="5" s="1"/>
  <c r="D430" i="5"/>
  <c r="E430" i="5"/>
  <c r="F430" i="5"/>
  <c r="H430" i="5"/>
  <c r="I430" i="5"/>
  <c r="N430" i="5"/>
  <c r="Q430" i="5"/>
  <c r="S430" i="5" s="1"/>
  <c r="R430" i="5"/>
  <c r="T430" i="5"/>
  <c r="C431" i="5"/>
  <c r="D431" i="5"/>
  <c r="E431" i="5"/>
  <c r="F431" i="5"/>
  <c r="H431" i="5"/>
  <c r="I431" i="5"/>
  <c r="I1091" i="5" s="1"/>
  <c r="N431" i="5"/>
  <c r="Q431" i="5"/>
  <c r="S431" i="5" s="1"/>
  <c r="R431" i="5"/>
  <c r="T431" i="5"/>
  <c r="C432" i="5"/>
  <c r="D432" i="5"/>
  <c r="E432" i="5"/>
  <c r="F432" i="5"/>
  <c r="H432" i="5"/>
  <c r="I432" i="5"/>
  <c r="N432" i="5"/>
  <c r="R432" i="5"/>
  <c r="T432" i="5"/>
  <c r="C433" i="5"/>
  <c r="L433" i="5" s="1"/>
  <c r="D433" i="5"/>
  <c r="E433" i="5"/>
  <c r="F433" i="5"/>
  <c r="H433" i="5"/>
  <c r="I433" i="5"/>
  <c r="N433" i="5"/>
  <c r="R433" i="5"/>
  <c r="Q433" i="5" s="1"/>
  <c r="S433" i="5" s="1"/>
  <c r="T433" i="5"/>
  <c r="C434" i="5"/>
  <c r="D434" i="5"/>
  <c r="E434" i="5"/>
  <c r="F434" i="5"/>
  <c r="H434" i="5"/>
  <c r="I434" i="5"/>
  <c r="L434" i="5" s="1"/>
  <c r="N434" i="5"/>
  <c r="R434" i="5"/>
  <c r="Q434" i="5" s="1"/>
  <c r="S434" i="5" s="1"/>
  <c r="T434" i="5"/>
  <c r="C435" i="5"/>
  <c r="D435" i="5"/>
  <c r="E435" i="5"/>
  <c r="F435" i="5"/>
  <c r="H435" i="5"/>
  <c r="I435" i="5"/>
  <c r="N435" i="5"/>
  <c r="Q435" i="5"/>
  <c r="R435" i="5"/>
  <c r="S435" i="5"/>
  <c r="T435" i="5"/>
  <c r="C436" i="5"/>
  <c r="D436" i="5"/>
  <c r="E436" i="5"/>
  <c r="F436" i="5"/>
  <c r="H436" i="5"/>
  <c r="I436" i="5"/>
  <c r="L436" i="5"/>
  <c r="N436" i="5"/>
  <c r="Q436" i="5"/>
  <c r="S436" i="5" s="1"/>
  <c r="R436" i="5"/>
  <c r="T436" i="5"/>
  <c r="C437" i="5"/>
  <c r="D437" i="5"/>
  <c r="E437" i="5"/>
  <c r="F437" i="5"/>
  <c r="H437" i="5"/>
  <c r="I437" i="5"/>
  <c r="N437" i="5"/>
  <c r="R437" i="5"/>
  <c r="Q437" i="5" s="1"/>
  <c r="S437" i="5"/>
  <c r="T437" i="5"/>
  <c r="C438" i="5"/>
  <c r="D438" i="5"/>
  <c r="L438" i="5" s="1"/>
  <c r="E438" i="5"/>
  <c r="F438" i="5"/>
  <c r="H438" i="5"/>
  <c r="I438" i="5"/>
  <c r="N438" i="5"/>
  <c r="R438" i="5"/>
  <c r="Q438" i="5" s="1"/>
  <c r="S438" i="5" s="1"/>
  <c r="T438" i="5"/>
  <c r="C439" i="5"/>
  <c r="D439" i="5"/>
  <c r="E439" i="5"/>
  <c r="F439" i="5"/>
  <c r="H439" i="5"/>
  <c r="I439" i="5"/>
  <c r="N439" i="5"/>
  <c r="R439" i="5"/>
  <c r="Q439" i="5" s="1"/>
  <c r="S439" i="5" s="1"/>
  <c r="T439" i="5"/>
  <c r="C440" i="5"/>
  <c r="D440" i="5"/>
  <c r="E440" i="5"/>
  <c r="F440" i="5"/>
  <c r="H440" i="5"/>
  <c r="I440" i="5"/>
  <c r="N440" i="5"/>
  <c r="Q440" i="5"/>
  <c r="S440" i="5" s="1"/>
  <c r="R440" i="5"/>
  <c r="T440" i="5"/>
  <c r="C441" i="5"/>
  <c r="D441" i="5"/>
  <c r="E441" i="5"/>
  <c r="F441" i="5"/>
  <c r="H441" i="5"/>
  <c r="I441" i="5"/>
  <c r="N441" i="5"/>
  <c r="Q441" i="5"/>
  <c r="S441" i="5" s="1"/>
  <c r="R441" i="5"/>
  <c r="T441" i="5"/>
  <c r="C442" i="5"/>
  <c r="D442" i="5"/>
  <c r="E442" i="5"/>
  <c r="F442" i="5"/>
  <c r="H442" i="5"/>
  <c r="L442" i="5" s="1"/>
  <c r="I442" i="5"/>
  <c r="N442" i="5"/>
  <c r="R442" i="5"/>
  <c r="Q442" i="5" s="1"/>
  <c r="S442" i="5" s="1"/>
  <c r="T442" i="5"/>
  <c r="C443" i="5"/>
  <c r="L443" i="5" s="1"/>
  <c r="D443" i="5"/>
  <c r="E443" i="5"/>
  <c r="F443" i="5"/>
  <c r="H443" i="5"/>
  <c r="I443" i="5"/>
  <c r="N443" i="5"/>
  <c r="R443" i="5"/>
  <c r="Q443" i="5" s="1"/>
  <c r="S443" i="5" s="1"/>
  <c r="T443" i="5"/>
  <c r="T1092" i="5" s="1"/>
  <c r="C444" i="5"/>
  <c r="L444" i="5" s="1"/>
  <c r="D444" i="5"/>
  <c r="E444" i="5"/>
  <c r="F444" i="5"/>
  <c r="H444" i="5"/>
  <c r="I444" i="5"/>
  <c r="N444" i="5"/>
  <c r="Q444" i="5"/>
  <c r="R444" i="5"/>
  <c r="T444" i="5"/>
  <c r="C445" i="5"/>
  <c r="D445" i="5"/>
  <c r="E445" i="5"/>
  <c r="F445" i="5"/>
  <c r="H445" i="5"/>
  <c r="I445" i="5"/>
  <c r="N445" i="5"/>
  <c r="R445" i="5"/>
  <c r="Q445" i="5" s="1"/>
  <c r="S445" i="5"/>
  <c r="T445" i="5"/>
  <c r="C446" i="5"/>
  <c r="D446" i="5"/>
  <c r="E446" i="5"/>
  <c r="F446" i="5"/>
  <c r="H446" i="5"/>
  <c r="I446" i="5"/>
  <c r="L446" i="5"/>
  <c r="N446" i="5"/>
  <c r="Q446" i="5"/>
  <c r="S446" i="5" s="1"/>
  <c r="R446" i="5"/>
  <c r="T446" i="5"/>
  <c r="C447" i="5"/>
  <c r="L447" i="5" s="1"/>
  <c r="D447" i="5"/>
  <c r="E447" i="5"/>
  <c r="F447" i="5"/>
  <c r="H447" i="5"/>
  <c r="I447" i="5"/>
  <c r="N447" i="5"/>
  <c r="Q447" i="5"/>
  <c r="S447" i="5" s="1"/>
  <c r="R447" i="5"/>
  <c r="T447" i="5"/>
  <c r="C448" i="5"/>
  <c r="D448" i="5"/>
  <c r="E448" i="5"/>
  <c r="F448" i="5"/>
  <c r="H448" i="5"/>
  <c r="I448" i="5"/>
  <c r="N448" i="5"/>
  <c r="R448" i="5"/>
  <c r="Q448" i="5" s="1"/>
  <c r="S448" i="5" s="1"/>
  <c r="T448" i="5"/>
  <c r="C449" i="5"/>
  <c r="L449" i="5" s="1"/>
  <c r="D449" i="5"/>
  <c r="E449" i="5"/>
  <c r="F449" i="5"/>
  <c r="H449" i="5"/>
  <c r="I449" i="5"/>
  <c r="N449" i="5"/>
  <c r="R449" i="5"/>
  <c r="Q449" i="5" s="1"/>
  <c r="S449" i="5" s="1"/>
  <c r="T449" i="5"/>
  <c r="C450" i="5"/>
  <c r="D450" i="5"/>
  <c r="E450" i="5"/>
  <c r="F450" i="5"/>
  <c r="H450" i="5"/>
  <c r="L450" i="5" s="1"/>
  <c r="I450" i="5"/>
  <c r="N450" i="5"/>
  <c r="R450" i="5"/>
  <c r="Q450" i="5" s="1"/>
  <c r="S450" i="5" s="1"/>
  <c r="T450" i="5"/>
  <c r="C451" i="5"/>
  <c r="D451" i="5"/>
  <c r="E451" i="5"/>
  <c r="F451" i="5"/>
  <c r="H451" i="5"/>
  <c r="I451" i="5"/>
  <c r="N451" i="5"/>
  <c r="Q451" i="5"/>
  <c r="S451" i="5" s="1"/>
  <c r="R451" i="5"/>
  <c r="T451" i="5"/>
  <c r="C452" i="5"/>
  <c r="D452" i="5"/>
  <c r="E452" i="5"/>
  <c r="F452" i="5"/>
  <c r="H452" i="5"/>
  <c r="L452" i="5" s="1"/>
  <c r="I452" i="5"/>
  <c r="N452" i="5"/>
  <c r="Q452" i="5"/>
  <c r="S452" i="5" s="1"/>
  <c r="R452" i="5"/>
  <c r="T452" i="5"/>
  <c r="C453" i="5"/>
  <c r="D453" i="5"/>
  <c r="E453" i="5"/>
  <c r="F453" i="5"/>
  <c r="F1093" i="5" s="1"/>
  <c r="H453" i="5"/>
  <c r="I453" i="5"/>
  <c r="N453" i="5"/>
  <c r="R453" i="5"/>
  <c r="Q453" i="5" s="1"/>
  <c r="S453" i="5"/>
  <c r="T453" i="5"/>
  <c r="C454" i="5"/>
  <c r="D454" i="5"/>
  <c r="L454" i="5" s="1"/>
  <c r="E454" i="5"/>
  <c r="F454" i="5"/>
  <c r="H454" i="5"/>
  <c r="I454" i="5"/>
  <c r="N454" i="5"/>
  <c r="R454" i="5"/>
  <c r="T454" i="5"/>
  <c r="C455" i="5"/>
  <c r="D455" i="5"/>
  <c r="E455" i="5"/>
  <c r="F455" i="5"/>
  <c r="H455" i="5"/>
  <c r="I455" i="5"/>
  <c r="N455" i="5"/>
  <c r="Q455" i="5"/>
  <c r="S455" i="5" s="1"/>
  <c r="R455" i="5"/>
  <c r="T455" i="5"/>
  <c r="C456" i="5"/>
  <c r="D456" i="5"/>
  <c r="E456" i="5"/>
  <c r="F456" i="5"/>
  <c r="H456" i="5"/>
  <c r="H1094" i="5" s="1"/>
  <c r="I456" i="5"/>
  <c r="N456" i="5"/>
  <c r="Q456" i="5"/>
  <c r="S456" i="5" s="1"/>
  <c r="R456" i="5"/>
  <c r="T456" i="5"/>
  <c r="C457" i="5"/>
  <c r="D457" i="5"/>
  <c r="E457" i="5"/>
  <c r="E1094" i="5" s="1"/>
  <c r="F457" i="5"/>
  <c r="H457" i="5"/>
  <c r="I457" i="5"/>
  <c r="N457" i="5"/>
  <c r="Q457" i="5"/>
  <c r="S457" i="5" s="1"/>
  <c r="R457" i="5"/>
  <c r="T457" i="5"/>
  <c r="C458" i="5"/>
  <c r="D458" i="5"/>
  <c r="E458" i="5"/>
  <c r="F458" i="5"/>
  <c r="H458" i="5"/>
  <c r="I458" i="5"/>
  <c r="N458" i="5"/>
  <c r="R458" i="5"/>
  <c r="Q458" i="5" s="1"/>
  <c r="S458" i="5" s="1"/>
  <c r="T458" i="5"/>
  <c r="C459" i="5"/>
  <c r="D459" i="5"/>
  <c r="E459" i="5"/>
  <c r="F459" i="5"/>
  <c r="H459" i="5"/>
  <c r="I459" i="5"/>
  <c r="N459" i="5"/>
  <c r="Q459" i="5"/>
  <c r="R459" i="5"/>
  <c r="T459" i="5"/>
  <c r="T1094" i="5" s="1"/>
  <c r="C460" i="5"/>
  <c r="D460" i="5"/>
  <c r="E460" i="5"/>
  <c r="F460" i="5"/>
  <c r="H460" i="5"/>
  <c r="I460" i="5"/>
  <c r="N460" i="5"/>
  <c r="N1094" i="5" s="1"/>
  <c r="Q460" i="5"/>
  <c r="S460" i="5" s="1"/>
  <c r="R460" i="5"/>
  <c r="T460" i="5"/>
  <c r="C461" i="5"/>
  <c r="D461" i="5"/>
  <c r="E461" i="5"/>
  <c r="F461" i="5"/>
  <c r="H461" i="5"/>
  <c r="I461" i="5"/>
  <c r="N461" i="5"/>
  <c r="R461" i="5"/>
  <c r="Q461" i="5" s="1"/>
  <c r="S461" i="5"/>
  <c r="T461" i="5"/>
  <c r="C462" i="5"/>
  <c r="L462" i="5" s="1"/>
  <c r="D462" i="5"/>
  <c r="E462" i="5"/>
  <c r="F462" i="5"/>
  <c r="H462" i="5"/>
  <c r="I462" i="5"/>
  <c r="N462" i="5"/>
  <c r="Q462" i="5"/>
  <c r="S462" i="5" s="1"/>
  <c r="R462" i="5"/>
  <c r="T462" i="5"/>
  <c r="C463" i="5"/>
  <c r="L463" i="5" s="1"/>
  <c r="D463" i="5"/>
  <c r="E463" i="5"/>
  <c r="F463" i="5"/>
  <c r="H463" i="5"/>
  <c r="I463" i="5"/>
  <c r="N463" i="5"/>
  <c r="Q463" i="5"/>
  <c r="S463" i="5" s="1"/>
  <c r="R463" i="5"/>
  <c r="T463" i="5"/>
  <c r="C464" i="5"/>
  <c r="D464" i="5"/>
  <c r="E464" i="5"/>
  <c r="F464" i="5"/>
  <c r="H464" i="5"/>
  <c r="I464" i="5"/>
  <c r="N464" i="5"/>
  <c r="R464" i="5"/>
  <c r="Q464" i="5" s="1"/>
  <c r="S464" i="5" s="1"/>
  <c r="T464" i="5"/>
  <c r="C465" i="5"/>
  <c r="L465" i="5" s="1"/>
  <c r="D465" i="5"/>
  <c r="E465" i="5"/>
  <c r="F465" i="5"/>
  <c r="H465" i="5"/>
  <c r="I465" i="5"/>
  <c r="N465" i="5"/>
  <c r="R465" i="5"/>
  <c r="Q465" i="5" s="1"/>
  <c r="S465" i="5" s="1"/>
  <c r="T465" i="5"/>
  <c r="C466" i="5"/>
  <c r="D466" i="5"/>
  <c r="E466" i="5"/>
  <c r="F466" i="5"/>
  <c r="H466" i="5"/>
  <c r="I466" i="5"/>
  <c r="L466" i="5" s="1"/>
  <c r="N466" i="5"/>
  <c r="R466" i="5"/>
  <c r="Q466" i="5" s="1"/>
  <c r="S466" i="5" s="1"/>
  <c r="T466" i="5"/>
  <c r="C467" i="5"/>
  <c r="D467" i="5"/>
  <c r="E467" i="5"/>
  <c r="F467" i="5"/>
  <c r="H467" i="5"/>
  <c r="I467" i="5"/>
  <c r="N467" i="5"/>
  <c r="Q467" i="5"/>
  <c r="R467" i="5"/>
  <c r="S467" i="5"/>
  <c r="T467" i="5"/>
  <c r="C468" i="5"/>
  <c r="D468" i="5"/>
  <c r="E468" i="5"/>
  <c r="F468" i="5"/>
  <c r="H468" i="5"/>
  <c r="I468" i="5"/>
  <c r="L468" i="5"/>
  <c r="N468" i="5"/>
  <c r="Q468" i="5"/>
  <c r="S468" i="5" s="1"/>
  <c r="R468" i="5"/>
  <c r="T468" i="5"/>
  <c r="C469" i="5"/>
  <c r="D469" i="5"/>
  <c r="E469" i="5"/>
  <c r="F469" i="5"/>
  <c r="H469" i="5"/>
  <c r="I469" i="5"/>
  <c r="N469" i="5"/>
  <c r="R469" i="5"/>
  <c r="Q469" i="5" s="1"/>
  <c r="S469" i="5"/>
  <c r="T469" i="5"/>
  <c r="C470" i="5"/>
  <c r="D470" i="5"/>
  <c r="E470" i="5"/>
  <c r="F470" i="5"/>
  <c r="H470" i="5"/>
  <c r="I470" i="5"/>
  <c r="L470" i="5"/>
  <c r="N470" i="5"/>
  <c r="R470" i="5"/>
  <c r="Q470" i="5" s="1"/>
  <c r="S470" i="5" s="1"/>
  <c r="T470" i="5"/>
  <c r="C471" i="5"/>
  <c r="D471" i="5"/>
  <c r="E471" i="5"/>
  <c r="F471" i="5"/>
  <c r="H471" i="5"/>
  <c r="I471" i="5"/>
  <c r="N471" i="5"/>
  <c r="Q471" i="5"/>
  <c r="S471" i="5" s="1"/>
  <c r="R471" i="5"/>
  <c r="T471" i="5"/>
  <c r="C472" i="5"/>
  <c r="D472" i="5"/>
  <c r="D1095" i="5" s="1"/>
  <c r="E472" i="5"/>
  <c r="F472" i="5"/>
  <c r="H472" i="5"/>
  <c r="I472" i="5"/>
  <c r="N472" i="5"/>
  <c r="Q472" i="5"/>
  <c r="S472" i="5" s="1"/>
  <c r="R472" i="5"/>
  <c r="T472" i="5"/>
  <c r="C473" i="5"/>
  <c r="L473" i="5" s="1"/>
  <c r="D473" i="5"/>
  <c r="E473" i="5"/>
  <c r="F473" i="5"/>
  <c r="H473" i="5"/>
  <c r="I473" i="5"/>
  <c r="N473" i="5"/>
  <c r="Q473" i="5"/>
  <c r="R473" i="5"/>
  <c r="T473" i="5"/>
  <c r="C474" i="5"/>
  <c r="D474" i="5"/>
  <c r="E474" i="5"/>
  <c r="F474" i="5"/>
  <c r="H474" i="5"/>
  <c r="I474" i="5"/>
  <c r="I1095" i="5" s="1"/>
  <c r="N474" i="5"/>
  <c r="R474" i="5"/>
  <c r="Q474" i="5" s="1"/>
  <c r="S474" i="5" s="1"/>
  <c r="T474" i="5"/>
  <c r="C475" i="5"/>
  <c r="L475" i="5" s="1"/>
  <c r="D475" i="5"/>
  <c r="E475" i="5"/>
  <c r="F475" i="5"/>
  <c r="H475" i="5"/>
  <c r="I475" i="5"/>
  <c r="N475" i="5"/>
  <c r="Q475" i="5"/>
  <c r="S475" i="5" s="1"/>
  <c r="R475" i="5"/>
  <c r="T475" i="5"/>
  <c r="C476" i="5"/>
  <c r="D476" i="5"/>
  <c r="E476" i="5"/>
  <c r="F476" i="5"/>
  <c r="H476" i="5"/>
  <c r="I476" i="5"/>
  <c r="N476" i="5"/>
  <c r="Q476" i="5"/>
  <c r="S476" i="5" s="1"/>
  <c r="R476" i="5"/>
  <c r="T476" i="5"/>
  <c r="C477" i="5"/>
  <c r="D477" i="5"/>
  <c r="E477" i="5"/>
  <c r="F477" i="5"/>
  <c r="H477" i="5"/>
  <c r="I477" i="5"/>
  <c r="N477" i="5"/>
  <c r="R477" i="5"/>
  <c r="Q477" i="5" s="1"/>
  <c r="S477" i="5"/>
  <c r="T477" i="5"/>
  <c r="C478" i="5"/>
  <c r="D478" i="5"/>
  <c r="E478" i="5"/>
  <c r="F478" i="5"/>
  <c r="H478" i="5"/>
  <c r="I478" i="5"/>
  <c r="L478" i="5"/>
  <c r="N478" i="5"/>
  <c r="Q478" i="5"/>
  <c r="S478" i="5" s="1"/>
  <c r="R478" i="5"/>
  <c r="T478" i="5"/>
  <c r="C479" i="5"/>
  <c r="D479" i="5"/>
  <c r="E479" i="5"/>
  <c r="F479" i="5"/>
  <c r="H479" i="5"/>
  <c r="I479" i="5"/>
  <c r="N479" i="5"/>
  <c r="Q479" i="5"/>
  <c r="S479" i="5" s="1"/>
  <c r="R479" i="5"/>
  <c r="T479" i="5"/>
  <c r="C480" i="5"/>
  <c r="D480" i="5"/>
  <c r="E480" i="5"/>
  <c r="F480" i="5"/>
  <c r="H480" i="5"/>
  <c r="I480" i="5"/>
  <c r="N480" i="5"/>
  <c r="R480" i="5"/>
  <c r="Q480" i="5" s="1"/>
  <c r="S480" i="5" s="1"/>
  <c r="T480" i="5"/>
  <c r="C481" i="5"/>
  <c r="D481" i="5"/>
  <c r="E481" i="5"/>
  <c r="F481" i="5"/>
  <c r="H481" i="5"/>
  <c r="I481" i="5"/>
  <c r="N481" i="5"/>
  <c r="R481" i="5"/>
  <c r="Q481" i="5" s="1"/>
  <c r="S481" i="5" s="1"/>
  <c r="T481" i="5"/>
  <c r="C482" i="5"/>
  <c r="D482" i="5"/>
  <c r="E482" i="5"/>
  <c r="F482" i="5"/>
  <c r="H482" i="5"/>
  <c r="I482" i="5"/>
  <c r="N482" i="5"/>
  <c r="R482" i="5"/>
  <c r="Q482" i="5" s="1"/>
  <c r="S482" i="5" s="1"/>
  <c r="T482" i="5"/>
  <c r="C483" i="5"/>
  <c r="D483" i="5"/>
  <c r="E483" i="5"/>
  <c r="F483" i="5"/>
  <c r="H483" i="5"/>
  <c r="I483" i="5"/>
  <c r="N483" i="5"/>
  <c r="Q483" i="5"/>
  <c r="S483" i="5" s="1"/>
  <c r="R483" i="5"/>
  <c r="T483" i="5"/>
  <c r="C484" i="5"/>
  <c r="L484" i="5" s="1"/>
  <c r="D484" i="5"/>
  <c r="E484" i="5"/>
  <c r="F484" i="5"/>
  <c r="H484" i="5"/>
  <c r="I484" i="5"/>
  <c r="N484" i="5"/>
  <c r="R484" i="5"/>
  <c r="R1096" i="5" s="1"/>
  <c r="T484" i="5"/>
  <c r="C485" i="5"/>
  <c r="D485" i="5"/>
  <c r="E485" i="5"/>
  <c r="F485" i="5"/>
  <c r="H485" i="5"/>
  <c r="I485" i="5"/>
  <c r="N485" i="5"/>
  <c r="R485" i="5"/>
  <c r="Q485" i="5" s="1"/>
  <c r="S485" i="5"/>
  <c r="T485" i="5"/>
  <c r="C486" i="5"/>
  <c r="D486" i="5"/>
  <c r="E486" i="5"/>
  <c r="F486" i="5"/>
  <c r="H486" i="5"/>
  <c r="I486" i="5"/>
  <c r="L486" i="5"/>
  <c r="N486" i="5"/>
  <c r="R486" i="5"/>
  <c r="Q486" i="5" s="1"/>
  <c r="S486" i="5" s="1"/>
  <c r="T486" i="5"/>
  <c r="C487" i="5"/>
  <c r="D487" i="5"/>
  <c r="E487" i="5"/>
  <c r="F487" i="5"/>
  <c r="H487" i="5"/>
  <c r="I487" i="5"/>
  <c r="N487" i="5"/>
  <c r="Q487" i="5"/>
  <c r="S487" i="5" s="1"/>
  <c r="R487" i="5"/>
  <c r="T487" i="5"/>
  <c r="C488" i="5"/>
  <c r="D488" i="5"/>
  <c r="E488" i="5"/>
  <c r="F488" i="5"/>
  <c r="H488" i="5"/>
  <c r="I488" i="5"/>
  <c r="N488" i="5"/>
  <c r="Q488" i="5"/>
  <c r="S488" i="5" s="1"/>
  <c r="R488" i="5"/>
  <c r="T488" i="5"/>
  <c r="C489" i="5"/>
  <c r="D489" i="5"/>
  <c r="E489" i="5"/>
  <c r="F489" i="5"/>
  <c r="H489" i="5"/>
  <c r="I489" i="5"/>
  <c r="N489" i="5"/>
  <c r="Q489" i="5"/>
  <c r="S489" i="5" s="1"/>
  <c r="R489" i="5"/>
  <c r="T489" i="5"/>
  <c r="C490" i="5"/>
  <c r="D490" i="5"/>
  <c r="E490" i="5"/>
  <c r="F490" i="5"/>
  <c r="H490" i="5"/>
  <c r="I490" i="5"/>
  <c r="N490" i="5"/>
  <c r="N1096" i="5" s="1"/>
  <c r="R490" i="5"/>
  <c r="Q490" i="5" s="1"/>
  <c r="S490" i="5" s="1"/>
  <c r="T490" i="5"/>
  <c r="C491" i="5"/>
  <c r="D491" i="5"/>
  <c r="E491" i="5"/>
  <c r="E1096" i="5" s="1"/>
  <c r="F491" i="5"/>
  <c r="H491" i="5"/>
  <c r="I491" i="5"/>
  <c r="N491" i="5"/>
  <c r="R491" i="5"/>
  <c r="Q491" i="5" s="1"/>
  <c r="S491" i="5" s="1"/>
  <c r="T491" i="5"/>
  <c r="C492" i="5"/>
  <c r="D492" i="5"/>
  <c r="E492" i="5"/>
  <c r="F492" i="5"/>
  <c r="H492" i="5"/>
  <c r="I492" i="5"/>
  <c r="N492" i="5"/>
  <c r="Q492" i="5"/>
  <c r="S492" i="5" s="1"/>
  <c r="R492" i="5"/>
  <c r="T492" i="5"/>
  <c r="C493" i="5"/>
  <c r="D493" i="5"/>
  <c r="E493" i="5"/>
  <c r="F493" i="5"/>
  <c r="H493" i="5"/>
  <c r="I493" i="5"/>
  <c r="N493" i="5"/>
  <c r="R493" i="5"/>
  <c r="Q493" i="5" s="1"/>
  <c r="S493" i="5"/>
  <c r="T493" i="5"/>
  <c r="C494" i="5"/>
  <c r="D494" i="5"/>
  <c r="E494" i="5"/>
  <c r="F494" i="5"/>
  <c r="H494" i="5"/>
  <c r="I494" i="5"/>
  <c r="L494" i="5"/>
  <c r="N494" i="5"/>
  <c r="Q494" i="5"/>
  <c r="R494" i="5"/>
  <c r="T494" i="5"/>
  <c r="C495" i="5"/>
  <c r="D495" i="5"/>
  <c r="E495" i="5"/>
  <c r="F495" i="5"/>
  <c r="H495" i="5"/>
  <c r="I495" i="5"/>
  <c r="N495" i="5"/>
  <c r="Q495" i="5"/>
  <c r="S495" i="5" s="1"/>
  <c r="R495" i="5"/>
  <c r="T495" i="5"/>
  <c r="C496" i="5"/>
  <c r="D496" i="5"/>
  <c r="E496" i="5"/>
  <c r="F496" i="5"/>
  <c r="H496" i="5"/>
  <c r="I496" i="5"/>
  <c r="N496" i="5"/>
  <c r="R496" i="5"/>
  <c r="Q496" i="5" s="1"/>
  <c r="S496" i="5" s="1"/>
  <c r="T496" i="5"/>
  <c r="C497" i="5"/>
  <c r="D497" i="5"/>
  <c r="E497" i="5"/>
  <c r="F497" i="5"/>
  <c r="H497" i="5"/>
  <c r="I497" i="5"/>
  <c r="N497" i="5"/>
  <c r="R497" i="5"/>
  <c r="Q497" i="5" s="1"/>
  <c r="T497" i="5"/>
  <c r="C498" i="5"/>
  <c r="D498" i="5"/>
  <c r="E498" i="5"/>
  <c r="F498" i="5"/>
  <c r="H498" i="5"/>
  <c r="I498" i="5"/>
  <c r="N498" i="5"/>
  <c r="R498" i="5"/>
  <c r="Q498" i="5" s="1"/>
  <c r="S498" i="5" s="1"/>
  <c r="T498" i="5"/>
  <c r="C499" i="5"/>
  <c r="D499" i="5"/>
  <c r="E499" i="5"/>
  <c r="F499" i="5"/>
  <c r="H499" i="5"/>
  <c r="I499" i="5"/>
  <c r="N499" i="5"/>
  <c r="Q499" i="5"/>
  <c r="R499" i="5"/>
  <c r="S499" i="5"/>
  <c r="T499" i="5"/>
  <c r="C500" i="5"/>
  <c r="D500" i="5"/>
  <c r="E500" i="5"/>
  <c r="F500" i="5"/>
  <c r="H500" i="5"/>
  <c r="I500" i="5"/>
  <c r="N500" i="5"/>
  <c r="R500" i="5"/>
  <c r="T500" i="5"/>
  <c r="C501" i="5"/>
  <c r="D501" i="5"/>
  <c r="E501" i="5"/>
  <c r="F501" i="5"/>
  <c r="H501" i="5"/>
  <c r="I501" i="5"/>
  <c r="N501" i="5"/>
  <c r="R501" i="5"/>
  <c r="Q501" i="5" s="1"/>
  <c r="S501" i="5"/>
  <c r="T501" i="5"/>
  <c r="C502" i="5"/>
  <c r="D502" i="5"/>
  <c r="L502" i="5" s="1"/>
  <c r="E502" i="5"/>
  <c r="F502" i="5"/>
  <c r="H502" i="5"/>
  <c r="I502" i="5"/>
  <c r="N502" i="5"/>
  <c r="R502" i="5"/>
  <c r="Q502" i="5" s="1"/>
  <c r="S502" i="5" s="1"/>
  <c r="T502" i="5"/>
  <c r="C503" i="5"/>
  <c r="D503" i="5"/>
  <c r="E503" i="5"/>
  <c r="F503" i="5"/>
  <c r="H503" i="5"/>
  <c r="I503" i="5"/>
  <c r="N503" i="5"/>
  <c r="Q503" i="5"/>
  <c r="S503" i="5" s="1"/>
  <c r="R503" i="5"/>
  <c r="T503" i="5"/>
  <c r="C504" i="5"/>
  <c r="D504" i="5"/>
  <c r="E504" i="5"/>
  <c r="F504" i="5"/>
  <c r="H504" i="5"/>
  <c r="I504" i="5"/>
  <c r="N504" i="5"/>
  <c r="Q504" i="5"/>
  <c r="S504" i="5" s="1"/>
  <c r="R504" i="5"/>
  <c r="T504" i="5"/>
  <c r="C505" i="5"/>
  <c r="D505" i="5"/>
  <c r="E505" i="5"/>
  <c r="F505" i="5"/>
  <c r="H505" i="5"/>
  <c r="I505" i="5"/>
  <c r="N505" i="5"/>
  <c r="Q505" i="5"/>
  <c r="S505" i="5" s="1"/>
  <c r="R505" i="5"/>
  <c r="T505" i="5"/>
  <c r="C506" i="5"/>
  <c r="D506" i="5"/>
  <c r="E506" i="5"/>
  <c r="F506" i="5"/>
  <c r="H506" i="5"/>
  <c r="I506" i="5"/>
  <c r="N506" i="5"/>
  <c r="R506" i="5"/>
  <c r="Q506" i="5" s="1"/>
  <c r="S506" i="5" s="1"/>
  <c r="T506" i="5"/>
  <c r="C507" i="5"/>
  <c r="D507" i="5"/>
  <c r="E507" i="5"/>
  <c r="F507" i="5"/>
  <c r="H507" i="5"/>
  <c r="I507" i="5"/>
  <c r="N507" i="5"/>
  <c r="R507" i="5"/>
  <c r="Q507" i="5" s="1"/>
  <c r="S507" i="5" s="1"/>
  <c r="T507" i="5"/>
  <c r="C508" i="5"/>
  <c r="L508" i="5" s="1"/>
  <c r="D508" i="5"/>
  <c r="E508" i="5"/>
  <c r="F508" i="5"/>
  <c r="H508" i="5"/>
  <c r="I508" i="5"/>
  <c r="N508" i="5"/>
  <c r="Q508" i="5"/>
  <c r="S508" i="5" s="1"/>
  <c r="R508" i="5"/>
  <c r="T508" i="5"/>
  <c r="C509" i="5"/>
  <c r="D509" i="5"/>
  <c r="E509" i="5"/>
  <c r="F509" i="5"/>
  <c r="H509" i="5"/>
  <c r="I509" i="5"/>
  <c r="N509" i="5"/>
  <c r="R509" i="5"/>
  <c r="Q509" i="5" s="1"/>
  <c r="S509" i="5"/>
  <c r="T509" i="5"/>
  <c r="C510" i="5"/>
  <c r="D510" i="5"/>
  <c r="E510" i="5"/>
  <c r="F510" i="5"/>
  <c r="H510" i="5"/>
  <c r="I510" i="5"/>
  <c r="L510" i="5"/>
  <c r="N510" i="5"/>
  <c r="Q510" i="5"/>
  <c r="S510" i="5" s="1"/>
  <c r="R510" i="5"/>
  <c r="T510" i="5"/>
  <c r="C511" i="5"/>
  <c r="D511" i="5"/>
  <c r="E511" i="5"/>
  <c r="F511" i="5"/>
  <c r="H511" i="5"/>
  <c r="I511" i="5"/>
  <c r="N511" i="5"/>
  <c r="R511" i="5"/>
  <c r="Q511" i="5" s="1"/>
  <c r="S511" i="5" s="1"/>
  <c r="T511" i="5"/>
  <c r="C512" i="5"/>
  <c r="D512" i="5"/>
  <c r="E512" i="5"/>
  <c r="F512" i="5"/>
  <c r="H512" i="5"/>
  <c r="I512" i="5"/>
  <c r="N512" i="5"/>
  <c r="R512" i="5"/>
  <c r="Q512" i="5" s="1"/>
  <c r="S512" i="5" s="1"/>
  <c r="T512" i="5"/>
  <c r="C513" i="5"/>
  <c r="L513" i="5" s="1"/>
  <c r="D513" i="5"/>
  <c r="E513" i="5"/>
  <c r="F513" i="5"/>
  <c r="H513" i="5"/>
  <c r="I513" i="5"/>
  <c r="N513" i="5"/>
  <c r="R513" i="5"/>
  <c r="Q513" i="5" s="1"/>
  <c r="S513" i="5" s="1"/>
  <c r="T513" i="5"/>
  <c r="C514" i="5"/>
  <c r="D514" i="5"/>
  <c r="E514" i="5"/>
  <c r="F514" i="5"/>
  <c r="H514" i="5"/>
  <c r="I514" i="5"/>
  <c r="N514" i="5"/>
  <c r="R514" i="5"/>
  <c r="Q514" i="5" s="1"/>
  <c r="S514" i="5" s="1"/>
  <c r="T514" i="5"/>
  <c r="C515" i="5"/>
  <c r="D515" i="5"/>
  <c r="E515" i="5"/>
  <c r="F515" i="5"/>
  <c r="H515" i="5"/>
  <c r="I515" i="5"/>
  <c r="N515" i="5"/>
  <c r="Q515" i="5"/>
  <c r="S515" i="5" s="1"/>
  <c r="R515" i="5"/>
  <c r="T515" i="5"/>
  <c r="C516" i="5"/>
  <c r="D516" i="5"/>
  <c r="E516" i="5"/>
  <c r="F516" i="5"/>
  <c r="H516" i="5"/>
  <c r="I516" i="5"/>
  <c r="N516" i="5"/>
  <c r="Q516" i="5"/>
  <c r="S516" i="5" s="1"/>
  <c r="R516" i="5"/>
  <c r="T516" i="5"/>
  <c r="C517" i="5"/>
  <c r="D517" i="5"/>
  <c r="E517" i="5"/>
  <c r="F517" i="5"/>
  <c r="H517" i="5"/>
  <c r="I517" i="5"/>
  <c r="N517" i="5"/>
  <c r="R517" i="5"/>
  <c r="Q517" i="5" s="1"/>
  <c r="S517" i="5"/>
  <c r="T517" i="5"/>
  <c r="C518" i="5"/>
  <c r="D518" i="5"/>
  <c r="L518" i="5" s="1"/>
  <c r="E518" i="5"/>
  <c r="F518" i="5"/>
  <c r="H518" i="5"/>
  <c r="I518" i="5"/>
  <c r="N518" i="5"/>
  <c r="R518" i="5"/>
  <c r="Q518" i="5" s="1"/>
  <c r="S518" i="5" s="1"/>
  <c r="T518" i="5"/>
  <c r="C519" i="5"/>
  <c r="L519" i="5" s="1"/>
  <c r="D519" i="5"/>
  <c r="E519" i="5"/>
  <c r="F519" i="5"/>
  <c r="H519" i="5"/>
  <c r="I519" i="5"/>
  <c r="N519" i="5"/>
  <c r="Q519" i="5"/>
  <c r="S519" i="5" s="1"/>
  <c r="R519" i="5"/>
  <c r="T519" i="5"/>
  <c r="C520" i="5"/>
  <c r="D520" i="5"/>
  <c r="E520" i="5"/>
  <c r="F520" i="5"/>
  <c r="H520" i="5"/>
  <c r="I520" i="5"/>
  <c r="N520" i="5"/>
  <c r="Q520" i="5"/>
  <c r="S520" i="5" s="1"/>
  <c r="R520" i="5"/>
  <c r="T520" i="5"/>
  <c r="C521" i="5"/>
  <c r="D521" i="5"/>
  <c r="E521" i="5"/>
  <c r="F521" i="5"/>
  <c r="H521" i="5"/>
  <c r="I521" i="5"/>
  <c r="N521" i="5"/>
  <c r="Q521" i="5"/>
  <c r="S521" i="5" s="1"/>
  <c r="R521" i="5"/>
  <c r="T521" i="5"/>
  <c r="C522" i="5"/>
  <c r="D522" i="5"/>
  <c r="E522" i="5"/>
  <c r="F522" i="5"/>
  <c r="H522" i="5"/>
  <c r="I522" i="5"/>
  <c r="N522" i="5"/>
  <c r="R522" i="5"/>
  <c r="Q522" i="5" s="1"/>
  <c r="S522" i="5" s="1"/>
  <c r="T522" i="5"/>
  <c r="C523" i="5"/>
  <c r="L523" i="5" s="1"/>
  <c r="D523" i="5"/>
  <c r="E523" i="5"/>
  <c r="F523" i="5"/>
  <c r="H523" i="5"/>
  <c r="I523" i="5"/>
  <c r="N523" i="5"/>
  <c r="R523" i="5"/>
  <c r="Q523" i="5" s="1"/>
  <c r="S523" i="5" s="1"/>
  <c r="T523" i="5"/>
  <c r="C524" i="5"/>
  <c r="D524" i="5"/>
  <c r="E524" i="5"/>
  <c r="F524" i="5"/>
  <c r="H524" i="5"/>
  <c r="I524" i="5"/>
  <c r="N524" i="5"/>
  <c r="Q524" i="5"/>
  <c r="S524" i="5" s="1"/>
  <c r="R524" i="5"/>
  <c r="T524" i="5"/>
  <c r="C525" i="5"/>
  <c r="D525" i="5"/>
  <c r="E525" i="5"/>
  <c r="F525" i="5"/>
  <c r="H525" i="5"/>
  <c r="I525" i="5"/>
  <c r="N525" i="5"/>
  <c r="R525" i="5"/>
  <c r="Q525" i="5" s="1"/>
  <c r="S525" i="5"/>
  <c r="T525" i="5"/>
  <c r="C526" i="5"/>
  <c r="L526" i="5" s="1"/>
  <c r="D526" i="5"/>
  <c r="E526" i="5"/>
  <c r="F526" i="5"/>
  <c r="H526" i="5"/>
  <c r="I526" i="5"/>
  <c r="N526" i="5"/>
  <c r="Q526" i="5"/>
  <c r="S526" i="5" s="1"/>
  <c r="R526" i="5"/>
  <c r="T526" i="5"/>
  <c r="C527" i="5"/>
  <c r="L527" i="5" s="1"/>
  <c r="D527" i="5"/>
  <c r="E527" i="5"/>
  <c r="F527" i="5"/>
  <c r="H527" i="5"/>
  <c r="I527" i="5"/>
  <c r="N527" i="5"/>
  <c r="R527" i="5"/>
  <c r="Q527" i="5" s="1"/>
  <c r="S527" i="5" s="1"/>
  <c r="T527" i="5"/>
  <c r="C528" i="5"/>
  <c r="D528" i="5"/>
  <c r="E528" i="5"/>
  <c r="F528" i="5"/>
  <c r="H528" i="5"/>
  <c r="I528" i="5"/>
  <c r="N528" i="5"/>
  <c r="R528" i="5"/>
  <c r="Q528" i="5" s="1"/>
  <c r="S528" i="5" s="1"/>
  <c r="T528" i="5"/>
  <c r="C529" i="5"/>
  <c r="L529" i="5" s="1"/>
  <c r="D529" i="5"/>
  <c r="E529" i="5"/>
  <c r="F529" i="5"/>
  <c r="H529" i="5"/>
  <c r="I529" i="5"/>
  <c r="N529" i="5"/>
  <c r="R529" i="5"/>
  <c r="Q529" i="5" s="1"/>
  <c r="S529" i="5" s="1"/>
  <c r="T529" i="5"/>
  <c r="C530" i="5"/>
  <c r="D530" i="5"/>
  <c r="E530" i="5"/>
  <c r="F530" i="5"/>
  <c r="H530" i="5"/>
  <c r="I530" i="5"/>
  <c r="L530" i="5" s="1"/>
  <c r="N530" i="5"/>
  <c r="R530" i="5"/>
  <c r="Q530" i="5" s="1"/>
  <c r="S530" i="5" s="1"/>
  <c r="T530" i="5"/>
  <c r="C531" i="5"/>
  <c r="L531" i="5" s="1"/>
  <c r="D531" i="5"/>
  <c r="E531" i="5"/>
  <c r="F531" i="5"/>
  <c r="H531" i="5"/>
  <c r="I531" i="5"/>
  <c r="N531" i="5"/>
  <c r="R531" i="5"/>
  <c r="Q531" i="5" s="1"/>
  <c r="S531" i="5" s="1"/>
  <c r="T531" i="5"/>
  <c r="C532" i="5"/>
  <c r="D532" i="5"/>
  <c r="E532" i="5"/>
  <c r="F532" i="5"/>
  <c r="H532" i="5"/>
  <c r="I532" i="5"/>
  <c r="L532" i="5" s="1"/>
  <c r="N532" i="5"/>
  <c r="Q532" i="5"/>
  <c r="S532" i="5" s="1"/>
  <c r="R532" i="5"/>
  <c r="T532" i="5"/>
  <c r="C533" i="5"/>
  <c r="D533" i="5"/>
  <c r="E533" i="5"/>
  <c r="F533" i="5"/>
  <c r="H533" i="5"/>
  <c r="I533" i="5"/>
  <c r="N533" i="5"/>
  <c r="R533" i="5"/>
  <c r="Q533" i="5" s="1"/>
  <c r="S533" i="5"/>
  <c r="T533" i="5"/>
  <c r="C534" i="5"/>
  <c r="L534" i="5" s="1"/>
  <c r="D534" i="5"/>
  <c r="E534" i="5"/>
  <c r="F534" i="5"/>
  <c r="H534" i="5"/>
  <c r="I534" i="5"/>
  <c r="N534" i="5"/>
  <c r="R534" i="5"/>
  <c r="Q534" i="5" s="1"/>
  <c r="S534" i="5" s="1"/>
  <c r="T534" i="5"/>
  <c r="C535" i="5"/>
  <c r="D535" i="5"/>
  <c r="E535" i="5"/>
  <c r="F535" i="5"/>
  <c r="H535" i="5"/>
  <c r="I535" i="5"/>
  <c r="N535" i="5"/>
  <c r="R535" i="5"/>
  <c r="Q535" i="5" s="1"/>
  <c r="S535" i="5" s="1"/>
  <c r="T535" i="5"/>
  <c r="C536" i="5"/>
  <c r="D536" i="5"/>
  <c r="E536" i="5"/>
  <c r="F536" i="5"/>
  <c r="H536" i="5"/>
  <c r="I536" i="5"/>
  <c r="N536" i="5"/>
  <c r="Q536" i="5"/>
  <c r="S536" i="5" s="1"/>
  <c r="R536" i="5"/>
  <c r="T536" i="5"/>
  <c r="C537" i="5"/>
  <c r="D537" i="5"/>
  <c r="E537" i="5"/>
  <c r="F537" i="5"/>
  <c r="H537" i="5"/>
  <c r="I537" i="5"/>
  <c r="N537" i="5"/>
  <c r="Q537" i="5"/>
  <c r="R537" i="5"/>
  <c r="S537" i="5"/>
  <c r="T537" i="5"/>
  <c r="C538" i="5"/>
  <c r="D538" i="5"/>
  <c r="E538" i="5"/>
  <c r="F538" i="5"/>
  <c r="H538" i="5"/>
  <c r="I538" i="5"/>
  <c r="L538" i="5"/>
  <c r="N538" i="5"/>
  <c r="R538" i="5"/>
  <c r="Q538" i="5" s="1"/>
  <c r="S538" i="5" s="1"/>
  <c r="T538" i="5"/>
  <c r="C539" i="5"/>
  <c r="D539" i="5"/>
  <c r="E539" i="5"/>
  <c r="F539" i="5"/>
  <c r="H539" i="5"/>
  <c r="I539" i="5"/>
  <c r="N539" i="5"/>
  <c r="Q539" i="5"/>
  <c r="S539" i="5" s="1"/>
  <c r="R539" i="5"/>
  <c r="T539" i="5"/>
  <c r="C540" i="5"/>
  <c r="L540" i="5" s="1"/>
  <c r="D540" i="5"/>
  <c r="E540" i="5"/>
  <c r="F540" i="5"/>
  <c r="H540" i="5"/>
  <c r="I540" i="5"/>
  <c r="N540" i="5"/>
  <c r="R540" i="5"/>
  <c r="Q540" i="5" s="1"/>
  <c r="S540" i="5" s="1"/>
  <c r="T540" i="5"/>
  <c r="C541" i="5"/>
  <c r="D541" i="5"/>
  <c r="E541" i="5"/>
  <c r="F541" i="5"/>
  <c r="H541" i="5"/>
  <c r="I541" i="5"/>
  <c r="N541" i="5"/>
  <c r="R541" i="5"/>
  <c r="Q541" i="5" s="1"/>
  <c r="S541" i="5"/>
  <c r="T541" i="5"/>
  <c r="C542" i="5"/>
  <c r="D542" i="5"/>
  <c r="E542" i="5"/>
  <c r="F542" i="5"/>
  <c r="H542" i="5"/>
  <c r="I542" i="5"/>
  <c r="L542" i="5"/>
  <c r="N542" i="5"/>
  <c r="Q542" i="5"/>
  <c r="S542" i="5" s="1"/>
  <c r="R542" i="5"/>
  <c r="T542" i="5"/>
  <c r="C543" i="5"/>
  <c r="D543" i="5"/>
  <c r="E543" i="5"/>
  <c r="F543" i="5"/>
  <c r="H543" i="5"/>
  <c r="I543" i="5"/>
  <c r="N543" i="5"/>
  <c r="R543" i="5"/>
  <c r="Q543" i="5" s="1"/>
  <c r="S543" i="5" s="1"/>
  <c r="T543" i="5"/>
  <c r="C544" i="5"/>
  <c r="L544" i="5" s="1"/>
  <c r="D544" i="5"/>
  <c r="E544" i="5"/>
  <c r="F544" i="5"/>
  <c r="H544" i="5"/>
  <c r="I544" i="5"/>
  <c r="N544" i="5"/>
  <c r="R544" i="5"/>
  <c r="Q544" i="5" s="1"/>
  <c r="S544" i="5" s="1"/>
  <c r="T544" i="5"/>
  <c r="C545" i="5"/>
  <c r="L545" i="5" s="1"/>
  <c r="D545" i="5"/>
  <c r="E545" i="5"/>
  <c r="F545" i="5"/>
  <c r="H545" i="5"/>
  <c r="I545" i="5"/>
  <c r="N545" i="5"/>
  <c r="R545" i="5"/>
  <c r="Q545" i="5" s="1"/>
  <c r="S545" i="5" s="1"/>
  <c r="T545" i="5"/>
  <c r="C546" i="5"/>
  <c r="D546" i="5"/>
  <c r="E546" i="5"/>
  <c r="F546" i="5"/>
  <c r="H546" i="5"/>
  <c r="L546" i="5" s="1"/>
  <c r="I546" i="5"/>
  <c r="N546" i="5"/>
  <c r="R546" i="5"/>
  <c r="Q546" i="5" s="1"/>
  <c r="S546" i="5" s="1"/>
  <c r="T546" i="5"/>
  <c r="C547" i="5"/>
  <c r="L547" i="5" s="1"/>
  <c r="D547" i="5"/>
  <c r="E547" i="5"/>
  <c r="F547" i="5"/>
  <c r="H547" i="5"/>
  <c r="I547" i="5"/>
  <c r="N547" i="5"/>
  <c r="Q547" i="5"/>
  <c r="S547" i="5" s="1"/>
  <c r="R547" i="5"/>
  <c r="T547" i="5"/>
  <c r="C548" i="5"/>
  <c r="D548" i="5"/>
  <c r="E548" i="5"/>
  <c r="F548" i="5"/>
  <c r="H548" i="5"/>
  <c r="L548" i="5" s="1"/>
  <c r="I548" i="5"/>
  <c r="N548" i="5"/>
  <c r="Q548" i="5"/>
  <c r="S548" i="5" s="1"/>
  <c r="R548" i="5"/>
  <c r="T548" i="5"/>
  <c r="C549" i="5"/>
  <c r="D549" i="5"/>
  <c r="E549" i="5"/>
  <c r="F549" i="5"/>
  <c r="H549" i="5"/>
  <c r="I549" i="5"/>
  <c r="N549" i="5"/>
  <c r="R549" i="5"/>
  <c r="Q549" i="5" s="1"/>
  <c r="S549" i="5"/>
  <c r="T549" i="5"/>
  <c r="C550" i="5"/>
  <c r="L550" i="5" s="1"/>
  <c r="D550" i="5"/>
  <c r="E550" i="5"/>
  <c r="F550" i="5"/>
  <c r="H550" i="5"/>
  <c r="I550" i="5"/>
  <c r="N550" i="5"/>
  <c r="Q550" i="5"/>
  <c r="S550" i="5" s="1"/>
  <c r="R550" i="5"/>
  <c r="T550" i="5"/>
  <c r="C551" i="5"/>
  <c r="D551" i="5"/>
  <c r="E551" i="5"/>
  <c r="F551" i="5"/>
  <c r="H551" i="5"/>
  <c r="I551" i="5"/>
  <c r="N551" i="5"/>
  <c r="Q551" i="5"/>
  <c r="S551" i="5" s="1"/>
  <c r="R551" i="5"/>
  <c r="T551" i="5"/>
  <c r="C552" i="5"/>
  <c r="D552" i="5"/>
  <c r="E552" i="5"/>
  <c r="F552" i="5"/>
  <c r="H552" i="5"/>
  <c r="I552" i="5"/>
  <c r="N552" i="5"/>
  <c r="Q552" i="5"/>
  <c r="S552" i="5" s="1"/>
  <c r="R552" i="5"/>
  <c r="T552" i="5"/>
  <c r="C553" i="5"/>
  <c r="D553" i="5"/>
  <c r="E553" i="5"/>
  <c r="F553" i="5"/>
  <c r="H553" i="5"/>
  <c r="I553" i="5"/>
  <c r="N553" i="5"/>
  <c r="R553" i="5"/>
  <c r="Q553" i="5" s="1"/>
  <c r="S553" i="5"/>
  <c r="T553" i="5"/>
  <c r="C554" i="5"/>
  <c r="D554" i="5"/>
  <c r="E554" i="5"/>
  <c r="F554" i="5"/>
  <c r="H554" i="5"/>
  <c r="I554" i="5"/>
  <c r="L554" i="5"/>
  <c r="N554" i="5"/>
  <c r="R554" i="5"/>
  <c r="Q554" i="5" s="1"/>
  <c r="S554" i="5" s="1"/>
  <c r="T554" i="5"/>
  <c r="C555" i="5"/>
  <c r="D555" i="5"/>
  <c r="E555" i="5"/>
  <c r="F555" i="5"/>
  <c r="H555" i="5"/>
  <c r="I555" i="5"/>
  <c r="N555" i="5"/>
  <c r="Q555" i="5"/>
  <c r="S555" i="5" s="1"/>
  <c r="R555" i="5"/>
  <c r="T555" i="5"/>
  <c r="C556" i="5"/>
  <c r="D556" i="5"/>
  <c r="E556" i="5"/>
  <c r="F556" i="5"/>
  <c r="H556" i="5"/>
  <c r="I556" i="5"/>
  <c r="N556" i="5"/>
  <c r="Q556" i="5"/>
  <c r="S556" i="5" s="1"/>
  <c r="R556" i="5"/>
  <c r="T556" i="5"/>
  <c r="C557" i="5"/>
  <c r="D557" i="5"/>
  <c r="E557" i="5"/>
  <c r="F557" i="5"/>
  <c r="H557" i="5"/>
  <c r="I557" i="5"/>
  <c r="N557" i="5"/>
  <c r="R557" i="5"/>
  <c r="Q557" i="5" s="1"/>
  <c r="S557" i="5"/>
  <c r="T557" i="5"/>
  <c r="C558" i="5"/>
  <c r="D558" i="5"/>
  <c r="E558" i="5"/>
  <c r="F558" i="5"/>
  <c r="H558" i="5"/>
  <c r="I558" i="5"/>
  <c r="L558" i="5"/>
  <c r="N558" i="5"/>
  <c r="Q558" i="5"/>
  <c r="S558" i="5" s="1"/>
  <c r="R558" i="5"/>
  <c r="T558" i="5"/>
  <c r="C559" i="5"/>
  <c r="D559" i="5"/>
  <c r="E559" i="5"/>
  <c r="F559" i="5"/>
  <c r="H559" i="5"/>
  <c r="I559" i="5"/>
  <c r="N559" i="5"/>
  <c r="R559" i="5"/>
  <c r="Q559" i="5" s="1"/>
  <c r="S559" i="5" s="1"/>
  <c r="T559" i="5"/>
  <c r="C560" i="5"/>
  <c r="D560" i="5"/>
  <c r="E560" i="5"/>
  <c r="F560" i="5"/>
  <c r="H560" i="5"/>
  <c r="I560" i="5"/>
  <c r="N560" i="5"/>
  <c r="R560" i="5"/>
  <c r="Q560" i="5" s="1"/>
  <c r="S560" i="5" s="1"/>
  <c r="T560" i="5"/>
  <c r="C561" i="5"/>
  <c r="D561" i="5"/>
  <c r="E561" i="5"/>
  <c r="F561" i="5"/>
  <c r="H561" i="5"/>
  <c r="I561" i="5"/>
  <c r="N561" i="5"/>
  <c r="R561" i="5"/>
  <c r="Q561" i="5" s="1"/>
  <c r="S561" i="5"/>
  <c r="T561" i="5"/>
  <c r="C562" i="5"/>
  <c r="D562" i="5"/>
  <c r="E562" i="5"/>
  <c r="F562" i="5"/>
  <c r="H562" i="5"/>
  <c r="I562" i="5"/>
  <c r="L562" i="5"/>
  <c r="N562" i="5"/>
  <c r="R562" i="5"/>
  <c r="Q562" i="5" s="1"/>
  <c r="S562" i="5" s="1"/>
  <c r="T562" i="5"/>
  <c r="C563" i="5"/>
  <c r="D563" i="5"/>
  <c r="E563" i="5"/>
  <c r="F563" i="5"/>
  <c r="H563" i="5"/>
  <c r="I563" i="5"/>
  <c r="N563" i="5"/>
  <c r="Q563" i="5"/>
  <c r="R563" i="5"/>
  <c r="S563" i="5"/>
  <c r="T563" i="5"/>
  <c r="C564" i="5"/>
  <c r="D564" i="5"/>
  <c r="E564" i="5"/>
  <c r="F564" i="5"/>
  <c r="H564" i="5"/>
  <c r="I564" i="5"/>
  <c r="N564" i="5"/>
  <c r="R564" i="5"/>
  <c r="Q564" i="5" s="1"/>
  <c r="S564" i="5" s="1"/>
  <c r="T564" i="5"/>
  <c r="C565" i="5"/>
  <c r="D565" i="5"/>
  <c r="E565" i="5"/>
  <c r="F565" i="5"/>
  <c r="H565" i="5"/>
  <c r="I565" i="5"/>
  <c r="N565" i="5"/>
  <c r="R565" i="5"/>
  <c r="Q565" i="5" s="1"/>
  <c r="S565" i="5"/>
  <c r="T565" i="5"/>
  <c r="C566" i="5"/>
  <c r="D566" i="5"/>
  <c r="E566" i="5"/>
  <c r="F566" i="5"/>
  <c r="H566" i="5"/>
  <c r="I566" i="5"/>
  <c r="N566" i="5"/>
  <c r="R566" i="5"/>
  <c r="Q566" i="5" s="1"/>
  <c r="S566" i="5" s="1"/>
  <c r="T566" i="5"/>
  <c r="C567" i="5"/>
  <c r="L567" i="5" s="1"/>
  <c r="D567" i="5"/>
  <c r="E567" i="5"/>
  <c r="F567" i="5"/>
  <c r="H567" i="5"/>
  <c r="I567" i="5"/>
  <c r="N567" i="5"/>
  <c r="R567" i="5"/>
  <c r="Q567" i="5" s="1"/>
  <c r="S567" i="5" s="1"/>
  <c r="T567" i="5"/>
  <c r="C568" i="5"/>
  <c r="D568" i="5"/>
  <c r="E568" i="5"/>
  <c r="F568" i="5"/>
  <c r="H568" i="5"/>
  <c r="I568" i="5"/>
  <c r="N568" i="5"/>
  <c r="Q568" i="5"/>
  <c r="S568" i="5" s="1"/>
  <c r="R568" i="5"/>
  <c r="T568" i="5"/>
  <c r="C569" i="5"/>
  <c r="D569" i="5"/>
  <c r="E569" i="5"/>
  <c r="F569" i="5"/>
  <c r="H569" i="5"/>
  <c r="I569" i="5"/>
  <c r="N569" i="5"/>
  <c r="R569" i="5"/>
  <c r="Q569" i="5" s="1"/>
  <c r="S569" i="5" s="1"/>
  <c r="T569" i="5"/>
  <c r="C570" i="5"/>
  <c r="D570" i="5"/>
  <c r="E570" i="5"/>
  <c r="F570" i="5"/>
  <c r="H570" i="5"/>
  <c r="I570" i="5"/>
  <c r="L570" i="5" s="1"/>
  <c r="N570" i="5"/>
  <c r="R570" i="5"/>
  <c r="Q570" i="5" s="1"/>
  <c r="S570" i="5" s="1"/>
  <c r="T570" i="5"/>
  <c r="C571" i="5"/>
  <c r="L571" i="5" s="1"/>
  <c r="D571" i="5"/>
  <c r="E571" i="5"/>
  <c r="F571" i="5"/>
  <c r="H571" i="5"/>
  <c r="I571" i="5"/>
  <c r="N571" i="5"/>
  <c r="R571" i="5"/>
  <c r="Q571" i="5" s="1"/>
  <c r="S571" i="5" s="1"/>
  <c r="T571" i="5"/>
  <c r="C572" i="5"/>
  <c r="D572" i="5"/>
  <c r="E572" i="5"/>
  <c r="F572" i="5"/>
  <c r="H572" i="5"/>
  <c r="I572" i="5"/>
  <c r="N572" i="5"/>
  <c r="Q572" i="5"/>
  <c r="S572" i="5" s="1"/>
  <c r="R572" i="5"/>
  <c r="T572" i="5"/>
  <c r="C573" i="5"/>
  <c r="D573" i="5"/>
  <c r="E573" i="5"/>
  <c r="F573" i="5"/>
  <c r="H573" i="5"/>
  <c r="I573" i="5"/>
  <c r="N573" i="5"/>
  <c r="R573" i="5"/>
  <c r="Q573" i="5" s="1"/>
  <c r="S573" i="5" s="1"/>
  <c r="T573" i="5"/>
  <c r="C574" i="5"/>
  <c r="L574" i="5" s="1"/>
  <c r="D574" i="5"/>
  <c r="E574" i="5"/>
  <c r="F574" i="5"/>
  <c r="H574" i="5"/>
  <c r="I574" i="5"/>
  <c r="N574" i="5"/>
  <c r="Q574" i="5"/>
  <c r="S574" i="5" s="1"/>
  <c r="R574" i="5"/>
  <c r="T574" i="5"/>
  <c r="C575" i="5"/>
  <c r="L575" i="5" s="1"/>
  <c r="D575" i="5"/>
  <c r="E575" i="5"/>
  <c r="F575" i="5"/>
  <c r="H575" i="5"/>
  <c r="I575" i="5"/>
  <c r="N575" i="5"/>
  <c r="R575" i="5"/>
  <c r="Q575" i="5" s="1"/>
  <c r="S575" i="5" s="1"/>
  <c r="T575" i="5"/>
  <c r="C576" i="5"/>
  <c r="D576" i="5"/>
  <c r="E576" i="5"/>
  <c r="F576" i="5"/>
  <c r="H576" i="5"/>
  <c r="I576" i="5"/>
  <c r="N576" i="5"/>
  <c r="R576" i="5"/>
  <c r="Q576" i="5" s="1"/>
  <c r="S576" i="5" s="1"/>
  <c r="T576" i="5"/>
  <c r="C577" i="5"/>
  <c r="L577" i="5" s="1"/>
  <c r="D577" i="5"/>
  <c r="E577" i="5"/>
  <c r="F577" i="5"/>
  <c r="H577" i="5"/>
  <c r="I577" i="5"/>
  <c r="N577" i="5"/>
  <c r="R577" i="5"/>
  <c r="Q577" i="5" s="1"/>
  <c r="S577" i="5"/>
  <c r="T577" i="5"/>
  <c r="C578" i="5"/>
  <c r="D578" i="5"/>
  <c r="E578" i="5"/>
  <c r="F578" i="5"/>
  <c r="H578" i="5"/>
  <c r="I578" i="5"/>
  <c r="L578" i="5"/>
  <c r="N578" i="5"/>
  <c r="R578" i="5"/>
  <c r="Q578" i="5" s="1"/>
  <c r="S578" i="5" s="1"/>
  <c r="T578" i="5"/>
  <c r="C579" i="5"/>
  <c r="D579" i="5"/>
  <c r="E579" i="5"/>
  <c r="F579" i="5"/>
  <c r="H579" i="5"/>
  <c r="I579" i="5"/>
  <c r="N579" i="5"/>
  <c r="Q579" i="5"/>
  <c r="S579" i="5" s="1"/>
  <c r="R579" i="5"/>
  <c r="T579" i="5"/>
  <c r="C580" i="5"/>
  <c r="L580" i="5" s="1"/>
  <c r="D580" i="5"/>
  <c r="E580" i="5"/>
  <c r="F580" i="5"/>
  <c r="H580" i="5"/>
  <c r="I580" i="5"/>
  <c r="N580" i="5"/>
  <c r="R580" i="5"/>
  <c r="Q580" i="5" s="1"/>
  <c r="S580" i="5" s="1"/>
  <c r="T580" i="5"/>
  <c r="C581" i="5"/>
  <c r="D581" i="5"/>
  <c r="E581" i="5"/>
  <c r="F581" i="5"/>
  <c r="H581" i="5"/>
  <c r="I581" i="5"/>
  <c r="N581" i="5"/>
  <c r="R581" i="5"/>
  <c r="Q581" i="5" s="1"/>
  <c r="S581" i="5"/>
  <c r="T581" i="5"/>
  <c r="C582" i="5"/>
  <c r="D582" i="5"/>
  <c r="E582" i="5"/>
  <c r="F582" i="5"/>
  <c r="H582" i="5"/>
  <c r="I582" i="5"/>
  <c r="L582" i="5"/>
  <c r="N582" i="5"/>
  <c r="R582" i="5"/>
  <c r="Q582" i="5" s="1"/>
  <c r="S582" i="5" s="1"/>
  <c r="T582" i="5"/>
  <c r="C583" i="5"/>
  <c r="L583" i="5" s="1"/>
  <c r="D583" i="5"/>
  <c r="E583" i="5"/>
  <c r="F583" i="5"/>
  <c r="H583" i="5"/>
  <c r="I583" i="5"/>
  <c r="N583" i="5"/>
  <c r="R583" i="5"/>
  <c r="Q583" i="5" s="1"/>
  <c r="S583" i="5" s="1"/>
  <c r="T583" i="5"/>
  <c r="C584" i="5"/>
  <c r="D584" i="5"/>
  <c r="E584" i="5"/>
  <c r="F584" i="5"/>
  <c r="H584" i="5"/>
  <c r="I584" i="5"/>
  <c r="N584" i="5"/>
  <c r="Q584" i="5"/>
  <c r="S584" i="5" s="1"/>
  <c r="R584" i="5"/>
  <c r="T584" i="5"/>
  <c r="C585" i="5"/>
  <c r="D585" i="5"/>
  <c r="E585" i="5"/>
  <c r="F585" i="5"/>
  <c r="H585" i="5"/>
  <c r="I585" i="5"/>
  <c r="N585" i="5"/>
  <c r="Q585" i="5"/>
  <c r="S585" i="5" s="1"/>
  <c r="R585" i="5"/>
  <c r="T585" i="5"/>
  <c r="C586" i="5"/>
  <c r="D586" i="5"/>
  <c r="E586" i="5"/>
  <c r="F586" i="5"/>
  <c r="H586" i="5"/>
  <c r="I586" i="5"/>
  <c r="N586" i="5"/>
  <c r="R586" i="5"/>
  <c r="Q586" i="5" s="1"/>
  <c r="S586" i="5" s="1"/>
  <c r="T586" i="5"/>
  <c r="C587" i="5"/>
  <c r="D587" i="5"/>
  <c r="E587" i="5"/>
  <c r="F587" i="5"/>
  <c r="H587" i="5"/>
  <c r="I587" i="5"/>
  <c r="N587" i="5"/>
  <c r="R587" i="5"/>
  <c r="Q587" i="5" s="1"/>
  <c r="S587" i="5" s="1"/>
  <c r="T587" i="5"/>
  <c r="B588" i="5"/>
  <c r="C588" i="5"/>
  <c r="L588" i="5" s="1"/>
  <c r="D588" i="5"/>
  <c r="E588" i="5"/>
  <c r="F588" i="5"/>
  <c r="H588" i="5"/>
  <c r="I588" i="5"/>
  <c r="N588" i="5"/>
  <c r="Q588" i="5"/>
  <c r="S588" i="5" s="1"/>
  <c r="R588" i="5"/>
  <c r="T588" i="5"/>
  <c r="B589" i="5"/>
  <c r="C589" i="5"/>
  <c r="D589" i="5"/>
  <c r="E589" i="5"/>
  <c r="F589" i="5"/>
  <c r="H589" i="5"/>
  <c r="I589" i="5"/>
  <c r="N589" i="5"/>
  <c r="R589" i="5"/>
  <c r="Q589" i="5" s="1"/>
  <c r="S589" i="5" s="1"/>
  <c r="T589" i="5"/>
  <c r="B590" i="5"/>
  <c r="C590" i="5"/>
  <c r="D590" i="5"/>
  <c r="E590" i="5"/>
  <c r="F590" i="5"/>
  <c r="H590" i="5"/>
  <c r="I590" i="5"/>
  <c r="L590" i="5"/>
  <c r="N590" i="5"/>
  <c r="R590" i="5"/>
  <c r="Q590" i="5" s="1"/>
  <c r="S590" i="5"/>
  <c r="T590" i="5"/>
  <c r="B591" i="5"/>
  <c r="C591" i="5"/>
  <c r="D591" i="5"/>
  <c r="E591" i="5"/>
  <c r="F591" i="5"/>
  <c r="H591" i="5"/>
  <c r="I591" i="5"/>
  <c r="N591" i="5"/>
  <c r="Q591" i="5"/>
  <c r="R591" i="5"/>
  <c r="S591" i="5"/>
  <c r="T591" i="5"/>
  <c r="B592" i="5"/>
  <c r="C592" i="5"/>
  <c r="D592" i="5"/>
  <c r="E592" i="5"/>
  <c r="F592" i="5"/>
  <c r="H592" i="5"/>
  <c r="I592" i="5"/>
  <c r="N592" i="5"/>
  <c r="R592" i="5"/>
  <c r="Q592" i="5" s="1"/>
  <c r="S592" i="5"/>
  <c r="T592" i="5"/>
  <c r="B593" i="5"/>
  <c r="C593" i="5"/>
  <c r="L593" i="5" s="1"/>
  <c r="D593" i="5"/>
  <c r="E593" i="5"/>
  <c r="F593" i="5"/>
  <c r="H593" i="5"/>
  <c r="I593" i="5"/>
  <c r="N593" i="5"/>
  <c r="Q593" i="5"/>
  <c r="R593" i="5"/>
  <c r="S593" i="5"/>
  <c r="T593" i="5"/>
  <c r="B594" i="5"/>
  <c r="C594" i="5"/>
  <c r="D594" i="5"/>
  <c r="E594" i="5"/>
  <c r="F594" i="5"/>
  <c r="H594" i="5"/>
  <c r="I594" i="5"/>
  <c r="N594" i="5"/>
  <c r="R594" i="5"/>
  <c r="Q594" i="5" s="1"/>
  <c r="S594" i="5"/>
  <c r="T594" i="5"/>
  <c r="B595" i="5"/>
  <c r="C595" i="5"/>
  <c r="L595" i="5" s="1"/>
  <c r="D595" i="5"/>
  <c r="E595" i="5"/>
  <c r="F595" i="5"/>
  <c r="H595" i="5"/>
  <c r="I595" i="5"/>
  <c r="N595" i="5"/>
  <c r="Q595" i="5"/>
  <c r="R595" i="5"/>
  <c r="S595" i="5"/>
  <c r="T595" i="5"/>
  <c r="B596" i="5"/>
  <c r="C596" i="5"/>
  <c r="D596" i="5"/>
  <c r="E596" i="5"/>
  <c r="F596" i="5"/>
  <c r="H596" i="5"/>
  <c r="I596" i="5"/>
  <c r="N596" i="5"/>
  <c r="Q596" i="5"/>
  <c r="S596" i="5" s="1"/>
  <c r="R596" i="5"/>
  <c r="T596" i="5"/>
  <c r="B597" i="5"/>
  <c r="C597" i="5"/>
  <c r="D597" i="5"/>
  <c r="E597" i="5"/>
  <c r="F597" i="5"/>
  <c r="H597" i="5"/>
  <c r="L597" i="5" s="1"/>
  <c r="I597" i="5"/>
  <c r="N597" i="5"/>
  <c r="R597" i="5"/>
  <c r="Q597" i="5" s="1"/>
  <c r="S597" i="5" s="1"/>
  <c r="T597" i="5"/>
  <c r="B598" i="5"/>
  <c r="C598" i="5"/>
  <c r="D598" i="5"/>
  <c r="E598" i="5"/>
  <c r="F598" i="5"/>
  <c r="H598" i="5"/>
  <c r="I598" i="5"/>
  <c r="N598" i="5"/>
  <c r="R598" i="5"/>
  <c r="Q598" i="5" s="1"/>
  <c r="S598" i="5"/>
  <c r="T598" i="5"/>
  <c r="B599" i="5"/>
  <c r="C599" i="5"/>
  <c r="D599" i="5"/>
  <c r="E599" i="5"/>
  <c r="F599" i="5"/>
  <c r="H599" i="5"/>
  <c r="I599" i="5"/>
  <c r="N599" i="5"/>
  <c r="R599" i="5"/>
  <c r="Q599" i="5" s="1"/>
  <c r="S599" i="5" s="1"/>
  <c r="T599" i="5"/>
  <c r="B600" i="5"/>
  <c r="C600" i="5"/>
  <c r="L600" i="5" s="1"/>
  <c r="D600" i="5"/>
  <c r="E600" i="5"/>
  <c r="F600" i="5"/>
  <c r="H600" i="5"/>
  <c r="I600" i="5"/>
  <c r="N600" i="5"/>
  <c r="R600" i="5"/>
  <c r="Q600" i="5" s="1"/>
  <c r="S600" i="5" s="1"/>
  <c r="T600" i="5"/>
  <c r="B601" i="5"/>
  <c r="C601" i="5"/>
  <c r="D601" i="5"/>
  <c r="E601" i="5"/>
  <c r="F601" i="5"/>
  <c r="H601" i="5"/>
  <c r="I601" i="5"/>
  <c r="N601" i="5"/>
  <c r="Q601" i="5"/>
  <c r="S601" i="5" s="1"/>
  <c r="R601" i="5"/>
  <c r="T601" i="5"/>
  <c r="B602" i="5"/>
  <c r="C602" i="5"/>
  <c r="D602" i="5"/>
  <c r="E602" i="5"/>
  <c r="F602" i="5"/>
  <c r="H602" i="5"/>
  <c r="I602" i="5"/>
  <c r="N602" i="5"/>
  <c r="Q602" i="5"/>
  <c r="R602" i="5"/>
  <c r="S602" i="5"/>
  <c r="T602" i="5"/>
  <c r="B603" i="5"/>
  <c r="C603" i="5"/>
  <c r="D603" i="5"/>
  <c r="E603" i="5"/>
  <c r="F603" i="5"/>
  <c r="H603" i="5"/>
  <c r="I603" i="5"/>
  <c r="L603" i="5" s="1"/>
  <c r="N603" i="5"/>
  <c r="R603" i="5"/>
  <c r="Q603" i="5" s="1"/>
  <c r="S603" i="5" s="1"/>
  <c r="T603" i="5"/>
  <c r="B604" i="5"/>
  <c r="C604" i="5"/>
  <c r="L604" i="5" s="1"/>
  <c r="D604" i="5"/>
  <c r="E604" i="5"/>
  <c r="F604" i="5"/>
  <c r="H604" i="5"/>
  <c r="I604" i="5"/>
  <c r="N604" i="5"/>
  <c r="R604" i="5"/>
  <c r="Q604" i="5" s="1"/>
  <c r="S604" i="5" s="1"/>
  <c r="T604" i="5"/>
  <c r="B605" i="5"/>
  <c r="C605" i="5"/>
  <c r="D605" i="5"/>
  <c r="E605" i="5"/>
  <c r="F605" i="5"/>
  <c r="H605" i="5"/>
  <c r="I605" i="5"/>
  <c r="L605" i="5"/>
  <c r="N605" i="5"/>
  <c r="R605" i="5"/>
  <c r="Q605" i="5" s="1"/>
  <c r="S605" i="5" s="1"/>
  <c r="T605" i="5"/>
  <c r="B606" i="5"/>
  <c r="C606" i="5"/>
  <c r="D606" i="5"/>
  <c r="E606" i="5"/>
  <c r="F606" i="5"/>
  <c r="H606" i="5"/>
  <c r="I606" i="5"/>
  <c r="N606" i="5"/>
  <c r="R606" i="5"/>
  <c r="Q606" i="5" s="1"/>
  <c r="S606" i="5"/>
  <c r="T606" i="5"/>
  <c r="B607" i="5"/>
  <c r="C607" i="5"/>
  <c r="D607" i="5"/>
  <c r="L607" i="5" s="1"/>
  <c r="E607" i="5"/>
  <c r="F607" i="5"/>
  <c r="H607" i="5"/>
  <c r="I607" i="5"/>
  <c r="N607" i="5"/>
  <c r="R607" i="5"/>
  <c r="Q607" i="5" s="1"/>
  <c r="S607" i="5" s="1"/>
  <c r="T607" i="5"/>
  <c r="B608" i="5"/>
  <c r="C608" i="5"/>
  <c r="D608" i="5"/>
  <c r="E608" i="5"/>
  <c r="F608" i="5"/>
  <c r="H608" i="5"/>
  <c r="I608" i="5"/>
  <c r="N608" i="5"/>
  <c r="R608" i="5"/>
  <c r="Q608" i="5" s="1"/>
  <c r="S608" i="5" s="1"/>
  <c r="T608" i="5"/>
  <c r="B609" i="5"/>
  <c r="C609" i="5"/>
  <c r="D609" i="5"/>
  <c r="E609" i="5"/>
  <c r="L609" i="5" s="1"/>
  <c r="F609" i="5"/>
  <c r="H609" i="5"/>
  <c r="I609" i="5"/>
  <c r="N609" i="5"/>
  <c r="Q609" i="5"/>
  <c r="R609" i="5"/>
  <c r="S609" i="5"/>
  <c r="T609" i="5"/>
  <c r="B610" i="5"/>
  <c r="C610" i="5"/>
  <c r="D610" i="5"/>
  <c r="E610" i="5"/>
  <c r="F610" i="5"/>
  <c r="H610" i="5"/>
  <c r="I610" i="5"/>
  <c r="L610" i="5"/>
  <c r="N610" i="5"/>
  <c r="R610" i="5"/>
  <c r="Q610" i="5" s="1"/>
  <c r="S610" i="5" s="1"/>
  <c r="T610" i="5"/>
  <c r="B611" i="5"/>
  <c r="C611" i="5"/>
  <c r="D611" i="5"/>
  <c r="E611" i="5"/>
  <c r="F611" i="5"/>
  <c r="H611" i="5"/>
  <c r="I611" i="5"/>
  <c r="N611" i="5"/>
  <c r="Q611" i="5"/>
  <c r="S611" i="5" s="1"/>
  <c r="R611" i="5"/>
  <c r="T611" i="5"/>
  <c r="B612" i="5"/>
  <c r="C612" i="5"/>
  <c r="D612" i="5"/>
  <c r="E612" i="5"/>
  <c r="F612" i="5"/>
  <c r="L612" i="5" s="1"/>
  <c r="H612" i="5"/>
  <c r="I612" i="5"/>
  <c r="N612" i="5"/>
  <c r="R612" i="5"/>
  <c r="Q612" i="5" s="1"/>
  <c r="S612" i="5" s="1"/>
  <c r="T612" i="5"/>
  <c r="B613" i="5"/>
  <c r="C613" i="5"/>
  <c r="L613" i="5" s="1"/>
  <c r="D613" i="5"/>
  <c r="E613" i="5"/>
  <c r="F613" i="5"/>
  <c r="H613" i="5"/>
  <c r="I613" i="5"/>
  <c r="N613" i="5"/>
  <c r="R613" i="5"/>
  <c r="Q613" i="5" s="1"/>
  <c r="S613" i="5"/>
  <c r="T613" i="5"/>
  <c r="B614" i="5"/>
  <c r="C614" i="5"/>
  <c r="D614" i="5"/>
  <c r="E614" i="5"/>
  <c r="F614" i="5"/>
  <c r="H614" i="5"/>
  <c r="I614" i="5"/>
  <c r="N614" i="5"/>
  <c r="R614" i="5"/>
  <c r="Q614" i="5" s="1"/>
  <c r="S614" i="5"/>
  <c r="T614" i="5"/>
  <c r="B615" i="5"/>
  <c r="C615" i="5"/>
  <c r="L615" i="5" s="1"/>
  <c r="D615" i="5"/>
  <c r="E615" i="5"/>
  <c r="F615" i="5"/>
  <c r="H615" i="5"/>
  <c r="I615" i="5"/>
  <c r="N615" i="5"/>
  <c r="Q615" i="5"/>
  <c r="S615" i="5" s="1"/>
  <c r="R615" i="5"/>
  <c r="T615" i="5"/>
  <c r="B616" i="5"/>
  <c r="C616" i="5"/>
  <c r="D616" i="5"/>
  <c r="E616" i="5"/>
  <c r="F616" i="5"/>
  <c r="H616" i="5"/>
  <c r="I616" i="5"/>
  <c r="N616" i="5"/>
  <c r="R616" i="5"/>
  <c r="Q616" i="5" s="1"/>
  <c r="S616" i="5" s="1"/>
  <c r="T616" i="5"/>
  <c r="B617" i="5"/>
  <c r="C617" i="5"/>
  <c r="D617" i="5"/>
  <c r="E617" i="5"/>
  <c r="F617" i="5"/>
  <c r="H617" i="5"/>
  <c r="I617" i="5"/>
  <c r="N617" i="5"/>
  <c r="Q617" i="5"/>
  <c r="R617" i="5"/>
  <c r="S617" i="5"/>
  <c r="T617" i="5"/>
  <c r="B618" i="5"/>
  <c r="C618" i="5"/>
  <c r="D618" i="5"/>
  <c r="E618" i="5"/>
  <c r="F618" i="5"/>
  <c r="H618" i="5"/>
  <c r="I618" i="5"/>
  <c r="N618" i="5"/>
  <c r="Q618" i="5"/>
  <c r="S618" i="5" s="1"/>
  <c r="R618" i="5"/>
  <c r="T618" i="5"/>
  <c r="B619" i="5"/>
  <c r="C619" i="5"/>
  <c r="D619" i="5"/>
  <c r="E619" i="5"/>
  <c r="F619" i="5"/>
  <c r="H619" i="5"/>
  <c r="I619" i="5"/>
  <c r="N619" i="5"/>
  <c r="Q619" i="5"/>
  <c r="S619" i="5" s="1"/>
  <c r="R619" i="5"/>
  <c r="T619" i="5"/>
  <c r="B620" i="5"/>
  <c r="C620" i="5"/>
  <c r="D620" i="5"/>
  <c r="E620" i="5"/>
  <c r="F620" i="5"/>
  <c r="H620" i="5"/>
  <c r="I620" i="5"/>
  <c r="L620" i="5"/>
  <c r="N620" i="5"/>
  <c r="R620" i="5"/>
  <c r="Q620" i="5" s="1"/>
  <c r="S620" i="5" s="1"/>
  <c r="T620" i="5"/>
  <c r="B621" i="5"/>
  <c r="C621" i="5"/>
  <c r="D621" i="5"/>
  <c r="E621" i="5"/>
  <c r="F621" i="5"/>
  <c r="H621" i="5"/>
  <c r="I621" i="5"/>
  <c r="N621" i="5"/>
  <c r="R621" i="5"/>
  <c r="Q621" i="5" s="1"/>
  <c r="S621" i="5"/>
  <c r="T621" i="5"/>
  <c r="B622" i="5"/>
  <c r="C622" i="5"/>
  <c r="L622" i="5" s="1"/>
  <c r="D622" i="5"/>
  <c r="E622" i="5"/>
  <c r="F622" i="5"/>
  <c r="H622" i="5"/>
  <c r="I622" i="5"/>
  <c r="N622" i="5"/>
  <c r="Q622" i="5"/>
  <c r="S622" i="5" s="1"/>
  <c r="R622" i="5"/>
  <c r="T622" i="5"/>
  <c r="B623" i="5"/>
  <c r="C623" i="5"/>
  <c r="D623" i="5"/>
  <c r="E623" i="5"/>
  <c r="F623" i="5"/>
  <c r="H623" i="5"/>
  <c r="I623" i="5"/>
  <c r="N623" i="5"/>
  <c r="R623" i="5"/>
  <c r="Q623" i="5" s="1"/>
  <c r="S623" i="5" s="1"/>
  <c r="T623" i="5"/>
  <c r="B624" i="5"/>
  <c r="C624" i="5"/>
  <c r="D624" i="5"/>
  <c r="E624" i="5"/>
  <c r="F624" i="5"/>
  <c r="H624" i="5"/>
  <c r="L624" i="5" s="1"/>
  <c r="I624" i="5"/>
  <c r="N624" i="5"/>
  <c r="R624" i="5"/>
  <c r="Q624" i="5" s="1"/>
  <c r="S624" i="5" s="1"/>
  <c r="T624" i="5"/>
  <c r="B625" i="5"/>
  <c r="C625" i="5"/>
  <c r="D625" i="5"/>
  <c r="E625" i="5"/>
  <c r="F625" i="5"/>
  <c r="H625" i="5"/>
  <c r="I625" i="5"/>
  <c r="N625" i="5"/>
  <c r="Q625" i="5"/>
  <c r="R625" i="5"/>
  <c r="S625" i="5"/>
  <c r="T625" i="5"/>
  <c r="B626" i="5"/>
  <c r="C626" i="5"/>
  <c r="D626" i="5"/>
  <c r="E626" i="5"/>
  <c r="F626" i="5"/>
  <c r="H626" i="5"/>
  <c r="I626" i="5"/>
  <c r="N626" i="5"/>
  <c r="Q626" i="5"/>
  <c r="S626" i="5" s="1"/>
  <c r="R626" i="5"/>
  <c r="T626" i="5"/>
  <c r="B627" i="5"/>
  <c r="C627" i="5"/>
  <c r="L627" i="5" s="1"/>
  <c r="D627" i="5"/>
  <c r="E627" i="5"/>
  <c r="F627" i="5"/>
  <c r="H627" i="5"/>
  <c r="I627" i="5"/>
  <c r="N627" i="5"/>
  <c r="Q627" i="5"/>
  <c r="S627" i="5" s="1"/>
  <c r="R627" i="5"/>
  <c r="T627" i="5"/>
  <c r="B628" i="5"/>
  <c r="C628" i="5"/>
  <c r="D628" i="5"/>
  <c r="E628" i="5"/>
  <c r="F628" i="5"/>
  <c r="H628" i="5"/>
  <c r="I628" i="5"/>
  <c r="N628" i="5"/>
  <c r="Q628" i="5"/>
  <c r="S628" i="5" s="1"/>
  <c r="R628" i="5"/>
  <c r="T628" i="5"/>
  <c r="B629" i="5"/>
  <c r="C629" i="5"/>
  <c r="D629" i="5"/>
  <c r="E629" i="5"/>
  <c r="L629" i="5" s="1"/>
  <c r="F629" i="5"/>
  <c r="H629" i="5"/>
  <c r="I629" i="5"/>
  <c r="N629" i="5"/>
  <c r="R629" i="5"/>
  <c r="Q629" i="5" s="1"/>
  <c r="S629" i="5" s="1"/>
  <c r="T629" i="5"/>
  <c r="B630" i="5"/>
  <c r="C630" i="5"/>
  <c r="D630" i="5"/>
  <c r="E630" i="5"/>
  <c r="F630" i="5"/>
  <c r="H630" i="5"/>
  <c r="I630" i="5"/>
  <c r="L630" i="5"/>
  <c r="N630" i="5"/>
  <c r="Q630" i="5"/>
  <c r="S630" i="5" s="1"/>
  <c r="R630" i="5"/>
  <c r="T630" i="5"/>
  <c r="B631" i="5"/>
  <c r="C631" i="5"/>
  <c r="D631" i="5"/>
  <c r="E631" i="5"/>
  <c r="F631" i="5"/>
  <c r="H631" i="5"/>
  <c r="I631" i="5"/>
  <c r="N631" i="5"/>
  <c r="R631" i="5"/>
  <c r="Q631" i="5" s="1"/>
  <c r="S631" i="5" s="1"/>
  <c r="T631" i="5"/>
  <c r="B632" i="5"/>
  <c r="C632" i="5"/>
  <c r="D632" i="5"/>
  <c r="E632" i="5"/>
  <c r="F632" i="5"/>
  <c r="H632" i="5"/>
  <c r="I632" i="5"/>
  <c r="L632" i="5"/>
  <c r="N632" i="5"/>
  <c r="R632" i="5"/>
  <c r="Q632" i="5" s="1"/>
  <c r="S632" i="5" s="1"/>
  <c r="T632" i="5"/>
  <c r="B633" i="5"/>
  <c r="C633" i="5"/>
  <c r="L633" i="5" s="1"/>
  <c r="D633" i="5"/>
  <c r="E633" i="5"/>
  <c r="F633" i="5"/>
  <c r="H633" i="5"/>
  <c r="I633" i="5"/>
  <c r="N633" i="5"/>
  <c r="Q633" i="5"/>
  <c r="R633" i="5"/>
  <c r="S633" i="5"/>
  <c r="T633" i="5"/>
  <c r="B634" i="5"/>
  <c r="C634" i="5"/>
  <c r="L634" i="5" s="1"/>
  <c r="D634" i="5"/>
  <c r="E634" i="5"/>
  <c r="F634" i="5"/>
  <c r="H634" i="5"/>
  <c r="I634" i="5"/>
  <c r="N634" i="5"/>
  <c r="R634" i="5"/>
  <c r="Q634" i="5" s="1"/>
  <c r="S634" i="5" s="1"/>
  <c r="T634" i="5"/>
  <c r="B635" i="5"/>
  <c r="C635" i="5"/>
  <c r="D635" i="5"/>
  <c r="E635" i="5"/>
  <c r="F635" i="5"/>
  <c r="L635" i="5" s="1"/>
  <c r="H635" i="5"/>
  <c r="I635" i="5"/>
  <c r="N635" i="5"/>
  <c r="Q635" i="5"/>
  <c r="S635" i="5" s="1"/>
  <c r="R635" i="5"/>
  <c r="T635" i="5"/>
  <c r="B636" i="5"/>
  <c r="C636" i="5"/>
  <c r="D636" i="5"/>
  <c r="E636" i="5"/>
  <c r="F636" i="5"/>
  <c r="H636" i="5"/>
  <c r="I636" i="5"/>
  <c r="L636" i="5"/>
  <c r="N636" i="5"/>
  <c r="Q636" i="5"/>
  <c r="S636" i="5" s="1"/>
  <c r="R636" i="5"/>
  <c r="T636" i="5"/>
  <c r="B637" i="5"/>
  <c r="C637" i="5"/>
  <c r="D637" i="5"/>
  <c r="L637" i="5" s="1"/>
  <c r="E637" i="5"/>
  <c r="F637" i="5"/>
  <c r="H637" i="5"/>
  <c r="I637" i="5"/>
  <c r="N637" i="5"/>
  <c r="R637" i="5"/>
  <c r="Q637" i="5" s="1"/>
  <c r="S637" i="5" s="1"/>
  <c r="T637" i="5"/>
  <c r="B638" i="5"/>
  <c r="C638" i="5"/>
  <c r="D638" i="5"/>
  <c r="E638" i="5"/>
  <c r="F638" i="5"/>
  <c r="H638" i="5"/>
  <c r="L638" i="5" s="1"/>
  <c r="I638" i="5"/>
  <c r="N638" i="5"/>
  <c r="R638" i="5"/>
  <c r="Q638" i="5" s="1"/>
  <c r="S638" i="5" s="1"/>
  <c r="T638" i="5"/>
  <c r="B639" i="5"/>
  <c r="C639" i="5"/>
  <c r="D639" i="5"/>
  <c r="E639" i="5"/>
  <c r="F639" i="5"/>
  <c r="H639" i="5"/>
  <c r="I639" i="5"/>
  <c r="N639" i="5"/>
  <c r="R639" i="5"/>
  <c r="Q639" i="5" s="1"/>
  <c r="S639" i="5"/>
  <c r="T639" i="5"/>
  <c r="B640" i="5"/>
  <c r="C640" i="5"/>
  <c r="D640" i="5"/>
  <c r="E640" i="5"/>
  <c r="F640" i="5"/>
  <c r="H640" i="5"/>
  <c r="I640" i="5"/>
  <c r="L640" i="5"/>
  <c r="N640" i="5"/>
  <c r="R640" i="5"/>
  <c r="Q640" i="5" s="1"/>
  <c r="S640" i="5" s="1"/>
  <c r="T640" i="5"/>
  <c r="B641" i="5"/>
  <c r="C641" i="5"/>
  <c r="D641" i="5"/>
  <c r="E641" i="5"/>
  <c r="F641" i="5"/>
  <c r="H641" i="5"/>
  <c r="I641" i="5"/>
  <c r="N641" i="5"/>
  <c r="R641" i="5"/>
  <c r="Q641" i="5" s="1"/>
  <c r="S641" i="5" s="1"/>
  <c r="T641" i="5"/>
  <c r="B642" i="5"/>
  <c r="C642" i="5"/>
  <c r="D642" i="5"/>
  <c r="E642" i="5"/>
  <c r="F642" i="5"/>
  <c r="H642" i="5"/>
  <c r="I642" i="5"/>
  <c r="N642" i="5"/>
  <c r="Q642" i="5"/>
  <c r="S642" i="5" s="1"/>
  <c r="R642" i="5"/>
  <c r="T642" i="5"/>
  <c r="B643" i="5"/>
  <c r="C643" i="5"/>
  <c r="D643" i="5"/>
  <c r="E643" i="5"/>
  <c r="F643" i="5"/>
  <c r="H643" i="5"/>
  <c r="I643" i="5"/>
  <c r="N643" i="5"/>
  <c r="Q643" i="5"/>
  <c r="S643" i="5" s="1"/>
  <c r="R643" i="5"/>
  <c r="T643" i="5"/>
  <c r="B644" i="5"/>
  <c r="C644" i="5"/>
  <c r="L644" i="5" s="1"/>
  <c r="D644" i="5"/>
  <c r="E644" i="5"/>
  <c r="F644" i="5"/>
  <c r="H644" i="5"/>
  <c r="I644" i="5"/>
  <c r="N644" i="5"/>
  <c r="Q644" i="5"/>
  <c r="S644" i="5" s="1"/>
  <c r="R644" i="5"/>
  <c r="T644" i="5"/>
  <c r="B645" i="5"/>
  <c r="C645" i="5"/>
  <c r="D645" i="5"/>
  <c r="E645" i="5"/>
  <c r="F645" i="5"/>
  <c r="H645" i="5"/>
  <c r="I645" i="5"/>
  <c r="N645" i="5"/>
  <c r="R645" i="5"/>
  <c r="Q645" i="5" s="1"/>
  <c r="S645" i="5"/>
  <c r="T645" i="5"/>
  <c r="B646" i="5"/>
  <c r="C646" i="5"/>
  <c r="D646" i="5"/>
  <c r="E646" i="5"/>
  <c r="F646" i="5"/>
  <c r="H646" i="5"/>
  <c r="I646" i="5"/>
  <c r="N646" i="5"/>
  <c r="Q646" i="5"/>
  <c r="S646" i="5" s="1"/>
  <c r="R646" i="5"/>
  <c r="T646" i="5"/>
  <c r="B647" i="5"/>
  <c r="C647" i="5"/>
  <c r="L647" i="5" s="1"/>
  <c r="D647" i="5"/>
  <c r="E647" i="5"/>
  <c r="F647" i="5"/>
  <c r="H647" i="5"/>
  <c r="I647" i="5"/>
  <c r="N647" i="5"/>
  <c r="R647" i="5"/>
  <c r="Q647" i="5" s="1"/>
  <c r="S647" i="5"/>
  <c r="T647" i="5"/>
  <c r="B648" i="5"/>
  <c r="C648" i="5"/>
  <c r="D648" i="5"/>
  <c r="E648" i="5"/>
  <c r="F648" i="5"/>
  <c r="H648" i="5"/>
  <c r="I648" i="5"/>
  <c r="L648" i="5" s="1"/>
  <c r="N648" i="5"/>
  <c r="R648" i="5"/>
  <c r="Q648" i="5" s="1"/>
  <c r="S648" i="5" s="1"/>
  <c r="T648" i="5"/>
  <c r="B649" i="5"/>
  <c r="C649" i="5"/>
  <c r="D649" i="5"/>
  <c r="E649" i="5"/>
  <c r="F649" i="5"/>
  <c r="H649" i="5"/>
  <c r="I649" i="5"/>
  <c r="N649" i="5"/>
  <c r="R649" i="5"/>
  <c r="Q649" i="5" s="1"/>
  <c r="S649" i="5"/>
  <c r="T649" i="5"/>
  <c r="B650" i="5"/>
  <c r="C650" i="5"/>
  <c r="D650" i="5"/>
  <c r="E650" i="5"/>
  <c r="F650" i="5"/>
  <c r="H650" i="5"/>
  <c r="I650" i="5"/>
  <c r="N650" i="5"/>
  <c r="Q650" i="5"/>
  <c r="S650" i="5" s="1"/>
  <c r="R650" i="5"/>
  <c r="T650" i="5"/>
  <c r="B651" i="5"/>
  <c r="C651" i="5"/>
  <c r="D651" i="5"/>
  <c r="E651" i="5"/>
  <c r="F651" i="5"/>
  <c r="H651" i="5"/>
  <c r="I651" i="5"/>
  <c r="N651" i="5"/>
  <c r="Q651" i="5"/>
  <c r="S651" i="5" s="1"/>
  <c r="R651" i="5"/>
  <c r="T651" i="5"/>
  <c r="B652" i="5"/>
  <c r="C652" i="5"/>
  <c r="D652" i="5"/>
  <c r="E652" i="5"/>
  <c r="F652" i="5"/>
  <c r="H652" i="5"/>
  <c r="I652" i="5"/>
  <c r="L652" i="5"/>
  <c r="N652" i="5"/>
  <c r="R652" i="5"/>
  <c r="Q652" i="5" s="1"/>
  <c r="S652" i="5" s="1"/>
  <c r="T652" i="5"/>
  <c r="B653" i="5"/>
  <c r="C653" i="5"/>
  <c r="D653" i="5"/>
  <c r="E653" i="5"/>
  <c r="F653" i="5"/>
  <c r="H653" i="5"/>
  <c r="I653" i="5"/>
  <c r="N653" i="5"/>
  <c r="R653" i="5"/>
  <c r="Q653" i="5" s="1"/>
  <c r="S653" i="5" s="1"/>
  <c r="T653" i="5"/>
  <c r="B654" i="5"/>
  <c r="C654" i="5"/>
  <c r="D654" i="5"/>
  <c r="E654" i="5"/>
  <c r="F654" i="5"/>
  <c r="H654" i="5"/>
  <c r="I654" i="5"/>
  <c r="N654" i="5"/>
  <c r="Q654" i="5"/>
  <c r="S654" i="5" s="1"/>
  <c r="R654" i="5"/>
  <c r="T654" i="5"/>
  <c r="B655" i="5"/>
  <c r="C655" i="5"/>
  <c r="L655" i="5" s="1"/>
  <c r="D655" i="5"/>
  <c r="E655" i="5"/>
  <c r="F655" i="5"/>
  <c r="H655" i="5"/>
  <c r="I655" i="5"/>
  <c r="N655" i="5"/>
  <c r="R655" i="5"/>
  <c r="Q655" i="5" s="1"/>
  <c r="S655" i="5"/>
  <c r="T655" i="5"/>
  <c r="B656" i="5"/>
  <c r="C656" i="5"/>
  <c r="D656" i="5"/>
  <c r="E656" i="5"/>
  <c r="F656" i="5"/>
  <c r="H656" i="5"/>
  <c r="I656" i="5"/>
  <c r="N656" i="5"/>
  <c r="R656" i="5"/>
  <c r="Q656" i="5" s="1"/>
  <c r="S656" i="5" s="1"/>
  <c r="T656" i="5"/>
  <c r="B657" i="5"/>
  <c r="C657" i="5"/>
  <c r="D657" i="5"/>
  <c r="E657" i="5"/>
  <c r="F657" i="5"/>
  <c r="H657" i="5"/>
  <c r="I657" i="5"/>
  <c r="N657" i="5"/>
  <c r="R657" i="5"/>
  <c r="Q657" i="5" s="1"/>
  <c r="S657" i="5" s="1"/>
  <c r="T657" i="5"/>
  <c r="B658" i="5"/>
  <c r="C658" i="5"/>
  <c r="D658" i="5"/>
  <c r="E658" i="5"/>
  <c r="F658" i="5"/>
  <c r="H658" i="5"/>
  <c r="I658" i="5"/>
  <c r="N658" i="5"/>
  <c r="Q658" i="5"/>
  <c r="S658" i="5" s="1"/>
  <c r="R658" i="5"/>
  <c r="T658" i="5"/>
  <c r="B659" i="5"/>
  <c r="C659" i="5"/>
  <c r="D659" i="5"/>
  <c r="E659" i="5"/>
  <c r="F659" i="5"/>
  <c r="H659" i="5"/>
  <c r="I659" i="5"/>
  <c r="N659" i="5"/>
  <c r="Q659" i="5"/>
  <c r="S659" i="5" s="1"/>
  <c r="R659" i="5"/>
  <c r="T659" i="5"/>
  <c r="B660" i="5"/>
  <c r="C660" i="5"/>
  <c r="D660" i="5"/>
  <c r="E660" i="5"/>
  <c r="F660" i="5"/>
  <c r="H660" i="5"/>
  <c r="I660" i="5"/>
  <c r="N660" i="5"/>
  <c r="Q660" i="5"/>
  <c r="S660" i="5" s="1"/>
  <c r="R660" i="5"/>
  <c r="T660" i="5"/>
  <c r="B661" i="5"/>
  <c r="C661" i="5"/>
  <c r="D661" i="5"/>
  <c r="E661" i="5"/>
  <c r="F661" i="5"/>
  <c r="H661" i="5"/>
  <c r="I661" i="5"/>
  <c r="N661" i="5"/>
  <c r="R661" i="5"/>
  <c r="Q661" i="5" s="1"/>
  <c r="S661" i="5" s="1"/>
  <c r="T661" i="5"/>
  <c r="B662" i="5"/>
  <c r="C662" i="5"/>
  <c r="L662" i="5" s="1"/>
  <c r="D662" i="5"/>
  <c r="E662" i="5"/>
  <c r="F662" i="5"/>
  <c r="H662" i="5"/>
  <c r="I662" i="5"/>
  <c r="N662" i="5"/>
  <c r="Q662" i="5"/>
  <c r="S662" i="5" s="1"/>
  <c r="R662" i="5"/>
  <c r="T662" i="5"/>
  <c r="B663" i="5"/>
  <c r="C663" i="5"/>
  <c r="D663" i="5"/>
  <c r="E663" i="5"/>
  <c r="F663" i="5"/>
  <c r="H663" i="5"/>
  <c r="I663" i="5"/>
  <c r="N663" i="5"/>
  <c r="R663" i="5"/>
  <c r="Q663" i="5" s="1"/>
  <c r="S663" i="5" s="1"/>
  <c r="T663" i="5"/>
  <c r="B664" i="5"/>
  <c r="C664" i="5"/>
  <c r="D664" i="5"/>
  <c r="E664" i="5"/>
  <c r="F664" i="5"/>
  <c r="H664" i="5"/>
  <c r="I664" i="5"/>
  <c r="L664" i="5"/>
  <c r="N664" i="5"/>
  <c r="R664" i="5"/>
  <c r="Q664" i="5" s="1"/>
  <c r="S664" i="5"/>
  <c r="T664" i="5"/>
  <c r="B665" i="5"/>
  <c r="C665" i="5"/>
  <c r="D665" i="5"/>
  <c r="E665" i="5"/>
  <c r="F665" i="5"/>
  <c r="H665" i="5"/>
  <c r="I665" i="5"/>
  <c r="N665" i="5"/>
  <c r="Q665" i="5"/>
  <c r="R665" i="5"/>
  <c r="S665" i="5"/>
  <c r="T665" i="5"/>
  <c r="B666" i="5"/>
  <c r="C666" i="5"/>
  <c r="D666" i="5"/>
  <c r="E666" i="5"/>
  <c r="F666" i="5"/>
  <c r="H666" i="5"/>
  <c r="I666" i="5"/>
  <c r="N666" i="5"/>
  <c r="Q666" i="5"/>
  <c r="S666" i="5" s="1"/>
  <c r="R666" i="5"/>
  <c r="T666" i="5"/>
  <c r="B667" i="5"/>
  <c r="C667" i="5"/>
  <c r="D667" i="5"/>
  <c r="E667" i="5"/>
  <c r="F667" i="5"/>
  <c r="H667" i="5"/>
  <c r="I667" i="5"/>
  <c r="N667" i="5"/>
  <c r="Q667" i="5"/>
  <c r="S667" i="5" s="1"/>
  <c r="R667" i="5"/>
  <c r="T667" i="5"/>
  <c r="B668" i="5"/>
  <c r="C668" i="5"/>
  <c r="D668" i="5"/>
  <c r="E668" i="5"/>
  <c r="F668" i="5"/>
  <c r="H668" i="5"/>
  <c r="I668" i="5"/>
  <c r="L668" i="5"/>
  <c r="N668" i="5"/>
  <c r="Q668" i="5"/>
  <c r="S668" i="5" s="1"/>
  <c r="R668" i="5"/>
  <c r="T668" i="5"/>
  <c r="B669" i="5"/>
  <c r="C669" i="5"/>
  <c r="D669" i="5"/>
  <c r="E669" i="5"/>
  <c r="F669" i="5"/>
  <c r="H669" i="5"/>
  <c r="I669" i="5"/>
  <c r="N669" i="5"/>
  <c r="R669" i="5"/>
  <c r="Q669" i="5" s="1"/>
  <c r="S669" i="5"/>
  <c r="T669" i="5"/>
  <c r="B670" i="5"/>
  <c r="C670" i="5"/>
  <c r="D670" i="5"/>
  <c r="E670" i="5"/>
  <c r="F670" i="5"/>
  <c r="H670" i="5"/>
  <c r="I670" i="5"/>
  <c r="N670" i="5"/>
  <c r="R670" i="5"/>
  <c r="Q670" i="5" s="1"/>
  <c r="S670" i="5" s="1"/>
  <c r="T670" i="5"/>
  <c r="B671" i="5"/>
  <c r="C671" i="5"/>
  <c r="D671" i="5"/>
  <c r="E671" i="5"/>
  <c r="F671" i="5"/>
  <c r="H671" i="5"/>
  <c r="I671" i="5"/>
  <c r="N671" i="5"/>
  <c r="R671" i="5"/>
  <c r="Q671" i="5" s="1"/>
  <c r="S671" i="5" s="1"/>
  <c r="T671" i="5"/>
  <c r="B672" i="5"/>
  <c r="C672" i="5"/>
  <c r="D672" i="5"/>
  <c r="E672" i="5"/>
  <c r="F672" i="5"/>
  <c r="H672" i="5"/>
  <c r="I672" i="5"/>
  <c r="L672" i="5"/>
  <c r="N672" i="5"/>
  <c r="R672" i="5"/>
  <c r="Q672" i="5" s="1"/>
  <c r="S672" i="5" s="1"/>
  <c r="T672" i="5"/>
  <c r="B673" i="5"/>
  <c r="C673" i="5"/>
  <c r="D673" i="5"/>
  <c r="E673" i="5"/>
  <c r="F673" i="5"/>
  <c r="H673" i="5"/>
  <c r="I673" i="5"/>
  <c r="N673" i="5"/>
  <c r="Q673" i="5"/>
  <c r="S673" i="5" s="1"/>
  <c r="R673" i="5"/>
  <c r="T673" i="5"/>
  <c r="B674" i="5"/>
  <c r="C674" i="5"/>
  <c r="D674" i="5"/>
  <c r="E674" i="5"/>
  <c r="F674" i="5"/>
  <c r="H674" i="5"/>
  <c r="I674" i="5"/>
  <c r="N674" i="5"/>
  <c r="Q674" i="5"/>
  <c r="S674" i="5" s="1"/>
  <c r="R674" i="5"/>
  <c r="T674" i="5"/>
  <c r="B675" i="5"/>
  <c r="C675" i="5"/>
  <c r="L675" i="5" s="1"/>
  <c r="D675" i="5"/>
  <c r="E675" i="5"/>
  <c r="F675" i="5"/>
  <c r="H675" i="5"/>
  <c r="I675" i="5"/>
  <c r="N675" i="5"/>
  <c r="Q675" i="5"/>
  <c r="S675" i="5" s="1"/>
  <c r="R675" i="5"/>
  <c r="T675" i="5"/>
  <c r="B676" i="5"/>
  <c r="C676" i="5"/>
  <c r="L676" i="5" s="1"/>
  <c r="D676" i="5"/>
  <c r="E676" i="5"/>
  <c r="F676" i="5"/>
  <c r="H676" i="5"/>
  <c r="I676" i="5"/>
  <c r="N676" i="5"/>
  <c r="Q676" i="5"/>
  <c r="S676" i="5" s="1"/>
  <c r="R676" i="5"/>
  <c r="T676" i="5"/>
  <c r="B677" i="5"/>
  <c r="C677" i="5"/>
  <c r="D677" i="5"/>
  <c r="L677" i="5" s="1"/>
  <c r="E677" i="5"/>
  <c r="F677" i="5"/>
  <c r="H677" i="5"/>
  <c r="I677" i="5"/>
  <c r="N677" i="5"/>
  <c r="R677" i="5"/>
  <c r="Q677" i="5" s="1"/>
  <c r="S677" i="5"/>
  <c r="T677" i="5"/>
  <c r="B678" i="5"/>
  <c r="C678" i="5"/>
  <c r="D678" i="5"/>
  <c r="E678" i="5"/>
  <c r="F678" i="5"/>
  <c r="H678" i="5"/>
  <c r="I678" i="5"/>
  <c r="L678" i="5"/>
  <c r="N678" i="5"/>
  <c r="Q678" i="5"/>
  <c r="S678" i="5" s="1"/>
  <c r="R678" i="5"/>
  <c r="T678" i="5"/>
  <c r="B679" i="5"/>
  <c r="C679" i="5"/>
  <c r="D679" i="5"/>
  <c r="E679" i="5"/>
  <c r="F679" i="5"/>
  <c r="H679" i="5"/>
  <c r="I679" i="5"/>
  <c r="N679" i="5"/>
  <c r="R679" i="5"/>
  <c r="Q679" i="5" s="1"/>
  <c r="S679" i="5"/>
  <c r="T679" i="5"/>
  <c r="B680" i="5"/>
  <c r="C680" i="5"/>
  <c r="D680" i="5"/>
  <c r="E680" i="5"/>
  <c r="F680" i="5"/>
  <c r="H680" i="5"/>
  <c r="I680" i="5"/>
  <c r="L680" i="5"/>
  <c r="N680" i="5"/>
  <c r="R680" i="5"/>
  <c r="Q680" i="5" s="1"/>
  <c r="S680" i="5" s="1"/>
  <c r="T680" i="5"/>
  <c r="B681" i="5"/>
  <c r="C681" i="5"/>
  <c r="L681" i="5" s="1"/>
  <c r="D681" i="5"/>
  <c r="E681" i="5"/>
  <c r="F681" i="5"/>
  <c r="H681" i="5"/>
  <c r="I681" i="5"/>
  <c r="N681" i="5"/>
  <c r="R681" i="5"/>
  <c r="Q681" i="5" s="1"/>
  <c r="S681" i="5"/>
  <c r="T681" i="5"/>
  <c r="B682" i="5"/>
  <c r="C682" i="5"/>
  <c r="D682" i="5"/>
  <c r="E682" i="5"/>
  <c r="F682" i="5"/>
  <c r="H682" i="5"/>
  <c r="I682" i="5"/>
  <c r="N682" i="5"/>
  <c r="Q682" i="5"/>
  <c r="S682" i="5" s="1"/>
  <c r="R682" i="5"/>
  <c r="T682" i="5"/>
  <c r="B683" i="5"/>
  <c r="C683" i="5"/>
  <c r="D683" i="5"/>
  <c r="E683" i="5"/>
  <c r="F683" i="5"/>
  <c r="H683" i="5"/>
  <c r="I683" i="5"/>
  <c r="N683" i="5"/>
  <c r="Q683" i="5"/>
  <c r="S683" i="5" s="1"/>
  <c r="R683" i="5"/>
  <c r="T683" i="5"/>
  <c r="B684" i="5"/>
  <c r="C684" i="5"/>
  <c r="D684" i="5"/>
  <c r="E684" i="5"/>
  <c r="F684" i="5"/>
  <c r="H684" i="5"/>
  <c r="I684" i="5"/>
  <c r="L684" i="5"/>
  <c r="N684" i="5"/>
  <c r="R684" i="5"/>
  <c r="Q684" i="5" s="1"/>
  <c r="S684" i="5" s="1"/>
  <c r="T684" i="5"/>
  <c r="B685" i="5"/>
  <c r="C685" i="5"/>
  <c r="D685" i="5"/>
  <c r="E685" i="5"/>
  <c r="F685" i="5"/>
  <c r="H685" i="5"/>
  <c r="I685" i="5"/>
  <c r="N685" i="5"/>
  <c r="R685" i="5"/>
  <c r="Q685" i="5" s="1"/>
  <c r="S685" i="5"/>
  <c r="T685" i="5"/>
  <c r="B686" i="5"/>
  <c r="C686" i="5"/>
  <c r="D686" i="5"/>
  <c r="E686" i="5"/>
  <c r="F686" i="5"/>
  <c r="H686" i="5"/>
  <c r="I686" i="5"/>
  <c r="N686" i="5"/>
  <c r="Q686" i="5"/>
  <c r="S686" i="5" s="1"/>
  <c r="R686" i="5"/>
  <c r="T686" i="5"/>
  <c r="B687" i="5"/>
  <c r="C687" i="5"/>
  <c r="D687" i="5"/>
  <c r="E687" i="5"/>
  <c r="F687" i="5"/>
  <c r="H687" i="5"/>
  <c r="I687" i="5"/>
  <c r="N687" i="5"/>
  <c r="R687" i="5"/>
  <c r="Q687" i="5" s="1"/>
  <c r="S687" i="5"/>
  <c r="T687" i="5"/>
  <c r="B688" i="5"/>
  <c r="C688" i="5"/>
  <c r="D688" i="5"/>
  <c r="E688" i="5"/>
  <c r="F688" i="5"/>
  <c r="H688" i="5"/>
  <c r="I688" i="5"/>
  <c r="L688" i="5"/>
  <c r="N688" i="5"/>
  <c r="R688" i="5"/>
  <c r="Q688" i="5" s="1"/>
  <c r="S688" i="5" s="1"/>
  <c r="T688" i="5"/>
  <c r="B689" i="5"/>
  <c r="C689" i="5"/>
  <c r="L689" i="5" s="1"/>
  <c r="D689" i="5"/>
  <c r="E689" i="5"/>
  <c r="F689" i="5"/>
  <c r="H689" i="5"/>
  <c r="I689" i="5"/>
  <c r="N689" i="5"/>
  <c r="R689" i="5"/>
  <c r="Q689" i="5" s="1"/>
  <c r="S689" i="5"/>
  <c r="T689" i="5"/>
  <c r="B690" i="5"/>
  <c r="C690" i="5"/>
  <c r="D690" i="5"/>
  <c r="E690" i="5"/>
  <c r="F690" i="5"/>
  <c r="H690" i="5"/>
  <c r="I690" i="5"/>
  <c r="N690" i="5"/>
  <c r="Q690" i="5"/>
  <c r="S690" i="5" s="1"/>
  <c r="R690" i="5"/>
  <c r="T690" i="5"/>
  <c r="B691" i="5"/>
  <c r="C691" i="5"/>
  <c r="D691" i="5"/>
  <c r="E691" i="5"/>
  <c r="F691" i="5"/>
  <c r="H691" i="5"/>
  <c r="I691" i="5"/>
  <c r="N691" i="5"/>
  <c r="Q691" i="5"/>
  <c r="S691" i="5" s="1"/>
  <c r="R691" i="5"/>
  <c r="T691" i="5"/>
  <c r="B692" i="5"/>
  <c r="C692" i="5"/>
  <c r="D692" i="5"/>
  <c r="E692" i="5"/>
  <c r="F692" i="5"/>
  <c r="H692" i="5"/>
  <c r="I692" i="5"/>
  <c r="N692" i="5"/>
  <c r="Q692" i="5"/>
  <c r="S692" i="5" s="1"/>
  <c r="R692" i="5"/>
  <c r="T692" i="5"/>
  <c r="B693" i="5"/>
  <c r="C693" i="5"/>
  <c r="D693" i="5"/>
  <c r="E693" i="5"/>
  <c r="F693" i="5"/>
  <c r="H693" i="5"/>
  <c r="I693" i="5"/>
  <c r="N693" i="5"/>
  <c r="R693" i="5"/>
  <c r="Q693" i="5" s="1"/>
  <c r="S693" i="5" s="1"/>
  <c r="T693" i="5"/>
  <c r="B694" i="5"/>
  <c r="C694" i="5"/>
  <c r="D694" i="5"/>
  <c r="E694" i="5"/>
  <c r="F694" i="5"/>
  <c r="H694" i="5"/>
  <c r="I694" i="5"/>
  <c r="N694" i="5"/>
  <c r="Q694" i="5"/>
  <c r="S694" i="5" s="1"/>
  <c r="R694" i="5"/>
  <c r="T694" i="5"/>
  <c r="B695" i="5"/>
  <c r="C695" i="5"/>
  <c r="L695" i="5" s="1"/>
  <c r="D695" i="5"/>
  <c r="E695" i="5"/>
  <c r="F695" i="5"/>
  <c r="H695" i="5"/>
  <c r="I695" i="5"/>
  <c r="N695" i="5"/>
  <c r="R695" i="5"/>
  <c r="Q695" i="5" s="1"/>
  <c r="S695" i="5" s="1"/>
  <c r="T695" i="5"/>
  <c r="B696" i="5"/>
  <c r="C696" i="5"/>
  <c r="D696" i="5"/>
  <c r="E696" i="5"/>
  <c r="F696" i="5"/>
  <c r="H696" i="5"/>
  <c r="I696" i="5"/>
  <c r="L696" i="5"/>
  <c r="N696" i="5"/>
  <c r="R696" i="5"/>
  <c r="Q696" i="5" s="1"/>
  <c r="S696" i="5" s="1"/>
  <c r="T696" i="5"/>
  <c r="B697" i="5"/>
  <c r="C697" i="5"/>
  <c r="D697" i="5"/>
  <c r="E697" i="5"/>
  <c r="F697" i="5"/>
  <c r="H697" i="5"/>
  <c r="I697" i="5"/>
  <c r="N697" i="5"/>
  <c r="Q697" i="5"/>
  <c r="R697" i="5"/>
  <c r="S697" i="5"/>
  <c r="T697" i="5"/>
  <c r="B698" i="5"/>
  <c r="C698" i="5"/>
  <c r="D698" i="5"/>
  <c r="E698" i="5"/>
  <c r="F698" i="5"/>
  <c r="H698" i="5"/>
  <c r="I698" i="5"/>
  <c r="N698" i="5"/>
  <c r="R698" i="5"/>
  <c r="Q698" i="5" s="1"/>
  <c r="S698" i="5" s="1"/>
  <c r="T698" i="5"/>
  <c r="B699" i="5"/>
  <c r="C699" i="5"/>
  <c r="D699" i="5"/>
  <c r="E699" i="5"/>
  <c r="F699" i="5"/>
  <c r="L699" i="5" s="1"/>
  <c r="H699" i="5"/>
  <c r="I699" i="5"/>
  <c r="N699" i="5"/>
  <c r="Q699" i="5"/>
  <c r="S699" i="5" s="1"/>
  <c r="R699" i="5"/>
  <c r="T699" i="5"/>
  <c r="B700" i="5"/>
  <c r="C700" i="5"/>
  <c r="L700" i="5" s="1"/>
  <c r="D700" i="5"/>
  <c r="E700" i="5"/>
  <c r="F700" i="5"/>
  <c r="H700" i="5"/>
  <c r="I700" i="5"/>
  <c r="N700" i="5"/>
  <c r="Q700" i="5"/>
  <c r="S700" i="5" s="1"/>
  <c r="R700" i="5"/>
  <c r="T700" i="5"/>
  <c r="B701" i="5"/>
  <c r="C701" i="5"/>
  <c r="D701" i="5"/>
  <c r="E701" i="5"/>
  <c r="F701" i="5"/>
  <c r="H701" i="5"/>
  <c r="I701" i="5"/>
  <c r="N701" i="5"/>
  <c r="R701" i="5"/>
  <c r="Q701" i="5" s="1"/>
  <c r="S701" i="5"/>
  <c r="T701" i="5"/>
  <c r="B702" i="5"/>
  <c r="C702" i="5"/>
  <c r="D702" i="5"/>
  <c r="E702" i="5"/>
  <c r="F702" i="5"/>
  <c r="H702" i="5"/>
  <c r="I702" i="5"/>
  <c r="L702" i="5" s="1"/>
  <c r="N702" i="5"/>
  <c r="R702" i="5"/>
  <c r="Q702" i="5" s="1"/>
  <c r="S702" i="5" s="1"/>
  <c r="T702" i="5"/>
  <c r="B703" i="5"/>
  <c r="C703" i="5"/>
  <c r="D703" i="5"/>
  <c r="E703" i="5"/>
  <c r="F703" i="5"/>
  <c r="H703" i="5"/>
  <c r="I703" i="5"/>
  <c r="N703" i="5"/>
  <c r="R703" i="5"/>
  <c r="Q703" i="5" s="1"/>
  <c r="S703" i="5"/>
  <c r="T703" i="5"/>
  <c r="B704" i="5"/>
  <c r="C704" i="5"/>
  <c r="D704" i="5"/>
  <c r="E704" i="5"/>
  <c r="F704" i="5"/>
  <c r="H704" i="5"/>
  <c r="I704" i="5"/>
  <c r="L704" i="5" s="1"/>
  <c r="N704" i="5"/>
  <c r="R704" i="5"/>
  <c r="Q704" i="5" s="1"/>
  <c r="S704" i="5" s="1"/>
  <c r="T704" i="5"/>
  <c r="B705" i="5"/>
  <c r="C705" i="5"/>
  <c r="L705" i="5" s="1"/>
  <c r="D705" i="5"/>
  <c r="E705" i="5"/>
  <c r="F705" i="5"/>
  <c r="H705" i="5"/>
  <c r="I705" i="5"/>
  <c r="N705" i="5"/>
  <c r="Q705" i="5"/>
  <c r="S705" i="5" s="1"/>
  <c r="R705" i="5"/>
  <c r="T705" i="5"/>
  <c r="B706" i="5"/>
  <c r="C706" i="5"/>
  <c r="D706" i="5"/>
  <c r="E706" i="5"/>
  <c r="F706" i="5"/>
  <c r="H706" i="5"/>
  <c r="I706" i="5"/>
  <c r="N706" i="5"/>
  <c r="Q706" i="5"/>
  <c r="S706" i="5" s="1"/>
  <c r="R706" i="5"/>
  <c r="T706" i="5"/>
  <c r="B707" i="5"/>
  <c r="C707" i="5"/>
  <c r="L707" i="5" s="1"/>
  <c r="D707" i="5"/>
  <c r="E707" i="5"/>
  <c r="F707" i="5"/>
  <c r="H707" i="5"/>
  <c r="I707" i="5"/>
  <c r="N707" i="5"/>
  <c r="Q707" i="5"/>
  <c r="S707" i="5" s="1"/>
  <c r="R707" i="5"/>
  <c r="T707" i="5"/>
  <c r="B708" i="5"/>
  <c r="C708" i="5"/>
  <c r="D708" i="5"/>
  <c r="E708" i="5"/>
  <c r="F708" i="5"/>
  <c r="H708" i="5"/>
  <c r="I708" i="5"/>
  <c r="L708" i="5"/>
  <c r="N708" i="5"/>
  <c r="Q708" i="5"/>
  <c r="S708" i="5" s="1"/>
  <c r="R708" i="5"/>
  <c r="T708" i="5"/>
  <c r="B709" i="5"/>
  <c r="C709" i="5"/>
  <c r="D709" i="5"/>
  <c r="E709" i="5"/>
  <c r="F709" i="5"/>
  <c r="H709" i="5"/>
  <c r="I709" i="5"/>
  <c r="N709" i="5"/>
  <c r="R709" i="5"/>
  <c r="Q709" i="5" s="1"/>
  <c r="S709" i="5" s="1"/>
  <c r="T709" i="5"/>
  <c r="B710" i="5"/>
  <c r="C710" i="5"/>
  <c r="D710" i="5"/>
  <c r="E710" i="5"/>
  <c r="F710" i="5"/>
  <c r="H710" i="5"/>
  <c r="L710" i="5" s="1"/>
  <c r="I710" i="5"/>
  <c r="N710" i="5"/>
  <c r="Q710" i="5"/>
  <c r="S710" i="5" s="1"/>
  <c r="R710" i="5"/>
  <c r="T710" i="5"/>
  <c r="B711" i="5"/>
  <c r="C711" i="5"/>
  <c r="D711" i="5"/>
  <c r="E711" i="5"/>
  <c r="F711" i="5"/>
  <c r="H711" i="5"/>
  <c r="I711" i="5"/>
  <c r="N711" i="5"/>
  <c r="R711" i="5"/>
  <c r="Q711" i="5" s="1"/>
  <c r="S711" i="5" s="1"/>
  <c r="T711" i="5"/>
  <c r="B712" i="5"/>
  <c r="C712" i="5"/>
  <c r="D712" i="5"/>
  <c r="E712" i="5"/>
  <c r="F712" i="5"/>
  <c r="H712" i="5"/>
  <c r="L712" i="5" s="1"/>
  <c r="I712" i="5"/>
  <c r="N712" i="5"/>
  <c r="R712" i="5"/>
  <c r="Q712" i="5" s="1"/>
  <c r="S712" i="5" s="1"/>
  <c r="T712" i="5"/>
  <c r="B713" i="5"/>
  <c r="C713" i="5"/>
  <c r="D713" i="5"/>
  <c r="E713" i="5"/>
  <c r="F713" i="5"/>
  <c r="H713" i="5"/>
  <c r="I713" i="5"/>
  <c r="N713" i="5"/>
  <c r="R713" i="5"/>
  <c r="Q713" i="5" s="1"/>
  <c r="S713" i="5" s="1"/>
  <c r="T713" i="5"/>
  <c r="B714" i="5"/>
  <c r="C714" i="5"/>
  <c r="D714" i="5"/>
  <c r="E714" i="5"/>
  <c r="F714" i="5"/>
  <c r="H714" i="5"/>
  <c r="I714" i="5"/>
  <c r="N714" i="5"/>
  <c r="Q714" i="5"/>
  <c r="S714" i="5" s="1"/>
  <c r="R714" i="5"/>
  <c r="T714" i="5"/>
  <c r="B715" i="5"/>
  <c r="C715" i="5"/>
  <c r="D715" i="5"/>
  <c r="E715" i="5"/>
  <c r="F715" i="5"/>
  <c r="H715" i="5"/>
  <c r="I715" i="5"/>
  <c r="N715" i="5"/>
  <c r="Q715" i="5"/>
  <c r="S715" i="5" s="1"/>
  <c r="R715" i="5"/>
  <c r="T715" i="5"/>
  <c r="B716" i="5"/>
  <c r="C716" i="5"/>
  <c r="D716" i="5"/>
  <c r="E716" i="5"/>
  <c r="F716" i="5"/>
  <c r="H716" i="5"/>
  <c r="I716" i="5"/>
  <c r="L716" i="5"/>
  <c r="N716" i="5"/>
  <c r="R716" i="5"/>
  <c r="Q716" i="5" s="1"/>
  <c r="S716" i="5" s="1"/>
  <c r="T716" i="5"/>
  <c r="B717" i="5"/>
  <c r="C717" i="5"/>
  <c r="D717" i="5"/>
  <c r="L717" i="5" s="1"/>
  <c r="E717" i="5"/>
  <c r="F717" i="5"/>
  <c r="H717" i="5"/>
  <c r="I717" i="5"/>
  <c r="N717" i="5"/>
  <c r="R717" i="5"/>
  <c r="Q717" i="5" s="1"/>
  <c r="S717" i="5"/>
  <c r="T717" i="5"/>
  <c r="B718" i="5"/>
  <c r="C718" i="5"/>
  <c r="D718" i="5"/>
  <c r="E718" i="5"/>
  <c r="F718" i="5"/>
  <c r="H718" i="5"/>
  <c r="I718" i="5"/>
  <c r="N718" i="5"/>
  <c r="Q718" i="5"/>
  <c r="S718" i="5" s="1"/>
  <c r="R718" i="5"/>
  <c r="T718" i="5"/>
  <c r="B719" i="5"/>
  <c r="C719" i="5"/>
  <c r="L719" i="5" s="1"/>
  <c r="D719" i="5"/>
  <c r="E719" i="5"/>
  <c r="F719" i="5"/>
  <c r="H719" i="5"/>
  <c r="I719" i="5"/>
  <c r="N719" i="5"/>
  <c r="R719" i="5"/>
  <c r="Q719" i="5" s="1"/>
  <c r="S719" i="5"/>
  <c r="T719" i="5"/>
  <c r="B720" i="5"/>
  <c r="C720" i="5"/>
  <c r="D720" i="5"/>
  <c r="E720" i="5"/>
  <c r="F720" i="5"/>
  <c r="H720" i="5"/>
  <c r="I720" i="5"/>
  <c r="L720" i="5" s="1"/>
  <c r="N720" i="5"/>
  <c r="R720" i="5"/>
  <c r="Q720" i="5" s="1"/>
  <c r="S720" i="5" s="1"/>
  <c r="T720" i="5"/>
  <c r="B721" i="5"/>
  <c r="C721" i="5"/>
  <c r="D721" i="5"/>
  <c r="E721" i="5"/>
  <c r="F721" i="5"/>
  <c r="H721" i="5"/>
  <c r="I721" i="5"/>
  <c r="N721" i="5"/>
  <c r="R721" i="5"/>
  <c r="Q721" i="5" s="1"/>
  <c r="S721" i="5"/>
  <c r="T721" i="5"/>
  <c r="B722" i="5"/>
  <c r="C722" i="5"/>
  <c r="D722" i="5"/>
  <c r="E722" i="5"/>
  <c r="F722" i="5"/>
  <c r="H722" i="5"/>
  <c r="I722" i="5"/>
  <c r="N722" i="5"/>
  <c r="Q722" i="5"/>
  <c r="S722" i="5" s="1"/>
  <c r="R722" i="5"/>
  <c r="T722" i="5"/>
  <c r="B723" i="5"/>
  <c r="C723" i="5"/>
  <c r="D723" i="5"/>
  <c r="E723" i="5"/>
  <c r="F723" i="5"/>
  <c r="H723" i="5"/>
  <c r="I723" i="5"/>
  <c r="N723" i="5"/>
  <c r="Q723" i="5"/>
  <c r="S723" i="5" s="1"/>
  <c r="R723" i="5"/>
  <c r="T723" i="5"/>
  <c r="B724" i="5"/>
  <c r="C724" i="5"/>
  <c r="D724" i="5"/>
  <c r="E724" i="5"/>
  <c r="F724" i="5"/>
  <c r="H724" i="5"/>
  <c r="I724" i="5"/>
  <c r="N724" i="5"/>
  <c r="Q724" i="5"/>
  <c r="S724" i="5" s="1"/>
  <c r="R724" i="5"/>
  <c r="T724" i="5"/>
  <c r="B725" i="5"/>
  <c r="C725" i="5"/>
  <c r="D725" i="5"/>
  <c r="E725" i="5"/>
  <c r="F725" i="5"/>
  <c r="H725" i="5"/>
  <c r="I725" i="5"/>
  <c r="N725" i="5"/>
  <c r="R725" i="5"/>
  <c r="Q725" i="5" s="1"/>
  <c r="S725" i="5" s="1"/>
  <c r="T725" i="5"/>
  <c r="B726" i="5"/>
  <c r="C726" i="5"/>
  <c r="D726" i="5"/>
  <c r="E726" i="5"/>
  <c r="F726" i="5"/>
  <c r="H726" i="5"/>
  <c r="I726" i="5"/>
  <c r="N726" i="5"/>
  <c r="Q726" i="5"/>
  <c r="S726" i="5" s="1"/>
  <c r="R726" i="5"/>
  <c r="T726" i="5"/>
  <c r="B727" i="5"/>
  <c r="C727" i="5"/>
  <c r="L727" i="5" s="1"/>
  <c r="D727" i="5"/>
  <c r="E727" i="5"/>
  <c r="F727" i="5"/>
  <c r="H727" i="5"/>
  <c r="I727" i="5"/>
  <c r="N727" i="5"/>
  <c r="R727" i="5"/>
  <c r="Q727" i="5" s="1"/>
  <c r="S727" i="5" s="1"/>
  <c r="T727" i="5"/>
  <c r="B728" i="5"/>
  <c r="C728" i="5"/>
  <c r="D728" i="5"/>
  <c r="E728" i="5"/>
  <c r="F728" i="5"/>
  <c r="H728" i="5"/>
  <c r="I728" i="5"/>
  <c r="L728" i="5"/>
  <c r="N728" i="5"/>
  <c r="R728" i="5"/>
  <c r="Q728" i="5" s="1"/>
  <c r="S728" i="5"/>
  <c r="T728" i="5"/>
  <c r="B729" i="5"/>
  <c r="C729" i="5"/>
  <c r="D729" i="5"/>
  <c r="E729" i="5"/>
  <c r="F729" i="5"/>
  <c r="H729" i="5"/>
  <c r="I729" i="5"/>
  <c r="N729" i="5"/>
  <c r="Q729" i="5"/>
  <c r="R729" i="5"/>
  <c r="S729" i="5"/>
  <c r="T729" i="5"/>
  <c r="B730" i="5"/>
  <c r="C730" i="5"/>
  <c r="D730" i="5"/>
  <c r="E730" i="5"/>
  <c r="F730" i="5"/>
  <c r="H730" i="5"/>
  <c r="I730" i="5"/>
  <c r="N730" i="5"/>
  <c r="Q730" i="5"/>
  <c r="S730" i="5" s="1"/>
  <c r="R730" i="5"/>
  <c r="T730" i="5"/>
  <c r="B731" i="5"/>
  <c r="C731" i="5"/>
  <c r="D731" i="5"/>
  <c r="E731" i="5"/>
  <c r="F731" i="5"/>
  <c r="H731" i="5"/>
  <c r="I731" i="5"/>
  <c r="N731" i="5"/>
  <c r="Q731" i="5"/>
  <c r="S731" i="5" s="1"/>
  <c r="R731" i="5"/>
  <c r="T731" i="5"/>
  <c r="B732" i="5"/>
  <c r="C732" i="5"/>
  <c r="L732" i="5" s="1"/>
  <c r="D732" i="5"/>
  <c r="E732" i="5"/>
  <c r="F732" i="5"/>
  <c r="H732" i="5"/>
  <c r="I732" i="5"/>
  <c r="N732" i="5"/>
  <c r="Q732" i="5"/>
  <c r="S732" i="5" s="1"/>
  <c r="R732" i="5"/>
  <c r="T732" i="5"/>
  <c r="B733" i="5"/>
  <c r="C733" i="5"/>
  <c r="D733" i="5"/>
  <c r="E733" i="5"/>
  <c r="F733" i="5"/>
  <c r="H733" i="5"/>
  <c r="I733" i="5"/>
  <c r="N733" i="5"/>
  <c r="R733" i="5"/>
  <c r="Q733" i="5" s="1"/>
  <c r="S733" i="5" s="1"/>
  <c r="T733" i="5"/>
  <c r="B734" i="5"/>
  <c r="C734" i="5"/>
  <c r="D734" i="5"/>
  <c r="E734" i="5"/>
  <c r="F734" i="5"/>
  <c r="H734" i="5"/>
  <c r="I734" i="5"/>
  <c r="L734" i="5"/>
  <c r="N734" i="5"/>
  <c r="R734" i="5"/>
  <c r="Q734" i="5" s="1"/>
  <c r="S734" i="5" s="1"/>
  <c r="T734" i="5"/>
  <c r="B735" i="5"/>
  <c r="C735" i="5"/>
  <c r="D735" i="5"/>
  <c r="E735" i="5"/>
  <c r="F735" i="5"/>
  <c r="H735" i="5"/>
  <c r="I735" i="5"/>
  <c r="N735" i="5"/>
  <c r="R735" i="5"/>
  <c r="Q735" i="5" s="1"/>
  <c r="S735" i="5" s="1"/>
  <c r="T735" i="5"/>
  <c r="B736" i="5"/>
  <c r="C736" i="5"/>
  <c r="D736" i="5"/>
  <c r="E736" i="5"/>
  <c r="F736" i="5"/>
  <c r="H736" i="5"/>
  <c r="L736" i="5" s="1"/>
  <c r="I736" i="5"/>
  <c r="N736" i="5"/>
  <c r="R736" i="5"/>
  <c r="Q736" i="5" s="1"/>
  <c r="S736" i="5" s="1"/>
  <c r="T736" i="5"/>
  <c r="B737" i="5"/>
  <c r="C737" i="5"/>
  <c r="D737" i="5"/>
  <c r="E737" i="5"/>
  <c r="F737" i="5"/>
  <c r="H737" i="5"/>
  <c r="I737" i="5"/>
  <c r="N737" i="5"/>
  <c r="Q737" i="5"/>
  <c r="R737" i="5"/>
  <c r="S737" i="5"/>
  <c r="T737" i="5"/>
  <c r="B738" i="5"/>
  <c r="C738" i="5"/>
  <c r="D738" i="5"/>
  <c r="E738" i="5"/>
  <c r="F738" i="5"/>
  <c r="H738" i="5"/>
  <c r="I738" i="5"/>
  <c r="N738" i="5"/>
  <c r="Q738" i="5"/>
  <c r="S738" i="5" s="1"/>
  <c r="R738" i="5"/>
  <c r="T738" i="5"/>
  <c r="B739" i="5"/>
  <c r="C739" i="5"/>
  <c r="D739" i="5"/>
  <c r="E739" i="5"/>
  <c r="F739" i="5"/>
  <c r="H739" i="5"/>
  <c r="I739" i="5"/>
  <c r="N739" i="5"/>
  <c r="Q739" i="5"/>
  <c r="S739" i="5" s="1"/>
  <c r="R739" i="5"/>
  <c r="T739" i="5"/>
  <c r="B740" i="5"/>
  <c r="C740" i="5"/>
  <c r="D740" i="5"/>
  <c r="E740" i="5"/>
  <c r="F740" i="5"/>
  <c r="H740" i="5"/>
  <c r="I740" i="5"/>
  <c r="L740" i="5"/>
  <c r="N740" i="5"/>
  <c r="Q740" i="5"/>
  <c r="R740" i="5"/>
  <c r="S740" i="5"/>
  <c r="T740" i="5"/>
  <c r="B741" i="5"/>
  <c r="C741" i="5"/>
  <c r="D741" i="5"/>
  <c r="L741" i="5" s="1"/>
  <c r="E741" i="5"/>
  <c r="F741" i="5"/>
  <c r="H741" i="5"/>
  <c r="I741" i="5"/>
  <c r="N741" i="5"/>
  <c r="R741" i="5"/>
  <c r="Q741" i="5" s="1"/>
  <c r="S741" i="5" s="1"/>
  <c r="T741" i="5"/>
  <c r="B742" i="5"/>
  <c r="C742" i="5"/>
  <c r="D742" i="5"/>
  <c r="E742" i="5"/>
  <c r="F742" i="5"/>
  <c r="H742" i="5"/>
  <c r="I742" i="5"/>
  <c r="N742" i="5"/>
  <c r="R742" i="5"/>
  <c r="Q742" i="5" s="1"/>
  <c r="S742" i="5" s="1"/>
  <c r="T742" i="5"/>
  <c r="B743" i="5"/>
  <c r="C743" i="5"/>
  <c r="D743" i="5"/>
  <c r="E743" i="5"/>
  <c r="F743" i="5"/>
  <c r="H743" i="5"/>
  <c r="I743" i="5"/>
  <c r="L743" i="5"/>
  <c r="N743" i="5"/>
  <c r="R743" i="5"/>
  <c r="Q743" i="5" s="1"/>
  <c r="S743" i="5" s="1"/>
  <c r="T743" i="5"/>
  <c r="B744" i="5"/>
  <c r="C744" i="5"/>
  <c r="D744" i="5"/>
  <c r="E744" i="5"/>
  <c r="F744" i="5"/>
  <c r="H744" i="5"/>
  <c r="I744" i="5"/>
  <c r="N744" i="5"/>
  <c r="R744" i="5"/>
  <c r="Q744" i="5" s="1"/>
  <c r="S744" i="5"/>
  <c r="T744" i="5"/>
  <c r="B745" i="5"/>
  <c r="C745" i="5"/>
  <c r="L745" i="5" s="1"/>
  <c r="D745" i="5"/>
  <c r="E745" i="5"/>
  <c r="F745" i="5"/>
  <c r="H745" i="5"/>
  <c r="I745" i="5"/>
  <c r="N745" i="5"/>
  <c r="R745" i="5"/>
  <c r="Q745" i="5" s="1"/>
  <c r="S745" i="5" s="1"/>
  <c r="T745" i="5"/>
  <c r="B746" i="5"/>
  <c r="C746" i="5"/>
  <c r="D746" i="5"/>
  <c r="E746" i="5"/>
  <c r="F746" i="5"/>
  <c r="H746" i="5"/>
  <c r="I746" i="5"/>
  <c r="N746" i="5"/>
  <c r="Q746" i="5"/>
  <c r="R746" i="5"/>
  <c r="S746" i="5"/>
  <c r="T746" i="5"/>
  <c r="B747" i="5"/>
  <c r="C747" i="5"/>
  <c r="L747" i="5" s="1"/>
  <c r="D747" i="5"/>
  <c r="E747" i="5"/>
  <c r="F747" i="5"/>
  <c r="H747" i="5"/>
  <c r="I747" i="5"/>
  <c r="N747" i="5"/>
  <c r="Q747" i="5"/>
  <c r="S747" i="5" s="1"/>
  <c r="R747" i="5"/>
  <c r="T747" i="5"/>
  <c r="B748" i="5"/>
  <c r="C748" i="5"/>
  <c r="D748" i="5"/>
  <c r="E748" i="5"/>
  <c r="F748" i="5"/>
  <c r="H748" i="5"/>
  <c r="I748" i="5"/>
  <c r="N748" i="5"/>
  <c r="Q748" i="5"/>
  <c r="S748" i="5" s="1"/>
  <c r="R748" i="5"/>
  <c r="T748" i="5"/>
  <c r="B749" i="5"/>
  <c r="C749" i="5"/>
  <c r="D749" i="5"/>
  <c r="E749" i="5"/>
  <c r="F749" i="5"/>
  <c r="L749" i="5" s="1"/>
  <c r="H749" i="5"/>
  <c r="I749" i="5"/>
  <c r="N749" i="5"/>
  <c r="R749" i="5"/>
  <c r="Q749" i="5" s="1"/>
  <c r="S749" i="5" s="1"/>
  <c r="T749" i="5"/>
  <c r="B750" i="5"/>
  <c r="C750" i="5"/>
  <c r="D750" i="5"/>
  <c r="E750" i="5"/>
  <c r="F750" i="5"/>
  <c r="H750" i="5"/>
  <c r="I750" i="5"/>
  <c r="L750" i="5"/>
  <c r="N750" i="5"/>
  <c r="Q750" i="5"/>
  <c r="S750" i="5" s="1"/>
  <c r="R750" i="5"/>
  <c r="T750" i="5"/>
  <c r="B751" i="5"/>
  <c r="C751" i="5"/>
  <c r="D751" i="5"/>
  <c r="E751" i="5"/>
  <c r="F751" i="5"/>
  <c r="H751" i="5"/>
  <c r="I751" i="5"/>
  <c r="N751" i="5"/>
  <c r="R751" i="5"/>
  <c r="Q751" i="5" s="1"/>
  <c r="S751" i="5" s="1"/>
  <c r="T751" i="5"/>
  <c r="B752" i="5"/>
  <c r="C752" i="5"/>
  <c r="D752" i="5"/>
  <c r="E752" i="5"/>
  <c r="L752" i="5" s="1"/>
  <c r="F752" i="5"/>
  <c r="H752" i="5"/>
  <c r="I752" i="5"/>
  <c r="N752" i="5"/>
  <c r="R752" i="5"/>
  <c r="Q752" i="5" s="1"/>
  <c r="S752" i="5" s="1"/>
  <c r="T752" i="5"/>
  <c r="B753" i="5"/>
  <c r="C753" i="5"/>
  <c r="D753" i="5"/>
  <c r="E753" i="5"/>
  <c r="F753" i="5"/>
  <c r="H753" i="5"/>
  <c r="I753" i="5"/>
  <c r="L753" i="5"/>
  <c r="N753" i="5"/>
  <c r="R753" i="5"/>
  <c r="Q753" i="5" s="1"/>
  <c r="S753" i="5" s="1"/>
  <c r="T753" i="5"/>
  <c r="B754" i="5"/>
  <c r="C754" i="5"/>
  <c r="D754" i="5"/>
  <c r="E754" i="5"/>
  <c r="F754" i="5"/>
  <c r="H754" i="5"/>
  <c r="I754" i="5"/>
  <c r="N754" i="5"/>
  <c r="Q754" i="5"/>
  <c r="R754" i="5"/>
  <c r="S754" i="5"/>
  <c r="T754" i="5"/>
  <c r="B755" i="5"/>
  <c r="C755" i="5"/>
  <c r="D755" i="5"/>
  <c r="E755" i="5"/>
  <c r="F755" i="5"/>
  <c r="H755" i="5"/>
  <c r="I755" i="5"/>
  <c r="L755" i="5"/>
  <c r="N755" i="5"/>
  <c r="Q755" i="5"/>
  <c r="R755" i="5"/>
  <c r="S755" i="5"/>
  <c r="T755" i="5"/>
  <c r="B756" i="5"/>
  <c r="C756" i="5"/>
  <c r="D756" i="5"/>
  <c r="E756" i="5"/>
  <c r="F756" i="5"/>
  <c r="H756" i="5"/>
  <c r="I756" i="5"/>
  <c r="N756" i="5"/>
  <c r="R756" i="5"/>
  <c r="Q756" i="5" s="1"/>
  <c r="S756" i="5" s="1"/>
  <c r="T756" i="5"/>
  <c r="B757" i="5"/>
  <c r="C757" i="5"/>
  <c r="D757" i="5"/>
  <c r="E757" i="5"/>
  <c r="F757" i="5"/>
  <c r="H757" i="5"/>
  <c r="I757" i="5"/>
  <c r="N757" i="5"/>
  <c r="Q757" i="5"/>
  <c r="S757" i="5" s="1"/>
  <c r="R757" i="5"/>
  <c r="T757" i="5"/>
  <c r="B758" i="5"/>
  <c r="C758" i="5"/>
  <c r="D758" i="5"/>
  <c r="E758" i="5"/>
  <c r="F758" i="5"/>
  <c r="H758" i="5"/>
  <c r="I758" i="5"/>
  <c r="N758" i="5"/>
  <c r="Q758" i="5"/>
  <c r="S758" i="5" s="1"/>
  <c r="R758" i="5"/>
  <c r="T758" i="5"/>
  <c r="B759" i="5"/>
  <c r="C759" i="5"/>
  <c r="L759" i="5" s="1"/>
  <c r="D759" i="5"/>
  <c r="E759" i="5"/>
  <c r="F759" i="5"/>
  <c r="H759" i="5"/>
  <c r="I759" i="5"/>
  <c r="N759" i="5"/>
  <c r="Q759" i="5"/>
  <c r="S759" i="5" s="1"/>
  <c r="R759" i="5"/>
  <c r="T759" i="5"/>
  <c r="B760" i="5"/>
  <c r="C760" i="5"/>
  <c r="D760" i="5"/>
  <c r="E760" i="5"/>
  <c r="F760" i="5"/>
  <c r="L760" i="5" s="1"/>
  <c r="H760" i="5"/>
  <c r="I760" i="5"/>
  <c r="N760" i="5"/>
  <c r="R760" i="5"/>
  <c r="Q760" i="5" s="1"/>
  <c r="S760" i="5"/>
  <c r="T760" i="5"/>
  <c r="B761" i="5"/>
  <c r="C761" i="5"/>
  <c r="D761" i="5"/>
  <c r="E761" i="5"/>
  <c r="F761" i="5"/>
  <c r="H761" i="5"/>
  <c r="I761" i="5"/>
  <c r="N761" i="5"/>
  <c r="R761" i="5"/>
  <c r="Q761" i="5" s="1"/>
  <c r="S761" i="5" s="1"/>
  <c r="T761" i="5"/>
  <c r="B762" i="5"/>
  <c r="C762" i="5"/>
  <c r="D762" i="5"/>
  <c r="E762" i="5"/>
  <c r="F762" i="5"/>
  <c r="H762" i="5"/>
  <c r="I762" i="5"/>
  <c r="N762" i="5"/>
  <c r="Q762" i="5"/>
  <c r="S762" i="5" s="1"/>
  <c r="R762" i="5"/>
  <c r="T762" i="5"/>
  <c r="B763" i="5"/>
  <c r="C763" i="5"/>
  <c r="L763" i="5" s="1"/>
  <c r="D763" i="5"/>
  <c r="E763" i="5"/>
  <c r="F763" i="5"/>
  <c r="H763" i="5"/>
  <c r="I763" i="5"/>
  <c r="N763" i="5"/>
  <c r="Q763" i="5"/>
  <c r="S763" i="5" s="1"/>
  <c r="R763" i="5"/>
  <c r="T763" i="5"/>
  <c r="B764" i="5"/>
  <c r="C764" i="5"/>
  <c r="D764" i="5"/>
  <c r="E764" i="5"/>
  <c r="F764" i="5"/>
  <c r="L764" i="5" s="1"/>
  <c r="H764" i="5"/>
  <c r="I764" i="5"/>
  <c r="N764" i="5"/>
  <c r="Q764" i="5"/>
  <c r="S764" i="5" s="1"/>
  <c r="R764" i="5"/>
  <c r="T764" i="5"/>
  <c r="B765" i="5"/>
  <c r="C765" i="5"/>
  <c r="D765" i="5"/>
  <c r="E765" i="5"/>
  <c r="F765" i="5"/>
  <c r="H765" i="5"/>
  <c r="I765" i="5"/>
  <c r="L765" i="5"/>
  <c r="N765" i="5"/>
  <c r="R765" i="5"/>
  <c r="Q765" i="5" s="1"/>
  <c r="S765" i="5" s="1"/>
  <c r="T765" i="5"/>
  <c r="B766" i="5"/>
  <c r="C766" i="5"/>
  <c r="D766" i="5"/>
  <c r="L766" i="5" s="1"/>
  <c r="E766" i="5"/>
  <c r="F766" i="5"/>
  <c r="H766" i="5"/>
  <c r="I766" i="5"/>
  <c r="N766" i="5"/>
  <c r="R766" i="5"/>
  <c r="Q766" i="5" s="1"/>
  <c r="S766" i="5" s="1"/>
  <c r="T766" i="5"/>
  <c r="B767" i="5"/>
  <c r="C767" i="5"/>
  <c r="L767" i="5" s="1"/>
  <c r="D767" i="5"/>
  <c r="E767" i="5"/>
  <c r="F767" i="5"/>
  <c r="H767" i="5"/>
  <c r="I767" i="5"/>
  <c r="N767" i="5"/>
  <c r="Q767" i="5"/>
  <c r="S767" i="5" s="1"/>
  <c r="R767" i="5"/>
  <c r="T767" i="5"/>
  <c r="B768" i="5"/>
  <c r="C768" i="5"/>
  <c r="D768" i="5"/>
  <c r="E768" i="5"/>
  <c r="F768" i="5"/>
  <c r="H768" i="5"/>
  <c r="I768" i="5"/>
  <c r="N768" i="5"/>
  <c r="R768" i="5"/>
  <c r="Q768" i="5" s="1"/>
  <c r="S768" i="5"/>
  <c r="T768" i="5"/>
  <c r="B769" i="5"/>
  <c r="C769" i="5"/>
  <c r="D769" i="5"/>
  <c r="E769" i="5"/>
  <c r="F769" i="5"/>
  <c r="H769" i="5"/>
  <c r="I769" i="5"/>
  <c r="N769" i="5"/>
  <c r="Q769" i="5"/>
  <c r="S769" i="5" s="1"/>
  <c r="R769" i="5"/>
  <c r="T769" i="5"/>
  <c r="B770" i="5"/>
  <c r="C770" i="5"/>
  <c r="D770" i="5"/>
  <c r="E770" i="5"/>
  <c r="F770" i="5"/>
  <c r="H770" i="5"/>
  <c r="I770" i="5"/>
  <c r="N770" i="5"/>
  <c r="R770" i="5"/>
  <c r="Q770" i="5" s="1"/>
  <c r="S770" i="5" s="1"/>
  <c r="T770" i="5"/>
  <c r="B771" i="5"/>
  <c r="C771" i="5"/>
  <c r="L771" i="5" s="1"/>
  <c r="D771" i="5"/>
  <c r="E771" i="5"/>
  <c r="F771" i="5"/>
  <c r="H771" i="5"/>
  <c r="I771" i="5"/>
  <c r="N771" i="5"/>
  <c r="Q771" i="5"/>
  <c r="S771" i="5" s="1"/>
  <c r="R771" i="5"/>
  <c r="T771" i="5"/>
  <c r="B772" i="5"/>
  <c r="C772" i="5"/>
  <c r="L772" i="5" s="1"/>
  <c r="D772" i="5"/>
  <c r="E772" i="5"/>
  <c r="F772" i="5"/>
  <c r="H772" i="5"/>
  <c r="I772" i="5"/>
  <c r="N772" i="5"/>
  <c r="Q772" i="5"/>
  <c r="S772" i="5" s="1"/>
  <c r="R772" i="5"/>
  <c r="T772" i="5"/>
  <c r="B773" i="5"/>
  <c r="C773" i="5"/>
  <c r="D773" i="5"/>
  <c r="E773" i="5"/>
  <c r="F773" i="5"/>
  <c r="L773" i="5" s="1"/>
  <c r="H773" i="5"/>
  <c r="I773" i="5"/>
  <c r="N773" i="5"/>
  <c r="R773" i="5"/>
  <c r="Q773" i="5" s="1"/>
  <c r="S773" i="5"/>
  <c r="T773" i="5"/>
  <c r="B774" i="5"/>
  <c r="C774" i="5"/>
  <c r="L774" i="5" s="1"/>
  <c r="D774" i="5"/>
  <c r="E774" i="5"/>
  <c r="F774" i="5"/>
  <c r="H774" i="5"/>
  <c r="I774" i="5"/>
  <c r="N774" i="5"/>
  <c r="Q774" i="5"/>
  <c r="S774" i="5" s="1"/>
  <c r="R774" i="5"/>
  <c r="T774" i="5"/>
  <c r="B775" i="5"/>
  <c r="C775" i="5"/>
  <c r="D775" i="5"/>
  <c r="E775" i="5"/>
  <c r="F775" i="5"/>
  <c r="H775" i="5"/>
  <c r="I775" i="5"/>
  <c r="N775" i="5"/>
  <c r="R775" i="5"/>
  <c r="Q775" i="5" s="1"/>
  <c r="S775" i="5" s="1"/>
  <c r="T775" i="5"/>
  <c r="B776" i="5"/>
  <c r="C776" i="5"/>
  <c r="D776" i="5"/>
  <c r="E776" i="5"/>
  <c r="L776" i="5" s="1"/>
  <c r="F776" i="5"/>
  <c r="H776" i="5"/>
  <c r="I776" i="5"/>
  <c r="N776" i="5"/>
  <c r="R776" i="5"/>
  <c r="Q776" i="5" s="1"/>
  <c r="S776" i="5" s="1"/>
  <c r="T776" i="5"/>
  <c r="B777" i="5"/>
  <c r="C777" i="5"/>
  <c r="D777" i="5"/>
  <c r="E777" i="5"/>
  <c r="F777" i="5"/>
  <c r="H777" i="5"/>
  <c r="I777" i="5"/>
  <c r="L777" i="5"/>
  <c r="N777" i="5"/>
  <c r="Q777" i="5"/>
  <c r="R777" i="5"/>
  <c r="S777" i="5"/>
  <c r="T777" i="5"/>
  <c r="B778" i="5"/>
  <c r="C778" i="5"/>
  <c r="D778" i="5"/>
  <c r="E778" i="5"/>
  <c r="F778" i="5"/>
  <c r="H778" i="5"/>
  <c r="I778" i="5"/>
  <c r="N778" i="5"/>
  <c r="Q778" i="5"/>
  <c r="R778" i="5"/>
  <c r="S778" i="5"/>
  <c r="T778" i="5"/>
  <c r="B779" i="5"/>
  <c r="C779" i="5"/>
  <c r="D779" i="5"/>
  <c r="E779" i="5"/>
  <c r="F779" i="5"/>
  <c r="H779" i="5"/>
  <c r="I779" i="5"/>
  <c r="N779" i="5"/>
  <c r="Q779" i="5"/>
  <c r="R779" i="5"/>
  <c r="S779" i="5"/>
  <c r="T779" i="5"/>
  <c r="B780" i="5"/>
  <c r="C780" i="5"/>
  <c r="D780" i="5"/>
  <c r="E780" i="5"/>
  <c r="F780" i="5"/>
  <c r="H780" i="5"/>
  <c r="I780" i="5"/>
  <c r="L780" i="5" s="1"/>
  <c r="N780" i="5"/>
  <c r="Q780" i="5"/>
  <c r="S780" i="5" s="1"/>
  <c r="R780" i="5"/>
  <c r="T780" i="5"/>
  <c r="B781" i="5"/>
  <c r="C781" i="5"/>
  <c r="D781" i="5"/>
  <c r="E781" i="5"/>
  <c r="F781" i="5"/>
  <c r="H781" i="5"/>
  <c r="I781" i="5"/>
  <c r="N781" i="5"/>
  <c r="Q781" i="5"/>
  <c r="R781" i="5"/>
  <c r="S781" i="5"/>
  <c r="T781" i="5"/>
  <c r="B782" i="5"/>
  <c r="C782" i="5"/>
  <c r="D782" i="5"/>
  <c r="E782" i="5"/>
  <c r="F782" i="5"/>
  <c r="H782" i="5"/>
  <c r="I782" i="5"/>
  <c r="L782" i="5" s="1"/>
  <c r="N782" i="5"/>
  <c r="Q782" i="5"/>
  <c r="S782" i="5" s="1"/>
  <c r="R782" i="5"/>
  <c r="T782" i="5"/>
  <c r="B783" i="5"/>
  <c r="C783" i="5"/>
  <c r="D783" i="5"/>
  <c r="E783" i="5"/>
  <c r="F783" i="5"/>
  <c r="H783" i="5"/>
  <c r="I783" i="5"/>
  <c r="N783" i="5"/>
  <c r="R783" i="5"/>
  <c r="Q783" i="5" s="1"/>
  <c r="S783" i="5"/>
  <c r="T783" i="5"/>
  <c r="B784" i="5"/>
  <c r="C784" i="5"/>
  <c r="D784" i="5"/>
  <c r="E784" i="5"/>
  <c r="F784" i="5"/>
  <c r="H784" i="5"/>
  <c r="I784" i="5"/>
  <c r="N784" i="5"/>
  <c r="R784" i="5"/>
  <c r="Q784" i="5" s="1"/>
  <c r="S784" i="5"/>
  <c r="T784" i="5"/>
  <c r="B785" i="5"/>
  <c r="C785" i="5"/>
  <c r="D785" i="5"/>
  <c r="E785" i="5"/>
  <c r="F785" i="5"/>
  <c r="H785" i="5"/>
  <c r="I785" i="5"/>
  <c r="N785" i="5"/>
  <c r="R785" i="5"/>
  <c r="Q785" i="5" s="1"/>
  <c r="S785" i="5" s="1"/>
  <c r="T785" i="5"/>
  <c r="B786" i="5"/>
  <c r="C786" i="5"/>
  <c r="D786" i="5"/>
  <c r="E786" i="5"/>
  <c r="F786" i="5"/>
  <c r="H786" i="5"/>
  <c r="I786" i="5"/>
  <c r="N786" i="5"/>
  <c r="R786" i="5"/>
  <c r="Q786" i="5" s="1"/>
  <c r="S786" i="5"/>
  <c r="T786" i="5"/>
  <c r="B787" i="5"/>
  <c r="C787" i="5"/>
  <c r="D787" i="5"/>
  <c r="E787" i="5"/>
  <c r="F787" i="5"/>
  <c r="H787" i="5"/>
  <c r="I787" i="5"/>
  <c r="L787" i="5"/>
  <c r="N787" i="5"/>
  <c r="Q787" i="5"/>
  <c r="S787" i="5" s="1"/>
  <c r="R787" i="5"/>
  <c r="T787" i="5"/>
  <c r="B788" i="5"/>
  <c r="C788" i="5"/>
  <c r="D788" i="5"/>
  <c r="E788" i="5"/>
  <c r="F788" i="5"/>
  <c r="H788" i="5"/>
  <c r="I788" i="5"/>
  <c r="N788" i="5"/>
  <c r="R788" i="5"/>
  <c r="Q788" i="5" s="1"/>
  <c r="S788" i="5"/>
  <c r="T788" i="5"/>
  <c r="B789" i="5"/>
  <c r="C789" i="5"/>
  <c r="D789" i="5"/>
  <c r="E789" i="5"/>
  <c r="F789" i="5"/>
  <c r="H789" i="5"/>
  <c r="I789" i="5"/>
  <c r="L789" i="5" s="1"/>
  <c r="N789" i="5"/>
  <c r="Q789" i="5"/>
  <c r="R789" i="5"/>
  <c r="S789" i="5"/>
  <c r="T789" i="5"/>
  <c r="B790" i="5"/>
  <c r="C790" i="5"/>
  <c r="L790" i="5" s="1"/>
  <c r="D790" i="5"/>
  <c r="E790" i="5"/>
  <c r="F790" i="5"/>
  <c r="H790" i="5"/>
  <c r="I790" i="5"/>
  <c r="N790" i="5"/>
  <c r="R790" i="5"/>
  <c r="Q790" i="5" s="1"/>
  <c r="T790" i="5"/>
  <c r="B791" i="5"/>
  <c r="C791" i="5"/>
  <c r="D791" i="5"/>
  <c r="E791" i="5"/>
  <c r="F791" i="5"/>
  <c r="H791" i="5"/>
  <c r="I791" i="5"/>
  <c r="N791" i="5"/>
  <c r="R791" i="5"/>
  <c r="Q791" i="5" s="1"/>
  <c r="S791" i="5" s="1"/>
  <c r="T791" i="5"/>
  <c r="B792" i="5"/>
  <c r="C792" i="5"/>
  <c r="D792" i="5"/>
  <c r="E792" i="5"/>
  <c r="F792" i="5"/>
  <c r="H792" i="5"/>
  <c r="I792" i="5"/>
  <c r="L792" i="5"/>
  <c r="N792" i="5"/>
  <c r="R792" i="5"/>
  <c r="Q792" i="5" s="1"/>
  <c r="S792" i="5" s="1"/>
  <c r="T792" i="5"/>
  <c r="B793" i="5"/>
  <c r="C793" i="5"/>
  <c r="D793" i="5"/>
  <c r="E793" i="5"/>
  <c r="F793" i="5"/>
  <c r="H793" i="5"/>
  <c r="I793" i="5"/>
  <c r="N793" i="5"/>
  <c r="Q793" i="5"/>
  <c r="S793" i="5" s="1"/>
  <c r="R793" i="5"/>
  <c r="T793" i="5"/>
  <c r="B794" i="5"/>
  <c r="C794" i="5"/>
  <c r="D794" i="5"/>
  <c r="E794" i="5"/>
  <c r="F794" i="5"/>
  <c r="H794" i="5"/>
  <c r="I794" i="5"/>
  <c r="N794" i="5"/>
  <c r="Q794" i="5"/>
  <c r="S794" i="5" s="1"/>
  <c r="R794" i="5"/>
  <c r="T794" i="5"/>
  <c r="B795" i="5"/>
  <c r="C795" i="5"/>
  <c r="L795" i="5" s="1"/>
  <c r="D795" i="5"/>
  <c r="E795" i="5"/>
  <c r="F795" i="5"/>
  <c r="H795" i="5"/>
  <c r="I795" i="5"/>
  <c r="N795" i="5"/>
  <c r="Q795" i="5"/>
  <c r="S795" i="5" s="1"/>
  <c r="R795" i="5"/>
  <c r="T795" i="5"/>
  <c r="B796" i="5"/>
  <c r="C796" i="5"/>
  <c r="D796" i="5"/>
  <c r="E796" i="5"/>
  <c r="F796" i="5"/>
  <c r="H796" i="5"/>
  <c r="I796" i="5"/>
  <c r="N796" i="5"/>
  <c r="Q796" i="5"/>
  <c r="S796" i="5" s="1"/>
  <c r="R796" i="5"/>
  <c r="T796" i="5"/>
  <c r="B797" i="5"/>
  <c r="C797" i="5"/>
  <c r="D797" i="5"/>
  <c r="E797" i="5"/>
  <c r="F797" i="5"/>
  <c r="L797" i="5" s="1"/>
  <c r="H797" i="5"/>
  <c r="I797" i="5"/>
  <c r="N797" i="5"/>
  <c r="R797" i="5"/>
  <c r="Q797" i="5" s="1"/>
  <c r="S797" i="5" s="1"/>
  <c r="T797" i="5"/>
  <c r="B798" i="5"/>
  <c r="C798" i="5"/>
  <c r="L798" i="5" s="1"/>
  <c r="D798" i="5"/>
  <c r="E798" i="5"/>
  <c r="F798" i="5"/>
  <c r="H798" i="5"/>
  <c r="I798" i="5"/>
  <c r="N798" i="5"/>
  <c r="R798" i="5"/>
  <c r="Q798" i="5" s="1"/>
  <c r="S798" i="5" s="1"/>
  <c r="T798" i="5"/>
  <c r="B799" i="5"/>
  <c r="C799" i="5"/>
  <c r="D799" i="5"/>
  <c r="E799" i="5"/>
  <c r="F799" i="5"/>
  <c r="H799" i="5"/>
  <c r="L799" i="5" s="1"/>
  <c r="I799" i="5"/>
  <c r="N799" i="5"/>
  <c r="Q799" i="5"/>
  <c r="R799" i="5"/>
  <c r="S799" i="5"/>
  <c r="T799" i="5"/>
  <c r="B800" i="5"/>
  <c r="C800" i="5"/>
  <c r="D800" i="5"/>
  <c r="E800" i="5"/>
  <c r="F800" i="5"/>
  <c r="H800" i="5"/>
  <c r="I800" i="5"/>
  <c r="N800" i="5"/>
  <c r="R800" i="5"/>
  <c r="Q800" i="5" s="1"/>
  <c r="S800" i="5"/>
  <c r="T800" i="5"/>
  <c r="B801" i="5"/>
  <c r="C801" i="5"/>
  <c r="D801" i="5"/>
  <c r="E801" i="5"/>
  <c r="F801" i="5"/>
  <c r="H801" i="5"/>
  <c r="I801" i="5"/>
  <c r="N801" i="5"/>
  <c r="R801" i="5"/>
  <c r="Q801" i="5" s="1"/>
  <c r="S801" i="5" s="1"/>
  <c r="T801" i="5"/>
  <c r="B802" i="5"/>
  <c r="C802" i="5"/>
  <c r="D802" i="5"/>
  <c r="E802" i="5"/>
  <c r="F802" i="5"/>
  <c r="H802" i="5"/>
  <c r="I802" i="5"/>
  <c r="N802" i="5"/>
  <c r="R802" i="5"/>
  <c r="Q802" i="5" s="1"/>
  <c r="S802" i="5" s="1"/>
  <c r="T802" i="5"/>
  <c r="B803" i="5"/>
  <c r="C803" i="5"/>
  <c r="D803" i="5"/>
  <c r="E803" i="5"/>
  <c r="F803" i="5"/>
  <c r="H803" i="5"/>
  <c r="I803" i="5"/>
  <c r="L803" i="5"/>
  <c r="N803" i="5"/>
  <c r="Q803" i="5"/>
  <c r="S803" i="5" s="1"/>
  <c r="R803" i="5"/>
  <c r="T803" i="5"/>
  <c r="B804" i="5"/>
  <c r="C804" i="5"/>
  <c r="D804" i="5"/>
  <c r="E804" i="5"/>
  <c r="F804" i="5"/>
  <c r="H804" i="5"/>
  <c r="I804" i="5"/>
  <c r="N804" i="5"/>
  <c r="Q804" i="5"/>
  <c r="S804" i="5" s="1"/>
  <c r="R804" i="5"/>
  <c r="T804" i="5"/>
  <c r="B805" i="5"/>
  <c r="C805" i="5"/>
  <c r="D805" i="5"/>
  <c r="E805" i="5"/>
  <c r="F805" i="5"/>
  <c r="H805" i="5"/>
  <c r="L805" i="5" s="1"/>
  <c r="I805" i="5"/>
  <c r="N805" i="5"/>
  <c r="R805" i="5"/>
  <c r="Q805" i="5" s="1"/>
  <c r="S805" i="5" s="1"/>
  <c r="T805" i="5"/>
  <c r="B806" i="5"/>
  <c r="C806" i="5"/>
  <c r="D806" i="5"/>
  <c r="L806" i="5" s="1"/>
  <c r="E806" i="5"/>
  <c r="F806" i="5"/>
  <c r="H806" i="5"/>
  <c r="I806" i="5"/>
  <c r="N806" i="5"/>
  <c r="R806" i="5"/>
  <c r="Q806" i="5" s="1"/>
  <c r="S806" i="5" s="1"/>
  <c r="T806" i="5"/>
  <c r="B807" i="5"/>
  <c r="C807" i="5"/>
  <c r="D807" i="5"/>
  <c r="E807" i="5"/>
  <c r="F807" i="5"/>
  <c r="H807" i="5"/>
  <c r="I807" i="5"/>
  <c r="N807" i="5"/>
  <c r="Q807" i="5"/>
  <c r="S807" i="5" s="1"/>
  <c r="R807" i="5"/>
  <c r="T807" i="5"/>
  <c r="B808" i="5"/>
  <c r="C808" i="5"/>
  <c r="D808" i="5"/>
  <c r="E808" i="5"/>
  <c r="F808" i="5"/>
  <c r="H808" i="5"/>
  <c r="I808" i="5"/>
  <c r="N808" i="5"/>
  <c r="R808" i="5"/>
  <c r="Q808" i="5" s="1"/>
  <c r="S808" i="5" s="1"/>
  <c r="T808" i="5"/>
  <c r="B809" i="5"/>
  <c r="C809" i="5"/>
  <c r="D809" i="5"/>
  <c r="E809" i="5"/>
  <c r="F809" i="5"/>
  <c r="H809" i="5"/>
  <c r="L809" i="5" s="1"/>
  <c r="I809" i="5"/>
  <c r="N809" i="5"/>
  <c r="Q809" i="5"/>
  <c r="S809" i="5" s="1"/>
  <c r="R809" i="5"/>
  <c r="T809" i="5"/>
  <c r="B810" i="5"/>
  <c r="C810" i="5"/>
  <c r="D810" i="5"/>
  <c r="E810" i="5"/>
  <c r="F810" i="5"/>
  <c r="H810" i="5"/>
  <c r="I810" i="5"/>
  <c r="N810" i="5"/>
  <c r="Q810" i="5"/>
  <c r="S810" i="5" s="1"/>
  <c r="R810" i="5"/>
  <c r="T810" i="5"/>
  <c r="B811" i="5"/>
  <c r="C811" i="5"/>
  <c r="D811" i="5"/>
  <c r="E811" i="5"/>
  <c r="F811" i="5"/>
  <c r="L811" i="5" s="1"/>
  <c r="H811" i="5"/>
  <c r="I811" i="5"/>
  <c r="N811" i="5"/>
  <c r="Q811" i="5"/>
  <c r="S811" i="5" s="1"/>
  <c r="R811" i="5"/>
  <c r="T811" i="5"/>
  <c r="B812" i="5"/>
  <c r="C812" i="5"/>
  <c r="L812" i="5" s="1"/>
  <c r="D812" i="5"/>
  <c r="E812" i="5"/>
  <c r="F812" i="5"/>
  <c r="H812" i="5"/>
  <c r="I812" i="5"/>
  <c r="N812" i="5"/>
  <c r="R812" i="5"/>
  <c r="Q812" i="5" s="1"/>
  <c r="S812" i="5" s="1"/>
  <c r="T812" i="5"/>
  <c r="B813" i="5"/>
  <c r="C813" i="5"/>
  <c r="D813" i="5"/>
  <c r="E813" i="5"/>
  <c r="F813" i="5"/>
  <c r="L813" i="5" s="1"/>
  <c r="H813" i="5"/>
  <c r="I813" i="5"/>
  <c r="N813" i="5"/>
  <c r="R813" i="5"/>
  <c r="Q813" i="5" s="1"/>
  <c r="S813" i="5" s="1"/>
  <c r="T813" i="5"/>
  <c r="B814" i="5"/>
  <c r="C814" i="5"/>
  <c r="L814" i="5" s="1"/>
  <c r="D814" i="5"/>
  <c r="E814" i="5"/>
  <c r="F814" i="5"/>
  <c r="H814" i="5"/>
  <c r="I814" i="5"/>
  <c r="N814" i="5"/>
  <c r="R814" i="5"/>
  <c r="Q814" i="5" s="1"/>
  <c r="T814" i="5"/>
  <c r="B815" i="5"/>
  <c r="C815" i="5"/>
  <c r="D815" i="5"/>
  <c r="E815" i="5"/>
  <c r="F815" i="5"/>
  <c r="H815" i="5"/>
  <c r="I815" i="5"/>
  <c r="N815" i="5"/>
  <c r="Q815" i="5"/>
  <c r="R815" i="5"/>
  <c r="S815" i="5"/>
  <c r="T815" i="5"/>
  <c r="B816" i="5"/>
  <c r="C816" i="5"/>
  <c r="D816" i="5"/>
  <c r="E816" i="5"/>
  <c r="F816" i="5"/>
  <c r="H816" i="5"/>
  <c r="I816" i="5"/>
  <c r="L816" i="5"/>
  <c r="N816" i="5"/>
  <c r="R816" i="5"/>
  <c r="Q816" i="5" s="1"/>
  <c r="S816" i="5" s="1"/>
  <c r="T816" i="5"/>
  <c r="B817" i="5"/>
  <c r="C817" i="5"/>
  <c r="D817" i="5"/>
  <c r="E817" i="5"/>
  <c r="F817" i="5"/>
  <c r="H817" i="5"/>
  <c r="I817" i="5"/>
  <c r="N817" i="5"/>
  <c r="R817" i="5"/>
  <c r="Q817" i="5" s="1"/>
  <c r="S817" i="5"/>
  <c r="T817" i="5"/>
  <c r="B818" i="5"/>
  <c r="C818" i="5"/>
  <c r="L818" i="5" s="1"/>
  <c r="D818" i="5"/>
  <c r="E818" i="5"/>
  <c r="F818" i="5"/>
  <c r="H818" i="5"/>
  <c r="I818" i="5"/>
  <c r="N818" i="5"/>
  <c r="Q818" i="5"/>
  <c r="S818" i="5" s="1"/>
  <c r="R818" i="5"/>
  <c r="T818" i="5"/>
  <c r="B819" i="5"/>
  <c r="C819" i="5"/>
  <c r="D819" i="5"/>
  <c r="E819" i="5"/>
  <c r="F819" i="5"/>
  <c r="H819" i="5"/>
  <c r="I819" i="5"/>
  <c r="L819" i="5"/>
  <c r="N819" i="5"/>
  <c r="Q819" i="5"/>
  <c r="S819" i="5" s="1"/>
  <c r="R819" i="5"/>
  <c r="T819" i="5"/>
  <c r="B820" i="5"/>
  <c r="C820" i="5"/>
  <c r="D820" i="5"/>
  <c r="L820" i="5" s="1"/>
  <c r="E820" i="5"/>
  <c r="F820" i="5"/>
  <c r="H820" i="5"/>
  <c r="I820" i="5"/>
  <c r="N820" i="5"/>
  <c r="R820" i="5"/>
  <c r="Q820" i="5" s="1"/>
  <c r="S820" i="5" s="1"/>
  <c r="T820" i="5"/>
  <c r="B821" i="5"/>
  <c r="C821" i="5"/>
  <c r="L821" i="5" s="1"/>
  <c r="D821" i="5"/>
  <c r="E821" i="5"/>
  <c r="F821" i="5"/>
  <c r="H821" i="5"/>
  <c r="I821" i="5"/>
  <c r="N821" i="5"/>
  <c r="Q821" i="5"/>
  <c r="S821" i="5" s="1"/>
  <c r="R821" i="5"/>
  <c r="T821" i="5"/>
  <c r="B822" i="5"/>
  <c r="C822" i="5"/>
  <c r="D822" i="5"/>
  <c r="E822" i="5"/>
  <c r="F822" i="5"/>
  <c r="H822" i="5"/>
  <c r="I822" i="5"/>
  <c r="N822" i="5"/>
  <c r="R822" i="5"/>
  <c r="Q822" i="5" s="1"/>
  <c r="S822" i="5" s="1"/>
  <c r="T822" i="5"/>
  <c r="B823" i="5"/>
  <c r="C823" i="5"/>
  <c r="L823" i="5" s="1"/>
  <c r="D823" i="5"/>
  <c r="E823" i="5"/>
  <c r="F823" i="5"/>
  <c r="H823" i="5"/>
  <c r="I823" i="5"/>
  <c r="N823" i="5"/>
  <c r="Q823" i="5"/>
  <c r="S823" i="5" s="1"/>
  <c r="R823" i="5"/>
  <c r="T823" i="5"/>
  <c r="B824" i="5"/>
  <c r="C824" i="5"/>
  <c r="D824" i="5"/>
  <c r="E824" i="5"/>
  <c r="F824" i="5"/>
  <c r="H824" i="5"/>
  <c r="I824" i="5"/>
  <c r="N824" i="5"/>
  <c r="R824" i="5"/>
  <c r="Q824" i="5" s="1"/>
  <c r="S824" i="5"/>
  <c r="T824" i="5"/>
  <c r="B825" i="5"/>
  <c r="C825" i="5"/>
  <c r="D825" i="5"/>
  <c r="E825" i="5"/>
  <c r="F825" i="5"/>
  <c r="H825" i="5"/>
  <c r="I825" i="5"/>
  <c r="L825" i="5" s="1"/>
  <c r="N825" i="5"/>
  <c r="Q825" i="5"/>
  <c r="S825" i="5" s="1"/>
  <c r="R825" i="5"/>
  <c r="T825" i="5"/>
  <c r="B826" i="5"/>
  <c r="C826" i="5"/>
  <c r="D826" i="5"/>
  <c r="E826" i="5"/>
  <c r="F826" i="5"/>
  <c r="H826" i="5"/>
  <c r="I826" i="5"/>
  <c r="N826" i="5"/>
  <c r="R826" i="5"/>
  <c r="Q826" i="5" s="1"/>
  <c r="S826" i="5" s="1"/>
  <c r="T826" i="5"/>
  <c r="B827" i="5"/>
  <c r="C827" i="5"/>
  <c r="D827" i="5"/>
  <c r="E827" i="5"/>
  <c r="F827" i="5"/>
  <c r="H827" i="5"/>
  <c r="I827" i="5"/>
  <c r="L827" i="5"/>
  <c r="N827" i="5"/>
  <c r="Q827" i="5"/>
  <c r="R827" i="5"/>
  <c r="S827" i="5"/>
  <c r="T827" i="5"/>
  <c r="B828" i="5"/>
  <c r="C828" i="5"/>
  <c r="D828" i="5"/>
  <c r="E828" i="5"/>
  <c r="F828" i="5"/>
  <c r="H828" i="5"/>
  <c r="I828" i="5"/>
  <c r="N828" i="5"/>
  <c r="Q828" i="5"/>
  <c r="R828" i="5"/>
  <c r="S828" i="5"/>
  <c r="T828" i="5"/>
  <c r="B829" i="5"/>
  <c r="C829" i="5"/>
  <c r="D829" i="5"/>
  <c r="E829" i="5"/>
  <c r="F829" i="5"/>
  <c r="H829" i="5"/>
  <c r="I829" i="5"/>
  <c r="N829" i="5"/>
  <c r="R829" i="5"/>
  <c r="Q829" i="5" s="1"/>
  <c r="S829" i="5"/>
  <c r="T829" i="5"/>
  <c r="B830" i="5"/>
  <c r="C830" i="5"/>
  <c r="L830" i="5" s="1"/>
  <c r="D830" i="5"/>
  <c r="E830" i="5"/>
  <c r="F830" i="5"/>
  <c r="H830" i="5"/>
  <c r="I830" i="5"/>
  <c r="N830" i="5"/>
  <c r="Q830" i="5"/>
  <c r="S830" i="5" s="1"/>
  <c r="R830" i="5"/>
  <c r="T830" i="5"/>
  <c r="B831" i="5"/>
  <c r="C831" i="5"/>
  <c r="D831" i="5"/>
  <c r="E831" i="5"/>
  <c r="F831" i="5"/>
  <c r="H831" i="5"/>
  <c r="L831" i="5" s="1"/>
  <c r="I831" i="5"/>
  <c r="N831" i="5"/>
  <c r="R831" i="5"/>
  <c r="Q831" i="5" s="1"/>
  <c r="S831" i="5" s="1"/>
  <c r="T831" i="5"/>
  <c r="B832" i="5"/>
  <c r="C832" i="5"/>
  <c r="D832" i="5"/>
  <c r="L832" i="5" s="1"/>
  <c r="E832" i="5"/>
  <c r="F832" i="5"/>
  <c r="H832" i="5"/>
  <c r="I832" i="5"/>
  <c r="N832" i="5"/>
  <c r="R832" i="5"/>
  <c r="Q832" i="5" s="1"/>
  <c r="S832" i="5"/>
  <c r="T832" i="5"/>
  <c r="B833" i="5"/>
  <c r="C833" i="5"/>
  <c r="D833" i="5"/>
  <c r="E833" i="5"/>
  <c r="F833" i="5"/>
  <c r="H833" i="5"/>
  <c r="I833" i="5"/>
  <c r="N833" i="5"/>
  <c r="R833" i="5"/>
  <c r="Q833" i="5" s="1"/>
  <c r="S833" i="5" s="1"/>
  <c r="T833" i="5"/>
  <c r="B834" i="5"/>
  <c r="C834" i="5"/>
  <c r="D834" i="5"/>
  <c r="E834" i="5"/>
  <c r="F834" i="5"/>
  <c r="H834" i="5"/>
  <c r="I834" i="5"/>
  <c r="N834" i="5"/>
  <c r="R834" i="5"/>
  <c r="Q834" i="5" s="1"/>
  <c r="S834" i="5" s="1"/>
  <c r="T834" i="5"/>
  <c r="B835" i="5"/>
  <c r="C835" i="5"/>
  <c r="D835" i="5"/>
  <c r="E835" i="5"/>
  <c r="F835" i="5"/>
  <c r="H835" i="5"/>
  <c r="I835" i="5"/>
  <c r="N835" i="5"/>
  <c r="Q835" i="5"/>
  <c r="S835" i="5" s="1"/>
  <c r="R835" i="5"/>
  <c r="T835" i="5"/>
  <c r="B836" i="5"/>
  <c r="C836" i="5"/>
  <c r="L836" i="5" s="1"/>
  <c r="D836" i="5"/>
  <c r="E836" i="5"/>
  <c r="F836" i="5"/>
  <c r="H836" i="5"/>
  <c r="I836" i="5"/>
  <c r="N836" i="5"/>
  <c r="R836" i="5"/>
  <c r="Q836" i="5" s="1"/>
  <c r="S836" i="5" s="1"/>
  <c r="T836" i="5"/>
  <c r="B837" i="5"/>
  <c r="C837" i="5"/>
  <c r="D837" i="5"/>
  <c r="E837" i="5"/>
  <c r="F837" i="5"/>
  <c r="H837" i="5"/>
  <c r="L837" i="5" s="1"/>
  <c r="I837" i="5"/>
  <c r="N837" i="5"/>
  <c r="Q837" i="5"/>
  <c r="S837" i="5" s="1"/>
  <c r="R837" i="5"/>
  <c r="T837" i="5"/>
  <c r="B838" i="5"/>
  <c r="C838" i="5"/>
  <c r="D838" i="5"/>
  <c r="E838" i="5"/>
  <c r="F838" i="5"/>
  <c r="H838" i="5"/>
  <c r="I838" i="5"/>
  <c r="N838" i="5"/>
  <c r="Q838" i="5"/>
  <c r="S838" i="5" s="1"/>
  <c r="R838" i="5"/>
  <c r="T838" i="5"/>
  <c r="B839" i="5"/>
  <c r="C839" i="5"/>
  <c r="D839" i="5"/>
  <c r="E839" i="5"/>
  <c r="F839" i="5"/>
  <c r="H839" i="5"/>
  <c r="I839" i="5"/>
  <c r="L839" i="5"/>
  <c r="N839" i="5"/>
  <c r="R839" i="5"/>
  <c r="Q839" i="5" s="1"/>
  <c r="S839" i="5" s="1"/>
  <c r="T839" i="5"/>
  <c r="B840" i="5"/>
  <c r="C840" i="5"/>
  <c r="D840" i="5"/>
  <c r="L840" i="5" s="1"/>
  <c r="E840" i="5"/>
  <c r="F840" i="5"/>
  <c r="H840" i="5"/>
  <c r="I840" i="5"/>
  <c r="N840" i="5"/>
  <c r="R840" i="5"/>
  <c r="Q840" i="5" s="1"/>
  <c r="S840" i="5"/>
  <c r="T840" i="5"/>
  <c r="B841" i="5"/>
  <c r="C841" i="5"/>
  <c r="L841" i="5" s="1"/>
  <c r="D841" i="5"/>
  <c r="E841" i="5"/>
  <c r="F841" i="5"/>
  <c r="H841" i="5"/>
  <c r="I841" i="5"/>
  <c r="N841" i="5"/>
  <c r="Q841" i="5"/>
  <c r="S841" i="5" s="1"/>
  <c r="R841" i="5"/>
  <c r="T841" i="5"/>
  <c r="B842" i="5"/>
  <c r="C842" i="5"/>
  <c r="L842" i="5" s="1"/>
  <c r="D842" i="5"/>
  <c r="E842" i="5"/>
  <c r="F842" i="5"/>
  <c r="H842" i="5"/>
  <c r="I842" i="5"/>
  <c r="N842" i="5"/>
  <c r="R842" i="5"/>
  <c r="Q842" i="5" s="1"/>
  <c r="S842" i="5"/>
  <c r="T842" i="5"/>
  <c r="B843" i="5"/>
  <c r="C843" i="5"/>
  <c r="D843" i="5"/>
  <c r="E843" i="5"/>
  <c r="F843" i="5"/>
  <c r="H843" i="5"/>
  <c r="I843" i="5"/>
  <c r="N843" i="5"/>
  <c r="Q843" i="5"/>
  <c r="R843" i="5"/>
  <c r="S843" i="5"/>
  <c r="T843" i="5"/>
  <c r="B844" i="5"/>
  <c r="C844" i="5"/>
  <c r="D844" i="5"/>
  <c r="E844" i="5"/>
  <c r="F844" i="5"/>
  <c r="H844" i="5"/>
  <c r="I844" i="5"/>
  <c r="N844" i="5"/>
  <c r="Q844" i="5"/>
  <c r="R844" i="5"/>
  <c r="S844" i="5"/>
  <c r="T844" i="5"/>
  <c r="B845" i="5"/>
  <c r="C845" i="5"/>
  <c r="D845" i="5"/>
  <c r="E845" i="5"/>
  <c r="F845" i="5"/>
  <c r="H845" i="5"/>
  <c r="I845" i="5"/>
  <c r="N845" i="5"/>
  <c r="Q845" i="5"/>
  <c r="S845" i="5" s="1"/>
  <c r="R845" i="5"/>
  <c r="T845" i="5"/>
  <c r="B846" i="5"/>
  <c r="C846" i="5"/>
  <c r="D846" i="5"/>
  <c r="E846" i="5"/>
  <c r="F846" i="5"/>
  <c r="H846" i="5"/>
  <c r="I846" i="5"/>
  <c r="N846" i="5"/>
  <c r="Q846" i="5"/>
  <c r="S846" i="5" s="1"/>
  <c r="R846" i="5"/>
  <c r="T846" i="5"/>
  <c r="B847" i="5"/>
  <c r="C847" i="5"/>
  <c r="D847" i="5"/>
  <c r="E847" i="5"/>
  <c r="F847" i="5"/>
  <c r="H847" i="5"/>
  <c r="L847" i="5" s="1"/>
  <c r="I847" i="5"/>
  <c r="N847" i="5"/>
  <c r="R847" i="5"/>
  <c r="Q847" i="5" s="1"/>
  <c r="S847" i="5" s="1"/>
  <c r="T847" i="5"/>
  <c r="B848" i="5"/>
  <c r="C848" i="5"/>
  <c r="D848" i="5"/>
  <c r="E848" i="5"/>
  <c r="F848" i="5"/>
  <c r="H848" i="5"/>
  <c r="I848" i="5"/>
  <c r="N848" i="5"/>
  <c r="R848" i="5"/>
  <c r="Q848" i="5" s="1"/>
  <c r="S848" i="5"/>
  <c r="T848" i="5"/>
  <c r="B849" i="5"/>
  <c r="C849" i="5"/>
  <c r="D849" i="5"/>
  <c r="E849" i="5"/>
  <c r="F849" i="5"/>
  <c r="H849" i="5"/>
  <c r="I849" i="5"/>
  <c r="L849" i="5" s="1"/>
  <c r="N849" i="5"/>
  <c r="R849" i="5"/>
  <c r="Q849" i="5" s="1"/>
  <c r="S849" i="5" s="1"/>
  <c r="T849" i="5"/>
  <c r="B850" i="5"/>
  <c r="C850" i="5"/>
  <c r="L850" i="5" s="1"/>
  <c r="D850" i="5"/>
  <c r="E850" i="5"/>
  <c r="F850" i="5"/>
  <c r="H850" i="5"/>
  <c r="I850" i="5"/>
  <c r="N850" i="5"/>
  <c r="R850" i="5"/>
  <c r="Q850" i="5" s="1"/>
  <c r="S850" i="5"/>
  <c r="T850" i="5"/>
  <c r="B851" i="5"/>
  <c r="C851" i="5"/>
  <c r="D851" i="5"/>
  <c r="E851" i="5"/>
  <c r="F851" i="5"/>
  <c r="H851" i="5"/>
  <c r="I851" i="5"/>
  <c r="N851" i="5"/>
  <c r="Q851" i="5"/>
  <c r="S851" i="5" s="1"/>
  <c r="R851" i="5"/>
  <c r="T851" i="5"/>
  <c r="B852" i="5"/>
  <c r="C852" i="5"/>
  <c r="L852" i="5" s="1"/>
  <c r="D852" i="5"/>
  <c r="E852" i="5"/>
  <c r="F852" i="5"/>
  <c r="H852" i="5"/>
  <c r="I852" i="5"/>
  <c r="N852" i="5"/>
  <c r="Q852" i="5"/>
  <c r="S852" i="5" s="1"/>
  <c r="R852" i="5"/>
  <c r="T852" i="5"/>
  <c r="B853" i="5"/>
  <c r="C853" i="5"/>
  <c r="D853" i="5"/>
  <c r="E853" i="5"/>
  <c r="F853" i="5"/>
  <c r="L853" i="5" s="1"/>
  <c r="H853" i="5"/>
  <c r="I853" i="5"/>
  <c r="N853" i="5"/>
  <c r="Q853" i="5"/>
  <c r="R853" i="5"/>
  <c r="S853" i="5"/>
  <c r="T853" i="5"/>
  <c r="B854" i="5"/>
  <c r="C854" i="5"/>
  <c r="D854" i="5"/>
  <c r="E854" i="5"/>
  <c r="F854" i="5"/>
  <c r="H854" i="5"/>
  <c r="I854" i="5"/>
  <c r="L854" i="5"/>
  <c r="N854" i="5"/>
  <c r="Q854" i="5"/>
  <c r="S854" i="5" s="1"/>
  <c r="R854" i="5"/>
  <c r="T854" i="5"/>
  <c r="B855" i="5"/>
  <c r="C855" i="5"/>
  <c r="D855" i="5"/>
  <c r="E855" i="5"/>
  <c r="F855" i="5"/>
  <c r="H855" i="5"/>
  <c r="I855" i="5"/>
  <c r="N855" i="5"/>
  <c r="R855" i="5"/>
  <c r="Q855" i="5" s="1"/>
  <c r="S855" i="5"/>
  <c r="T855" i="5"/>
  <c r="B856" i="5"/>
  <c r="C856" i="5"/>
  <c r="D856" i="5"/>
  <c r="E856" i="5"/>
  <c r="L856" i="5" s="1"/>
  <c r="F856" i="5"/>
  <c r="H856" i="5"/>
  <c r="I856" i="5"/>
  <c r="N856" i="5"/>
  <c r="R856" i="5"/>
  <c r="Q856" i="5" s="1"/>
  <c r="S856" i="5" s="1"/>
  <c r="T856" i="5"/>
  <c r="B857" i="5"/>
  <c r="C857" i="5"/>
  <c r="D857" i="5"/>
  <c r="E857" i="5"/>
  <c r="F857" i="5"/>
  <c r="H857" i="5"/>
  <c r="I857" i="5"/>
  <c r="L857" i="5"/>
  <c r="N857" i="5"/>
  <c r="Q857" i="5"/>
  <c r="S857" i="5" s="1"/>
  <c r="R857" i="5"/>
  <c r="T857" i="5"/>
  <c r="B858" i="5"/>
  <c r="C858" i="5"/>
  <c r="D858" i="5"/>
  <c r="E858" i="5"/>
  <c r="F858" i="5"/>
  <c r="H858" i="5"/>
  <c r="I858" i="5"/>
  <c r="N858" i="5"/>
  <c r="Q858" i="5"/>
  <c r="R858" i="5"/>
  <c r="S858" i="5"/>
  <c r="T858" i="5"/>
  <c r="B859" i="5"/>
  <c r="C859" i="5"/>
  <c r="D859" i="5"/>
  <c r="E859" i="5"/>
  <c r="F859" i="5"/>
  <c r="H859" i="5"/>
  <c r="I859" i="5"/>
  <c r="N859" i="5"/>
  <c r="Q859" i="5"/>
  <c r="S859" i="5" s="1"/>
  <c r="R859" i="5"/>
  <c r="T859" i="5"/>
  <c r="B860" i="5"/>
  <c r="C860" i="5"/>
  <c r="D860" i="5"/>
  <c r="E860" i="5"/>
  <c r="F860" i="5"/>
  <c r="H860" i="5"/>
  <c r="I860" i="5"/>
  <c r="N860" i="5"/>
  <c r="Q860" i="5"/>
  <c r="S860" i="5" s="1"/>
  <c r="R860" i="5"/>
  <c r="T860" i="5"/>
  <c r="B861" i="5"/>
  <c r="C861" i="5"/>
  <c r="D861" i="5"/>
  <c r="E861" i="5"/>
  <c r="F861" i="5"/>
  <c r="H861" i="5"/>
  <c r="I861" i="5"/>
  <c r="L861" i="5"/>
  <c r="N861" i="5"/>
  <c r="Q861" i="5"/>
  <c r="S861" i="5" s="1"/>
  <c r="R861" i="5"/>
  <c r="T861" i="5"/>
  <c r="B862" i="5"/>
  <c r="C862" i="5"/>
  <c r="D862" i="5"/>
  <c r="E862" i="5"/>
  <c r="F862" i="5"/>
  <c r="H862" i="5"/>
  <c r="I862" i="5"/>
  <c r="L862" i="5"/>
  <c r="N862" i="5"/>
  <c r="Q862" i="5"/>
  <c r="S862" i="5" s="1"/>
  <c r="R862" i="5"/>
  <c r="T862" i="5"/>
  <c r="B863" i="5"/>
  <c r="C863" i="5"/>
  <c r="D863" i="5"/>
  <c r="E863" i="5"/>
  <c r="F863" i="5"/>
  <c r="H863" i="5"/>
  <c r="I863" i="5"/>
  <c r="L863" i="5"/>
  <c r="N863" i="5"/>
  <c r="Q863" i="5"/>
  <c r="R863" i="5"/>
  <c r="S863" i="5"/>
  <c r="T863" i="5"/>
  <c r="B864" i="5"/>
  <c r="C864" i="5"/>
  <c r="D864" i="5"/>
  <c r="L864" i="5" s="1"/>
  <c r="E864" i="5"/>
  <c r="F864" i="5"/>
  <c r="H864" i="5"/>
  <c r="I864" i="5"/>
  <c r="N864" i="5"/>
  <c r="R864" i="5"/>
  <c r="Q864" i="5" s="1"/>
  <c r="S864" i="5" s="1"/>
  <c r="T864" i="5"/>
  <c r="B865" i="5"/>
  <c r="C865" i="5"/>
  <c r="D865" i="5"/>
  <c r="E865" i="5"/>
  <c r="F865" i="5"/>
  <c r="H865" i="5"/>
  <c r="I865" i="5"/>
  <c r="L865" i="5"/>
  <c r="N865" i="5"/>
  <c r="R865" i="5"/>
  <c r="Q865" i="5" s="1"/>
  <c r="S865" i="5" s="1"/>
  <c r="T865" i="5"/>
  <c r="B866" i="5"/>
  <c r="C866" i="5"/>
  <c r="D866" i="5"/>
  <c r="E866" i="5"/>
  <c r="F866" i="5"/>
  <c r="H866" i="5"/>
  <c r="I866" i="5"/>
  <c r="N866" i="5"/>
  <c r="Q866" i="5"/>
  <c r="S866" i="5" s="1"/>
  <c r="R866" i="5"/>
  <c r="T866" i="5"/>
  <c r="B867" i="5"/>
  <c r="C867" i="5"/>
  <c r="D867" i="5"/>
  <c r="E867" i="5"/>
  <c r="F867" i="5"/>
  <c r="L867" i="5" s="1"/>
  <c r="H867" i="5"/>
  <c r="I867" i="5"/>
  <c r="N867" i="5"/>
  <c r="Q867" i="5"/>
  <c r="R867" i="5"/>
  <c r="S867" i="5"/>
  <c r="T867" i="5"/>
  <c r="B868" i="5"/>
  <c r="C868" i="5"/>
  <c r="D868" i="5"/>
  <c r="E868" i="5"/>
  <c r="F868" i="5"/>
  <c r="H868" i="5"/>
  <c r="I868" i="5"/>
  <c r="L868" i="5"/>
  <c r="N868" i="5"/>
  <c r="Q868" i="5"/>
  <c r="S868" i="5" s="1"/>
  <c r="R868" i="5"/>
  <c r="T868" i="5"/>
  <c r="B869" i="5"/>
  <c r="C869" i="5"/>
  <c r="D869" i="5"/>
  <c r="E869" i="5"/>
  <c r="L869" i="5" s="1"/>
  <c r="F869" i="5"/>
  <c r="H869" i="5"/>
  <c r="I869" i="5"/>
  <c r="N869" i="5"/>
  <c r="Q869" i="5"/>
  <c r="R869" i="5"/>
  <c r="S869" i="5"/>
  <c r="T869" i="5"/>
  <c r="B870" i="5"/>
  <c r="C870" i="5"/>
  <c r="D870" i="5"/>
  <c r="E870" i="5"/>
  <c r="F870" i="5"/>
  <c r="H870" i="5"/>
  <c r="I870" i="5"/>
  <c r="N870" i="5"/>
  <c r="R870" i="5"/>
  <c r="Q870" i="5" s="1"/>
  <c r="S870" i="5" s="1"/>
  <c r="T870" i="5"/>
  <c r="B871" i="5"/>
  <c r="C871" i="5"/>
  <c r="D871" i="5"/>
  <c r="E871" i="5"/>
  <c r="F871" i="5"/>
  <c r="H871" i="5"/>
  <c r="I871" i="5"/>
  <c r="N871" i="5"/>
  <c r="R871" i="5"/>
  <c r="Q871" i="5" s="1"/>
  <c r="S871" i="5" s="1"/>
  <c r="T871" i="5"/>
  <c r="B872" i="5"/>
  <c r="C872" i="5"/>
  <c r="D872" i="5"/>
  <c r="E872" i="5"/>
  <c r="F872" i="5"/>
  <c r="H872" i="5"/>
  <c r="I872" i="5"/>
  <c r="L872" i="5"/>
  <c r="N872" i="5"/>
  <c r="R872" i="5"/>
  <c r="Q872" i="5" s="1"/>
  <c r="S872" i="5" s="1"/>
  <c r="T872" i="5"/>
  <c r="B873" i="5"/>
  <c r="C873" i="5"/>
  <c r="D873" i="5"/>
  <c r="E873" i="5"/>
  <c r="F873" i="5"/>
  <c r="H873" i="5"/>
  <c r="L873" i="5" s="1"/>
  <c r="I873" i="5"/>
  <c r="N873" i="5"/>
  <c r="R873" i="5"/>
  <c r="Q873" i="5" s="1"/>
  <c r="S873" i="5" s="1"/>
  <c r="T873" i="5"/>
  <c r="B874" i="5"/>
  <c r="C874" i="5"/>
  <c r="D874" i="5"/>
  <c r="E874" i="5"/>
  <c r="F874" i="5"/>
  <c r="H874" i="5"/>
  <c r="I874" i="5"/>
  <c r="N874" i="5"/>
  <c r="Q874" i="5"/>
  <c r="S874" i="5" s="1"/>
  <c r="R874" i="5"/>
  <c r="T874" i="5"/>
  <c r="B875" i="5"/>
  <c r="C875" i="5"/>
  <c r="D875" i="5"/>
  <c r="E875" i="5"/>
  <c r="F875" i="5"/>
  <c r="L875" i="5" s="1"/>
  <c r="H875" i="5"/>
  <c r="I875" i="5"/>
  <c r="N875" i="5"/>
  <c r="Q875" i="5"/>
  <c r="S875" i="5" s="1"/>
  <c r="R875" i="5"/>
  <c r="T875" i="5"/>
  <c r="B876" i="5"/>
  <c r="C876" i="5"/>
  <c r="D876" i="5"/>
  <c r="E876" i="5"/>
  <c r="F876" i="5"/>
  <c r="H876" i="5"/>
  <c r="I876" i="5"/>
  <c r="L876" i="5"/>
  <c r="N876" i="5"/>
  <c r="Q876" i="5"/>
  <c r="R876" i="5"/>
  <c r="S876" i="5"/>
  <c r="T876" i="5"/>
  <c r="B877" i="5"/>
  <c r="C877" i="5"/>
  <c r="D877" i="5"/>
  <c r="L877" i="5" s="1"/>
  <c r="E877" i="5"/>
  <c r="F877" i="5"/>
  <c r="H877" i="5"/>
  <c r="I877" i="5"/>
  <c r="N877" i="5"/>
  <c r="R877" i="5"/>
  <c r="Q877" i="5" s="1"/>
  <c r="S877" i="5" s="1"/>
  <c r="T877" i="5"/>
  <c r="B878" i="5"/>
  <c r="C878" i="5"/>
  <c r="L878" i="5" s="1"/>
  <c r="D878" i="5"/>
  <c r="E878" i="5"/>
  <c r="F878" i="5"/>
  <c r="H878" i="5"/>
  <c r="I878" i="5"/>
  <c r="N878" i="5"/>
  <c r="R878" i="5"/>
  <c r="Q878" i="5" s="1"/>
  <c r="S878" i="5" s="1"/>
  <c r="T878" i="5"/>
  <c r="B879" i="5"/>
  <c r="C879" i="5"/>
  <c r="D879" i="5"/>
  <c r="E879" i="5"/>
  <c r="F879" i="5"/>
  <c r="H879" i="5"/>
  <c r="I879" i="5"/>
  <c r="N879" i="5"/>
  <c r="Q879" i="5"/>
  <c r="R879" i="5"/>
  <c r="S879" i="5"/>
  <c r="T879" i="5"/>
  <c r="B880" i="5"/>
  <c r="C880" i="5"/>
  <c r="D880" i="5"/>
  <c r="E880" i="5"/>
  <c r="F880" i="5"/>
  <c r="H880" i="5"/>
  <c r="I880" i="5"/>
  <c r="L880" i="5"/>
  <c r="N880" i="5"/>
  <c r="R880" i="5"/>
  <c r="Q880" i="5" s="1"/>
  <c r="S880" i="5" s="1"/>
  <c r="T880" i="5"/>
  <c r="B881" i="5"/>
  <c r="C881" i="5"/>
  <c r="D881" i="5"/>
  <c r="E881" i="5"/>
  <c r="F881" i="5"/>
  <c r="H881" i="5"/>
  <c r="I881" i="5"/>
  <c r="N881" i="5"/>
  <c r="R881" i="5"/>
  <c r="Q881" i="5" s="1"/>
  <c r="S881" i="5" s="1"/>
  <c r="T881" i="5"/>
  <c r="B882" i="5"/>
  <c r="C882" i="5"/>
  <c r="D882" i="5"/>
  <c r="E882" i="5"/>
  <c r="F882" i="5"/>
  <c r="H882" i="5"/>
  <c r="I882" i="5"/>
  <c r="N882" i="5"/>
  <c r="R882" i="5"/>
  <c r="Q882" i="5" s="1"/>
  <c r="S882" i="5" s="1"/>
  <c r="T882" i="5"/>
  <c r="B883" i="5"/>
  <c r="C883" i="5"/>
  <c r="D883" i="5"/>
  <c r="E883" i="5"/>
  <c r="F883" i="5"/>
  <c r="H883" i="5"/>
  <c r="I883" i="5"/>
  <c r="L883" i="5"/>
  <c r="N883" i="5"/>
  <c r="Q883" i="5"/>
  <c r="R883" i="5"/>
  <c r="S883" i="5"/>
  <c r="T883" i="5"/>
  <c r="B884" i="5"/>
  <c r="C884" i="5"/>
  <c r="D884" i="5"/>
  <c r="L884" i="5" s="1"/>
  <c r="E884" i="5"/>
  <c r="F884" i="5"/>
  <c r="H884" i="5"/>
  <c r="I884" i="5"/>
  <c r="N884" i="5"/>
  <c r="R884" i="5"/>
  <c r="Q884" i="5" s="1"/>
  <c r="S884" i="5" s="1"/>
  <c r="T884" i="5"/>
  <c r="B885" i="5"/>
  <c r="C885" i="5"/>
  <c r="D885" i="5"/>
  <c r="E885" i="5"/>
  <c r="F885" i="5"/>
  <c r="H885" i="5"/>
  <c r="I885" i="5"/>
  <c r="L885" i="5"/>
  <c r="N885" i="5"/>
  <c r="R885" i="5"/>
  <c r="Q885" i="5" s="1"/>
  <c r="S885" i="5" s="1"/>
  <c r="T885" i="5"/>
  <c r="B886" i="5"/>
  <c r="C886" i="5"/>
  <c r="L886" i="5" s="1"/>
  <c r="D886" i="5"/>
  <c r="E886" i="5"/>
  <c r="F886" i="5"/>
  <c r="H886" i="5"/>
  <c r="I886" i="5"/>
  <c r="N886" i="5"/>
  <c r="R886" i="5"/>
  <c r="Q886" i="5" s="1"/>
  <c r="S886" i="5" s="1"/>
  <c r="T886" i="5"/>
  <c r="B887" i="5"/>
  <c r="C887" i="5"/>
  <c r="L887" i="5" s="1"/>
  <c r="D887" i="5"/>
  <c r="E887" i="5"/>
  <c r="F887" i="5"/>
  <c r="H887" i="5"/>
  <c r="I887" i="5"/>
  <c r="N887" i="5"/>
  <c r="Q887" i="5"/>
  <c r="S887" i="5" s="1"/>
  <c r="R887" i="5"/>
  <c r="T887" i="5"/>
  <c r="B888" i="5"/>
  <c r="C888" i="5"/>
  <c r="D888" i="5"/>
  <c r="E888" i="5"/>
  <c r="F888" i="5"/>
  <c r="H888" i="5"/>
  <c r="I888" i="5"/>
  <c r="N888" i="5"/>
  <c r="R888" i="5"/>
  <c r="Q888" i="5" s="1"/>
  <c r="S888" i="5"/>
  <c r="T888" i="5"/>
  <c r="B889" i="5"/>
  <c r="C889" i="5"/>
  <c r="D889" i="5"/>
  <c r="E889" i="5"/>
  <c r="F889" i="5"/>
  <c r="H889" i="5"/>
  <c r="I889" i="5"/>
  <c r="N889" i="5"/>
  <c r="Q889" i="5"/>
  <c r="S889" i="5" s="1"/>
  <c r="R889" i="5"/>
  <c r="T889" i="5"/>
  <c r="B890" i="5"/>
  <c r="C890" i="5"/>
  <c r="D890" i="5"/>
  <c r="E890" i="5"/>
  <c r="F890" i="5"/>
  <c r="H890" i="5"/>
  <c r="I890" i="5"/>
  <c r="N890" i="5"/>
  <c r="Q890" i="5"/>
  <c r="R890" i="5"/>
  <c r="S890" i="5"/>
  <c r="T890" i="5"/>
  <c r="B891" i="5"/>
  <c r="C891" i="5"/>
  <c r="D891" i="5"/>
  <c r="E891" i="5"/>
  <c r="F891" i="5"/>
  <c r="H891" i="5"/>
  <c r="I891" i="5"/>
  <c r="N891" i="5"/>
  <c r="Q891" i="5"/>
  <c r="R891" i="5"/>
  <c r="S891" i="5"/>
  <c r="T891" i="5"/>
  <c r="B892" i="5"/>
  <c r="C892" i="5"/>
  <c r="D892" i="5"/>
  <c r="E892" i="5"/>
  <c r="F892" i="5"/>
  <c r="H892" i="5"/>
  <c r="I892" i="5"/>
  <c r="L892" i="5"/>
  <c r="N892" i="5"/>
  <c r="Q892" i="5"/>
  <c r="S892" i="5" s="1"/>
  <c r="R892" i="5"/>
  <c r="T892" i="5"/>
  <c r="B893" i="5"/>
  <c r="C893" i="5"/>
  <c r="D893" i="5"/>
  <c r="E893" i="5"/>
  <c r="F893" i="5"/>
  <c r="H893" i="5"/>
  <c r="I893" i="5"/>
  <c r="N893" i="5"/>
  <c r="R893" i="5"/>
  <c r="Q893" i="5" s="1"/>
  <c r="S893" i="5" s="1"/>
  <c r="T893" i="5"/>
  <c r="B894" i="5"/>
  <c r="C894" i="5"/>
  <c r="L894" i="5" s="1"/>
  <c r="D894" i="5"/>
  <c r="E894" i="5"/>
  <c r="F894" i="5"/>
  <c r="H894" i="5"/>
  <c r="I894" i="5"/>
  <c r="N894" i="5"/>
  <c r="Q894" i="5"/>
  <c r="S894" i="5" s="1"/>
  <c r="R894" i="5"/>
  <c r="T894" i="5"/>
  <c r="B895" i="5"/>
  <c r="C895" i="5"/>
  <c r="D895" i="5"/>
  <c r="E895" i="5"/>
  <c r="F895" i="5"/>
  <c r="H895" i="5"/>
  <c r="I895" i="5"/>
  <c r="N895" i="5"/>
  <c r="Q895" i="5"/>
  <c r="R895" i="5"/>
  <c r="S895" i="5"/>
  <c r="T895" i="5"/>
  <c r="B896" i="5"/>
  <c r="C896" i="5"/>
  <c r="D896" i="5"/>
  <c r="E896" i="5"/>
  <c r="F896" i="5"/>
  <c r="H896" i="5"/>
  <c r="I896" i="5"/>
  <c r="L896" i="5" s="1"/>
  <c r="N896" i="5"/>
  <c r="R896" i="5"/>
  <c r="Q896" i="5" s="1"/>
  <c r="S896" i="5"/>
  <c r="T896" i="5"/>
  <c r="B897" i="5"/>
  <c r="C897" i="5"/>
  <c r="D897" i="5"/>
  <c r="E897" i="5"/>
  <c r="F897" i="5"/>
  <c r="H897" i="5"/>
  <c r="I897" i="5"/>
  <c r="N897" i="5"/>
  <c r="Q897" i="5"/>
  <c r="R897" i="5"/>
  <c r="S897" i="5"/>
  <c r="T897" i="5"/>
  <c r="B898" i="5"/>
  <c r="C898" i="5"/>
  <c r="L898" i="5" s="1"/>
  <c r="D898" i="5"/>
  <c r="E898" i="5"/>
  <c r="F898" i="5"/>
  <c r="H898" i="5"/>
  <c r="I898" i="5"/>
  <c r="N898" i="5"/>
  <c r="R898" i="5"/>
  <c r="Q898" i="5" s="1"/>
  <c r="S898" i="5" s="1"/>
  <c r="T898" i="5"/>
  <c r="B899" i="5"/>
  <c r="C899" i="5"/>
  <c r="D899" i="5"/>
  <c r="E899" i="5"/>
  <c r="F899" i="5"/>
  <c r="H899" i="5"/>
  <c r="I899" i="5"/>
  <c r="L899" i="5"/>
  <c r="N899" i="5"/>
  <c r="Q899" i="5"/>
  <c r="R899" i="5"/>
  <c r="S899" i="5"/>
  <c r="T899" i="5"/>
  <c r="B900" i="5"/>
  <c r="C900" i="5"/>
  <c r="D900" i="5"/>
  <c r="E900" i="5"/>
  <c r="F900" i="5"/>
  <c r="H900" i="5"/>
  <c r="I900" i="5"/>
  <c r="N900" i="5"/>
  <c r="R900" i="5"/>
  <c r="Q900" i="5" s="1"/>
  <c r="S900" i="5" s="1"/>
  <c r="T900" i="5"/>
  <c r="B901" i="5"/>
  <c r="C901" i="5"/>
  <c r="D901" i="5"/>
  <c r="E901" i="5"/>
  <c r="F901" i="5"/>
  <c r="H901" i="5"/>
  <c r="I901" i="5"/>
  <c r="L901" i="5"/>
  <c r="N901" i="5"/>
  <c r="Q901" i="5"/>
  <c r="R901" i="5"/>
  <c r="S901" i="5"/>
  <c r="T901" i="5"/>
  <c r="B902" i="5"/>
  <c r="C902" i="5"/>
  <c r="D902" i="5"/>
  <c r="E902" i="5"/>
  <c r="F902" i="5"/>
  <c r="H902" i="5"/>
  <c r="I902" i="5"/>
  <c r="N902" i="5"/>
  <c r="Q902" i="5"/>
  <c r="S902" i="5" s="1"/>
  <c r="R902" i="5"/>
  <c r="T902" i="5"/>
  <c r="B903" i="5"/>
  <c r="C903" i="5"/>
  <c r="D903" i="5"/>
  <c r="E903" i="5"/>
  <c r="F903" i="5"/>
  <c r="H903" i="5"/>
  <c r="I903" i="5"/>
  <c r="L903" i="5"/>
  <c r="N903" i="5"/>
  <c r="R903" i="5"/>
  <c r="Q903" i="5" s="1"/>
  <c r="S903" i="5" s="1"/>
  <c r="T903" i="5"/>
  <c r="B904" i="5"/>
  <c r="C904" i="5"/>
  <c r="D904" i="5"/>
  <c r="L904" i="5" s="1"/>
  <c r="E904" i="5"/>
  <c r="F904" i="5"/>
  <c r="H904" i="5"/>
  <c r="I904" i="5"/>
  <c r="N904" i="5"/>
  <c r="R904" i="5"/>
  <c r="Q904" i="5" s="1"/>
  <c r="S904" i="5" s="1"/>
  <c r="T904" i="5"/>
  <c r="B905" i="5"/>
  <c r="C905" i="5"/>
  <c r="L905" i="5" s="1"/>
  <c r="D905" i="5"/>
  <c r="E905" i="5"/>
  <c r="F905" i="5"/>
  <c r="H905" i="5"/>
  <c r="I905" i="5"/>
  <c r="N905" i="5"/>
  <c r="Q905" i="5"/>
  <c r="S905" i="5" s="1"/>
  <c r="R905" i="5"/>
  <c r="T905" i="5"/>
  <c r="B906" i="5"/>
  <c r="C906" i="5"/>
  <c r="L906" i="5" s="1"/>
  <c r="D906" i="5"/>
  <c r="E906" i="5"/>
  <c r="F906" i="5"/>
  <c r="H906" i="5"/>
  <c r="I906" i="5"/>
  <c r="N906" i="5"/>
  <c r="R906" i="5"/>
  <c r="Q906" i="5" s="1"/>
  <c r="S906" i="5"/>
  <c r="T906" i="5"/>
  <c r="B907" i="5"/>
  <c r="C907" i="5"/>
  <c r="D907" i="5"/>
  <c r="E907" i="5"/>
  <c r="F907" i="5"/>
  <c r="H907" i="5"/>
  <c r="I907" i="5"/>
  <c r="N907" i="5"/>
  <c r="Q907" i="5"/>
  <c r="R907" i="5"/>
  <c r="S907" i="5"/>
  <c r="T907" i="5"/>
  <c r="B908" i="5"/>
  <c r="C908" i="5"/>
  <c r="L908" i="5" s="1"/>
  <c r="D908" i="5"/>
  <c r="E908" i="5"/>
  <c r="F908" i="5"/>
  <c r="H908" i="5"/>
  <c r="I908" i="5"/>
  <c r="N908" i="5"/>
  <c r="Q908" i="5"/>
  <c r="R908" i="5"/>
  <c r="S908" i="5"/>
  <c r="T908" i="5"/>
  <c r="B909" i="5"/>
  <c r="C909" i="5"/>
  <c r="D909" i="5"/>
  <c r="E909" i="5"/>
  <c r="F909" i="5"/>
  <c r="H909" i="5"/>
  <c r="I909" i="5"/>
  <c r="N909" i="5"/>
  <c r="R909" i="5"/>
  <c r="Q909" i="5" s="1"/>
  <c r="S909" i="5" s="1"/>
  <c r="T909" i="5"/>
  <c r="B910" i="5"/>
  <c r="C910" i="5"/>
  <c r="D910" i="5"/>
  <c r="E910" i="5"/>
  <c r="F910" i="5"/>
  <c r="H910" i="5"/>
  <c r="I910" i="5"/>
  <c r="L910" i="5"/>
  <c r="N910" i="5"/>
  <c r="Q910" i="5"/>
  <c r="S910" i="5" s="1"/>
  <c r="R910" i="5"/>
  <c r="T910" i="5"/>
  <c r="B911" i="5"/>
  <c r="C911" i="5"/>
  <c r="D911" i="5"/>
  <c r="E911" i="5"/>
  <c r="F911" i="5"/>
  <c r="H911" i="5"/>
  <c r="I911" i="5"/>
  <c r="L911" i="5"/>
  <c r="N911" i="5"/>
  <c r="Q911" i="5"/>
  <c r="R911" i="5"/>
  <c r="S911" i="5"/>
  <c r="T911" i="5"/>
  <c r="B912" i="5"/>
  <c r="C912" i="5"/>
  <c r="D912" i="5"/>
  <c r="L912" i="5" s="1"/>
  <c r="E912" i="5"/>
  <c r="F912" i="5"/>
  <c r="H912" i="5"/>
  <c r="I912" i="5"/>
  <c r="N912" i="5"/>
  <c r="R912" i="5"/>
  <c r="Q912" i="5" s="1"/>
  <c r="S912" i="5"/>
  <c r="T912" i="5"/>
  <c r="B913" i="5"/>
  <c r="C913" i="5"/>
  <c r="D913" i="5"/>
  <c r="E913" i="5"/>
  <c r="F913" i="5"/>
  <c r="H913" i="5"/>
  <c r="I913" i="5"/>
  <c r="L913" i="5"/>
  <c r="N913" i="5"/>
  <c r="Q913" i="5"/>
  <c r="S913" i="5" s="1"/>
  <c r="R913" i="5"/>
  <c r="T913" i="5"/>
  <c r="B914" i="5"/>
  <c r="C914" i="5"/>
  <c r="D914" i="5"/>
  <c r="E914" i="5"/>
  <c r="F914" i="5"/>
  <c r="H914" i="5"/>
  <c r="I914" i="5"/>
  <c r="N914" i="5"/>
  <c r="R914" i="5"/>
  <c r="Q914" i="5" s="1"/>
  <c r="S914" i="5"/>
  <c r="T914" i="5"/>
  <c r="B915" i="5"/>
  <c r="C915" i="5"/>
  <c r="D915" i="5"/>
  <c r="E915" i="5"/>
  <c r="F915" i="5"/>
  <c r="H915" i="5"/>
  <c r="L915" i="5" s="1"/>
  <c r="I915" i="5"/>
  <c r="N915" i="5"/>
  <c r="Q915" i="5"/>
  <c r="R915" i="5"/>
  <c r="S915" i="5"/>
  <c r="T915" i="5"/>
  <c r="B916" i="5"/>
  <c r="C916" i="5"/>
  <c r="D916" i="5"/>
  <c r="E916" i="5"/>
  <c r="F916" i="5"/>
  <c r="H916" i="5"/>
  <c r="I916" i="5"/>
  <c r="N916" i="5"/>
  <c r="R916" i="5"/>
  <c r="Q916" i="5" s="1"/>
  <c r="S916" i="5" s="1"/>
  <c r="T916" i="5"/>
  <c r="B917" i="5"/>
  <c r="C917" i="5"/>
  <c r="D917" i="5"/>
  <c r="E917" i="5"/>
  <c r="L917" i="5" s="1"/>
  <c r="F917" i="5"/>
  <c r="H917" i="5"/>
  <c r="I917" i="5"/>
  <c r="N917" i="5"/>
  <c r="Q917" i="5"/>
  <c r="R917" i="5"/>
  <c r="S917" i="5"/>
  <c r="T917" i="5"/>
  <c r="B918" i="5"/>
  <c r="C918" i="5"/>
  <c r="D918" i="5"/>
  <c r="E918" i="5"/>
  <c r="F918" i="5"/>
  <c r="H918" i="5"/>
  <c r="I918" i="5"/>
  <c r="N918" i="5"/>
  <c r="R918" i="5"/>
  <c r="Q918" i="5" s="1"/>
  <c r="S918" i="5" s="1"/>
  <c r="T918" i="5"/>
  <c r="B919" i="5"/>
  <c r="C919" i="5"/>
  <c r="D919" i="5"/>
  <c r="E919" i="5"/>
  <c r="F919" i="5"/>
  <c r="H919" i="5"/>
  <c r="I919" i="5"/>
  <c r="N919" i="5"/>
  <c r="R919" i="5"/>
  <c r="Q919" i="5" s="1"/>
  <c r="S919" i="5" s="1"/>
  <c r="T919" i="5"/>
  <c r="B920" i="5"/>
  <c r="C920" i="5"/>
  <c r="D920" i="5"/>
  <c r="E920" i="5"/>
  <c r="F920" i="5"/>
  <c r="H920" i="5"/>
  <c r="I920" i="5"/>
  <c r="L920" i="5"/>
  <c r="N920" i="5"/>
  <c r="R920" i="5"/>
  <c r="Q920" i="5" s="1"/>
  <c r="S920" i="5" s="1"/>
  <c r="T920" i="5"/>
  <c r="B921" i="5"/>
  <c r="C921" i="5"/>
  <c r="D921" i="5"/>
  <c r="E921" i="5"/>
  <c r="F921" i="5"/>
  <c r="H921" i="5"/>
  <c r="L921" i="5" s="1"/>
  <c r="I921" i="5"/>
  <c r="N921" i="5"/>
  <c r="R921" i="5"/>
  <c r="Q921" i="5" s="1"/>
  <c r="S921" i="5" s="1"/>
  <c r="T921" i="5"/>
  <c r="B922" i="5"/>
  <c r="C922" i="5"/>
  <c r="D922" i="5"/>
  <c r="E922" i="5"/>
  <c r="F922" i="5"/>
  <c r="H922" i="5"/>
  <c r="I922" i="5"/>
  <c r="N922" i="5"/>
  <c r="Q922" i="5"/>
  <c r="R922" i="5"/>
  <c r="S922" i="5"/>
  <c r="T922" i="5"/>
  <c r="B923" i="5"/>
  <c r="C923" i="5"/>
  <c r="D923" i="5"/>
  <c r="E923" i="5"/>
  <c r="F923" i="5"/>
  <c r="H923" i="5"/>
  <c r="I923" i="5"/>
  <c r="N923" i="5"/>
  <c r="Q923" i="5"/>
  <c r="R923" i="5"/>
  <c r="S923" i="5"/>
  <c r="T923" i="5"/>
  <c r="B924" i="5"/>
  <c r="C924" i="5"/>
  <c r="L924" i="5" s="1"/>
  <c r="D924" i="5"/>
  <c r="E924" i="5"/>
  <c r="F924" i="5"/>
  <c r="H924" i="5"/>
  <c r="I924" i="5"/>
  <c r="N924" i="5"/>
  <c r="Q924" i="5"/>
  <c r="S924" i="5" s="1"/>
  <c r="R924" i="5"/>
  <c r="T924" i="5"/>
  <c r="B925" i="5"/>
  <c r="C925" i="5"/>
  <c r="D925" i="5"/>
  <c r="E925" i="5"/>
  <c r="F925" i="5"/>
  <c r="H925" i="5"/>
  <c r="I925" i="5"/>
  <c r="N925" i="5"/>
  <c r="R925" i="5"/>
  <c r="Q925" i="5" s="1"/>
  <c r="S925" i="5" s="1"/>
  <c r="T925" i="5"/>
  <c r="B926" i="5"/>
  <c r="C926" i="5"/>
  <c r="D926" i="5"/>
  <c r="E926" i="5"/>
  <c r="F926" i="5"/>
  <c r="H926" i="5"/>
  <c r="I926" i="5"/>
  <c r="L926" i="5"/>
  <c r="N926" i="5"/>
  <c r="Q926" i="5"/>
  <c r="S926" i="5" s="1"/>
  <c r="R926" i="5"/>
  <c r="T926" i="5"/>
  <c r="B927" i="5"/>
  <c r="C927" i="5"/>
  <c r="D927" i="5"/>
  <c r="E927" i="5"/>
  <c r="F927" i="5"/>
  <c r="H927" i="5"/>
  <c r="I927" i="5"/>
  <c r="N927" i="5"/>
  <c r="Q927" i="5"/>
  <c r="R927" i="5"/>
  <c r="S927" i="5"/>
  <c r="T927" i="5"/>
  <c r="B928" i="5"/>
  <c r="C928" i="5"/>
  <c r="L928" i="5" s="1"/>
  <c r="D928" i="5"/>
  <c r="E928" i="5"/>
  <c r="F928" i="5"/>
  <c r="H928" i="5"/>
  <c r="I928" i="5"/>
  <c r="N928" i="5"/>
  <c r="Q928" i="5"/>
  <c r="S928" i="5" s="1"/>
  <c r="R928" i="5"/>
  <c r="T928" i="5"/>
  <c r="B929" i="5"/>
  <c r="C929" i="5"/>
  <c r="D929" i="5"/>
  <c r="E929" i="5"/>
  <c r="F929" i="5"/>
  <c r="H929" i="5"/>
  <c r="I929" i="5"/>
  <c r="N929" i="5"/>
  <c r="Q929" i="5"/>
  <c r="S929" i="5" s="1"/>
  <c r="R929" i="5"/>
  <c r="T929" i="5"/>
  <c r="B930" i="5"/>
  <c r="C930" i="5"/>
  <c r="D930" i="5"/>
  <c r="E930" i="5"/>
  <c r="F930" i="5"/>
  <c r="L930" i="5" s="1"/>
  <c r="H930" i="5"/>
  <c r="I930" i="5"/>
  <c r="N930" i="5"/>
  <c r="R930" i="5"/>
  <c r="Q930" i="5" s="1"/>
  <c r="S930" i="5" s="1"/>
  <c r="T930" i="5"/>
  <c r="B931" i="5"/>
  <c r="C931" i="5"/>
  <c r="L931" i="5" s="1"/>
  <c r="D931" i="5"/>
  <c r="E931" i="5"/>
  <c r="F931" i="5"/>
  <c r="H931" i="5"/>
  <c r="I931" i="5"/>
  <c r="N931" i="5"/>
  <c r="Q931" i="5"/>
  <c r="R931" i="5"/>
  <c r="T931" i="5"/>
  <c r="B932" i="5"/>
  <c r="C932" i="5"/>
  <c r="D932" i="5"/>
  <c r="E932" i="5"/>
  <c r="F932" i="5"/>
  <c r="H932" i="5"/>
  <c r="I932" i="5"/>
  <c r="N932" i="5"/>
  <c r="R932" i="5"/>
  <c r="Q932" i="5" s="1"/>
  <c r="S932" i="5" s="1"/>
  <c r="T932" i="5"/>
  <c r="B933" i="5"/>
  <c r="C933" i="5"/>
  <c r="L933" i="5" s="1"/>
  <c r="D933" i="5"/>
  <c r="E933" i="5"/>
  <c r="F933" i="5"/>
  <c r="H933" i="5"/>
  <c r="I933" i="5"/>
  <c r="N933" i="5"/>
  <c r="R933" i="5"/>
  <c r="Q933" i="5" s="1"/>
  <c r="S933" i="5" s="1"/>
  <c r="T933" i="5"/>
  <c r="B934" i="5"/>
  <c r="C934" i="5"/>
  <c r="D934" i="5"/>
  <c r="E934" i="5"/>
  <c r="F934" i="5"/>
  <c r="H934" i="5"/>
  <c r="I934" i="5"/>
  <c r="N934" i="5"/>
  <c r="R934" i="5"/>
  <c r="Q934" i="5" s="1"/>
  <c r="S934" i="5"/>
  <c r="T934" i="5"/>
  <c r="B935" i="5"/>
  <c r="C935" i="5"/>
  <c r="D935" i="5"/>
  <c r="E935" i="5"/>
  <c r="F935" i="5"/>
  <c r="H935" i="5"/>
  <c r="I935" i="5"/>
  <c r="N935" i="5"/>
  <c r="Q935" i="5"/>
  <c r="R935" i="5"/>
  <c r="S935" i="5"/>
  <c r="T935" i="5"/>
  <c r="B936" i="5"/>
  <c r="C936" i="5"/>
  <c r="D936" i="5"/>
  <c r="E936" i="5"/>
  <c r="F936" i="5"/>
  <c r="H936" i="5"/>
  <c r="I936" i="5"/>
  <c r="N936" i="5"/>
  <c r="R936" i="5"/>
  <c r="Q936" i="5" s="1"/>
  <c r="S936" i="5" s="1"/>
  <c r="T936" i="5"/>
  <c r="B937" i="5"/>
  <c r="C937" i="5"/>
  <c r="D937" i="5"/>
  <c r="E937" i="5"/>
  <c r="F937" i="5"/>
  <c r="H937" i="5"/>
  <c r="I937" i="5"/>
  <c r="N937" i="5"/>
  <c r="Q937" i="5"/>
  <c r="R937" i="5"/>
  <c r="S937" i="5"/>
  <c r="T937" i="5"/>
  <c r="B938" i="5"/>
  <c r="C938" i="5"/>
  <c r="D938" i="5"/>
  <c r="E938" i="5"/>
  <c r="F938" i="5"/>
  <c r="H938" i="5"/>
  <c r="I938" i="5"/>
  <c r="N938" i="5"/>
  <c r="R938" i="5"/>
  <c r="Q938" i="5" s="1"/>
  <c r="S938" i="5" s="1"/>
  <c r="T938" i="5"/>
  <c r="B939" i="5"/>
  <c r="C939" i="5"/>
  <c r="D939" i="5"/>
  <c r="L939" i="5" s="1"/>
  <c r="E939" i="5"/>
  <c r="F939" i="5"/>
  <c r="H939" i="5"/>
  <c r="I939" i="5"/>
  <c r="N939" i="5"/>
  <c r="R939" i="5"/>
  <c r="Q939" i="5" s="1"/>
  <c r="T939" i="5"/>
  <c r="B940" i="5"/>
  <c r="C940" i="5"/>
  <c r="D940" i="5"/>
  <c r="L940" i="5" s="1"/>
  <c r="E940" i="5"/>
  <c r="F940" i="5"/>
  <c r="H940" i="5"/>
  <c r="I940" i="5"/>
  <c r="N940" i="5"/>
  <c r="R940" i="5"/>
  <c r="Q940" i="5" s="1"/>
  <c r="S940" i="5" s="1"/>
  <c r="T940" i="5"/>
  <c r="B941" i="5"/>
  <c r="C941" i="5"/>
  <c r="D941" i="5"/>
  <c r="E941" i="5"/>
  <c r="F941" i="5"/>
  <c r="H941" i="5"/>
  <c r="I941" i="5"/>
  <c r="L941" i="5"/>
  <c r="N941" i="5"/>
  <c r="R941" i="5"/>
  <c r="Q941" i="5" s="1"/>
  <c r="S941" i="5" s="1"/>
  <c r="T941" i="5"/>
  <c r="B942" i="5"/>
  <c r="C942" i="5"/>
  <c r="L942" i="5" s="1"/>
  <c r="D942" i="5"/>
  <c r="E942" i="5"/>
  <c r="F942" i="5"/>
  <c r="H942" i="5"/>
  <c r="I942" i="5"/>
  <c r="N942" i="5"/>
  <c r="R942" i="5"/>
  <c r="Q942" i="5" s="1"/>
  <c r="S942" i="5"/>
  <c r="T942" i="5"/>
  <c r="B943" i="5"/>
  <c r="C943" i="5"/>
  <c r="D943" i="5"/>
  <c r="E943" i="5"/>
  <c r="F943" i="5"/>
  <c r="H943" i="5"/>
  <c r="I943" i="5"/>
  <c r="N943" i="5"/>
  <c r="Q943" i="5"/>
  <c r="S943" i="5" s="1"/>
  <c r="R943" i="5"/>
  <c r="T943" i="5"/>
  <c r="B944" i="5"/>
  <c r="C944" i="5"/>
  <c r="L944" i="5" s="1"/>
  <c r="D944" i="5"/>
  <c r="E944" i="5"/>
  <c r="F944" i="5"/>
  <c r="H944" i="5"/>
  <c r="I944" i="5"/>
  <c r="N944" i="5"/>
  <c r="R944" i="5"/>
  <c r="Q944" i="5" s="1"/>
  <c r="S944" i="5"/>
  <c r="T944" i="5"/>
  <c r="B945" i="5"/>
  <c r="C945" i="5"/>
  <c r="D945" i="5"/>
  <c r="E945" i="5"/>
  <c r="F945" i="5"/>
  <c r="H945" i="5"/>
  <c r="I945" i="5"/>
  <c r="L945" i="5" s="1"/>
  <c r="N945" i="5"/>
  <c r="Q945" i="5"/>
  <c r="S945" i="5" s="1"/>
  <c r="R945" i="5"/>
  <c r="T945" i="5"/>
  <c r="B946" i="5"/>
  <c r="C946" i="5"/>
  <c r="D946" i="5"/>
  <c r="E946" i="5"/>
  <c r="F946" i="5"/>
  <c r="H946" i="5"/>
  <c r="I946" i="5"/>
  <c r="N946" i="5"/>
  <c r="Q946" i="5"/>
  <c r="S946" i="5" s="1"/>
  <c r="R946" i="5"/>
  <c r="T946" i="5"/>
  <c r="B947" i="5"/>
  <c r="C947" i="5"/>
  <c r="D947" i="5"/>
  <c r="E947" i="5"/>
  <c r="F947" i="5"/>
  <c r="H947" i="5"/>
  <c r="I947" i="5"/>
  <c r="L947" i="5"/>
  <c r="N947" i="5"/>
  <c r="R947" i="5"/>
  <c r="Q947" i="5" s="1"/>
  <c r="S947" i="5" s="1"/>
  <c r="T947" i="5"/>
  <c r="B948" i="5"/>
  <c r="C948" i="5"/>
  <c r="D948" i="5"/>
  <c r="E948" i="5"/>
  <c r="F948" i="5"/>
  <c r="H948" i="5"/>
  <c r="I948" i="5"/>
  <c r="L948" i="5"/>
  <c r="N948" i="5"/>
  <c r="R948" i="5"/>
  <c r="Q948" i="5" s="1"/>
  <c r="S948" i="5" s="1"/>
  <c r="T948" i="5"/>
  <c r="B949" i="5"/>
  <c r="C949" i="5"/>
  <c r="D949" i="5"/>
  <c r="E949" i="5"/>
  <c r="F949" i="5"/>
  <c r="H949" i="5"/>
  <c r="L949" i="5" s="1"/>
  <c r="I949" i="5"/>
  <c r="N949" i="5"/>
  <c r="R949" i="5"/>
  <c r="Q949" i="5" s="1"/>
  <c r="S949" i="5" s="1"/>
  <c r="T949" i="5"/>
  <c r="B950" i="5"/>
  <c r="C950" i="5"/>
  <c r="L950" i="5" s="1"/>
  <c r="D950" i="5"/>
  <c r="E950" i="5"/>
  <c r="F950" i="5"/>
  <c r="H950" i="5"/>
  <c r="I950" i="5"/>
  <c r="N950" i="5"/>
  <c r="R950" i="5"/>
  <c r="Q950" i="5" s="1"/>
  <c r="T950" i="5"/>
  <c r="B951" i="5"/>
  <c r="C951" i="5"/>
  <c r="D951" i="5"/>
  <c r="E951" i="5"/>
  <c r="F951" i="5"/>
  <c r="H951" i="5"/>
  <c r="L951" i="5" s="1"/>
  <c r="I951" i="5"/>
  <c r="N951" i="5"/>
  <c r="Q951" i="5"/>
  <c r="R951" i="5"/>
  <c r="S951" i="5"/>
  <c r="T951" i="5"/>
  <c r="B952" i="5"/>
  <c r="C952" i="5"/>
  <c r="L952" i="5" s="1"/>
  <c r="D952" i="5"/>
  <c r="E952" i="5"/>
  <c r="F952" i="5"/>
  <c r="H952" i="5"/>
  <c r="I952" i="5"/>
  <c r="N952" i="5"/>
  <c r="Q952" i="5"/>
  <c r="S952" i="5" s="1"/>
  <c r="R952" i="5"/>
  <c r="T952" i="5"/>
  <c r="B953" i="5"/>
  <c r="C953" i="5"/>
  <c r="D953" i="5"/>
  <c r="E953" i="5"/>
  <c r="F953" i="5"/>
  <c r="H953" i="5"/>
  <c r="I953" i="5"/>
  <c r="N953" i="5"/>
  <c r="Q953" i="5"/>
  <c r="R953" i="5"/>
  <c r="S953" i="5"/>
  <c r="T953" i="5"/>
  <c r="B954" i="5"/>
  <c r="C954" i="5"/>
  <c r="D954" i="5"/>
  <c r="E954" i="5"/>
  <c r="F954" i="5"/>
  <c r="H954" i="5"/>
  <c r="I954" i="5"/>
  <c r="L954" i="5"/>
  <c r="N954" i="5"/>
  <c r="Q954" i="5"/>
  <c r="S954" i="5" s="1"/>
  <c r="R954" i="5"/>
  <c r="T954" i="5"/>
  <c r="B955" i="5"/>
  <c r="C955" i="5"/>
  <c r="D955" i="5"/>
  <c r="E955" i="5"/>
  <c r="F955" i="5"/>
  <c r="H955" i="5"/>
  <c r="I955" i="5"/>
  <c r="N955" i="5"/>
  <c r="R955" i="5"/>
  <c r="Q955" i="5" s="1"/>
  <c r="S955" i="5"/>
  <c r="T955" i="5"/>
  <c r="B956" i="5"/>
  <c r="C956" i="5"/>
  <c r="D956" i="5"/>
  <c r="E956" i="5"/>
  <c r="F956" i="5"/>
  <c r="H956" i="5"/>
  <c r="I956" i="5"/>
  <c r="L956" i="5" s="1"/>
  <c r="N956" i="5"/>
  <c r="R956" i="5"/>
  <c r="Q956" i="5" s="1"/>
  <c r="S956" i="5" s="1"/>
  <c r="T956" i="5"/>
  <c r="B957" i="5"/>
  <c r="C957" i="5"/>
  <c r="D957" i="5"/>
  <c r="E957" i="5"/>
  <c r="F957" i="5"/>
  <c r="H957" i="5"/>
  <c r="I957" i="5"/>
  <c r="N957" i="5"/>
  <c r="R957" i="5"/>
  <c r="Q957" i="5" s="1"/>
  <c r="S957" i="5"/>
  <c r="T957" i="5"/>
  <c r="B958" i="5"/>
  <c r="C958" i="5"/>
  <c r="L958" i="5" s="1"/>
  <c r="D958" i="5"/>
  <c r="E958" i="5"/>
  <c r="F958" i="5"/>
  <c r="H958" i="5"/>
  <c r="I958" i="5"/>
  <c r="N958" i="5"/>
  <c r="R958" i="5"/>
  <c r="Q958" i="5" s="1"/>
  <c r="S958" i="5" s="1"/>
  <c r="T958" i="5"/>
  <c r="B959" i="5"/>
  <c r="C959" i="5"/>
  <c r="D959" i="5"/>
  <c r="E959" i="5"/>
  <c r="F959" i="5"/>
  <c r="H959" i="5"/>
  <c r="I959" i="5"/>
  <c r="N959" i="5"/>
  <c r="Q959" i="5"/>
  <c r="R959" i="5"/>
  <c r="S959" i="5"/>
  <c r="T959" i="5"/>
  <c r="B960" i="5"/>
  <c r="C960" i="5"/>
  <c r="L960" i="5" s="1"/>
  <c r="D960" i="5"/>
  <c r="E960" i="5"/>
  <c r="F960" i="5"/>
  <c r="H960" i="5"/>
  <c r="I960" i="5"/>
  <c r="N960" i="5"/>
  <c r="R960" i="5"/>
  <c r="Q960" i="5" s="1"/>
  <c r="S960" i="5" s="1"/>
  <c r="T960" i="5"/>
  <c r="B961" i="5"/>
  <c r="C961" i="5"/>
  <c r="L961" i="5" s="1"/>
  <c r="D961" i="5"/>
  <c r="E961" i="5"/>
  <c r="F961" i="5"/>
  <c r="H961" i="5"/>
  <c r="I961" i="5"/>
  <c r="N961" i="5"/>
  <c r="Q961" i="5"/>
  <c r="R961" i="5"/>
  <c r="S961" i="5"/>
  <c r="T961" i="5"/>
  <c r="B962" i="5"/>
  <c r="C962" i="5"/>
  <c r="D962" i="5"/>
  <c r="E962" i="5"/>
  <c r="F962" i="5"/>
  <c r="H962" i="5"/>
  <c r="I962" i="5"/>
  <c r="N962" i="5"/>
  <c r="R962" i="5"/>
  <c r="Q962" i="5" s="1"/>
  <c r="S962" i="5" s="1"/>
  <c r="T962" i="5"/>
  <c r="B963" i="5"/>
  <c r="C963" i="5"/>
  <c r="D963" i="5"/>
  <c r="E963" i="5"/>
  <c r="F963" i="5"/>
  <c r="H963" i="5"/>
  <c r="I963" i="5"/>
  <c r="N963" i="5"/>
  <c r="Q963" i="5"/>
  <c r="R963" i="5"/>
  <c r="T963" i="5"/>
  <c r="B964" i="5"/>
  <c r="C964" i="5"/>
  <c r="D964" i="5"/>
  <c r="E964" i="5"/>
  <c r="F964" i="5"/>
  <c r="L964" i="5" s="1"/>
  <c r="H964" i="5"/>
  <c r="I964" i="5"/>
  <c r="N964" i="5"/>
  <c r="R964" i="5"/>
  <c r="Q964" i="5" s="1"/>
  <c r="S964" i="5" s="1"/>
  <c r="T964" i="5"/>
  <c r="B965" i="5"/>
  <c r="C965" i="5"/>
  <c r="L965" i="5" s="1"/>
  <c r="D965" i="5"/>
  <c r="E965" i="5"/>
  <c r="F965" i="5"/>
  <c r="H965" i="5"/>
  <c r="I965" i="5"/>
  <c r="N965" i="5"/>
  <c r="Q965" i="5"/>
  <c r="S965" i="5" s="1"/>
  <c r="R965" i="5"/>
  <c r="T965" i="5"/>
  <c r="B966" i="5"/>
  <c r="C966" i="5"/>
  <c r="D966" i="5"/>
  <c r="E966" i="5"/>
  <c r="F966" i="5"/>
  <c r="H966" i="5"/>
  <c r="I966" i="5"/>
  <c r="N966" i="5"/>
  <c r="R966" i="5"/>
  <c r="Q966" i="5" s="1"/>
  <c r="S966" i="5"/>
  <c r="T966" i="5"/>
  <c r="B967" i="5"/>
  <c r="C967" i="5"/>
  <c r="L967" i="5" s="1"/>
  <c r="D967" i="5"/>
  <c r="E967" i="5"/>
  <c r="F967" i="5"/>
  <c r="H967" i="5"/>
  <c r="I967" i="5"/>
  <c r="N967" i="5"/>
  <c r="Q967" i="5"/>
  <c r="R967" i="5"/>
  <c r="S967" i="5"/>
  <c r="T967" i="5"/>
  <c r="B968" i="5"/>
  <c r="C968" i="5"/>
  <c r="D968" i="5"/>
  <c r="E968" i="5"/>
  <c r="F968" i="5"/>
  <c r="H968" i="5"/>
  <c r="I968" i="5"/>
  <c r="N968" i="5"/>
  <c r="R968" i="5"/>
  <c r="Q968" i="5" s="1"/>
  <c r="S968" i="5" s="1"/>
  <c r="T968" i="5"/>
  <c r="B969" i="5"/>
  <c r="C969" i="5"/>
  <c r="D969" i="5"/>
  <c r="E969" i="5"/>
  <c r="L969" i="5" s="1"/>
  <c r="F969" i="5"/>
  <c r="H969" i="5"/>
  <c r="I969" i="5"/>
  <c r="N969" i="5"/>
  <c r="Q969" i="5"/>
  <c r="R969" i="5"/>
  <c r="S969" i="5"/>
  <c r="T969" i="5"/>
  <c r="B970" i="5"/>
  <c r="C970" i="5"/>
  <c r="D970" i="5"/>
  <c r="E970" i="5"/>
  <c r="F970" i="5"/>
  <c r="H970" i="5"/>
  <c r="I970" i="5"/>
  <c r="N970" i="5"/>
  <c r="R970" i="5"/>
  <c r="Q970" i="5" s="1"/>
  <c r="S970" i="5" s="1"/>
  <c r="T970" i="5"/>
  <c r="B971" i="5"/>
  <c r="C971" i="5"/>
  <c r="D971" i="5"/>
  <c r="E971" i="5"/>
  <c r="F971" i="5"/>
  <c r="H971" i="5"/>
  <c r="I971" i="5"/>
  <c r="L971" i="5"/>
  <c r="N971" i="5"/>
  <c r="R971" i="5"/>
  <c r="Q971" i="5" s="1"/>
  <c r="S971" i="5" s="1"/>
  <c r="T971" i="5"/>
  <c r="B972" i="5"/>
  <c r="C972" i="5"/>
  <c r="D972" i="5"/>
  <c r="L972" i="5" s="1"/>
  <c r="E972" i="5"/>
  <c r="F972" i="5"/>
  <c r="H972" i="5"/>
  <c r="I972" i="5"/>
  <c r="N972" i="5"/>
  <c r="R972" i="5"/>
  <c r="Q972" i="5" s="1"/>
  <c r="S972" i="5" s="1"/>
  <c r="T972" i="5"/>
  <c r="B973" i="5"/>
  <c r="C973" i="5"/>
  <c r="D973" i="5"/>
  <c r="E973" i="5"/>
  <c r="F973" i="5"/>
  <c r="H973" i="5"/>
  <c r="I973" i="5"/>
  <c r="L973" i="5"/>
  <c r="N973" i="5"/>
  <c r="Q973" i="5"/>
  <c r="S973" i="5" s="1"/>
  <c r="R973" i="5"/>
  <c r="T973" i="5"/>
  <c r="B974" i="5"/>
  <c r="C974" i="5"/>
  <c r="D974" i="5"/>
  <c r="E974" i="5"/>
  <c r="F974" i="5"/>
  <c r="H974" i="5"/>
  <c r="I974" i="5"/>
  <c r="N974" i="5"/>
  <c r="R974" i="5"/>
  <c r="Q974" i="5" s="1"/>
  <c r="S974" i="5" s="1"/>
  <c r="T974" i="5"/>
  <c r="B975" i="5"/>
  <c r="C975" i="5"/>
  <c r="L975" i="5" s="1"/>
  <c r="D975" i="5"/>
  <c r="E975" i="5"/>
  <c r="F975" i="5"/>
  <c r="H975" i="5"/>
  <c r="I975" i="5"/>
  <c r="N975" i="5"/>
  <c r="Q975" i="5"/>
  <c r="R975" i="5"/>
  <c r="T975" i="5"/>
  <c r="B976" i="5"/>
  <c r="C976" i="5"/>
  <c r="D976" i="5"/>
  <c r="E976" i="5"/>
  <c r="F976" i="5"/>
  <c r="H976" i="5"/>
  <c r="I976" i="5"/>
  <c r="N976" i="5"/>
  <c r="R976" i="5"/>
  <c r="Q976" i="5" s="1"/>
  <c r="S976" i="5" s="1"/>
  <c r="T976" i="5"/>
  <c r="B977" i="5"/>
  <c r="C977" i="5"/>
  <c r="D977" i="5"/>
  <c r="E977" i="5"/>
  <c r="L977" i="5" s="1"/>
  <c r="F977" i="5"/>
  <c r="H977" i="5"/>
  <c r="I977" i="5"/>
  <c r="N977" i="5"/>
  <c r="Q977" i="5"/>
  <c r="R977" i="5"/>
  <c r="S977" i="5"/>
  <c r="T977" i="5"/>
  <c r="B978" i="5"/>
  <c r="C978" i="5"/>
  <c r="D978" i="5"/>
  <c r="E978" i="5"/>
  <c r="F978" i="5"/>
  <c r="H978" i="5"/>
  <c r="I978" i="5"/>
  <c r="N978" i="5"/>
  <c r="R978" i="5"/>
  <c r="Q978" i="5" s="1"/>
  <c r="S978" i="5" s="1"/>
  <c r="T978" i="5"/>
  <c r="B979" i="5"/>
  <c r="C979" i="5"/>
  <c r="L979" i="5" s="1"/>
  <c r="D979" i="5"/>
  <c r="E979" i="5"/>
  <c r="F979" i="5"/>
  <c r="H979" i="5"/>
  <c r="I979" i="5"/>
  <c r="N979" i="5"/>
  <c r="R979" i="5"/>
  <c r="Q979" i="5" s="1"/>
  <c r="S979" i="5"/>
  <c r="T979" i="5"/>
  <c r="B980" i="5"/>
  <c r="C980" i="5"/>
  <c r="D980" i="5"/>
  <c r="E980" i="5"/>
  <c r="F980" i="5"/>
  <c r="H980" i="5"/>
  <c r="I980" i="5"/>
  <c r="N980" i="5"/>
  <c r="R980" i="5"/>
  <c r="Q980" i="5" s="1"/>
  <c r="S980" i="5" s="1"/>
  <c r="T980" i="5"/>
  <c r="B981" i="5"/>
  <c r="C981" i="5"/>
  <c r="L981" i="5" s="1"/>
  <c r="D981" i="5"/>
  <c r="E981" i="5"/>
  <c r="F981" i="5"/>
  <c r="H981" i="5"/>
  <c r="I981" i="5"/>
  <c r="N981" i="5"/>
  <c r="R981" i="5"/>
  <c r="Q981" i="5" s="1"/>
  <c r="S981" i="5" s="1"/>
  <c r="T981" i="5"/>
  <c r="B982" i="5"/>
  <c r="C982" i="5"/>
  <c r="D982" i="5"/>
  <c r="E982" i="5"/>
  <c r="F982" i="5"/>
  <c r="H982" i="5"/>
  <c r="I982" i="5"/>
  <c r="N982" i="5"/>
  <c r="Q982" i="5"/>
  <c r="S982" i="5" s="1"/>
  <c r="R982" i="5"/>
  <c r="T982" i="5"/>
  <c r="B983" i="5"/>
  <c r="C983" i="5"/>
  <c r="L983" i="5" s="1"/>
  <c r="D983" i="5"/>
  <c r="E983" i="5"/>
  <c r="F983" i="5"/>
  <c r="H983" i="5"/>
  <c r="I983" i="5"/>
  <c r="N983" i="5"/>
  <c r="Q983" i="5"/>
  <c r="R983" i="5"/>
  <c r="S983" i="5"/>
  <c r="T983" i="5"/>
  <c r="B984" i="5"/>
  <c r="C984" i="5"/>
  <c r="D984" i="5"/>
  <c r="E984" i="5"/>
  <c r="F984" i="5"/>
  <c r="H984" i="5"/>
  <c r="I984" i="5"/>
  <c r="L984" i="5" s="1"/>
  <c r="N984" i="5"/>
  <c r="Q984" i="5"/>
  <c r="R984" i="5"/>
  <c r="S984" i="5"/>
  <c r="T984" i="5"/>
  <c r="B985" i="5"/>
  <c r="C985" i="5"/>
  <c r="L985" i="5" s="1"/>
  <c r="D985" i="5"/>
  <c r="E985" i="5"/>
  <c r="F985" i="5"/>
  <c r="H985" i="5"/>
  <c r="I985" i="5"/>
  <c r="N985" i="5"/>
  <c r="R985" i="5"/>
  <c r="Q985" i="5" s="1"/>
  <c r="S985" i="5" s="1"/>
  <c r="T985" i="5"/>
  <c r="B986" i="5"/>
  <c r="C986" i="5"/>
  <c r="D986" i="5"/>
  <c r="E986" i="5"/>
  <c r="F986" i="5"/>
  <c r="H986" i="5"/>
  <c r="I986" i="5"/>
  <c r="N986" i="5"/>
  <c r="Q986" i="5"/>
  <c r="S986" i="5" s="1"/>
  <c r="R986" i="5"/>
  <c r="T986" i="5"/>
  <c r="B987" i="5"/>
  <c r="C987" i="5"/>
  <c r="L987" i="5" s="1"/>
  <c r="D987" i="5"/>
  <c r="E987" i="5"/>
  <c r="F987" i="5"/>
  <c r="H987" i="5"/>
  <c r="I987" i="5"/>
  <c r="N987" i="5"/>
  <c r="Q987" i="5"/>
  <c r="S987" i="5" s="1"/>
  <c r="R987" i="5"/>
  <c r="T987" i="5"/>
  <c r="B988" i="5"/>
  <c r="C988" i="5"/>
  <c r="D988" i="5"/>
  <c r="E988" i="5"/>
  <c r="F988" i="5"/>
  <c r="H988" i="5"/>
  <c r="I988" i="5"/>
  <c r="N988" i="5"/>
  <c r="R988" i="5"/>
  <c r="Q988" i="5" s="1"/>
  <c r="S988" i="5" s="1"/>
  <c r="T988" i="5"/>
  <c r="B989" i="5"/>
  <c r="C989" i="5"/>
  <c r="D989" i="5"/>
  <c r="E989" i="5"/>
  <c r="F989" i="5"/>
  <c r="H989" i="5"/>
  <c r="L989" i="5" s="1"/>
  <c r="I989" i="5"/>
  <c r="N989" i="5"/>
  <c r="R989" i="5"/>
  <c r="Q989" i="5" s="1"/>
  <c r="S989" i="5" s="1"/>
  <c r="T989" i="5"/>
  <c r="B990" i="5"/>
  <c r="C990" i="5"/>
  <c r="D990" i="5"/>
  <c r="E990" i="5"/>
  <c r="F990" i="5"/>
  <c r="H990" i="5"/>
  <c r="I990" i="5"/>
  <c r="N990" i="5"/>
  <c r="Q990" i="5"/>
  <c r="R990" i="5"/>
  <c r="S990" i="5"/>
  <c r="T990" i="5"/>
  <c r="B991" i="5"/>
  <c r="C991" i="5"/>
  <c r="D991" i="5"/>
  <c r="E991" i="5"/>
  <c r="F991" i="5"/>
  <c r="H991" i="5"/>
  <c r="I991" i="5"/>
  <c r="L991" i="5"/>
  <c r="N991" i="5"/>
  <c r="Q991" i="5"/>
  <c r="R991" i="5"/>
  <c r="S991" i="5"/>
  <c r="T991" i="5"/>
  <c r="B992" i="5"/>
  <c r="C992" i="5"/>
  <c r="L992" i="5" s="1"/>
  <c r="D992" i="5"/>
  <c r="E992" i="5"/>
  <c r="F992" i="5"/>
  <c r="H992" i="5"/>
  <c r="I992" i="5"/>
  <c r="N992" i="5"/>
  <c r="R992" i="5"/>
  <c r="Q992" i="5" s="1"/>
  <c r="S992" i="5" s="1"/>
  <c r="T992" i="5"/>
  <c r="B993" i="5"/>
  <c r="C993" i="5"/>
  <c r="D993" i="5"/>
  <c r="E993" i="5"/>
  <c r="F993" i="5"/>
  <c r="H993" i="5"/>
  <c r="I993" i="5"/>
  <c r="N993" i="5"/>
  <c r="Q993" i="5"/>
  <c r="R993" i="5"/>
  <c r="S993" i="5"/>
  <c r="T993" i="5"/>
  <c r="B994" i="5"/>
  <c r="C994" i="5"/>
  <c r="D994" i="5"/>
  <c r="E994" i="5"/>
  <c r="F994" i="5"/>
  <c r="H994" i="5"/>
  <c r="I994" i="5"/>
  <c r="L994" i="5"/>
  <c r="N994" i="5"/>
  <c r="R994" i="5"/>
  <c r="Q994" i="5" s="1"/>
  <c r="S994" i="5" s="1"/>
  <c r="T994" i="5"/>
  <c r="B995" i="5"/>
  <c r="C995" i="5"/>
  <c r="D995" i="5"/>
  <c r="E995" i="5"/>
  <c r="F995" i="5"/>
  <c r="H995" i="5"/>
  <c r="I995" i="5"/>
  <c r="N995" i="5"/>
  <c r="R995" i="5"/>
  <c r="Q995" i="5" s="1"/>
  <c r="S995" i="5" s="1"/>
  <c r="T995" i="5"/>
  <c r="B996" i="5"/>
  <c r="C996" i="5"/>
  <c r="D996" i="5"/>
  <c r="E996" i="5"/>
  <c r="L996" i="5" s="1"/>
  <c r="F996" i="5"/>
  <c r="H996" i="5"/>
  <c r="I996" i="5"/>
  <c r="N996" i="5"/>
  <c r="R996" i="5"/>
  <c r="Q996" i="5" s="1"/>
  <c r="S996" i="5" s="1"/>
  <c r="T996" i="5"/>
  <c r="B997" i="5"/>
  <c r="C997" i="5"/>
  <c r="D997" i="5"/>
  <c r="E997" i="5"/>
  <c r="F997" i="5"/>
  <c r="H997" i="5"/>
  <c r="I997" i="5"/>
  <c r="L997" i="5"/>
  <c r="N997" i="5"/>
  <c r="R997" i="5"/>
  <c r="Q997" i="5" s="1"/>
  <c r="S997" i="5" s="1"/>
  <c r="T997" i="5"/>
  <c r="B998" i="5"/>
  <c r="C998" i="5"/>
  <c r="D998" i="5"/>
  <c r="E998" i="5"/>
  <c r="F998" i="5"/>
  <c r="H998" i="5"/>
  <c r="I998" i="5"/>
  <c r="N998" i="5"/>
  <c r="Q998" i="5"/>
  <c r="R998" i="5"/>
  <c r="S998" i="5"/>
  <c r="T998" i="5"/>
  <c r="B999" i="5"/>
  <c r="C999" i="5"/>
  <c r="D999" i="5"/>
  <c r="E999" i="5"/>
  <c r="F999" i="5"/>
  <c r="H999" i="5"/>
  <c r="I999" i="5"/>
  <c r="L999" i="5" s="1"/>
  <c r="N999" i="5"/>
  <c r="Q999" i="5"/>
  <c r="S999" i="5" s="1"/>
  <c r="R999" i="5"/>
  <c r="T999" i="5"/>
  <c r="B1000" i="5"/>
  <c r="C1000" i="5"/>
  <c r="L1000" i="5" s="1"/>
  <c r="D1000" i="5"/>
  <c r="E1000" i="5"/>
  <c r="F1000" i="5"/>
  <c r="H1000" i="5"/>
  <c r="I1000" i="5"/>
  <c r="N1000" i="5"/>
  <c r="Q1000" i="5"/>
  <c r="S1000" i="5" s="1"/>
  <c r="R1000" i="5"/>
  <c r="T1000" i="5"/>
  <c r="B1001" i="5"/>
  <c r="C1001" i="5"/>
  <c r="D1001" i="5"/>
  <c r="E1001" i="5"/>
  <c r="F1001" i="5"/>
  <c r="H1001" i="5"/>
  <c r="I1001" i="5"/>
  <c r="N1001" i="5"/>
  <c r="R1001" i="5"/>
  <c r="Q1001" i="5" s="1"/>
  <c r="S1001" i="5" s="1"/>
  <c r="T1001" i="5"/>
  <c r="B1002" i="5"/>
  <c r="C1002" i="5"/>
  <c r="L1002" i="5" s="1"/>
  <c r="D1002" i="5"/>
  <c r="E1002" i="5"/>
  <c r="F1002" i="5"/>
  <c r="H1002" i="5"/>
  <c r="I1002" i="5"/>
  <c r="N1002" i="5"/>
  <c r="Q1002" i="5"/>
  <c r="S1002" i="5" s="1"/>
  <c r="R1002" i="5"/>
  <c r="T1002" i="5"/>
  <c r="B1003" i="5"/>
  <c r="C1003" i="5"/>
  <c r="D1003" i="5"/>
  <c r="E1003" i="5"/>
  <c r="F1003" i="5"/>
  <c r="H1003" i="5"/>
  <c r="L1003" i="5" s="1"/>
  <c r="I1003" i="5"/>
  <c r="N1003" i="5"/>
  <c r="Q1003" i="5"/>
  <c r="R1003" i="5"/>
  <c r="S1003" i="5"/>
  <c r="T1003" i="5"/>
  <c r="B1004" i="5"/>
  <c r="C1004" i="5"/>
  <c r="D1004" i="5"/>
  <c r="L1004" i="5" s="1"/>
  <c r="E1004" i="5"/>
  <c r="F1004" i="5"/>
  <c r="H1004" i="5"/>
  <c r="I1004" i="5"/>
  <c r="N1004" i="5"/>
  <c r="R1004" i="5"/>
  <c r="Q1004" i="5" s="1"/>
  <c r="S1004" i="5" s="1"/>
  <c r="T1004" i="5"/>
  <c r="B1005" i="5"/>
  <c r="C1005" i="5"/>
  <c r="D1005" i="5"/>
  <c r="E1005" i="5"/>
  <c r="F1005" i="5"/>
  <c r="H1005" i="5"/>
  <c r="I1005" i="5"/>
  <c r="N1005" i="5"/>
  <c r="R1005" i="5"/>
  <c r="Q1005" i="5" s="1"/>
  <c r="S1005" i="5"/>
  <c r="T1005" i="5"/>
  <c r="B1006" i="5"/>
  <c r="C1006" i="5"/>
  <c r="L1006" i="5" s="1"/>
  <c r="D1006" i="5"/>
  <c r="E1006" i="5"/>
  <c r="F1006" i="5"/>
  <c r="H1006" i="5"/>
  <c r="I1006" i="5"/>
  <c r="N1006" i="5"/>
  <c r="R1006" i="5"/>
  <c r="Q1006" i="5" s="1"/>
  <c r="S1006" i="5" s="1"/>
  <c r="T1006" i="5"/>
  <c r="B1007" i="5"/>
  <c r="C1007" i="5"/>
  <c r="D1007" i="5"/>
  <c r="E1007" i="5"/>
  <c r="F1007" i="5"/>
  <c r="H1007" i="5"/>
  <c r="I1007" i="5"/>
  <c r="N1007" i="5"/>
  <c r="Q1007" i="5"/>
  <c r="S1007" i="5" s="1"/>
  <c r="R1007" i="5"/>
  <c r="T1007" i="5"/>
  <c r="B1008" i="5"/>
  <c r="C1008" i="5"/>
  <c r="D1008" i="5"/>
  <c r="E1008" i="5"/>
  <c r="F1008" i="5"/>
  <c r="L1008" i="5" s="1"/>
  <c r="H1008" i="5"/>
  <c r="I1008" i="5"/>
  <c r="N1008" i="5"/>
  <c r="R1008" i="5"/>
  <c r="Q1008" i="5" s="1"/>
  <c r="S1008" i="5" s="1"/>
  <c r="T1008" i="5"/>
  <c r="B1009" i="5"/>
  <c r="C1009" i="5"/>
  <c r="D1009" i="5"/>
  <c r="E1009" i="5"/>
  <c r="F1009" i="5"/>
  <c r="H1009" i="5"/>
  <c r="I1009" i="5"/>
  <c r="N1009" i="5"/>
  <c r="R1009" i="5"/>
  <c r="Q1009" i="5" s="1"/>
  <c r="S1009" i="5" s="1"/>
  <c r="T1009" i="5"/>
  <c r="B1010" i="5"/>
  <c r="C1010" i="5"/>
  <c r="D1010" i="5"/>
  <c r="E1010" i="5"/>
  <c r="F1010" i="5"/>
  <c r="H1010" i="5"/>
  <c r="I1010" i="5"/>
  <c r="N1010" i="5"/>
  <c r="R1010" i="5"/>
  <c r="Q1010" i="5" s="1"/>
  <c r="S1010" i="5" s="1"/>
  <c r="T1010" i="5"/>
  <c r="B1011" i="5"/>
  <c r="C1011" i="5"/>
  <c r="D1011" i="5"/>
  <c r="E1011" i="5"/>
  <c r="F1011" i="5"/>
  <c r="H1011" i="5"/>
  <c r="I1011" i="5"/>
  <c r="N1011" i="5"/>
  <c r="R1011" i="5"/>
  <c r="Q1011" i="5" s="1"/>
  <c r="S1011" i="5" s="1"/>
  <c r="T1011" i="5"/>
  <c r="B1012" i="5"/>
  <c r="C1012" i="5"/>
  <c r="D1012" i="5"/>
  <c r="E1012" i="5"/>
  <c r="F1012" i="5"/>
  <c r="H1012" i="5"/>
  <c r="I1012" i="5"/>
  <c r="N1012" i="5"/>
  <c r="R1012" i="5"/>
  <c r="Q1012" i="5" s="1"/>
  <c r="S1012" i="5"/>
  <c r="T1012" i="5"/>
  <c r="B1013" i="5"/>
  <c r="C1013" i="5"/>
  <c r="L1013" i="5" s="1"/>
  <c r="D1013" i="5"/>
  <c r="E1013" i="5"/>
  <c r="F1013" i="5"/>
  <c r="H1013" i="5"/>
  <c r="I1013" i="5"/>
  <c r="N1013" i="5"/>
  <c r="Q1013" i="5"/>
  <c r="S1013" i="5" s="1"/>
  <c r="R1013" i="5"/>
  <c r="T1013" i="5"/>
  <c r="B1014" i="5"/>
  <c r="C1014" i="5"/>
  <c r="D1014" i="5"/>
  <c r="E1014" i="5"/>
  <c r="F1014" i="5"/>
  <c r="H1014" i="5"/>
  <c r="I1014" i="5"/>
  <c r="N1014" i="5"/>
  <c r="Q1014" i="5"/>
  <c r="S1014" i="5" s="1"/>
  <c r="R1014" i="5"/>
  <c r="T1014" i="5"/>
  <c r="B1015" i="5"/>
  <c r="C1015" i="5"/>
  <c r="D1015" i="5"/>
  <c r="E1015" i="5"/>
  <c r="F1015" i="5"/>
  <c r="L1015" i="5" s="1"/>
  <c r="H1015" i="5"/>
  <c r="I1015" i="5"/>
  <c r="N1015" i="5"/>
  <c r="Q1015" i="5"/>
  <c r="R1015" i="5"/>
  <c r="S1015" i="5"/>
  <c r="T1015" i="5"/>
  <c r="B1016" i="5"/>
  <c r="C1016" i="5"/>
  <c r="D1016" i="5"/>
  <c r="E1016" i="5"/>
  <c r="L1016" i="5" s="1"/>
  <c r="F1016" i="5"/>
  <c r="H1016" i="5"/>
  <c r="I1016" i="5"/>
  <c r="N1016" i="5"/>
  <c r="Q1016" i="5"/>
  <c r="R1016" i="5"/>
  <c r="S1016" i="5"/>
  <c r="T1016" i="5"/>
  <c r="B1017" i="5"/>
  <c r="C1017" i="5"/>
  <c r="D1017" i="5"/>
  <c r="E1017" i="5"/>
  <c r="F1017" i="5"/>
  <c r="H1017" i="5"/>
  <c r="I1017" i="5"/>
  <c r="N1017" i="5"/>
  <c r="R1017" i="5"/>
  <c r="Q1017" i="5" s="1"/>
  <c r="S1017" i="5" s="1"/>
  <c r="T1017" i="5"/>
  <c r="B1018" i="5"/>
  <c r="C1018" i="5"/>
  <c r="D1018" i="5"/>
  <c r="E1018" i="5"/>
  <c r="F1018" i="5"/>
  <c r="H1018" i="5"/>
  <c r="I1018" i="5"/>
  <c r="L1018" i="5"/>
  <c r="N1018" i="5"/>
  <c r="Q1018" i="5"/>
  <c r="S1018" i="5" s="1"/>
  <c r="R1018" i="5"/>
  <c r="T1018" i="5"/>
  <c r="B1019" i="5"/>
  <c r="C1019" i="5"/>
  <c r="D1019" i="5"/>
  <c r="E1019" i="5"/>
  <c r="F1019" i="5"/>
  <c r="H1019" i="5"/>
  <c r="I1019" i="5"/>
  <c r="N1019" i="5"/>
  <c r="Q1019" i="5"/>
  <c r="S1019" i="5" s="1"/>
  <c r="R1019" i="5"/>
  <c r="T1019" i="5"/>
  <c r="B1020" i="5"/>
  <c r="C1020" i="5"/>
  <c r="D1020" i="5"/>
  <c r="E1020" i="5"/>
  <c r="F1020" i="5"/>
  <c r="H1020" i="5"/>
  <c r="I1020" i="5"/>
  <c r="L1020" i="5"/>
  <c r="N1020" i="5"/>
  <c r="R1020" i="5"/>
  <c r="Q1020" i="5" s="1"/>
  <c r="S1020" i="5"/>
  <c r="T1020" i="5"/>
  <c r="B1021" i="5"/>
  <c r="C1021" i="5"/>
  <c r="D1021" i="5"/>
  <c r="E1021" i="5"/>
  <c r="F1021" i="5"/>
  <c r="H1021" i="5"/>
  <c r="I1021" i="5"/>
  <c r="N1021" i="5"/>
  <c r="Q1021" i="5"/>
  <c r="S1021" i="5" s="1"/>
  <c r="R1021" i="5"/>
  <c r="T1021" i="5"/>
  <c r="B1022" i="5"/>
  <c r="C1022" i="5"/>
  <c r="D1022" i="5"/>
  <c r="E1022" i="5"/>
  <c r="F1022" i="5"/>
  <c r="H1022" i="5"/>
  <c r="I1022" i="5"/>
  <c r="N1022" i="5"/>
  <c r="R1022" i="5"/>
  <c r="Q1022" i="5" s="1"/>
  <c r="S1022" i="5" s="1"/>
  <c r="T1022" i="5"/>
  <c r="B1023" i="5"/>
  <c r="C1023" i="5"/>
  <c r="L1023" i="5" s="1"/>
  <c r="D1023" i="5"/>
  <c r="E1023" i="5"/>
  <c r="F1023" i="5"/>
  <c r="H1023" i="5"/>
  <c r="I1023" i="5"/>
  <c r="N1023" i="5"/>
  <c r="Q1023" i="5"/>
  <c r="R1023" i="5"/>
  <c r="S1023" i="5"/>
  <c r="T1023" i="5"/>
  <c r="B1024" i="5"/>
  <c r="C1024" i="5"/>
  <c r="D1024" i="5"/>
  <c r="E1024" i="5"/>
  <c r="F1024" i="5"/>
  <c r="H1024" i="5"/>
  <c r="I1024" i="5"/>
  <c r="N1024" i="5"/>
  <c r="R1024" i="5"/>
  <c r="Q1024" i="5" s="1"/>
  <c r="S1024" i="5" s="1"/>
  <c r="T1024" i="5"/>
  <c r="B1025" i="5"/>
  <c r="C1025" i="5"/>
  <c r="L1025" i="5" s="1"/>
  <c r="D1025" i="5"/>
  <c r="E1025" i="5"/>
  <c r="F1025" i="5"/>
  <c r="H1025" i="5"/>
  <c r="I1025" i="5"/>
  <c r="N1025" i="5"/>
  <c r="Q1025" i="5"/>
  <c r="S1025" i="5" s="1"/>
  <c r="R1025" i="5"/>
  <c r="T1025" i="5"/>
  <c r="B1026" i="5"/>
  <c r="C1026" i="5"/>
  <c r="L1026" i="5" s="1"/>
  <c r="D1026" i="5"/>
  <c r="E1026" i="5"/>
  <c r="F1026" i="5"/>
  <c r="H1026" i="5"/>
  <c r="I1026" i="5"/>
  <c r="N1026" i="5"/>
  <c r="R1026" i="5"/>
  <c r="Q1026" i="5" s="1"/>
  <c r="S1026" i="5" s="1"/>
  <c r="T1026" i="5"/>
  <c r="B1027" i="5"/>
  <c r="C1027" i="5"/>
  <c r="D1027" i="5"/>
  <c r="E1027" i="5"/>
  <c r="F1027" i="5"/>
  <c r="L1027" i="5" s="1"/>
  <c r="H1027" i="5"/>
  <c r="I1027" i="5"/>
  <c r="N1027" i="5"/>
  <c r="R1027" i="5"/>
  <c r="Q1027" i="5" s="1"/>
  <c r="S1027" i="5" s="1"/>
  <c r="T1027" i="5"/>
  <c r="B1028" i="5"/>
  <c r="C1028" i="5"/>
  <c r="D1028" i="5"/>
  <c r="E1028" i="5"/>
  <c r="F1028" i="5"/>
  <c r="H1028" i="5"/>
  <c r="I1028" i="5"/>
  <c r="L1028" i="5"/>
  <c r="N1028" i="5"/>
  <c r="R1028" i="5"/>
  <c r="Q1028" i="5" s="1"/>
  <c r="S1028" i="5" s="1"/>
  <c r="T1028" i="5"/>
  <c r="B1029" i="5"/>
  <c r="C1029" i="5"/>
  <c r="D1029" i="5"/>
  <c r="E1029" i="5"/>
  <c r="F1029" i="5"/>
  <c r="H1029" i="5"/>
  <c r="I1029" i="5"/>
  <c r="N1029" i="5"/>
  <c r="Q1029" i="5"/>
  <c r="R1029" i="5"/>
  <c r="S1029" i="5"/>
  <c r="T1029" i="5"/>
  <c r="B1030" i="5"/>
  <c r="C1030" i="5"/>
  <c r="D1030" i="5"/>
  <c r="E1030" i="5"/>
  <c r="F1030" i="5"/>
  <c r="H1030" i="5"/>
  <c r="I1030" i="5"/>
  <c r="N1030" i="5"/>
  <c r="Q1030" i="5"/>
  <c r="S1030" i="5" s="1"/>
  <c r="R1030" i="5"/>
  <c r="T1030" i="5"/>
  <c r="B1031" i="5"/>
  <c r="C1031" i="5"/>
  <c r="D1031" i="5"/>
  <c r="E1031" i="5"/>
  <c r="F1031" i="5"/>
  <c r="H1031" i="5"/>
  <c r="I1031" i="5"/>
  <c r="N1031" i="5"/>
  <c r="Q1031" i="5"/>
  <c r="R1031" i="5"/>
  <c r="S1031" i="5"/>
  <c r="T1031" i="5"/>
  <c r="B1032" i="5"/>
  <c r="C1032" i="5"/>
  <c r="D1032" i="5"/>
  <c r="E1032" i="5"/>
  <c r="F1032" i="5"/>
  <c r="H1032" i="5"/>
  <c r="I1032" i="5"/>
  <c r="L1032" i="5" s="1"/>
  <c r="N1032" i="5"/>
  <c r="Q1032" i="5"/>
  <c r="S1032" i="5" s="1"/>
  <c r="R1032" i="5"/>
  <c r="T1032" i="5"/>
  <c r="B1033" i="5"/>
  <c r="C1033" i="5"/>
  <c r="D1033" i="5"/>
  <c r="E1033" i="5"/>
  <c r="F1033" i="5"/>
  <c r="H1033" i="5"/>
  <c r="I1033" i="5"/>
  <c r="N1033" i="5"/>
  <c r="Q1033" i="5"/>
  <c r="R1033" i="5"/>
  <c r="S1033" i="5"/>
  <c r="T1033" i="5"/>
  <c r="B1034" i="5"/>
  <c r="C1034" i="5"/>
  <c r="D1034" i="5"/>
  <c r="E1034" i="5"/>
  <c r="F1034" i="5"/>
  <c r="H1034" i="5"/>
  <c r="I1034" i="5"/>
  <c r="L1034" i="5" s="1"/>
  <c r="N1034" i="5"/>
  <c r="Q1034" i="5"/>
  <c r="S1034" i="5" s="1"/>
  <c r="R1034" i="5"/>
  <c r="T1034" i="5"/>
  <c r="B1035" i="5"/>
  <c r="C1035" i="5"/>
  <c r="D1035" i="5"/>
  <c r="L1035" i="5" s="1"/>
  <c r="E1035" i="5"/>
  <c r="F1035" i="5"/>
  <c r="H1035" i="5"/>
  <c r="I1035" i="5"/>
  <c r="N1035" i="5"/>
  <c r="R1035" i="5"/>
  <c r="Q1035" i="5" s="1"/>
  <c r="S1035" i="5" s="1"/>
  <c r="T1035" i="5"/>
  <c r="B1036" i="5"/>
  <c r="C1036" i="5"/>
  <c r="D1036" i="5"/>
  <c r="E1036" i="5"/>
  <c r="F1036" i="5"/>
  <c r="H1036" i="5"/>
  <c r="I1036" i="5"/>
  <c r="N1036" i="5"/>
  <c r="R1036" i="5"/>
  <c r="Q1036" i="5" s="1"/>
  <c r="S1036" i="5"/>
  <c r="T1036" i="5"/>
  <c r="B1037" i="5"/>
  <c r="C1037" i="5"/>
  <c r="D1037" i="5"/>
  <c r="E1037" i="5"/>
  <c r="F1037" i="5"/>
  <c r="H1037" i="5"/>
  <c r="I1037" i="5"/>
  <c r="N1037" i="5"/>
  <c r="R1037" i="5"/>
  <c r="Q1037" i="5" s="1"/>
  <c r="S1037" i="5" s="1"/>
  <c r="T1037" i="5"/>
  <c r="B1038" i="5"/>
  <c r="C1038" i="5"/>
  <c r="D1038" i="5"/>
  <c r="E1038" i="5"/>
  <c r="F1038" i="5"/>
  <c r="H1038" i="5"/>
  <c r="I1038" i="5"/>
  <c r="N1038" i="5"/>
  <c r="R1038" i="5"/>
  <c r="Q1038" i="5" s="1"/>
  <c r="S1038" i="5" s="1"/>
  <c r="T1038" i="5"/>
  <c r="B1039" i="5"/>
  <c r="C1039" i="5"/>
  <c r="D1039" i="5"/>
  <c r="E1039" i="5"/>
  <c r="F1039" i="5"/>
  <c r="H1039" i="5"/>
  <c r="I1039" i="5"/>
  <c r="L1039" i="5"/>
  <c r="N1039" i="5"/>
  <c r="Q1039" i="5"/>
  <c r="S1039" i="5" s="1"/>
  <c r="R1039" i="5"/>
  <c r="T1039" i="5"/>
  <c r="B1040" i="5"/>
  <c r="C1040" i="5"/>
  <c r="D1040" i="5"/>
  <c r="E1040" i="5"/>
  <c r="F1040" i="5"/>
  <c r="H1040" i="5"/>
  <c r="I1040" i="5"/>
  <c r="N1040" i="5"/>
  <c r="Q1040" i="5"/>
  <c r="S1040" i="5" s="1"/>
  <c r="R1040" i="5"/>
  <c r="T1040" i="5"/>
  <c r="B1041" i="5"/>
  <c r="C1041" i="5"/>
  <c r="D1041" i="5"/>
  <c r="E1041" i="5"/>
  <c r="L1041" i="5" s="1"/>
  <c r="F1041" i="5"/>
  <c r="H1041" i="5"/>
  <c r="I1041" i="5"/>
  <c r="N1041" i="5"/>
  <c r="Q1041" i="5"/>
  <c r="R1041" i="5"/>
  <c r="S1041" i="5"/>
  <c r="T1041" i="5"/>
  <c r="B1042" i="5"/>
  <c r="C1042" i="5"/>
  <c r="D1042" i="5"/>
  <c r="E1042" i="5"/>
  <c r="F1042" i="5"/>
  <c r="H1042" i="5"/>
  <c r="I1042" i="5"/>
  <c r="L1042" i="5" s="1"/>
  <c r="N1042" i="5"/>
  <c r="R1042" i="5"/>
  <c r="Q1042" i="5" s="1"/>
  <c r="S1042" i="5" s="1"/>
  <c r="T1042" i="5"/>
  <c r="B1043" i="5"/>
  <c r="C1043" i="5"/>
  <c r="D1043" i="5"/>
  <c r="E1043" i="5"/>
  <c r="F1043" i="5"/>
  <c r="H1043" i="5"/>
  <c r="I1043" i="5"/>
  <c r="N1043" i="5"/>
  <c r="R1043" i="5"/>
  <c r="Q1043" i="5" s="1"/>
  <c r="S1043" i="5" s="1"/>
  <c r="T1043" i="5"/>
  <c r="B1044" i="5"/>
  <c r="C1044" i="5"/>
  <c r="D1044" i="5"/>
  <c r="E1044" i="5"/>
  <c r="F1044" i="5"/>
  <c r="H1044" i="5"/>
  <c r="I1044" i="5"/>
  <c r="L1044" i="5"/>
  <c r="N1044" i="5"/>
  <c r="R1044" i="5"/>
  <c r="Q1044" i="5" s="1"/>
  <c r="S1044" i="5" s="1"/>
  <c r="T1044" i="5"/>
  <c r="B1045" i="5"/>
  <c r="C1045" i="5"/>
  <c r="D1045" i="5"/>
  <c r="E1045" i="5"/>
  <c r="F1045" i="5"/>
  <c r="H1045" i="5"/>
  <c r="I1045" i="5"/>
  <c r="N1045" i="5"/>
  <c r="Q1045" i="5"/>
  <c r="S1045" i="5" s="1"/>
  <c r="R1045" i="5"/>
  <c r="T1045" i="5"/>
  <c r="B1046" i="5"/>
  <c r="C1046" i="5"/>
  <c r="D1046" i="5"/>
  <c r="E1046" i="5"/>
  <c r="F1046" i="5"/>
  <c r="H1046" i="5"/>
  <c r="I1046" i="5"/>
  <c r="N1046" i="5"/>
  <c r="Q1046" i="5"/>
  <c r="S1046" i="5" s="1"/>
  <c r="R1046" i="5"/>
  <c r="T1046" i="5"/>
  <c r="B1047" i="5"/>
  <c r="C1047" i="5"/>
  <c r="L1047" i="5" s="1"/>
  <c r="D1047" i="5"/>
  <c r="E1047" i="5"/>
  <c r="F1047" i="5"/>
  <c r="H1047" i="5"/>
  <c r="I1047" i="5"/>
  <c r="N1047" i="5"/>
  <c r="Q1047" i="5"/>
  <c r="S1047" i="5" s="1"/>
  <c r="R1047" i="5"/>
  <c r="T1047" i="5"/>
  <c r="B1048" i="5"/>
  <c r="C1048" i="5"/>
  <c r="D1048" i="5"/>
  <c r="E1048" i="5"/>
  <c r="L1048" i="5" s="1"/>
  <c r="F1048" i="5"/>
  <c r="H1048" i="5"/>
  <c r="I1048" i="5"/>
  <c r="N1048" i="5"/>
  <c r="Q1048" i="5"/>
  <c r="R1048" i="5"/>
  <c r="S1048" i="5"/>
  <c r="T1048" i="5"/>
  <c r="B1049" i="5"/>
  <c r="C1049" i="5"/>
  <c r="D1049" i="5"/>
  <c r="E1049" i="5"/>
  <c r="F1049" i="5"/>
  <c r="H1049" i="5"/>
  <c r="I1049" i="5"/>
  <c r="L1049" i="5"/>
  <c r="N1049" i="5"/>
  <c r="R1049" i="5"/>
  <c r="Q1049" i="5" s="1"/>
  <c r="S1049" i="5" s="1"/>
  <c r="T1049" i="5"/>
  <c r="B1050" i="5"/>
  <c r="C1050" i="5"/>
  <c r="D1050" i="5"/>
  <c r="E1050" i="5"/>
  <c r="F1050" i="5"/>
  <c r="H1050" i="5"/>
  <c r="I1050" i="5"/>
  <c r="N1050" i="5"/>
  <c r="R1050" i="5"/>
  <c r="Q1050" i="5" s="1"/>
  <c r="S1050" i="5" s="1"/>
  <c r="T1050" i="5"/>
  <c r="B1051" i="5"/>
  <c r="C1051" i="5"/>
  <c r="L1051" i="5" s="1"/>
  <c r="D1051" i="5"/>
  <c r="E1051" i="5"/>
  <c r="F1051" i="5"/>
  <c r="H1051" i="5"/>
  <c r="I1051" i="5"/>
  <c r="N1051" i="5"/>
  <c r="Q1051" i="5"/>
  <c r="S1051" i="5" s="1"/>
  <c r="R1051" i="5"/>
  <c r="T1051" i="5"/>
  <c r="B1052" i="5"/>
  <c r="C1052" i="5"/>
  <c r="D1052" i="5"/>
  <c r="E1052" i="5"/>
  <c r="F1052" i="5"/>
  <c r="H1052" i="5"/>
  <c r="I1052" i="5"/>
  <c r="N1052" i="5"/>
  <c r="R1052" i="5"/>
  <c r="Q1052" i="5" s="1"/>
  <c r="S1052" i="5"/>
  <c r="T1052" i="5"/>
  <c r="B1053" i="5"/>
  <c r="C1053" i="5"/>
  <c r="D1053" i="5"/>
  <c r="E1053" i="5"/>
  <c r="F1053" i="5"/>
  <c r="H1053" i="5"/>
  <c r="I1053" i="5"/>
  <c r="L1053" i="5"/>
  <c r="N1053" i="5"/>
  <c r="R1053" i="5"/>
  <c r="Q1053" i="5" s="1"/>
  <c r="S1053" i="5" s="1"/>
  <c r="T1053" i="5"/>
  <c r="B1054" i="5"/>
  <c r="C1054" i="5"/>
  <c r="D1054" i="5"/>
  <c r="E1054" i="5"/>
  <c r="F1054" i="5"/>
  <c r="H1054" i="5"/>
  <c r="I1054" i="5"/>
  <c r="N1054" i="5"/>
  <c r="R1054" i="5"/>
  <c r="Q1054" i="5" s="1"/>
  <c r="S1054" i="5" s="1"/>
  <c r="T1054" i="5"/>
  <c r="B1055" i="5"/>
  <c r="C1055" i="5"/>
  <c r="D1055" i="5"/>
  <c r="E1055" i="5"/>
  <c r="F1055" i="5"/>
  <c r="H1055" i="5"/>
  <c r="I1055" i="5"/>
  <c r="L1055" i="5"/>
  <c r="N1055" i="5"/>
  <c r="Q1055" i="5"/>
  <c r="R1055" i="5"/>
  <c r="S1055" i="5"/>
  <c r="T1055" i="5"/>
  <c r="B1057" i="5"/>
  <c r="C1057" i="5"/>
  <c r="D1057" i="5"/>
  <c r="E1057" i="5"/>
  <c r="F1057" i="5"/>
  <c r="G1057" i="5"/>
  <c r="H1057" i="5"/>
  <c r="I1057" i="5"/>
  <c r="J1057" i="5"/>
  <c r="K1057" i="5"/>
  <c r="N1057" i="5"/>
  <c r="O1057" i="5"/>
  <c r="P1057" i="5"/>
  <c r="R1057" i="5"/>
  <c r="T1057" i="5"/>
  <c r="B1058" i="5"/>
  <c r="D1058" i="5"/>
  <c r="G1058" i="5"/>
  <c r="I1058" i="5"/>
  <c r="J1058" i="5"/>
  <c r="K1058" i="5"/>
  <c r="O1058" i="5"/>
  <c r="P1058" i="5"/>
  <c r="R1058" i="5"/>
  <c r="B1059" i="5"/>
  <c r="C1059" i="5"/>
  <c r="D1059" i="5"/>
  <c r="E1059" i="5"/>
  <c r="G1059" i="5"/>
  <c r="H1059" i="5"/>
  <c r="I1059" i="5"/>
  <c r="J1059" i="5"/>
  <c r="K1059" i="5"/>
  <c r="N1059" i="5"/>
  <c r="O1059" i="5"/>
  <c r="P1059" i="5"/>
  <c r="Q1059" i="5"/>
  <c r="R1059" i="5"/>
  <c r="T1059" i="5"/>
  <c r="B1060" i="5"/>
  <c r="C1060" i="5"/>
  <c r="D1060" i="5"/>
  <c r="E1060" i="5"/>
  <c r="F1060" i="5"/>
  <c r="G1060" i="5"/>
  <c r="H1060" i="5"/>
  <c r="J1060" i="5"/>
  <c r="K1060" i="5"/>
  <c r="M1060" i="5"/>
  <c r="N1060" i="5"/>
  <c r="O1060" i="5"/>
  <c r="P1060" i="5"/>
  <c r="R1060" i="5"/>
  <c r="T1060" i="5"/>
  <c r="B1061" i="5"/>
  <c r="D1061" i="5"/>
  <c r="G1061" i="5"/>
  <c r="H1061" i="5"/>
  <c r="I1061" i="5"/>
  <c r="J1061" i="5"/>
  <c r="K1061" i="5"/>
  <c r="M1061" i="5"/>
  <c r="O1061" i="5"/>
  <c r="P1061" i="5"/>
  <c r="Q1061" i="5"/>
  <c r="R1061" i="5"/>
  <c r="S1061" i="5"/>
  <c r="T1061" i="5"/>
  <c r="B1062" i="5"/>
  <c r="C1062" i="5"/>
  <c r="G1062" i="5"/>
  <c r="H1062" i="5"/>
  <c r="J1062" i="5"/>
  <c r="K1062" i="5"/>
  <c r="M1062" i="5"/>
  <c r="O1062" i="5"/>
  <c r="P1062" i="5"/>
  <c r="R1062" i="5"/>
  <c r="T1062" i="5"/>
  <c r="B1063" i="5"/>
  <c r="D1063" i="5"/>
  <c r="E1063" i="5"/>
  <c r="F1063" i="5"/>
  <c r="G1063" i="5"/>
  <c r="H1063" i="5"/>
  <c r="J1063" i="5"/>
  <c r="K1063" i="5"/>
  <c r="M1063" i="5"/>
  <c r="N1063" i="5"/>
  <c r="O1063" i="5"/>
  <c r="P1063" i="5"/>
  <c r="Q1063" i="5"/>
  <c r="R1063" i="5"/>
  <c r="S1063" i="5"/>
  <c r="T1063" i="5"/>
  <c r="B1064" i="5"/>
  <c r="C1064" i="5"/>
  <c r="D1064" i="5"/>
  <c r="F1064" i="5"/>
  <c r="G1064" i="5"/>
  <c r="H1064" i="5"/>
  <c r="I1064" i="5"/>
  <c r="J1064" i="5"/>
  <c r="K1064" i="5"/>
  <c r="M1064" i="5"/>
  <c r="N1064" i="5"/>
  <c r="O1064" i="5"/>
  <c r="P1064" i="5"/>
  <c r="Q1064" i="5"/>
  <c r="R1064" i="5"/>
  <c r="S1064" i="5"/>
  <c r="T1064" i="5"/>
  <c r="B1065" i="5"/>
  <c r="C1065" i="5"/>
  <c r="D1065" i="5"/>
  <c r="E1065" i="5"/>
  <c r="F1065" i="5"/>
  <c r="G1065" i="5"/>
  <c r="H1065" i="5"/>
  <c r="J1065" i="5"/>
  <c r="K1065" i="5"/>
  <c r="M1065" i="5"/>
  <c r="N1065" i="5"/>
  <c r="O1065" i="5"/>
  <c r="P1065" i="5"/>
  <c r="R1065" i="5"/>
  <c r="T1065" i="5"/>
  <c r="B1066" i="5"/>
  <c r="C1066" i="5"/>
  <c r="D1066" i="5"/>
  <c r="G1066" i="5"/>
  <c r="I1066" i="5"/>
  <c r="J1066" i="5"/>
  <c r="K1066" i="5"/>
  <c r="M1066" i="5"/>
  <c r="N1066" i="5"/>
  <c r="O1066" i="5"/>
  <c r="P1066" i="5"/>
  <c r="Q1066" i="5"/>
  <c r="R1066" i="5"/>
  <c r="S1066" i="5"/>
  <c r="T1066" i="5"/>
  <c r="B1067" i="5"/>
  <c r="F1067" i="5"/>
  <c r="G1067" i="5"/>
  <c r="H1067" i="5"/>
  <c r="J1067" i="5"/>
  <c r="K1067" i="5"/>
  <c r="M1067" i="5"/>
  <c r="N1067" i="5"/>
  <c r="O1067" i="5"/>
  <c r="P1067" i="5"/>
  <c r="B1068" i="5"/>
  <c r="C1068" i="5"/>
  <c r="D1068" i="5"/>
  <c r="E1068" i="5"/>
  <c r="F1068" i="5"/>
  <c r="G1068" i="5"/>
  <c r="J1068" i="5"/>
  <c r="K1068" i="5"/>
  <c r="M1068" i="5"/>
  <c r="N1068" i="5"/>
  <c r="O1068" i="5"/>
  <c r="P1068" i="5"/>
  <c r="R1068" i="5"/>
  <c r="T1068" i="5"/>
  <c r="B1069" i="5"/>
  <c r="C1069" i="5"/>
  <c r="G1069" i="5"/>
  <c r="H1069" i="5"/>
  <c r="I1069" i="5"/>
  <c r="J1069" i="5"/>
  <c r="K1069" i="5"/>
  <c r="M1069" i="5"/>
  <c r="N1069" i="5"/>
  <c r="O1069" i="5"/>
  <c r="P1069" i="5"/>
  <c r="Q1069" i="5"/>
  <c r="R1069" i="5"/>
  <c r="T1069" i="5"/>
  <c r="B1070" i="5"/>
  <c r="C1070" i="5"/>
  <c r="D1070" i="5"/>
  <c r="E1070" i="5"/>
  <c r="F1070" i="5"/>
  <c r="G1070" i="5"/>
  <c r="H1070" i="5"/>
  <c r="I1070" i="5"/>
  <c r="J1070" i="5"/>
  <c r="K1070" i="5"/>
  <c r="M1070" i="5"/>
  <c r="N1070" i="5"/>
  <c r="O1070" i="5"/>
  <c r="P1070" i="5"/>
  <c r="T1070" i="5"/>
  <c r="B1071" i="5"/>
  <c r="C1071" i="5"/>
  <c r="D1071" i="5"/>
  <c r="G1071" i="5"/>
  <c r="I1071" i="5"/>
  <c r="J1071" i="5"/>
  <c r="K1071" i="5"/>
  <c r="M1071" i="5"/>
  <c r="N1071" i="5"/>
  <c r="O1071" i="5"/>
  <c r="P1071" i="5"/>
  <c r="T1071" i="5"/>
  <c r="B1072" i="5"/>
  <c r="F1072" i="5"/>
  <c r="G1072" i="5"/>
  <c r="J1072" i="5"/>
  <c r="K1072" i="5"/>
  <c r="M1072" i="5"/>
  <c r="N1072" i="5"/>
  <c r="O1072" i="5"/>
  <c r="P1072" i="5"/>
  <c r="Q1072" i="5"/>
  <c r="B1073" i="5"/>
  <c r="D1073" i="5"/>
  <c r="E1073" i="5"/>
  <c r="F1073" i="5"/>
  <c r="G1073" i="5"/>
  <c r="J1073" i="5"/>
  <c r="K1073" i="5"/>
  <c r="M1073" i="5"/>
  <c r="N1073" i="5"/>
  <c r="O1073" i="5"/>
  <c r="P1073" i="5"/>
  <c r="T1073" i="5"/>
  <c r="B1074" i="5"/>
  <c r="E1074" i="5"/>
  <c r="G1074" i="5"/>
  <c r="H1074" i="5"/>
  <c r="I1074" i="5"/>
  <c r="J1074" i="5"/>
  <c r="K1074" i="5"/>
  <c r="M1074" i="5"/>
  <c r="N1074" i="5"/>
  <c r="O1074" i="5"/>
  <c r="P1074" i="5"/>
  <c r="Q1074" i="5"/>
  <c r="R1074" i="5"/>
  <c r="B1075" i="5"/>
  <c r="E1075" i="5"/>
  <c r="F1075" i="5"/>
  <c r="G1075" i="5"/>
  <c r="H1075" i="5"/>
  <c r="I1075" i="5"/>
  <c r="J1075" i="5"/>
  <c r="K1075" i="5"/>
  <c r="M1075" i="5"/>
  <c r="N1075" i="5"/>
  <c r="O1075" i="5"/>
  <c r="P1075" i="5"/>
  <c r="B1076" i="5"/>
  <c r="C1076" i="5"/>
  <c r="E1076" i="5"/>
  <c r="G1076" i="5"/>
  <c r="I1076" i="5"/>
  <c r="J1076" i="5"/>
  <c r="K1076" i="5"/>
  <c r="M1076" i="5"/>
  <c r="O1076" i="5"/>
  <c r="P1076" i="5"/>
  <c r="Q1076" i="5"/>
  <c r="R1076" i="5"/>
  <c r="S1076" i="5"/>
  <c r="T1076" i="5"/>
  <c r="B1077" i="5"/>
  <c r="C1077" i="5"/>
  <c r="E1077" i="5"/>
  <c r="F1077" i="5"/>
  <c r="G1077" i="5"/>
  <c r="I1077" i="5"/>
  <c r="J1077" i="5"/>
  <c r="K1077" i="5"/>
  <c r="M1077" i="5"/>
  <c r="N1077" i="5"/>
  <c r="O1077" i="5"/>
  <c r="P1077" i="5"/>
  <c r="R1077" i="5"/>
  <c r="T1077" i="5"/>
  <c r="B1078" i="5"/>
  <c r="D1078" i="5"/>
  <c r="E1078" i="5"/>
  <c r="F1078" i="5"/>
  <c r="G1078" i="5"/>
  <c r="J1078" i="5"/>
  <c r="K1078" i="5"/>
  <c r="M1078" i="5"/>
  <c r="N1078" i="5"/>
  <c r="O1078" i="5"/>
  <c r="P1078" i="5"/>
  <c r="T1078" i="5"/>
  <c r="B1079" i="5"/>
  <c r="C1079" i="5"/>
  <c r="E1079" i="5"/>
  <c r="G1079" i="5"/>
  <c r="H1079" i="5"/>
  <c r="J1079" i="5"/>
  <c r="K1079" i="5"/>
  <c r="M1079" i="5"/>
  <c r="N1079" i="5"/>
  <c r="O1079" i="5"/>
  <c r="P1079" i="5"/>
  <c r="R1079" i="5"/>
  <c r="T1079" i="5"/>
  <c r="B1080" i="5"/>
  <c r="G1080" i="5"/>
  <c r="H1080" i="5"/>
  <c r="J1080" i="5"/>
  <c r="K1080" i="5"/>
  <c r="M1080" i="5"/>
  <c r="O1080" i="5"/>
  <c r="P1080" i="5"/>
  <c r="A1081" i="5"/>
  <c r="B1081" i="5"/>
  <c r="F1081" i="5"/>
  <c r="G1081" i="5"/>
  <c r="J1081" i="5"/>
  <c r="K1081" i="5"/>
  <c r="M1081" i="5"/>
  <c r="O1081" i="5"/>
  <c r="P1081" i="5"/>
  <c r="R1081" i="5"/>
  <c r="A1082" i="5"/>
  <c r="A1083" i="5" s="1"/>
  <c r="B1082" i="5"/>
  <c r="G1082" i="5"/>
  <c r="H1082" i="5"/>
  <c r="I1082" i="5"/>
  <c r="J1082" i="5"/>
  <c r="K1082" i="5"/>
  <c r="M1082" i="5"/>
  <c r="N1082" i="5"/>
  <c r="O1082" i="5"/>
  <c r="P1082" i="5"/>
  <c r="Q1082" i="5"/>
  <c r="R1082" i="5"/>
  <c r="B1083" i="5"/>
  <c r="C1083" i="5"/>
  <c r="E1083" i="5"/>
  <c r="F1083" i="5"/>
  <c r="G1083" i="5"/>
  <c r="H1083" i="5"/>
  <c r="J1083" i="5"/>
  <c r="K1083" i="5"/>
  <c r="M1083" i="5"/>
  <c r="N1083" i="5"/>
  <c r="O1083" i="5"/>
  <c r="P1083" i="5"/>
  <c r="R1083" i="5"/>
  <c r="T1083" i="5"/>
  <c r="A1084" i="5"/>
  <c r="C1084" i="5"/>
  <c r="D1084" i="5"/>
  <c r="F1084" i="5"/>
  <c r="G1084" i="5"/>
  <c r="H1084" i="5"/>
  <c r="I1084" i="5"/>
  <c r="J1084" i="5"/>
  <c r="K1084" i="5"/>
  <c r="M1084" i="5"/>
  <c r="N1084" i="5"/>
  <c r="O1084" i="5"/>
  <c r="P1084" i="5"/>
  <c r="Q1084" i="5"/>
  <c r="R1084" i="5"/>
  <c r="F1085" i="5"/>
  <c r="G1085" i="5"/>
  <c r="J1085" i="5"/>
  <c r="K1085" i="5"/>
  <c r="M1085" i="5"/>
  <c r="O1085" i="5"/>
  <c r="P1085" i="5"/>
  <c r="R1085" i="5"/>
  <c r="T1085" i="5"/>
  <c r="F1086" i="5"/>
  <c r="G1086" i="5"/>
  <c r="H1086" i="5"/>
  <c r="I1086" i="5"/>
  <c r="J1086" i="5"/>
  <c r="K1086" i="5"/>
  <c r="M1086" i="5"/>
  <c r="O1086" i="5"/>
  <c r="P1086" i="5"/>
  <c r="Q1086" i="5"/>
  <c r="R1086" i="5"/>
  <c r="C1087" i="5"/>
  <c r="D1087" i="5"/>
  <c r="E1087" i="5"/>
  <c r="G1087" i="5"/>
  <c r="J1087" i="5"/>
  <c r="K1087" i="5"/>
  <c r="M1087" i="5"/>
  <c r="N1087" i="5"/>
  <c r="O1087" i="5"/>
  <c r="P1087" i="5"/>
  <c r="T1087" i="5"/>
  <c r="F1088" i="5"/>
  <c r="G1088" i="5"/>
  <c r="J1088" i="5"/>
  <c r="K1088" i="5"/>
  <c r="M1088" i="5"/>
  <c r="N1088" i="5"/>
  <c r="O1088" i="5"/>
  <c r="P1088" i="5"/>
  <c r="C1089" i="5"/>
  <c r="D1089" i="5"/>
  <c r="E1089" i="5"/>
  <c r="G1089" i="5"/>
  <c r="J1089" i="5"/>
  <c r="K1089" i="5"/>
  <c r="M1089" i="5"/>
  <c r="N1089" i="5"/>
  <c r="O1089" i="5"/>
  <c r="P1089" i="5"/>
  <c r="G1090" i="5"/>
  <c r="H1090" i="5"/>
  <c r="J1090" i="5"/>
  <c r="K1090" i="5"/>
  <c r="M1090" i="5"/>
  <c r="O1090" i="5"/>
  <c r="P1090" i="5"/>
  <c r="D1091" i="5"/>
  <c r="E1091" i="5"/>
  <c r="F1091" i="5"/>
  <c r="G1091" i="5"/>
  <c r="J1091" i="5"/>
  <c r="K1091" i="5"/>
  <c r="M1091" i="5"/>
  <c r="O1091" i="5"/>
  <c r="P1091" i="5"/>
  <c r="R1091" i="5"/>
  <c r="E1092" i="5"/>
  <c r="F1092" i="5"/>
  <c r="G1092" i="5"/>
  <c r="H1092" i="5"/>
  <c r="I1092" i="5"/>
  <c r="J1092" i="5"/>
  <c r="K1092" i="5"/>
  <c r="M1092" i="5"/>
  <c r="N1092" i="5"/>
  <c r="O1092" i="5"/>
  <c r="P1092" i="5"/>
  <c r="E1093" i="5"/>
  <c r="G1093" i="5"/>
  <c r="J1093" i="5"/>
  <c r="K1093" i="5"/>
  <c r="M1093" i="5"/>
  <c r="O1093" i="5"/>
  <c r="P1093" i="5"/>
  <c r="D1094" i="5"/>
  <c r="F1094" i="5"/>
  <c r="G1094" i="5"/>
  <c r="J1094" i="5"/>
  <c r="K1094" i="5"/>
  <c r="M1094" i="5"/>
  <c r="O1094" i="5"/>
  <c r="P1094" i="5"/>
  <c r="R1094" i="5"/>
  <c r="C1095" i="5"/>
  <c r="E1095" i="5"/>
  <c r="G1095" i="5"/>
  <c r="J1095" i="5"/>
  <c r="K1095" i="5"/>
  <c r="M1095" i="5"/>
  <c r="N1095" i="5"/>
  <c r="O1095" i="5"/>
  <c r="P1095" i="5"/>
  <c r="R1095" i="5"/>
  <c r="T1095" i="5"/>
  <c r="G1096" i="5"/>
  <c r="J1096" i="5"/>
  <c r="K1096" i="5"/>
  <c r="M1096" i="5"/>
  <c r="O1096" i="5"/>
  <c r="P1096" i="5"/>
  <c r="G1097" i="5"/>
  <c r="J1097" i="5"/>
  <c r="K1097" i="5"/>
  <c r="M1097" i="5"/>
  <c r="O1097" i="5"/>
  <c r="P1097" i="5"/>
  <c r="G1098" i="5"/>
  <c r="J1098" i="5"/>
  <c r="K1098" i="5"/>
  <c r="M1098" i="5"/>
  <c r="N1098" i="5"/>
  <c r="O1098" i="5"/>
  <c r="P1098" i="5"/>
  <c r="E1099" i="5"/>
  <c r="G1099" i="5"/>
  <c r="J1099" i="5"/>
  <c r="K1099" i="5"/>
  <c r="M1099" i="5"/>
  <c r="O1099" i="5"/>
  <c r="P1099" i="5"/>
  <c r="G1100" i="5"/>
  <c r="J1100" i="5"/>
  <c r="K1100" i="5"/>
  <c r="M1100" i="5"/>
  <c r="N1100" i="5"/>
  <c r="O1100" i="5"/>
  <c r="P1100" i="5"/>
  <c r="G1101" i="5"/>
  <c r="J1101" i="5"/>
  <c r="K1101" i="5"/>
  <c r="M1101" i="5"/>
  <c r="N1101" i="5"/>
  <c r="O1101" i="5"/>
  <c r="P1101" i="5"/>
  <c r="G1102" i="5"/>
  <c r="J1102" i="5"/>
  <c r="K1102" i="5"/>
  <c r="M1102" i="5"/>
  <c r="O1102" i="5"/>
  <c r="P1102" i="5"/>
  <c r="G1103" i="5"/>
  <c r="J1103" i="5"/>
  <c r="K1103" i="5"/>
  <c r="M1103" i="5"/>
  <c r="O1103" i="5"/>
  <c r="P1103" i="5"/>
  <c r="T1103" i="5"/>
  <c r="G1104" i="5"/>
  <c r="J1104" i="5"/>
  <c r="K1104" i="5"/>
  <c r="M1104" i="5"/>
  <c r="O1104" i="5"/>
  <c r="P1104" i="5"/>
  <c r="C9" i="4"/>
  <c r="E9" i="4"/>
  <c r="K13" i="4"/>
  <c r="K14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Z17" i="4"/>
  <c r="AA17" i="4"/>
  <c r="AB17" i="4"/>
  <c r="AC17" i="4"/>
  <c r="B18" i="4"/>
  <c r="C18" i="4"/>
  <c r="D18" i="4"/>
  <c r="E18" i="4"/>
  <c r="F18" i="4"/>
  <c r="G18" i="4"/>
  <c r="H18" i="4"/>
  <c r="I18" i="4"/>
  <c r="J18" i="4"/>
  <c r="K18" i="4"/>
  <c r="L18" i="4"/>
  <c r="M18" i="4"/>
  <c r="AD18" i="4" s="1"/>
  <c r="N18" i="4"/>
  <c r="O18" i="4"/>
  <c r="P18" i="4"/>
  <c r="Q18" i="4"/>
  <c r="R18" i="4"/>
  <c r="S18" i="4"/>
  <c r="T18" i="4"/>
  <c r="U18" i="4"/>
  <c r="V18" i="4"/>
  <c r="W18" i="4"/>
  <c r="X18" i="4"/>
  <c r="Z18" i="4"/>
  <c r="AA18" i="4"/>
  <c r="AB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AD19" i="4" s="1"/>
  <c r="O19" i="4"/>
  <c r="P19" i="4"/>
  <c r="Q19" i="4"/>
  <c r="R19" i="4"/>
  <c r="S19" i="4"/>
  <c r="T19" i="4"/>
  <c r="U19" i="4"/>
  <c r="V19" i="4"/>
  <c r="W19" i="4"/>
  <c r="X19" i="4"/>
  <c r="Z19" i="4"/>
  <c r="AA19" i="4"/>
  <c r="AB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Z20" i="4"/>
  <c r="AA20" i="4"/>
  <c r="AB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Z21" i="4"/>
  <c r="AA21" i="4"/>
  <c r="AB21" i="4"/>
  <c r="AD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Z22" i="4"/>
  <c r="AA22" i="4"/>
  <c r="AB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Z23" i="4"/>
  <c r="AA23" i="4"/>
  <c r="AB23" i="4"/>
  <c r="AC23" i="4"/>
  <c r="AD23" i="4"/>
  <c r="B24" i="4"/>
  <c r="C24" i="4"/>
  <c r="D24" i="4"/>
  <c r="E24" i="4"/>
  <c r="F24" i="4"/>
  <c r="G24" i="4"/>
  <c r="H24" i="4"/>
  <c r="H1058" i="4" s="1"/>
  <c r="I24" i="4"/>
  <c r="J24" i="4"/>
  <c r="K24" i="4"/>
  <c r="L24" i="4"/>
  <c r="M24" i="4"/>
  <c r="N24" i="4"/>
  <c r="O24" i="4"/>
  <c r="P24" i="4"/>
  <c r="AD24" i="4" s="1"/>
  <c r="Q24" i="4"/>
  <c r="R24" i="4"/>
  <c r="S24" i="4"/>
  <c r="T24" i="4"/>
  <c r="U24" i="4"/>
  <c r="V24" i="4"/>
  <c r="W24" i="4"/>
  <c r="Z24" i="4"/>
  <c r="Z1058" i="4" s="1"/>
  <c r="AA24" i="4"/>
  <c r="AB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Z25" i="4"/>
  <c r="Z1059" i="4" s="1"/>
  <c r="AA25" i="4"/>
  <c r="AB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Z26" i="4"/>
  <c r="AA26" i="4"/>
  <c r="AB26" i="4"/>
  <c r="AD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Z27" i="4"/>
  <c r="AA27" i="4"/>
  <c r="AB27" i="4"/>
  <c r="AB1059" i="4" s="1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Z28" i="4"/>
  <c r="AA28" i="4"/>
  <c r="AB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AD29" i="4" s="1"/>
  <c r="O29" i="4"/>
  <c r="P29" i="4"/>
  <c r="Q29" i="4"/>
  <c r="R29" i="4"/>
  <c r="S29" i="4"/>
  <c r="T29" i="4"/>
  <c r="U29" i="4"/>
  <c r="V29" i="4"/>
  <c r="W29" i="4"/>
  <c r="X29" i="4"/>
  <c r="Z29" i="4"/>
  <c r="AA29" i="4"/>
  <c r="AB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Z30" i="4"/>
  <c r="AA30" i="4"/>
  <c r="AB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AD31" i="4" s="1"/>
  <c r="O31" i="4"/>
  <c r="P31" i="4"/>
  <c r="Q31" i="4"/>
  <c r="R31" i="4"/>
  <c r="S31" i="4"/>
  <c r="T31" i="4"/>
  <c r="U31" i="4"/>
  <c r="V31" i="4"/>
  <c r="W31" i="4"/>
  <c r="X31" i="4"/>
  <c r="Z31" i="4"/>
  <c r="AA31" i="4"/>
  <c r="AB31" i="4"/>
  <c r="B32" i="4"/>
  <c r="C32" i="4"/>
  <c r="D32" i="4"/>
  <c r="E32" i="4"/>
  <c r="F32" i="4"/>
  <c r="G32" i="4"/>
  <c r="H32" i="4"/>
  <c r="AC32" i="4" s="1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Z32" i="4"/>
  <c r="AA32" i="4"/>
  <c r="AB32" i="4"/>
  <c r="B33" i="4"/>
  <c r="C33" i="4"/>
  <c r="D33" i="4"/>
  <c r="E33" i="4"/>
  <c r="F33" i="4"/>
  <c r="AC33" i="4" s="1"/>
  <c r="G33" i="4"/>
  <c r="H33" i="4"/>
  <c r="I33" i="4"/>
  <c r="J33" i="4"/>
  <c r="K33" i="4"/>
  <c r="L33" i="4"/>
  <c r="M33" i="4"/>
  <c r="N33" i="4"/>
  <c r="AD33" i="4" s="1"/>
  <c r="O33" i="4"/>
  <c r="P33" i="4"/>
  <c r="Q33" i="4"/>
  <c r="R33" i="4"/>
  <c r="S33" i="4"/>
  <c r="T33" i="4"/>
  <c r="U33" i="4"/>
  <c r="V33" i="4"/>
  <c r="W33" i="4"/>
  <c r="X33" i="4"/>
  <c r="Z33" i="4"/>
  <c r="AA33" i="4"/>
  <c r="AB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AD34" i="4" s="1"/>
  <c r="P34" i="4"/>
  <c r="Q34" i="4"/>
  <c r="R34" i="4"/>
  <c r="S34" i="4"/>
  <c r="T34" i="4"/>
  <c r="U34" i="4"/>
  <c r="V34" i="4"/>
  <c r="W34" i="4"/>
  <c r="X34" i="4"/>
  <c r="Z34" i="4"/>
  <c r="AA34" i="4"/>
  <c r="AB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Z35" i="4"/>
  <c r="AA35" i="4"/>
  <c r="AB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Z36" i="4"/>
  <c r="AA36" i="4"/>
  <c r="AB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Z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Z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Z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Z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AD41" i="4" s="1"/>
  <c r="Q41" i="4"/>
  <c r="R41" i="4"/>
  <c r="S41" i="4"/>
  <c r="T41" i="4"/>
  <c r="U41" i="4"/>
  <c r="V41" i="4"/>
  <c r="W41" i="4"/>
  <c r="X41" i="4"/>
  <c r="Z41" i="4"/>
  <c r="B42" i="4"/>
  <c r="C42" i="4"/>
  <c r="AC42" i="4" s="1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Z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Z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Z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AD45" i="4" s="1"/>
  <c r="O45" i="4"/>
  <c r="P45" i="4"/>
  <c r="Q45" i="4"/>
  <c r="R45" i="4"/>
  <c r="S45" i="4"/>
  <c r="T45" i="4"/>
  <c r="U45" i="4"/>
  <c r="V45" i="4"/>
  <c r="W45" i="4"/>
  <c r="X45" i="4"/>
  <c r="Z45" i="4"/>
  <c r="AC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Z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Z47" i="4"/>
  <c r="B48" i="4"/>
  <c r="C48" i="4"/>
  <c r="D48" i="4"/>
  <c r="AC48" i="4" s="1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Z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Z49" i="4"/>
  <c r="B50" i="4"/>
  <c r="C50" i="4"/>
  <c r="AC50" i="4" s="1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Z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Z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Z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AD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B61" i="4"/>
  <c r="C61" i="4"/>
  <c r="D61" i="4"/>
  <c r="E61" i="4"/>
  <c r="AC61" i="4" s="1"/>
  <c r="F61" i="4"/>
  <c r="G61" i="4"/>
  <c r="H61" i="4"/>
  <c r="I61" i="4"/>
  <c r="J61" i="4"/>
  <c r="K61" i="4"/>
  <c r="L61" i="4"/>
  <c r="M61" i="4"/>
  <c r="AD61" i="4" s="1"/>
  <c r="N61" i="4"/>
  <c r="O61" i="4"/>
  <c r="P61" i="4"/>
  <c r="Q61" i="4"/>
  <c r="R61" i="4"/>
  <c r="S61" i="4"/>
  <c r="T61" i="4"/>
  <c r="U61" i="4"/>
  <c r="V61" i="4"/>
  <c r="W61" i="4"/>
  <c r="X61" i="4"/>
  <c r="Y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B68" i="4"/>
  <c r="C68" i="4"/>
  <c r="D68" i="4"/>
  <c r="E68" i="4"/>
  <c r="F68" i="4"/>
  <c r="G68" i="4"/>
  <c r="H68" i="4"/>
  <c r="I68" i="4"/>
  <c r="J68" i="4"/>
  <c r="K68" i="4"/>
  <c r="L68" i="4"/>
  <c r="M68" i="4"/>
  <c r="AD68" i="4" s="1"/>
  <c r="N68" i="4"/>
  <c r="O68" i="4"/>
  <c r="P68" i="4"/>
  <c r="Q68" i="4"/>
  <c r="R68" i="4"/>
  <c r="S68" i="4"/>
  <c r="T68" i="4"/>
  <c r="U68" i="4"/>
  <c r="V68" i="4"/>
  <c r="W68" i="4"/>
  <c r="X68" i="4"/>
  <c r="Y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AC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AD74" i="4" s="1"/>
  <c r="O74" i="4"/>
  <c r="P74" i="4"/>
  <c r="Q74" i="4"/>
  <c r="R74" i="4"/>
  <c r="S74" i="4"/>
  <c r="T74" i="4"/>
  <c r="U74" i="4"/>
  <c r="V74" i="4"/>
  <c r="W74" i="4"/>
  <c r="X74" i="4"/>
  <c r="Y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AD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AC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AC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AC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AC84" i="4"/>
  <c r="AD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AD89" i="4" s="1"/>
  <c r="Q89" i="4"/>
  <c r="R89" i="4"/>
  <c r="S89" i="4"/>
  <c r="T89" i="4"/>
  <c r="U89" i="4"/>
  <c r="V89" i="4"/>
  <c r="W89" i="4"/>
  <c r="X89" i="4"/>
  <c r="Y89" i="4"/>
  <c r="B90" i="4"/>
  <c r="C90" i="4"/>
  <c r="D90" i="4"/>
  <c r="AC90" i="4" s="1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AC93" i="4"/>
  <c r="AD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B98" i="4"/>
  <c r="C98" i="4"/>
  <c r="D98" i="4"/>
  <c r="E98" i="4"/>
  <c r="F98" i="4"/>
  <c r="G98" i="4"/>
  <c r="H98" i="4"/>
  <c r="I98" i="4"/>
  <c r="J98" i="4"/>
  <c r="K98" i="4"/>
  <c r="L98" i="4"/>
  <c r="M98" i="4"/>
  <c r="AD98" i="4" s="1"/>
  <c r="N98" i="4"/>
  <c r="O98" i="4"/>
  <c r="P98" i="4"/>
  <c r="Q98" i="4"/>
  <c r="R98" i="4"/>
  <c r="S98" i="4"/>
  <c r="T98" i="4"/>
  <c r="U98" i="4"/>
  <c r="V98" i="4"/>
  <c r="W98" i="4"/>
  <c r="X98" i="4"/>
  <c r="Y98" i="4"/>
  <c r="B99" i="4"/>
  <c r="C99" i="4"/>
  <c r="AC99" i="4" s="1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AD101" i="4" s="1"/>
  <c r="P101" i="4"/>
  <c r="Q101" i="4"/>
  <c r="R101" i="4"/>
  <c r="S101" i="4"/>
  <c r="T101" i="4"/>
  <c r="U101" i="4"/>
  <c r="V101" i="4"/>
  <c r="W101" i="4"/>
  <c r="X101" i="4"/>
  <c r="Y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AC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AD105" i="4" s="1"/>
  <c r="N105" i="4"/>
  <c r="O105" i="4"/>
  <c r="P105" i="4"/>
  <c r="Q105" i="4"/>
  <c r="R105" i="4"/>
  <c r="S105" i="4"/>
  <c r="T105" i="4"/>
  <c r="U105" i="4"/>
  <c r="V105" i="4"/>
  <c r="W105" i="4"/>
  <c r="X105" i="4"/>
  <c r="Y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AD106" i="4" s="1"/>
  <c r="N106" i="4"/>
  <c r="O106" i="4"/>
  <c r="P106" i="4"/>
  <c r="Q106" i="4"/>
  <c r="R106" i="4"/>
  <c r="S106" i="4"/>
  <c r="T106" i="4"/>
  <c r="U106" i="4"/>
  <c r="V106" i="4"/>
  <c r="W106" i="4"/>
  <c r="X106" i="4"/>
  <c r="Y106" i="4"/>
  <c r="B107" i="4"/>
  <c r="C107" i="4"/>
  <c r="AC107" i="4" s="1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AC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AD111" i="4" s="1"/>
  <c r="O111" i="4"/>
  <c r="P111" i="4"/>
  <c r="Q111" i="4"/>
  <c r="R111" i="4"/>
  <c r="S111" i="4"/>
  <c r="T111" i="4"/>
  <c r="U111" i="4"/>
  <c r="V111" i="4"/>
  <c r="W111" i="4"/>
  <c r="X111" i="4"/>
  <c r="Y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AD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AD117" i="4" s="1"/>
  <c r="N117" i="4"/>
  <c r="O117" i="4"/>
  <c r="P117" i="4"/>
  <c r="Q117" i="4"/>
  <c r="R117" i="4"/>
  <c r="S117" i="4"/>
  <c r="T117" i="4"/>
  <c r="U117" i="4"/>
  <c r="V117" i="4"/>
  <c r="W117" i="4"/>
  <c r="X117" i="4"/>
  <c r="Y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AD118" i="4" s="1"/>
  <c r="N118" i="4"/>
  <c r="O118" i="4"/>
  <c r="P118" i="4"/>
  <c r="Q118" i="4"/>
  <c r="R118" i="4"/>
  <c r="S118" i="4"/>
  <c r="T118" i="4"/>
  <c r="U118" i="4"/>
  <c r="V118" i="4"/>
  <c r="W118" i="4"/>
  <c r="X118" i="4"/>
  <c r="Y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B120" i="4"/>
  <c r="C120" i="4"/>
  <c r="D120" i="4"/>
  <c r="E120" i="4"/>
  <c r="F120" i="4"/>
  <c r="F1066" i="4" s="1"/>
  <c r="G120" i="4"/>
  <c r="H120" i="4"/>
  <c r="I120" i="4"/>
  <c r="J120" i="4"/>
  <c r="K120" i="4"/>
  <c r="L120" i="4"/>
  <c r="M120" i="4"/>
  <c r="N120" i="4"/>
  <c r="N1066" i="4" s="1"/>
  <c r="O120" i="4"/>
  <c r="P120" i="4"/>
  <c r="Q120" i="4"/>
  <c r="R120" i="4"/>
  <c r="S120" i="4"/>
  <c r="T120" i="4"/>
  <c r="U120" i="4"/>
  <c r="V120" i="4"/>
  <c r="V1066" i="4" s="1"/>
  <c r="W120" i="4"/>
  <c r="X120" i="4"/>
  <c r="Y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AD122" i="4" s="1"/>
  <c r="Q122" i="4"/>
  <c r="R122" i="4"/>
  <c r="S122" i="4"/>
  <c r="T122" i="4"/>
  <c r="U122" i="4"/>
  <c r="V122" i="4"/>
  <c r="W122" i="4"/>
  <c r="X122" i="4"/>
  <c r="Y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AD125" i="4" s="1"/>
  <c r="Q125" i="4"/>
  <c r="R125" i="4"/>
  <c r="S125" i="4"/>
  <c r="T125" i="4"/>
  <c r="U125" i="4"/>
  <c r="V125" i="4"/>
  <c r="W125" i="4"/>
  <c r="X125" i="4"/>
  <c r="Y125" i="4"/>
  <c r="B126" i="4"/>
  <c r="C126" i="4"/>
  <c r="AC126" i="4" s="1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AD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AD130" i="4" s="1"/>
  <c r="N130" i="4"/>
  <c r="O130" i="4"/>
  <c r="P130" i="4"/>
  <c r="Q130" i="4"/>
  <c r="R130" i="4"/>
  <c r="S130" i="4"/>
  <c r="T130" i="4"/>
  <c r="U130" i="4"/>
  <c r="V130" i="4"/>
  <c r="W130" i="4"/>
  <c r="X130" i="4"/>
  <c r="Y130" i="4"/>
  <c r="B131" i="4"/>
  <c r="C131" i="4"/>
  <c r="AC131" i="4" s="1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AD133" i="4" s="1"/>
  <c r="P133" i="4"/>
  <c r="Q133" i="4"/>
  <c r="R133" i="4"/>
  <c r="S133" i="4"/>
  <c r="T133" i="4"/>
  <c r="U133" i="4"/>
  <c r="V133" i="4"/>
  <c r="W133" i="4"/>
  <c r="X133" i="4"/>
  <c r="Y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AC137" i="4"/>
  <c r="AD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AD138" i="4" s="1"/>
  <c r="Q138" i="4"/>
  <c r="R138" i="4"/>
  <c r="S138" i="4"/>
  <c r="T138" i="4"/>
  <c r="U138" i="4"/>
  <c r="V138" i="4"/>
  <c r="W138" i="4"/>
  <c r="X138" i="4"/>
  <c r="Y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AD142" i="4" s="1"/>
  <c r="Q142" i="4"/>
  <c r="R142" i="4"/>
  <c r="S142" i="4"/>
  <c r="T142" i="4"/>
  <c r="U142" i="4"/>
  <c r="V142" i="4"/>
  <c r="W142" i="4"/>
  <c r="X142" i="4"/>
  <c r="Y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AD145" i="4" s="1"/>
  <c r="P145" i="4"/>
  <c r="Q145" i="4"/>
  <c r="R145" i="4"/>
  <c r="S145" i="4"/>
  <c r="T145" i="4"/>
  <c r="U145" i="4"/>
  <c r="V145" i="4"/>
  <c r="W145" i="4"/>
  <c r="X145" i="4"/>
  <c r="Y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AD147" i="4" s="1"/>
  <c r="O147" i="4"/>
  <c r="P147" i="4"/>
  <c r="Q147" i="4"/>
  <c r="R147" i="4"/>
  <c r="S147" i="4"/>
  <c r="T147" i="4"/>
  <c r="U147" i="4"/>
  <c r="V147" i="4"/>
  <c r="W147" i="4"/>
  <c r="X147" i="4"/>
  <c r="Y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AD150" i="4"/>
  <c r="B151" i="4"/>
  <c r="C151" i="4"/>
  <c r="D151" i="4"/>
  <c r="E151" i="4"/>
  <c r="AC151" i="4" s="1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B153" i="4"/>
  <c r="C153" i="4"/>
  <c r="D153" i="4"/>
  <c r="AC153" i="4" s="1"/>
  <c r="E153" i="4"/>
  <c r="F153" i="4"/>
  <c r="G153" i="4"/>
  <c r="H153" i="4"/>
  <c r="I153" i="4"/>
  <c r="J153" i="4"/>
  <c r="K153" i="4"/>
  <c r="L153" i="4"/>
  <c r="M153" i="4"/>
  <c r="N153" i="4"/>
  <c r="O153" i="4"/>
  <c r="P153" i="4"/>
  <c r="AD153" i="4" s="1"/>
  <c r="Q153" i="4"/>
  <c r="R153" i="4"/>
  <c r="S153" i="4"/>
  <c r="T153" i="4"/>
  <c r="U153" i="4"/>
  <c r="V153" i="4"/>
  <c r="W153" i="4"/>
  <c r="X153" i="4"/>
  <c r="Y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AD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AD162" i="4" s="1"/>
  <c r="N162" i="4"/>
  <c r="O162" i="4"/>
  <c r="P162" i="4"/>
  <c r="Q162" i="4"/>
  <c r="R162" i="4"/>
  <c r="S162" i="4"/>
  <c r="T162" i="4"/>
  <c r="U162" i="4"/>
  <c r="V162" i="4"/>
  <c r="W162" i="4"/>
  <c r="X162" i="4"/>
  <c r="Y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AD165" i="4" s="1"/>
  <c r="P165" i="4"/>
  <c r="Q165" i="4"/>
  <c r="R165" i="4"/>
  <c r="S165" i="4"/>
  <c r="T165" i="4"/>
  <c r="U165" i="4"/>
  <c r="V165" i="4"/>
  <c r="W165" i="4"/>
  <c r="X165" i="4"/>
  <c r="Y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AC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AD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AD174" i="4" s="1"/>
  <c r="N174" i="4"/>
  <c r="O174" i="4"/>
  <c r="P174" i="4"/>
  <c r="Q174" i="4"/>
  <c r="R174" i="4"/>
  <c r="S174" i="4"/>
  <c r="T174" i="4"/>
  <c r="U174" i="4"/>
  <c r="V174" i="4"/>
  <c r="W174" i="4"/>
  <c r="X174" i="4"/>
  <c r="Y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AD178" i="4" s="1"/>
  <c r="Q178" i="4"/>
  <c r="R178" i="4"/>
  <c r="S178" i="4"/>
  <c r="T178" i="4"/>
  <c r="U178" i="4"/>
  <c r="V178" i="4"/>
  <c r="W178" i="4"/>
  <c r="X178" i="4"/>
  <c r="Y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AD182" i="4" s="1"/>
  <c r="P182" i="4"/>
  <c r="Q182" i="4"/>
  <c r="R182" i="4"/>
  <c r="S182" i="4"/>
  <c r="T182" i="4"/>
  <c r="U182" i="4"/>
  <c r="V182" i="4"/>
  <c r="W182" i="4"/>
  <c r="X182" i="4"/>
  <c r="Y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AC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AD185" i="4" s="1"/>
  <c r="N185" i="4"/>
  <c r="O185" i="4"/>
  <c r="P185" i="4"/>
  <c r="Q185" i="4"/>
  <c r="R185" i="4"/>
  <c r="S185" i="4"/>
  <c r="T185" i="4"/>
  <c r="U185" i="4"/>
  <c r="V185" i="4"/>
  <c r="W185" i="4"/>
  <c r="X185" i="4"/>
  <c r="Y185" i="4"/>
  <c r="AC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AC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AC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B192" i="4"/>
  <c r="C192" i="4"/>
  <c r="D192" i="4"/>
  <c r="E192" i="4"/>
  <c r="F192" i="4"/>
  <c r="G192" i="4"/>
  <c r="H192" i="4"/>
  <c r="I192" i="4"/>
  <c r="J192" i="4"/>
  <c r="K192" i="4"/>
  <c r="L192" i="4"/>
  <c r="L1072" i="4" s="1"/>
  <c r="M192" i="4"/>
  <c r="N192" i="4"/>
  <c r="O192" i="4"/>
  <c r="P192" i="4"/>
  <c r="Q192" i="4"/>
  <c r="R192" i="4"/>
  <c r="S192" i="4"/>
  <c r="T192" i="4"/>
  <c r="T1072" i="4" s="1"/>
  <c r="U192" i="4"/>
  <c r="V192" i="4"/>
  <c r="W192" i="4"/>
  <c r="X192" i="4"/>
  <c r="Y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AD194" i="4" s="1"/>
  <c r="Q194" i="4"/>
  <c r="R194" i="4"/>
  <c r="S194" i="4"/>
  <c r="T194" i="4"/>
  <c r="U194" i="4"/>
  <c r="V194" i="4"/>
  <c r="W194" i="4"/>
  <c r="X194" i="4"/>
  <c r="Y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AC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AC197" i="4"/>
  <c r="AD197" i="4"/>
  <c r="B198" i="4"/>
  <c r="C198" i="4"/>
  <c r="D198" i="4"/>
  <c r="E198" i="4"/>
  <c r="F198" i="4"/>
  <c r="G198" i="4"/>
  <c r="H198" i="4"/>
  <c r="AC198" i="4" s="1"/>
  <c r="I198" i="4"/>
  <c r="J198" i="4"/>
  <c r="K198" i="4"/>
  <c r="L198" i="4"/>
  <c r="M198" i="4"/>
  <c r="N198" i="4"/>
  <c r="O198" i="4"/>
  <c r="P198" i="4"/>
  <c r="AD198" i="4" s="1"/>
  <c r="Q198" i="4"/>
  <c r="R198" i="4"/>
  <c r="S198" i="4"/>
  <c r="T198" i="4"/>
  <c r="U198" i="4"/>
  <c r="V198" i="4"/>
  <c r="W198" i="4"/>
  <c r="X198" i="4"/>
  <c r="Y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AD202" i="4" s="1"/>
  <c r="Q202" i="4"/>
  <c r="R202" i="4"/>
  <c r="S202" i="4"/>
  <c r="T202" i="4"/>
  <c r="U202" i="4"/>
  <c r="V202" i="4"/>
  <c r="W202" i="4"/>
  <c r="X202" i="4"/>
  <c r="Y202" i="4"/>
  <c r="B203" i="4"/>
  <c r="C203" i="4"/>
  <c r="AC203" i="4" s="1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AC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AD209" i="4" s="1"/>
  <c r="N209" i="4"/>
  <c r="O209" i="4"/>
  <c r="P209" i="4"/>
  <c r="Q209" i="4"/>
  <c r="R209" i="4"/>
  <c r="S209" i="4"/>
  <c r="T209" i="4"/>
  <c r="U209" i="4"/>
  <c r="V209" i="4"/>
  <c r="W209" i="4"/>
  <c r="X209" i="4"/>
  <c r="Y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AD210" i="4" s="1"/>
  <c r="N210" i="4"/>
  <c r="O210" i="4"/>
  <c r="P210" i="4"/>
  <c r="Q210" i="4"/>
  <c r="R210" i="4"/>
  <c r="S210" i="4"/>
  <c r="T210" i="4"/>
  <c r="U210" i="4"/>
  <c r="V210" i="4"/>
  <c r="W210" i="4"/>
  <c r="X210" i="4"/>
  <c r="Y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AD213" i="4" s="1"/>
  <c r="Q213" i="4"/>
  <c r="R213" i="4"/>
  <c r="S213" i="4"/>
  <c r="T213" i="4"/>
  <c r="U213" i="4"/>
  <c r="V213" i="4"/>
  <c r="W213" i="4"/>
  <c r="X213" i="4"/>
  <c r="Y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AD214" i="4" s="1"/>
  <c r="P214" i="4"/>
  <c r="Q214" i="4"/>
  <c r="R214" i="4"/>
  <c r="S214" i="4"/>
  <c r="T214" i="4"/>
  <c r="U214" i="4"/>
  <c r="V214" i="4"/>
  <c r="W214" i="4"/>
  <c r="X214" i="4"/>
  <c r="Y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B216" i="4"/>
  <c r="C216" i="4"/>
  <c r="D216" i="4"/>
  <c r="E216" i="4"/>
  <c r="F216" i="4"/>
  <c r="F1074" i="4" s="1"/>
  <c r="G216" i="4"/>
  <c r="H216" i="4"/>
  <c r="I216" i="4"/>
  <c r="J216" i="4"/>
  <c r="K216" i="4"/>
  <c r="L216" i="4"/>
  <c r="M216" i="4"/>
  <c r="N216" i="4"/>
  <c r="N1074" i="4" s="1"/>
  <c r="O216" i="4"/>
  <c r="P216" i="4"/>
  <c r="Q216" i="4"/>
  <c r="R216" i="4"/>
  <c r="S216" i="4"/>
  <c r="T216" i="4"/>
  <c r="U216" i="4"/>
  <c r="V216" i="4"/>
  <c r="W216" i="4"/>
  <c r="X216" i="4"/>
  <c r="Y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AD217" i="4" s="1"/>
  <c r="O217" i="4"/>
  <c r="P217" i="4"/>
  <c r="Q217" i="4"/>
  <c r="R217" i="4"/>
  <c r="S217" i="4"/>
  <c r="T217" i="4"/>
  <c r="U217" i="4"/>
  <c r="V217" i="4"/>
  <c r="W217" i="4"/>
  <c r="X217" i="4"/>
  <c r="Y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AD219" i="4" s="1"/>
  <c r="O219" i="4"/>
  <c r="P219" i="4"/>
  <c r="Q219" i="4"/>
  <c r="R219" i="4"/>
  <c r="S219" i="4"/>
  <c r="T219" i="4"/>
  <c r="U219" i="4"/>
  <c r="V219" i="4"/>
  <c r="W219" i="4"/>
  <c r="X219" i="4"/>
  <c r="Y219" i="4"/>
  <c r="AC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AD220" i="4" s="1"/>
  <c r="N220" i="4"/>
  <c r="O220" i="4"/>
  <c r="P220" i="4"/>
  <c r="Q220" i="4"/>
  <c r="R220" i="4"/>
  <c r="S220" i="4"/>
  <c r="T220" i="4"/>
  <c r="U220" i="4"/>
  <c r="V220" i="4"/>
  <c r="W220" i="4"/>
  <c r="X220" i="4"/>
  <c r="Y220" i="4"/>
  <c r="B221" i="4"/>
  <c r="C221" i="4"/>
  <c r="D221" i="4"/>
  <c r="E221" i="4"/>
  <c r="AC221" i="4" s="1"/>
  <c r="F221" i="4"/>
  <c r="G221" i="4"/>
  <c r="H221" i="4"/>
  <c r="I221" i="4"/>
  <c r="J221" i="4"/>
  <c r="K221" i="4"/>
  <c r="L221" i="4"/>
  <c r="M221" i="4"/>
  <c r="AD221" i="4" s="1"/>
  <c r="N221" i="4"/>
  <c r="O221" i="4"/>
  <c r="P221" i="4"/>
  <c r="Q221" i="4"/>
  <c r="R221" i="4"/>
  <c r="S221" i="4"/>
  <c r="T221" i="4"/>
  <c r="U221" i="4"/>
  <c r="V221" i="4"/>
  <c r="W221" i="4"/>
  <c r="X221" i="4"/>
  <c r="Y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AD226" i="4" s="1"/>
  <c r="P226" i="4"/>
  <c r="Q226" i="4"/>
  <c r="R226" i="4"/>
  <c r="S226" i="4"/>
  <c r="T226" i="4"/>
  <c r="U226" i="4"/>
  <c r="V226" i="4"/>
  <c r="W226" i="4"/>
  <c r="X226" i="4"/>
  <c r="Y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AC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AD229" i="4" s="1"/>
  <c r="N229" i="4"/>
  <c r="O229" i="4"/>
  <c r="P229" i="4"/>
  <c r="Q229" i="4"/>
  <c r="R229" i="4"/>
  <c r="S229" i="4"/>
  <c r="T229" i="4"/>
  <c r="U229" i="4"/>
  <c r="V229" i="4"/>
  <c r="W229" i="4"/>
  <c r="X229" i="4"/>
  <c r="Y229" i="4"/>
  <c r="B230" i="4"/>
  <c r="C230" i="4"/>
  <c r="D230" i="4"/>
  <c r="AC230" i="4" s="1"/>
  <c r="E230" i="4"/>
  <c r="F230" i="4"/>
  <c r="G230" i="4"/>
  <c r="H230" i="4"/>
  <c r="I230" i="4"/>
  <c r="J230" i="4"/>
  <c r="K230" i="4"/>
  <c r="L230" i="4"/>
  <c r="M230" i="4"/>
  <c r="N230" i="4"/>
  <c r="O230" i="4"/>
  <c r="P230" i="4"/>
  <c r="AD230" i="4" s="1"/>
  <c r="Q230" i="4"/>
  <c r="R230" i="4"/>
  <c r="S230" i="4"/>
  <c r="T230" i="4"/>
  <c r="U230" i="4"/>
  <c r="V230" i="4"/>
  <c r="W230" i="4"/>
  <c r="X230" i="4"/>
  <c r="Y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AD234" i="4" s="1"/>
  <c r="P234" i="4"/>
  <c r="Q234" i="4"/>
  <c r="R234" i="4"/>
  <c r="S234" i="4"/>
  <c r="T234" i="4"/>
  <c r="U234" i="4"/>
  <c r="V234" i="4"/>
  <c r="W234" i="4"/>
  <c r="X234" i="4"/>
  <c r="Y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AC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AD237" i="4" s="1"/>
  <c r="N237" i="4"/>
  <c r="O237" i="4"/>
  <c r="P237" i="4"/>
  <c r="Q237" i="4"/>
  <c r="R237" i="4"/>
  <c r="S237" i="4"/>
  <c r="T237" i="4"/>
  <c r="U237" i="4"/>
  <c r="V237" i="4"/>
  <c r="W237" i="4"/>
  <c r="X237" i="4"/>
  <c r="Y237" i="4"/>
  <c r="AC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AD242" i="4" s="1"/>
  <c r="N242" i="4"/>
  <c r="O242" i="4"/>
  <c r="P242" i="4"/>
  <c r="Q242" i="4"/>
  <c r="R242" i="4"/>
  <c r="S242" i="4"/>
  <c r="T242" i="4"/>
  <c r="U242" i="4"/>
  <c r="V242" i="4"/>
  <c r="W242" i="4"/>
  <c r="X242" i="4"/>
  <c r="Y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AD246" i="4" s="1"/>
  <c r="P246" i="4"/>
  <c r="Q246" i="4"/>
  <c r="R246" i="4"/>
  <c r="S246" i="4"/>
  <c r="T246" i="4"/>
  <c r="U246" i="4"/>
  <c r="V246" i="4"/>
  <c r="W246" i="4"/>
  <c r="X246" i="4"/>
  <c r="Y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AC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AD252" i="4" s="1"/>
  <c r="N252" i="4"/>
  <c r="O252" i="4"/>
  <c r="P252" i="4"/>
  <c r="Q252" i="4"/>
  <c r="R252" i="4"/>
  <c r="S252" i="4"/>
  <c r="T252" i="4"/>
  <c r="U252" i="4"/>
  <c r="V252" i="4"/>
  <c r="W252" i="4"/>
  <c r="X252" i="4"/>
  <c r="Y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AD253" i="4" s="1"/>
  <c r="N253" i="4"/>
  <c r="O253" i="4"/>
  <c r="P253" i="4"/>
  <c r="Q253" i="4"/>
  <c r="R253" i="4"/>
  <c r="S253" i="4"/>
  <c r="T253" i="4"/>
  <c r="U253" i="4"/>
  <c r="V253" i="4"/>
  <c r="W253" i="4"/>
  <c r="X253" i="4"/>
  <c r="Y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AD254" i="4" s="1"/>
  <c r="Q254" i="4"/>
  <c r="R254" i="4"/>
  <c r="S254" i="4"/>
  <c r="T254" i="4"/>
  <c r="U254" i="4"/>
  <c r="V254" i="4"/>
  <c r="W254" i="4"/>
  <c r="X254" i="4"/>
  <c r="Y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AD258" i="4" s="1"/>
  <c r="N258" i="4"/>
  <c r="O258" i="4"/>
  <c r="P258" i="4"/>
  <c r="Q258" i="4"/>
  <c r="R258" i="4"/>
  <c r="S258" i="4"/>
  <c r="T258" i="4"/>
  <c r="U258" i="4"/>
  <c r="V258" i="4"/>
  <c r="W258" i="4"/>
  <c r="X258" i="4"/>
  <c r="Y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AC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AD261" i="4"/>
  <c r="B262" i="4"/>
  <c r="C262" i="4"/>
  <c r="D262" i="4"/>
  <c r="AC262" i="4" s="1"/>
  <c r="E262" i="4"/>
  <c r="F262" i="4"/>
  <c r="G262" i="4"/>
  <c r="H262" i="4"/>
  <c r="I262" i="4"/>
  <c r="J262" i="4"/>
  <c r="K262" i="4"/>
  <c r="L262" i="4"/>
  <c r="M262" i="4"/>
  <c r="N262" i="4"/>
  <c r="O262" i="4"/>
  <c r="P262" i="4"/>
  <c r="AD262" i="4" s="1"/>
  <c r="Q262" i="4"/>
  <c r="R262" i="4"/>
  <c r="S262" i="4"/>
  <c r="T262" i="4"/>
  <c r="U262" i="4"/>
  <c r="V262" i="4"/>
  <c r="W262" i="4"/>
  <c r="X262" i="4"/>
  <c r="Y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AD265" i="4" s="1"/>
  <c r="N265" i="4"/>
  <c r="O265" i="4"/>
  <c r="P265" i="4"/>
  <c r="Q265" i="4"/>
  <c r="R265" i="4"/>
  <c r="S265" i="4"/>
  <c r="T265" i="4"/>
  <c r="U265" i="4"/>
  <c r="V265" i="4"/>
  <c r="W265" i="4"/>
  <c r="X265" i="4"/>
  <c r="Y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AD270" i="4" s="1"/>
  <c r="P270" i="4"/>
  <c r="Q270" i="4"/>
  <c r="R270" i="4"/>
  <c r="S270" i="4"/>
  <c r="T270" i="4"/>
  <c r="U270" i="4"/>
  <c r="V270" i="4"/>
  <c r="W270" i="4"/>
  <c r="X270" i="4"/>
  <c r="Y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AD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B276" i="4"/>
  <c r="C276" i="4"/>
  <c r="D276" i="4"/>
  <c r="E276" i="4"/>
  <c r="E1079" i="4" s="1"/>
  <c r="F276" i="4"/>
  <c r="G276" i="4"/>
  <c r="H276" i="4"/>
  <c r="I276" i="4"/>
  <c r="J276" i="4"/>
  <c r="K276" i="4"/>
  <c r="L276" i="4"/>
  <c r="M276" i="4"/>
  <c r="AD276" i="4" s="1"/>
  <c r="N276" i="4"/>
  <c r="O276" i="4"/>
  <c r="P276" i="4"/>
  <c r="Q276" i="4"/>
  <c r="R276" i="4"/>
  <c r="S276" i="4"/>
  <c r="T276" i="4"/>
  <c r="U276" i="4"/>
  <c r="V276" i="4"/>
  <c r="W276" i="4"/>
  <c r="X276" i="4"/>
  <c r="Y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B278" i="4"/>
  <c r="C278" i="4"/>
  <c r="D278" i="4"/>
  <c r="AC278" i="4" s="1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B279" i="4"/>
  <c r="C279" i="4"/>
  <c r="D279" i="4"/>
  <c r="E279" i="4"/>
  <c r="F279" i="4"/>
  <c r="G279" i="4"/>
  <c r="H279" i="4"/>
  <c r="AC279" i="4" s="1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B281" i="4"/>
  <c r="C281" i="4"/>
  <c r="AC281" i="4" s="1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AD286" i="4" s="1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AD291" i="4" s="1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AD293" i="4"/>
  <c r="B294" i="4"/>
  <c r="C294" i="4"/>
  <c r="D294" i="4"/>
  <c r="E294" i="4"/>
  <c r="AC294" i="4" s="1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AD298" i="4" s="1"/>
  <c r="Q298" i="4"/>
  <c r="R298" i="4"/>
  <c r="S298" i="4"/>
  <c r="T298" i="4"/>
  <c r="U298" i="4"/>
  <c r="V298" i="4"/>
  <c r="W298" i="4"/>
  <c r="X298" i="4"/>
  <c r="Y298" i="4"/>
  <c r="B299" i="4"/>
  <c r="C299" i="4"/>
  <c r="AC299" i="4" s="1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AD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AD302" i="4" s="1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AD306" i="4" s="1"/>
  <c r="Q306" i="4"/>
  <c r="R306" i="4"/>
  <c r="S306" i="4"/>
  <c r="T306" i="4"/>
  <c r="U306" i="4"/>
  <c r="V306" i="4"/>
  <c r="W306" i="4"/>
  <c r="X306" i="4"/>
  <c r="Y306" i="4"/>
  <c r="B307" i="4"/>
  <c r="C307" i="4"/>
  <c r="AC307" i="4" s="1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AD309" i="4" s="1"/>
  <c r="O309" i="4"/>
  <c r="P309" i="4"/>
  <c r="Q309" i="4"/>
  <c r="R309" i="4"/>
  <c r="S309" i="4"/>
  <c r="T309" i="4"/>
  <c r="U309" i="4"/>
  <c r="V309" i="4"/>
  <c r="W309" i="4"/>
  <c r="X309" i="4"/>
  <c r="Y309" i="4"/>
  <c r="AC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AD310" i="4" s="1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E1082" i="4" s="1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AD314" i="4" s="1"/>
  <c r="Q314" i="4"/>
  <c r="R314" i="4"/>
  <c r="S314" i="4"/>
  <c r="T314" i="4"/>
  <c r="U314" i="4"/>
  <c r="V314" i="4"/>
  <c r="W314" i="4"/>
  <c r="X314" i="4"/>
  <c r="Y314" i="4"/>
  <c r="B315" i="4"/>
  <c r="C315" i="4"/>
  <c r="AC315" i="4" s="1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AD318" i="4"/>
  <c r="B319" i="4"/>
  <c r="C319" i="4"/>
  <c r="D319" i="4"/>
  <c r="E319" i="4"/>
  <c r="AC319" i="4" s="1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AC321" i="4" s="1"/>
  <c r="E321" i="4"/>
  <c r="F321" i="4"/>
  <c r="G321" i="4"/>
  <c r="H321" i="4"/>
  <c r="I321" i="4"/>
  <c r="J321" i="4"/>
  <c r="K321" i="4"/>
  <c r="L321" i="4"/>
  <c r="M321" i="4"/>
  <c r="N321" i="4"/>
  <c r="O321" i="4"/>
  <c r="P321" i="4"/>
  <c r="AD321" i="4" s="1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AD326" i="4"/>
  <c r="B327" i="4"/>
  <c r="C327" i="4"/>
  <c r="D327" i="4"/>
  <c r="E327" i="4"/>
  <c r="AC327" i="4" s="1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AC329" i="4" s="1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AC333" i="4" s="1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AD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AD336" i="4" s="1"/>
  <c r="N336" i="4"/>
  <c r="O336" i="4"/>
  <c r="P336" i="4"/>
  <c r="Q336" i="4"/>
  <c r="R336" i="4"/>
  <c r="S336" i="4"/>
  <c r="T336" i="4"/>
  <c r="U336" i="4"/>
  <c r="U1084" i="4" s="1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AD338" i="4" s="1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AC339" i="4" s="1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AD341" i="4" s="1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AD345" i="4"/>
  <c r="B346" i="4"/>
  <c r="C346" i="4"/>
  <c r="D346" i="4"/>
  <c r="E346" i="4"/>
  <c r="F346" i="4"/>
  <c r="G346" i="4"/>
  <c r="H346" i="4"/>
  <c r="I346" i="4"/>
  <c r="AC346" i="4" s="1"/>
  <c r="J346" i="4"/>
  <c r="K346" i="4"/>
  <c r="L346" i="4"/>
  <c r="M346" i="4"/>
  <c r="AD346" i="4" s="1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AD350" i="4" s="1"/>
  <c r="Q350" i="4"/>
  <c r="R350" i="4"/>
  <c r="S350" i="4"/>
  <c r="T350" i="4"/>
  <c r="U350" i="4"/>
  <c r="V350" i="4"/>
  <c r="W350" i="4"/>
  <c r="X350" i="4"/>
  <c r="Y350" i="4"/>
  <c r="B351" i="4"/>
  <c r="C351" i="4"/>
  <c r="AC351" i="4" s="1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AD353" i="4"/>
  <c r="B354" i="4"/>
  <c r="C354" i="4"/>
  <c r="D354" i="4"/>
  <c r="E354" i="4"/>
  <c r="AC354" i="4" s="1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AC358" i="4" s="1"/>
  <c r="E358" i="4"/>
  <c r="F358" i="4"/>
  <c r="G358" i="4"/>
  <c r="H358" i="4"/>
  <c r="I358" i="4"/>
  <c r="J358" i="4"/>
  <c r="K358" i="4"/>
  <c r="L358" i="4"/>
  <c r="M358" i="4"/>
  <c r="N358" i="4"/>
  <c r="O358" i="4"/>
  <c r="P358" i="4"/>
  <c r="AD358" i="4" s="1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W1086" i="4" s="1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AC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AD365" i="4" s="1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AC366" i="4" s="1"/>
  <c r="F366" i="4"/>
  <c r="G366" i="4"/>
  <c r="H366" i="4"/>
  <c r="I366" i="4"/>
  <c r="J366" i="4"/>
  <c r="K366" i="4"/>
  <c r="L366" i="4"/>
  <c r="M366" i="4"/>
  <c r="AD366" i="4" s="1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AD370" i="4" s="1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AC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AC378" i="4"/>
  <c r="AD378" i="4"/>
  <c r="B379" i="4"/>
  <c r="C379" i="4"/>
  <c r="D379" i="4"/>
  <c r="E379" i="4"/>
  <c r="F379" i="4"/>
  <c r="G379" i="4"/>
  <c r="H379" i="4"/>
  <c r="AC379" i="4" s="1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AD382" i="4" s="1"/>
  <c r="Q382" i="4"/>
  <c r="R382" i="4"/>
  <c r="S382" i="4"/>
  <c r="T382" i="4"/>
  <c r="U382" i="4"/>
  <c r="V382" i="4"/>
  <c r="W382" i="4"/>
  <c r="X382" i="4"/>
  <c r="Y382" i="4"/>
  <c r="B383" i="4"/>
  <c r="C383" i="4"/>
  <c r="AC383" i="4" s="1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AD386" i="4" s="1"/>
  <c r="Q386" i="4"/>
  <c r="R386" i="4"/>
  <c r="S386" i="4"/>
  <c r="T386" i="4"/>
  <c r="U386" i="4"/>
  <c r="V386" i="4"/>
  <c r="W386" i="4"/>
  <c r="X386" i="4"/>
  <c r="Y386" i="4"/>
  <c r="AC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AD389" i="4" s="1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AD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AD394" i="4" s="1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AC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AD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AD406" i="4"/>
  <c r="B407" i="4"/>
  <c r="C407" i="4"/>
  <c r="D407" i="4"/>
  <c r="E407" i="4"/>
  <c r="F407" i="4"/>
  <c r="G407" i="4"/>
  <c r="AC407" i="4" s="1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AC416" i="4" s="1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AD417" i="4" s="1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AD418" i="4" s="1"/>
  <c r="O418" i="4"/>
  <c r="P418" i="4"/>
  <c r="Q418" i="4"/>
  <c r="R418" i="4"/>
  <c r="S418" i="4"/>
  <c r="T418" i="4"/>
  <c r="U418" i="4"/>
  <c r="V418" i="4"/>
  <c r="W418" i="4"/>
  <c r="X418" i="4"/>
  <c r="Y418" i="4"/>
  <c r="AC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AD420" i="4" s="1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AC428" i="4" s="1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AC429" i="4" s="1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AC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AC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AD437" i="4" s="1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AD438" i="4" s="1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AD442" i="4" s="1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AC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AC447" i="4" s="1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AC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AC454" i="4" s="1"/>
  <c r="E454" i="4"/>
  <c r="F454" i="4"/>
  <c r="G454" i="4"/>
  <c r="H454" i="4"/>
  <c r="I454" i="4"/>
  <c r="J454" i="4"/>
  <c r="K454" i="4"/>
  <c r="L454" i="4"/>
  <c r="M454" i="4"/>
  <c r="N454" i="4"/>
  <c r="O454" i="4"/>
  <c r="P454" i="4"/>
  <c r="AD454" i="4" s="1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AC458" i="4"/>
  <c r="AD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AC463" i="4" s="1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AC464" i="4" s="1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AD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AD467" i="4" s="1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E1095" i="4" s="1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U1095" i="4" s="1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AD470" i="4"/>
  <c r="B471" i="4"/>
  <c r="C471" i="4"/>
  <c r="D471" i="4"/>
  <c r="E471" i="4"/>
  <c r="F471" i="4"/>
  <c r="G471" i="4"/>
  <c r="H471" i="4"/>
  <c r="I471" i="4"/>
  <c r="AC471" i="4" s="1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AD474" i="4" s="1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AC480" i="4" s="1"/>
  <c r="E480" i="4"/>
  <c r="F480" i="4"/>
  <c r="G480" i="4"/>
  <c r="H480" i="4"/>
  <c r="I480" i="4"/>
  <c r="J480" i="4"/>
  <c r="J1096" i="4" s="1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AC481" i="4"/>
  <c r="AD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AD486" i="4" s="1"/>
  <c r="Q486" i="4"/>
  <c r="R486" i="4"/>
  <c r="S486" i="4"/>
  <c r="T486" i="4"/>
  <c r="U486" i="4"/>
  <c r="V486" i="4"/>
  <c r="W486" i="4"/>
  <c r="X486" i="4"/>
  <c r="Y486" i="4"/>
  <c r="B487" i="4"/>
  <c r="C487" i="4"/>
  <c r="D487" i="4"/>
  <c r="AC487" i="4" s="1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AD490" i="4" s="1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AC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AD493" i="4" s="1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AD497" i="4" s="1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AD502" i="4" s="1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AC506" i="4" s="1"/>
  <c r="E506" i="4"/>
  <c r="F506" i="4"/>
  <c r="G506" i="4"/>
  <c r="H506" i="4"/>
  <c r="I506" i="4"/>
  <c r="J506" i="4"/>
  <c r="K506" i="4"/>
  <c r="L506" i="4"/>
  <c r="M506" i="4"/>
  <c r="N506" i="4"/>
  <c r="O506" i="4"/>
  <c r="P506" i="4"/>
  <c r="AD506" i="4" s="1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AC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AD512" i="4" s="1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AD513" i="4" s="1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AC514" i="4" s="1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AD517" i="4" s="1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AD522" i="4" s="1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AC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AD528" i="4" s="1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AC533" i="4" s="1"/>
  <c r="F533" i="4"/>
  <c r="G533" i="4"/>
  <c r="H533" i="4"/>
  <c r="I533" i="4"/>
  <c r="J533" i="4"/>
  <c r="K533" i="4"/>
  <c r="L533" i="4"/>
  <c r="M533" i="4"/>
  <c r="AD533" i="4" s="1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AC539" i="4" s="1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AC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AD543" i="4" s="1"/>
  <c r="O543" i="4"/>
  <c r="P543" i="4"/>
  <c r="Q543" i="4"/>
  <c r="R543" i="4"/>
  <c r="S543" i="4"/>
  <c r="T543" i="4"/>
  <c r="U543" i="4"/>
  <c r="V543" i="4"/>
  <c r="W543" i="4"/>
  <c r="X543" i="4"/>
  <c r="Y543" i="4"/>
  <c r="AC543" i="4"/>
  <c r="B544" i="4"/>
  <c r="C544" i="4"/>
  <c r="AC544" i="4" s="1"/>
  <c r="D544" i="4"/>
  <c r="E544" i="4"/>
  <c r="F544" i="4"/>
  <c r="G544" i="4"/>
  <c r="H544" i="4"/>
  <c r="I544" i="4"/>
  <c r="J544" i="4"/>
  <c r="K544" i="4"/>
  <c r="L544" i="4"/>
  <c r="M544" i="4"/>
  <c r="AD544" i="4" s="1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AD545" i="4" s="1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AC549" i="4" s="1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AD549" i="4" s="1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E1102" i="4" s="1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AD554" i="4" s="1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AC556" i="4"/>
  <c r="B557" i="4"/>
  <c r="C557" i="4"/>
  <c r="AC557" i="4" s="1"/>
  <c r="D557" i="4"/>
  <c r="E557" i="4"/>
  <c r="F557" i="4"/>
  <c r="G557" i="4"/>
  <c r="H557" i="4"/>
  <c r="I557" i="4"/>
  <c r="J557" i="4"/>
  <c r="K557" i="4"/>
  <c r="L557" i="4"/>
  <c r="M557" i="4"/>
  <c r="AD557" i="4" s="1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AC559" i="4" s="1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AC560" i="4" s="1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AD562" i="4" s="1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AD563" i="4" s="1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AD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AD566" i="4" s="1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AC573" i="4" s="1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B1104" i="4" s="1"/>
  <c r="C576" i="4"/>
  <c r="AC576" i="4" s="1"/>
  <c r="D576" i="4"/>
  <c r="E576" i="4"/>
  <c r="F576" i="4"/>
  <c r="G576" i="4"/>
  <c r="H576" i="4"/>
  <c r="I576" i="4"/>
  <c r="J576" i="4"/>
  <c r="K576" i="4"/>
  <c r="L576" i="4"/>
  <c r="M576" i="4"/>
  <c r="AD576" i="4" s="1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AC577" i="4" s="1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AD582" i="4"/>
  <c r="B583" i="4"/>
  <c r="C583" i="4"/>
  <c r="D583" i="4"/>
  <c r="E583" i="4"/>
  <c r="AC583" i="4" s="1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AC586" i="4" s="1"/>
  <c r="D586" i="4"/>
  <c r="E586" i="4"/>
  <c r="F586" i="4"/>
  <c r="G586" i="4"/>
  <c r="H586" i="4"/>
  <c r="I586" i="4"/>
  <c r="J586" i="4"/>
  <c r="K586" i="4"/>
  <c r="L586" i="4"/>
  <c r="M586" i="4"/>
  <c r="AD586" i="4" s="1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AD590" i="4" s="1"/>
  <c r="O590" i="4"/>
  <c r="P590" i="4"/>
  <c r="Q590" i="4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AD591" i="4" s="1"/>
  <c r="O591" i="4"/>
  <c r="P591" i="4"/>
  <c r="Q591" i="4"/>
  <c r="R591" i="4"/>
  <c r="S591" i="4"/>
  <c r="T591" i="4"/>
  <c r="U591" i="4"/>
  <c r="V591" i="4"/>
  <c r="W591" i="4"/>
  <c r="X591" i="4"/>
  <c r="Y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AD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AD598" i="4" s="1"/>
  <c r="N598" i="4"/>
  <c r="O598" i="4"/>
  <c r="P598" i="4"/>
  <c r="Q598" i="4"/>
  <c r="R598" i="4"/>
  <c r="S598" i="4"/>
  <c r="T598" i="4"/>
  <c r="U598" i="4"/>
  <c r="V598" i="4"/>
  <c r="W598" i="4"/>
  <c r="X598" i="4"/>
  <c r="Y598" i="4"/>
  <c r="B599" i="4"/>
  <c r="C599" i="4"/>
  <c r="AC599" i="4" s="1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B602" i="4"/>
  <c r="C602" i="4"/>
  <c r="AC602" i="4" s="1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AD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AD605" i="4" s="1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AD608" i="4" s="1"/>
  <c r="N608" i="4"/>
  <c r="O608" i="4"/>
  <c r="P608" i="4"/>
  <c r="Q608" i="4"/>
  <c r="R608" i="4"/>
  <c r="S608" i="4"/>
  <c r="T608" i="4"/>
  <c r="U608" i="4"/>
  <c r="V608" i="4"/>
  <c r="W608" i="4"/>
  <c r="X608" i="4"/>
  <c r="Y608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AD609" i="4" s="1"/>
  <c r="N609" i="4"/>
  <c r="O609" i="4"/>
  <c r="P609" i="4"/>
  <c r="Q609" i="4"/>
  <c r="R609" i="4"/>
  <c r="S609" i="4"/>
  <c r="T609" i="4"/>
  <c r="U609" i="4"/>
  <c r="V609" i="4"/>
  <c r="W609" i="4"/>
  <c r="X609" i="4"/>
  <c r="Y609" i="4"/>
  <c r="B610" i="4"/>
  <c r="C610" i="4"/>
  <c r="D610" i="4"/>
  <c r="E610" i="4"/>
  <c r="F610" i="4"/>
  <c r="G610" i="4"/>
  <c r="H610" i="4"/>
  <c r="AC610" i="4" s="1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AD614" i="4" s="1"/>
  <c r="Q614" i="4"/>
  <c r="R614" i="4"/>
  <c r="S614" i="4"/>
  <c r="T614" i="4"/>
  <c r="U614" i="4"/>
  <c r="V614" i="4"/>
  <c r="W614" i="4"/>
  <c r="X614" i="4"/>
  <c r="Y614" i="4"/>
  <c r="B615" i="4"/>
  <c r="C615" i="4"/>
  <c r="AC615" i="4" s="1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AC618" i="4" s="1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AD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AD621" i="4" s="1"/>
  <c r="N621" i="4"/>
  <c r="O621" i="4"/>
  <c r="P621" i="4"/>
  <c r="Q621" i="4"/>
  <c r="R621" i="4"/>
  <c r="S621" i="4"/>
  <c r="T621" i="4"/>
  <c r="U621" i="4"/>
  <c r="V621" i="4"/>
  <c r="W621" i="4"/>
  <c r="X621" i="4"/>
  <c r="Y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AD624" i="4" s="1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AD625" i="4" s="1"/>
  <c r="N625" i="4"/>
  <c r="O625" i="4"/>
  <c r="P625" i="4"/>
  <c r="Q625" i="4"/>
  <c r="R625" i="4"/>
  <c r="S625" i="4"/>
  <c r="T625" i="4"/>
  <c r="U625" i="4"/>
  <c r="V625" i="4"/>
  <c r="W625" i="4"/>
  <c r="X625" i="4"/>
  <c r="Y625" i="4"/>
  <c r="B626" i="4"/>
  <c r="C626" i="4"/>
  <c r="AC626" i="4" s="1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C629" i="4"/>
  <c r="AC629" i="4" s="1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AD629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AD632" i="4" s="1"/>
  <c r="N632" i="4"/>
  <c r="O632" i="4"/>
  <c r="P632" i="4"/>
  <c r="Q632" i="4"/>
  <c r="R632" i="4"/>
  <c r="S632" i="4"/>
  <c r="T632" i="4"/>
  <c r="U632" i="4"/>
  <c r="V632" i="4"/>
  <c r="W632" i="4"/>
  <c r="X632" i="4"/>
  <c r="Y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AD633" i="4" s="1"/>
  <c r="N633" i="4"/>
  <c r="O633" i="4"/>
  <c r="P633" i="4"/>
  <c r="Q633" i="4"/>
  <c r="R633" i="4"/>
  <c r="S633" i="4"/>
  <c r="T633" i="4"/>
  <c r="U633" i="4"/>
  <c r="V633" i="4"/>
  <c r="W633" i="4"/>
  <c r="X633" i="4"/>
  <c r="Y633" i="4"/>
  <c r="B634" i="4"/>
  <c r="C634" i="4"/>
  <c r="D634" i="4"/>
  <c r="E634" i="4"/>
  <c r="AC634" i="4" s="1"/>
  <c r="F634" i="4"/>
  <c r="G634" i="4"/>
  <c r="H634" i="4"/>
  <c r="I634" i="4"/>
  <c r="J634" i="4"/>
  <c r="K634" i="4"/>
  <c r="L634" i="4"/>
  <c r="M634" i="4"/>
  <c r="AD634" i="4" s="1"/>
  <c r="N634" i="4"/>
  <c r="O634" i="4"/>
  <c r="P634" i="4"/>
  <c r="Q634" i="4"/>
  <c r="R634" i="4"/>
  <c r="S634" i="4"/>
  <c r="T634" i="4"/>
  <c r="U634" i="4"/>
  <c r="V634" i="4"/>
  <c r="W634" i="4"/>
  <c r="X634" i="4"/>
  <c r="Y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AD639" i="4" s="1"/>
  <c r="P639" i="4"/>
  <c r="Q639" i="4"/>
  <c r="R639" i="4"/>
  <c r="S639" i="4"/>
  <c r="T639" i="4"/>
  <c r="U639" i="4"/>
  <c r="V639" i="4"/>
  <c r="W639" i="4"/>
  <c r="X639" i="4"/>
  <c r="Y639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AC640" i="4"/>
  <c r="B641" i="4"/>
  <c r="C641" i="4"/>
  <c r="D641" i="4"/>
  <c r="E641" i="4"/>
  <c r="AC641" i="4" s="1"/>
  <c r="F641" i="4"/>
  <c r="G641" i="4"/>
  <c r="H641" i="4"/>
  <c r="I641" i="4"/>
  <c r="J641" i="4"/>
  <c r="K641" i="4"/>
  <c r="L641" i="4"/>
  <c r="M641" i="4"/>
  <c r="AD641" i="4" s="1"/>
  <c r="N641" i="4"/>
  <c r="O641" i="4"/>
  <c r="P641" i="4"/>
  <c r="Q641" i="4"/>
  <c r="R641" i="4"/>
  <c r="S641" i="4"/>
  <c r="T641" i="4"/>
  <c r="U641" i="4"/>
  <c r="V641" i="4"/>
  <c r="W641" i="4"/>
  <c r="X641" i="4"/>
  <c r="Y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AD643" i="4" s="1"/>
  <c r="N643" i="4"/>
  <c r="O643" i="4"/>
  <c r="P643" i="4"/>
  <c r="Q643" i="4"/>
  <c r="R643" i="4"/>
  <c r="S643" i="4"/>
  <c r="T643" i="4"/>
  <c r="U643" i="4"/>
  <c r="V643" i="4"/>
  <c r="W643" i="4"/>
  <c r="X643" i="4"/>
  <c r="Y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B648" i="4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AD648" i="4" s="1"/>
  <c r="P648" i="4"/>
  <c r="Q648" i="4"/>
  <c r="R648" i="4"/>
  <c r="S648" i="4"/>
  <c r="T648" i="4"/>
  <c r="U648" i="4"/>
  <c r="V648" i="4"/>
  <c r="W648" i="4"/>
  <c r="X648" i="4"/>
  <c r="Y648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AC649" i="4"/>
  <c r="B650" i="4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B651" i="4"/>
  <c r="C651" i="4"/>
  <c r="D651" i="4"/>
  <c r="E651" i="4"/>
  <c r="F651" i="4"/>
  <c r="G651" i="4"/>
  <c r="H651" i="4"/>
  <c r="I651" i="4"/>
  <c r="J651" i="4"/>
  <c r="K651" i="4"/>
  <c r="L651" i="4"/>
  <c r="M651" i="4"/>
  <c r="AD651" i="4" s="1"/>
  <c r="N651" i="4"/>
  <c r="O651" i="4"/>
  <c r="P651" i="4"/>
  <c r="Q651" i="4"/>
  <c r="R651" i="4"/>
  <c r="S651" i="4"/>
  <c r="T651" i="4"/>
  <c r="U651" i="4"/>
  <c r="V651" i="4"/>
  <c r="W651" i="4"/>
  <c r="X651" i="4"/>
  <c r="Y651" i="4"/>
  <c r="B652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B653" i="4"/>
  <c r="C653" i="4"/>
  <c r="D653" i="4"/>
  <c r="E653" i="4"/>
  <c r="AC653" i="4" s="1"/>
  <c r="F653" i="4"/>
  <c r="G653" i="4"/>
  <c r="H653" i="4"/>
  <c r="I653" i="4"/>
  <c r="J653" i="4"/>
  <c r="K653" i="4"/>
  <c r="L653" i="4"/>
  <c r="M653" i="4"/>
  <c r="AD653" i="4" s="1"/>
  <c r="N653" i="4"/>
  <c r="O653" i="4"/>
  <c r="P653" i="4"/>
  <c r="Q653" i="4"/>
  <c r="R653" i="4"/>
  <c r="S653" i="4"/>
  <c r="T653" i="4"/>
  <c r="U653" i="4"/>
  <c r="V653" i="4"/>
  <c r="W653" i="4"/>
  <c r="X653" i="4"/>
  <c r="Y653" i="4"/>
  <c r="B654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B655" i="4"/>
  <c r="C655" i="4"/>
  <c r="AC655" i="4" s="1"/>
  <c r="D655" i="4"/>
  <c r="E655" i="4"/>
  <c r="F655" i="4"/>
  <c r="G655" i="4"/>
  <c r="H655" i="4"/>
  <c r="I655" i="4"/>
  <c r="J655" i="4"/>
  <c r="K655" i="4"/>
  <c r="L655" i="4"/>
  <c r="M655" i="4"/>
  <c r="AD655" i="4" s="1"/>
  <c r="N655" i="4"/>
  <c r="O655" i="4"/>
  <c r="P655" i="4"/>
  <c r="Q655" i="4"/>
  <c r="R655" i="4"/>
  <c r="S655" i="4"/>
  <c r="T655" i="4"/>
  <c r="U655" i="4"/>
  <c r="V655" i="4"/>
  <c r="W655" i="4"/>
  <c r="X655" i="4"/>
  <c r="Y655" i="4"/>
  <c r="B656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B657" i="4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B658" i="4"/>
  <c r="C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B659" i="4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B660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AD660" i="4"/>
  <c r="B661" i="4"/>
  <c r="C661" i="4"/>
  <c r="D661" i="4"/>
  <c r="E661" i="4"/>
  <c r="AC661" i="4" s="1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B662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B663" i="4"/>
  <c r="C663" i="4"/>
  <c r="AC663" i="4" s="1"/>
  <c r="D663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AD663" i="4" s="1"/>
  <c r="Q663" i="4"/>
  <c r="R663" i="4"/>
  <c r="S663" i="4"/>
  <c r="T663" i="4"/>
  <c r="U663" i="4"/>
  <c r="V663" i="4"/>
  <c r="W663" i="4"/>
  <c r="X663" i="4"/>
  <c r="Y663" i="4"/>
  <c r="B664" i="4"/>
  <c r="C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B665" i="4"/>
  <c r="C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T665" i="4"/>
  <c r="U665" i="4"/>
  <c r="V665" i="4"/>
  <c r="W665" i="4"/>
  <c r="X665" i="4"/>
  <c r="Y665" i="4"/>
  <c r="B666" i="4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B667" i="4"/>
  <c r="C667" i="4"/>
  <c r="D667" i="4"/>
  <c r="E667" i="4"/>
  <c r="F667" i="4"/>
  <c r="G667" i="4"/>
  <c r="H667" i="4"/>
  <c r="I667" i="4"/>
  <c r="J667" i="4"/>
  <c r="K667" i="4"/>
  <c r="L667" i="4"/>
  <c r="M667" i="4"/>
  <c r="AD667" i="4" s="1"/>
  <c r="N667" i="4"/>
  <c r="O667" i="4"/>
  <c r="P667" i="4"/>
  <c r="Q667" i="4"/>
  <c r="R667" i="4"/>
  <c r="S667" i="4"/>
  <c r="T667" i="4"/>
  <c r="U667" i="4"/>
  <c r="V667" i="4"/>
  <c r="W667" i="4"/>
  <c r="X667" i="4"/>
  <c r="Y667" i="4"/>
  <c r="AC667" i="4"/>
  <c r="B668" i="4"/>
  <c r="C668" i="4"/>
  <c r="D668" i="4"/>
  <c r="E668" i="4"/>
  <c r="F668" i="4"/>
  <c r="G668" i="4"/>
  <c r="H668" i="4"/>
  <c r="AC668" i="4" s="1"/>
  <c r="I668" i="4"/>
  <c r="J668" i="4"/>
  <c r="K668" i="4"/>
  <c r="L668" i="4"/>
  <c r="M668" i="4"/>
  <c r="N668" i="4"/>
  <c r="O668" i="4"/>
  <c r="P668" i="4"/>
  <c r="AD668" i="4" s="1"/>
  <c r="Q668" i="4"/>
  <c r="R668" i="4"/>
  <c r="S668" i="4"/>
  <c r="T668" i="4"/>
  <c r="U668" i="4"/>
  <c r="V668" i="4"/>
  <c r="W668" i="4"/>
  <c r="X668" i="4"/>
  <c r="Y668" i="4"/>
  <c r="B669" i="4"/>
  <c r="C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W669" i="4"/>
  <c r="X669" i="4"/>
  <c r="Y669" i="4"/>
  <c r="B670" i="4"/>
  <c r="C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B671" i="4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B672" i="4"/>
  <c r="C672" i="4"/>
  <c r="D672" i="4"/>
  <c r="E672" i="4"/>
  <c r="F672" i="4"/>
  <c r="G672" i="4"/>
  <c r="H672" i="4"/>
  <c r="I672" i="4"/>
  <c r="J672" i="4"/>
  <c r="K672" i="4"/>
  <c r="L672" i="4"/>
  <c r="M672" i="4"/>
  <c r="AD672" i="4" s="1"/>
  <c r="N672" i="4"/>
  <c r="O672" i="4"/>
  <c r="P672" i="4"/>
  <c r="Q672" i="4"/>
  <c r="R672" i="4"/>
  <c r="S672" i="4"/>
  <c r="T672" i="4"/>
  <c r="U672" i="4"/>
  <c r="V672" i="4"/>
  <c r="W672" i="4"/>
  <c r="X672" i="4"/>
  <c r="Y672" i="4"/>
  <c r="B673" i="4"/>
  <c r="C673" i="4"/>
  <c r="AC673" i="4" s="1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B674" i="4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B675" i="4"/>
  <c r="C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AD675" i="4"/>
  <c r="B676" i="4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B677" i="4"/>
  <c r="C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W677" i="4"/>
  <c r="X677" i="4"/>
  <c r="Y677" i="4"/>
  <c r="B678" i="4"/>
  <c r="C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B679" i="4"/>
  <c r="C679" i="4"/>
  <c r="D679" i="4"/>
  <c r="E679" i="4"/>
  <c r="F679" i="4"/>
  <c r="G679" i="4"/>
  <c r="H679" i="4"/>
  <c r="I679" i="4"/>
  <c r="J679" i="4"/>
  <c r="K679" i="4"/>
  <c r="L679" i="4"/>
  <c r="M679" i="4"/>
  <c r="AD679" i="4" s="1"/>
  <c r="N679" i="4"/>
  <c r="O679" i="4"/>
  <c r="P679" i="4"/>
  <c r="Q679" i="4"/>
  <c r="R679" i="4"/>
  <c r="S679" i="4"/>
  <c r="T679" i="4"/>
  <c r="U679" i="4"/>
  <c r="V679" i="4"/>
  <c r="W679" i="4"/>
  <c r="X679" i="4"/>
  <c r="Y679" i="4"/>
  <c r="B680" i="4"/>
  <c r="C680" i="4"/>
  <c r="D680" i="4"/>
  <c r="E680" i="4"/>
  <c r="F680" i="4"/>
  <c r="G680" i="4"/>
  <c r="H680" i="4"/>
  <c r="I680" i="4"/>
  <c r="J680" i="4"/>
  <c r="K680" i="4"/>
  <c r="L680" i="4"/>
  <c r="M680" i="4"/>
  <c r="AD680" i="4" s="1"/>
  <c r="N680" i="4"/>
  <c r="O680" i="4"/>
  <c r="P680" i="4"/>
  <c r="Q680" i="4"/>
  <c r="R680" i="4"/>
  <c r="S680" i="4"/>
  <c r="T680" i="4"/>
  <c r="U680" i="4"/>
  <c r="V680" i="4"/>
  <c r="W680" i="4"/>
  <c r="X680" i="4"/>
  <c r="Y680" i="4"/>
  <c r="B681" i="4"/>
  <c r="C681" i="4"/>
  <c r="D681" i="4"/>
  <c r="E681" i="4"/>
  <c r="F681" i="4"/>
  <c r="G681" i="4"/>
  <c r="AC681" i="4" s="1"/>
  <c r="H681" i="4"/>
  <c r="I681" i="4"/>
  <c r="J681" i="4"/>
  <c r="K681" i="4"/>
  <c r="L681" i="4"/>
  <c r="M681" i="4"/>
  <c r="N681" i="4"/>
  <c r="O681" i="4"/>
  <c r="P681" i="4"/>
  <c r="Q681" i="4"/>
  <c r="R681" i="4"/>
  <c r="S681" i="4"/>
  <c r="T681" i="4"/>
  <c r="U681" i="4"/>
  <c r="V681" i="4"/>
  <c r="W681" i="4"/>
  <c r="X681" i="4"/>
  <c r="Y681" i="4"/>
  <c r="B682" i="4"/>
  <c r="C682" i="4"/>
  <c r="D682" i="4"/>
  <c r="E682" i="4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U682" i="4"/>
  <c r="V682" i="4"/>
  <c r="W682" i="4"/>
  <c r="X682" i="4"/>
  <c r="Y682" i="4"/>
  <c r="B683" i="4"/>
  <c r="C683" i="4"/>
  <c r="D683" i="4"/>
  <c r="E683" i="4"/>
  <c r="F683" i="4"/>
  <c r="G683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T683" i="4"/>
  <c r="U683" i="4"/>
  <c r="V683" i="4"/>
  <c r="W683" i="4"/>
  <c r="X683" i="4"/>
  <c r="Y683" i="4"/>
  <c r="B684" i="4"/>
  <c r="C684" i="4"/>
  <c r="D684" i="4"/>
  <c r="E684" i="4"/>
  <c r="F684" i="4"/>
  <c r="G684" i="4"/>
  <c r="H684" i="4"/>
  <c r="I684" i="4"/>
  <c r="J684" i="4"/>
  <c r="K684" i="4"/>
  <c r="L684" i="4"/>
  <c r="M684" i="4"/>
  <c r="N684" i="4"/>
  <c r="O684" i="4"/>
  <c r="P684" i="4"/>
  <c r="Q684" i="4"/>
  <c r="R684" i="4"/>
  <c r="S684" i="4"/>
  <c r="T684" i="4"/>
  <c r="U684" i="4"/>
  <c r="V684" i="4"/>
  <c r="W684" i="4"/>
  <c r="X684" i="4"/>
  <c r="Y684" i="4"/>
  <c r="B685" i="4"/>
  <c r="C685" i="4"/>
  <c r="AC685" i="4" s="1"/>
  <c r="D685" i="4"/>
  <c r="E685" i="4"/>
  <c r="F685" i="4"/>
  <c r="G685" i="4"/>
  <c r="H685" i="4"/>
  <c r="I685" i="4"/>
  <c r="J685" i="4"/>
  <c r="K685" i="4"/>
  <c r="L685" i="4"/>
  <c r="M685" i="4"/>
  <c r="N685" i="4"/>
  <c r="O685" i="4"/>
  <c r="P685" i="4"/>
  <c r="Q685" i="4"/>
  <c r="R685" i="4"/>
  <c r="S685" i="4"/>
  <c r="T685" i="4"/>
  <c r="U685" i="4"/>
  <c r="V685" i="4"/>
  <c r="W685" i="4"/>
  <c r="X685" i="4"/>
  <c r="Y685" i="4"/>
  <c r="B686" i="4"/>
  <c r="C686" i="4"/>
  <c r="D686" i="4"/>
  <c r="E686" i="4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U686" i="4"/>
  <c r="V686" i="4"/>
  <c r="W686" i="4"/>
  <c r="X686" i="4"/>
  <c r="Y686" i="4"/>
  <c r="B687" i="4"/>
  <c r="C687" i="4"/>
  <c r="D687" i="4"/>
  <c r="E687" i="4"/>
  <c r="F687" i="4"/>
  <c r="G687" i="4"/>
  <c r="H687" i="4"/>
  <c r="I687" i="4"/>
  <c r="J687" i="4"/>
  <c r="K687" i="4"/>
  <c r="L687" i="4"/>
  <c r="M687" i="4"/>
  <c r="N687" i="4"/>
  <c r="O687" i="4"/>
  <c r="P687" i="4"/>
  <c r="Q687" i="4"/>
  <c r="R687" i="4"/>
  <c r="S687" i="4"/>
  <c r="T687" i="4"/>
  <c r="U687" i="4"/>
  <c r="V687" i="4"/>
  <c r="W687" i="4"/>
  <c r="X687" i="4"/>
  <c r="Y687" i="4"/>
  <c r="AD687" i="4"/>
  <c r="B688" i="4"/>
  <c r="C688" i="4"/>
  <c r="D688" i="4"/>
  <c r="AC688" i="4" s="1"/>
  <c r="E688" i="4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U688" i="4"/>
  <c r="V688" i="4"/>
  <c r="W688" i="4"/>
  <c r="X688" i="4"/>
  <c r="Y688" i="4"/>
  <c r="B689" i="4"/>
  <c r="C689" i="4"/>
  <c r="D689" i="4"/>
  <c r="E689" i="4"/>
  <c r="F689" i="4"/>
  <c r="G689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T689" i="4"/>
  <c r="U689" i="4"/>
  <c r="V689" i="4"/>
  <c r="W689" i="4"/>
  <c r="X689" i="4"/>
  <c r="Y689" i="4"/>
  <c r="B690" i="4"/>
  <c r="C690" i="4"/>
  <c r="D690" i="4"/>
  <c r="E690" i="4"/>
  <c r="F690" i="4"/>
  <c r="G690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B691" i="4"/>
  <c r="C691" i="4"/>
  <c r="D691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U691" i="4"/>
  <c r="V691" i="4"/>
  <c r="W691" i="4"/>
  <c r="X691" i="4"/>
  <c r="Y691" i="4"/>
  <c r="B692" i="4"/>
  <c r="C692" i="4"/>
  <c r="D692" i="4"/>
  <c r="E692" i="4"/>
  <c r="F692" i="4"/>
  <c r="G692" i="4"/>
  <c r="H692" i="4"/>
  <c r="I692" i="4"/>
  <c r="J692" i="4"/>
  <c r="K692" i="4"/>
  <c r="L692" i="4"/>
  <c r="M692" i="4"/>
  <c r="N692" i="4"/>
  <c r="O692" i="4"/>
  <c r="AD692" i="4" s="1"/>
  <c r="P692" i="4"/>
  <c r="Q692" i="4"/>
  <c r="R692" i="4"/>
  <c r="S692" i="4"/>
  <c r="T692" i="4"/>
  <c r="U692" i="4"/>
  <c r="V692" i="4"/>
  <c r="W692" i="4"/>
  <c r="X692" i="4"/>
  <c r="Y692" i="4"/>
  <c r="B693" i="4"/>
  <c r="C693" i="4"/>
  <c r="AC693" i="4" s="1"/>
  <c r="D693" i="4"/>
  <c r="E693" i="4"/>
  <c r="F693" i="4"/>
  <c r="G693" i="4"/>
  <c r="H693" i="4"/>
  <c r="I693" i="4"/>
  <c r="J693" i="4"/>
  <c r="K693" i="4"/>
  <c r="L693" i="4"/>
  <c r="M693" i="4"/>
  <c r="N693" i="4"/>
  <c r="O693" i="4"/>
  <c r="P693" i="4"/>
  <c r="Q693" i="4"/>
  <c r="R693" i="4"/>
  <c r="S693" i="4"/>
  <c r="T693" i="4"/>
  <c r="U693" i="4"/>
  <c r="V693" i="4"/>
  <c r="W693" i="4"/>
  <c r="X693" i="4"/>
  <c r="Y693" i="4"/>
  <c r="B694" i="4"/>
  <c r="C694" i="4"/>
  <c r="D694" i="4"/>
  <c r="E694" i="4"/>
  <c r="F694" i="4"/>
  <c r="G694" i="4"/>
  <c r="H694" i="4"/>
  <c r="I694" i="4"/>
  <c r="J694" i="4"/>
  <c r="K694" i="4"/>
  <c r="L694" i="4"/>
  <c r="M694" i="4"/>
  <c r="N694" i="4"/>
  <c r="O694" i="4"/>
  <c r="P694" i="4"/>
  <c r="Q694" i="4"/>
  <c r="R694" i="4"/>
  <c r="S694" i="4"/>
  <c r="T694" i="4"/>
  <c r="U694" i="4"/>
  <c r="V694" i="4"/>
  <c r="W694" i="4"/>
  <c r="X694" i="4"/>
  <c r="Y694" i="4"/>
  <c r="B695" i="4"/>
  <c r="C695" i="4"/>
  <c r="D695" i="4"/>
  <c r="E695" i="4"/>
  <c r="F695" i="4"/>
  <c r="G695" i="4"/>
  <c r="H695" i="4"/>
  <c r="I695" i="4"/>
  <c r="J695" i="4"/>
  <c r="K695" i="4"/>
  <c r="L695" i="4"/>
  <c r="M695" i="4"/>
  <c r="AD695" i="4" s="1"/>
  <c r="N695" i="4"/>
  <c r="O695" i="4"/>
  <c r="P695" i="4"/>
  <c r="Q695" i="4"/>
  <c r="R695" i="4"/>
  <c r="S695" i="4"/>
  <c r="T695" i="4"/>
  <c r="U695" i="4"/>
  <c r="V695" i="4"/>
  <c r="W695" i="4"/>
  <c r="X695" i="4"/>
  <c r="Y695" i="4"/>
  <c r="AC695" i="4"/>
  <c r="B696" i="4"/>
  <c r="C696" i="4"/>
  <c r="D696" i="4"/>
  <c r="E696" i="4"/>
  <c r="F696" i="4"/>
  <c r="G696" i="4"/>
  <c r="H696" i="4"/>
  <c r="I696" i="4"/>
  <c r="J696" i="4"/>
  <c r="K696" i="4"/>
  <c r="L696" i="4"/>
  <c r="M696" i="4"/>
  <c r="N696" i="4"/>
  <c r="O696" i="4"/>
  <c r="P696" i="4"/>
  <c r="AD696" i="4" s="1"/>
  <c r="Q696" i="4"/>
  <c r="R696" i="4"/>
  <c r="S696" i="4"/>
  <c r="T696" i="4"/>
  <c r="U696" i="4"/>
  <c r="V696" i="4"/>
  <c r="W696" i="4"/>
  <c r="X696" i="4"/>
  <c r="Y696" i="4"/>
  <c r="B697" i="4"/>
  <c r="C697" i="4"/>
  <c r="D697" i="4"/>
  <c r="E697" i="4"/>
  <c r="F697" i="4"/>
  <c r="G697" i="4"/>
  <c r="H697" i="4"/>
  <c r="I697" i="4"/>
  <c r="J697" i="4"/>
  <c r="K697" i="4"/>
  <c r="L697" i="4"/>
  <c r="M697" i="4"/>
  <c r="N697" i="4"/>
  <c r="O697" i="4"/>
  <c r="P697" i="4"/>
  <c r="Q697" i="4"/>
  <c r="R697" i="4"/>
  <c r="S697" i="4"/>
  <c r="T697" i="4"/>
  <c r="U697" i="4"/>
  <c r="V697" i="4"/>
  <c r="W697" i="4"/>
  <c r="X697" i="4"/>
  <c r="Y697" i="4"/>
  <c r="B698" i="4"/>
  <c r="C698" i="4"/>
  <c r="D698" i="4"/>
  <c r="E698" i="4"/>
  <c r="F698" i="4"/>
  <c r="G698" i="4"/>
  <c r="H698" i="4"/>
  <c r="I698" i="4"/>
  <c r="J698" i="4"/>
  <c r="K698" i="4"/>
  <c r="L698" i="4"/>
  <c r="M698" i="4"/>
  <c r="N698" i="4"/>
  <c r="O698" i="4"/>
  <c r="P698" i="4"/>
  <c r="Q698" i="4"/>
  <c r="R698" i="4"/>
  <c r="S698" i="4"/>
  <c r="T698" i="4"/>
  <c r="U698" i="4"/>
  <c r="V698" i="4"/>
  <c r="W698" i="4"/>
  <c r="X698" i="4"/>
  <c r="Y698" i="4"/>
  <c r="B699" i="4"/>
  <c r="C699" i="4"/>
  <c r="D699" i="4"/>
  <c r="E699" i="4"/>
  <c r="F699" i="4"/>
  <c r="G699" i="4"/>
  <c r="H699" i="4"/>
  <c r="I699" i="4"/>
  <c r="J699" i="4"/>
  <c r="K699" i="4"/>
  <c r="L699" i="4"/>
  <c r="M699" i="4"/>
  <c r="N699" i="4"/>
  <c r="O699" i="4"/>
  <c r="AD699" i="4" s="1"/>
  <c r="P699" i="4"/>
  <c r="Q699" i="4"/>
  <c r="R699" i="4"/>
  <c r="S699" i="4"/>
  <c r="T699" i="4"/>
  <c r="U699" i="4"/>
  <c r="V699" i="4"/>
  <c r="W699" i="4"/>
  <c r="X699" i="4"/>
  <c r="Y699" i="4"/>
  <c r="B700" i="4"/>
  <c r="C700" i="4"/>
  <c r="D700" i="4"/>
  <c r="E700" i="4"/>
  <c r="F700" i="4"/>
  <c r="G700" i="4"/>
  <c r="H700" i="4"/>
  <c r="I700" i="4"/>
  <c r="J700" i="4"/>
  <c r="K700" i="4"/>
  <c r="L700" i="4"/>
  <c r="M700" i="4"/>
  <c r="N700" i="4"/>
  <c r="O700" i="4"/>
  <c r="AD700" i="4" s="1"/>
  <c r="P700" i="4"/>
  <c r="Q700" i="4"/>
  <c r="R700" i="4"/>
  <c r="S700" i="4"/>
  <c r="T700" i="4"/>
  <c r="U700" i="4"/>
  <c r="V700" i="4"/>
  <c r="W700" i="4"/>
  <c r="X700" i="4"/>
  <c r="Y700" i="4"/>
  <c r="B701" i="4"/>
  <c r="C701" i="4"/>
  <c r="D701" i="4"/>
  <c r="E701" i="4"/>
  <c r="F701" i="4"/>
  <c r="G701" i="4"/>
  <c r="H701" i="4"/>
  <c r="I701" i="4"/>
  <c r="J701" i="4"/>
  <c r="K701" i="4"/>
  <c r="L701" i="4"/>
  <c r="M701" i="4"/>
  <c r="N701" i="4"/>
  <c r="O701" i="4"/>
  <c r="P701" i="4"/>
  <c r="Q701" i="4"/>
  <c r="R701" i="4"/>
  <c r="S701" i="4"/>
  <c r="T701" i="4"/>
  <c r="U701" i="4"/>
  <c r="V701" i="4"/>
  <c r="W701" i="4"/>
  <c r="X701" i="4"/>
  <c r="Y701" i="4"/>
  <c r="B702" i="4"/>
  <c r="C702" i="4"/>
  <c r="D702" i="4"/>
  <c r="E702" i="4"/>
  <c r="F702" i="4"/>
  <c r="G702" i="4"/>
  <c r="H702" i="4"/>
  <c r="I702" i="4"/>
  <c r="J702" i="4"/>
  <c r="K702" i="4"/>
  <c r="L702" i="4"/>
  <c r="M702" i="4"/>
  <c r="N702" i="4"/>
  <c r="O702" i="4"/>
  <c r="P702" i="4"/>
  <c r="Q702" i="4"/>
  <c r="R702" i="4"/>
  <c r="S702" i="4"/>
  <c r="T702" i="4"/>
  <c r="U702" i="4"/>
  <c r="V702" i="4"/>
  <c r="W702" i="4"/>
  <c r="X702" i="4"/>
  <c r="Y702" i="4"/>
  <c r="B703" i="4"/>
  <c r="C703" i="4"/>
  <c r="D703" i="4"/>
  <c r="E703" i="4"/>
  <c r="F703" i="4"/>
  <c r="G703" i="4"/>
  <c r="H703" i="4"/>
  <c r="I703" i="4"/>
  <c r="J703" i="4"/>
  <c r="K703" i="4"/>
  <c r="L703" i="4"/>
  <c r="M703" i="4"/>
  <c r="N703" i="4"/>
  <c r="O703" i="4"/>
  <c r="P703" i="4"/>
  <c r="Q703" i="4"/>
  <c r="R703" i="4"/>
  <c r="S703" i="4"/>
  <c r="T703" i="4"/>
  <c r="U703" i="4"/>
  <c r="V703" i="4"/>
  <c r="W703" i="4"/>
  <c r="X703" i="4"/>
  <c r="Y703" i="4"/>
  <c r="B704" i="4"/>
  <c r="C704" i="4"/>
  <c r="D704" i="4"/>
  <c r="E704" i="4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U704" i="4"/>
  <c r="V704" i="4"/>
  <c r="W704" i="4"/>
  <c r="X704" i="4"/>
  <c r="Y704" i="4"/>
  <c r="AD704" i="4"/>
  <c r="B705" i="4"/>
  <c r="C705" i="4"/>
  <c r="D705" i="4"/>
  <c r="AC705" i="4" s="1"/>
  <c r="E705" i="4"/>
  <c r="F705" i="4"/>
  <c r="G705" i="4"/>
  <c r="H705" i="4"/>
  <c r="I705" i="4"/>
  <c r="J705" i="4"/>
  <c r="K705" i="4"/>
  <c r="L705" i="4"/>
  <c r="M705" i="4"/>
  <c r="AD705" i="4" s="1"/>
  <c r="N705" i="4"/>
  <c r="O705" i="4"/>
  <c r="P705" i="4"/>
  <c r="Q705" i="4"/>
  <c r="R705" i="4"/>
  <c r="S705" i="4"/>
  <c r="T705" i="4"/>
  <c r="U705" i="4"/>
  <c r="V705" i="4"/>
  <c r="W705" i="4"/>
  <c r="X705" i="4"/>
  <c r="Y705" i="4"/>
  <c r="B706" i="4"/>
  <c r="C706" i="4"/>
  <c r="D706" i="4"/>
  <c r="E706" i="4"/>
  <c r="F706" i="4"/>
  <c r="G706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T706" i="4"/>
  <c r="U706" i="4"/>
  <c r="V706" i="4"/>
  <c r="W706" i="4"/>
  <c r="X706" i="4"/>
  <c r="Y706" i="4"/>
  <c r="B707" i="4"/>
  <c r="C707" i="4"/>
  <c r="D707" i="4"/>
  <c r="E707" i="4"/>
  <c r="F707" i="4"/>
  <c r="G707" i="4"/>
  <c r="H707" i="4"/>
  <c r="I707" i="4"/>
  <c r="J707" i="4"/>
  <c r="K707" i="4"/>
  <c r="L707" i="4"/>
  <c r="M707" i="4"/>
  <c r="N707" i="4"/>
  <c r="O707" i="4"/>
  <c r="AD707" i="4" s="1"/>
  <c r="P707" i="4"/>
  <c r="Q707" i="4"/>
  <c r="R707" i="4"/>
  <c r="S707" i="4"/>
  <c r="T707" i="4"/>
  <c r="U707" i="4"/>
  <c r="V707" i="4"/>
  <c r="W707" i="4"/>
  <c r="X707" i="4"/>
  <c r="Y707" i="4"/>
  <c r="B708" i="4"/>
  <c r="C708" i="4"/>
  <c r="D708" i="4"/>
  <c r="E708" i="4"/>
  <c r="F708" i="4"/>
  <c r="G708" i="4"/>
  <c r="H708" i="4"/>
  <c r="I708" i="4"/>
  <c r="J708" i="4"/>
  <c r="K708" i="4"/>
  <c r="L708" i="4"/>
  <c r="M708" i="4"/>
  <c r="N708" i="4"/>
  <c r="O708" i="4"/>
  <c r="P708" i="4"/>
  <c r="Q708" i="4"/>
  <c r="R708" i="4"/>
  <c r="S708" i="4"/>
  <c r="T708" i="4"/>
  <c r="U708" i="4"/>
  <c r="V708" i="4"/>
  <c r="W708" i="4"/>
  <c r="X708" i="4"/>
  <c r="Y708" i="4"/>
  <c r="B709" i="4"/>
  <c r="C709" i="4"/>
  <c r="D709" i="4"/>
  <c r="E709" i="4"/>
  <c r="F709" i="4"/>
  <c r="G709" i="4"/>
  <c r="H709" i="4"/>
  <c r="I709" i="4"/>
  <c r="J709" i="4"/>
  <c r="K709" i="4"/>
  <c r="L709" i="4"/>
  <c r="M709" i="4"/>
  <c r="N709" i="4"/>
  <c r="O709" i="4"/>
  <c r="P709" i="4"/>
  <c r="Q709" i="4"/>
  <c r="R709" i="4"/>
  <c r="S709" i="4"/>
  <c r="T709" i="4"/>
  <c r="U709" i="4"/>
  <c r="V709" i="4"/>
  <c r="W709" i="4"/>
  <c r="X709" i="4"/>
  <c r="Y709" i="4"/>
  <c r="B710" i="4"/>
  <c r="C710" i="4"/>
  <c r="D710" i="4"/>
  <c r="E710" i="4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U710" i="4"/>
  <c r="V710" i="4"/>
  <c r="W710" i="4"/>
  <c r="X710" i="4"/>
  <c r="Y710" i="4"/>
  <c r="B711" i="4"/>
  <c r="C711" i="4"/>
  <c r="D711" i="4"/>
  <c r="E711" i="4"/>
  <c r="F711" i="4"/>
  <c r="G711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T711" i="4"/>
  <c r="U711" i="4"/>
  <c r="V711" i="4"/>
  <c r="W711" i="4"/>
  <c r="X711" i="4"/>
  <c r="Y711" i="4"/>
  <c r="B712" i="4"/>
  <c r="C712" i="4"/>
  <c r="AC712" i="4" s="1"/>
  <c r="D712" i="4"/>
  <c r="E712" i="4"/>
  <c r="F712" i="4"/>
  <c r="G712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T712" i="4"/>
  <c r="U712" i="4"/>
  <c r="V712" i="4"/>
  <c r="W712" i="4"/>
  <c r="X712" i="4"/>
  <c r="Y712" i="4"/>
  <c r="AD712" i="4"/>
  <c r="B713" i="4"/>
  <c r="C713" i="4"/>
  <c r="D713" i="4"/>
  <c r="E713" i="4"/>
  <c r="F713" i="4"/>
  <c r="G713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T713" i="4"/>
  <c r="U713" i="4"/>
  <c r="V713" i="4"/>
  <c r="W713" i="4"/>
  <c r="X713" i="4"/>
  <c r="Y713" i="4"/>
  <c r="B714" i="4"/>
  <c r="C714" i="4"/>
  <c r="D714" i="4"/>
  <c r="E714" i="4"/>
  <c r="F714" i="4"/>
  <c r="G714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T714" i="4"/>
  <c r="U714" i="4"/>
  <c r="V714" i="4"/>
  <c r="W714" i="4"/>
  <c r="X714" i="4"/>
  <c r="Y714" i="4"/>
  <c r="B715" i="4"/>
  <c r="C715" i="4"/>
  <c r="D715" i="4"/>
  <c r="E715" i="4"/>
  <c r="F715" i="4"/>
  <c r="G715" i="4"/>
  <c r="H715" i="4"/>
  <c r="I715" i="4"/>
  <c r="J715" i="4"/>
  <c r="K715" i="4"/>
  <c r="L715" i="4"/>
  <c r="M715" i="4"/>
  <c r="N715" i="4"/>
  <c r="O715" i="4"/>
  <c r="P715" i="4"/>
  <c r="Q715" i="4"/>
  <c r="R715" i="4"/>
  <c r="S715" i="4"/>
  <c r="T715" i="4"/>
  <c r="U715" i="4"/>
  <c r="V715" i="4"/>
  <c r="W715" i="4"/>
  <c r="X715" i="4"/>
  <c r="Y715" i="4"/>
  <c r="B716" i="4"/>
  <c r="C716" i="4"/>
  <c r="D716" i="4"/>
  <c r="E716" i="4"/>
  <c r="F716" i="4"/>
  <c r="G716" i="4"/>
  <c r="H716" i="4"/>
  <c r="I716" i="4"/>
  <c r="J716" i="4"/>
  <c r="K716" i="4"/>
  <c r="L716" i="4"/>
  <c r="M716" i="4"/>
  <c r="N716" i="4"/>
  <c r="O716" i="4"/>
  <c r="P716" i="4"/>
  <c r="Q716" i="4"/>
  <c r="R716" i="4"/>
  <c r="S716" i="4"/>
  <c r="T716" i="4"/>
  <c r="U716" i="4"/>
  <c r="V716" i="4"/>
  <c r="W716" i="4"/>
  <c r="X716" i="4"/>
  <c r="Y716" i="4"/>
  <c r="B717" i="4"/>
  <c r="C717" i="4"/>
  <c r="D717" i="4"/>
  <c r="E717" i="4"/>
  <c r="AC717" i="4" s="1"/>
  <c r="F717" i="4"/>
  <c r="G717" i="4"/>
  <c r="H717" i="4"/>
  <c r="I717" i="4"/>
  <c r="J717" i="4"/>
  <c r="K717" i="4"/>
  <c r="L717" i="4"/>
  <c r="M717" i="4"/>
  <c r="AD717" i="4" s="1"/>
  <c r="N717" i="4"/>
  <c r="O717" i="4"/>
  <c r="P717" i="4"/>
  <c r="Q717" i="4"/>
  <c r="R717" i="4"/>
  <c r="S717" i="4"/>
  <c r="T717" i="4"/>
  <c r="U717" i="4"/>
  <c r="V717" i="4"/>
  <c r="W717" i="4"/>
  <c r="X717" i="4"/>
  <c r="Y717" i="4"/>
  <c r="B718" i="4"/>
  <c r="C718" i="4"/>
  <c r="D718" i="4"/>
  <c r="E718" i="4"/>
  <c r="F718" i="4"/>
  <c r="G718" i="4"/>
  <c r="H718" i="4"/>
  <c r="I718" i="4"/>
  <c r="J718" i="4"/>
  <c r="K718" i="4"/>
  <c r="L718" i="4"/>
  <c r="M718" i="4"/>
  <c r="N718" i="4"/>
  <c r="O718" i="4"/>
  <c r="P718" i="4"/>
  <c r="Q718" i="4"/>
  <c r="R718" i="4"/>
  <c r="S718" i="4"/>
  <c r="T718" i="4"/>
  <c r="U718" i="4"/>
  <c r="V718" i="4"/>
  <c r="W718" i="4"/>
  <c r="X718" i="4"/>
  <c r="Y718" i="4"/>
  <c r="B719" i="4"/>
  <c r="C719" i="4"/>
  <c r="D719" i="4"/>
  <c r="AC719" i="4" s="1"/>
  <c r="E719" i="4"/>
  <c r="F719" i="4"/>
  <c r="G719" i="4"/>
  <c r="H719" i="4"/>
  <c r="I719" i="4"/>
  <c r="J719" i="4"/>
  <c r="K719" i="4"/>
  <c r="L719" i="4"/>
  <c r="M719" i="4"/>
  <c r="N719" i="4"/>
  <c r="O719" i="4"/>
  <c r="P719" i="4"/>
  <c r="AD719" i="4" s="1"/>
  <c r="Q719" i="4"/>
  <c r="R719" i="4"/>
  <c r="S719" i="4"/>
  <c r="T719" i="4"/>
  <c r="U719" i="4"/>
  <c r="V719" i="4"/>
  <c r="W719" i="4"/>
  <c r="X719" i="4"/>
  <c r="Y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B721" i="4"/>
  <c r="C721" i="4"/>
  <c r="D721" i="4"/>
  <c r="E721" i="4"/>
  <c r="F721" i="4"/>
  <c r="G721" i="4"/>
  <c r="H721" i="4"/>
  <c r="I721" i="4"/>
  <c r="J721" i="4"/>
  <c r="K721" i="4"/>
  <c r="L721" i="4"/>
  <c r="M721" i="4"/>
  <c r="N721" i="4"/>
  <c r="O721" i="4"/>
  <c r="P721" i="4"/>
  <c r="Q721" i="4"/>
  <c r="R721" i="4"/>
  <c r="S721" i="4"/>
  <c r="T721" i="4"/>
  <c r="U721" i="4"/>
  <c r="V721" i="4"/>
  <c r="W721" i="4"/>
  <c r="X721" i="4"/>
  <c r="Y721" i="4"/>
  <c r="B722" i="4"/>
  <c r="C722" i="4"/>
  <c r="D722" i="4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T722" i="4"/>
  <c r="U722" i="4"/>
  <c r="V722" i="4"/>
  <c r="W722" i="4"/>
  <c r="X722" i="4"/>
  <c r="Y722" i="4"/>
  <c r="B723" i="4"/>
  <c r="C723" i="4"/>
  <c r="D723" i="4"/>
  <c r="E723" i="4"/>
  <c r="F723" i="4"/>
  <c r="G723" i="4"/>
  <c r="H723" i="4"/>
  <c r="I723" i="4"/>
  <c r="J723" i="4"/>
  <c r="K723" i="4"/>
  <c r="L723" i="4"/>
  <c r="M723" i="4"/>
  <c r="N723" i="4"/>
  <c r="O723" i="4"/>
  <c r="P723" i="4"/>
  <c r="Q723" i="4"/>
  <c r="R723" i="4"/>
  <c r="S723" i="4"/>
  <c r="T723" i="4"/>
  <c r="U723" i="4"/>
  <c r="V723" i="4"/>
  <c r="W723" i="4"/>
  <c r="X723" i="4"/>
  <c r="Y723" i="4"/>
  <c r="B724" i="4"/>
  <c r="C724" i="4"/>
  <c r="D724" i="4"/>
  <c r="E724" i="4"/>
  <c r="F724" i="4"/>
  <c r="G724" i="4"/>
  <c r="H724" i="4"/>
  <c r="I724" i="4"/>
  <c r="J724" i="4"/>
  <c r="K724" i="4"/>
  <c r="L724" i="4"/>
  <c r="M724" i="4"/>
  <c r="N724" i="4"/>
  <c r="O724" i="4"/>
  <c r="P724" i="4"/>
  <c r="Q724" i="4"/>
  <c r="R724" i="4"/>
  <c r="S724" i="4"/>
  <c r="T724" i="4"/>
  <c r="U724" i="4"/>
  <c r="V724" i="4"/>
  <c r="W724" i="4"/>
  <c r="X724" i="4"/>
  <c r="Y724" i="4"/>
  <c r="AD724" i="4"/>
  <c r="B725" i="4"/>
  <c r="C725" i="4"/>
  <c r="D725" i="4"/>
  <c r="E725" i="4"/>
  <c r="F725" i="4"/>
  <c r="G725" i="4"/>
  <c r="H725" i="4"/>
  <c r="I725" i="4"/>
  <c r="J725" i="4"/>
  <c r="K725" i="4"/>
  <c r="L725" i="4"/>
  <c r="M725" i="4"/>
  <c r="N725" i="4"/>
  <c r="O725" i="4"/>
  <c r="P725" i="4"/>
  <c r="Q725" i="4"/>
  <c r="R725" i="4"/>
  <c r="S725" i="4"/>
  <c r="T725" i="4"/>
  <c r="U725" i="4"/>
  <c r="V725" i="4"/>
  <c r="W725" i="4"/>
  <c r="X725" i="4"/>
  <c r="Y725" i="4"/>
  <c r="B726" i="4"/>
  <c r="C726" i="4"/>
  <c r="D726" i="4"/>
  <c r="E726" i="4"/>
  <c r="F726" i="4"/>
  <c r="G726" i="4"/>
  <c r="H726" i="4"/>
  <c r="I726" i="4"/>
  <c r="J726" i="4"/>
  <c r="K726" i="4"/>
  <c r="L726" i="4"/>
  <c r="M726" i="4"/>
  <c r="N726" i="4"/>
  <c r="O726" i="4"/>
  <c r="P726" i="4"/>
  <c r="Q726" i="4"/>
  <c r="R726" i="4"/>
  <c r="S726" i="4"/>
  <c r="T726" i="4"/>
  <c r="U726" i="4"/>
  <c r="V726" i="4"/>
  <c r="W726" i="4"/>
  <c r="X726" i="4"/>
  <c r="Y726" i="4"/>
  <c r="B727" i="4"/>
  <c r="C727" i="4"/>
  <c r="D727" i="4"/>
  <c r="E727" i="4"/>
  <c r="AC727" i="4" s="1"/>
  <c r="F727" i="4"/>
  <c r="G727" i="4"/>
  <c r="H727" i="4"/>
  <c r="I727" i="4"/>
  <c r="J727" i="4"/>
  <c r="K727" i="4"/>
  <c r="L727" i="4"/>
  <c r="M727" i="4"/>
  <c r="AD727" i="4" s="1"/>
  <c r="N727" i="4"/>
  <c r="O727" i="4"/>
  <c r="P727" i="4"/>
  <c r="Q727" i="4"/>
  <c r="R727" i="4"/>
  <c r="S727" i="4"/>
  <c r="T727" i="4"/>
  <c r="U727" i="4"/>
  <c r="V727" i="4"/>
  <c r="W727" i="4"/>
  <c r="X727" i="4"/>
  <c r="Y727" i="4"/>
  <c r="B728" i="4"/>
  <c r="C728" i="4"/>
  <c r="D728" i="4"/>
  <c r="E728" i="4"/>
  <c r="F728" i="4"/>
  <c r="G728" i="4"/>
  <c r="H728" i="4"/>
  <c r="I728" i="4"/>
  <c r="J728" i="4"/>
  <c r="K728" i="4"/>
  <c r="L728" i="4"/>
  <c r="M728" i="4"/>
  <c r="N728" i="4"/>
  <c r="O728" i="4"/>
  <c r="P728" i="4"/>
  <c r="Q728" i="4"/>
  <c r="R728" i="4"/>
  <c r="S728" i="4"/>
  <c r="T728" i="4"/>
  <c r="U728" i="4"/>
  <c r="V728" i="4"/>
  <c r="W728" i="4"/>
  <c r="X728" i="4"/>
  <c r="Y728" i="4"/>
  <c r="B729" i="4"/>
  <c r="C729" i="4"/>
  <c r="D729" i="4"/>
  <c r="E729" i="4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U729" i="4"/>
  <c r="V729" i="4"/>
  <c r="W729" i="4"/>
  <c r="X729" i="4"/>
  <c r="Y729" i="4"/>
  <c r="B730" i="4"/>
  <c r="C730" i="4"/>
  <c r="D730" i="4"/>
  <c r="E730" i="4"/>
  <c r="F730" i="4"/>
  <c r="G730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T730" i="4"/>
  <c r="U730" i="4"/>
  <c r="V730" i="4"/>
  <c r="W730" i="4"/>
  <c r="X730" i="4"/>
  <c r="Y730" i="4"/>
  <c r="B731" i="4"/>
  <c r="C731" i="4"/>
  <c r="AC731" i="4" s="1"/>
  <c r="D731" i="4"/>
  <c r="E731" i="4"/>
  <c r="F731" i="4"/>
  <c r="G731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T731" i="4"/>
  <c r="U731" i="4"/>
  <c r="V731" i="4"/>
  <c r="W731" i="4"/>
  <c r="X731" i="4"/>
  <c r="Y731" i="4"/>
  <c r="B732" i="4"/>
  <c r="C732" i="4"/>
  <c r="D732" i="4"/>
  <c r="E732" i="4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U732" i="4"/>
  <c r="V732" i="4"/>
  <c r="W732" i="4"/>
  <c r="X732" i="4"/>
  <c r="Y732" i="4"/>
  <c r="B733" i="4"/>
  <c r="C733" i="4"/>
  <c r="D733" i="4"/>
  <c r="E733" i="4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U733" i="4"/>
  <c r="V733" i="4"/>
  <c r="W733" i="4"/>
  <c r="X733" i="4"/>
  <c r="Y733" i="4"/>
  <c r="B734" i="4"/>
  <c r="C734" i="4"/>
  <c r="D734" i="4"/>
  <c r="E734" i="4"/>
  <c r="F734" i="4"/>
  <c r="G734" i="4"/>
  <c r="H734" i="4"/>
  <c r="I734" i="4"/>
  <c r="J734" i="4"/>
  <c r="K734" i="4"/>
  <c r="L734" i="4"/>
  <c r="M734" i="4"/>
  <c r="N734" i="4"/>
  <c r="O734" i="4"/>
  <c r="P734" i="4"/>
  <c r="Q734" i="4"/>
  <c r="R734" i="4"/>
  <c r="S734" i="4"/>
  <c r="T734" i="4"/>
  <c r="U734" i="4"/>
  <c r="V734" i="4"/>
  <c r="W734" i="4"/>
  <c r="X734" i="4"/>
  <c r="Y734" i="4"/>
  <c r="B735" i="4"/>
  <c r="C735" i="4"/>
  <c r="D735" i="4"/>
  <c r="E735" i="4"/>
  <c r="F735" i="4"/>
  <c r="G735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T735" i="4"/>
  <c r="U735" i="4"/>
  <c r="V735" i="4"/>
  <c r="W735" i="4"/>
  <c r="X735" i="4"/>
  <c r="Y735" i="4"/>
  <c r="B736" i="4"/>
  <c r="C736" i="4"/>
  <c r="D736" i="4"/>
  <c r="E736" i="4"/>
  <c r="F736" i="4"/>
  <c r="G736" i="4"/>
  <c r="H736" i="4"/>
  <c r="I736" i="4"/>
  <c r="J736" i="4"/>
  <c r="K736" i="4"/>
  <c r="L736" i="4"/>
  <c r="M736" i="4"/>
  <c r="N736" i="4"/>
  <c r="O736" i="4"/>
  <c r="P736" i="4"/>
  <c r="Q736" i="4"/>
  <c r="R736" i="4"/>
  <c r="S736" i="4"/>
  <c r="T736" i="4"/>
  <c r="U736" i="4"/>
  <c r="V736" i="4"/>
  <c r="W736" i="4"/>
  <c r="X736" i="4"/>
  <c r="Y736" i="4"/>
  <c r="AD736" i="4"/>
  <c r="B737" i="4"/>
  <c r="C737" i="4"/>
  <c r="D737" i="4"/>
  <c r="E737" i="4"/>
  <c r="AC737" i="4" s="1"/>
  <c r="F737" i="4"/>
  <c r="G737" i="4"/>
  <c r="H737" i="4"/>
  <c r="I737" i="4"/>
  <c r="J737" i="4"/>
  <c r="K737" i="4"/>
  <c r="L737" i="4"/>
  <c r="M737" i="4"/>
  <c r="AD737" i="4" s="1"/>
  <c r="N737" i="4"/>
  <c r="O737" i="4"/>
  <c r="P737" i="4"/>
  <c r="Q737" i="4"/>
  <c r="R737" i="4"/>
  <c r="S737" i="4"/>
  <c r="T737" i="4"/>
  <c r="U737" i="4"/>
  <c r="V737" i="4"/>
  <c r="W737" i="4"/>
  <c r="X737" i="4"/>
  <c r="Y737" i="4"/>
  <c r="B738" i="4"/>
  <c r="C738" i="4"/>
  <c r="D738" i="4"/>
  <c r="E738" i="4"/>
  <c r="F738" i="4"/>
  <c r="G738" i="4"/>
  <c r="H738" i="4"/>
  <c r="I738" i="4"/>
  <c r="J738" i="4"/>
  <c r="K738" i="4"/>
  <c r="L738" i="4"/>
  <c r="M738" i="4"/>
  <c r="N738" i="4"/>
  <c r="O738" i="4"/>
  <c r="P738" i="4"/>
  <c r="Q738" i="4"/>
  <c r="R738" i="4"/>
  <c r="S738" i="4"/>
  <c r="T738" i="4"/>
  <c r="U738" i="4"/>
  <c r="V738" i="4"/>
  <c r="W738" i="4"/>
  <c r="X738" i="4"/>
  <c r="Y738" i="4"/>
  <c r="B739" i="4"/>
  <c r="C739" i="4"/>
  <c r="D739" i="4"/>
  <c r="AC739" i="4" s="1"/>
  <c r="E739" i="4"/>
  <c r="F739" i="4"/>
  <c r="G739" i="4"/>
  <c r="H739" i="4"/>
  <c r="I739" i="4"/>
  <c r="J739" i="4"/>
  <c r="K739" i="4"/>
  <c r="L739" i="4"/>
  <c r="M739" i="4"/>
  <c r="N739" i="4"/>
  <c r="O739" i="4"/>
  <c r="P739" i="4"/>
  <c r="AD739" i="4" s="1"/>
  <c r="Q739" i="4"/>
  <c r="R739" i="4"/>
  <c r="S739" i="4"/>
  <c r="T739" i="4"/>
  <c r="U739" i="4"/>
  <c r="V739" i="4"/>
  <c r="W739" i="4"/>
  <c r="X739" i="4"/>
  <c r="Y739" i="4"/>
  <c r="B740" i="4"/>
  <c r="C740" i="4"/>
  <c r="D740" i="4"/>
  <c r="E740" i="4"/>
  <c r="F740" i="4"/>
  <c r="G740" i="4"/>
  <c r="H740" i="4"/>
  <c r="I740" i="4"/>
  <c r="J740" i="4"/>
  <c r="K740" i="4"/>
  <c r="L740" i="4"/>
  <c r="M740" i="4"/>
  <c r="N740" i="4"/>
  <c r="O740" i="4"/>
  <c r="P740" i="4"/>
  <c r="Q740" i="4"/>
  <c r="R740" i="4"/>
  <c r="S740" i="4"/>
  <c r="T740" i="4"/>
  <c r="U740" i="4"/>
  <c r="V740" i="4"/>
  <c r="W740" i="4"/>
  <c r="X740" i="4"/>
  <c r="Y740" i="4"/>
  <c r="B741" i="4"/>
  <c r="C741" i="4"/>
  <c r="D741" i="4"/>
  <c r="E741" i="4"/>
  <c r="F741" i="4"/>
  <c r="G741" i="4"/>
  <c r="H741" i="4"/>
  <c r="I741" i="4"/>
  <c r="J741" i="4"/>
  <c r="K741" i="4"/>
  <c r="L741" i="4"/>
  <c r="M741" i="4"/>
  <c r="N741" i="4"/>
  <c r="O741" i="4"/>
  <c r="P741" i="4"/>
  <c r="Q741" i="4"/>
  <c r="R741" i="4"/>
  <c r="S741" i="4"/>
  <c r="T741" i="4"/>
  <c r="U741" i="4"/>
  <c r="V741" i="4"/>
  <c r="W741" i="4"/>
  <c r="X741" i="4"/>
  <c r="Y741" i="4"/>
  <c r="B742" i="4"/>
  <c r="C742" i="4"/>
  <c r="D742" i="4"/>
  <c r="E742" i="4"/>
  <c r="F742" i="4"/>
  <c r="G742" i="4"/>
  <c r="H742" i="4"/>
  <c r="I742" i="4"/>
  <c r="J742" i="4"/>
  <c r="K742" i="4"/>
  <c r="L742" i="4"/>
  <c r="M742" i="4"/>
  <c r="N742" i="4"/>
  <c r="O742" i="4"/>
  <c r="P742" i="4"/>
  <c r="Q742" i="4"/>
  <c r="R742" i="4"/>
  <c r="S742" i="4"/>
  <c r="T742" i="4"/>
  <c r="U742" i="4"/>
  <c r="V742" i="4"/>
  <c r="W742" i="4"/>
  <c r="X742" i="4"/>
  <c r="Y742" i="4"/>
  <c r="B743" i="4"/>
  <c r="C743" i="4"/>
  <c r="D743" i="4"/>
  <c r="E743" i="4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T743" i="4"/>
  <c r="U743" i="4"/>
  <c r="V743" i="4"/>
  <c r="W743" i="4"/>
  <c r="X743" i="4"/>
  <c r="Y743" i="4"/>
  <c r="AD743" i="4"/>
  <c r="B744" i="4"/>
  <c r="C744" i="4"/>
  <c r="D744" i="4"/>
  <c r="E744" i="4"/>
  <c r="F744" i="4"/>
  <c r="G744" i="4"/>
  <c r="H744" i="4"/>
  <c r="I744" i="4"/>
  <c r="J744" i="4"/>
  <c r="K744" i="4"/>
  <c r="L744" i="4"/>
  <c r="M744" i="4"/>
  <c r="AD744" i="4" s="1"/>
  <c r="N744" i="4"/>
  <c r="O744" i="4"/>
  <c r="P744" i="4"/>
  <c r="Q744" i="4"/>
  <c r="R744" i="4"/>
  <c r="S744" i="4"/>
  <c r="T744" i="4"/>
  <c r="U744" i="4"/>
  <c r="V744" i="4"/>
  <c r="W744" i="4"/>
  <c r="X744" i="4"/>
  <c r="Y744" i="4"/>
  <c r="B745" i="4"/>
  <c r="C745" i="4"/>
  <c r="D745" i="4"/>
  <c r="E745" i="4"/>
  <c r="F745" i="4"/>
  <c r="G745" i="4"/>
  <c r="H745" i="4"/>
  <c r="I745" i="4"/>
  <c r="J745" i="4"/>
  <c r="K745" i="4"/>
  <c r="L745" i="4"/>
  <c r="M745" i="4"/>
  <c r="N745" i="4"/>
  <c r="O745" i="4"/>
  <c r="P745" i="4"/>
  <c r="Q745" i="4"/>
  <c r="R745" i="4"/>
  <c r="S745" i="4"/>
  <c r="T745" i="4"/>
  <c r="U745" i="4"/>
  <c r="V745" i="4"/>
  <c r="W745" i="4"/>
  <c r="X745" i="4"/>
  <c r="Y745" i="4"/>
  <c r="B746" i="4"/>
  <c r="C746" i="4"/>
  <c r="D746" i="4"/>
  <c r="E746" i="4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U746" i="4"/>
  <c r="V746" i="4"/>
  <c r="W746" i="4"/>
  <c r="X746" i="4"/>
  <c r="Y746" i="4"/>
  <c r="B747" i="4"/>
  <c r="C747" i="4"/>
  <c r="D747" i="4"/>
  <c r="E747" i="4"/>
  <c r="F747" i="4"/>
  <c r="G747" i="4"/>
  <c r="H747" i="4"/>
  <c r="I747" i="4"/>
  <c r="J747" i="4"/>
  <c r="K747" i="4"/>
  <c r="L747" i="4"/>
  <c r="M747" i="4"/>
  <c r="N747" i="4"/>
  <c r="O747" i="4"/>
  <c r="P747" i="4"/>
  <c r="Q747" i="4"/>
  <c r="R747" i="4"/>
  <c r="S747" i="4"/>
  <c r="T747" i="4"/>
  <c r="U747" i="4"/>
  <c r="V747" i="4"/>
  <c r="W747" i="4"/>
  <c r="X747" i="4"/>
  <c r="Y747" i="4"/>
  <c r="B748" i="4"/>
  <c r="C748" i="4"/>
  <c r="D748" i="4"/>
  <c r="E748" i="4"/>
  <c r="F748" i="4"/>
  <c r="G748" i="4"/>
  <c r="H748" i="4"/>
  <c r="I748" i="4"/>
  <c r="J748" i="4"/>
  <c r="K748" i="4"/>
  <c r="L748" i="4"/>
  <c r="M748" i="4"/>
  <c r="N748" i="4"/>
  <c r="O748" i="4"/>
  <c r="P748" i="4"/>
  <c r="AD748" i="4" s="1"/>
  <c r="Q748" i="4"/>
  <c r="R748" i="4"/>
  <c r="S748" i="4"/>
  <c r="T748" i="4"/>
  <c r="U748" i="4"/>
  <c r="V748" i="4"/>
  <c r="W748" i="4"/>
  <c r="X748" i="4"/>
  <c r="Y748" i="4"/>
  <c r="B749" i="4"/>
  <c r="C749" i="4"/>
  <c r="D749" i="4"/>
  <c r="AC749" i="4" s="1"/>
  <c r="E749" i="4"/>
  <c r="F749" i="4"/>
  <c r="G749" i="4"/>
  <c r="H749" i="4"/>
  <c r="I749" i="4"/>
  <c r="J749" i="4"/>
  <c r="K749" i="4"/>
  <c r="L749" i="4"/>
  <c r="M749" i="4"/>
  <c r="N749" i="4"/>
  <c r="O749" i="4"/>
  <c r="P749" i="4"/>
  <c r="Q749" i="4"/>
  <c r="R749" i="4"/>
  <c r="S749" i="4"/>
  <c r="T749" i="4"/>
  <c r="U749" i="4"/>
  <c r="V749" i="4"/>
  <c r="W749" i="4"/>
  <c r="X749" i="4"/>
  <c r="Y749" i="4"/>
  <c r="B750" i="4"/>
  <c r="C750" i="4"/>
  <c r="D750" i="4"/>
  <c r="E750" i="4"/>
  <c r="F750" i="4"/>
  <c r="G750" i="4"/>
  <c r="H750" i="4"/>
  <c r="I750" i="4"/>
  <c r="J750" i="4"/>
  <c r="K750" i="4"/>
  <c r="L750" i="4"/>
  <c r="M750" i="4"/>
  <c r="N750" i="4"/>
  <c r="O750" i="4"/>
  <c r="P750" i="4"/>
  <c r="Q750" i="4"/>
  <c r="R750" i="4"/>
  <c r="S750" i="4"/>
  <c r="T750" i="4"/>
  <c r="U750" i="4"/>
  <c r="V750" i="4"/>
  <c r="W750" i="4"/>
  <c r="X750" i="4"/>
  <c r="Y750" i="4"/>
  <c r="B751" i="4"/>
  <c r="C751" i="4"/>
  <c r="AC751" i="4" s="1"/>
  <c r="D751" i="4"/>
  <c r="E751" i="4"/>
  <c r="F751" i="4"/>
  <c r="G751" i="4"/>
  <c r="H751" i="4"/>
  <c r="I751" i="4"/>
  <c r="J751" i="4"/>
  <c r="K751" i="4"/>
  <c r="L751" i="4"/>
  <c r="M751" i="4"/>
  <c r="N751" i="4"/>
  <c r="O751" i="4"/>
  <c r="P751" i="4"/>
  <c r="Q751" i="4"/>
  <c r="R751" i="4"/>
  <c r="S751" i="4"/>
  <c r="T751" i="4"/>
  <c r="U751" i="4"/>
  <c r="V751" i="4"/>
  <c r="W751" i="4"/>
  <c r="X751" i="4"/>
  <c r="Y751" i="4"/>
  <c r="AD751" i="4"/>
  <c r="B752" i="4"/>
  <c r="C752" i="4"/>
  <c r="D752" i="4"/>
  <c r="E752" i="4"/>
  <c r="F752" i="4"/>
  <c r="G752" i="4"/>
  <c r="H752" i="4"/>
  <c r="I752" i="4"/>
  <c r="J752" i="4"/>
  <c r="K752" i="4"/>
  <c r="L752" i="4"/>
  <c r="M752" i="4"/>
  <c r="N752" i="4"/>
  <c r="O752" i="4"/>
  <c r="P752" i="4"/>
  <c r="Q752" i="4"/>
  <c r="R752" i="4"/>
  <c r="S752" i="4"/>
  <c r="T752" i="4"/>
  <c r="U752" i="4"/>
  <c r="V752" i="4"/>
  <c r="W752" i="4"/>
  <c r="X752" i="4"/>
  <c r="Y752" i="4"/>
  <c r="B753" i="4"/>
  <c r="C753" i="4"/>
  <c r="D753" i="4"/>
  <c r="E753" i="4"/>
  <c r="F753" i="4"/>
  <c r="G753" i="4"/>
  <c r="H753" i="4"/>
  <c r="I753" i="4"/>
  <c r="J753" i="4"/>
  <c r="K753" i="4"/>
  <c r="L753" i="4"/>
  <c r="M753" i="4"/>
  <c r="N753" i="4"/>
  <c r="O753" i="4"/>
  <c r="P753" i="4"/>
  <c r="Q753" i="4"/>
  <c r="R753" i="4"/>
  <c r="S753" i="4"/>
  <c r="T753" i="4"/>
  <c r="U753" i="4"/>
  <c r="V753" i="4"/>
  <c r="W753" i="4"/>
  <c r="X753" i="4"/>
  <c r="Y753" i="4"/>
  <c r="B754" i="4"/>
  <c r="C754" i="4"/>
  <c r="D754" i="4"/>
  <c r="E754" i="4"/>
  <c r="F754" i="4"/>
  <c r="G754" i="4"/>
  <c r="H754" i="4"/>
  <c r="I754" i="4"/>
  <c r="J754" i="4"/>
  <c r="K754" i="4"/>
  <c r="L754" i="4"/>
  <c r="M754" i="4"/>
  <c r="N754" i="4"/>
  <c r="O754" i="4"/>
  <c r="P754" i="4"/>
  <c r="Q754" i="4"/>
  <c r="R754" i="4"/>
  <c r="S754" i="4"/>
  <c r="T754" i="4"/>
  <c r="U754" i="4"/>
  <c r="V754" i="4"/>
  <c r="W754" i="4"/>
  <c r="X754" i="4"/>
  <c r="Y754" i="4"/>
  <c r="B755" i="4"/>
  <c r="C755" i="4"/>
  <c r="D755" i="4"/>
  <c r="E755" i="4"/>
  <c r="F755" i="4"/>
  <c r="G755" i="4"/>
  <c r="H755" i="4"/>
  <c r="I755" i="4"/>
  <c r="J755" i="4"/>
  <c r="K755" i="4"/>
  <c r="L755" i="4"/>
  <c r="M755" i="4"/>
  <c r="N755" i="4"/>
  <c r="O755" i="4"/>
  <c r="P755" i="4"/>
  <c r="Q755" i="4"/>
  <c r="R755" i="4"/>
  <c r="S755" i="4"/>
  <c r="T755" i="4"/>
  <c r="U755" i="4"/>
  <c r="V755" i="4"/>
  <c r="W755" i="4"/>
  <c r="X755" i="4"/>
  <c r="Y755" i="4"/>
  <c r="B756" i="4"/>
  <c r="C756" i="4"/>
  <c r="D756" i="4"/>
  <c r="E756" i="4"/>
  <c r="AC756" i="4" s="1"/>
  <c r="F756" i="4"/>
  <c r="G756" i="4"/>
  <c r="H756" i="4"/>
  <c r="I756" i="4"/>
  <c r="J756" i="4"/>
  <c r="K756" i="4"/>
  <c r="L756" i="4"/>
  <c r="M756" i="4"/>
  <c r="AD756" i="4" s="1"/>
  <c r="N756" i="4"/>
  <c r="O756" i="4"/>
  <c r="P756" i="4"/>
  <c r="Q756" i="4"/>
  <c r="R756" i="4"/>
  <c r="S756" i="4"/>
  <c r="T756" i="4"/>
  <c r="U756" i="4"/>
  <c r="V756" i="4"/>
  <c r="W756" i="4"/>
  <c r="X756" i="4"/>
  <c r="Y756" i="4"/>
  <c r="B757" i="4"/>
  <c r="C757" i="4"/>
  <c r="D757" i="4"/>
  <c r="E757" i="4"/>
  <c r="F757" i="4"/>
  <c r="G757" i="4"/>
  <c r="H757" i="4"/>
  <c r="I757" i="4"/>
  <c r="J757" i="4"/>
  <c r="K757" i="4"/>
  <c r="L757" i="4"/>
  <c r="M757" i="4"/>
  <c r="N757" i="4"/>
  <c r="O757" i="4"/>
  <c r="P757" i="4"/>
  <c r="Q757" i="4"/>
  <c r="R757" i="4"/>
  <c r="S757" i="4"/>
  <c r="T757" i="4"/>
  <c r="U757" i="4"/>
  <c r="V757" i="4"/>
  <c r="W757" i="4"/>
  <c r="X757" i="4"/>
  <c r="Y757" i="4"/>
  <c r="B758" i="4"/>
  <c r="C758" i="4"/>
  <c r="D758" i="4"/>
  <c r="E758" i="4"/>
  <c r="F758" i="4"/>
  <c r="G758" i="4"/>
  <c r="H758" i="4"/>
  <c r="I758" i="4"/>
  <c r="J758" i="4"/>
  <c r="K758" i="4"/>
  <c r="L758" i="4"/>
  <c r="M758" i="4"/>
  <c r="N758" i="4"/>
  <c r="O758" i="4"/>
  <c r="P758" i="4"/>
  <c r="Q758" i="4"/>
  <c r="R758" i="4"/>
  <c r="S758" i="4"/>
  <c r="T758" i="4"/>
  <c r="U758" i="4"/>
  <c r="V758" i="4"/>
  <c r="W758" i="4"/>
  <c r="X758" i="4"/>
  <c r="Y758" i="4"/>
  <c r="B759" i="4"/>
  <c r="C759" i="4"/>
  <c r="AC759" i="4" s="1"/>
  <c r="D759" i="4"/>
  <c r="E759" i="4"/>
  <c r="F759" i="4"/>
  <c r="G759" i="4"/>
  <c r="H759" i="4"/>
  <c r="I759" i="4"/>
  <c r="J759" i="4"/>
  <c r="K759" i="4"/>
  <c r="L759" i="4"/>
  <c r="M759" i="4"/>
  <c r="N759" i="4"/>
  <c r="O759" i="4"/>
  <c r="P759" i="4"/>
  <c r="Q759" i="4"/>
  <c r="R759" i="4"/>
  <c r="S759" i="4"/>
  <c r="T759" i="4"/>
  <c r="U759" i="4"/>
  <c r="V759" i="4"/>
  <c r="W759" i="4"/>
  <c r="X759" i="4"/>
  <c r="Y759" i="4"/>
  <c r="AD759" i="4"/>
  <c r="B760" i="4"/>
  <c r="C760" i="4"/>
  <c r="D760" i="4"/>
  <c r="E760" i="4"/>
  <c r="F760" i="4"/>
  <c r="G760" i="4"/>
  <c r="H760" i="4"/>
  <c r="I760" i="4"/>
  <c r="J760" i="4"/>
  <c r="K760" i="4"/>
  <c r="L760" i="4"/>
  <c r="M760" i="4"/>
  <c r="N760" i="4"/>
  <c r="O760" i="4"/>
  <c r="P760" i="4"/>
  <c r="Q760" i="4"/>
  <c r="R760" i="4"/>
  <c r="S760" i="4"/>
  <c r="T760" i="4"/>
  <c r="U760" i="4"/>
  <c r="V760" i="4"/>
  <c r="W760" i="4"/>
  <c r="X760" i="4"/>
  <c r="Y760" i="4"/>
  <c r="B761" i="4"/>
  <c r="C761" i="4"/>
  <c r="D761" i="4"/>
  <c r="E761" i="4"/>
  <c r="F761" i="4"/>
  <c r="G761" i="4"/>
  <c r="H761" i="4"/>
  <c r="I761" i="4"/>
  <c r="J761" i="4"/>
  <c r="K761" i="4"/>
  <c r="L761" i="4"/>
  <c r="M761" i="4"/>
  <c r="AD761" i="4" s="1"/>
  <c r="N761" i="4"/>
  <c r="O761" i="4"/>
  <c r="P761" i="4"/>
  <c r="Q761" i="4"/>
  <c r="R761" i="4"/>
  <c r="S761" i="4"/>
  <c r="T761" i="4"/>
  <c r="U761" i="4"/>
  <c r="V761" i="4"/>
  <c r="W761" i="4"/>
  <c r="X761" i="4"/>
  <c r="Y761" i="4"/>
  <c r="B762" i="4"/>
  <c r="C762" i="4"/>
  <c r="D762" i="4"/>
  <c r="E762" i="4"/>
  <c r="F762" i="4"/>
  <c r="G762" i="4"/>
  <c r="H762" i="4"/>
  <c r="I762" i="4"/>
  <c r="J762" i="4"/>
  <c r="K762" i="4"/>
  <c r="L762" i="4"/>
  <c r="M762" i="4"/>
  <c r="AD762" i="4" s="1"/>
  <c r="N762" i="4"/>
  <c r="O762" i="4"/>
  <c r="P762" i="4"/>
  <c r="Q762" i="4"/>
  <c r="R762" i="4"/>
  <c r="S762" i="4"/>
  <c r="T762" i="4"/>
  <c r="U762" i="4"/>
  <c r="V762" i="4"/>
  <c r="W762" i="4"/>
  <c r="X762" i="4"/>
  <c r="Y762" i="4"/>
  <c r="B763" i="4"/>
  <c r="C763" i="4"/>
  <c r="D763" i="4"/>
  <c r="E763" i="4"/>
  <c r="AC763" i="4" s="1"/>
  <c r="F763" i="4"/>
  <c r="G763" i="4"/>
  <c r="H763" i="4"/>
  <c r="I763" i="4"/>
  <c r="J763" i="4"/>
  <c r="K763" i="4"/>
  <c r="L763" i="4"/>
  <c r="M763" i="4"/>
  <c r="AD763" i="4" s="1"/>
  <c r="N763" i="4"/>
  <c r="O763" i="4"/>
  <c r="P763" i="4"/>
  <c r="Q763" i="4"/>
  <c r="R763" i="4"/>
  <c r="S763" i="4"/>
  <c r="T763" i="4"/>
  <c r="U763" i="4"/>
  <c r="V763" i="4"/>
  <c r="W763" i="4"/>
  <c r="X763" i="4"/>
  <c r="Y763" i="4"/>
  <c r="B764" i="4"/>
  <c r="C764" i="4"/>
  <c r="D764" i="4"/>
  <c r="E764" i="4"/>
  <c r="F764" i="4"/>
  <c r="G764" i="4"/>
  <c r="H764" i="4"/>
  <c r="I764" i="4"/>
  <c r="J764" i="4"/>
  <c r="K764" i="4"/>
  <c r="L764" i="4"/>
  <c r="M764" i="4"/>
  <c r="N764" i="4"/>
  <c r="O764" i="4"/>
  <c r="P764" i="4"/>
  <c r="Q764" i="4"/>
  <c r="R764" i="4"/>
  <c r="S764" i="4"/>
  <c r="T764" i="4"/>
  <c r="U764" i="4"/>
  <c r="V764" i="4"/>
  <c r="W764" i="4"/>
  <c r="X764" i="4"/>
  <c r="Y764" i="4"/>
  <c r="B765" i="4"/>
  <c r="C765" i="4"/>
  <c r="D765" i="4"/>
  <c r="E765" i="4"/>
  <c r="F765" i="4"/>
  <c r="G765" i="4"/>
  <c r="H765" i="4"/>
  <c r="I765" i="4"/>
  <c r="J765" i="4"/>
  <c r="K765" i="4"/>
  <c r="L765" i="4"/>
  <c r="M765" i="4"/>
  <c r="N765" i="4"/>
  <c r="O765" i="4"/>
  <c r="P765" i="4"/>
  <c r="Q765" i="4"/>
  <c r="R765" i="4"/>
  <c r="S765" i="4"/>
  <c r="T765" i="4"/>
  <c r="U765" i="4"/>
  <c r="V765" i="4"/>
  <c r="W765" i="4"/>
  <c r="X765" i="4"/>
  <c r="Y765" i="4"/>
  <c r="B766" i="4"/>
  <c r="C766" i="4"/>
  <c r="D766" i="4"/>
  <c r="E766" i="4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U766" i="4"/>
  <c r="V766" i="4"/>
  <c r="W766" i="4"/>
  <c r="X766" i="4"/>
  <c r="Y766" i="4"/>
  <c r="B767" i="4"/>
  <c r="C767" i="4"/>
  <c r="D767" i="4"/>
  <c r="E767" i="4"/>
  <c r="F767" i="4"/>
  <c r="G767" i="4"/>
  <c r="H767" i="4"/>
  <c r="I767" i="4"/>
  <c r="J767" i="4"/>
  <c r="K767" i="4"/>
  <c r="L767" i="4"/>
  <c r="M767" i="4"/>
  <c r="N767" i="4"/>
  <c r="O767" i="4"/>
  <c r="P767" i="4"/>
  <c r="Q767" i="4"/>
  <c r="R767" i="4"/>
  <c r="S767" i="4"/>
  <c r="T767" i="4"/>
  <c r="U767" i="4"/>
  <c r="V767" i="4"/>
  <c r="W767" i="4"/>
  <c r="X767" i="4"/>
  <c r="Y767" i="4"/>
  <c r="B768" i="4"/>
  <c r="C768" i="4"/>
  <c r="D768" i="4"/>
  <c r="E768" i="4"/>
  <c r="F768" i="4"/>
  <c r="G768" i="4"/>
  <c r="H768" i="4"/>
  <c r="I768" i="4"/>
  <c r="J768" i="4"/>
  <c r="K768" i="4"/>
  <c r="L768" i="4"/>
  <c r="M768" i="4"/>
  <c r="N768" i="4"/>
  <c r="O768" i="4"/>
  <c r="AD768" i="4" s="1"/>
  <c r="P768" i="4"/>
  <c r="Q768" i="4"/>
  <c r="R768" i="4"/>
  <c r="S768" i="4"/>
  <c r="T768" i="4"/>
  <c r="U768" i="4"/>
  <c r="V768" i="4"/>
  <c r="W768" i="4"/>
  <c r="X768" i="4"/>
  <c r="Y768" i="4"/>
  <c r="B769" i="4"/>
  <c r="C769" i="4"/>
  <c r="D769" i="4"/>
  <c r="E769" i="4"/>
  <c r="F769" i="4"/>
  <c r="G769" i="4"/>
  <c r="H769" i="4"/>
  <c r="I769" i="4"/>
  <c r="J769" i="4"/>
  <c r="K769" i="4"/>
  <c r="L769" i="4"/>
  <c r="M769" i="4"/>
  <c r="N769" i="4"/>
  <c r="O769" i="4"/>
  <c r="P769" i="4"/>
  <c r="Q769" i="4"/>
  <c r="R769" i="4"/>
  <c r="S769" i="4"/>
  <c r="T769" i="4"/>
  <c r="U769" i="4"/>
  <c r="V769" i="4"/>
  <c r="W769" i="4"/>
  <c r="X769" i="4"/>
  <c r="Y769" i="4"/>
  <c r="AC769" i="4"/>
  <c r="B770" i="4"/>
  <c r="C770" i="4"/>
  <c r="D770" i="4"/>
  <c r="E770" i="4"/>
  <c r="F770" i="4"/>
  <c r="G770" i="4"/>
  <c r="H770" i="4"/>
  <c r="I770" i="4"/>
  <c r="J770" i="4"/>
  <c r="K770" i="4"/>
  <c r="L770" i="4"/>
  <c r="M770" i="4"/>
  <c r="N770" i="4"/>
  <c r="O770" i="4"/>
  <c r="P770" i="4"/>
  <c r="Q770" i="4"/>
  <c r="R770" i="4"/>
  <c r="S770" i="4"/>
  <c r="T770" i="4"/>
  <c r="U770" i="4"/>
  <c r="V770" i="4"/>
  <c r="W770" i="4"/>
  <c r="X770" i="4"/>
  <c r="Y770" i="4"/>
  <c r="B771" i="4"/>
  <c r="C771" i="4"/>
  <c r="D771" i="4"/>
  <c r="E771" i="4"/>
  <c r="F771" i="4"/>
  <c r="G771" i="4"/>
  <c r="H771" i="4"/>
  <c r="I771" i="4"/>
  <c r="J771" i="4"/>
  <c r="K771" i="4"/>
  <c r="L771" i="4"/>
  <c r="M771" i="4"/>
  <c r="AD771" i="4" s="1"/>
  <c r="N771" i="4"/>
  <c r="O771" i="4"/>
  <c r="P771" i="4"/>
  <c r="Q771" i="4"/>
  <c r="R771" i="4"/>
  <c r="S771" i="4"/>
  <c r="T771" i="4"/>
  <c r="U771" i="4"/>
  <c r="V771" i="4"/>
  <c r="W771" i="4"/>
  <c r="X771" i="4"/>
  <c r="Y771" i="4"/>
  <c r="B772" i="4"/>
  <c r="C772" i="4"/>
  <c r="D772" i="4"/>
  <c r="E772" i="4"/>
  <c r="F772" i="4"/>
  <c r="G772" i="4"/>
  <c r="H772" i="4"/>
  <c r="I772" i="4"/>
  <c r="J772" i="4"/>
  <c r="K772" i="4"/>
  <c r="L772" i="4"/>
  <c r="M772" i="4"/>
  <c r="N772" i="4"/>
  <c r="O772" i="4"/>
  <c r="P772" i="4"/>
  <c r="AD772" i="4" s="1"/>
  <c r="Q772" i="4"/>
  <c r="R772" i="4"/>
  <c r="S772" i="4"/>
  <c r="T772" i="4"/>
  <c r="U772" i="4"/>
  <c r="V772" i="4"/>
  <c r="W772" i="4"/>
  <c r="X772" i="4"/>
  <c r="Y772" i="4"/>
  <c r="B773" i="4"/>
  <c r="C773" i="4"/>
  <c r="D773" i="4"/>
  <c r="E773" i="4"/>
  <c r="F773" i="4"/>
  <c r="G773" i="4"/>
  <c r="H773" i="4"/>
  <c r="I773" i="4"/>
  <c r="J773" i="4"/>
  <c r="K773" i="4"/>
  <c r="L773" i="4"/>
  <c r="M773" i="4"/>
  <c r="N773" i="4"/>
  <c r="O773" i="4"/>
  <c r="P773" i="4"/>
  <c r="Q773" i="4"/>
  <c r="R773" i="4"/>
  <c r="S773" i="4"/>
  <c r="T773" i="4"/>
  <c r="U773" i="4"/>
  <c r="V773" i="4"/>
  <c r="W773" i="4"/>
  <c r="X773" i="4"/>
  <c r="Y773" i="4"/>
  <c r="B774" i="4"/>
  <c r="C774" i="4"/>
  <c r="D774" i="4"/>
  <c r="E774" i="4"/>
  <c r="F774" i="4"/>
  <c r="G774" i="4"/>
  <c r="H774" i="4"/>
  <c r="I774" i="4"/>
  <c r="J774" i="4"/>
  <c r="K774" i="4"/>
  <c r="L774" i="4"/>
  <c r="M774" i="4"/>
  <c r="N774" i="4"/>
  <c r="O774" i="4"/>
  <c r="P774" i="4"/>
  <c r="Q774" i="4"/>
  <c r="R774" i="4"/>
  <c r="S774" i="4"/>
  <c r="T774" i="4"/>
  <c r="U774" i="4"/>
  <c r="V774" i="4"/>
  <c r="W774" i="4"/>
  <c r="X774" i="4"/>
  <c r="Y774" i="4"/>
  <c r="B775" i="4"/>
  <c r="C775" i="4"/>
  <c r="D775" i="4"/>
  <c r="E775" i="4"/>
  <c r="F775" i="4"/>
  <c r="G775" i="4"/>
  <c r="H775" i="4"/>
  <c r="I775" i="4"/>
  <c r="J775" i="4"/>
  <c r="K775" i="4"/>
  <c r="L775" i="4"/>
  <c r="M775" i="4"/>
  <c r="N775" i="4"/>
  <c r="O775" i="4"/>
  <c r="P775" i="4"/>
  <c r="AD775" i="4" s="1"/>
  <c r="Q775" i="4"/>
  <c r="R775" i="4"/>
  <c r="S775" i="4"/>
  <c r="T775" i="4"/>
  <c r="U775" i="4"/>
  <c r="V775" i="4"/>
  <c r="W775" i="4"/>
  <c r="X775" i="4"/>
  <c r="Y775" i="4"/>
  <c r="B776" i="4"/>
  <c r="C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AD776" i="4" s="1"/>
  <c r="P776" i="4"/>
  <c r="Q776" i="4"/>
  <c r="R776" i="4"/>
  <c r="S776" i="4"/>
  <c r="T776" i="4"/>
  <c r="U776" i="4"/>
  <c r="V776" i="4"/>
  <c r="W776" i="4"/>
  <c r="X776" i="4"/>
  <c r="Y776" i="4"/>
  <c r="B777" i="4"/>
  <c r="C777" i="4"/>
  <c r="D777" i="4"/>
  <c r="E777" i="4"/>
  <c r="F777" i="4"/>
  <c r="G777" i="4"/>
  <c r="H777" i="4"/>
  <c r="I777" i="4"/>
  <c r="J777" i="4"/>
  <c r="K777" i="4"/>
  <c r="L777" i="4"/>
  <c r="M777" i="4"/>
  <c r="N777" i="4"/>
  <c r="O777" i="4"/>
  <c r="P777" i="4"/>
  <c r="Q777" i="4"/>
  <c r="R777" i="4"/>
  <c r="S777" i="4"/>
  <c r="T777" i="4"/>
  <c r="U777" i="4"/>
  <c r="V777" i="4"/>
  <c r="W777" i="4"/>
  <c r="X777" i="4"/>
  <c r="Y777" i="4"/>
  <c r="B778" i="4"/>
  <c r="C778" i="4"/>
  <c r="D778" i="4"/>
  <c r="E778" i="4"/>
  <c r="F778" i="4"/>
  <c r="G778" i="4"/>
  <c r="H778" i="4"/>
  <c r="I778" i="4"/>
  <c r="J778" i="4"/>
  <c r="K778" i="4"/>
  <c r="L778" i="4"/>
  <c r="M778" i="4"/>
  <c r="N778" i="4"/>
  <c r="O778" i="4"/>
  <c r="P778" i="4"/>
  <c r="Q778" i="4"/>
  <c r="R778" i="4"/>
  <c r="S778" i="4"/>
  <c r="T778" i="4"/>
  <c r="U778" i="4"/>
  <c r="V778" i="4"/>
  <c r="W778" i="4"/>
  <c r="X778" i="4"/>
  <c r="Y778" i="4"/>
  <c r="B779" i="4"/>
  <c r="C779" i="4"/>
  <c r="D779" i="4"/>
  <c r="E779" i="4"/>
  <c r="F779" i="4"/>
  <c r="G779" i="4"/>
  <c r="H779" i="4"/>
  <c r="I779" i="4"/>
  <c r="J779" i="4"/>
  <c r="K779" i="4"/>
  <c r="L779" i="4"/>
  <c r="M779" i="4"/>
  <c r="N779" i="4"/>
  <c r="O779" i="4"/>
  <c r="P779" i="4"/>
  <c r="Q779" i="4"/>
  <c r="R779" i="4"/>
  <c r="S779" i="4"/>
  <c r="T779" i="4"/>
  <c r="U779" i="4"/>
  <c r="V779" i="4"/>
  <c r="W779" i="4"/>
  <c r="X779" i="4"/>
  <c r="Y779" i="4"/>
  <c r="B780" i="4"/>
  <c r="C780" i="4"/>
  <c r="D780" i="4"/>
  <c r="E780" i="4"/>
  <c r="F780" i="4"/>
  <c r="G780" i="4"/>
  <c r="H780" i="4"/>
  <c r="I780" i="4"/>
  <c r="J780" i="4"/>
  <c r="K780" i="4"/>
  <c r="L780" i="4"/>
  <c r="M780" i="4"/>
  <c r="N780" i="4"/>
  <c r="O780" i="4"/>
  <c r="P780" i="4"/>
  <c r="Q780" i="4"/>
  <c r="R780" i="4"/>
  <c r="S780" i="4"/>
  <c r="T780" i="4"/>
  <c r="U780" i="4"/>
  <c r="V780" i="4"/>
  <c r="W780" i="4"/>
  <c r="X780" i="4"/>
  <c r="Y780" i="4"/>
  <c r="B781" i="4"/>
  <c r="C781" i="4"/>
  <c r="D781" i="4"/>
  <c r="E781" i="4"/>
  <c r="F781" i="4"/>
  <c r="G781" i="4"/>
  <c r="H781" i="4"/>
  <c r="I781" i="4"/>
  <c r="J781" i="4"/>
  <c r="K781" i="4"/>
  <c r="L781" i="4"/>
  <c r="M781" i="4"/>
  <c r="N781" i="4"/>
  <c r="O781" i="4"/>
  <c r="P781" i="4"/>
  <c r="Q781" i="4"/>
  <c r="R781" i="4"/>
  <c r="S781" i="4"/>
  <c r="T781" i="4"/>
  <c r="U781" i="4"/>
  <c r="V781" i="4"/>
  <c r="W781" i="4"/>
  <c r="X781" i="4"/>
  <c r="Y781" i="4"/>
  <c r="AC781" i="4"/>
  <c r="B782" i="4"/>
  <c r="C782" i="4"/>
  <c r="D782" i="4"/>
  <c r="E782" i="4"/>
  <c r="F782" i="4"/>
  <c r="G782" i="4"/>
  <c r="H782" i="4"/>
  <c r="I782" i="4"/>
  <c r="J782" i="4"/>
  <c r="K782" i="4"/>
  <c r="L782" i="4"/>
  <c r="M782" i="4"/>
  <c r="AD782" i="4" s="1"/>
  <c r="N782" i="4"/>
  <c r="O782" i="4"/>
  <c r="P782" i="4"/>
  <c r="Q782" i="4"/>
  <c r="R782" i="4"/>
  <c r="S782" i="4"/>
  <c r="T782" i="4"/>
  <c r="U782" i="4"/>
  <c r="V782" i="4"/>
  <c r="W782" i="4"/>
  <c r="X782" i="4"/>
  <c r="Y782" i="4"/>
  <c r="B783" i="4"/>
  <c r="C783" i="4"/>
  <c r="D783" i="4"/>
  <c r="E783" i="4"/>
  <c r="F783" i="4"/>
  <c r="G783" i="4"/>
  <c r="H783" i="4"/>
  <c r="I783" i="4"/>
  <c r="J783" i="4"/>
  <c r="K783" i="4"/>
  <c r="L783" i="4"/>
  <c r="M783" i="4"/>
  <c r="AD783" i="4" s="1"/>
  <c r="N783" i="4"/>
  <c r="O783" i="4"/>
  <c r="P783" i="4"/>
  <c r="Q783" i="4"/>
  <c r="R783" i="4"/>
  <c r="S783" i="4"/>
  <c r="T783" i="4"/>
  <c r="U783" i="4"/>
  <c r="V783" i="4"/>
  <c r="W783" i="4"/>
  <c r="X783" i="4"/>
  <c r="Y783" i="4"/>
  <c r="B784" i="4"/>
  <c r="C784" i="4"/>
  <c r="D784" i="4"/>
  <c r="E784" i="4"/>
  <c r="F784" i="4"/>
  <c r="G784" i="4"/>
  <c r="H784" i="4"/>
  <c r="I784" i="4"/>
  <c r="J784" i="4"/>
  <c r="K784" i="4"/>
  <c r="L784" i="4"/>
  <c r="M784" i="4"/>
  <c r="N784" i="4"/>
  <c r="O784" i="4"/>
  <c r="P784" i="4"/>
  <c r="AD784" i="4" s="1"/>
  <c r="Q784" i="4"/>
  <c r="R784" i="4"/>
  <c r="S784" i="4"/>
  <c r="T784" i="4"/>
  <c r="U784" i="4"/>
  <c r="V784" i="4"/>
  <c r="W784" i="4"/>
  <c r="X784" i="4"/>
  <c r="Y784" i="4"/>
  <c r="B785" i="4"/>
  <c r="C785" i="4"/>
  <c r="D785" i="4"/>
  <c r="E785" i="4"/>
  <c r="F785" i="4"/>
  <c r="G785" i="4"/>
  <c r="H785" i="4"/>
  <c r="I785" i="4"/>
  <c r="J785" i="4"/>
  <c r="K785" i="4"/>
  <c r="L785" i="4"/>
  <c r="M785" i="4"/>
  <c r="N785" i="4"/>
  <c r="O785" i="4"/>
  <c r="P785" i="4"/>
  <c r="Q785" i="4"/>
  <c r="R785" i="4"/>
  <c r="S785" i="4"/>
  <c r="T785" i="4"/>
  <c r="U785" i="4"/>
  <c r="V785" i="4"/>
  <c r="W785" i="4"/>
  <c r="X785" i="4"/>
  <c r="Y785" i="4"/>
  <c r="B786" i="4"/>
  <c r="C786" i="4"/>
  <c r="D786" i="4"/>
  <c r="E786" i="4"/>
  <c r="F786" i="4"/>
  <c r="G786" i="4"/>
  <c r="H786" i="4"/>
  <c r="I786" i="4"/>
  <c r="J786" i="4"/>
  <c r="K786" i="4"/>
  <c r="L786" i="4"/>
  <c r="M786" i="4"/>
  <c r="N786" i="4"/>
  <c r="O786" i="4"/>
  <c r="P786" i="4"/>
  <c r="Q786" i="4"/>
  <c r="R786" i="4"/>
  <c r="S786" i="4"/>
  <c r="T786" i="4"/>
  <c r="U786" i="4"/>
  <c r="V786" i="4"/>
  <c r="W786" i="4"/>
  <c r="X786" i="4"/>
  <c r="Y786" i="4"/>
  <c r="B787" i="4"/>
  <c r="C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P787" i="4"/>
  <c r="Q787" i="4"/>
  <c r="R787" i="4"/>
  <c r="S787" i="4"/>
  <c r="T787" i="4"/>
  <c r="U787" i="4"/>
  <c r="V787" i="4"/>
  <c r="W787" i="4"/>
  <c r="X787" i="4"/>
  <c r="Y787" i="4"/>
  <c r="B788" i="4"/>
  <c r="C788" i="4"/>
  <c r="D788" i="4"/>
  <c r="E788" i="4"/>
  <c r="F788" i="4"/>
  <c r="G788" i="4"/>
  <c r="H788" i="4"/>
  <c r="I788" i="4"/>
  <c r="J788" i="4"/>
  <c r="K788" i="4"/>
  <c r="L788" i="4"/>
  <c r="M788" i="4"/>
  <c r="N788" i="4"/>
  <c r="O788" i="4"/>
  <c r="AD788" i="4" s="1"/>
  <c r="P788" i="4"/>
  <c r="Q788" i="4"/>
  <c r="R788" i="4"/>
  <c r="S788" i="4"/>
  <c r="T788" i="4"/>
  <c r="U788" i="4"/>
  <c r="V788" i="4"/>
  <c r="W788" i="4"/>
  <c r="X788" i="4"/>
  <c r="Y788" i="4"/>
  <c r="B789" i="4"/>
  <c r="C789" i="4"/>
  <c r="D789" i="4"/>
  <c r="E789" i="4"/>
  <c r="F789" i="4"/>
  <c r="G789" i="4"/>
  <c r="H789" i="4"/>
  <c r="I789" i="4"/>
  <c r="J789" i="4"/>
  <c r="K789" i="4"/>
  <c r="L789" i="4"/>
  <c r="M789" i="4"/>
  <c r="N789" i="4"/>
  <c r="O789" i="4"/>
  <c r="P789" i="4"/>
  <c r="Q789" i="4"/>
  <c r="R789" i="4"/>
  <c r="S789" i="4"/>
  <c r="T789" i="4"/>
  <c r="U789" i="4"/>
  <c r="V789" i="4"/>
  <c r="W789" i="4"/>
  <c r="X789" i="4"/>
  <c r="Y789" i="4"/>
  <c r="B790" i="4"/>
  <c r="C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P790" i="4"/>
  <c r="Q790" i="4"/>
  <c r="R790" i="4"/>
  <c r="S790" i="4"/>
  <c r="T790" i="4"/>
  <c r="U790" i="4"/>
  <c r="V790" i="4"/>
  <c r="W790" i="4"/>
  <c r="X790" i="4"/>
  <c r="Y790" i="4"/>
  <c r="B791" i="4"/>
  <c r="C791" i="4"/>
  <c r="D791" i="4"/>
  <c r="E791" i="4"/>
  <c r="F791" i="4"/>
  <c r="G791" i="4"/>
  <c r="H791" i="4"/>
  <c r="I791" i="4"/>
  <c r="J791" i="4"/>
  <c r="K791" i="4"/>
  <c r="L791" i="4"/>
  <c r="M791" i="4"/>
  <c r="N791" i="4"/>
  <c r="O791" i="4"/>
  <c r="P791" i="4"/>
  <c r="Q791" i="4"/>
  <c r="R791" i="4"/>
  <c r="S791" i="4"/>
  <c r="T791" i="4"/>
  <c r="U791" i="4"/>
  <c r="V791" i="4"/>
  <c r="W791" i="4"/>
  <c r="X791" i="4"/>
  <c r="Y791" i="4"/>
  <c r="AC791" i="4"/>
  <c r="B792" i="4"/>
  <c r="C792" i="4"/>
  <c r="D792" i="4"/>
  <c r="E792" i="4"/>
  <c r="F792" i="4"/>
  <c r="G792" i="4"/>
  <c r="H792" i="4"/>
  <c r="I792" i="4"/>
  <c r="J792" i="4"/>
  <c r="K792" i="4"/>
  <c r="L792" i="4"/>
  <c r="M792" i="4"/>
  <c r="N792" i="4"/>
  <c r="O792" i="4"/>
  <c r="P792" i="4"/>
  <c r="Q792" i="4"/>
  <c r="R792" i="4"/>
  <c r="S792" i="4"/>
  <c r="T792" i="4"/>
  <c r="U792" i="4"/>
  <c r="V792" i="4"/>
  <c r="W792" i="4"/>
  <c r="X792" i="4"/>
  <c r="Y792" i="4"/>
  <c r="B793" i="4"/>
  <c r="C793" i="4"/>
  <c r="D793" i="4"/>
  <c r="E793" i="4"/>
  <c r="F793" i="4"/>
  <c r="G793" i="4"/>
  <c r="H793" i="4"/>
  <c r="I793" i="4"/>
  <c r="J793" i="4"/>
  <c r="K793" i="4"/>
  <c r="L793" i="4"/>
  <c r="M793" i="4"/>
  <c r="N793" i="4"/>
  <c r="O793" i="4"/>
  <c r="P793" i="4"/>
  <c r="Q793" i="4"/>
  <c r="R793" i="4"/>
  <c r="S793" i="4"/>
  <c r="T793" i="4"/>
  <c r="U793" i="4"/>
  <c r="V793" i="4"/>
  <c r="W793" i="4"/>
  <c r="X793" i="4"/>
  <c r="Y793" i="4"/>
  <c r="B794" i="4"/>
  <c r="C794" i="4"/>
  <c r="D794" i="4"/>
  <c r="E794" i="4"/>
  <c r="F794" i="4"/>
  <c r="G794" i="4"/>
  <c r="H794" i="4"/>
  <c r="I794" i="4"/>
  <c r="J794" i="4"/>
  <c r="K794" i="4"/>
  <c r="L794" i="4"/>
  <c r="M794" i="4"/>
  <c r="N794" i="4"/>
  <c r="O794" i="4"/>
  <c r="P794" i="4"/>
  <c r="Q794" i="4"/>
  <c r="R794" i="4"/>
  <c r="S794" i="4"/>
  <c r="T794" i="4"/>
  <c r="U794" i="4"/>
  <c r="V794" i="4"/>
  <c r="W794" i="4"/>
  <c r="X794" i="4"/>
  <c r="Y794" i="4"/>
  <c r="B795" i="4"/>
  <c r="C795" i="4"/>
  <c r="D795" i="4"/>
  <c r="E795" i="4"/>
  <c r="F795" i="4"/>
  <c r="G795" i="4"/>
  <c r="H795" i="4"/>
  <c r="I795" i="4"/>
  <c r="J795" i="4"/>
  <c r="K795" i="4"/>
  <c r="L795" i="4"/>
  <c r="M795" i="4"/>
  <c r="N795" i="4"/>
  <c r="O795" i="4"/>
  <c r="P795" i="4"/>
  <c r="Q795" i="4"/>
  <c r="R795" i="4"/>
  <c r="S795" i="4"/>
  <c r="T795" i="4"/>
  <c r="U795" i="4"/>
  <c r="V795" i="4"/>
  <c r="W795" i="4"/>
  <c r="X795" i="4"/>
  <c r="Y795" i="4"/>
  <c r="B796" i="4"/>
  <c r="C796" i="4"/>
  <c r="D796" i="4"/>
  <c r="E796" i="4"/>
  <c r="F796" i="4"/>
  <c r="G796" i="4"/>
  <c r="H796" i="4"/>
  <c r="I796" i="4"/>
  <c r="J796" i="4"/>
  <c r="K796" i="4"/>
  <c r="L796" i="4"/>
  <c r="M796" i="4"/>
  <c r="N796" i="4"/>
  <c r="O796" i="4"/>
  <c r="P796" i="4"/>
  <c r="Q796" i="4"/>
  <c r="R796" i="4"/>
  <c r="S796" i="4"/>
  <c r="T796" i="4"/>
  <c r="U796" i="4"/>
  <c r="V796" i="4"/>
  <c r="W796" i="4"/>
  <c r="X796" i="4"/>
  <c r="Y796" i="4"/>
  <c r="AD796" i="4"/>
  <c r="B797" i="4"/>
  <c r="C797" i="4"/>
  <c r="D797" i="4"/>
  <c r="E797" i="4"/>
  <c r="F797" i="4"/>
  <c r="G797" i="4"/>
  <c r="H797" i="4"/>
  <c r="I797" i="4"/>
  <c r="J797" i="4"/>
  <c r="K797" i="4"/>
  <c r="L797" i="4"/>
  <c r="M797" i="4"/>
  <c r="N797" i="4"/>
  <c r="O797" i="4"/>
  <c r="P797" i="4"/>
  <c r="Q797" i="4"/>
  <c r="R797" i="4"/>
  <c r="S797" i="4"/>
  <c r="T797" i="4"/>
  <c r="U797" i="4"/>
  <c r="V797" i="4"/>
  <c r="W797" i="4"/>
  <c r="X797" i="4"/>
  <c r="Y797" i="4"/>
  <c r="B798" i="4"/>
  <c r="C798" i="4"/>
  <c r="D798" i="4"/>
  <c r="E798" i="4"/>
  <c r="F798" i="4"/>
  <c r="G798" i="4"/>
  <c r="H798" i="4"/>
  <c r="I798" i="4"/>
  <c r="J798" i="4"/>
  <c r="K798" i="4"/>
  <c r="L798" i="4"/>
  <c r="M798" i="4"/>
  <c r="AD798" i="4" s="1"/>
  <c r="N798" i="4"/>
  <c r="O798" i="4"/>
  <c r="P798" i="4"/>
  <c r="Q798" i="4"/>
  <c r="R798" i="4"/>
  <c r="S798" i="4"/>
  <c r="T798" i="4"/>
  <c r="U798" i="4"/>
  <c r="V798" i="4"/>
  <c r="W798" i="4"/>
  <c r="X798" i="4"/>
  <c r="Y798" i="4"/>
  <c r="B799" i="4"/>
  <c r="C799" i="4"/>
  <c r="D799" i="4"/>
  <c r="E799" i="4"/>
  <c r="F799" i="4"/>
  <c r="G799" i="4"/>
  <c r="H799" i="4"/>
  <c r="I799" i="4"/>
  <c r="J799" i="4"/>
  <c r="K799" i="4"/>
  <c r="L799" i="4"/>
  <c r="M799" i="4"/>
  <c r="AD799" i="4" s="1"/>
  <c r="N799" i="4"/>
  <c r="O799" i="4"/>
  <c r="P799" i="4"/>
  <c r="Q799" i="4"/>
  <c r="R799" i="4"/>
  <c r="S799" i="4"/>
  <c r="T799" i="4"/>
  <c r="U799" i="4"/>
  <c r="V799" i="4"/>
  <c r="W799" i="4"/>
  <c r="X799" i="4"/>
  <c r="Y799" i="4"/>
  <c r="B800" i="4"/>
  <c r="C800" i="4"/>
  <c r="D800" i="4"/>
  <c r="E800" i="4"/>
  <c r="F800" i="4"/>
  <c r="G800" i="4"/>
  <c r="H800" i="4"/>
  <c r="I800" i="4"/>
  <c r="J800" i="4"/>
  <c r="K800" i="4"/>
  <c r="L800" i="4"/>
  <c r="M800" i="4"/>
  <c r="AD800" i="4" s="1"/>
  <c r="N800" i="4"/>
  <c r="O800" i="4"/>
  <c r="P800" i="4"/>
  <c r="Q800" i="4"/>
  <c r="R800" i="4"/>
  <c r="S800" i="4"/>
  <c r="T800" i="4"/>
  <c r="U800" i="4"/>
  <c r="V800" i="4"/>
  <c r="W800" i="4"/>
  <c r="X800" i="4"/>
  <c r="Y800" i="4"/>
  <c r="B801" i="4"/>
  <c r="C801" i="4"/>
  <c r="AC801" i="4" s="1"/>
  <c r="D801" i="4"/>
  <c r="E801" i="4"/>
  <c r="F801" i="4"/>
  <c r="G801" i="4"/>
  <c r="H801" i="4"/>
  <c r="I801" i="4"/>
  <c r="J801" i="4"/>
  <c r="K801" i="4"/>
  <c r="L801" i="4"/>
  <c r="M801" i="4"/>
  <c r="N801" i="4"/>
  <c r="O801" i="4"/>
  <c r="P801" i="4"/>
  <c r="Q801" i="4"/>
  <c r="R801" i="4"/>
  <c r="S801" i="4"/>
  <c r="T801" i="4"/>
  <c r="U801" i="4"/>
  <c r="V801" i="4"/>
  <c r="W801" i="4"/>
  <c r="X801" i="4"/>
  <c r="Y801" i="4"/>
  <c r="B802" i="4"/>
  <c r="C802" i="4"/>
  <c r="D802" i="4"/>
  <c r="E802" i="4"/>
  <c r="F802" i="4"/>
  <c r="G802" i="4"/>
  <c r="H802" i="4"/>
  <c r="I802" i="4"/>
  <c r="J802" i="4"/>
  <c r="K802" i="4"/>
  <c r="L802" i="4"/>
  <c r="M802" i="4"/>
  <c r="N802" i="4"/>
  <c r="O802" i="4"/>
  <c r="P802" i="4"/>
  <c r="Q802" i="4"/>
  <c r="R802" i="4"/>
  <c r="S802" i="4"/>
  <c r="T802" i="4"/>
  <c r="U802" i="4"/>
  <c r="V802" i="4"/>
  <c r="W802" i="4"/>
  <c r="X802" i="4"/>
  <c r="Y802" i="4"/>
  <c r="B803" i="4"/>
  <c r="C803" i="4"/>
  <c r="D803" i="4"/>
  <c r="E803" i="4"/>
  <c r="F803" i="4"/>
  <c r="G803" i="4"/>
  <c r="H803" i="4"/>
  <c r="I803" i="4"/>
  <c r="J803" i="4"/>
  <c r="K803" i="4"/>
  <c r="L803" i="4"/>
  <c r="M803" i="4"/>
  <c r="N803" i="4"/>
  <c r="O803" i="4"/>
  <c r="AD803" i="4" s="1"/>
  <c r="P803" i="4"/>
  <c r="Q803" i="4"/>
  <c r="R803" i="4"/>
  <c r="S803" i="4"/>
  <c r="T803" i="4"/>
  <c r="U803" i="4"/>
  <c r="V803" i="4"/>
  <c r="W803" i="4"/>
  <c r="X803" i="4"/>
  <c r="Y803" i="4"/>
  <c r="B804" i="4"/>
  <c r="C804" i="4"/>
  <c r="D804" i="4"/>
  <c r="E804" i="4"/>
  <c r="F804" i="4"/>
  <c r="G804" i="4"/>
  <c r="H804" i="4"/>
  <c r="I804" i="4"/>
  <c r="J804" i="4"/>
  <c r="K804" i="4"/>
  <c r="L804" i="4"/>
  <c r="M804" i="4"/>
  <c r="N804" i="4"/>
  <c r="O804" i="4"/>
  <c r="P804" i="4"/>
  <c r="Q804" i="4"/>
  <c r="R804" i="4"/>
  <c r="S804" i="4"/>
  <c r="T804" i="4"/>
  <c r="U804" i="4"/>
  <c r="V804" i="4"/>
  <c r="W804" i="4"/>
  <c r="X804" i="4"/>
  <c r="Y804" i="4"/>
  <c r="B805" i="4"/>
  <c r="C805" i="4"/>
  <c r="D805" i="4"/>
  <c r="E805" i="4"/>
  <c r="F805" i="4"/>
  <c r="G805" i="4"/>
  <c r="H805" i="4"/>
  <c r="I805" i="4"/>
  <c r="J805" i="4"/>
  <c r="K805" i="4"/>
  <c r="L805" i="4"/>
  <c r="M805" i="4"/>
  <c r="N805" i="4"/>
  <c r="O805" i="4"/>
  <c r="P805" i="4"/>
  <c r="Q805" i="4"/>
  <c r="R805" i="4"/>
  <c r="S805" i="4"/>
  <c r="T805" i="4"/>
  <c r="U805" i="4"/>
  <c r="V805" i="4"/>
  <c r="W805" i="4"/>
  <c r="X805" i="4"/>
  <c r="Y805" i="4"/>
  <c r="B806" i="4"/>
  <c r="C806" i="4"/>
  <c r="D806" i="4"/>
  <c r="E806" i="4"/>
  <c r="F806" i="4"/>
  <c r="G806" i="4"/>
  <c r="H806" i="4"/>
  <c r="I806" i="4"/>
  <c r="J806" i="4"/>
  <c r="K806" i="4"/>
  <c r="L806" i="4"/>
  <c r="M806" i="4"/>
  <c r="N806" i="4"/>
  <c r="O806" i="4"/>
  <c r="P806" i="4"/>
  <c r="Q806" i="4"/>
  <c r="R806" i="4"/>
  <c r="S806" i="4"/>
  <c r="T806" i="4"/>
  <c r="U806" i="4"/>
  <c r="V806" i="4"/>
  <c r="W806" i="4"/>
  <c r="X806" i="4"/>
  <c r="Y806" i="4"/>
  <c r="B807" i="4"/>
  <c r="C807" i="4"/>
  <c r="D807" i="4"/>
  <c r="E807" i="4"/>
  <c r="F807" i="4"/>
  <c r="G807" i="4"/>
  <c r="H807" i="4"/>
  <c r="I807" i="4"/>
  <c r="J807" i="4"/>
  <c r="K807" i="4"/>
  <c r="L807" i="4"/>
  <c r="M807" i="4"/>
  <c r="N807" i="4"/>
  <c r="O807" i="4"/>
  <c r="P807" i="4"/>
  <c r="Q807" i="4"/>
  <c r="R807" i="4"/>
  <c r="S807" i="4"/>
  <c r="T807" i="4"/>
  <c r="U807" i="4"/>
  <c r="V807" i="4"/>
  <c r="W807" i="4"/>
  <c r="X807" i="4"/>
  <c r="Y807" i="4"/>
  <c r="B808" i="4"/>
  <c r="C808" i="4"/>
  <c r="D808" i="4"/>
  <c r="E808" i="4"/>
  <c r="F808" i="4"/>
  <c r="G808" i="4"/>
  <c r="H808" i="4"/>
  <c r="I808" i="4"/>
  <c r="J808" i="4"/>
  <c r="K808" i="4"/>
  <c r="L808" i="4"/>
  <c r="M808" i="4"/>
  <c r="N808" i="4"/>
  <c r="O808" i="4"/>
  <c r="P808" i="4"/>
  <c r="Q808" i="4"/>
  <c r="R808" i="4"/>
  <c r="S808" i="4"/>
  <c r="T808" i="4"/>
  <c r="U808" i="4"/>
  <c r="V808" i="4"/>
  <c r="W808" i="4"/>
  <c r="X808" i="4"/>
  <c r="Y808" i="4"/>
  <c r="AD808" i="4"/>
  <c r="B809" i="4"/>
  <c r="C809" i="4"/>
  <c r="D809" i="4"/>
  <c r="E809" i="4"/>
  <c r="AC809" i="4" s="1"/>
  <c r="F809" i="4"/>
  <c r="G809" i="4"/>
  <c r="H809" i="4"/>
  <c r="I809" i="4"/>
  <c r="J809" i="4"/>
  <c r="K809" i="4"/>
  <c r="L809" i="4"/>
  <c r="M809" i="4"/>
  <c r="N809" i="4"/>
  <c r="O809" i="4"/>
  <c r="P809" i="4"/>
  <c r="Q809" i="4"/>
  <c r="R809" i="4"/>
  <c r="S809" i="4"/>
  <c r="T809" i="4"/>
  <c r="U809" i="4"/>
  <c r="V809" i="4"/>
  <c r="W809" i="4"/>
  <c r="X809" i="4"/>
  <c r="Y809" i="4"/>
  <c r="B810" i="4"/>
  <c r="C810" i="4"/>
  <c r="D810" i="4"/>
  <c r="E810" i="4"/>
  <c r="F810" i="4"/>
  <c r="G810" i="4"/>
  <c r="H810" i="4"/>
  <c r="I810" i="4"/>
  <c r="J810" i="4"/>
  <c r="K810" i="4"/>
  <c r="L810" i="4"/>
  <c r="M810" i="4"/>
  <c r="N810" i="4"/>
  <c r="O810" i="4"/>
  <c r="P810" i="4"/>
  <c r="Q810" i="4"/>
  <c r="R810" i="4"/>
  <c r="S810" i="4"/>
  <c r="T810" i="4"/>
  <c r="U810" i="4"/>
  <c r="V810" i="4"/>
  <c r="W810" i="4"/>
  <c r="X810" i="4"/>
  <c r="Y810" i="4"/>
  <c r="B811" i="4"/>
  <c r="C811" i="4"/>
  <c r="D811" i="4"/>
  <c r="E811" i="4"/>
  <c r="F811" i="4"/>
  <c r="G811" i="4"/>
  <c r="H811" i="4"/>
  <c r="I811" i="4"/>
  <c r="J811" i="4"/>
  <c r="K811" i="4"/>
  <c r="L811" i="4"/>
  <c r="M811" i="4"/>
  <c r="N811" i="4"/>
  <c r="O811" i="4"/>
  <c r="P811" i="4"/>
  <c r="Q811" i="4"/>
  <c r="R811" i="4"/>
  <c r="S811" i="4"/>
  <c r="T811" i="4"/>
  <c r="U811" i="4"/>
  <c r="V811" i="4"/>
  <c r="W811" i="4"/>
  <c r="X811" i="4"/>
  <c r="Y811" i="4"/>
  <c r="B812" i="4"/>
  <c r="C812" i="4"/>
  <c r="D812" i="4"/>
  <c r="E812" i="4"/>
  <c r="F812" i="4"/>
  <c r="G812" i="4"/>
  <c r="H812" i="4"/>
  <c r="I812" i="4"/>
  <c r="J812" i="4"/>
  <c r="K812" i="4"/>
  <c r="L812" i="4"/>
  <c r="M812" i="4"/>
  <c r="N812" i="4"/>
  <c r="O812" i="4"/>
  <c r="P812" i="4"/>
  <c r="AD812" i="4" s="1"/>
  <c r="Q812" i="4"/>
  <c r="R812" i="4"/>
  <c r="S812" i="4"/>
  <c r="T812" i="4"/>
  <c r="U812" i="4"/>
  <c r="V812" i="4"/>
  <c r="W812" i="4"/>
  <c r="X812" i="4"/>
  <c r="Y812" i="4"/>
  <c r="B813" i="4"/>
  <c r="C813" i="4"/>
  <c r="D813" i="4"/>
  <c r="AC813" i="4" s="1"/>
  <c r="E813" i="4"/>
  <c r="F813" i="4"/>
  <c r="G813" i="4"/>
  <c r="H813" i="4"/>
  <c r="I813" i="4"/>
  <c r="J813" i="4"/>
  <c r="K813" i="4"/>
  <c r="L813" i="4"/>
  <c r="M813" i="4"/>
  <c r="N813" i="4"/>
  <c r="O813" i="4"/>
  <c r="P813" i="4"/>
  <c r="Q813" i="4"/>
  <c r="R813" i="4"/>
  <c r="S813" i="4"/>
  <c r="T813" i="4"/>
  <c r="U813" i="4"/>
  <c r="V813" i="4"/>
  <c r="W813" i="4"/>
  <c r="X813" i="4"/>
  <c r="Y813" i="4"/>
  <c r="B814" i="4"/>
  <c r="C814" i="4"/>
  <c r="D814" i="4"/>
  <c r="E814" i="4"/>
  <c r="F814" i="4"/>
  <c r="G814" i="4"/>
  <c r="H814" i="4"/>
  <c r="I814" i="4"/>
  <c r="J814" i="4"/>
  <c r="K814" i="4"/>
  <c r="L814" i="4"/>
  <c r="M814" i="4"/>
  <c r="N814" i="4"/>
  <c r="O814" i="4"/>
  <c r="P814" i="4"/>
  <c r="Q814" i="4"/>
  <c r="R814" i="4"/>
  <c r="S814" i="4"/>
  <c r="T814" i="4"/>
  <c r="U814" i="4"/>
  <c r="V814" i="4"/>
  <c r="W814" i="4"/>
  <c r="X814" i="4"/>
  <c r="Y814" i="4"/>
  <c r="B815" i="4"/>
  <c r="C815" i="4"/>
  <c r="AC815" i="4" s="1"/>
  <c r="D815" i="4"/>
  <c r="E815" i="4"/>
  <c r="F815" i="4"/>
  <c r="G815" i="4"/>
  <c r="H815" i="4"/>
  <c r="I815" i="4"/>
  <c r="J815" i="4"/>
  <c r="K815" i="4"/>
  <c r="L815" i="4"/>
  <c r="M815" i="4"/>
  <c r="N815" i="4"/>
  <c r="O815" i="4"/>
  <c r="P815" i="4"/>
  <c r="Q815" i="4"/>
  <c r="R815" i="4"/>
  <c r="S815" i="4"/>
  <c r="T815" i="4"/>
  <c r="U815" i="4"/>
  <c r="V815" i="4"/>
  <c r="W815" i="4"/>
  <c r="X815" i="4"/>
  <c r="Y815" i="4"/>
  <c r="B816" i="4"/>
  <c r="C816" i="4"/>
  <c r="D816" i="4"/>
  <c r="E816" i="4"/>
  <c r="F816" i="4"/>
  <c r="G816" i="4"/>
  <c r="H816" i="4"/>
  <c r="I816" i="4"/>
  <c r="J816" i="4"/>
  <c r="K816" i="4"/>
  <c r="L816" i="4"/>
  <c r="M816" i="4"/>
  <c r="N816" i="4"/>
  <c r="O816" i="4"/>
  <c r="P816" i="4"/>
  <c r="Q816" i="4"/>
  <c r="R816" i="4"/>
  <c r="S816" i="4"/>
  <c r="T816" i="4"/>
  <c r="U816" i="4"/>
  <c r="V816" i="4"/>
  <c r="W816" i="4"/>
  <c r="X816" i="4"/>
  <c r="Y816" i="4"/>
  <c r="AC816" i="4"/>
  <c r="B817" i="4"/>
  <c r="C817" i="4"/>
  <c r="D817" i="4"/>
  <c r="E817" i="4"/>
  <c r="F817" i="4"/>
  <c r="G817" i="4"/>
  <c r="H817" i="4"/>
  <c r="I817" i="4"/>
  <c r="J817" i="4"/>
  <c r="K817" i="4"/>
  <c r="L817" i="4"/>
  <c r="M817" i="4"/>
  <c r="N817" i="4"/>
  <c r="O817" i="4"/>
  <c r="P817" i="4"/>
  <c r="Q817" i="4"/>
  <c r="R817" i="4"/>
  <c r="S817" i="4"/>
  <c r="T817" i="4"/>
  <c r="U817" i="4"/>
  <c r="V817" i="4"/>
  <c r="W817" i="4"/>
  <c r="X817" i="4"/>
  <c r="Y817" i="4"/>
  <c r="B818" i="4"/>
  <c r="C818" i="4"/>
  <c r="D818" i="4"/>
  <c r="E818" i="4"/>
  <c r="F818" i="4"/>
  <c r="G818" i="4"/>
  <c r="H818" i="4"/>
  <c r="I818" i="4"/>
  <c r="J818" i="4"/>
  <c r="K818" i="4"/>
  <c r="L818" i="4"/>
  <c r="M818" i="4"/>
  <c r="N818" i="4"/>
  <c r="O818" i="4"/>
  <c r="P818" i="4"/>
  <c r="Q818" i="4"/>
  <c r="R818" i="4"/>
  <c r="S818" i="4"/>
  <c r="T818" i="4"/>
  <c r="U818" i="4"/>
  <c r="V818" i="4"/>
  <c r="W818" i="4"/>
  <c r="X818" i="4"/>
  <c r="Y818" i="4"/>
  <c r="B819" i="4"/>
  <c r="C819" i="4"/>
  <c r="D819" i="4"/>
  <c r="E819" i="4"/>
  <c r="F819" i="4"/>
  <c r="G819" i="4"/>
  <c r="H819" i="4"/>
  <c r="I819" i="4"/>
  <c r="J819" i="4"/>
  <c r="K819" i="4"/>
  <c r="L819" i="4"/>
  <c r="M819" i="4"/>
  <c r="AD819" i="4" s="1"/>
  <c r="N819" i="4"/>
  <c r="O819" i="4"/>
  <c r="P819" i="4"/>
  <c r="Q819" i="4"/>
  <c r="R819" i="4"/>
  <c r="S819" i="4"/>
  <c r="T819" i="4"/>
  <c r="U819" i="4"/>
  <c r="V819" i="4"/>
  <c r="W819" i="4"/>
  <c r="X819" i="4"/>
  <c r="Y819" i="4"/>
  <c r="B820" i="4"/>
  <c r="C820" i="4"/>
  <c r="D820" i="4"/>
  <c r="E820" i="4"/>
  <c r="F820" i="4"/>
  <c r="G820" i="4"/>
  <c r="H820" i="4"/>
  <c r="I820" i="4"/>
  <c r="J820" i="4"/>
  <c r="K820" i="4"/>
  <c r="L820" i="4"/>
  <c r="M820" i="4"/>
  <c r="AD820" i="4" s="1"/>
  <c r="N820" i="4"/>
  <c r="O820" i="4"/>
  <c r="P820" i="4"/>
  <c r="Q820" i="4"/>
  <c r="R820" i="4"/>
  <c r="S820" i="4"/>
  <c r="T820" i="4"/>
  <c r="U820" i="4"/>
  <c r="V820" i="4"/>
  <c r="W820" i="4"/>
  <c r="X820" i="4"/>
  <c r="Y820" i="4"/>
  <c r="B821" i="4"/>
  <c r="C821" i="4"/>
  <c r="D821" i="4"/>
  <c r="AC821" i="4" s="1"/>
  <c r="E821" i="4"/>
  <c r="F821" i="4"/>
  <c r="G821" i="4"/>
  <c r="H821" i="4"/>
  <c r="I821" i="4"/>
  <c r="J821" i="4"/>
  <c r="K821" i="4"/>
  <c r="L821" i="4"/>
  <c r="M821" i="4"/>
  <c r="N821" i="4"/>
  <c r="O821" i="4"/>
  <c r="P821" i="4"/>
  <c r="Q821" i="4"/>
  <c r="R821" i="4"/>
  <c r="S821" i="4"/>
  <c r="T821" i="4"/>
  <c r="U821" i="4"/>
  <c r="V821" i="4"/>
  <c r="W821" i="4"/>
  <c r="X821" i="4"/>
  <c r="Y821" i="4"/>
  <c r="B822" i="4"/>
  <c r="C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P822" i="4"/>
  <c r="Q822" i="4"/>
  <c r="R822" i="4"/>
  <c r="S822" i="4"/>
  <c r="T822" i="4"/>
  <c r="U822" i="4"/>
  <c r="V822" i="4"/>
  <c r="W822" i="4"/>
  <c r="X822" i="4"/>
  <c r="Y822" i="4"/>
  <c r="B823" i="4"/>
  <c r="C823" i="4"/>
  <c r="AC823" i="4" s="1"/>
  <c r="D823" i="4"/>
  <c r="E823" i="4"/>
  <c r="F823" i="4"/>
  <c r="G823" i="4"/>
  <c r="H823" i="4"/>
  <c r="I823" i="4"/>
  <c r="J823" i="4"/>
  <c r="K823" i="4"/>
  <c r="L823" i="4"/>
  <c r="M823" i="4"/>
  <c r="N823" i="4"/>
  <c r="O823" i="4"/>
  <c r="P823" i="4"/>
  <c r="Q823" i="4"/>
  <c r="R823" i="4"/>
  <c r="S823" i="4"/>
  <c r="T823" i="4"/>
  <c r="U823" i="4"/>
  <c r="V823" i="4"/>
  <c r="W823" i="4"/>
  <c r="X823" i="4"/>
  <c r="Y823" i="4"/>
  <c r="AD823" i="4"/>
  <c r="B824" i="4"/>
  <c r="C824" i="4"/>
  <c r="D824" i="4"/>
  <c r="E824" i="4"/>
  <c r="F824" i="4"/>
  <c r="G824" i="4"/>
  <c r="H824" i="4"/>
  <c r="I824" i="4"/>
  <c r="J824" i="4"/>
  <c r="K824" i="4"/>
  <c r="L824" i="4"/>
  <c r="M824" i="4"/>
  <c r="N824" i="4"/>
  <c r="O824" i="4"/>
  <c r="P824" i="4"/>
  <c r="Q824" i="4"/>
  <c r="R824" i="4"/>
  <c r="S824" i="4"/>
  <c r="T824" i="4"/>
  <c r="U824" i="4"/>
  <c r="V824" i="4"/>
  <c r="W824" i="4"/>
  <c r="X824" i="4"/>
  <c r="Y824" i="4"/>
  <c r="B825" i="4"/>
  <c r="C825" i="4"/>
  <c r="D825" i="4"/>
  <c r="E825" i="4"/>
  <c r="F825" i="4"/>
  <c r="G825" i="4"/>
  <c r="H825" i="4"/>
  <c r="I825" i="4"/>
  <c r="J825" i="4"/>
  <c r="K825" i="4"/>
  <c r="L825" i="4"/>
  <c r="M825" i="4"/>
  <c r="N825" i="4"/>
  <c r="O825" i="4"/>
  <c r="P825" i="4"/>
  <c r="Q825" i="4"/>
  <c r="R825" i="4"/>
  <c r="S825" i="4"/>
  <c r="T825" i="4"/>
  <c r="U825" i="4"/>
  <c r="V825" i="4"/>
  <c r="W825" i="4"/>
  <c r="X825" i="4"/>
  <c r="Y825" i="4"/>
  <c r="B826" i="4"/>
  <c r="C826" i="4"/>
  <c r="D826" i="4"/>
  <c r="E826" i="4"/>
  <c r="F826" i="4"/>
  <c r="G826" i="4"/>
  <c r="H826" i="4"/>
  <c r="I826" i="4"/>
  <c r="J826" i="4"/>
  <c r="K826" i="4"/>
  <c r="L826" i="4"/>
  <c r="M826" i="4"/>
  <c r="AD826" i="4" s="1"/>
  <c r="N826" i="4"/>
  <c r="O826" i="4"/>
  <c r="P826" i="4"/>
  <c r="Q826" i="4"/>
  <c r="R826" i="4"/>
  <c r="S826" i="4"/>
  <c r="T826" i="4"/>
  <c r="U826" i="4"/>
  <c r="V826" i="4"/>
  <c r="W826" i="4"/>
  <c r="X826" i="4"/>
  <c r="Y826" i="4"/>
  <c r="B827" i="4"/>
  <c r="C827" i="4"/>
  <c r="D827" i="4"/>
  <c r="E827" i="4"/>
  <c r="F827" i="4"/>
  <c r="G827" i="4"/>
  <c r="H827" i="4"/>
  <c r="I827" i="4"/>
  <c r="J827" i="4"/>
  <c r="K827" i="4"/>
  <c r="L827" i="4"/>
  <c r="M827" i="4"/>
  <c r="AD827" i="4" s="1"/>
  <c r="N827" i="4"/>
  <c r="O827" i="4"/>
  <c r="P827" i="4"/>
  <c r="Q827" i="4"/>
  <c r="R827" i="4"/>
  <c r="S827" i="4"/>
  <c r="T827" i="4"/>
  <c r="U827" i="4"/>
  <c r="V827" i="4"/>
  <c r="W827" i="4"/>
  <c r="X827" i="4"/>
  <c r="Y827" i="4"/>
  <c r="B828" i="4"/>
  <c r="C828" i="4"/>
  <c r="D828" i="4"/>
  <c r="AC828" i="4" s="1"/>
  <c r="E828" i="4"/>
  <c r="F828" i="4"/>
  <c r="G828" i="4"/>
  <c r="H828" i="4"/>
  <c r="I828" i="4"/>
  <c r="J828" i="4"/>
  <c r="K828" i="4"/>
  <c r="L828" i="4"/>
  <c r="M828" i="4"/>
  <c r="N828" i="4"/>
  <c r="O828" i="4"/>
  <c r="P828" i="4"/>
  <c r="AD828" i="4" s="1"/>
  <c r="Q828" i="4"/>
  <c r="R828" i="4"/>
  <c r="S828" i="4"/>
  <c r="T828" i="4"/>
  <c r="U828" i="4"/>
  <c r="V828" i="4"/>
  <c r="W828" i="4"/>
  <c r="X828" i="4"/>
  <c r="Y828" i="4"/>
  <c r="B829" i="4"/>
  <c r="C829" i="4"/>
  <c r="D829" i="4"/>
  <c r="E829" i="4"/>
  <c r="F829" i="4"/>
  <c r="G829" i="4"/>
  <c r="H829" i="4"/>
  <c r="I829" i="4"/>
  <c r="J829" i="4"/>
  <c r="K829" i="4"/>
  <c r="L829" i="4"/>
  <c r="M829" i="4"/>
  <c r="N829" i="4"/>
  <c r="O829" i="4"/>
  <c r="P829" i="4"/>
  <c r="Q829" i="4"/>
  <c r="R829" i="4"/>
  <c r="S829" i="4"/>
  <c r="T829" i="4"/>
  <c r="U829" i="4"/>
  <c r="V829" i="4"/>
  <c r="W829" i="4"/>
  <c r="X829" i="4"/>
  <c r="Y829" i="4"/>
  <c r="B830" i="4"/>
  <c r="C830" i="4"/>
  <c r="D830" i="4"/>
  <c r="E830" i="4"/>
  <c r="F830" i="4"/>
  <c r="G830" i="4"/>
  <c r="H830" i="4"/>
  <c r="I830" i="4"/>
  <c r="J830" i="4"/>
  <c r="K830" i="4"/>
  <c r="L830" i="4"/>
  <c r="M830" i="4"/>
  <c r="N830" i="4"/>
  <c r="O830" i="4"/>
  <c r="P830" i="4"/>
  <c r="Q830" i="4"/>
  <c r="R830" i="4"/>
  <c r="S830" i="4"/>
  <c r="T830" i="4"/>
  <c r="U830" i="4"/>
  <c r="V830" i="4"/>
  <c r="W830" i="4"/>
  <c r="X830" i="4"/>
  <c r="Y830" i="4"/>
  <c r="B831" i="4"/>
  <c r="C831" i="4"/>
  <c r="D831" i="4"/>
  <c r="E831" i="4"/>
  <c r="F831" i="4"/>
  <c r="G831" i="4"/>
  <c r="H831" i="4"/>
  <c r="I831" i="4"/>
  <c r="J831" i="4"/>
  <c r="K831" i="4"/>
  <c r="L831" i="4"/>
  <c r="M831" i="4"/>
  <c r="N831" i="4"/>
  <c r="O831" i="4"/>
  <c r="P831" i="4"/>
  <c r="Q831" i="4"/>
  <c r="R831" i="4"/>
  <c r="S831" i="4"/>
  <c r="T831" i="4"/>
  <c r="U831" i="4"/>
  <c r="V831" i="4"/>
  <c r="W831" i="4"/>
  <c r="X831" i="4"/>
  <c r="Y831" i="4"/>
  <c r="B832" i="4"/>
  <c r="C832" i="4"/>
  <c r="D832" i="4"/>
  <c r="E832" i="4"/>
  <c r="F832" i="4"/>
  <c r="G832" i="4"/>
  <c r="H832" i="4"/>
  <c r="I832" i="4"/>
  <c r="J832" i="4"/>
  <c r="K832" i="4"/>
  <c r="L832" i="4"/>
  <c r="M832" i="4"/>
  <c r="N832" i="4"/>
  <c r="O832" i="4"/>
  <c r="AD832" i="4" s="1"/>
  <c r="P832" i="4"/>
  <c r="Q832" i="4"/>
  <c r="R832" i="4"/>
  <c r="S832" i="4"/>
  <c r="T832" i="4"/>
  <c r="U832" i="4"/>
  <c r="V832" i="4"/>
  <c r="W832" i="4"/>
  <c r="X832" i="4"/>
  <c r="Y832" i="4"/>
  <c r="B833" i="4"/>
  <c r="C833" i="4"/>
  <c r="D833" i="4"/>
  <c r="E833" i="4"/>
  <c r="F833" i="4"/>
  <c r="G833" i="4"/>
  <c r="H833" i="4"/>
  <c r="I833" i="4"/>
  <c r="J833" i="4"/>
  <c r="K833" i="4"/>
  <c r="L833" i="4"/>
  <c r="M833" i="4"/>
  <c r="N833" i="4"/>
  <c r="O833" i="4"/>
  <c r="P833" i="4"/>
  <c r="Q833" i="4"/>
  <c r="R833" i="4"/>
  <c r="S833" i="4"/>
  <c r="T833" i="4"/>
  <c r="U833" i="4"/>
  <c r="V833" i="4"/>
  <c r="W833" i="4"/>
  <c r="X833" i="4"/>
  <c r="Y833" i="4"/>
  <c r="AC833" i="4"/>
  <c r="B834" i="4"/>
  <c r="C834" i="4"/>
  <c r="D834" i="4"/>
  <c r="E834" i="4"/>
  <c r="F834" i="4"/>
  <c r="G834" i="4"/>
  <c r="H834" i="4"/>
  <c r="I834" i="4"/>
  <c r="J834" i="4"/>
  <c r="K834" i="4"/>
  <c r="L834" i="4"/>
  <c r="M834" i="4"/>
  <c r="N834" i="4"/>
  <c r="O834" i="4"/>
  <c r="P834" i="4"/>
  <c r="Q834" i="4"/>
  <c r="R834" i="4"/>
  <c r="S834" i="4"/>
  <c r="T834" i="4"/>
  <c r="U834" i="4"/>
  <c r="V834" i="4"/>
  <c r="W834" i="4"/>
  <c r="X834" i="4"/>
  <c r="Y834" i="4"/>
  <c r="B835" i="4"/>
  <c r="C835" i="4"/>
  <c r="D835" i="4"/>
  <c r="E835" i="4"/>
  <c r="AC835" i="4" s="1"/>
  <c r="F835" i="4"/>
  <c r="G835" i="4"/>
  <c r="H835" i="4"/>
  <c r="I835" i="4"/>
  <c r="J835" i="4"/>
  <c r="K835" i="4"/>
  <c r="L835" i="4"/>
  <c r="M835" i="4"/>
  <c r="AD835" i="4" s="1"/>
  <c r="N835" i="4"/>
  <c r="O835" i="4"/>
  <c r="P835" i="4"/>
  <c r="Q835" i="4"/>
  <c r="R835" i="4"/>
  <c r="S835" i="4"/>
  <c r="T835" i="4"/>
  <c r="U835" i="4"/>
  <c r="V835" i="4"/>
  <c r="W835" i="4"/>
  <c r="X835" i="4"/>
  <c r="Y835" i="4"/>
  <c r="B836" i="4"/>
  <c r="C836" i="4"/>
  <c r="D836" i="4"/>
  <c r="E836" i="4"/>
  <c r="F836" i="4"/>
  <c r="G836" i="4"/>
  <c r="H836" i="4"/>
  <c r="I836" i="4"/>
  <c r="J836" i="4"/>
  <c r="K836" i="4"/>
  <c r="L836" i="4"/>
  <c r="M836" i="4"/>
  <c r="N836" i="4"/>
  <c r="O836" i="4"/>
  <c r="P836" i="4"/>
  <c r="Q836" i="4"/>
  <c r="R836" i="4"/>
  <c r="S836" i="4"/>
  <c r="T836" i="4"/>
  <c r="U836" i="4"/>
  <c r="V836" i="4"/>
  <c r="W836" i="4"/>
  <c r="X836" i="4"/>
  <c r="Y836" i="4"/>
  <c r="B837" i="4"/>
  <c r="C837" i="4"/>
  <c r="D837" i="4"/>
  <c r="E837" i="4"/>
  <c r="F837" i="4"/>
  <c r="G837" i="4"/>
  <c r="H837" i="4"/>
  <c r="I837" i="4"/>
  <c r="J837" i="4"/>
  <c r="K837" i="4"/>
  <c r="L837" i="4"/>
  <c r="M837" i="4"/>
  <c r="N837" i="4"/>
  <c r="O837" i="4"/>
  <c r="P837" i="4"/>
  <c r="Q837" i="4"/>
  <c r="R837" i="4"/>
  <c r="S837" i="4"/>
  <c r="T837" i="4"/>
  <c r="U837" i="4"/>
  <c r="V837" i="4"/>
  <c r="W837" i="4"/>
  <c r="X837" i="4"/>
  <c r="Y837" i="4"/>
  <c r="B838" i="4"/>
  <c r="C838" i="4"/>
  <c r="D838" i="4"/>
  <c r="E838" i="4"/>
  <c r="F838" i="4"/>
  <c r="G838" i="4"/>
  <c r="H838" i="4"/>
  <c r="I838" i="4"/>
  <c r="J838" i="4"/>
  <c r="K838" i="4"/>
  <c r="L838" i="4"/>
  <c r="M838" i="4"/>
  <c r="N838" i="4"/>
  <c r="O838" i="4"/>
  <c r="P838" i="4"/>
  <c r="Q838" i="4"/>
  <c r="R838" i="4"/>
  <c r="S838" i="4"/>
  <c r="T838" i="4"/>
  <c r="U838" i="4"/>
  <c r="V838" i="4"/>
  <c r="W838" i="4"/>
  <c r="X838" i="4"/>
  <c r="Y838" i="4"/>
  <c r="B839" i="4"/>
  <c r="C839" i="4"/>
  <c r="D839" i="4"/>
  <c r="E839" i="4"/>
  <c r="F839" i="4"/>
  <c r="G839" i="4"/>
  <c r="H839" i="4"/>
  <c r="I839" i="4"/>
  <c r="J839" i="4"/>
  <c r="K839" i="4"/>
  <c r="L839" i="4"/>
  <c r="M839" i="4"/>
  <c r="N839" i="4"/>
  <c r="O839" i="4"/>
  <c r="AD839" i="4" s="1"/>
  <c r="P839" i="4"/>
  <c r="Q839" i="4"/>
  <c r="R839" i="4"/>
  <c r="S839" i="4"/>
  <c r="T839" i="4"/>
  <c r="U839" i="4"/>
  <c r="V839" i="4"/>
  <c r="W839" i="4"/>
  <c r="X839" i="4"/>
  <c r="Y839" i="4"/>
  <c r="B840" i="4"/>
  <c r="C840" i="4"/>
  <c r="D840" i="4"/>
  <c r="E840" i="4"/>
  <c r="F840" i="4"/>
  <c r="G840" i="4"/>
  <c r="H840" i="4"/>
  <c r="I840" i="4"/>
  <c r="J840" i="4"/>
  <c r="K840" i="4"/>
  <c r="L840" i="4"/>
  <c r="M840" i="4"/>
  <c r="N840" i="4"/>
  <c r="O840" i="4"/>
  <c r="P840" i="4"/>
  <c r="Q840" i="4"/>
  <c r="R840" i="4"/>
  <c r="S840" i="4"/>
  <c r="T840" i="4"/>
  <c r="U840" i="4"/>
  <c r="V840" i="4"/>
  <c r="W840" i="4"/>
  <c r="X840" i="4"/>
  <c r="Y840" i="4"/>
  <c r="AD840" i="4"/>
  <c r="B841" i="4"/>
  <c r="C841" i="4"/>
  <c r="D841" i="4"/>
  <c r="E841" i="4"/>
  <c r="F841" i="4"/>
  <c r="G841" i="4"/>
  <c r="H841" i="4"/>
  <c r="I841" i="4"/>
  <c r="J841" i="4"/>
  <c r="K841" i="4"/>
  <c r="L841" i="4"/>
  <c r="M841" i="4"/>
  <c r="N841" i="4"/>
  <c r="O841" i="4"/>
  <c r="P841" i="4"/>
  <c r="Q841" i="4"/>
  <c r="R841" i="4"/>
  <c r="S841" i="4"/>
  <c r="T841" i="4"/>
  <c r="U841" i="4"/>
  <c r="V841" i="4"/>
  <c r="W841" i="4"/>
  <c r="X841" i="4"/>
  <c r="Y841" i="4"/>
  <c r="B842" i="4"/>
  <c r="C842" i="4"/>
  <c r="D842" i="4"/>
  <c r="E842" i="4"/>
  <c r="F842" i="4"/>
  <c r="G842" i="4"/>
  <c r="H842" i="4"/>
  <c r="I842" i="4"/>
  <c r="J842" i="4"/>
  <c r="K842" i="4"/>
  <c r="L842" i="4"/>
  <c r="M842" i="4"/>
  <c r="N842" i="4"/>
  <c r="O842" i="4"/>
  <c r="P842" i="4"/>
  <c r="Q842" i="4"/>
  <c r="R842" i="4"/>
  <c r="S842" i="4"/>
  <c r="T842" i="4"/>
  <c r="U842" i="4"/>
  <c r="V842" i="4"/>
  <c r="W842" i="4"/>
  <c r="X842" i="4"/>
  <c r="Y842" i="4"/>
  <c r="B843" i="4"/>
  <c r="C843" i="4"/>
  <c r="D843" i="4"/>
  <c r="E843" i="4"/>
  <c r="F843" i="4"/>
  <c r="G843" i="4"/>
  <c r="H843" i="4"/>
  <c r="I843" i="4"/>
  <c r="J843" i="4"/>
  <c r="K843" i="4"/>
  <c r="L843" i="4"/>
  <c r="M843" i="4"/>
  <c r="N843" i="4"/>
  <c r="O843" i="4"/>
  <c r="P843" i="4"/>
  <c r="Q843" i="4"/>
  <c r="R843" i="4"/>
  <c r="S843" i="4"/>
  <c r="T843" i="4"/>
  <c r="U843" i="4"/>
  <c r="V843" i="4"/>
  <c r="W843" i="4"/>
  <c r="X843" i="4"/>
  <c r="Y843" i="4"/>
  <c r="B844" i="4"/>
  <c r="C844" i="4"/>
  <c r="D844" i="4"/>
  <c r="E844" i="4"/>
  <c r="F844" i="4"/>
  <c r="G844" i="4"/>
  <c r="H844" i="4"/>
  <c r="I844" i="4"/>
  <c r="J844" i="4"/>
  <c r="K844" i="4"/>
  <c r="L844" i="4"/>
  <c r="M844" i="4"/>
  <c r="N844" i="4"/>
  <c r="O844" i="4"/>
  <c r="P844" i="4"/>
  <c r="Q844" i="4"/>
  <c r="R844" i="4"/>
  <c r="S844" i="4"/>
  <c r="T844" i="4"/>
  <c r="U844" i="4"/>
  <c r="V844" i="4"/>
  <c r="W844" i="4"/>
  <c r="X844" i="4"/>
  <c r="Y844" i="4"/>
  <c r="B845" i="4"/>
  <c r="C845" i="4"/>
  <c r="D845" i="4"/>
  <c r="E845" i="4"/>
  <c r="AC845" i="4" s="1"/>
  <c r="F845" i="4"/>
  <c r="G845" i="4"/>
  <c r="H845" i="4"/>
  <c r="I845" i="4"/>
  <c r="J845" i="4"/>
  <c r="K845" i="4"/>
  <c r="L845" i="4"/>
  <c r="M845" i="4"/>
  <c r="AD845" i="4" s="1"/>
  <c r="N845" i="4"/>
  <c r="O845" i="4"/>
  <c r="P845" i="4"/>
  <c r="Q845" i="4"/>
  <c r="R845" i="4"/>
  <c r="S845" i="4"/>
  <c r="T845" i="4"/>
  <c r="U845" i="4"/>
  <c r="V845" i="4"/>
  <c r="W845" i="4"/>
  <c r="X845" i="4"/>
  <c r="Y845" i="4"/>
  <c r="B846" i="4"/>
  <c r="C846" i="4"/>
  <c r="D846" i="4"/>
  <c r="E846" i="4"/>
  <c r="F846" i="4"/>
  <c r="G846" i="4"/>
  <c r="H846" i="4"/>
  <c r="I846" i="4"/>
  <c r="J846" i="4"/>
  <c r="K846" i="4"/>
  <c r="L846" i="4"/>
  <c r="M846" i="4"/>
  <c r="N846" i="4"/>
  <c r="O846" i="4"/>
  <c r="P846" i="4"/>
  <c r="Q846" i="4"/>
  <c r="R846" i="4"/>
  <c r="S846" i="4"/>
  <c r="T846" i="4"/>
  <c r="U846" i="4"/>
  <c r="V846" i="4"/>
  <c r="W846" i="4"/>
  <c r="X846" i="4"/>
  <c r="Y846" i="4"/>
  <c r="B847" i="4"/>
  <c r="C847" i="4"/>
  <c r="D847" i="4"/>
  <c r="E847" i="4"/>
  <c r="F847" i="4"/>
  <c r="G847" i="4"/>
  <c r="H847" i="4"/>
  <c r="I847" i="4"/>
  <c r="J847" i="4"/>
  <c r="K847" i="4"/>
  <c r="L847" i="4"/>
  <c r="M847" i="4"/>
  <c r="N847" i="4"/>
  <c r="O847" i="4"/>
  <c r="AD847" i="4" s="1"/>
  <c r="P847" i="4"/>
  <c r="Q847" i="4"/>
  <c r="R847" i="4"/>
  <c r="S847" i="4"/>
  <c r="T847" i="4"/>
  <c r="U847" i="4"/>
  <c r="V847" i="4"/>
  <c r="W847" i="4"/>
  <c r="X847" i="4"/>
  <c r="Y847" i="4"/>
  <c r="B848" i="4"/>
  <c r="C848" i="4"/>
  <c r="D848" i="4"/>
  <c r="E848" i="4"/>
  <c r="F848" i="4"/>
  <c r="G848" i="4"/>
  <c r="H848" i="4"/>
  <c r="I848" i="4"/>
  <c r="J848" i="4"/>
  <c r="K848" i="4"/>
  <c r="L848" i="4"/>
  <c r="M848" i="4"/>
  <c r="N848" i="4"/>
  <c r="O848" i="4"/>
  <c r="P848" i="4"/>
  <c r="Q848" i="4"/>
  <c r="R848" i="4"/>
  <c r="S848" i="4"/>
  <c r="T848" i="4"/>
  <c r="U848" i="4"/>
  <c r="V848" i="4"/>
  <c r="W848" i="4"/>
  <c r="X848" i="4"/>
  <c r="Y848" i="4"/>
  <c r="B849" i="4"/>
  <c r="C849" i="4"/>
  <c r="D849" i="4"/>
  <c r="E849" i="4"/>
  <c r="F849" i="4"/>
  <c r="G849" i="4"/>
  <c r="H849" i="4"/>
  <c r="I849" i="4"/>
  <c r="J849" i="4"/>
  <c r="K849" i="4"/>
  <c r="L849" i="4"/>
  <c r="M849" i="4"/>
  <c r="N849" i="4"/>
  <c r="O849" i="4"/>
  <c r="P849" i="4"/>
  <c r="Q849" i="4"/>
  <c r="R849" i="4"/>
  <c r="S849" i="4"/>
  <c r="T849" i="4"/>
  <c r="U849" i="4"/>
  <c r="V849" i="4"/>
  <c r="W849" i="4"/>
  <c r="X849" i="4"/>
  <c r="Y849" i="4"/>
  <c r="B850" i="4"/>
  <c r="C850" i="4"/>
  <c r="D850" i="4"/>
  <c r="E850" i="4"/>
  <c r="F850" i="4"/>
  <c r="G850" i="4"/>
  <c r="H850" i="4"/>
  <c r="I850" i="4"/>
  <c r="J850" i="4"/>
  <c r="K850" i="4"/>
  <c r="L850" i="4"/>
  <c r="M850" i="4"/>
  <c r="N850" i="4"/>
  <c r="O850" i="4"/>
  <c r="P850" i="4"/>
  <c r="Q850" i="4"/>
  <c r="R850" i="4"/>
  <c r="S850" i="4"/>
  <c r="T850" i="4"/>
  <c r="U850" i="4"/>
  <c r="V850" i="4"/>
  <c r="W850" i="4"/>
  <c r="X850" i="4"/>
  <c r="Y850" i="4"/>
  <c r="B851" i="4"/>
  <c r="C851" i="4"/>
  <c r="D851" i="4"/>
  <c r="E851" i="4"/>
  <c r="F851" i="4"/>
  <c r="G851" i="4"/>
  <c r="H851" i="4"/>
  <c r="I851" i="4"/>
  <c r="J851" i="4"/>
  <c r="K851" i="4"/>
  <c r="L851" i="4"/>
  <c r="M851" i="4"/>
  <c r="N851" i="4"/>
  <c r="O851" i="4"/>
  <c r="P851" i="4"/>
  <c r="Q851" i="4"/>
  <c r="R851" i="4"/>
  <c r="S851" i="4"/>
  <c r="T851" i="4"/>
  <c r="U851" i="4"/>
  <c r="V851" i="4"/>
  <c r="W851" i="4"/>
  <c r="X851" i="4"/>
  <c r="Y851" i="4"/>
  <c r="B852" i="4"/>
  <c r="C852" i="4"/>
  <c r="AC852" i="4" s="1"/>
  <c r="D852" i="4"/>
  <c r="E852" i="4"/>
  <c r="F852" i="4"/>
  <c r="G852" i="4"/>
  <c r="H852" i="4"/>
  <c r="I852" i="4"/>
  <c r="J852" i="4"/>
  <c r="K852" i="4"/>
  <c r="L852" i="4"/>
  <c r="M852" i="4"/>
  <c r="N852" i="4"/>
  <c r="O852" i="4"/>
  <c r="P852" i="4"/>
  <c r="Q852" i="4"/>
  <c r="R852" i="4"/>
  <c r="S852" i="4"/>
  <c r="T852" i="4"/>
  <c r="U852" i="4"/>
  <c r="V852" i="4"/>
  <c r="W852" i="4"/>
  <c r="X852" i="4"/>
  <c r="Y852" i="4"/>
  <c r="AD852" i="4"/>
  <c r="B853" i="4"/>
  <c r="C853" i="4"/>
  <c r="D853" i="4"/>
  <c r="E853" i="4"/>
  <c r="F853" i="4"/>
  <c r="G853" i="4"/>
  <c r="H853" i="4"/>
  <c r="I853" i="4"/>
  <c r="J853" i="4"/>
  <c r="K853" i="4"/>
  <c r="L853" i="4"/>
  <c r="M853" i="4"/>
  <c r="N853" i="4"/>
  <c r="O853" i="4"/>
  <c r="P853" i="4"/>
  <c r="Q853" i="4"/>
  <c r="R853" i="4"/>
  <c r="S853" i="4"/>
  <c r="T853" i="4"/>
  <c r="U853" i="4"/>
  <c r="V853" i="4"/>
  <c r="W853" i="4"/>
  <c r="X853" i="4"/>
  <c r="Y853" i="4"/>
  <c r="B854" i="4"/>
  <c r="C854" i="4"/>
  <c r="D854" i="4"/>
  <c r="E854" i="4"/>
  <c r="F854" i="4"/>
  <c r="G854" i="4"/>
  <c r="H854" i="4"/>
  <c r="I854" i="4"/>
  <c r="J854" i="4"/>
  <c r="K854" i="4"/>
  <c r="L854" i="4"/>
  <c r="M854" i="4"/>
  <c r="N854" i="4"/>
  <c r="O854" i="4"/>
  <c r="P854" i="4"/>
  <c r="Q854" i="4"/>
  <c r="R854" i="4"/>
  <c r="S854" i="4"/>
  <c r="T854" i="4"/>
  <c r="U854" i="4"/>
  <c r="V854" i="4"/>
  <c r="W854" i="4"/>
  <c r="X854" i="4"/>
  <c r="Y854" i="4"/>
  <c r="B855" i="4"/>
  <c r="C855" i="4"/>
  <c r="D855" i="4"/>
  <c r="E855" i="4"/>
  <c r="F855" i="4"/>
  <c r="G855" i="4"/>
  <c r="H855" i="4"/>
  <c r="I855" i="4"/>
  <c r="J855" i="4"/>
  <c r="K855" i="4"/>
  <c r="L855" i="4"/>
  <c r="M855" i="4"/>
  <c r="AD855" i="4" s="1"/>
  <c r="N855" i="4"/>
  <c r="O855" i="4"/>
  <c r="P855" i="4"/>
  <c r="Q855" i="4"/>
  <c r="R855" i="4"/>
  <c r="S855" i="4"/>
  <c r="T855" i="4"/>
  <c r="U855" i="4"/>
  <c r="V855" i="4"/>
  <c r="W855" i="4"/>
  <c r="X855" i="4"/>
  <c r="Y855" i="4"/>
  <c r="AC855" i="4"/>
  <c r="B856" i="4"/>
  <c r="C856" i="4"/>
  <c r="D856" i="4"/>
  <c r="E856" i="4"/>
  <c r="F856" i="4"/>
  <c r="G856" i="4"/>
  <c r="H856" i="4"/>
  <c r="I856" i="4"/>
  <c r="J856" i="4"/>
  <c r="K856" i="4"/>
  <c r="L856" i="4"/>
  <c r="M856" i="4"/>
  <c r="N856" i="4"/>
  <c r="O856" i="4"/>
  <c r="P856" i="4"/>
  <c r="Q856" i="4"/>
  <c r="R856" i="4"/>
  <c r="S856" i="4"/>
  <c r="T856" i="4"/>
  <c r="U856" i="4"/>
  <c r="V856" i="4"/>
  <c r="W856" i="4"/>
  <c r="X856" i="4"/>
  <c r="Y856" i="4"/>
  <c r="B857" i="4"/>
  <c r="C857" i="4"/>
  <c r="D857" i="4"/>
  <c r="E857" i="4"/>
  <c r="F857" i="4"/>
  <c r="G857" i="4"/>
  <c r="H857" i="4"/>
  <c r="I857" i="4"/>
  <c r="J857" i="4"/>
  <c r="K857" i="4"/>
  <c r="L857" i="4"/>
  <c r="M857" i="4"/>
  <c r="N857" i="4"/>
  <c r="O857" i="4"/>
  <c r="P857" i="4"/>
  <c r="Q857" i="4"/>
  <c r="R857" i="4"/>
  <c r="S857" i="4"/>
  <c r="T857" i="4"/>
  <c r="U857" i="4"/>
  <c r="V857" i="4"/>
  <c r="W857" i="4"/>
  <c r="X857" i="4"/>
  <c r="Y857" i="4"/>
  <c r="B858" i="4"/>
  <c r="C858" i="4"/>
  <c r="D858" i="4"/>
  <c r="E858" i="4"/>
  <c r="F858" i="4"/>
  <c r="G858" i="4"/>
  <c r="H858" i="4"/>
  <c r="I858" i="4"/>
  <c r="J858" i="4"/>
  <c r="K858" i="4"/>
  <c r="L858" i="4"/>
  <c r="M858" i="4"/>
  <c r="N858" i="4"/>
  <c r="O858" i="4"/>
  <c r="P858" i="4"/>
  <c r="Q858" i="4"/>
  <c r="R858" i="4"/>
  <c r="S858" i="4"/>
  <c r="T858" i="4"/>
  <c r="U858" i="4"/>
  <c r="V858" i="4"/>
  <c r="W858" i="4"/>
  <c r="X858" i="4"/>
  <c r="Y858" i="4"/>
  <c r="B859" i="4"/>
  <c r="C859" i="4"/>
  <c r="D859" i="4"/>
  <c r="E859" i="4"/>
  <c r="F859" i="4"/>
  <c r="G859" i="4"/>
  <c r="H859" i="4"/>
  <c r="I859" i="4"/>
  <c r="J859" i="4"/>
  <c r="K859" i="4"/>
  <c r="L859" i="4"/>
  <c r="M859" i="4"/>
  <c r="N859" i="4"/>
  <c r="O859" i="4"/>
  <c r="P859" i="4"/>
  <c r="AD859" i="4" s="1"/>
  <c r="Q859" i="4"/>
  <c r="R859" i="4"/>
  <c r="S859" i="4"/>
  <c r="T859" i="4"/>
  <c r="U859" i="4"/>
  <c r="V859" i="4"/>
  <c r="W859" i="4"/>
  <c r="X859" i="4"/>
  <c r="Y859" i="4"/>
  <c r="B860" i="4"/>
  <c r="C860" i="4"/>
  <c r="D860" i="4"/>
  <c r="E860" i="4"/>
  <c r="F860" i="4"/>
  <c r="G860" i="4"/>
  <c r="H860" i="4"/>
  <c r="I860" i="4"/>
  <c r="J860" i="4"/>
  <c r="K860" i="4"/>
  <c r="L860" i="4"/>
  <c r="M860" i="4"/>
  <c r="N860" i="4"/>
  <c r="O860" i="4"/>
  <c r="AD860" i="4" s="1"/>
  <c r="P860" i="4"/>
  <c r="Q860" i="4"/>
  <c r="R860" i="4"/>
  <c r="S860" i="4"/>
  <c r="T860" i="4"/>
  <c r="U860" i="4"/>
  <c r="V860" i="4"/>
  <c r="W860" i="4"/>
  <c r="X860" i="4"/>
  <c r="Y860" i="4"/>
  <c r="B861" i="4"/>
  <c r="C861" i="4"/>
  <c r="D861" i="4"/>
  <c r="E861" i="4"/>
  <c r="F861" i="4"/>
  <c r="G861" i="4"/>
  <c r="H861" i="4"/>
  <c r="I861" i="4"/>
  <c r="J861" i="4"/>
  <c r="K861" i="4"/>
  <c r="L861" i="4"/>
  <c r="M861" i="4"/>
  <c r="N861" i="4"/>
  <c r="O861" i="4"/>
  <c r="P861" i="4"/>
  <c r="Q861" i="4"/>
  <c r="R861" i="4"/>
  <c r="S861" i="4"/>
  <c r="T861" i="4"/>
  <c r="U861" i="4"/>
  <c r="V861" i="4"/>
  <c r="W861" i="4"/>
  <c r="X861" i="4"/>
  <c r="Y861" i="4"/>
  <c r="B862" i="4"/>
  <c r="C862" i="4"/>
  <c r="D862" i="4"/>
  <c r="E862" i="4"/>
  <c r="F862" i="4"/>
  <c r="G862" i="4"/>
  <c r="H862" i="4"/>
  <c r="I862" i="4"/>
  <c r="J862" i="4"/>
  <c r="K862" i="4"/>
  <c r="L862" i="4"/>
  <c r="M862" i="4"/>
  <c r="N862" i="4"/>
  <c r="O862" i="4"/>
  <c r="P862" i="4"/>
  <c r="Q862" i="4"/>
  <c r="R862" i="4"/>
  <c r="S862" i="4"/>
  <c r="T862" i="4"/>
  <c r="U862" i="4"/>
  <c r="V862" i="4"/>
  <c r="W862" i="4"/>
  <c r="X862" i="4"/>
  <c r="Y862" i="4"/>
  <c r="B863" i="4"/>
  <c r="C863" i="4"/>
  <c r="D863" i="4"/>
  <c r="E863" i="4"/>
  <c r="F863" i="4"/>
  <c r="G863" i="4"/>
  <c r="H863" i="4"/>
  <c r="I863" i="4"/>
  <c r="J863" i="4"/>
  <c r="K863" i="4"/>
  <c r="L863" i="4"/>
  <c r="M863" i="4"/>
  <c r="N863" i="4"/>
  <c r="O863" i="4"/>
  <c r="P863" i="4"/>
  <c r="Q863" i="4"/>
  <c r="R863" i="4"/>
  <c r="S863" i="4"/>
  <c r="T863" i="4"/>
  <c r="U863" i="4"/>
  <c r="V863" i="4"/>
  <c r="W863" i="4"/>
  <c r="X863" i="4"/>
  <c r="Y863" i="4"/>
  <c r="B864" i="4"/>
  <c r="C864" i="4"/>
  <c r="D864" i="4"/>
  <c r="E864" i="4"/>
  <c r="F864" i="4"/>
  <c r="G864" i="4"/>
  <c r="H864" i="4"/>
  <c r="I864" i="4"/>
  <c r="J864" i="4"/>
  <c r="K864" i="4"/>
  <c r="L864" i="4"/>
  <c r="M864" i="4"/>
  <c r="N864" i="4"/>
  <c r="O864" i="4"/>
  <c r="P864" i="4"/>
  <c r="Q864" i="4"/>
  <c r="R864" i="4"/>
  <c r="S864" i="4"/>
  <c r="T864" i="4"/>
  <c r="U864" i="4"/>
  <c r="V864" i="4"/>
  <c r="W864" i="4"/>
  <c r="X864" i="4"/>
  <c r="Y864" i="4"/>
  <c r="AD864" i="4"/>
  <c r="B865" i="4"/>
  <c r="C865" i="4"/>
  <c r="D865" i="4"/>
  <c r="E865" i="4"/>
  <c r="F865" i="4"/>
  <c r="G865" i="4"/>
  <c r="H865" i="4"/>
  <c r="I865" i="4"/>
  <c r="J865" i="4"/>
  <c r="K865" i="4"/>
  <c r="L865" i="4"/>
  <c r="M865" i="4"/>
  <c r="AD865" i="4" s="1"/>
  <c r="N865" i="4"/>
  <c r="O865" i="4"/>
  <c r="P865" i="4"/>
  <c r="Q865" i="4"/>
  <c r="R865" i="4"/>
  <c r="S865" i="4"/>
  <c r="T865" i="4"/>
  <c r="U865" i="4"/>
  <c r="V865" i="4"/>
  <c r="W865" i="4"/>
  <c r="X865" i="4"/>
  <c r="Y865" i="4"/>
  <c r="AC865" i="4"/>
  <c r="B866" i="4"/>
  <c r="C866" i="4"/>
  <c r="D866" i="4"/>
  <c r="E866" i="4"/>
  <c r="F866" i="4"/>
  <c r="G866" i="4"/>
  <c r="H866" i="4"/>
  <c r="I866" i="4"/>
  <c r="J866" i="4"/>
  <c r="K866" i="4"/>
  <c r="L866" i="4"/>
  <c r="M866" i="4"/>
  <c r="N866" i="4"/>
  <c r="O866" i="4"/>
  <c r="P866" i="4"/>
  <c r="Q866" i="4"/>
  <c r="R866" i="4"/>
  <c r="S866" i="4"/>
  <c r="T866" i="4"/>
  <c r="U866" i="4"/>
  <c r="V866" i="4"/>
  <c r="W866" i="4"/>
  <c r="X866" i="4"/>
  <c r="Y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AD867" i="4" s="1"/>
  <c r="Q867" i="4"/>
  <c r="R867" i="4"/>
  <c r="S867" i="4"/>
  <c r="T867" i="4"/>
  <c r="U867" i="4"/>
  <c r="V867" i="4"/>
  <c r="W867" i="4"/>
  <c r="X867" i="4"/>
  <c r="Y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AD872" i="4" s="1"/>
  <c r="Q872" i="4"/>
  <c r="R872" i="4"/>
  <c r="S872" i="4"/>
  <c r="T872" i="4"/>
  <c r="U872" i="4"/>
  <c r="V872" i="4"/>
  <c r="W872" i="4"/>
  <c r="X872" i="4"/>
  <c r="Y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AC873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AC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AD878" i="4" s="1"/>
  <c r="N878" i="4"/>
  <c r="O878" i="4"/>
  <c r="P878" i="4"/>
  <c r="Q878" i="4"/>
  <c r="R878" i="4"/>
  <c r="S878" i="4"/>
  <c r="T878" i="4"/>
  <c r="U878" i="4"/>
  <c r="V878" i="4"/>
  <c r="W878" i="4"/>
  <c r="X878" i="4"/>
  <c r="Y878" i="4"/>
  <c r="B879" i="4"/>
  <c r="C879" i="4"/>
  <c r="D879" i="4"/>
  <c r="E879" i="4"/>
  <c r="F879" i="4"/>
  <c r="G879" i="4"/>
  <c r="H879" i="4"/>
  <c r="I879" i="4"/>
  <c r="AC879" i="4" s="1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AD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AD883" i="4" s="1"/>
  <c r="N883" i="4"/>
  <c r="O883" i="4"/>
  <c r="P883" i="4"/>
  <c r="Q883" i="4"/>
  <c r="R883" i="4"/>
  <c r="S883" i="4"/>
  <c r="T883" i="4"/>
  <c r="U883" i="4"/>
  <c r="V883" i="4"/>
  <c r="W883" i="4"/>
  <c r="X883" i="4"/>
  <c r="Y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AD884" i="4" s="1"/>
  <c r="N884" i="4"/>
  <c r="O884" i="4"/>
  <c r="P884" i="4"/>
  <c r="Q884" i="4"/>
  <c r="R884" i="4"/>
  <c r="S884" i="4"/>
  <c r="T884" i="4"/>
  <c r="U884" i="4"/>
  <c r="V884" i="4"/>
  <c r="W884" i="4"/>
  <c r="X884" i="4"/>
  <c r="Y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AD887" i="4" s="1"/>
  <c r="Q887" i="4"/>
  <c r="R887" i="4"/>
  <c r="S887" i="4"/>
  <c r="T887" i="4"/>
  <c r="U887" i="4"/>
  <c r="V887" i="4"/>
  <c r="W887" i="4"/>
  <c r="X887" i="4"/>
  <c r="Y887" i="4"/>
  <c r="AC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AC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AD896" i="4" s="1"/>
  <c r="P896" i="4"/>
  <c r="Q896" i="4"/>
  <c r="R896" i="4"/>
  <c r="S896" i="4"/>
  <c r="T896" i="4"/>
  <c r="U896" i="4"/>
  <c r="V896" i="4"/>
  <c r="W896" i="4"/>
  <c r="X896" i="4"/>
  <c r="Y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AC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AC899" i="4"/>
  <c r="AD899" i="4"/>
  <c r="B900" i="4"/>
  <c r="C900" i="4"/>
  <c r="D900" i="4"/>
  <c r="E900" i="4"/>
  <c r="F900" i="4"/>
  <c r="G900" i="4"/>
  <c r="H900" i="4"/>
  <c r="AC900" i="4" s="1"/>
  <c r="I900" i="4"/>
  <c r="J900" i="4"/>
  <c r="K900" i="4"/>
  <c r="L900" i="4"/>
  <c r="M900" i="4"/>
  <c r="N900" i="4"/>
  <c r="O900" i="4"/>
  <c r="P900" i="4"/>
  <c r="AD900" i="4" s="1"/>
  <c r="Q900" i="4"/>
  <c r="R900" i="4"/>
  <c r="S900" i="4"/>
  <c r="T900" i="4"/>
  <c r="U900" i="4"/>
  <c r="V900" i="4"/>
  <c r="W900" i="4"/>
  <c r="X900" i="4"/>
  <c r="Y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AD904" i="4" s="1"/>
  <c r="Q904" i="4"/>
  <c r="R904" i="4"/>
  <c r="S904" i="4"/>
  <c r="T904" i="4"/>
  <c r="U904" i="4"/>
  <c r="V904" i="4"/>
  <c r="W904" i="4"/>
  <c r="X904" i="4"/>
  <c r="Y904" i="4"/>
  <c r="B905" i="4"/>
  <c r="C905" i="4"/>
  <c r="D905" i="4"/>
  <c r="E905" i="4"/>
  <c r="F905" i="4"/>
  <c r="G905" i="4"/>
  <c r="AC905" i="4" s="1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AC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AD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AC916" i="4"/>
  <c r="AD916" i="4"/>
  <c r="B917" i="4"/>
  <c r="C917" i="4"/>
  <c r="D917" i="4"/>
  <c r="E917" i="4"/>
  <c r="F917" i="4"/>
  <c r="G917" i="4"/>
  <c r="H917" i="4"/>
  <c r="AC917" i="4" s="1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AD919" i="4" s="1"/>
  <c r="Q919" i="4"/>
  <c r="R919" i="4"/>
  <c r="S919" i="4"/>
  <c r="T919" i="4"/>
  <c r="U919" i="4"/>
  <c r="V919" i="4"/>
  <c r="W919" i="4"/>
  <c r="X919" i="4"/>
  <c r="Y919" i="4"/>
  <c r="AC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AD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AD927" i="4" s="1"/>
  <c r="N927" i="4"/>
  <c r="O927" i="4"/>
  <c r="P927" i="4"/>
  <c r="Q927" i="4"/>
  <c r="R927" i="4"/>
  <c r="S927" i="4"/>
  <c r="T927" i="4"/>
  <c r="U927" i="4"/>
  <c r="V927" i="4"/>
  <c r="W927" i="4"/>
  <c r="X927" i="4"/>
  <c r="Y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AD928" i="4" s="1"/>
  <c r="N928" i="4"/>
  <c r="O928" i="4"/>
  <c r="P928" i="4"/>
  <c r="Q928" i="4"/>
  <c r="R928" i="4"/>
  <c r="S928" i="4"/>
  <c r="T928" i="4"/>
  <c r="U928" i="4"/>
  <c r="V928" i="4"/>
  <c r="W928" i="4"/>
  <c r="X928" i="4"/>
  <c r="Y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AC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AD931" i="4" s="1"/>
  <c r="P931" i="4"/>
  <c r="Q931" i="4"/>
  <c r="R931" i="4"/>
  <c r="S931" i="4"/>
  <c r="T931" i="4"/>
  <c r="U931" i="4"/>
  <c r="V931" i="4"/>
  <c r="W931" i="4"/>
  <c r="X931" i="4"/>
  <c r="Y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AD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AD936" i="4" s="1"/>
  <c r="N936" i="4"/>
  <c r="O936" i="4"/>
  <c r="P936" i="4"/>
  <c r="Q936" i="4"/>
  <c r="R936" i="4"/>
  <c r="S936" i="4"/>
  <c r="T936" i="4"/>
  <c r="U936" i="4"/>
  <c r="V936" i="4"/>
  <c r="W936" i="4"/>
  <c r="X936" i="4"/>
  <c r="Y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AC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AD943" i="4" s="1"/>
  <c r="N943" i="4"/>
  <c r="O943" i="4"/>
  <c r="P943" i="4"/>
  <c r="Q943" i="4"/>
  <c r="R943" i="4"/>
  <c r="S943" i="4"/>
  <c r="T943" i="4"/>
  <c r="U943" i="4"/>
  <c r="V943" i="4"/>
  <c r="W943" i="4"/>
  <c r="X943" i="4"/>
  <c r="Y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AC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AD945" i="4" s="1"/>
  <c r="N945" i="4"/>
  <c r="O945" i="4"/>
  <c r="P945" i="4"/>
  <c r="Q945" i="4"/>
  <c r="R945" i="4"/>
  <c r="S945" i="4"/>
  <c r="T945" i="4"/>
  <c r="U945" i="4"/>
  <c r="V945" i="4"/>
  <c r="W945" i="4"/>
  <c r="X945" i="4"/>
  <c r="Y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AD946" i="4" s="1"/>
  <c r="N946" i="4"/>
  <c r="O946" i="4"/>
  <c r="P946" i="4"/>
  <c r="Q946" i="4"/>
  <c r="R946" i="4"/>
  <c r="S946" i="4"/>
  <c r="T946" i="4"/>
  <c r="U946" i="4"/>
  <c r="V946" i="4"/>
  <c r="W946" i="4"/>
  <c r="X946" i="4"/>
  <c r="Y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AD947" i="4" s="1"/>
  <c r="N947" i="4"/>
  <c r="O947" i="4"/>
  <c r="P947" i="4"/>
  <c r="Q947" i="4"/>
  <c r="R947" i="4"/>
  <c r="S947" i="4"/>
  <c r="T947" i="4"/>
  <c r="U947" i="4"/>
  <c r="V947" i="4"/>
  <c r="W947" i="4"/>
  <c r="X947" i="4"/>
  <c r="Y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AD948" i="4" s="1"/>
  <c r="N948" i="4"/>
  <c r="O948" i="4"/>
  <c r="P948" i="4"/>
  <c r="Q948" i="4"/>
  <c r="R948" i="4"/>
  <c r="S948" i="4"/>
  <c r="T948" i="4"/>
  <c r="U948" i="4"/>
  <c r="V948" i="4"/>
  <c r="W948" i="4"/>
  <c r="X948" i="4"/>
  <c r="Y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B951" i="4"/>
  <c r="C951" i="4"/>
  <c r="D951" i="4"/>
  <c r="AC951" i="4" s="1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AD956" i="4" s="1"/>
  <c r="P956" i="4"/>
  <c r="Q956" i="4"/>
  <c r="R956" i="4"/>
  <c r="S956" i="4"/>
  <c r="T956" i="4"/>
  <c r="U956" i="4"/>
  <c r="V956" i="4"/>
  <c r="W956" i="4"/>
  <c r="X956" i="4"/>
  <c r="Y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AD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AC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AD963" i="4" s="1"/>
  <c r="Q963" i="4"/>
  <c r="R963" i="4"/>
  <c r="S963" i="4"/>
  <c r="T963" i="4"/>
  <c r="U963" i="4"/>
  <c r="V963" i="4"/>
  <c r="W963" i="4"/>
  <c r="X963" i="4"/>
  <c r="Y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AD968" i="4" s="1"/>
  <c r="Q968" i="4"/>
  <c r="R968" i="4"/>
  <c r="S968" i="4"/>
  <c r="T968" i="4"/>
  <c r="U968" i="4"/>
  <c r="V968" i="4"/>
  <c r="W968" i="4"/>
  <c r="X968" i="4"/>
  <c r="Y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AC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AC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AD974" i="4" s="1"/>
  <c r="N974" i="4"/>
  <c r="O974" i="4"/>
  <c r="P974" i="4"/>
  <c r="Q974" i="4"/>
  <c r="R974" i="4"/>
  <c r="S974" i="4"/>
  <c r="T974" i="4"/>
  <c r="U974" i="4"/>
  <c r="V974" i="4"/>
  <c r="W974" i="4"/>
  <c r="X974" i="4"/>
  <c r="Y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AD975" i="4" s="1"/>
  <c r="N975" i="4"/>
  <c r="O975" i="4"/>
  <c r="P975" i="4"/>
  <c r="Q975" i="4"/>
  <c r="R975" i="4"/>
  <c r="S975" i="4"/>
  <c r="T975" i="4"/>
  <c r="U975" i="4"/>
  <c r="V975" i="4"/>
  <c r="W975" i="4"/>
  <c r="X975" i="4"/>
  <c r="Y975" i="4"/>
  <c r="B976" i="4"/>
  <c r="C976" i="4"/>
  <c r="D976" i="4"/>
  <c r="AC976" i="4" s="1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AD980" i="4" s="1"/>
  <c r="P980" i="4"/>
  <c r="Q980" i="4"/>
  <c r="R980" i="4"/>
  <c r="S980" i="4"/>
  <c r="T980" i="4"/>
  <c r="U980" i="4"/>
  <c r="V980" i="4"/>
  <c r="W980" i="4"/>
  <c r="X980" i="4"/>
  <c r="Y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AC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AD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AD984" i="4" s="1"/>
  <c r="Q984" i="4"/>
  <c r="R984" i="4"/>
  <c r="S984" i="4"/>
  <c r="T984" i="4"/>
  <c r="U984" i="4"/>
  <c r="V984" i="4"/>
  <c r="W984" i="4"/>
  <c r="X984" i="4"/>
  <c r="Y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B987" i="4"/>
  <c r="C987" i="4"/>
  <c r="D987" i="4"/>
  <c r="AC987" i="4" s="1"/>
  <c r="E987" i="4"/>
  <c r="F987" i="4"/>
  <c r="G987" i="4"/>
  <c r="H987" i="4"/>
  <c r="I987" i="4"/>
  <c r="J987" i="4"/>
  <c r="K987" i="4"/>
  <c r="L987" i="4"/>
  <c r="M987" i="4"/>
  <c r="N987" i="4"/>
  <c r="O987" i="4"/>
  <c r="P987" i="4"/>
  <c r="AD987" i="4" s="1"/>
  <c r="Q987" i="4"/>
  <c r="R987" i="4"/>
  <c r="S987" i="4"/>
  <c r="T987" i="4"/>
  <c r="U987" i="4"/>
  <c r="V987" i="4"/>
  <c r="W987" i="4"/>
  <c r="X987" i="4"/>
  <c r="Y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AD992" i="4"/>
  <c r="B993" i="4"/>
  <c r="C993" i="4"/>
  <c r="D993" i="4"/>
  <c r="E993" i="4"/>
  <c r="AC993" i="4" s="1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AD995" i="4" s="1"/>
  <c r="Q995" i="4"/>
  <c r="R995" i="4"/>
  <c r="S995" i="4"/>
  <c r="T995" i="4"/>
  <c r="U995" i="4"/>
  <c r="V995" i="4"/>
  <c r="W995" i="4"/>
  <c r="X995" i="4"/>
  <c r="Y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AD999" i="4" s="1"/>
  <c r="P999" i="4"/>
  <c r="Q999" i="4"/>
  <c r="R999" i="4"/>
  <c r="S999" i="4"/>
  <c r="T999" i="4"/>
  <c r="U999" i="4"/>
  <c r="V999" i="4"/>
  <c r="W999" i="4"/>
  <c r="X999" i="4"/>
  <c r="Y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AD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AD1004" i="4" s="1"/>
  <c r="Q1004" i="4"/>
  <c r="R1004" i="4"/>
  <c r="S1004" i="4"/>
  <c r="T1004" i="4"/>
  <c r="U1004" i="4"/>
  <c r="V1004" i="4"/>
  <c r="W1004" i="4"/>
  <c r="X1004" i="4"/>
  <c r="Y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AC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AD1007" i="4" s="1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AD1012" i="4" s="1"/>
  <c r="Q1012" i="4"/>
  <c r="R1012" i="4"/>
  <c r="S1012" i="4"/>
  <c r="T1012" i="4"/>
  <c r="U1012" i="4"/>
  <c r="V1012" i="4"/>
  <c r="W1012" i="4"/>
  <c r="X1012" i="4"/>
  <c r="Y1012" i="4"/>
  <c r="B1013" i="4"/>
  <c r="C1013" i="4"/>
  <c r="AC1013" i="4" s="1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AD1015" i="4" s="1"/>
  <c r="O1015" i="4"/>
  <c r="P1015" i="4"/>
  <c r="Q1015" i="4"/>
  <c r="R1015" i="4"/>
  <c r="S1015" i="4"/>
  <c r="T1015" i="4"/>
  <c r="U1015" i="4"/>
  <c r="V1015" i="4"/>
  <c r="W1015" i="4"/>
  <c r="X1015" i="4"/>
  <c r="Y1015" i="4"/>
  <c r="AC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AD1016" i="4" s="1"/>
  <c r="Q1016" i="4"/>
  <c r="R1016" i="4"/>
  <c r="S1016" i="4"/>
  <c r="T1016" i="4"/>
  <c r="U1016" i="4"/>
  <c r="V1016" i="4"/>
  <c r="W1016" i="4"/>
  <c r="X1016" i="4"/>
  <c r="Y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B1020" i="4"/>
  <c r="C1020" i="4"/>
  <c r="D1020" i="4"/>
  <c r="AC1020" i="4" s="1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AD1020" i="4" s="1"/>
  <c r="Q1020" i="4"/>
  <c r="R1020" i="4"/>
  <c r="S1020" i="4"/>
  <c r="T1020" i="4"/>
  <c r="U1020" i="4"/>
  <c r="V1020" i="4"/>
  <c r="W1020" i="4"/>
  <c r="X1020" i="4"/>
  <c r="Y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AD1024" i="4"/>
  <c r="B1025" i="4"/>
  <c r="C1025" i="4"/>
  <c r="D1025" i="4"/>
  <c r="E1025" i="4"/>
  <c r="AC1025" i="4" s="1"/>
  <c r="F1025" i="4"/>
  <c r="G1025" i="4"/>
  <c r="H1025" i="4"/>
  <c r="I1025" i="4"/>
  <c r="J1025" i="4"/>
  <c r="K1025" i="4"/>
  <c r="L1025" i="4"/>
  <c r="M1025" i="4"/>
  <c r="AD1025" i="4" s="1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AD1027" i="4" s="1"/>
  <c r="Q1027" i="4"/>
  <c r="R1027" i="4"/>
  <c r="S1027" i="4"/>
  <c r="T1027" i="4"/>
  <c r="U1027" i="4"/>
  <c r="V1027" i="4"/>
  <c r="W1027" i="4"/>
  <c r="X1027" i="4"/>
  <c r="Y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AD1032" i="4" s="1"/>
  <c r="P1032" i="4"/>
  <c r="Q1032" i="4"/>
  <c r="R1032" i="4"/>
  <c r="S1032" i="4"/>
  <c r="T1032" i="4"/>
  <c r="U1032" i="4"/>
  <c r="V1032" i="4"/>
  <c r="W1032" i="4"/>
  <c r="X1032" i="4"/>
  <c r="Y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AD1036" i="4" s="1"/>
  <c r="Q1036" i="4"/>
  <c r="R1036" i="4"/>
  <c r="S1036" i="4"/>
  <c r="T1036" i="4"/>
  <c r="U1036" i="4"/>
  <c r="V1036" i="4"/>
  <c r="W1036" i="4"/>
  <c r="X1036" i="4"/>
  <c r="Y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AC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AC1039" i="4"/>
  <c r="AD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AD1040" i="4" s="1"/>
  <c r="Q1040" i="4"/>
  <c r="R1040" i="4"/>
  <c r="S1040" i="4"/>
  <c r="T1040" i="4"/>
  <c r="U1040" i="4"/>
  <c r="V1040" i="4"/>
  <c r="W1040" i="4"/>
  <c r="X1040" i="4"/>
  <c r="Y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AD1043" i="4" s="1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AD1044" i="4" s="1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AC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AC1047" i="4"/>
  <c r="AD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AC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AD1052" i="4" s="1"/>
  <c r="Q1052" i="4"/>
  <c r="R1052" i="4"/>
  <c r="S1052" i="4"/>
  <c r="T1052" i="4"/>
  <c r="U1052" i="4"/>
  <c r="V1052" i="4"/>
  <c r="W1052" i="4"/>
  <c r="X1052" i="4"/>
  <c r="Y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AD1056" i="4" s="1"/>
  <c r="Q1056" i="4"/>
  <c r="R1056" i="4"/>
  <c r="S1056" i="4"/>
  <c r="T1056" i="4"/>
  <c r="U1056" i="4"/>
  <c r="V1056" i="4"/>
  <c r="W1056" i="4"/>
  <c r="X1056" i="4"/>
  <c r="Y1056" i="4"/>
  <c r="B1058" i="4"/>
  <c r="F1058" i="4"/>
  <c r="G1058" i="4"/>
  <c r="I1058" i="4"/>
  <c r="J1058" i="4"/>
  <c r="O1058" i="4"/>
  <c r="P1058" i="4"/>
  <c r="Q1058" i="4"/>
  <c r="R1058" i="4"/>
  <c r="S1058" i="4"/>
  <c r="W1058" i="4"/>
  <c r="X1058" i="4"/>
  <c r="AA1058" i="4"/>
  <c r="AB1058" i="4"/>
  <c r="C1059" i="4"/>
  <c r="D1059" i="4"/>
  <c r="E1059" i="4"/>
  <c r="N1059" i="4"/>
  <c r="P1059" i="4"/>
  <c r="T1059" i="4"/>
  <c r="B1060" i="4"/>
  <c r="C1060" i="4"/>
  <c r="D1060" i="4"/>
  <c r="E1060" i="4"/>
  <c r="J1060" i="4"/>
  <c r="L1060" i="4"/>
  <c r="M1060" i="4"/>
  <c r="R1060" i="4"/>
  <c r="S1060" i="4"/>
  <c r="T1060" i="4"/>
  <c r="U1060" i="4"/>
  <c r="Z1060" i="4"/>
  <c r="B1061" i="4"/>
  <c r="J1061" i="4"/>
  <c r="K1061" i="4"/>
  <c r="O1061" i="4"/>
  <c r="I1062" i="4"/>
  <c r="M1062" i="4"/>
  <c r="O1062" i="4"/>
  <c r="Q1062" i="4"/>
  <c r="W1062" i="4"/>
  <c r="X1062" i="4"/>
  <c r="Y1062" i="4"/>
  <c r="C1063" i="4"/>
  <c r="E1063" i="4"/>
  <c r="F1063" i="4"/>
  <c r="G1063" i="4"/>
  <c r="I1063" i="4"/>
  <c r="K1063" i="4"/>
  <c r="L1063" i="4"/>
  <c r="M1063" i="4"/>
  <c r="N1063" i="4"/>
  <c r="O1063" i="4"/>
  <c r="Q1063" i="4"/>
  <c r="S1063" i="4"/>
  <c r="T1063" i="4"/>
  <c r="U1063" i="4"/>
  <c r="V1063" i="4"/>
  <c r="W1063" i="4"/>
  <c r="Y1063" i="4"/>
  <c r="E1064" i="4"/>
  <c r="I1064" i="4"/>
  <c r="M1064" i="4"/>
  <c r="S1064" i="4"/>
  <c r="U1064" i="4"/>
  <c r="C1065" i="4"/>
  <c r="D1065" i="4"/>
  <c r="H1065" i="4"/>
  <c r="I1065" i="4"/>
  <c r="K1065" i="4"/>
  <c r="P1065" i="4"/>
  <c r="Q1065" i="4"/>
  <c r="S1065" i="4"/>
  <c r="T1065" i="4"/>
  <c r="X1065" i="4"/>
  <c r="G1066" i="4"/>
  <c r="I1066" i="4"/>
  <c r="J1066" i="4"/>
  <c r="O1066" i="4"/>
  <c r="R1066" i="4"/>
  <c r="S1066" i="4"/>
  <c r="W1066" i="4"/>
  <c r="G1067" i="4"/>
  <c r="H1067" i="4"/>
  <c r="I1067" i="4"/>
  <c r="J1067" i="4"/>
  <c r="V1067" i="4"/>
  <c r="W1067" i="4"/>
  <c r="E1068" i="4"/>
  <c r="G1068" i="4"/>
  <c r="H1068" i="4"/>
  <c r="I1068" i="4"/>
  <c r="M1068" i="4"/>
  <c r="U1068" i="4"/>
  <c r="V1068" i="4"/>
  <c r="W1068" i="4"/>
  <c r="X1068" i="4"/>
  <c r="L1069" i="4"/>
  <c r="M1069" i="4"/>
  <c r="U1069" i="4"/>
  <c r="C1070" i="4"/>
  <c r="D1070" i="4"/>
  <c r="E1070" i="4"/>
  <c r="G1070" i="4"/>
  <c r="K1070" i="4"/>
  <c r="L1070" i="4"/>
  <c r="M1070" i="4"/>
  <c r="O1070" i="4"/>
  <c r="S1070" i="4"/>
  <c r="T1070" i="4"/>
  <c r="U1070" i="4"/>
  <c r="W1070" i="4"/>
  <c r="L1071" i="4"/>
  <c r="M1071" i="4"/>
  <c r="U1071" i="4"/>
  <c r="C1072" i="4"/>
  <c r="E1072" i="4"/>
  <c r="G1072" i="4"/>
  <c r="H1072" i="4"/>
  <c r="I1072" i="4"/>
  <c r="J1072" i="4"/>
  <c r="K1072" i="4"/>
  <c r="M1072" i="4"/>
  <c r="O1072" i="4"/>
  <c r="P1072" i="4"/>
  <c r="Q1072" i="4"/>
  <c r="R1072" i="4"/>
  <c r="S1072" i="4"/>
  <c r="U1072" i="4"/>
  <c r="W1072" i="4"/>
  <c r="X1072" i="4"/>
  <c r="C1073" i="4"/>
  <c r="K1073" i="4"/>
  <c r="L1073" i="4"/>
  <c r="T1073" i="4"/>
  <c r="X1073" i="4"/>
  <c r="G1074" i="4"/>
  <c r="I1074" i="4"/>
  <c r="J1074" i="4"/>
  <c r="O1074" i="4"/>
  <c r="Q1074" i="4"/>
  <c r="R1074" i="4"/>
  <c r="S1074" i="4"/>
  <c r="V1074" i="4"/>
  <c r="W1074" i="4"/>
  <c r="B1075" i="4"/>
  <c r="E1075" i="4"/>
  <c r="F1075" i="4"/>
  <c r="G1075" i="4"/>
  <c r="M1075" i="4"/>
  <c r="N1075" i="4"/>
  <c r="O1075" i="4"/>
  <c r="P1075" i="4"/>
  <c r="Q1075" i="4"/>
  <c r="U1075" i="4"/>
  <c r="X1075" i="4"/>
  <c r="D1076" i="4"/>
  <c r="E1076" i="4"/>
  <c r="F1076" i="4"/>
  <c r="G1076" i="4"/>
  <c r="I1076" i="4"/>
  <c r="L1076" i="4"/>
  <c r="M1076" i="4"/>
  <c r="N1076" i="4"/>
  <c r="O1076" i="4"/>
  <c r="U1076" i="4"/>
  <c r="V1076" i="4"/>
  <c r="W1076" i="4"/>
  <c r="X1076" i="4"/>
  <c r="F1077" i="4"/>
  <c r="G1077" i="4"/>
  <c r="H1077" i="4"/>
  <c r="N1077" i="4"/>
  <c r="O1077" i="4"/>
  <c r="P1077" i="4"/>
  <c r="U1077" i="4"/>
  <c r="V1077" i="4"/>
  <c r="W1077" i="4"/>
  <c r="C1078" i="4"/>
  <c r="E1078" i="4"/>
  <c r="M1078" i="4"/>
  <c r="O1078" i="4"/>
  <c r="R1078" i="4"/>
  <c r="U1078" i="4"/>
  <c r="L1079" i="4"/>
  <c r="M1079" i="4"/>
  <c r="T1079" i="4"/>
  <c r="U1079" i="4"/>
  <c r="V1079" i="4"/>
  <c r="E1080" i="4"/>
  <c r="H1080" i="4"/>
  <c r="I1080" i="4"/>
  <c r="J1080" i="4"/>
  <c r="Q1080" i="4"/>
  <c r="R1080" i="4"/>
  <c r="S1080" i="4"/>
  <c r="T1080" i="4"/>
  <c r="C1081" i="4"/>
  <c r="G1081" i="4"/>
  <c r="O1081" i="4"/>
  <c r="A1082" i="4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I1082" i="4"/>
  <c r="M1082" i="4"/>
  <c r="U1082" i="4"/>
  <c r="V1082" i="4"/>
  <c r="W1082" i="4"/>
  <c r="C1083" i="4"/>
  <c r="D1083" i="4"/>
  <c r="E1083" i="4"/>
  <c r="G1083" i="4"/>
  <c r="K1083" i="4"/>
  <c r="N1083" i="4"/>
  <c r="O1083" i="4"/>
  <c r="S1083" i="4"/>
  <c r="B1084" i="4"/>
  <c r="C1084" i="4"/>
  <c r="J1084" i="4"/>
  <c r="K1084" i="4"/>
  <c r="L1084" i="4"/>
  <c r="T1084" i="4"/>
  <c r="V1084" i="4"/>
  <c r="D1085" i="4"/>
  <c r="G1085" i="4"/>
  <c r="S1085" i="4"/>
  <c r="E1086" i="4"/>
  <c r="M1086" i="4"/>
  <c r="O1086" i="4"/>
  <c r="U1086" i="4"/>
  <c r="V1086" i="4"/>
  <c r="X1086" i="4"/>
  <c r="G1087" i="4"/>
  <c r="H1087" i="4"/>
  <c r="K1087" i="4"/>
  <c r="P1087" i="4"/>
  <c r="S1087" i="4"/>
  <c r="T1087" i="4"/>
  <c r="C1088" i="4"/>
  <c r="D1088" i="4"/>
  <c r="E1088" i="4"/>
  <c r="L1088" i="4"/>
  <c r="M1088" i="4"/>
  <c r="N1088" i="4"/>
  <c r="Q1088" i="4"/>
  <c r="V1088" i="4"/>
  <c r="H1089" i="4"/>
  <c r="J1089" i="4"/>
  <c r="R1089" i="4"/>
  <c r="T1089" i="4"/>
  <c r="W1089" i="4"/>
  <c r="B1090" i="4"/>
  <c r="E1090" i="4"/>
  <c r="F1090" i="4"/>
  <c r="G1090" i="4"/>
  <c r="O1090" i="4"/>
  <c r="P1090" i="4"/>
  <c r="Q1090" i="4"/>
  <c r="X1090" i="4"/>
  <c r="C1091" i="4"/>
  <c r="G1091" i="4"/>
  <c r="K1091" i="4"/>
  <c r="L1091" i="4"/>
  <c r="O1091" i="4"/>
  <c r="T1091" i="4"/>
  <c r="W1091" i="4"/>
  <c r="I1092" i="4"/>
  <c r="Q1092" i="4"/>
  <c r="B1093" i="4"/>
  <c r="C1093" i="4"/>
  <c r="J1093" i="4"/>
  <c r="K1093" i="4"/>
  <c r="T1093" i="4"/>
  <c r="X1093" i="4"/>
  <c r="F1094" i="4"/>
  <c r="I1094" i="4"/>
  <c r="P1094" i="4"/>
  <c r="Q1094" i="4"/>
  <c r="U1094" i="4"/>
  <c r="L1095" i="4"/>
  <c r="M1095" i="4"/>
  <c r="I1096" i="4"/>
  <c r="R1096" i="4"/>
  <c r="T1096" i="4"/>
  <c r="B1097" i="4"/>
  <c r="C1097" i="4"/>
  <c r="D1097" i="4"/>
  <c r="L1097" i="4"/>
  <c r="Q1097" i="4"/>
  <c r="H1098" i="4"/>
  <c r="V1098" i="4"/>
  <c r="D1099" i="4"/>
  <c r="F1099" i="4"/>
  <c r="G1099" i="4"/>
  <c r="N1099" i="4"/>
  <c r="O1099" i="4"/>
  <c r="P1099" i="4"/>
  <c r="X1099" i="4"/>
  <c r="D1101" i="4"/>
  <c r="G1101" i="4"/>
  <c r="I1101" i="4"/>
  <c r="Q1101" i="4"/>
  <c r="S1101" i="4"/>
  <c r="B1102" i="4"/>
  <c r="O1102" i="4"/>
  <c r="W1102" i="4"/>
  <c r="C1103" i="4"/>
  <c r="G1103" i="4"/>
  <c r="K1103" i="4"/>
  <c r="O1103" i="4"/>
  <c r="S1103" i="4"/>
  <c r="W1103" i="4"/>
  <c r="E1104" i="4"/>
  <c r="M1104" i="4"/>
  <c r="I1105" i="4"/>
  <c r="K1105" i="4"/>
  <c r="S1105" i="4"/>
  <c r="T1105" i="4"/>
  <c r="W1105" i="4"/>
  <c r="E9" i="3"/>
  <c r="G9" i="3"/>
  <c r="J12" i="3"/>
  <c r="J13" i="3"/>
  <c r="J14" i="3"/>
  <c r="J15" i="3"/>
  <c r="B16" i="3"/>
  <c r="C16" i="3"/>
  <c r="D16" i="3"/>
  <c r="E16" i="3"/>
  <c r="F16" i="3"/>
  <c r="G16" i="3"/>
  <c r="H16" i="3"/>
  <c r="I16" i="3"/>
  <c r="J16" i="3"/>
  <c r="B17" i="3"/>
  <c r="C17" i="3"/>
  <c r="D17" i="3"/>
  <c r="E17" i="3"/>
  <c r="F17" i="3"/>
  <c r="G17" i="3"/>
  <c r="H17" i="3"/>
  <c r="I17" i="3"/>
  <c r="J17" i="3"/>
  <c r="B18" i="3"/>
  <c r="C18" i="3"/>
  <c r="D18" i="3"/>
  <c r="E18" i="3"/>
  <c r="F18" i="3"/>
  <c r="G18" i="3"/>
  <c r="H18" i="3"/>
  <c r="I18" i="3"/>
  <c r="J18" i="3"/>
  <c r="B19" i="3"/>
  <c r="C19" i="3"/>
  <c r="D19" i="3"/>
  <c r="E19" i="3"/>
  <c r="F19" i="3"/>
  <c r="G19" i="3"/>
  <c r="H19" i="3"/>
  <c r="I19" i="3"/>
  <c r="J19" i="3"/>
  <c r="B20" i="3"/>
  <c r="C20" i="3"/>
  <c r="D20" i="3"/>
  <c r="E20" i="3"/>
  <c r="F20" i="3"/>
  <c r="G20" i="3"/>
  <c r="H20" i="3"/>
  <c r="I20" i="3"/>
  <c r="I1057" i="3" s="1"/>
  <c r="J20" i="3"/>
  <c r="B21" i="3"/>
  <c r="C21" i="3"/>
  <c r="D21" i="3"/>
  <c r="E21" i="3"/>
  <c r="F21" i="3"/>
  <c r="G21" i="3"/>
  <c r="H21" i="3"/>
  <c r="H1057" i="3" s="1"/>
  <c r="I21" i="3"/>
  <c r="J21" i="3"/>
  <c r="B22" i="3"/>
  <c r="C22" i="3"/>
  <c r="D22" i="3"/>
  <c r="E22" i="3"/>
  <c r="F22" i="3"/>
  <c r="G22" i="3"/>
  <c r="H22" i="3"/>
  <c r="I22" i="3"/>
  <c r="J22" i="3"/>
  <c r="B23" i="3"/>
  <c r="C23" i="3"/>
  <c r="D23" i="3"/>
  <c r="E23" i="3"/>
  <c r="F23" i="3"/>
  <c r="G23" i="3"/>
  <c r="H23" i="3"/>
  <c r="I23" i="3"/>
  <c r="J23" i="3"/>
  <c r="B24" i="3"/>
  <c r="C24" i="3"/>
  <c r="D24" i="3"/>
  <c r="E24" i="3"/>
  <c r="F24" i="3"/>
  <c r="G24" i="3"/>
  <c r="H24" i="3"/>
  <c r="I24" i="3"/>
  <c r="J24" i="3"/>
  <c r="B25" i="3"/>
  <c r="C25" i="3"/>
  <c r="D25" i="3"/>
  <c r="E25" i="3"/>
  <c r="F25" i="3"/>
  <c r="G25" i="3"/>
  <c r="H25" i="3"/>
  <c r="I25" i="3"/>
  <c r="J25" i="3"/>
  <c r="B26" i="3"/>
  <c r="C26" i="3"/>
  <c r="D26" i="3"/>
  <c r="E26" i="3"/>
  <c r="F26" i="3"/>
  <c r="G26" i="3"/>
  <c r="H26" i="3"/>
  <c r="I26" i="3"/>
  <c r="J26" i="3"/>
  <c r="B27" i="3"/>
  <c r="C27" i="3"/>
  <c r="D27" i="3"/>
  <c r="E27" i="3"/>
  <c r="F27" i="3"/>
  <c r="G27" i="3"/>
  <c r="H27" i="3"/>
  <c r="I27" i="3"/>
  <c r="J27" i="3"/>
  <c r="B28" i="3"/>
  <c r="C28" i="3"/>
  <c r="D28" i="3"/>
  <c r="E28" i="3"/>
  <c r="F28" i="3"/>
  <c r="G28" i="3"/>
  <c r="H28" i="3"/>
  <c r="I28" i="3"/>
  <c r="J28" i="3"/>
  <c r="B29" i="3"/>
  <c r="C29" i="3"/>
  <c r="D29" i="3"/>
  <c r="E29" i="3"/>
  <c r="F29" i="3"/>
  <c r="G29" i="3"/>
  <c r="H29" i="3"/>
  <c r="I29" i="3"/>
  <c r="J29" i="3"/>
  <c r="B30" i="3"/>
  <c r="C30" i="3"/>
  <c r="D30" i="3"/>
  <c r="E30" i="3"/>
  <c r="F30" i="3"/>
  <c r="G30" i="3"/>
  <c r="H30" i="3"/>
  <c r="I30" i="3"/>
  <c r="J30" i="3"/>
  <c r="B31" i="3"/>
  <c r="C31" i="3"/>
  <c r="D31" i="3"/>
  <c r="E31" i="3"/>
  <c r="F31" i="3"/>
  <c r="G31" i="3"/>
  <c r="H31" i="3"/>
  <c r="I31" i="3"/>
  <c r="J31" i="3"/>
  <c r="B32" i="3"/>
  <c r="C32" i="3"/>
  <c r="D32" i="3"/>
  <c r="E32" i="3"/>
  <c r="F32" i="3"/>
  <c r="G32" i="3"/>
  <c r="H32" i="3"/>
  <c r="I32" i="3"/>
  <c r="J32" i="3"/>
  <c r="B33" i="3"/>
  <c r="C33" i="3"/>
  <c r="D33" i="3"/>
  <c r="E33" i="3"/>
  <c r="F33" i="3"/>
  <c r="G33" i="3"/>
  <c r="H33" i="3"/>
  <c r="I33" i="3"/>
  <c r="J33" i="3"/>
  <c r="B34" i="3"/>
  <c r="C34" i="3"/>
  <c r="D34" i="3"/>
  <c r="E34" i="3"/>
  <c r="F34" i="3"/>
  <c r="G34" i="3"/>
  <c r="H34" i="3"/>
  <c r="I34" i="3"/>
  <c r="J34" i="3"/>
  <c r="B35" i="3"/>
  <c r="C35" i="3"/>
  <c r="D35" i="3"/>
  <c r="E35" i="3"/>
  <c r="F35" i="3"/>
  <c r="G35" i="3"/>
  <c r="H35" i="3"/>
  <c r="I35" i="3"/>
  <c r="J35" i="3"/>
  <c r="B36" i="3"/>
  <c r="C36" i="3"/>
  <c r="D36" i="3"/>
  <c r="E36" i="3"/>
  <c r="F36" i="3"/>
  <c r="G36" i="3"/>
  <c r="H36" i="3"/>
  <c r="I36" i="3"/>
  <c r="J36" i="3"/>
  <c r="B37" i="3"/>
  <c r="C37" i="3"/>
  <c r="D37" i="3"/>
  <c r="E37" i="3"/>
  <c r="F37" i="3"/>
  <c r="G37" i="3"/>
  <c r="H37" i="3"/>
  <c r="I37" i="3"/>
  <c r="J37" i="3"/>
  <c r="B38" i="3"/>
  <c r="C38" i="3"/>
  <c r="D38" i="3"/>
  <c r="E38" i="3"/>
  <c r="F38" i="3"/>
  <c r="G38" i="3"/>
  <c r="H38" i="3"/>
  <c r="I38" i="3"/>
  <c r="J38" i="3"/>
  <c r="B39" i="3"/>
  <c r="C39" i="3"/>
  <c r="D39" i="3"/>
  <c r="E39" i="3"/>
  <c r="F39" i="3"/>
  <c r="G39" i="3"/>
  <c r="H39" i="3"/>
  <c r="I39" i="3"/>
  <c r="J39" i="3"/>
  <c r="B40" i="3"/>
  <c r="C40" i="3"/>
  <c r="D40" i="3"/>
  <c r="E40" i="3"/>
  <c r="F40" i="3"/>
  <c r="G40" i="3"/>
  <c r="H40" i="3"/>
  <c r="I40" i="3"/>
  <c r="J40" i="3"/>
  <c r="B41" i="3"/>
  <c r="C41" i="3"/>
  <c r="D41" i="3"/>
  <c r="E41" i="3"/>
  <c r="F41" i="3"/>
  <c r="G41" i="3"/>
  <c r="H41" i="3"/>
  <c r="I41" i="3"/>
  <c r="J41" i="3"/>
  <c r="B42" i="3"/>
  <c r="C42" i="3"/>
  <c r="D42" i="3"/>
  <c r="E42" i="3"/>
  <c r="F42" i="3"/>
  <c r="G42" i="3"/>
  <c r="H42" i="3"/>
  <c r="I42" i="3"/>
  <c r="J42" i="3"/>
  <c r="B43" i="3"/>
  <c r="C43" i="3"/>
  <c r="D43" i="3"/>
  <c r="E43" i="3"/>
  <c r="F43" i="3"/>
  <c r="G43" i="3"/>
  <c r="H43" i="3"/>
  <c r="I43" i="3"/>
  <c r="J43" i="3"/>
  <c r="B44" i="3"/>
  <c r="C44" i="3"/>
  <c r="D44" i="3"/>
  <c r="E44" i="3"/>
  <c r="F44" i="3"/>
  <c r="G44" i="3"/>
  <c r="H44" i="3"/>
  <c r="I44" i="3"/>
  <c r="J44" i="3"/>
  <c r="B45" i="3"/>
  <c r="C45" i="3"/>
  <c r="D45" i="3"/>
  <c r="E45" i="3"/>
  <c r="F45" i="3"/>
  <c r="G45" i="3"/>
  <c r="H45" i="3"/>
  <c r="I45" i="3"/>
  <c r="J45" i="3"/>
  <c r="B46" i="3"/>
  <c r="C46" i="3"/>
  <c r="D46" i="3"/>
  <c r="E46" i="3"/>
  <c r="F46" i="3"/>
  <c r="G46" i="3"/>
  <c r="H46" i="3"/>
  <c r="I46" i="3"/>
  <c r="J46" i="3"/>
  <c r="B47" i="3"/>
  <c r="C47" i="3"/>
  <c r="D47" i="3"/>
  <c r="E47" i="3"/>
  <c r="F47" i="3"/>
  <c r="G47" i="3"/>
  <c r="H47" i="3"/>
  <c r="I47" i="3"/>
  <c r="J47" i="3"/>
  <c r="B48" i="3"/>
  <c r="C48" i="3"/>
  <c r="D48" i="3"/>
  <c r="E48" i="3"/>
  <c r="F48" i="3"/>
  <c r="G48" i="3"/>
  <c r="H48" i="3"/>
  <c r="I48" i="3"/>
  <c r="J48" i="3"/>
  <c r="B49" i="3"/>
  <c r="C49" i="3"/>
  <c r="D49" i="3"/>
  <c r="E49" i="3"/>
  <c r="F49" i="3"/>
  <c r="G49" i="3"/>
  <c r="H49" i="3"/>
  <c r="I49" i="3"/>
  <c r="J49" i="3"/>
  <c r="B50" i="3"/>
  <c r="C50" i="3"/>
  <c r="D50" i="3"/>
  <c r="E50" i="3"/>
  <c r="F50" i="3"/>
  <c r="G50" i="3"/>
  <c r="H50" i="3"/>
  <c r="I50" i="3"/>
  <c r="J50" i="3"/>
  <c r="B51" i="3"/>
  <c r="C51" i="3"/>
  <c r="D51" i="3"/>
  <c r="E51" i="3"/>
  <c r="F51" i="3"/>
  <c r="G51" i="3"/>
  <c r="H51" i="3"/>
  <c r="I51" i="3"/>
  <c r="J51" i="3"/>
  <c r="B52" i="3"/>
  <c r="C52" i="3"/>
  <c r="D52" i="3"/>
  <c r="E52" i="3"/>
  <c r="F52" i="3"/>
  <c r="G52" i="3"/>
  <c r="H52" i="3"/>
  <c r="I52" i="3"/>
  <c r="J52" i="3"/>
  <c r="B53" i="3"/>
  <c r="C53" i="3"/>
  <c r="D53" i="3"/>
  <c r="E53" i="3"/>
  <c r="F53" i="3"/>
  <c r="G53" i="3"/>
  <c r="H53" i="3"/>
  <c r="I53" i="3"/>
  <c r="J53" i="3"/>
  <c r="B54" i="3"/>
  <c r="C54" i="3"/>
  <c r="D54" i="3"/>
  <c r="E54" i="3"/>
  <c r="F54" i="3"/>
  <c r="G54" i="3"/>
  <c r="H54" i="3"/>
  <c r="I54" i="3"/>
  <c r="J54" i="3"/>
  <c r="B55" i="3"/>
  <c r="C55" i="3"/>
  <c r="D55" i="3"/>
  <c r="E55" i="3"/>
  <c r="F55" i="3"/>
  <c r="G55" i="3"/>
  <c r="H55" i="3"/>
  <c r="I55" i="3"/>
  <c r="J55" i="3"/>
  <c r="B56" i="3"/>
  <c r="C56" i="3"/>
  <c r="D56" i="3"/>
  <c r="E56" i="3"/>
  <c r="F56" i="3"/>
  <c r="G56" i="3"/>
  <c r="H56" i="3"/>
  <c r="I56" i="3"/>
  <c r="J56" i="3"/>
  <c r="B57" i="3"/>
  <c r="C57" i="3"/>
  <c r="D57" i="3"/>
  <c r="E57" i="3"/>
  <c r="F57" i="3"/>
  <c r="G57" i="3"/>
  <c r="H57" i="3"/>
  <c r="I57" i="3"/>
  <c r="J57" i="3"/>
  <c r="B58" i="3"/>
  <c r="C58" i="3"/>
  <c r="D58" i="3"/>
  <c r="E58" i="3"/>
  <c r="F58" i="3"/>
  <c r="G58" i="3"/>
  <c r="H58" i="3"/>
  <c r="I58" i="3"/>
  <c r="J58" i="3"/>
  <c r="B59" i="3"/>
  <c r="C59" i="3"/>
  <c r="D59" i="3"/>
  <c r="E59" i="3"/>
  <c r="F59" i="3"/>
  <c r="G59" i="3"/>
  <c r="H59" i="3"/>
  <c r="I59" i="3"/>
  <c r="J59" i="3"/>
  <c r="B60" i="3"/>
  <c r="C60" i="3"/>
  <c r="D60" i="3"/>
  <c r="E60" i="3"/>
  <c r="F60" i="3"/>
  <c r="G60" i="3"/>
  <c r="H60" i="3"/>
  <c r="I60" i="3"/>
  <c r="J60" i="3"/>
  <c r="B61" i="3"/>
  <c r="C61" i="3"/>
  <c r="D61" i="3"/>
  <c r="E61" i="3"/>
  <c r="F61" i="3"/>
  <c r="G61" i="3"/>
  <c r="H61" i="3"/>
  <c r="I61" i="3"/>
  <c r="J61" i="3"/>
  <c r="B62" i="3"/>
  <c r="C62" i="3"/>
  <c r="D62" i="3"/>
  <c r="E62" i="3"/>
  <c r="F62" i="3"/>
  <c r="G62" i="3"/>
  <c r="H62" i="3"/>
  <c r="I62" i="3"/>
  <c r="J62" i="3"/>
  <c r="B63" i="3"/>
  <c r="C63" i="3"/>
  <c r="D63" i="3"/>
  <c r="E63" i="3"/>
  <c r="F63" i="3"/>
  <c r="G63" i="3"/>
  <c r="H63" i="3"/>
  <c r="I63" i="3"/>
  <c r="J63" i="3"/>
  <c r="B64" i="3"/>
  <c r="C64" i="3"/>
  <c r="D64" i="3"/>
  <c r="E64" i="3"/>
  <c r="F64" i="3"/>
  <c r="G64" i="3"/>
  <c r="H64" i="3"/>
  <c r="I64" i="3"/>
  <c r="J64" i="3"/>
  <c r="B65" i="3"/>
  <c r="C65" i="3"/>
  <c r="D65" i="3"/>
  <c r="E65" i="3"/>
  <c r="F65" i="3"/>
  <c r="G65" i="3"/>
  <c r="H65" i="3"/>
  <c r="I65" i="3"/>
  <c r="J65" i="3"/>
  <c r="B66" i="3"/>
  <c r="C66" i="3"/>
  <c r="D66" i="3"/>
  <c r="E66" i="3"/>
  <c r="F66" i="3"/>
  <c r="G66" i="3"/>
  <c r="H66" i="3"/>
  <c r="I66" i="3"/>
  <c r="J66" i="3"/>
  <c r="B67" i="3"/>
  <c r="C67" i="3"/>
  <c r="D67" i="3"/>
  <c r="E67" i="3"/>
  <c r="F67" i="3"/>
  <c r="G67" i="3"/>
  <c r="H67" i="3"/>
  <c r="I67" i="3"/>
  <c r="J67" i="3"/>
  <c r="J1061" i="3" s="1"/>
  <c r="B68" i="3"/>
  <c r="C68" i="3"/>
  <c r="D68" i="3"/>
  <c r="E68" i="3"/>
  <c r="F68" i="3"/>
  <c r="G68" i="3"/>
  <c r="H68" i="3"/>
  <c r="I68" i="3"/>
  <c r="J68" i="3"/>
  <c r="B69" i="3"/>
  <c r="C69" i="3"/>
  <c r="D69" i="3"/>
  <c r="E69" i="3"/>
  <c r="F69" i="3"/>
  <c r="G69" i="3"/>
  <c r="H69" i="3"/>
  <c r="I69" i="3"/>
  <c r="J69" i="3"/>
  <c r="B70" i="3"/>
  <c r="C70" i="3"/>
  <c r="D70" i="3"/>
  <c r="E70" i="3"/>
  <c r="F70" i="3"/>
  <c r="G70" i="3"/>
  <c r="H70" i="3"/>
  <c r="I70" i="3"/>
  <c r="J70" i="3"/>
  <c r="B71" i="3"/>
  <c r="C71" i="3"/>
  <c r="D71" i="3"/>
  <c r="E71" i="3"/>
  <c r="F71" i="3"/>
  <c r="G71" i="3"/>
  <c r="H71" i="3"/>
  <c r="I71" i="3"/>
  <c r="J71" i="3"/>
  <c r="B72" i="3"/>
  <c r="C72" i="3"/>
  <c r="D72" i="3"/>
  <c r="E72" i="3"/>
  <c r="F72" i="3"/>
  <c r="G72" i="3"/>
  <c r="H72" i="3"/>
  <c r="I72" i="3"/>
  <c r="J72" i="3"/>
  <c r="B73" i="3"/>
  <c r="C73" i="3"/>
  <c r="D73" i="3"/>
  <c r="E73" i="3"/>
  <c r="F73" i="3"/>
  <c r="G73" i="3"/>
  <c r="H73" i="3"/>
  <c r="I73" i="3"/>
  <c r="J73" i="3"/>
  <c r="B74" i="3"/>
  <c r="C74" i="3"/>
  <c r="D74" i="3"/>
  <c r="E74" i="3"/>
  <c r="F74" i="3"/>
  <c r="G74" i="3"/>
  <c r="H74" i="3"/>
  <c r="I74" i="3"/>
  <c r="J74" i="3"/>
  <c r="B75" i="3"/>
  <c r="C75" i="3"/>
  <c r="D75" i="3"/>
  <c r="E75" i="3"/>
  <c r="F75" i="3"/>
  <c r="G75" i="3"/>
  <c r="H75" i="3"/>
  <c r="I75" i="3"/>
  <c r="J75" i="3"/>
  <c r="B76" i="3"/>
  <c r="C76" i="3"/>
  <c r="D76" i="3"/>
  <c r="E76" i="3"/>
  <c r="F76" i="3"/>
  <c r="G76" i="3"/>
  <c r="H76" i="3"/>
  <c r="I76" i="3"/>
  <c r="J76" i="3"/>
  <c r="B77" i="3"/>
  <c r="C77" i="3"/>
  <c r="D77" i="3"/>
  <c r="E77" i="3"/>
  <c r="F77" i="3"/>
  <c r="G77" i="3"/>
  <c r="H77" i="3"/>
  <c r="I77" i="3"/>
  <c r="J77" i="3"/>
  <c r="B78" i="3"/>
  <c r="C78" i="3"/>
  <c r="D78" i="3"/>
  <c r="E78" i="3"/>
  <c r="F78" i="3"/>
  <c r="G78" i="3"/>
  <c r="H78" i="3"/>
  <c r="I78" i="3"/>
  <c r="J78" i="3"/>
  <c r="B79" i="3"/>
  <c r="C79" i="3"/>
  <c r="D79" i="3"/>
  <c r="E79" i="3"/>
  <c r="F79" i="3"/>
  <c r="G79" i="3"/>
  <c r="H79" i="3"/>
  <c r="I79" i="3"/>
  <c r="J79" i="3"/>
  <c r="B80" i="3"/>
  <c r="C80" i="3"/>
  <c r="D80" i="3"/>
  <c r="E80" i="3"/>
  <c r="F80" i="3"/>
  <c r="G80" i="3"/>
  <c r="H80" i="3"/>
  <c r="I80" i="3"/>
  <c r="J80" i="3"/>
  <c r="B81" i="3"/>
  <c r="C81" i="3"/>
  <c r="D81" i="3"/>
  <c r="E81" i="3"/>
  <c r="F81" i="3"/>
  <c r="G81" i="3"/>
  <c r="H81" i="3"/>
  <c r="I81" i="3"/>
  <c r="J81" i="3"/>
  <c r="B82" i="3"/>
  <c r="C82" i="3"/>
  <c r="D82" i="3"/>
  <c r="E82" i="3"/>
  <c r="F82" i="3"/>
  <c r="G82" i="3"/>
  <c r="H82" i="3"/>
  <c r="I82" i="3"/>
  <c r="J82" i="3"/>
  <c r="B83" i="3"/>
  <c r="C83" i="3"/>
  <c r="D83" i="3"/>
  <c r="E83" i="3"/>
  <c r="F83" i="3"/>
  <c r="G83" i="3"/>
  <c r="H83" i="3"/>
  <c r="I83" i="3"/>
  <c r="J83" i="3"/>
  <c r="B84" i="3"/>
  <c r="C84" i="3"/>
  <c r="D84" i="3"/>
  <c r="E84" i="3"/>
  <c r="F84" i="3"/>
  <c r="G84" i="3"/>
  <c r="H84" i="3"/>
  <c r="I84" i="3"/>
  <c r="J84" i="3"/>
  <c r="B85" i="3"/>
  <c r="C85" i="3"/>
  <c r="D85" i="3"/>
  <c r="E85" i="3"/>
  <c r="F85" i="3"/>
  <c r="G85" i="3"/>
  <c r="H85" i="3"/>
  <c r="I85" i="3"/>
  <c r="J85" i="3"/>
  <c r="J1063" i="3" s="1"/>
  <c r="B86" i="3"/>
  <c r="C86" i="3"/>
  <c r="D86" i="3"/>
  <c r="E86" i="3"/>
  <c r="F86" i="3"/>
  <c r="G86" i="3"/>
  <c r="H86" i="3"/>
  <c r="I86" i="3"/>
  <c r="J86" i="3"/>
  <c r="B87" i="3"/>
  <c r="C87" i="3"/>
  <c r="D87" i="3"/>
  <c r="E87" i="3"/>
  <c r="F87" i="3"/>
  <c r="G87" i="3"/>
  <c r="H87" i="3"/>
  <c r="I87" i="3"/>
  <c r="J87" i="3"/>
  <c r="B88" i="3"/>
  <c r="C88" i="3"/>
  <c r="D88" i="3"/>
  <c r="E88" i="3"/>
  <c r="F88" i="3"/>
  <c r="G88" i="3"/>
  <c r="H88" i="3"/>
  <c r="I88" i="3"/>
  <c r="J88" i="3"/>
  <c r="B89" i="3"/>
  <c r="C89" i="3"/>
  <c r="D89" i="3"/>
  <c r="E89" i="3"/>
  <c r="F89" i="3"/>
  <c r="G89" i="3"/>
  <c r="H89" i="3"/>
  <c r="I89" i="3"/>
  <c r="J89" i="3"/>
  <c r="B90" i="3"/>
  <c r="C90" i="3"/>
  <c r="D90" i="3"/>
  <c r="E90" i="3"/>
  <c r="F90" i="3"/>
  <c r="G90" i="3"/>
  <c r="H90" i="3"/>
  <c r="I90" i="3"/>
  <c r="J90" i="3"/>
  <c r="B91" i="3"/>
  <c r="C91" i="3"/>
  <c r="D91" i="3"/>
  <c r="E91" i="3"/>
  <c r="F91" i="3"/>
  <c r="G91" i="3"/>
  <c r="H91" i="3"/>
  <c r="I91" i="3"/>
  <c r="J91" i="3"/>
  <c r="B92" i="3"/>
  <c r="C92" i="3"/>
  <c r="D92" i="3"/>
  <c r="E92" i="3"/>
  <c r="F92" i="3"/>
  <c r="G92" i="3"/>
  <c r="H92" i="3"/>
  <c r="I92" i="3"/>
  <c r="J92" i="3"/>
  <c r="B93" i="3"/>
  <c r="C93" i="3"/>
  <c r="D93" i="3"/>
  <c r="E93" i="3"/>
  <c r="F93" i="3"/>
  <c r="G93" i="3"/>
  <c r="H93" i="3"/>
  <c r="I93" i="3"/>
  <c r="J93" i="3"/>
  <c r="B94" i="3"/>
  <c r="C94" i="3"/>
  <c r="D94" i="3"/>
  <c r="E94" i="3"/>
  <c r="F94" i="3"/>
  <c r="G94" i="3"/>
  <c r="H94" i="3"/>
  <c r="I94" i="3"/>
  <c r="J94" i="3"/>
  <c r="B95" i="3"/>
  <c r="C95" i="3"/>
  <c r="D95" i="3"/>
  <c r="E95" i="3"/>
  <c r="F95" i="3"/>
  <c r="G95" i="3"/>
  <c r="H95" i="3"/>
  <c r="I95" i="3"/>
  <c r="J95" i="3"/>
  <c r="B96" i="3"/>
  <c r="C96" i="3"/>
  <c r="D96" i="3"/>
  <c r="E96" i="3"/>
  <c r="F96" i="3"/>
  <c r="G96" i="3"/>
  <c r="H96" i="3"/>
  <c r="I96" i="3"/>
  <c r="J96" i="3"/>
  <c r="B97" i="3"/>
  <c r="C97" i="3"/>
  <c r="D97" i="3"/>
  <c r="E97" i="3"/>
  <c r="F97" i="3"/>
  <c r="G97" i="3"/>
  <c r="H97" i="3"/>
  <c r="I97" i="3"/>
  <c r="J97" i="3"/>
  <c r="B98" i="3"/>
  <c r="C98" i="3"/>
  <c r="D98" i="3"/>
  <c r="E98" i="3"/>
  <c r="F98" i="3"/>
  <c r="G98" i="3"/>
  <c r="H98" i="3"/>
  <c r="I98" i="3"/>
  <c r="J98" i="3"/>
  <c r="B99" i="3"/>
  <c r="C99" i="3"/>
  <c r="D99" i="3"/>
  <c r="E99" i="3"/>
  <c r="F99" i="3"/>
  <c r="G99" i="3"/>
  <c r="H99" i="3"/>
  <c r="I99" i="3"/>
  <c r="J99" i="3"/>
  <c r="B100" i="3"/>
  <c r="C100" i="3"/>
  <c r="D100" i="3"/>
  <c r="E100" i="3"/>
  <c r="F100" i="3"/>
  <c r="G100" i="3"/>
  <c r="H100" i="3"/>
  <c r="I100" i="3"/>
  <c r="J100" i="3"/>
  <c r="B101" i="3"/>
  <c r="C101" i="3"/>
  <c r="D101" i="3"/>
  <c r="E101" i="3"/>
  <c r="F101" i="3"/>
  <c r="G101" i="3"/>
  <c r="H101" i="3"/>
  <c r="I101" i="3"/>
  <c r="J101" i="3"/>
  <c r="B102" i="3"/>
  <c r="C102" i="3"/>
  <c r="D102" i="3"/>
  <c r="E102" i="3"/>
  <c r="F102" i="3"/>
  <c r="G102" i="3"/>
  <c r="H102" i="3"/>
  <c r="I102" i="3"/>
  <c r="J102" i="3"/>
  <c r="B103" i="3"/>
  <c r="C103" i="3"/>
  <c r="D103" i="3"/>
  <c r="E103" i="3"/>
  <c r="F103" i="3"/>
  <c r="G103" i="3"/>
  <c r="H103" i="3"/>
  <c r="I103" i="3"/>
  <c r="J103" i="3"/>
  <c r="B104" i="3"/>
  <c r="C104" i="3"/>
  <c r="D104" i="3"/>
  <c r="E104" i="3"/>
  <c r="F104" i="3"/>
  <c r="G104" i="3"/>
  <c r="H104" i="3"/>
  <c r="I104" i="3"/>
  <c r="J104" i="3"/>
  <c r="B105" i="3"/>
  <c r="C105" i="3"/>
  <c r="D105" i="3"/>
  <c r="E105" i="3"/>
  <c r="F105" i="3"/>
  <c r="G105" i="3"/>
  <c r="H105" i="3"/>
  <c r="I105" i="3"/>
  <c r="J105" i="3"/>
  <c r="B106" i="3"/>
  <c r="C106" i="3"/>
  <c r="D106" i="3"/>
  <c r="E106" i="3"/>
  <c r="F106" i="3"/>
  <c r="G106" i="3"/>
  <c r="H106" i="3"/>
  <c r="I106" i="3"/>
  <c r="J106" i="3"/>
  <c r="B107" i="3"/>
  <c r="C107" i="3"/>
  <c r="D107" i="3"/>
  <c r="E107" i="3"/>
  <c r="F107" i="3"/>
  <c r="G107" i="3"/>
  <c r="H107" i="3"/>
  <c r="I107" i="3"/>
  <c r="J107" i="3"/>
  <c r="B108" i="3"/>
  <c r="C108" i="3"/>
  <c r="D108" i="3"/>
  <c r="E108" i="3"/>
  <c r="F108" i="3"/>
  <c r="G108" i="3"/>
  <c r="H108" i="3"/>
  <c r="I108" i="3"/>
  <c r="J108" i="3"/>
  <c r="B109" i="3"/>
  <c r="C109" i="3"/>
  <c r="D109" i="3"/>
  <c r="E109" i="3"/>
  <c r="F109" i="3"/>
  <c r="G109" i="3"/>
  <c r="H109" i="3"/>
  <c r="I109" i="3"/>
  <c r="J109" i="3"/>
  <c r="B110" i="3"/>
  <c r="C110" i="3"/>
  <c r="D110" i="3"/>
  <c r="E110" i="3"/>
  <c r="F110" i="3"/>
  <c r="G110" i="3"/>
  <c r="H110" i="3"/>
  <c r="I110" i="3"/>
  <c r="J110" i="3"/>
  <c r="B111" i="3"/>
  <c r="C111" i="3"/>
  <c r="D111" i="3"/>
  <c r="E111" i="3"/>
  <c r="F111" i="3"/>
  <c r="G111" i="3"/>
  <c r="H111" i="3"/>
  <c r="I111" i="3"/>
  <c r="J111" i="3"/>
  <c r="B112" i="3"/>
  <c r="C112" i="3"/>
  <c r="D112" i="3"/>
  <c r="E112" i="3"/>
  <c r="F112" i="3"/>
  <c r="G112" i="3"/>
  <c r="H112" i="3"/>
  <c r="I112" i="3"/>
  <c r="J112" i="3"/>
  <c r="B113" i="3"/>
  <c r="C113" i="3"/>
  <c r="D113" i="3"/>
  <c r="E113" i="3"/>
  <c r="F113" i="3"/>
  <c r="G113" i="3"/>
  <c r="H113" i="3"/>
  <c r="I113" i="3"/>
  <c r="J113" i="3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J1068" i="3" s="1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J1071" i="3" s="1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J1077" i="3" s="1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J1083" i="3" s="1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J1091" i="3" s="1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J1098" i="3" s="1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J1099" i="3" s="1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B1003" i="3"/>
  <c r="C1003" i="3"/>
  <c r="D1003" i="3"/>
  <c r="E1003" i="3"/>
  <c r="F1003" i="3"/>
  <c r="G1003" i="3"/>
  <c r="H1003" i="3"/>
  <c r="I1003" i="3"/>
  <c r="J1003" i="3"/>
  <c r="B1004" i="3"/>
  <c r="C1004" i="3"/>
  <c r="D1004" i="3"/>
  <c r="E1004" i="3"/>
  <c r="F1004" i="3"/>
  <c r="G1004" i="3"/>
  <c r="H1004" i="3"/>
  <c r="I1004" i="3"/>
  <c r="J1004" i="3"/>
  <c r="B1005" i="3"/>
  <c r="C1005" i="3"/>
  <c r="D1005" i="3"/>
  <c r="E1005" i="3"/>
  <c r="F1005" i="3"/>
  <c r="G1005" i="3"/>
  <c r="H1005" i="3"/>
  <c r="I1005" i="3"/>
  <c r="J1005" i="3"/>
  <c r="B1006" i="3"/>
  <c r="C1006" i="3"/>
  <c r="D1006" i="3"/>
  <c r="E1006" i="3"/>
  <c r="F1006" i="3"/>
  <c r="G1006" i="3"/>
  <c r="H1006" i="3"/>
  <c r="I1006" i="3"/>
  <c r="J1006" i="3"/>
  <c r="B1007" i="3"/>
  <c r="C1007" i="3"/>
  <c r="D1007" i="3"/>
  <c r="E1007" i="3"/>
  <c r="F1007" i="3"/>
  <c r="G1007" i="3"/>
  <c r="H1007" i="3"/>
  <c r="I1007" i="3"/>
  <c r="J1007" i="3"/>
  <c r="B1008" i="3"/>
  <c r="C1008" i="3"/>
  <c r="D1008" i="3"/>
  <c r="E1008" i="3"/>
  <c r="F1008" i="3"/>
  <c r="G1008" i="3"/>
  <c r="H1008" i="3"/>
  <c r="I1008" i="3"/>
  <c r="J1008" i="3"/>
  <c r="B1009" i="3"/>
  <c r="C1009" i="3"/>
  <c r="D1009" i="3"/>
  <c r="E1009" i="3"/>
  <c r="F1009" i="3"/>
  <c r="G1009" i="3"/>
  <c r="H1009" i="3"/>
  <c r="I1009" i="3"/>
  <c r="J1009" i="3"/>
  <c r="B1010" i="3"/>
  <c r="C1010" i="3"/>
  <c r="D1010" i="3"/>
  <c r="E1010" i="3"/>
  <c r="F1010" i="3"/>
  <c r="G1010" i="3"/>
  <c r="H1010" i="3"/>
  <c r="I1010" i="3"/>
  <c r="J1010" i="3"/>
  <c r="B1011" i="3"/>
  <c r="C1011" i="3"/>
  <c r="D1011" i="3"/>
  <c r="E1011" i="3"/>
  <c r="F1011" i="3"/>
  <c r="G1011" i="3"/>
  <c r="H1011" i="3"/>
  <c r="I1011" i="3"/>
  <c r="J1011" i="3"/>
  <c r="B1012" i="3"/>
  <c r="C1012" i="3"/>
  <c r="D1012" i="3"/>
  <c r="E1012" i="3"/>
  <c r="F1012" i="3"/>
  <c r="G1012" i="3"/>
  <c r="H1012" i="3"/>
  <c r="I1012" i="3"/>
  <c r="J1012" i="3"/>
  <c r="B1013" i="3"/>
  <c r="C1013" i="3"/>
  <c r="D1013" i="3"/>
  <c r="E1013" i="3"/>
  <c r="F1013" i="3"/>
  <c r="G1013" i="3"/>
  <c r="H1013" i="3"/>
  <c r="I1013" i="3"/>
  <c r="J1013" i="3"/>
  <c r="B1014" i="3"/>
  <c r="C1014" i="3"/>
  <c r="D1014" i="3"/>
  <c r="E1014" i="3"/>
  <c r="F1014" i="3"/>
  <c r="G1014" i="3"/>
  <c r="H1014" i="3"/>
  <c r="I1014" i="3"/>
  <c r="J1014" i="3"/>
  <c r="B1015" i="3"/>
  <c r="C1015" i="3"/>
  <c r="D1015" i="3"/>
  <c r="E1015" i="3"/>
  <c r="F1015" i="3"/>
  <c r="G1015" i="3"/>
  <c r="H1015" i="3"/>
  <c r="I1015" i="3"/>
  <c r="J1015" i="3"/>
  <c r="B1016" i="3"/>
  <c r="C1016" i="3"/>
  <c r="D1016" i="3"/>
  <c r="E1016" i="3"/>
  <c r="F1016" i="3"/>
  <c r="G1016" i="3"/>
  <c r="H1016" i="3"/>
  <c r="I1016" i="3"/>
  <c r="J1016" i="3"/>
  <c r="B1017" i="3"/>
  <c r="C1017" i="3"/>
  <c r="D1017" i="3"/>
  <c r="E1017" i="3"/>
  <c r="F1017" i="3"/>
  <c r="G1017" i="3"/>
  <c r="H1017" i="3"/>
  <c r="I1017" i="3"/>
  <c r="J1017" i="3"/>
  <c r="B1018" i="3"/>
  <c r="C1018" i="3"/>
  <c r="D1018" i="3"/>
  <c r="E1018" i="3"/>
  <c r="F1018" i="3"/>
  <c r="G1018" i="3"/>
  <c r="H1018" i="3"/>
  <c r="I1018" i="3"/>
  <c r="J1018" i="3"/>
  <c r="B1019" i="3"/>
  <c r="C1019" i="3"/>
  <c r="D1019" i="3"/>
  <c r="E1019" i="3"/>
  <c r="F1019" i="3"/>
  <c r="G1019" i="3"/>
  <c r="H1019" i="3"/>
  <c r="I1019" i="3"/>
  <c r="J1019" i="3"/>
  <c r="B1020" i="3"/>
  <c r="C1020" i="3"/>
  <c r="D1020" i="3"/>
  <c r="E1020" i="3"/>
  <c r="F1020" i="3"/>
  <c r="G1020" i="3"/>
  <c r="H1020" i="3"/>
  <c r="I1020" i="3"/>
  <c r="J1020" i="3"/>
  <c r="B1021" i="3"/>
  <c r="C1021" i="3"/>
  <c r="D1021" i="3"/>
  <c r="E1021" i="3"/>
  <c r="F1021" i="3"/>
  <c r="G1021" i="3"/>
  <c r="H1021" i="3"/>
  <c r="I1021" i="3"/>
  <c r="J1021" i="3"/>
  <c r="B1022" i="3"/>
  <c r="C1022" i="3"/>
  <c r="D1022" i="3"/>
  <c r="E1022" i="3"/>
  <c r="F1022" i="3"/>
  <c r="G1022" i="3"/>
  <c r="H1022" i="3"/>
  <c r="I1022" i="3"/>
  <c r="J1022" i="3"/>
  <c r="B1023" i="3"/>
  <c r="C1023" i="3"/>
  <c r="D1023" i="3"/>
  <c r="E1023" i="3"/>
  <c r="F1023" i="3"/>
  <c r="G1023" i="3"/>
  <c r="H1023" i="3"/>
  <c r="I1023" i="3"/>
  <c r="J1023" i="3"/>
  <c r="B1024" i="3"/>
  <c r="C1024" i="3"/>
  <c r="D1024" i="3"/>
  <c r="E1024" i="3"/>
  <c r="F1024" i="3"/>
  <c r="G1024" i="3"/>
  <c r="H1024" i="3"/>
  <c r="I1024" i="3"/>
  <c r="J1024" i="3"/>
  <c r="B1025" i="3"/>
  <c r="C1025" i="3"/>
  <c r="D1025" i="3"/>
  <c r="E1025" i="3"/>
  <c r="F1025" i="3"/>
  <c r="G1025" i="3"/>
  <c r="H1025" i="3"/>
  <c r="I1025" i="3"/>
  <c r="J1025" i="3"/>
  <c r="B1026" i="3"/>
  <c r="C1026" i="3"/>
  <c r="D1026" i="3"/>
  <c r="E1026" i="3"/>
  <c r="F1026" i="3"/>
  <c r="G1026" i="3"/>
  <c r="H1026" i="3"/>
  <c r="I1026" i="3"/>
  <c r="J1026" i="3"/>
  <c r="B1027" i="3"/>
  <c r="C1027" i="3"/>
  <c r="D1027" i="3"/>
  <c r="E1027" i="3"/>
  <c r="F1027" i="3"/>
  <c r="G1027" i="3"/>
  <c r="H1027" i="3"/>
  <c r="I1027" i="3"/>
  <c r="J1027" i="3"/>
  <c r="B1028" i="3"/>
  <c r="C1028" i="3"/>
  <c r="D1028" i="3"/>
  <c r="E1028" i="3"/>
  <c r="F1028" i="3"/>
  <c r="G1028" i="3"/>
  <c r="H1028" i="3"/>
  <c r="I1028" i="3"/>
  <c r="J1028" i="3"/>
  <c r="B1029" i="3"/>
  <c r="C1029" i="3"/>
  <c r="D1029" i="3"/>
  <c r="E1029" i="3"/>
  <c r="F1029" i="3"/>
  <c r="G1029" i="3"/>
  <c r="H1029" i="3"/>
  <c r="I1029" i="3"/>
  <c r="J1029" i="3"/>
  <c r="B1030" i="3"/>
  <c r="C1030" i="3"/>
  <c r="D1030" i="3"/>
  <c r="E1030" i="3"/>
  <c r="F1030" i="3"/>
  <c r="G1030" i="3"/>
  <c r="H1030" i="3"/>
  <c r="I1030" i="3"/>
  <c r="J1030" i="3"/>
  <c r="B1031" i="3"/>
  <c r="C1031" i="3"/>
  <c r="D1031" i="3"/>
  <c r="E1031" i="3"/>
  <c r="F1031" i="3"/>
  <c r="G1031" i="3"/>
  <c r="H1031" i="3"/>
  <c r="I1031" i="3"/>
  <c r="J1031" i="3"/>
  <c r="B1032" i="3"/>
  <c r="C1032" i="3"/>
  <c r="D1032" i="3"/>
  <c r="E1032" i="3"/>
  <c r="F1032" i="3"/>
  <c r="G1032" i="3"/>
  <c r="H1032" i="3"/>
  <c r="I1032" i="3"/>
  <c r="J1032" i="3"/>
  <c r="B1033" i="3"/>
  <c r="C1033" i="3"/>
  <c r="D1033" i="3"/>
  <c r="E1033" i="3"/>
  <c r="F1033" i="3"/>
  <c r="G1033" i="3"/>
  <c r="H1033" i="3"/>
  <c r="I1033" i="3"/>
  <c r="J1033" i="3"/>
  <c r="B1034" i="3"/>
  <c r="C1034" i="3"/>
  <c r="D1034" i="3"/>
  <c r="E1034" i="3"/>
  <c r="F1034" i="3"/>
  <c r="G1034" i="3"/>
  <c r="H1034" i="3"/>
  <c r="I1034" i="3"/>
  <c r="J1034" i="3"/>
  <c r="B1035" i="3"/>
  <c r="C1035" i="3"/>
  <c r="D1035" i="3"/>
  <c r="E1035" i="3"/>
  <c r="F1035" i="3"/>
  <c r="G1035" i="3"/>
  <c r="H1035" i="3"/>
  <c r="I1035" i="3"/>
  <c r="J1035" i="3"/>
  <c r="B1036" i="3"/>
  <c r="C1036" i="3"/>
  <c r="D1036" i="3"/>
  <c r="E1036" i="3"/>
  <c r="F1036" i="3"/>
  <c r="G1036" i="3"/>
  <c r="H1036" i="3"/>
  <c r="I1036" i="3"/>
  <c r="J1036" i="3"/>
  <c r="B1037" i="3"/>
  <c r="C1037" i="3"/>
  <c r="D1037" i="3"/>
  <c r="E1037" i="3"/>
  <c r="F1037" i="3"/>
  <c r="G1037" i="3"/>
  <c r="H1037" i="3"/>
  <c r="I1037" i="3"/>
  <c r="J1037" i="3"/>
  <c r="B1038" i="3"/>
  <c r="C1038" i="3"/>
  <c r="D1038" i="3"/>
  <c r="E1038" i="3"/>
  <c r="F1038" i="3"/>
  <c r="G1038" i="3"/>
  <c r="H1038" i="3"/>
  <c r="I1038" i="3"/>
  <c r="J1038" i="3"/>
  <c r="B1039" i="3"/>
  <c r="C1039" i="3"/>
  <c r="D1039" i="3"/>
  <c r="E1039" i="3"/>
  <c r="F1039" i="3"/>
  <c r="G1039" i="3"/>
  <c r="H1039" i="3"/>
  <c r="I1039" i="3"/>
  <c r="J1039" i="3"/>
  <c r="B1040" i="3"/>
  <c r="C1040" i="3"/>
  <c r="D1040" i="3"/>
  <c r="E1040" i="3"/>
  <c r="F1040" i="3"/>
  <c r="G1040" i="3"/>
  <c r="H1040" i="3"/>
  <c r="I1040" i="3"/>
  <c r="J1040" i="3"/>
  <c r="B1041" i="3"/>
  <c r="C1041" i="3"/>
  <c r="D1041" i="3"/>
  <c r="E1041" i="3"/>
  <c r="F1041" i="3"/>
  <c r="G1041" i="3"/>
  <c r="H1041" i="3"/>
  <c r="I1041" i="3"/>
  <c r="J1041" i="3"/>
  <c r="B1042" i="3"/>
  <c r="C1042" i="3"/>
  <c r="D1042" i="3"/>
  <c r="E1042" i="3"/>
  <c r="F1042" i="3"/>
  <c r="G1042" i="3"/>
  <c r="H1042" i="3"/>
  <c r="I1042" i="3"/>
  <c r="J1042" i="3"/>
  <c r="B1043" i="3"/>
  <c r="C1043" i="3"/>
  <c r="D1043" i="3"/>
  <c r="E1043" i="3"/>
  <c r="F1043" i="3"/>
  <c r="G1043" i="3"/>
  <c r="H1043" i="3"/>
  <c r="I1043" i="3"/>
  <c r="J1043" i="3"/>
  <c r="B1044" i="3"/>
  <c r="C1044" i="3"/>
  <c r="D1044" i="3"/>
  <c r="E1044" i="3"/>
  <c r="F1044" i="3"/>
  <c r="G1044" i="3"/>
  <c r="H1044" i="3"/>
  <c r="I1044" i="3"/>
  <c r="J1044" i="3"/>
  <c r="B1045" i="3"/>
  <c r="C1045" i="3"/>
  <c r="D1045" i="3"/>
  <c r="E1045" i="3"/>
  <c r="F1045" i="3"/>
  <c r="G1045" i="3"/>
  <c r="H1045" i="3"/>
  <c r="I1045" i="3"/>
  <c r="J1045" i="3"/>
  <c r="B1046" i="3"/>
  <c r="C1046" i="3"/>
  <c r="D1046" i="3"/>
  <c r="E1046" i="3"/>
  <c r="F1046" i="3"/>
  <c r="G1046" i="3"/>
  <c r="H1046" i="3"/>
  <c r="I1046" i="3"/>
  <c r="J1046" i="3"/>
  <c r="B1047" i="3"/>
  <c r="C1047" i="3"/>
  <c r="D1047" i="3"/>
  <c r="E1047" i="3"/>
  <c r="F1047" i="3"/>
  <c r="G1047" i="3"/>
  <c r="H1047" i="3"/>
  <c r="I1047" i="3"/>
  <c r="J1047" i="3"/>
  <c r="B1048" i="3"/>
  <c r="C1048" i="3"/>
  <c r="D1048" i="3"/>
  <c r="E1048" i="3"/>
  <c r="F1048" i="3"/>
  <c r="G1048" i="3"/>
  <c r="H1048" i="3"/>
  <c r="I1048" i="3"/>
  <c r="J1048" i="3"/>
  <c r="B1049" i="3"/>
  <c r="C1049" i="3"/>
  <c r="D1049" i="3"/>
  <c r="E1049" i="3"/>
  <c r="F1049" i="3"/>
  <c r="G1049" i="3"/>
  <c r="H1049" i="3"/>
  <c r="I1049" i="3"/>
  <c r="J1049" i="3"/>
  <c r="B1050" i="3"/>
  <c r="C1050" i="3"/>
  <c r="D1050" i="3"/>
  <c r="E1050" i="3"/>
  <c r="F1050" i="3"/>
  <c r="G1050" i="3"/>
  <c r="H1050" i="3"/>
  <c r="I1050" i="3"/>
  <c r="J1050" i="3"/>
  <c r="B1051" i="3"/>
  <c r="C1051" i="3"/>
  <c r="D1051" i="3"/>
  <c r="E1051" i="3"/>
  <c r="F1051" i="3"/>
  <c r="G1051" i="3"/>
  <c r="H1051" i="3"/>
  <c r="I1051" i="3"/>
  <c r="J1051" i="3"/>
  <c r="B1052" i="3"/>
  <c r="C1052" i="3"/>
  <c r="D1052" i="3"/>
  <c r="E1052" i="3"/>
  <c r="F1052" i="3"/>
  <c r="G1052" i="3"/>
  <c r="H1052" i="3"/>
  <c r="I1052" i="3"/>
  <c r="J1052" i="3"/>
  <c r="B1053" i="3"/>
  <c r="C1053" i="3"/>
  <c r="D1053" i="3"/>
  <c r="E1053" i="3"/>
  <c r="F1053" i="3"/>
  <c r="G1053" i="3"/>
  <c r="H1053" i="3"/>
  <c r="I1053" i="3"/>
  <c r="J1053" i="3"/>
  <c r="B1054" i="3"/>
  <c r="C1054" i="3"/>
  <c r="D1054" i="3"/>
  <c r="E1054" i="3"/>
  <c r="F1054" i="3"/>
  <c r="G1054" i="3"/>
  <c r="H1054" i="3"/>
  <c r="I1054" i="3"/>
  <c r="J1054" i="3"/>
  <c r="B1055" i="3"/>
  <c r="C1055" i="3"/>
  <c r="D1055" i="3"/>
  <c r="E1055" i="3"/>
  <c r="F1055" i="3"/>
  <c r="G1055" i="3"/>
  <c r="H1055" i="3"/>
  <c r="I1055" i="3"/>
  <c r="J1055" i="3"/>
  <c r="G1058" i="3"/>
  <c r="C1062" i="3"/>
  <c r="H1065" i="3"/>
  <c r="D1069" i="3"/>
  <c r="I1072" i="3"/>
  <c r="E1076" i="3"/>
  <c r="J1079" i="3"/>
  <c r="A1081" i="3"/>
  <c r="A1082" i="3"/>
  <c r="E1082" i="3"/>
  <c r="A1083" i="3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G1085" i="3"/>
  <c r="G1088" i="3"/>
  <c r="J1090" i="3"/>
  <c r="F1093" i="3"/>
  <c r="I1095" i="3"/>
  <c r="E1098" i="3"/>
  <c r="E1101" i="3"/>
  <c r="H1103" i="3"/>
  <c r="D9" i="2"/>
  <c r="F9" i="2"/>
  <c r="B16" i="2"/>
  <c r="C16" i="2"/>
  <c r="D16" i="2"/>
  <c r="E16" i="2"/>
  <c r="F16" i="2"/>
  <c r="G16" i="2"/>
  <c r="H16" i="2"/>
  <c r="I16" i="2"/>
  <c r="J16" i="2"/>
  <c r="K16" i="2"/>
  <c r="B17" i="2"/>
  <c r="C17" i="2"/>
  <c r="D17" i="2"/>
  <c r="E17" i="2"/>
  <c r="F17" i="2"/>
  <c r="G17" i="2"/>
  <c r="H17" i="2"/>
  <c r="I17" i="2"/>
  <c r="J17" i="2"/>
  <c r="K17" i="2"/>
  <c r="B18" i="2"/>
  <c r="C18" i="2"/>
  <c r="D18" i="2"/>
  <c r="E18" i="2"/>
  <c r="F18" i="2"/>
  <c r="G18" i="2"/>
  <c r="H18" i="2"/>
  <c r="I18" i="2"/>
  <c r="J18" i="2"/>
  <c r="K18" i="2"/>
  <c r="B19" i="2"/>
  <c r="C19" i="2"/>
  <c r="D19" i="2"/>
  <c r="E19" i="2"/>
  <c r="F19" i="2"/>
  <c r="G19" i="2"/>
  <c r="H19" i="2"/>
  <c r="I19" i="2"/>
  <c r="J19" i="2"/>
  <c r="K19" i="2"/>
  <c r="B20" i="2"/>
  <c r="C20" i="2"/>
  <c r="D20" i="2"/>
  <c r="E20" i="2"/>
  <c r="F20" i="2"/>
  <c r="G20" i="2"/>
  <c r="H20" i="2"/>
  <c r="I20" i="2"/>
  <c r="J20" i="2"/>
  <c r="K20" i="2"/>
  <c r="B21" i="2"/>
  <c r="C21" i="2"/>
  <c r="D21" i="2"/>
  <c r="E21" i="2"/>
  <c r="F21" i="2"/>
  <c r="G21" i="2"/>
  <c r="H21" i="2"/>
  <c r="I21" i="2"/>
  <c r="J21" i="2"/>
  <c r="K21" i="2"/>
  <c r="B22" i="2"/>
  <c r="C22" i="2"/>
  <c r="D22" i="2"/>
  <c r="E22" i="2"/>
  <c r="F22" i="2"/>
  <c r="G22" i="2"/>
  <c r="H22" i="2"/>
  <c r="I22" i="2"/>
  <c r="J22" i="2"/>
  <c r="K22" i="2"/>
  <c r="B23" i="2"/>
  <c r="C23" i="2"/>
  <c r="D23" i="2"/>
  <c r="E23" i="2"/>
  <c r="F23" i="2"/>
  <c r="G23" i="2"/>
  <c r="H23" i="2"/>
  <c r="I23" i="2"/>
  <c r="J23" i="2"/>
  <c r="K23" i="2"/>
  <c r="B24" i="2"/>
  <c r="C24" i="2"/>
  <c r="D24" i="2"/>
  <c r="E24" i="2"/>
  <c r="F24" i="2"/>
  <c r="G24" i="2"/>
  <c r="H24" i="2"/>
  <c r="I24" i="2"/>
  <c r="J24" i="2"/>
  <c r="K24" i="2"/>
  <c r="B25" i="2"/>
  <c r="C25" i="2"/>
  <c r="D25" i="2"/>
  <c r="E25" i="2"/>
  <c r="F25" i="2"/>
  <c r="G25" i="2"/>
  <c r="H25" i="2"/>
  <c r="I25" i="2"/>
  <c r="J25" i="2"/>
  <c r="K25" i="2"/>
  <c r="B26" i="2"/>
  <c r="C26" i="2"/>
  <c r="D26" i="2"/>
  <c r="E26" i="2"/>
  <c r="F26" i="2"/>
  <c r="G26" i="2"/>
  <c r="H26" i="2"/>
  <c r="I26" i="2"/>
  <c r="J26" i="2"/>
  <c r="K26" i="2"/>
  <c r="B27" i="2"/>
  <c r="C27" i="2"/>
  <c r="D27" i="2"/>
  <c r="E27" i="2"/>
  <c r="F27" i="2"/>
  <c r="G27" i="2"/>
  <c r="H27" i="2"/>
  <c r="I27" i="2"/>
  <c r="J27" i="2"/>
  <c r="K27" i="2"/>
  <c r="B28" i="2"/>
  <c r="C28" i="2"/>
  <c r="D28" i="2"/>
  <c r="E28" i="2"/>
  <c r="F28" i="2"/>
  <c r="G28" i="2"/>
  <c r="H28" i="2"/>
  <c r="I28" i="2"/>
  <c r="J28" i="2"/>
  <c r="K28" i="2"/>
  <c r="B29" i="2"/>
  <c r="C29" i="2"/>
  <c r="D29" i="2"/>
  <c r="E29" i="2"/>
  <c r="F29" i="2"/>
  <c r="G29" i="2"/>
  <c r="H29" i="2"/>
  <c r="I29" i="2"/>
  <c r="J29" i="2"/>
  <c r="K29" i="2"/>
  <c r="B30" i="2"/>
  <c r="C30" i="2"/>
  <c r="D30" i="2"/>
  <c r="E30" i="2"/>
  <c r="F30" i="2"/>
  <c r="G30" i="2"/>
  <c r="H30" i="2"/>
  <c r="I30" i="2"/>
  <c r="J30" i="2"/>
  <c r="K30" i="2"/>
  <c r="B31" i="2"/>
  <c r="C31" i="2"/>
  <c r="D31" i="2"/>
  <c r="E31" i="2"/>
  <c r="F31" i="2"/>
  <c r="G31" i="2"/>
  <c r="H31" i="2"/>
  <c r="I31" i="2"/>
  <c r="J31" i="2"/>
  <c r="K31" i="2"/>
  <c r="B32" i="2"/>
  <c r="C32" i="2"/>
  <c r="D32" i="2"/>
  <c r="E32" i="2"/>
  <c r="F32" i="2"/>
  <c r="G32" i="2"/>
  <c r="H32" i="2"/>
  <c r="I32" i="2"/>
  <c r="J32" i="2"/>
  <c r="K32" i="2"/>
  <c r="B33" i="2"/>
  <c r="C33" i="2"/>
  <c r="D33" i="2"/>
  <c r="E33" i="2"/>
  <c r="F33" i="2"/>
  <c r="G33" i="2"/>
  <c r="H33" i="2"/>
  <c r="I33" i="2"/>
  <c r="J33" i="2"/>
  <c r="K33" i="2"/>
  <c r="B34" i="2"/>
  <c r="C34" i="2"/>
  <c r="D34" i="2"/>
  <c r="E34" i="2"/>
  <c r="F34" i="2"/>
  <c r="G34" i="2"/>
  <c r="H34" i="2"/>
  <c r="I34" i="2"/>
  <c r="J34" i="2"/>
  <c r="K34" i="2"/>
  <c r="B35" i="2"/>
  <c r="C35" i="2"/>
  <c r="D35" i="2"/>
  <c r="E35" i="2"/>
  <c r="F35" i="2"/>
  <c r="G35" i="2"/>
  <c r="H35" i="2"/>
  <c r="I35" i="2"/>
  <c r="J35" i="2"/>
  <c r="K35" i="2"/>
  <c r="B36" i="2"/>
  <c r="C36" i="2"/>
  <c r="D36" i="2"/>
  <c r="E36" i="2"/>
  <c r="F36" i="2"/>
  <c r="G36" i="2"/>
  <c r="H36" i="2"/>
  <c r="I36" i="2"/>
  <c r="J36" i="2"/>
  <c r="K36" i="2"/>
  <c r="B37" i="2"/>
  <c r="C37" i="2"/>
  <c r="D37" i="2"/>
  <c r="E37" i="2"/>
  <c r="F37" i="2"/>
  <c r="G37" i="2"/>
  <c r="H37" i="2"/>
  <c r="I37" i="2"/>
  <c r="J37" i="2"/>
  <c r="K37" i="2"/>
  <c r="B38" i="2"/>
  <c r="C38" i="2"/>
  <c r="D38" i="2"/>
  <c r="E38" i="2"/>
  <c r="F38" i="2"/>
  <c r="G38" i="2"/>
  <c r="H38" i="2"/>
  <c r="I38" i="2"/>
  <c r="J38" i="2"/>
  <c r="K38" i="2"/>
  <c r="B39" i="2"/>
  <c r="C39" i="2"/>
  <c r="D39" i="2"/>
  <c r="E39" i="2"/>
  <c r="F39" i="2"/>
  <c r="G39" i="2"/>
  <c r="H39" i="2"/>
  <c r="I39" i="2"/>
  <c r="J39" i="2"/>
  <c r="K39" i="2"/>
  <c r="B40" i="2"/>
  <c r="C40" i="2"/>
  <c r="D40" i="2"/>
  <c r="E40" i="2"/>
  <c r="F40" i="2"/>
  <c r="G40" i="2"/>
  <c r="H40" i="2"/>
  <c r="I40" i="2"/>
  <c r="J40" i="2"/>
  <c r="K40" i="2"/>
  <c r="B41" i="2"/>
  <c r="C41" i="2"/>
  <c r="D41" i="2"/>
  <c r="E41" i="2"/>
  <c r="F41" i="2"/>
  <c r="G41" i="2"/>
  <c r="H41" i="2"/>
  <c r="I41" i="2"/>
  <c r="J41" i="2"/>
  <c r="K41" i="2"/>
  <c r="B42" i="2"/>
  <c r="C42" i="2"/>
  <c r="D42" i="2"/>
  <c r="E42" i="2"/>
  <c r="F42" i="2"/>
  <c r="G42" i="2"/>
  <c r="H42" i="2"/>
  <c r="I42" i="2"/>
  <c r="J42" i="2"/>
  <c r="K42" i="2"/>
  <c r="B43" i="2"/>
  <c r="C43" i="2"/>
  <c r="D43" i="2"/>
  <c r="E43" i="2"/>
  <c r="F43" i="2"/>
  <c r="G43" i="2"/>
  <c r="H43" i="2"/>
  <c r="I43" i="2"/>
  <c r="J43" i="2"/>
  <c r="K43" i="2"/>
  <c r="B44" i="2"/>
  <c r="C44" i="2"/>
  <c r="D44" i="2"/>
  <c r="E44" i="2"/>
  <c r="F44" i="2"/>
  <c r="G44" i="2"/>
  <c r="H44" i="2"/>
  <c r="I44" i="2"/>
  <c r="J44" i="2"/>
  <c r="K44" i="2"/>
  <c r="B45" i="2"/>
  <c r="C45" i="2"/>
  <c r="D45" i="2"/>
  <c r="E45" i="2"/>
  <c r="F45" i="2"/>
  <c r="G45" i="2"/>
  <c r="H45" i="2"/>
  <c r="I45" i="2"/>
  <c r="J45" i="2"/>
  <c r="K45" i="2"/>
  <c r="B46" i="2"/>
  <c r="C46" i="2"/>
  <c r="D46" i="2"/>
  <c r="E46" i="2"/>
  <c r="F46" i="2"/>
  <c r="G46" i="2"/>
  <c r="H46" i="2"/>
  <c r="I46" i="2"/>
  <c r="J46" i="2"/>
  <c r="K46" i="2"/>
  <c r="B47" i="2"/>
  <c r="C47" i="2"/>
  <c r="D47" i="2"/>
  <c r="E47" i="2"/>
  <c r="F47" i="2"/>
  <c r="G47" i="2"/>
  <c r="H47" i="2"/>
  <c r="I47" i="2"/>
  <c r="J47" i="2"/>
  <c r="K47" i="2"/>
  <c r="B48" i="2"/>
  <c r="C48" i="2"/>
  <c r="D48" i="2"/>
  <c r="E48" i="2"/>
  <c r="F48" i="2"/>
  <c r="G48" i="2"/>
  <c r="H48" i="2"/>
  <c r="I48" i="2"/>
  <c r="J48" i="2"/>
  <c r="K48" i="2"/>
  <c r="B49" i="2"/>
  <c r="C49" i="2"/>
  <c r="D49" i="2"/>
  <c r="E49" i="2"/>
  <c r="F49" i="2"/>
  <c r="G49" i="2"/>
  <c r="H49" i="2"/>
  <c r="I49" i="2"/>
  <c r="J49" i="2"/>
  <c r="K49" i="2"/>
  <c r="B50" i="2"/>
  <c r="C50" i="2"/>
  <c r="D50" i="2"/>
  <c r="E50" i="2"/>
  <c r="F50" i="2"/>
  <c r="G50" i="2"/>
  <c r="H50" i="2"/>
  <c r="I50" i="2"/>
  <c r="J50" i="2"/>
  <c r="K50" i="2"/>
  <c r="B51" i="2"/>
  <c r="C51" i="2"/>
  <c r="D51" i="2"/>
  <c r="E51" i="2"/>
  <c r="F51" i="2"/>
  <c r="G51" i="2"/>
  <c r="H51" i="2"/>
  <c r="I51" i="2"/>
  <c r="J51" i="2"/>
  <c r="K51" i="2"/>
  <c r="B52" i="2"/>
  <c r="C52" i="2"/>
  <c r="D52" i="2"/>
  <c r="E52" i="2"/>
  <c r="F52" i="2"/>
  <c r="G52" i="2"/>
  <c r="H52" i="2"/>
  <c r="I52" i="2"/>
  <c r="J52" i="2"/>
  <c r="K52" i="2"/>
  <c r="B53" i="2"/>
  <c r="C53" i="2"/>
  <c r="D53" i="2"/>
  <c r="E53" i="2"/>
  <c r="F53" i="2"/>
  <c r="G53" i="2"/>
  <c r="H53" i="2"/>
  <c r="I53" i="2"/>
  <c r="J53" i="2"/>
  <c r="K53" i="2"/>
  <c r="B54" i="2"/>
  <c r="C54" i="2"/>
  <c r="D54" i="2"/>
  <c r="E54" i="2"/>
  <c r="F54" i="2"/>
  <c r="G54" i="2"/>
  <c r="H54" i="2"/>
  <c r="I54" i="2"/>
  <c r="J54" i="2"/>
  <c r="K54" i="2"/>
  <c r="B55" i="2"/>
  <c r="C55" i="2"/>
  <c r="D55" i="2"/>
  <c r="E55" i="2"/>
  <c r="F55" i="2"/>
  <c r="G55" i="2"/>
  <c r="H55" i="2"/>
  <c r="I55" i="2"/>
  <c r="J55" i="2"/>
  <c r="K55" i="2"/>
  <c r="B56" i="2"/>
  <c r="C56" i="2"/>
  <c r="D56" i="2"/>
  <c r="E56" i="2"/>
  <c r="F56" i="2"/>
  <c r="G56" i="2"/>
  <c r="H56" i="2"/>
  <c r="I56" i="2"/>
  <c r="J56" i="2"/>
  <c r="K56" i="2"/>
  <c r="B57" i="2"/>
  <c r="C57" i="2"/>
  <c r="D57" i="2"/>
  <c r="E57" i="2"/>
  <c r="F57" i="2"/>
  <c r="G57" i="2"/>
  <c r="H57" i="2"/>
  <c r="I57" i="2"/>
  <c r="J57" i="2"/>
  <c r="K57" i="2"/>
  <c r="B58" i="2"/>
  <c r="C58" i="2"/>
  <c r="D58" i="2"/>
  <c r="E58" i="2"/>
  <c r="F58" i="2"/>
  <c r="G58" i="2"/>
  <c r="H58" i="2"/>
  <c r="I58" i="2"/>
  <c r="J58" i="2"/>
  <c r="K58" i="2"/>
  <c r="B59" i="2"/>
  <c r="C59" i="2"/>
  <c r="D59" i="2"/>
  <c r="E59" i="2"/>
  <c r="F59" i="2"/>
  <c r="G59" i="2"/>
  <c r="H59" i="2"/>
  <c r="I59" i="2"/>
  <c r="J59" i="2"/>
  <c r="K59" i="2"/>
  <c r="B60" i="2"/>
  <c r="C60" i="2"/>
  <c r="D60" i="2"/>
  <c r="E60" i="2"/>
  <c r="F60" i="2"/>
  <c r="G60" i="2"/>
  <c r="H60" i="2"/>
  <c r="I60" i="2"/>
  <c r="J60" i="2"/>
  <c r="K60" i="2"/>
  <c r="B61" i="2"/>
  <c r="C61" i="2"/>
  <c r="D61" i="2"/>
  <c r="E61" i="2"/>
  <c r="F61" i="2"/>
  <c r="G61" i="2"/>
  <c r="H61" i="2"/>
  <c r="I61" i="2"/>
  <c r="J61" i="2"/>
  <c r="K61" i="2"/>
  <c r="B62" i="2"/>
  <c r="C62" i="2"/>
  <c r="D62" i="2"/>
  <c r="E62" i="2"/>
  <c r="F62" i="2"/>
  <c r="G62" i="2"/>
  <c r="H62" i="2"/>
  <c r="I62" i="2"/>
  <c r="J62" i="2"/>
  <c r="K62" i="2"/>
  <c r="B63" i="2"/>
  <c r="C63" i="2"/>
  <c r="D63" i="2"/>
  <c r="E63" i="2"/>
  <c r="F63" i="2"/>
  <c r="G63" i="2"/>
  <c r="H63" i="2"/>
  <c r="I63" i="2"/>
  <c r="J63" i="2"/>
  <c r="K63" i="2"/>
  <c r="B64" i="2"/>
  <c r="C64" i="2"/>
  <c r="D64" i="2"/>
  <c r="E64" i="2"/>
  <c r="F64" i="2"/>
  <c r="G64" i="2"/>
  <c r="H64" i="2"/>
  <c r="I64" i="2"/>
  <c r="J64" i="2"/>
  <c r="K64" i="2"/>
  <c r="B65" i="2"/>
  <c r="C65" i="2"/>
  <c r="D65" i="2"/>
  <c r="E65" i="2"/>
  <c r="F65" i="2"/>
  <c r="G65" i="2"/>
  <c r="H65" i="2"/>
  <c r="I65" i="2"/>
  <c r="J65" i="2"/>
  <c r="K65" i="2"/>
  <c r="B66" i="2"/>
  <c r="C66" i="2"/>
  <c r="D66" i="2"/>
  <c r="E66" i="2"/>
  <c r="F66" i="2"/>
  <c r="G66" i="2"/>
  <c r="H66" i="2"/>
  <c r="I66" i="2"/>
  <c r="J66" i="2"/>
  <c r="K66" i="2"/>
  <c r="B67" i="2"/>
  <c r="C67" i="2"/>
  <c r="D67" i="2"/>
  <c r="E67" i="2"/>
  <c r="F67" i="2"/>
  <c r="G67" i="2"/>
  <c r="H67" i="2"/>
  <c r="I67" i="2"/>
  <c r="J67" i="2"/>
  <c r="K67" i="2"/>
  <c r="B68" i="2"/>
  <c r="C68" i="2"/>
  <c r="D68" i="2"/>
  <c r="E68" i="2"/>
  <c r="F68" i="2"/>
  <c r="G68" i="2"/>
  <c r="H68" i="2"/>
  <c r="I68" i="2"/>
  <c r="J68" i="2"/>
  <c r="K68" i="2"/>
  <c r="B69" i="2"/>
  <c r="C69" i="2"/>
  <c r="D69" i="2"/>
  <c r="E69" i="2"/>
  <c r="F69" i="2"/>
  <c r="G69" i="2"/>
  <c r="H69" i="2"/>
  <c r="I69" i="2"/>
  <c r="J69" i="2"/>
  <c r="K69" i="2"/>
  <c r="B70" i="2"/>
  <c r="C70" i="2"/>
  <c r="D70" i="2"/>
  <c r="E70" i="2"/>
  <c r="F70" i="2"/>
  <c r="G70" i="2"/>
  <c r="H70" i="2"/>
  <c r="I70" i="2"/>
  <c r="J70" i="2"/>
  <c r="K70" i="2"/>
  <c r="B71" i="2"/>
  <c r="C71" i="2"/>
  <c r="D71" i="2"/>
  <c r="E71" i="2"/>
  <c r="F71" i="2"/>
  <c r="G71" i="2"/>
  <c r="H71" i="2"/>
  <c r="I71" i="2"/>
  <c r="J71" i="2"/>
  <c r="K71" i="2"/>
  <c r="B72" i="2"/>
  <c r="C72" i="2"/>
  <c r="D72" i="2"/>
  <c r="E72" i="2"/>
  <c r="F72" i="2"/>
  <c r="G72" i="2"/>
  <c r="H72" i="2"/>
  <c r="I72" i="2"/>
  <c r="J72" i="2"/>
  <c r="K72" i="2"/>
  <c r="B73" i="2"/>
  <c r="C73" i="2"/>
  <c r="D73" i="2"/>
  <c r="E73" i="2"/>
  <c r="F73" i="2"/>
  <c r="G73" i="2"/>
  <c r="H73" i="2"/>
  <c r="I73" i="2"/>
  <c r="J73" i="2"/>
  <c r="K73" i="2"/>
  <c r="B74" i="2"/>
  <c r="C74" i="2"/>
  <c r="D74" i="2"/>
  <c r="E74" i="2"/>
  <c r="F74" i="2"/>
  <c r="G74" i="2"/>
  <c r="H74" i="2"/>
  <c r="I74" i="2"/>
  <c r="J74" i="2"/>
  <c r="K74" i="2"/>
  <c r="B75" i="2"/>
  <c r="C75" i="2"/>
  <c r="D75" i="2"/>
  <c r="E75" i="2"/>
  <c r="F75" i="2"/>
  <c r="G75" i="2"/>
  <c r="H75" i="2"/>
  <c r="I75" i="2"/>
  <c r="J75" i="2"/>
  <c r="K75" i="2"/>
  <c r="B76" i="2"/>
  <c r="C76" i="2"/>
  <c r="D76" i="2"/>
  <c r="E76" i="2"/>
  <c r="F76" i="2"/>
  <c r="G76" i="2"/>
  <c r="H76" i="2"/>
  <c r="I76" i="2"/>
  <c r="J76" i="2"/>
  <c r="K76" i="2"/>
  <c r="B77" i="2"/>
  <c r="C77" i="2"/>
  <c r="D77" i="2"/>
  <c r="E77" i="2"/>
  <c r="F77" i="2"/>
  <c r="G77" i="2"/>
  <c r="H77" i="2"/>
  <c r="I77" i="2"/>
  <c r="J77" i="2"/>
  <c r="K77" i="2"/>
  <c r="B78" i="2"/>
  <c r="C78" i="2"/>
  <c r="D78" i="2"/>
  <c r="E78" i="2"/>
  <c r="F78" i="2"/>
  <c r="G78" i="2"/>
  <c r="H78" i="2"/>
  <c r="I78" i="2"/>
  <c r="J78" i="2"/>
  <c r="K78" i="2"/>
  <c r="B79" i="2"/>
  <c r="C79" i="2"/>
  <c r="D79" i="2"/>
  <c r="E79" i="2"/>
  <c r="F79" i="2"/>
  <c r="G79" i="2"/>
  <c r="H79" i="2"/>
  <c r="I79" i="2"/>
  <c r="J79" i="2"/>
  <c r="K79" i="2"/>
  <c r="B80" i="2"/>
  <c r="C80" i="2"/>
  <c r="D80" i="2"/>
  <c r="E80" i="2"/>
  <c r="F80" i="2"/>
  <c r="G80" i="2"/>
  <c r="H80" i="2"/>
  <c r="I80" i="2"/>
  <c r="J80" i="2"/>
  <c r="K80" i="2"/>
  <c r="B81" i="2"/>
  <c r="C81" i="2"/>
  <c r="D81" i="2"/>
  <c r="E81" i="2"/>
  <c r="F81" i="2"/>
  <c r="G81" i="2"/>
  <c r="H81" i="2"/>
  <c r="I81" i="2"/>
  <c r="J81" i="2"/>
  <c r="K81" i="2"/>
  <c r="B82" i="2"/>
  <c r="C82" i="2"/>
  <c r="D82" i="2"/>
  <c r="E82" i="2"/>
  <c r="F82" i="2"/>
  <c r="G82" i="2"/>
  <c r="H82" i="2"/>
  <c r="I82" i="2"/>
  <c r="J82" i="2"/>
  <c r="K82" i="2"/>
  <c r="B83" i="2"/>
  <c r="C83" i="2"/>
  <c r="D83" i="2"/>
  <c r="E83" i="2"/>
  <c r="F83" i="2"/>
  <c r="G83" i="2"/>
  <c r="H83" i="2"/>
  <c r="I83" i="2"/>
  <c r="J83" i="2"/>
  <c r="K83" i="2"/>
  <c r="B84" i="2"/>
  <c r="C84" i="2"/>
  <c r="D84" i="2"/>
  <c r="E84" i="2"/>
  <c r="F84" i="2"/>
  <c r="G84" i="2"/>
  <c r="H84" i="2"/>
  <c r="I84" i="2"/>
  <c r="J84" i="2"/>
  <c r="K84" i="2"/>
  <c r="B85" i="2"/>
  <c r="C85" i="2"/>
  <c r="D85" i="2"/>
  <c r="E85" i="2"/>
  <c r="F85" i="2"/>
  <c r="G85" i="2"/>
  <c r="H85" i="2"/>
  <c r="I85" i="2"/>
  <c r="J85" i="2"/>
  <c r="K85" i="2"/>
  <c r="B86" i="2"/>
  <c r="C86" i="2"/>
  <c r="D86" i="2"/>
  <c r="E86" i="2"/>
  <c r="F86" i="2"/>
  <c r="G86" i="2"/>
  <c r="H86" i="2"/>
  <c r="I86" i="2"/>
  <c r="J86" i="2"/>
  <c r="K86" i="2"/>
  <c r="B87" i="2"/>
  <c r="C87" i="2"/>
  <c r="D87" i="2"/>
  <c r="E87" i="2"/>
  <c r="F87" i="2"/>
  <c r="G87" i="2"/>
  <c r="H87" i="2"/>
  <c r="I87" i="2"/>
  <c r="J87" i="2"/>
  <c r="K87" i="2"/>
  <c r="B88" i="2"/>
  <c r="C88" i="2"/>
  <c r="D88" i="2"/>
  <c r="E88" i="2"/>
  <c r="F88" i="2"/>
  <c r="G88" i="2"/>
  <c r="H88" i="2"/>
  <c r="I88" i="2"/>
  <c r="J88" i="2"/>
  <c r="K88" i="2"/>
  <c r="B89" i="2"/>
  <c r="C89" i="2"/>
  <c r="D89" i="2"/>
  <c r="E89" i="2"/>
  <c r="F89" i="2"/>
  <c r="G89" i="2"/>
  <c r="H89" i="2"/>
  <c r="I89" i="2"/>
  <c r="J89" i="2"/>
  <c r="K89" i="2"/>
  <c r="B90" i="2"/>
  <c r="C90" i="2"/>
  <c r="D90" i="2"/>
  <c r="E90" i="2"/>
  <c r="F90" i="2"/>
  <c r="G90" i="2"/>
  <c r="H90" i="2"/>
  <c r="I90" i="2"/>
  <c r="J90" i="2"/>
  <c r="K90" i="2"/>
  <c r="B91" i="2"/>
  <c r="C91" i="2"/>
  <c r="D91" i="2"/>
  <c r="E91" i="2"/>
  <c r="F91" i="2"/>
  <c r="G91" i="2"/>
  <c r="H91" i="2"/>
  <c r="I91" i="2"/>
  <c r="J91" i="2"/>
  <c r="K91" i="2"/>
  <c r="B92" i="2"/>
  <c r="C92" i="2"/>
  <c r="D92" i="2"/>
  <c r="E92" i="2"/>
  <c r="F92" i="2"/>
  <c r="G92" i="2"/>
  <c r="H92" i="2"/>
  <c r="I92" i="2"/>
  <c r="J92" i="2"/>
  <c r="K92" i="2"/>
  <c r="B93" i="2"/>
  <c r="C93" i="2"/>
  <c r="D93" i="2"/>
  <c r="E93" i="2"/>
  <c r="F93" i="2"/>
  <c r="G93" i="2"/>
  <c r="H93" i="2"/>
  <c r="I93" i="2"/>
  <c r="J93" i="2"/>
  <c r="K93" i="2"/>
  <c r="B94" i="2"/>
  <c r="C94" i="2"/>
  <c r="D94" i="2"/>
  <c r="E94" i="2"/>
  <c r="F94" i="2"/>
  <c r="G94" i="2"/>
  <c r="H94" i="2"/>
  <c r="I94" i="2"/>
  <c r="J94" i="2"/>
  <c r="K94" i="2"/>
  <c r="B95" i="2"/>
  <c r="C95" i="2"/>
  <c r="D95" i="2"/>
  <c r="E95" i="2"/>
  <c r="F95" i="2"/>
  <c r="G95" i="2"/>
  <c r="H95" i="2"/>
  <c r="I95" i="2"/>
  <c r="J95" i="2"/>
  <c r="K95" i="2"/>
  <c r="B96" i="2"/>
  <c r="C96" i="2"/>
  <c r="D96" i="2"/>
  <c r="E96" i="2"/>
  <c r="F96" i="2"/>
  <c r="G96" i="2"/>
  <c r="H96" i="2"/>
  <c r="I96" i="2"/>
  <c r="J96" i="2"/>
  <c r="K96" i="2"/>
  <c r="B97" i="2"/>
  <c r="C97" i="2"/>
  <c r="D97" i="2"/>
  <c r="E97" i="2"/>
  <c r="F97" i="2"/>
  <c r="G97" i="2"/>
  <c r="H97" i="2"/>
  <c r="I97" i="2"/>
  <c r="J97" i="2"/>
  <c r="K97" i="2"/>
  <c r="B98" i="2"/>
  <c r="C98" i="2"/>
  <c r="D98" i="2"/>
  <c r="E98" i="2"/>
  <c r="F98" i="2"/>
  <c r="G98" i="2"/>
  <c r="H98" i="2"/>
  <c r="I98" i="2"/>
  <c r="J98" i="2"/>
  <c r="K98" i="2"/>
  <c r="B99" i="2"/>
  <c r="C99" i="2"/>
  <c r="D99" i="2"/>
  <c r="E99" i="2"/>
  <c r="F99" i="2"/>
  <c r="G99" i="2"/>
  <c r="H99" i="2"/>
  <c r="I99" i="2"/>
  <c r="J99" i="2"/>
  <c r="K99" i="2"/>
  <c r="B100" i="2"/>
  <c r="C100" i="2"/>
  <c r="D100" i="2"/>
  <c r="E100" i="2"/>
  <c r="F100" i="2"/>
  <c r="G100" i="2"/>
  <c r="H100" i="2"/>
  <c r="I100" i="2"/>
  <c r="J100" i="2"/>
  <c r="K100" i="2"/>
  <c r="B101" i="2"/>
  <c r="C101" i="2"/>
  <c r="D101" i="2"/>
  <c r="E101" i="2"/>
  <c r="F101" i="2"/>
  <c r="G101" i="2"/>
  <c r="H101" i="2"/>
  <c r="I101" i="2"/>
  <c r="J101" i="2"/>
  <c r="K101" i="2"/>
  <c r="B102" i="2"/>
  <c r="C102" i="2"/>
  <c r="D102" i="2"/>
  <c r="E102" i="2"/>
  <c r="F102" i="2"/>
  <c r="G102" i="2"/>
  <c r="H102" i="2"/>
  <c r="I102" i="2"/>
  <c r="J102" i="2"/>
  <c r="K102" i="2"/>
  <c r="B103" i="2"/>
  <c r="C103" i="2"/>
  <c r="D103" i="2"/>
  <c r="E103" i="2"/>
  <c r="F103" i="2"/>
  <c r="G103" i="2"/>
  <c r="H103" i="2"/>
  <c r="I103" i="2"/>
  <c r="J103" i="2"/>
  <c r="K103" i="2"/>
  <c r="B104" i="2"/>
  <c r="C104" i="2"/>
  <c r="D104" i="2"/>
  <c r="E104" i="2"/>
  <c r="F104" i="2"/>
  <c r="G104" i="2"/>
  <c r="H104" i="2"/>
  <c r="I104" i="2"/>
  <c r="J104" i="2"/>
  <c r="K104" i="2"/>
  <c r="B105" i="2"/>
  <c r="C105" i="2"/>
  <c r="D105" i="2"/>
  <c r="E105" i="2"/>
  <c r="F105" i="2"/>
  <c r="G105" i="2"/>
  <c r="H105" i="2"/>
  <c r="I105" i="2"/>
  <c r="J105" i="2"/>
  <c r="K105" i="2"/>
  <c r="B106" i="2"/>
  <c r="C106" i="2"/>
  <c r="D106" i="2"/>
  <c r="E106" i="2"/>
  <c r="F106" i="2"/>
  <c r="G106" i="2"/>
  <c r="H106" i="2"/>
  <c r="I106" i="2"/>
  <c r="J106" i="2"/>
  <c r="K106" i="2"/>
  <c r="B107" i="2"/>
  <c r="C107" i="2"/>
  <c r="D107" i="2"/>
  <c r="E107" i="2"/>
  <c r="F107" i="2"/>
  <c r="G107" i="2"/>
  <c r="H107" i="2"/>
  <c r="I107" i="2"/>
  <c r="J107" i="2"/>
  <c r="K107" i="2"/>
  <c r="B108" i="2"/>
  <c r="C108" i="2"/>
  <c r="D108" i="2"/>
  <c r="E108" i="2"/>
  <c r="F108" i="2"/>
  <c r="G108" i="2"/>
  <c r="H108" i="2"/>
  <c r="I108" i="2"/>
  <c r="J108" i="2"/>
  <c r="K108" i="2"/>
  <c r="B109" i="2"/>
  <c r="C109" i="2"/>
  <c r="D109" i="2"/>
  <c r="E109" i="2"/>
  <c r="F109" i="2"/>
  <c r="G109" i="2"/>
  <c r="H109" i="2"/>
  <c r="I109" i="2"/>
  <c r="J109" i="2"/>
  <c r="K109" i="2"/>
  <c r="B110" i="2"/>
  <c r="C110" i="2"/>
  <c r="D110" i="2"/>
  <c r="E110" i="2"/>
  <c r="F110" i="2"/>
  <c r="G110" i="2"/>
  <c r="H110" i="2"/>
  <c r="I110" i="2"/>
  <c r="J110" i="2"/>
  <c r="K110" i="2"/>
  <c r="B111" i="2"/>
  <c r="C111" i="2"/>
  <c r="D111" i="2"/>
  <c r="E111" i="2"/>
  <c r="F111" i="2"/>
  <c r="G111" i="2"/>
  <c r="H111" i="2"/>
  <c r="I111" i="2"/>
  <c r="J111" i="2"/>
  <c r="K111" i="2"/>
  <c r="B112" i="2"/>
  <c r="C112" i="2"/>
  <c r="D112" i="2"/>
  <c r="E112" i="2"/>
  <c r="F112" i="2"/>
  <c r="G112" i="2"/>
  <c r="H112" i="2"/>
  <c r="I112" i="2"/>
  <c r="J112" i="2"/>
  <c r="K112" i="2"/>
  <c r="B113" i="2"/>
  <c r="C113" i="2"/>
  <c r="D113" i="2"/>
  <c r="E113" i="2"/>
  <c r="F113" i="2"/>
  <c r="G113" i="2"/>
  <c r="H113" i="2"/>
  <c r="I113" i="2"/>
  <c r="J113" i="2"/>
  <c r="K113" i="2"/>
  <c r="B114" i="2"/>
  <c r="C114" i="2"/>
  <c r="D114" i="2"/>
  <c r="E114" i="2"/>
  <c r="F114" i="2"/>
  <c r="G114" i="2"/>
  <c r="H114" i="2"/>
  <c r="I114" i="2"/>
  <c r="J114" i="2"/>
  <c r="K114" i="2"/>
  <c r="B115" i="2"/>
  <c r="C115" i="2"/>
  <c r="D115" i="2"/>
  <c r="E115" i="2"/>
  <c r="F115" i="2"/>
  <c r="G115" i="2"/>
  <c r="H115" i="2"/>
  <c r="I115" i="2"/>
  <c r="J115" i="2"/>
  <c r="K115" i="2"/>
  <c r="B116" i="2"/>
  <c r="C116" i="2"/>
  <c r="D116" i="2"/>
  <c r="E116" i="2"/>
  <c r="F116" i="2"/>
  <c r="G116" i="2"/>
  <c r="H116" i="2"/>
  <c r="I116" i="2"/>
  <c r="J116" i="2"/>
  <c r="K116" i="2"/>
  <c r="B117" i="2"/>
  <c r="C117" i="2"/>
  <c r="D117" i="2"/>
  <c r="E117" i="2"/>
  <c r="F117" i="2"/>
  <c r="G117" i="2"/>
  <c r="H117" i="2"/>
  <c r="I117" i="2"/>
  <c r="J117" i="2"/>
  <c r="K117" i="2"/>
  <c r="B118" i="2"/>
  <c r="C118" i="2"/>
  <c r="D118" i="2"/>
  <c r="E118" i="2"/>
  <c r="F118" i="2"/>
  <c r="G118" i="2"/>
  <c r="H118" i="2"/>
  <c r="I118" i="2"/>
  <c r="J118" i="2"/>
  <c r="K118" i="2"/>
  <c r="B119" i="2"/>
  <c r="C119" i="2"/>
  <c r="D119" i="2"/>
  <c r="E119" i="2"/>
  <c r="F119" i="2"/>
  <c r="G119" i="2"/>
  <c r="H119" i="2"/>
  <c r="I119" i="2"/>
  <c r="J119" i="2"/>
  <c r="K119" i="2"/>
  <c r="B120" i="2"/>
  <c r="C120" i="2"/>
  <c r="D120" i="2"/>
  <c r="E120" i="2"/>
  <c r="F120" i="2"/>
  <c r="G120" i="2"/>
  <c r="H120" i="2"/>
  <c r="I120" i="2"/>
  <c r="J120" i="2"/>
  <c r="K120" i="2"/>
  <c r="B121" i="2"/>
  <c r="C121" i="2"/>
  <c r="D121" i="2"/>
  <c r="E121" i="2"/>
  <c r="F121" i="2"/>
  <c r="G121" i="2"/>
  <c r="H121" i="2"/>
  <c r="I121" i="2"/>
  <c r="J121" i="2"/>
  <c r="K121" i="2"/>
  <c r="B122" i="2"/>
  <c r="C122" i="2"/>
  <c r="D122" i="2"/>
  <c r="E122" i="2"/>
  <c r="F122" i="2"/>
  <c r="G122" i="2"/>
  <c r="H122" i="2"/>
  <c r="I122" i="2"/>
  <c r="J122" i="2"/>
  <c r="K122" i="2"/>
  <c r="B123" i="2"/>
  <c r="C123" i="2"/>
  <c r="D123" i="2"/>
  <c r="E123" i="2"/>
  <c r="F123" i="2"/>
  <c r="G123" i="2"/>
  <c r="H123" i="2"/>
  <c r="I123" i="2"/>
  <c r="J123" i="2"/>
  <c r="K123" i="2"/>
  <c r="B124" i="2"/>
  <c r="C124" i="2"/>
  <c r="D124" i="2"/>
  <c r="E124" i="2"/>
  <c r="F124" i="2"/>
  <c r="G124" i="2"/>
  <c r="H124" i="2"/>
  <c r="I124" i="2"/>
  <c r="J124" i="2"/>
  <c r="K124" i="2"/>
  <c r="B125" i="2"/>
  <c r="C125" i="2"/>
  <c r="D125" i="2"/>
  <c r="E125" i="2"/>
  <c r="F125" i="2"/>
  <c r="G125" i="2"/>
  <c r="H125" i="2"/>
  <c r="I125" i="2"/>
  <c r="J125" i="2"/>
  <c r="K125" i="2"/>
  <c r="B126" i="2"/>
  <c r="C126" i="2"/>
  <c r="D126" i="2"/>
  <c r="E126" i="2"/>
  <c r="F126" i="2"/>
  <c r="G126" i="2"/>
  <c r="H126" i="2"/>
  <c r="I126" i="2"/>
  <c r="J126" i="2"/>
  <c r="K126" i="2"/>
  <c r="B127" i="2"/>
  <c r="C127" i="2"/>
  <c r="D127" i="2"/>
  <c r="E127" i="2"/>
  <c r="F127" i="2"/>
  <c r="G127" i="2"/>
  <c r="H127" i="2"/>
  <c r="I127" i="2"/>
  <c r="J127" i="2"/>
  <c r="K127" i="2"/>
  <c r="B128" i="2"/>
  <c r="C128" i="2"/>
  <c r="D128" i="2"/>
  <c r="E128" i="2"/>
  <c r="F128" i="2"/>
  <c r="G128" i="2"/>
  <c r="H128" i="2"/>
  <c r="I128" i="2"/>
  <c r="J128" i="2"/>
  <c r="K128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B1003" i="2"/>
  <c r="C1003" i="2"/>
  <c r="D1003" i="2"/>
  <c r="E1003" i="2"/>
  <c r="F1003" i="2"/>
  <c r="G1003" i="2"/>
  <c r="H1003" i="2"/>
  <c r="I1003" i="2"/>
  <c r="J1003" i="2"/>
  <c r="K1003" i="2"/>
  <c r="B1004" i="2"/>
  <c r="C1004" i="2"/>
  <c r="D1004" i="2"/>
  <c r="E1004" i="2"/>
  <c r="F1004" i="2"/>
  <c r="G1004" i="2"/>
  <c r="H1004" i="2"/>
  <c r="I1004" i="2"/>
  <c r="J1004" i="2"/>
  <c r="K1004" i="2"/>
  <c r="B1005" i="2"/>
  <c r="C1005" i="2"/>
  <c r="D1005" i="2"/>
  <c r="E1005" i="2"/>
  <c r="F1005" i="2"/>
  <c r="G1005" i="2"/>
  <c r="H1005" i="2"/>
  <c r="I1005" i="2"/>
  <c r="J1005" i="2"/>
  <c r="K1005" i="2"/>
  <c r="B1006" i="2"/>
  <c r="C1006" i="2"/>
  <c r="D1006" i="2"/>
  <c r="E1006" i="2"/>
  <c r="F1006" i="2"/>
  <c r="G1006" i="2"/>
  <c r="H1006" i="2"/>
  <c r="I1006" i="2"/>
  <c r="J1006" i="2"/>
  <c r="K1006" i="2"/>
  <c r="B1007" i="2"/>
  <c r="C1007" i="2"/>
  <c r="D1007" i="2"/>
  <c r="E1007" i="2"/>
  <c r="F1007" i="2"/>
  <c r="G1007" i="2"/>
  <c r="H1007" i="2"/>
  <c r="I1007" i="2"/>
  <c r="J1007" i="2"/>
  <c r="K1007" i="2"/>
  <c r="B1008" i="2"/>
  <c r="C1008" i="2"/>
  <c r="D1008" i="2"/>
  <c r="E1008" i="2"/>
  <c r="F1008" i="2"/>
  <c r="G1008" i="2"/>
  <c r="H1008" i="2"/>
  <c r="I1008" i="2"/>
  <c r="J1008" i="2"/>
  <c r="K1008" i="2"/>
  <c r="B1009" i="2"/>
  <c r="C1009" i="2"/>
  <c r="D1009" i="2"/>
  <c r="E1009" i="2"/>
  <c r="F1009" i="2"/>
  <c r="G1009" i="2"/>
  <c r="H1009" i="2"/>
  <c r="I1009" i="2"/>
  <c r="J1009" i="2"/>
  <c r="K1009" i="2"/>
  <c r="B1010" i="2"/>
  <c r="C1010" i="2"/>
  <c r="D1010" i="2"/>
  <c r="E1010" i="2"/>
  <c r="F1010" i="2"/>
  <c r="G1010" i="2"/>
  <c r="H1010" i="2"/>
  <c r="I1010" i="2"/>
  <c r="J1010" i="2"/>
  <c r="K1010" i="2"/>
  <c r="B1011" i="2"/>
  <c r="C1011" i="2"/>
  <c r="D1011" i="2"/>
  <c r="E1011" i="2"/>
  <c r="F1011" i="2"/>
  <c r="G1011" i="2"/>
  <c r="H1011" i="2"/>
  <c r="I1011" i="2"/>
  <c r="J1011" i="2"/>
  <c r="K1011" i="2"/>
  <c r="B1012" i="2"/>
  <c r="C1012" i="2"/>
  <c r="D1012" i="2"/>
  <c r="E1012" i="2"/>
  <c r="F1012" i="2"/>
  <c r="G1012" i="2"/>
  <c r="H1012" i="2"/>
  <c r="I1012" i="2"/>
  <c r="J1012" i="2"/>
  <c r="K1012" i="2"/>
  <c r="B1013" i="2"/>
  <c r="C1013" i="2"/>
  <c r="D1013" i="2"/>
  <c r="E1013" i="2"/>
  <c r="F1013" i="2"/>
  <c r="G1013" i="2"/>
  <c r="H1013" i="2"/>
  <c r="I1013" i="2"/>
  <c r="J1013" i="2"/>
  <c r="K1013" i="2"/>
  <c r="B1014" i="2"/>
  <c r="C1014" i="2"/>
  <c r="D1014" i="2"/>
  <c r="E1014" i="2"/>
  <c r="F1014" i="2"/>
  <c r="G1014" i="2"/>
  <c r="H1014" i="2"/>
  <c r="I1014" i="2"/>
  <c r="J1014" i="2"/>
  <c r="K1014" i="2"/>
  <c r="B1015" i="2"/>
  <c r="C1015" i="2"/>
  <c r="D1015" i="2"/>
  <c r="E1015" i="2"/>
  <c r="F1015" i="2"/>
  <c r="G1015" i="2"/>
  <c r="H1015" i="2"/>
  <c r="I1015" i="2"/>
  <c r="J1015" i="2"/>
  <c r="K1015" i="2"/>
  <c r="B1016" i="2"/>
  <c r="C1016" i="2"/>
  <c r="D1016" i="2"/>
  <c r="E1016" i="2"/>
  <c r="F1016" i="2"/>
  <c r="G1016" i="2"/>
  <c r="H1016" i="2"/>
  <c r="I1016" i="2"/>
  <c r="J1016" i="2"/>
  <c r="K1016" i="2"/>
  <c r="B1017" i="2"/>
  <c r="C1017" i="2"/>
  <c r="D1017" i="2"/>
  <c r="E1017" i="2"/>
  <c r="F1017" i="2"/>
  <c r="G1017" i="2"/>
  <c r="H1017" i="2"/>
  <c r="I1017" i="2"/>
  <c r="J1017" i="2"/>
  <c r="K1017" i="2"/>
  <c r="B1018" i="2"/>
  <c r="C1018" i="2"/>
  <c r="D1018" i="2"/>
  <c r="E1018" i="2"/>
  <c r="F1018" i="2"/>
  <c r="G1018" i="2"/>
  <c r="H1018" i="2"/>
  <c r="I1018" i="2"/>
  <c r="J1018" i="2"/>
  <c r="K1018" i="2"/>
  <c r="B1019" i="2"/>
  <c r="C1019" i="2"/>
  <c r="D1019" i="2"/>
  <c r="E1019" i="2"/>
  <c r="F1019" i="2"/>
  <c r="G1019" i="2"/>
  <c r="H1019" i="2"/>
  <c r="I1019" i="2"/>
  <c r="J1019" i="2"/>
  <c r="K1019" i="2"/>
  <c r="B1020" i="2"/>
  <c r="C1020" i="2"/>
  <c r="D1020" i="2"/>
  <c r="E1020" i="2"/>
  <c r="F1020" i="2"/>
  <c r="G1020" i="2"/>
  <c r="H1020" i="2"/>
  <c r="I1020" i="2"/>
  <c r="J1020" i="2"/>
  <c r="K1020" i="2"/>
  <c r="B1021" i="2"/>
  <c r="C1021" i="2"/>
  <c r="D1021" i="2"/>
  <c r="E1021" i="2"/>
  <c r="F1021" i="2"/>
  <c r="G1021" i="2"/>
  <c r="H1021" i="2"/>
  <c r="I1021" i="2"/>
  <c r="J1021" i="2"/>
  <c r="K1021" i="2"/>
  <c r="B1022" i="2"/>
  <c r="C1022" i="2"/>
  <c r="D1022" i="2"/>
  <c r="E1022" i="2"/>
  <c r="F1022" i="2"/>
  <c r="G1022" i="2"/>
  <c r="H1022" i="2"/>
  <c r="I1022" i="2"/>
  <c r="J1022" i="2"/>
  <c r="K1022" i="2"/>
  <c r="B1023" i="2"/>
  <c r="C1023" i="2"/>
  <c r="D1023" i="2"/>
  <c r="E1023" i="2"/>
  <c r="F1023" i="2"/>
  <c r="G1023" i="2"/>
  <c r="H1023" i="2"/>
  <c r="I1023" i="2"/>
  <c r="J1023" i="2"/>
  <c r="K1023" i="2"/>
  <c r="B1024" i="2"/>
  <c r="C1024" i="2"/>
  <c r="D1024" i="2"/>
  <c r="E1024" i="2"/>
  <c r="F1024" i="2"/>
  <c r="G1024" i="2"/>
  <c r="H1024" i="2"/>
  <c r="I1024" i="2"/>
  <c r="J1024" i="2"/>
  <c r="K1024" i="2"/>
  <c r="B1025" i="2"/>
  <c r="C1025" i="2"/>
  <c r="D1025" i="2"/>
  <c r="E1025" i="2"/>
  <c r="F1025" i="2"/>
  <c r="G1025" i="2"/>
  <c r="H1025" i="2"/>
  <c r="I1025" i="2"/>
  <c r="J1025" i="2"/>
  <c r="K1025" i="2"/>
  <c r="B1026" i="2"/>
  <c r="C1026" i="2"/>
  <c r="D1026" i="2"/>
  <c r="E1026" i="2"/>
  <c r="F1026" i="2"/>
  <c r="G1026" i="2"/>
  <c r="H1026" i="2"/>
  <c r="I1026" i="2"/>
  <c r="J1026" i="2"/>
  <c r="K1026" i="2"/>
  <c r="B1027" i="2"/>
  <c r="C1027" i="2"/>
  <c r="D1027" i="2"/>
  <c r="E1027" i="2"/>
  <c r="F1027" i="2"/>
  <c r="G1027" i="2"/>
  <c r="H1027" i="2"/>
  <c r="I1027" i="2"/>
  <c r="J1027" i="2"/>
  <c r="K1027" i="2"/>
  <c r="B1028" i="2"/>
  <c r="C1028" i="2"/>
  <c r="D1028" i="2"/>
  <c r="E1028" i="2"/>
  <c r="F1028" i="2"/>
  <c r="G1028" i="2"/>
  <c r="H1028" i="2"/>
  <c r="I1028" i="2"/>
  <c r="J1028" i="2"/>
  <c r="K1028" i="2"/>
  <c r="B1029" i="2"/>
  <c r="C1029" i="2"/>
  <c r="D1029" i="2"/>
  <c r="E1029" i="2"/>
  <c r="F1029" i="2"/>
  <c r="G1029" i="2"/>
  <c r="H1029" i="2"/>
  <c r="I1029" i="2"/>
  <c r="J1029" i="2"/>
  <c r="K1029" i="2"/>
  <c r="B1030" i="2"/>
  <c r="C1030" i="2"/>
  <c r="D1030" i="2"/>
  <c r="E1030" i="2"/>
  <c r="F1030" i="2"/>
  <c r="G1030" i="2"/>
  <c r="H1030" i="2"/>
  <c r="I1030" i="2"/>
  <c r="J1030" i="2"/>
  <c r="K1030" i="2"/>
  <c r="B1031" i="2"/>
  <c r="C1031" i="2"/>
  <c r="D1031" i="2"/>
  <c r="E1031" i="2"/>
  <c r="F1031" i="2"/>
  <c r="G1031" i="2"/>
  <c r="H1031" i="2"/>
  <c r="I1031" i="2"/>
  <c r="J1031" i="2"/>
  <c r="K1031" i="2"/>
  <c r="B1032" i="2"/>
  <c r="C1032" i="2"/>
  <c r="D1032" i="2"/>
  <c r="E1032" i="2"/>
  <c r="F1032" i="2"/>
  <c r="G1032" i="2"/>
  <c r="H1032" i="2"/>
  <c r="I1032" i="2"/>
  <c r="J1032" i="2"/>
  <c r="K1032" i="2"/>
  <c r="B1033" i="2"/>
  <c r="C1033" i="2"/>
  <c r="D1033" i="2"/>
  <c r="E1033" i="2"/>
  <c r="F1033" i="2"/>
  <c r="G1033" i="2"/>
  <c r="H1033" i="2"/>
  <c r="I1033" i="2"/>
  <c r="J1033" i="2"/>
  <c r="K1033" i="2"/>
  <c r="B1034" i="2"/>
  <c r="C1034" i="2"/>
  <c r="D1034" i="2"/>
  <c r="E1034" i="2"/>
  <c r="F1034" i="2"/>
  <c r="G1034" i="2"/>
  <c r="H1034" i="2"/>
  <c r="I1034" i="2"/>
  <c r="J1034" i="2"/>
  <c r="K1034" i="2"/>
  <c r="B1035" i="2"/>
  <c r="C1035" i="2"/>
  <c r="D1035" i="2"/>
  <c r="E1035" i="2"/>
  <c r="F1035" i="2"/>
  <c r="G1035" i="2"/>
  <c r="H1035" i="2"/>
  <c r="I1035" i="2"/>
  <c r="J1035" i="2"/>
  <c r="K1035" i="2"/>
  <c r="B1036" i="2"/>
  <c r="C1036" i="2"/>
  <c r="D1036" i="2"/>
  <c r="E1036" i="2"/>
  <c r="F1036" i="2"/>
  <c r="G1036" i="2"/>
  <c r="H1036" i="2"/>
  <c r="I1036" i="2"/>
  <c r="J1036" i="2"/>
  <c r="K1036" i="2"/>
  <c r="B1037" i="2"/>
  <c r="C1037" i="2"/>
  <c r="D1037" i="2"/>
  <c r="E1037" i="2"/>
  <c r="F1037" i="2"/>
  <c r="G1037" i="2"/>
  <c r="H1037" i="2"/>
  <c r="I1037" i="2"/>
  <c r="J1037" i="2"/>
  <c r="K1037" i="2"/>
  <c r="B1038" i="2"/>
  <c r="C1038" i="2"/>
  <c r="D1038" i="2"/>
  <c r="E1038" i="2"/>
  <c r="F1038" i="2"/>
  <c r="G1038" i="2"/>
  <c r="H1038" i="2"/>
  <c r="I1038" i="2"/>
  <c r="J1038" i="2"/>
  <c r="K1038" i="2"/>
  <c r="B1039" i="2"/>
  <c r="C1039" i="2"/>
  <c r="D1039" i="2"/>
  <c r="E1039" i="2"/>
  <c r="F1039" i="2"/>
  <c r="G1039" i="2"/>
  <c r="H1039" i="2"/>
  <c r="I1039" i="2"/>
  <c r="J1039" i="2"/>
  <c r="K1039" i="2"/>
  <c r="B1040" i="2"/>
  <c r="C1040" i="2"/>
  <c r="D1040" i="2"/>
  <c r="E1040" i="2"/>
  <c r="F1040" i="2"/>
  <c r="G1040" i="2"/>
  <c r="H1040" i="2"/>
  <c r="I1040" i="2"/>
  <c r="J1040" i="2"/>
  <c r="K1040" i="2"/>
  <c r="B1041" i="2"/>
  <c r="C1041" i="2"/>
  <c r="D1041" i="2"/>
  <c r="E1041" i="2"/>
  <c r="F1041" i="2"/>
  <c r="G1041" i="2"/>
  <c r="H1041" i="2"/>
  <c r="I1041" i="2"/>
  <c r="J1041" i="2"/>
  <c r="K1041" i="2"/>
  <c r="B1042" i="2"/>
  <c r="C1042" i="2"/>
  <c r="D1042" i="2"/>
  <c r="E1042" i="2"/>
  <c r="F1042" i="2"/>
  <c r="G1042" i="2"/>
  <c r="H1042" i="2"/>
  <c r="I1042" i="2"/>
  <c r="J1042" i="2"/>
  <c r="K1042" i="2"/>
  <c r="B1043" i="2"/>
  <c r="C1043" i="2"/>
  <c r="D1043" i="2"/>
  <c r="E1043" i="2"/>
  <c r="F1043" i="2"/>
  <c r="G1043" i="2"/>
  <c r="H1043" i="2"/>
  <c r="I1043" i="2"/>
  <c r="J1043" i="2"/>
  <c r="K1043" i="2"/>
  <c r="B1044" i="2"/>
  <c r="C1044" i="2"/>
  <c r="D1044" i="2"/>
  <c r="E1044" i="2"/>
  <c r="F1044" i="2"/>
  <c r="G1044" i="2"/>
  <c r="H1044" i="2"/>
  <c r="I1044" i="2"/>
  <c r="J1044" i="2"/>
  <c r="K1044" i="2"/>
  <c r="B1045" i="2"/>
  <c r="C1045" i="2"/>
  <c r="D1045" i="2"/>
  <c r="E1045" i="2"/>
  <c r="F1045" i="2"/>
  <c r="G1045" i="2"/>
  <c r="H1045" i="2"/>
  <c r="I1045" i="2"/>
  <c r="J1045" i="2"/>
  <c r="K1045" i="2"/>
  <c r="B1046" i="2"/>
  <c r="C1046" i="2"/>
  <c r="D1046" i="2"/>
  <c r="E1046" i="2"/>
  <c r="F1046" i="2"/>
  <c r="G1046" i="2"/>
  <c r="H1046" i="2"/>
  <c r="I1046" i="2"/>
  <c r="J1046" i="2"/>
  <c r="K1046" i="2"/>
  <c r="B1047" i="2"/>
  <c r="C1047" i="2"/>
  <c r="D1047" i="2"/>
  <c r="E1047" i="2"/>
  <c r="F1047" i="2"/>
  <c r="G1047" i="2"/>
  <c r="H1047" i="2"/>
  <c r="I1047" i="2"/>
  <c r="J1047" i="2"/>
  <c r="K1047" i="2"/>
  <c r="B1048" i="2"/>
  <c r="C1048" i="2"/>
  <c r="D1048" i="2"/>
  <c r="E1048" i="2"/>
  <c r="F1048" i="2"/>
  <c r="G1048" i="2"/>
  <c r="H1048" i="2"/>
  <c r="I1048" i="2"/>
  <c r="J1048" i="2"/>
  <c r="K1048" i="2"/>
  <c r="B1049" i="2"/>
  <c r="C1049" i="2"/>
  <c r="D1049" i="2"/>
  <c r="E1049" i="2"/>
  <c r="F1049" i="2"/>
  <c r="G1049" i="2"/>
  <c r="H1049" i="2"/>
  <c r="I1049" i="2"/>
  <c r="J1049" i="2"/>
  <c r="K1049" i="2"/>
  <c r="B1050" i="2"/>
  <c r="C1050" i="2"/>
  <c r="D1050" i="2"/>
  <c r="E1050" i="2"/>
  <c r="F1050" i="2"/>
  <c r="G1050" i="2"/>
  <c r="H1050" i="2"/>
  <c r="I1050" i="2"/>
  <c r="J1050" i="2"/>
  <c r="K1050" i="2"/>
  <c r="B1051" i="2"/>
  <c r="C1051" i="2"/>
  <c r="D1051" i="2"/>
  <c r="E1051" i="2"/>
  <c r="F1051" i="2"/>
  <c r="G1051" i="2"/>
  <c r="H1051" i="2"/>
  <c r="I1051" i="2"/>
  <c r="J1051" i="2"/>
  <c r="K1051" i="2"/>
  <c r="B1052" i="2"/>
  <c r="C1052" i="2"/>
  <c r="D1052" i="2"/>
  <c r="E1052" i="2"/>
  <c r="F1052" i="2"/>
  <c r="G1052" i="2"/>
  <c r="H1052" i="2"/>
  <c r="I1052" i="2"/>
  <c r="J1052" i="2"/>
  <c r="K1052" i="2"/>
  <c r="B1053" i="2"/>
  <c r="C1053" i="2"/>
  <c r="D1053" i="2"/>
  <c r="E1053" i="2"/>
  <c r="F1053" i="2"/>
  <c r="G1053" i="2"/>
  <c r="H1053" i="2"/>
  <c r="I1053" i="2"/>
  <c r="J1053" i="2"/>
  <c r="K1053" i="2"/>
  <c r="B1054" i="2"/>
  <c r="C1054" i="2"/>
  <c r="D1054" i="2"/>
  <c r="E1054" i="2"/>
  <c r="F1054" i="2"/>
  <c r="G1054" i="2"/>
  <c r="H1054" i="2"/>
  <c r="I1054" i="2"/>
  <c r="J1054" i="2"/>
  <c r="K1054" i="2"/>
  <c r="B1055" i="2"/>
  <c r="C1055" i="2"/>
  <c r="D1055" i="2"/>
  <c r="E1055" i="2"/>
  <c r="F1055" i="2"/>
  <c r="G1055" i="2"/>
  <c r="H1055" i="2"/>
  <c r="I1055" i="2"/>
  <c r="J1055" i="2"/>
  <c r="K1055" i="2"/>
  <c r="F1057" i="2"/>
  <c r="G1057" i="2"/>
  <c r="I1057" i="2"/>
  <c r="J1057" i="2"/>
  <c r="E1058" i="2"/>
  <c r="F1058" i="2"/>
  <c r="G1058" i="2"/>
  <c r="H1058" i="2"/>
  <c r="I1058" i="2"/>
  <c r="E1059" i="2"/>
  <c r="F1059" i="2"/>
  <c r="G1059" i="2"/>
  <c r="H1059" i="2"/>
  <c r="B1060" i="2"/>
  <c r="C1060" i="2"/>
  <c r="E1060" i="2"/>
  <c r="G1060" i="2"/>
  <c r="K1060" i="2"/>
  <c r="B1061" i="2"/>
  <c r="C1061" i="2"/>
  <c r="E1061" i="2"/>
  <c r="F1061" i="2"/>
  <c r="J1061" i="2"/>
  <c r="B1062" i="2"/>
  <c r="C1062" i="2"/>
  <c r="E1062" i="2"/>
  <c r="I1062" i="2"/>
  <c r="J1062" i="2"/>
  <c r="K1062" i="2"/>
  <c r="B1063" i="2"/>
  <c r="H1063" i="2"/>
  <c r="I1063" i="2"/>
  <c r="J1063" i="2"/>
  <c r="K1063" i="2"/>
  <c r="B1064" i="2"/>
  <c r="G1064" i="2"/>
  <c r="H1064" i="2"/>
  <c r="J1064" i="2"/>
  <c r="K1064" i="2"/>
  <c r="F1065" i="2"/>
  <c r="G1065" i="2"/>
  <c r="H1065" i="2"/>
  <c r="I1065" i="2"/>
  <c r="J1065" i="2"/>
  <c r="F1066" i="2"/>
  <c r="G1066" i="2"/>
  <c r="H1066" i="2"/>
  <c r="I1066" i="2"/>
  <c r="C1067" i="2"/>
  <c r="E1067" i="2"/>
  <c r="F1067" i="2"/>
  <c r="H1067" i="2"/>
  <c r="B1068" i="2"/>
  <c r="C1068" i="2"/>
  <c r="E1068" i="2"/>
  <c r="F1068" i="2"/>
  <c r="G1068" i="2"/>
  <c r="K1068" i="2"/>
  <c r="C1069" i="2"/>
  <c r="E1069" i="2"/>
  <c r="F1069" i="2"/>
  <c r="J1069" i="2"/>
  <c r="K1069" i="2"/>
  <c r="B1070" i="2"/>
  <c r="C1070" i="2"/>
  <c r="I1070" i="2"/>
  <c r="J1070" i="2"/>
  <c r="K1070" i="2"/>
  <c r="B1071" i="2"/>
  <c r="C1071" i="2"/>
  <c r="H1071" i="2"/>
  <c r="I1071" i="2"/>
  <c r="K1071" i="2"/>
  <c r="B1072" i="2"/>
  <c r="G1072" i="2"/>
  <c r="H1072" i="2"/>
  <c r="I1072" i="2"/>
  <c r="J1072" i="2"/>
  <c r="K1072" i="2"/>
  <c r="G1073" i="2"/>
  <c r="H1073" i="2"/>
  <c r="I1073" i="2"/>
  <c r="J1073" i="2"/>
  <c r="E1074" i="2"/>
  <c r="F1074" i="2"/>
  <c r="G1074" i="2"/>
  <c r="I1074" i="2"/>
  <c r="C1075" i="2"/>
  <c r="E1075" i="2"/>
  <c r="F1075" i="2"/>
  <c r="G1075" i="2"/>
  <c r="E1076" i="2"/>
  <c r="G1076" i="2"/>
  <c r="K1076" i="2"/>
  <c r="B1077" i="2"/>
  <c r="C1077" i="2"/>
  <c r="E1077" i="2"/>
  <c r="K1077" i="2"/>
  <c r="C1078" i="2"/>
  <c r="E1078" i="2"/>
  <c r="I1078" i="2"/>
  <c r="C1079" i="2"/>
  <c r="I1079" i="2"/>
  <c r="J1079" i="2"/>
  <c r="K1079" i="2"/>
  <c r="I1080" i="2"/>
  <c r="K1080" i="2"/>
  <c r="A1081" i="2"/>
  <c r="E1081" i="2"/>
  <c r="I1081" i="2"/>
  <c r="A1082" i="2"/>
  <c r="B1082" i="2"/>
  <c r="C1082" i="2"/>
  <c r="E1082" i="2"/>
  <c r="K1082" i="2"/>
  <c r="A1083" i="2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C1083" i="2"/>
  <c r="E1083" i="2"/>
  <c r="I1083" i="2"/>
  <c r="G1084" i="2"/>
  <c r="H1084" i="2"/>
  <c r="I1084" i="2"/>
  <c r="K1084" i="2"/>
  <c r="G1085" i="2"/>
  <c r="I1085" i="2"/>
  <c r="B1086" i="2"/>
  <c r="C1086" i="2"/>
  <c r="E1086" i="2"/>
  <c r="G1086" i="2"/>
  <c r="K1086" i="2"/>
  <c r="B1087" i="2"/>
  <c r="C1087" i="2"/>
  <c r="E1087" i="2"/>
  <c r="I1087" i="2"/>
  <c r="K1087" i="2"/>
  <c r="G1088" i="2"/>
  <c r="H1088" i="2"/>
  <c r="I1088" i="2"/>
  <c r="E1089" i="2"/>
  <c r="G1089" i="2"/>
  <c r="H1089" i="2"/>
  <c r="I1089" i="2"/>
  <c r="C1090" i="2"/>
  <c r="G1090" i="2"/>
  <c r="K1090" i="2"/>
  <c r="B1091" i="2"/>
  <c r="C1091" i="2"/>
  <c r="E1091" i="2"/>
  <c r="K1091" i="2"/>
  <c r="B1092" i="2"/>
  <c r="G1092" i="2"/>
  <c r="I1092" i="2"/>
  <c r="K1092" i="2"/>
  <c r="E1093" i="2"/>
  <c r="G1093" i="2"/>
  <c r="H1093" i="2"/>
  <c r="I1093" i="2"/>
  <c r="E1094" i="2"/>
  <c r="G1094" i="2"/>
  <c r="J1094" i="2"/>
  <c r="K1094" i="2"/>
  <c r="I1095" i="2"/>
  <c r="J1095" i="2"/>
  <c r="K1095" i="2"/>
  <c r="I1096" i="2"/>
  <c r="J1096" i="2"/>
  <c r="K1096" i="2"/>
  <c r="E1097" i="2"/>
  <c r="I1097" i="2"/>
  <c r="B1098" i="2"/>
  <c r="E1098" i="2"/>
  <c r="K1098" i="2"/>
  <c r="B1099" i="2"/>
  <c r="E1099" i="2"/>
  <c r="K1099" i="2"/>
  <c r="B1100" i="2"/>
  <c r="G1100" i="2"/>
  <c r="K1100" i="2"/>
  <c r="C1101" i="2"/>
  <c r="E1101" i="2"/>
  <c r="G1101" i="2"/>
  <c r="C1102" i="2"/>
  <c r="E1102" i="2"/>
  <c r="G1102" i="2"/>
  <c r="C1103" i="2"/>
  <c r="E1103" i="2"/>
  <c r="I1103" i="2"/>
  <c r="F1104" i="2"/>
  <c r="G1104" i="2"/>
  <c r="I1104" i="2"/>
  <c r="J1104" i="2" l="1"/>
  <c r="J1103" i="2"/>
  <c r="J1102" i="2"/>
  <c r="F1102" i="2"/>
  <c r="F1101" i="2"/>
  <c r="F1100" i="2"/>
  <c r="F1098" i="2"/>
  <c r="F1097" i="2"/>
  <c r="F1096" i="2"/>
  <c r="J1092" i="2"/>
  <c r="J1087" i="2"/>
  <c r="F1086" i="2"/>
  <c r="F1077" i="2"/>
  <c r="H1074" i="2"/>
  <c r="F1073" i="2"/>
  <c r="J1071" i="2"/>
  <c r="B1069" i="2"/>
  <c r="F1060" i="2"/>
  <c r="H1057" i="2"/>
  <c r="B1103" i="3"/>
  <c r="F1100" i="3"/>
  <c r="C1095" i="2"/>
  <c r="C1094" i="2"/>
  <c r="I1091" i="2"/>
  <c r="E1090" i="2"/>
  <c r="K1088" i="2"/>
  <c r="E1085" i="2"/>
  <c r="K1083" i="2"/>
  <c r="G1082" i="2"/>
  <c r="G1081" i="2"/>
  <c r="G1080" i="2"/>
  <c r="K1078" i="2"/>
  <c r="C1076" i="2"/>
  <c r="E1070" i="2"/>
  <c r="G1067" i="2"/>
  <c r="E1066" i="2"/>
  <c r="I1064" i="2"/>
  <c r="C1063" i="2"/>
  <c r="K1061" i="2"/>
  <c r="C1059" i="2"/>
  <c r="B1104" i="2"/>
  <c r="H1104" i="2"/>
  <c r="B1103" i="2"/>
  <c r="H1103" i="2"/>
  <c r="B1102" i="2"/>
  <c r="H1101" i="2"/>
  <c r="J1100" i="2"/>
  <c r="H1100" i="2"/>
  <c r="J1099" i="2"/>
  <c r="H1099" i="2"/>
  <c r="J1098" i="2"/>
  <c r="H1097" i="2"/>
  <c r="B1096" i="2"/>
  <c r="H1096" i="2"/>
  <c r="B1095" i="2"/>
  <c r="H1095" i="2"/>
  <c r="B1094" i="2"/>
  <c r="F1094" i="2"/>
  <c r="F1093" i="2"/>
  <c r="H1092" i="2"/>
  <c r="J1091" i="2"/>
  <c r="B1090" i="2"/>
  <c r="F1090" i="2"/>
  <c r="F1089" i="2"/>
  <c r="J1088" i="2"/>
  <c r="B1088" i="2"/>
  <c r="F1085" i="2"/>
  <c r="H1085" i="2"/>
  <c r="J1084" i="2"/>
  <c r="B1084" i="2"/>
  <c r="J1083" i="2"/>
  <c r="B1083" i="2"/>
  <c r="F1082" i="2"/>
  <c r="F1081" i="2"/>
  <c r="H1081" i="2"/>
  <c r="J1080" i="2"/>
  <c r="B1080" i="2"/>
  <c r="H1080" i="2"/>
  <c r="B1079" i="2"/>
  <c r="H1079" i="2"/>
  <c r="J1078" i="2"/>
  <c r="B1078" i="2"/>
  <c r="J1077" i="2"/>
  <c r="B1076" i="2"/>
  <c r="F1076" i="2"/>
  <c r="H1075" i="2"/>
  <c r="G1104" i="3"/>
  <c r="H1104" i="3"/>
  <c r="I1104" i="3"/>
  <c r="C1103" i="3"/>
  <c r="D1103" i="3"/>
  <c r="I1103" i="3"/>
  <c r="I1102" i="3"/>
  <c r="B1102" i="3"/>
  <c r="C1102" i="3"/>
  <c r="D1101" i="3"/>
  <c r="F1101" i="3"/>
  <c r="G1101" i="3"/>
  <c r="G1100" i="3"/>
  <c r="H1100" i="3"/>
  <c r="I1100" i="3"/>
  <c r="D1099" i="3"/>
  <c r="I1099" i="3"/>
  <c r="I1098" i="3"/>
  <c r="C1098" i="3"/>
  <c r="K1104" i="2"/>
  <c r="K1103" i="2"/>
  <c r="K1102" i="2"/>
  <c r="I1101" i="2"/>
  <c r="I1100" i="2"/>
  <c r="I1099" i="2"/>
  <c r="C1099" i="2"/>
  <c r="C1098" i="2"/>
  <c r="G1098" i="2"/>
  <c r="C1097" i="2"/>
  <c r="G1097" i="2"/>
  <c r="G1096" i="2"/>
  <c r="E1095" i="2"/>
  <c r="AC1053" i="4"/>
  <c r="AC1044" i="4"/>
  <c r="AC1043" i="4"/>
  <c r="AD1038" i="4"/>
  <c r="AC1035" i="4"/>
  <c r="AC1032" i="4"/>
  <c r="AC1031" i="4"/>
  <c r="AC1030" i="4"/>
  <c r="AC1012" i="4"/>
  <c r="AD1008" i="4"/>
  <c r="AD1006" i="4"/>
  <c r="AC1003" i="4"/>
  <c r="AD996" i="4"/>
  <c r="AC983" i="4"/>
  <c r="AC972" i="4"/>
  <c r="AD955" i="4"/>
  <c r="AD954" i="4"/>
  <c r="AC948" i="4"/>
  <c r="AC947" i="4"/>
  <c r="AD944" i="4"/>
  <c r="AD942" i="4"/>
  <c r="AC939" i="4"/>
  <c r="AD920" i="4"/>
  <c r="AC920" i="4"/>
  <c r="AD912" i="4"/>
  <c r="AD910" i="4"/>
  <c r="AC907" i="4"/>
  <c r="AC904" i="4"/>
  <c r="AC896" i="4"/>
  <c r="AC892" i="4"/>
  <c r="AD888" i="4"/>
  <c r="AC875" i="4"/>
  <c r="AC872" i="4"/>
  <c r="AD868" i="4"/>
  <c r="AC864" i="4"/>
  <c r="AD858" i="4"/>
  <c r="AD857" i="4"/>
  <c r="AC834" i="4"/>
  <c r="AC820" i="4"/>
  <c r="AD816" i="4"/>
  <c r="AD814" i="4"/>
  <c r="AC811" i="4"/>
  <c r="AD804" i="4"/>
  <c r="AC800" i="4"/>
  <c r="D1098" i="3"/>
  <c r="D1097" i="3"/>
  <c r="E1097" i="3"/>
  <c r="H1096" i="3"/>
  <c r="I1096" i="3"/>
  <c r="D1095" i="3"/>
  <c r="H1095" i="3"/>
  <c r="I1094" i="3"/>
  <c r="B1094" i="3"/>
  <c r="C1094" i="3"/>
  <c r="D1093" i="3"/>
  <c r="E1093" i="3"/>
  <c r="G1093" i="3"/>
  <c r="H1092" i="3"/>
  <c r="I1092" i="3"/>
  <c r="D1091" i="3"/>
  <c r="I1091" i="3"/>
  <c r="I1090" i="3"/>
  <c r="C1090" i="3"/>
  <c r="D1090" i="3"/>
  <c r="E1090" i="3"/>
  <c r="D1089" i="3"/>
  <c r="E1089" i="3"/>
  <c r="H1088" i="3"/>
  <c r="I1088" i="3"/>
  <c r="D1087" i="3"/>
  <c r="H1087" i="3"/>
  <c r="I1087" i="3"/>
  <c r="I1086" i="3"/>
  <c r="B1086" i="3"/>
  <c r="C1086" i="3"/>
  <c r="D1085" i="3"/>
  <c r="E1085" i="3"/>
  <c r="F1085" i="3"/>
  <c r="H1084" i="3"/>
  <c r="I1084" i="3"/>
  <c r="D1083" i="3"/>
  <c r="I1083" i="3"/>
  <c r="I1082" i="3"/>
  <c r="C1082" i="3"/>
  <c r="D1082" i="3"/>
  <c r="D1081" i="3"/>
  <c r="E1081" i="3"/>
  <c r="F1081" i="3"/>
  <c r="H1080" i="3"/>
  <c r="I1080" i="3"/>
  <c r="D1079" i="3"/>
  <c r="E1079" i="3"/>
  <c r="G1079" i="3"/>
  <c r="H1079" i="3"/>
  <c r="H1078" i="3"/>
  <c r="I1078" i="3"/>
  <c r="C1078" i="3"/>
  <c r="D1077" i="3"/>
  <c r="E1077" i="3"/>
  <c r="I1077" i="3"/>
  <c r="H1076" i="3"/>
  <c r="I1076" i="3"/>
  <c r="B1076" i="3"/>
  <c r="C1076" i="3"/>
  <c r="D1075" i="3"/>
  <c r="E1075" i="3"/>
  <c r="F1075" i="3"/>
  <c r="H1074" i="3"/>
  <c r="I1074" i="3"/>
  <c r="D1074" i="3"/>
  <c r="E1074" i="3"/>
  <c r="D1073" i="3"/>
  <c r="E1073" i="3"/>
  <c r="H1073" i="3"/>
  <c r="F1072" i="3"/>
  <c r="G1072" i="3"/>
  <c r="H1072" i="3"/>
  <c r="D1071" i="3"/>
  <c r="E1071" i="3"/>
  <c r="H1070" i="3"/>
  <c r="I1070" i="3"/>
  <c r="C1070" i="3"/>
  <c r="B1069" i="3"/>
  <c r="E1069" i="3"/>
  <c r="H1068" i="3"/>
  <c r="I1068" i="3"/>
  <c r="E1068" i="3"/>
  <c r="C1067" i="3"/>
  <c r="D1067" i="3"/>
  <c r="E1067" i="3"/>
  <c r="F1067" i="3"/>
  <c r="H1066" i="3"/>
  <c r="I1066" i="3"/>
  <c r="D1065" i="3"/>
  <c r="E1065" i="3"/>
  <c r="F1065" i="3"/>
  <c r="H1064" i="3"/>
  <c r="I1064" i="3"/>
  <c r="D1063" i="3"/>
  <c r="E1063" i="3"/>
  <c r="G1063" i="3"/>
  <c r="H1063" i="3"/>
  <c r="H1062" i="3"/>
  <c r="I1062" i="3"/>
  <c r="D1061" i="3"/>
  <c r="E1061" i="3"/>
  <c r="I1061" i="3"/>
  <c r="H1060" i="3"/>
  <c r="I1060" i="3"/>
  <c r="B1060" i="3"/>
  <c r="C1060" i="3"/>
  <c r="E1060" i="3"/>
  <c r="D1059" i="3"/>
  <c r="E1059" i="3"/>
  <c r="F1059" i="3"/>
  <c r="H1058" i="3"/>
  <c r="I1058" i="3"/>
  <c r="D1058" i="3"/>
  <c r="E1058" i="3"/>
  <c r="B1057" i="3"/>
  <c r="C1057" i="3"/>
  <c r="D1057" i="3"/>
  <c r="E1057" i="3"/>
  <c r="AC1049" i="4"/>
  <c r="AD1037" i="4"/>
  <c r="AC1033" i="4"/>
  <c r="AC1027" i="4"/>
  <c r="AC1016" i="4"/>
  <c r="AD1005" i="4"/>
  <c r="AC989" i="4"/>
  <c r="AC980" i="4"/>
  <c r="AC971" i="4"/>
  <c r="AC960" i="4"/>
  <c r="AD952" i="4"/>
  <c r="AD941" i="4"/>
  <c r="AC924" i="4"/>
  <c r="AD909" i="4"/>
  <c r="AD903" i="4"/>
  <c r="AD897" i="4"/>
  <c r="AC893" i="4"/>
  <c r="AC885" i="4"/>
  <c r="AD877" i="4"/>
  <c r="AD856" i="4"/>
  <c r="AC856" i="4"/>
  <c r="AD848" i="4"/>
  <c r="AD846" i="4"/>
  <c r="AC843" i="4"/>
  <c r="AC840" i="4"/>
  <c r="AD836" i="4"/>
  <c r="AC836" i="4"/>
  <c r="AC831" i="4"/>
  <c r="AC825" i="4"/>
  <c r="AD813" i="4"/>
  <c r="AD811" i="4"/>
  <c r="AD801" i="4"/>
  <c r="AC796" i="4"/>
  <c r="AC795" i="4"/>
  <c r="AC784" i="4"/>
  <c r="AD1051" i="4"/>
  <c r="AD1050" i="4"/>
  <c r="AD1042" i="4"/>
  <c r="AD1041" i="4"/>
  <c r="AD1031" i="4"/>
  <c r="AD1030" i="4"/>
  <c r="AC1017" i="4"/>
  <c r="AC995" i="4"/>
  <c r="AC994" i="4"/>
  <c r="AD991" i="4"/>
  <c r="AD990" i="4"/>
  <c r="AC977" i="4"/>
  <c r="AC975" i="4"/>
  <c r="AD973" i="4"/>
  <c r="AD971" i="4"/>
  <c r="AC956" i="4"/>
  <c r="AC943" i="4"/>
  <c r="AC931" i="4"/>
  <c r="AC930" i="4"/>
  <c r="AD926" i="4"/>
  <c r="AC921" i="4"/>
  <c r="AC911" i="4"/>
  <c r="AC910" i="4"/>
  <c r="AD908" i="4"/>
  <c r="AC889" i="4"/>
  <c r="AD876" i="4"/>
  <c r="AC867" i="4"/>
  <c r="AC860" i="4"/>
  <c r="AC805" i="4"/>
  <c r="AC803" i="4"/>
  <c r="AC802" i="4"/>
  <c r="AC793" i="4"/>
  <c r="AC788" i="4"/>
  <c r="G1096" i="3"/>
  <c r="B1095" i="3"/>
  <c r="C1095" i="3"/>
  <c r="F1092" i="3"/>
  <c r="G1092" i="3"/>
  <c r="B1087" i="3"/>
  <c r="C1087" i="3"/>
  <c r="G1084" i="3"/>
  <c r="B1079" i="3"/>
  <c r="G1074" i="3"/>
  <c r="B1071" i="3"/>
  <c r="G1066" i="3"/>
  <c r="B1063" i="3"/>
  <c r="AD1048" i="4"/>
  <c r="AC1040" i="4"/>
  <c r="AC1036" i="4"/>
  <c r="AD1028" i="4"/>
  <c r="AC1024" i="4"/>
  <c r="AC1023" i="4"/>
  <c r="AD1019" i="4"/>
  <c r="AD1018" i="4"/>
  <c r="AD1017" i="4"/>
  <c r="AC1008" i="4"/>
  <c r="AC1001" i="4"/>
  <c r="AD988" i="4"/>
  <c r="AC988" i="4"/>
  <c r="AC985" i="4"/>
  <c r="AD972" i="4"/>
  <c r="AC965" i="4"/>
  <c r="AC963" i="4"/>
  <c r="AC962" i="4"/>
  <c r="AD959" i="4"/>
  <c r="AD958" i="4"/>
  <c r="AC953" i="4"/>
  <c r="AC937" i="4"/>
  <c r="AC936" i="4"/>
  <c r="AD933" i="4"/>
  <c r="AD923" i="4"/>
  <c r="AC923" i="4"/>
  <c r="AD922" i="4"/>
  <c r="AD921" i="4"/>
  <c r="AC895" i="4"/>
  <c r="AD892" i="4"/>
  <c r="AD891" i="4"/>
  <c r="AD890" i="4"/>
  <c r="AD880" i="4"/>
  <c r="AC880" i="4"/>
  <c r="AC876" i="4"/>
  <c r="AD871" i="4"/>
  <c r="AD870" i="4"/>
  <c r="AD869" i="4"/>
  <c r="AC857" i="4"/>
  <c r="AC853" i="4"/>
  <c r="AC848" i="4"/>
  <c r="AC847" i="4"/>
  <c r="AC846" i="4"/>
  <c r="AD844" i="4"/>
  <c r="AD833" i="4"/>
  <c r="AC827" i="4"/>
  <c r="AD824" i="4"/>
  <c r="AC824" i="4"/>
  <c r="AC812" i="4"/>
  <c r="AD795" i="4"/>
  <c r="AD794" i="4"/>
  <c r="AC779" i="4"/>
  <c r="AC750" i="4"/>
  <c r="AC733" i="4"/>
  <c r="AC700" i="4"/>
  <c r="AC696" i="4"/>
  <c r="AC692" i="4"/>
  <c r="AC665" i="4"/>
  <c r="AC648" i="4"/>
  <c r="AC635" i="4"/>
  <c r="AC617" i="4"/>
  <c r="AC592" i="4"/>
  <c r="AC589" i="4"/>
  <c r="Q1105" i="4"/>
  <c r="AC575" i="4"/>
  <c r="AD573" i="4"/>
  <c r="AD548" i="4"/>
  <c r="K1101" i="4"/>
  <c r="C1101" i="4"/>
  <c r="AC529" i="4"/>
  <c r="AC524" i="4"/>
  <c r="T1100" i="4"/>
  <c r="L1100" i="4"/>
  <c r="AC523" i="4"/>
  <c r="X1100" i="4"/>
  <c r="S1099" i="4"/>
  <c r="AC513" i="4"/>
  <c r="AD792" i="4"/>
  <c r="AD781" i="4"/>
  <c r="AC776" i="4"/>
  <c r="AC775" i="4"/>
  <c r="AC774" i="4"/>
  <c r="AD769" i="4"/>
  <c r="AD760" i="4"/>
  <c r="AC760" i="4"/>
  <c r="AD752" i="4"/>
  <c r="AC752" i="4"/>
  <c r="AC748" i="4"/>
  <c r="AC745" i="4"/>
  <c r="AC729" i="4"/>
  <c r="AD723" i="4"/>
  <c r="AD722" i="4"/>
  <c r="AD721" i="4"/>
  <c r="AD716" i="4"/>
  <c r="AC713" i="4"/>
  <c r="AC707" i="4"/>
  <c r="AD688" i="4"/>
  <c r="AD686" i="4"/>
  <c r="AC683" i="4"/>
  <c r="AD676" i="4"/>
  <c r="AD666" i="4"/>
  <c r="AD659" i="4"/>
  <c r="AD658" i="4"/>
  <c r="AD657" i="4"/>
  <c r="AD652" i="4"/>
  <c r="AC643" i="4"/>
  <c r="AC642" i="4"/>
  <c r="AC636" i="4"/>
  <c r="AD630" i="4"/>
  <c r="AC623" i="4"/>
  <c r="AC619" i="4"/>
  <c r="AC614" i="4"/>
  <c r="AC607" i="4"/>
  <c r="AC603" i="4"/>
  <c r="AD592" i="4"/>
  <c r="AD589" i="4"/>
  <c r="AD581" i="4"/>
  <c r="R1105" i="4"/>
  <c r="J1105" i="4"/>
  <c r="B1105" i="4"/>
  <c r="AC574" i="4"/>
  <c r="AC571" i="4"/>
  <c r="AC562" i="4"/>
  <c r="V1102" i="4"/>
  <c r="AC548" i="4"/>
  <c r="AC547" i="4"/>
  <c r="X1101" i="4"/>
  <c r="AD534" i="4"/>
  <c r="H1101" i="4"/>
  <c r="AD527" i="4"/>
  <c r="AC527" i="4"/>
  <c r="AD526" i="4"/>
  <c r="W1100" i="4"/>
  <c r="O1100" i="4"/>
  <c r="G1100" i="4"/>
  <c r="AC516" i="4"/>
  <c r="AD511" i="4"/>
  <c r="AD510" i="4"/>
  <c r="AD787" i="4"/>
  <c r="AD786" i="4"/>
  <c r="AD785" i="4"/>
  <c r="AC783" i="4"/>
  <c r="AD780" i="4"/>
  <c r="AC771" i="4"/>
  <c r="AC770" i="4"/>
  <c r="AC762" i="4"/>
  <c r="AC747" i="4"/>
  <c r="AD740" i="4"/>
  <c r="AC740" i="4"/>
  <c r="AD732" i="4"/>
  <c r="AD731" i="4"/>
  <c r="AD730" i="4"/>
  <c r="AD720" i="4"/>
  <c r="AC720" i="4"/>
  <c r="AC716" i="4"/>
  <c r="AD711" i="4"/>
  <c r="AD710" i="4"/>
  <c r="AC697" i="4"/>
  <c r="AD685" i="4"/>
  <c r="AD673" i="4"/>
  <c r="AC669" i="4"/>
  <c r="AD664" i="4"/>
  <c r="AD656" i="4"/>
  <c r="AC656" i="4"/>
  <c r="AC652" i="4"/>
  <c r="AD647" i="4"/>
  <c r="AD646" i="4"/>
  <c r="AD645" i="4"/>
  <c r="AC620" i="4"/>
  <c r="AD617" i="4"/>
  <c r="AD616" i="4"/>
  <c r="AD615" i="4"/>
  <c r="AC613" i="4"/>
  <c r="AC606" i="4"/>
  <c r="AC604" i="4"/>
  <c r="AC598" i="4"/>
  <c r="AC591" i="4"/>
  <c r="AC587" i="4"/>
  <c r="AC582" i="4"/>
  <c r="AC580" i="4"/>
  <c r="H1105" i="4"/>
  <c r="AD575" i="4"/>
  <c r="AC572" i="4"/>
  <c r="W1104" i="4"/>
  <c r="O1104" i="4"/>
  <c r="U1104" i="4"/>
  <c r="AD564" i="4"/>
  <c r="AC558" i="4"/>
  <c r="U1103" i="4"/>
  <c r="E1103" i="4"/>
  <c r="Q1102" i="4"/>
  <c r="I1102" i="4"/>
  <c r="J1100" i="4"/>
  <c r="B1100" i="4"/>
  <c r="S1100" i="4"/>
  <c r="K1100" i="4"/>
  <c r="AC777" i="4"/>
  <c r="AD774" i="4"/>
  <c r="AD773" i="4"/>
  <c r="AD764" i="4"/>
  <c r="AC761" i="4"/>
  <c r="AC757" i="4"/>
  <c r="AC753" i="4"/>
  <c r="AD749" i="4"/>
  <c r="AC736" i="4"/>
  <c r="AC732" i="4"/>
  <c r="AD728" i="4"/>
  <c r="AC725" i="4"/>
  <c r="AD718" i="4"/>
  <c r="AC715" i="4"/>
  <c r="AD708" i="4"/>
  <c r="AC704" i="4"/>
  <c r="AD698" i="4"/>
  <c r="AD697" i="4"/>
  <c r="AC687" i="4"/>
  <c r="AC686" i="4"/>
  <c r="AD684" i="4"/>
  <c r="AC675" i="4"/>
  <c r="AC674" i="4"/>
  <c r="AC660" i="4"/>
  <c r="AD654" i="4"/>
  <c r="AC651" i="4"/>
  <c r="AD644" i="4"/>
  <c r="AD635" i="4"/>
  <c r="AD631" i="4"/>
  <c r="AC631" i="4"/>
  <c r="AD623" i="4"/>
  <c r="AD622" i="4"/>
  <c r="AC621" i="4"/>
  <c r="AC616" i="4"/>
  <c r="AC609" i="4"/>
  <c r="AD607" i="4"/>
  <c r="AD606" i="4"/>
  <c r="AC605" i="4"/>
  <c r="AC593" i="4"/>
  <c r="AC588" i="4"/>
  <c r="C1105" i="4"/>
  <c r="AD570" i="4"/>
  <c r="AC570" i="4"/>
  <c r="AC566" i="4"/>
  <c r="T1104" i="4"/>
  <c r="L1104" i="4"/>
  <c r="D1104" i="4"/>
  <c r="AC564" i="4"/>
  <c r="T1103" i="4"/>
  <c r="AC563" i="4"/>
  <c r="AD561" i="4"/>
  <c r="AC561" i="4"/>
  <c r="AD560" i="4"/>
  <c r="AD559" i="4"/>
  <c r="X1103" i="4"/>
  <c r="P1103" i="4"/>
  <c r="H1103" i="4"/>
  <c r="X1102" i="4"/>
  <c r="AD550" i="4"/>
  <c r="AC550" i="4"/>
  <c r="J1102" i="4"/>
  <c r="AD547" i="4"/>
  <c r="AD546" i="4"/>
  <c r="AC541" i="4"/>
  <c r="AD538" i="4"/>
  <c r="AC532" i="4"/>
  <c r="AC531" i="4"/>
  <c r="AD529" i="4"/>
  <c r="Q1100" i="4"/>
  <c r="I1100" i="4"/>
  <c r="AC511" i="4"/>
  <c r="AC509" i="4"/>
  <c r="W1099" i="4"/>
  <c r="AD504" i="4"/>
  <c r="Q1098" i="4"/>
  <c r="I1098" i="4"/>
  <c r="AD495" i="4"/>
  <c r="AC488" i="4"/>
  <c r="I1097" i="4"/>
  <c r="S1097" i="4"/>
  <c r="K1097" i="4"/>
  <c r="AC479" i="4"/>
  <c r="V1096" i="4"/>
  <c r="N1096" i="4"/>
  <c r="F1096" i="4"/>
  <c r="V1095" i="4"/>
  <c r="AD466" i="4"/>
  <c r="AC466" i="4"/>
  <c r="S1095" i="4"/>
  <c r="K1095" i="4"/>
  <c r="D1095" i="4"/>
  <c r="AD461" i="4"/>
  <c r="AC446" i="4"/>
  <c r="L1093" i="4"/>
  <c r="AC443" i="4"/>
  <c r="Q1093" i="4"/>
  <c r="AD435" i="4"/>
  <c r="AD429" i="4"/>
  <c r="AD426" i="4"/>
  <c r="AD423" i="4"/>
  <c r="AC423" i="4"/>
  <c r="AD419" i="4"/>
  <c r="AC417" i="4"/>
  <c r="AD416" i="4"/>
  <c r="Q1091" i="4"/>
  <c r="I1091" i="4"/>
  <c r="AD409" i="4"/>
  <c r="AD405" i="4"/>
  <c r="S1090" i="4"/>
  <c r="K1090" i="4"/>
  <c r="AC398" i="4"/>
  <c r="AC396" i="4"/>
  <c r="AC395" i="4"/>
  <c r="I1088" i="4"/>
  <c r="AC362" i="4"/>
  <c r="AC359" i="4"/>
  <c r="AC352" i="4"/>
  <c r="N1086" i="4"/>
  <c r="F1086" i="4"/>
  <c r="AC344" i="4"/>
  <c r="X1085" i="4"/>
  <c r="H1085" i="4"/>
  <c r="AD332" i="4"/>
  <c r="X1083" i="4"/>
  <c r="AC317" i="4"/>
  <c r="V1083" i="4"/>
  <c r="F1083" i="4"/>
  <c r="AD303" i="4"/>
  <c r="AC292" i="4"/>
  <c r="AC289" i="4"/>
  <c r="AD281" i="4"/>
  <c r="Q1079" i="4"/>
  <c r="I1079" i="4"/>
  <c r="R1079" i="4"/>
  <c r="J1079" i="4"/>
  <c r="B1079" i="4"/>
  <c r="L1078" i="4"/>
  <c r="AC252" i="4"/>
  <c r="AD250" i="4"/>
  <c r="AC250" i="4"/>
  <c r="U1098" i="4"/>
  <c r="E1098" i="4"/>
  <c r="AC490" i="4"/>
  <c r="X1097" i="4"/>
  <c r="P1097" i="4"/>
  <c r="H1097" i="4"/>
  <c r="R1097" i="4"/>
  <c r="J1097" i="4"/>
  <c r="AC478" i="4"/>
  <c r="U1096" i="4"/>
  <c r="E1096" i="4"/>
  <c r="AC459" i="4"/>
  <c r="AD449" i="4"/>
  <c r="AD448" i="4"/>
  <c r="AD447" i="4"/>
  <c r="AC444" i="4"/>
  <c r="W1093" i="4"/>
  <c r="O1093" i="4"/>
  <c r="U1092" i="4"/>
  <c r="AC421" i="4"/>
  <c r="V1091" i="4"/>
  <c r="H1091" i="4"/>
  <c r="AC411" i="4"/>
  <c r="AC408" i="4"/>
  <c r="I1090" i="4"/>
  <c r="R1090" i="4"/>
  <c r="J1090" i="4"/>
  <c r="AD399" i="4"/>
  <c r="AD398" i="4"/>
  <c r="R1088" i="4"/>
  <c r="J1088" i="4"/>
  <c r="B1088" i="4"/>
  <c r="AD375" i="4"/>
  <c r="V1087" i="4"/>
  <c r="AC345" i="4"/>
  <c r="AD335" i="4"/>
  <c r="AC335" i="4"/>
  <c r="AC332" i="4"/>
  <c r="AD330" i="4"/>
  <c r="AD329" i="4"/>
  <c r="R1084" i="4"/>
  <c r="AC326" i="4"/>
  <c r="U1083" i="4"/>
  <c r="AD305" i="4"/>
  <c r="AD304" i="4"/>
  <c r="S1081" i="4"/>
  <c r="K1081" i="4"/>
  <c r="AC293" i="4"/>
  <c r="AC290" i="4"/>
  <c r="AC287" i="4"/>
  <c r="AC286" i="4"/>
  <c r="AD282" i="4"/>
  <c r="B1080" i="4"/>
  <c r="AD275" i="4"/>
  <c r="AC275" i="4"/>
  <c r="AC273" i="4"/>
  <c r="X1079" i="4"/>
  <c r="P1079" i="4"/>
  <c r="H1079" i="4"/>
  <c r="J1078" i="4"/>
  <c r="B1078" i="4"/>
  <c r="S1078" i="4"/>
  <c r="K1078" i="4"/>
  <c r="AC253" i="4"/>
  <c r="AC495" i="4"/>
  <c r="AD479" i="4"/>
  <c r="AD478" i="4"/>
  <c r="AC477" i="4"/>
  <c r="S1096" i="4"/>
  <c r="K1096" i="4"/>
  <c r="AC474" i="4"/>
  <c r="AC473" i="4"/>
  <c r="AC462" i="4"/>
  <c r="R1094" i="4"/>
  <c r="J1094" i="4"/>
  <c r="B1094" i="4"/>
  <c r="AC442" i="4"/>
  <c r="P1093" i="4"/>
  <c r="AD432" i="4"/>
  <c r="AD431" i="4"/>
  <c r="AC427" i="4"/>
  <c r="AD422" i="4"/>
  <c r="AC419" i="4"/>
  <c r="S1091" i="4"/>
  <c r="AC406" i="4"/>
  <c r="U1090" i="4"/>
  <c r="S1089" i="4"/>
  <c r="K1089" i="4"/>
  <c r="AC390" i="4"/>
  <c r="AC382" i="4"/>
  <c r="AC370" i="4"/>
  <c r="AC369" i="4"/>
  <c r="Q1086" i="4"/>
  <c r="I1086" i="4"/>
  <c r="K1085" i="4"/>
  <c r="C1085" i="4"/>
  <c r="U1085" i="4"/>
  <c r="E1085" i="4"/>
  <c r="Q1084" i="4"/>
  <c r="I1084" i="4"/>
  <c r="S1084" i="4"/>
  <c r="AC320" i="4"/>
  <c r="Q1081" i="4"/>
  <c r="I1081" i="4"/>
  <c r="AC291" i="4"/>
  <c r="X1080" i="4"/>
  <c r="P1080" i="4"/>
  <c r="U1080" i="4"/>
  <c r="AC270" i="4"/>
  <c r="W1079" i="4"/>
  <c r="O1079" i="4"/>
  <c r="G1079" i="4"/>
  <c r="AC258" i="4"/>
  <c r="Q1078" i="4"/>
  <c r="AD249" i="4"/>
  <c r="AC249" i="4"/>
  <c r="AC507" i="4"/>
  <c r="AD503" i="4"/>
  <c r="AC503" i="4"/>
  <c r="R1098" i="4"/>
  <c r="AC501" i="4"/>
  <c r="S1098" i="4"/>
  <c r="K1098" i="4"/>
  <c r="C1098" i="4"/>
  <c r="AD488" i="4"/>
  <c r="AD487" i="4"/>
  <c r="AC485" i="4"/>
  <c r="AD480" i="4"/>
  <c r="AD477" i="4"/>
  <c r="X1095" i="4"/>
  <c r="AD463" i="4"/>
  <c r="AD462" i="4"/>
  <c r="AC455" i="4"/>
  <c r="AD445" i="4"/>
  <c r="R1093" i="4"/>
  <c r="S1093" i="4"/>
  <c r="S1092" i="4"/>
  <c r="AC422" i="4"/>
  <c r="AD415" i="4"/>
  <c r="AC413" i="4"/>
  <c r="AC412" i="4"/>
  <c r="AC400" i="4"/>
  <c r="AC399" i="4"/>
  <c r="AD397" i="4"/>
  <c r="I1089" i="4"/>
  <c r="B1089" i="4"/>
  <c r="AC385" i="4"/>
  <c r="AC384" i="4"/>
  <c r="AC374" i="4"/>
  <c r="AC371" i="4"/>
  <c r="AD361" i="4"/>
  <c r="AC357" i="4"/>
  <c r="AC347" i="4"/>
  <c r="AD344" i="4"/>
  <c r="Q1085" i="4"/>
  <c r="I1085" i="4"/>
  <c r="R1085" i="4"/>
  <c r="J1085" i="4"/>
  <c r="B1085" i="4"/>
  <c r="T1085" i="4"/>
  <c r="L1085" i="4"/>
  <c r="AD334" i="4"/>
  <c r="AC334" i="4"/>
  <c r="AD331" i="4"/>
  <c r="AC331" i="4"/>
  <c r="AD325" i="4"/>
  <c r="AD317" i="4"/>
  <c r="AC314" i="4"/>
  <c r="O1082" i="4"/>
  <c r="G1082" i="4"/>
  <c r="AC305" i="4"/>
  <c r="AC298" i="4"/>
  <c r="AD292" i="4"/>
  <c r="AD285" i="4"/>
  <c r="AD283" i="4"/>
  <c r="AC283" i="4"/>
  <c r="AD274" i="4"/>
  <c r="AC274" i="4"/>
  <c r="AC271" i="4"/>
  <c r="S1079" i="4"/>
  <c r="K1079" i="4"/>
  <c r="C1079" i="4"/>
  <c r="X1078" i="4"/>
  <c r="P1078" i="4"/>
  <c r="H1078" i="4"/>
  <c r="AD245" i="4"/>
  <c r="AD239" i="4"/>
  <c r="AD233" i="4"/>
  <c r="I1075" i="4"/>
  <c r="T1075" i="4"/>
  <c r="AD218" i="4"/>
  <c r="L1075" i="4"/>
  <c r="AC214" i="4"/>
  <c r="K1074" i="4"/>
  <c r="C1074" i="4"/>
  <c r="AC209" i="4"/>
  <c r="Q1073" i="4"/>
  <c r="I1073" i="4"/>
  <c r="AD191" i="4"/>
  <c r="AC191" i="4"/>
  <c r="AD186" i="4"/>
  <c r="AD177" i="4"/>
  <c r="AD176" i="4"/>
  <c r="S1071" i="4"/>
  <c r="K1071" i="4"/>
  <c r="C1071" i="4"/>
  <c r="AD166" i="4"/>
  <c r="R1070" i="4"/>
  <c r="J1070" i="4"/>
  <c r="B1070" i="4"/>
  <c r="AC158" i="4"/>
  <c r="W1069" i="4"/>
  <c r="O1069" i="4"/>
  <c r="G1069" i="4"/>
  <c r="AC150" i="4"/>
  <c r="T1068" i="4"/>
  <c r="L1068" i="4"/>
  <c r="D1068" i="4"/>
  <c r="AC132" i="4"/>
  <c r="AC119" i="4"/>
  <c r="AC114" i="4"/>
  <c r="AD103" i="4"/>
  <c r="AC103" i="4"/>
  <c r="AC101" i="4"/>
  <c r="AC100" i="4"/>
  <c r="T1064" i="4"/>
  <c r="AC92" i="4"/>
  <c r="R1063" i="4"/>
  <c r="J1063" i="4"/>
  <c r="B1063" i="4"/>
  <c r="AC77" i="4"/>
  <c r="U1062" i="4"/>
  <c r="AD67" i="4"/>
  <c r="E1062" i="4"/>
  <c r="W1061" i="4"/>
  <c r="G1061" i="4"/>
  <c r="AC56" i="4"/>
  <c r="AC55" i="4"/>
  <c r="AD52" i="4"/>
  <c r="AC51" i="4"/>
  <c r="AD48" i="4"/>
  <c r="AD35" i="4"/>
  <c r="AD32" i="4"/>
  <c r="V1058" i="4"/>
  <c r="N1058" i="4"/>
  <c r="AC21" i="4"/>
  <c r="AD17" i="4"/>
  <c r="AD241" i="4"/>
  <c r="Q1076" i="4"/>
  <c r="AC239" i="4"/>
  <c r="T1076" i="4"/>
  <c r="AC233" i="4"/>
  <c r="AD222" i="4"/>
  <c r="R1075" i="4"/>
  <c r="J1075" i="4"/>
  <c r="S1075" i="4"/>
  <c r="K1075" i="4"/>
  <c r="AC217" i="4"/>
  <c r="AC215" i="4"/>
  <c r="AD207" i="4"/>
  <c r="AC207" i="4"/>
  <c r="AD192" i="4"/>
  <c r="B1072" i="4"/>
  <c r="AC182" i="4"/>
  <c r="Q1071" i="4"/>
  <c r="I1071" i="4"/>
  <c r="R1071" i="4"/>
  <c r="J1071" i="4"/>
  <c r="B1071" i="4"/>
  <c r="Q1070" i="4"/>
  <c r="I1070" i="4"/>
  <c r="V1070" i="4"/>
  <c r="N1070" i="4"/>
  <c r="F1070" i="4"/>
  <c r="X1069" i="4"/>
  <c r="P1069" i="4"/>
  <c r="H1069" i="4"/>
  <c r="AC147" i="4"/>
  <c r="AC124" i="4"/>
  <c r="E1066" i="4"/>
  <c r="U1065" i="4"/>
  <c r="E1065" i="4"/>
  <c r="Q1064" i="4"/>
  <c r="K1064" i="4"/>
  <c r="C1064" i="4"/>
  <c r="AC89" i="4"/>
  <c r="AC74" i="4"/>
  <c r="AC72" i="4"/>
  <c r="AC68" i="4"/>
  <c r="P1062" i="4"/>
  <c r="S1061" i="4"/>
  <c r="AC52" i="4"/>
  <c r="AD40" i="4"/>
  <c r="Q1060" i="4"/>
  <c r="I1060" i="4"/>
  <c r="AC31" i="4"/>
  <c r="AC26" i="4"/>
  <c r="AC25" i="4"/>
  <c r="AC24" i="4"/>
  <c r="AD22" i="4"/>
  <c r="S1077" i="4"/>
  <c r="K1077" i="4"/>
  <c r="AC241" i="4"/>
  <c r="AC234" i="4"/>
  <c r="AC226" i="4"/>
  <c r="V1075" i="4"/>
  <c r="AD190" i="4"/>
  <c r="AD189" i="4"/>
  <c r="V1072" i="4"/>
  <c r="N1072" i="4"/>
  <c r="F1072" i="4"/>
  <c r="AC178" i="4"/>
  <c r="X1071" i="4"/>
  <c r="AD168" i="4"/>
  <c r="AC165" i="4"/>
  <c r="X1070" i="4"/>
  <c r="P1070" i="4"/>
  <c r="H1070" i="4"/>
  <c r="AD149" i="4"/>
  <c r="AD143" i="4"/>
  <c r="AC142" i="4"/>
  <c r="O1068" i="4"/>
  <c r="Q1068" i="4"/>
  <c r="AC134" i="4"/>
  <c r="R1068" i="4"/>
  <c r="J1068" i="4"/>
  <c r="B1068" i="4"/>
  <c r="AC130" i="4"/>
  <c r="X1067" i="4"/>
  <c r="P1067" i="4"/>
  <c r="R1067" i="4"/>
  <c r="B1067" i="4"/>
  <c r="S1067" i="4"/>
  <c r="K1067" i="4"/>
  <c r="AD113" i="4"/>
  <c r="Q1066" i="4"/>
  <c r="AC111" i="4"/>
  <c r="B1066" i="4"/>
  <c r="L1065" i="4"/>
  <c r="AC105" i="4"/>
  <c r="AD94" i="4"/>
  <c r="AC94" i="4"/>
  <c r="R1064" i="4"/>
  <c r="J1064" i="4"/>
  <c r="B1064" i="4"/>
  <c r="AC88" i="4"/>
  <c r="AD76" i="4"/>
  <c r="AD75" i="4"/>
  <c r="AC75" i="4"/>
  <c r="S1062" i="4"/>
  <c r="K1062" i="4"/>
  <c r="C1062" i="4"/>
  <c r="Y1061" i="4"/>
  <c r="Q1061" i="4"/>
  <c r="I1061" i="4"/>
  <c r="R1061" i="4"/>
  <c r="V1061" i="4"/>
  <c r="AC29" i="4"/>
  <c r="Q1059" i="4"/>
  <c r="I1059" i="4"/>
  <c r="T1058" i="4"/>
  <c r="L1058" i="4"/>
  <c r="D1058" i="4"/>
  <c r="C1135" i="6"/>
  <c r="G1113" i="6"/>
  <c r="G1109" i="6"/>
  <c r="I1086" i="6"/>
  <c r="K1085" i="6"/>
  <c r="K1072" i="6"/>
  <c r="C1061" i="6"/>
  <c r="X1077" i="4"/>
  <c r="AC242" i="4"/>
  <c r="AD231" i="4"/>
  <c r="AC231" i="4"/>
  <c r="AC229" i="4"/>
  <c r="AC228" i="4"/>
  <c r="AC220" i="4"/>
  <c r="AC213" i="4"/>
  <c r="X1074" i="4"/>
  <c r="H1074" i="4"/>
  <c r="AC202" i="4"/>
  <c r="J1073" i="4"/>
  <c r="B1073" i="4"/>
  <c r="S1073" i="4"/>
  <c r="AC194" i="4"/>
  <c r="AC190" i="4"/>
  <c r="V1071" i="4"/>
  <c r="AD175" i="4"/>
  <c r="AC175" i="4"/>
  <c r="AC168" i="4"/>
  <c r="AC162" i="4"/>
  <c r="AD154" i="4"/>
  <c r="AD146" i="4"/>
  <c r="AC143" i="4"/>
  <c r="P1068" i="4"/>
  <c r="Q1067" i="4"/>
  <c r="AD121" i="4"/>
  <c r="AC121" i="4"/>
  <c r="K1066" i="4"/>
  <c r="AC113" i="4"/>
  <c r="X1066" i="4"/>
  <c r="P1066" i="4"/>
  <c r="H1066" i="4"/>
  <c r="AD109" i="4"/>
  <c r="R1065" i="4"/>
  <c r="J1065" i="4"/>
  <c r="B1065" i="4"/>
  <c r="AC106" i="4"/>
  <c r="AD102" i="4"/>
  <c r="AC98" i="4"/>
  <c r="AD92" i="4"/>
  <c r="AD91" i="4"/>
  <c r="AC91" i="4"/>
  <c r="AD90" i="4"/>
  <c r="AD88" i="4"/>
  <c r="AD83" i="4"/>
  <c r="AD66" i="4"/>
  <c r="AD65" i="4"/>
  <c r="AD64" i="4"/>
  <c r="X1061" i="4"/>
  <c r="AD56" i="4"/>
  <c r="AD51" i="4"/>
  <c r="AD50" i="4"/>
  <c r="AD49" i="4"/>
  <c r="AC41" i="4"/>
  <c r="AD36" i="4"/>
  <c r="AC36" i="4"/>
  <c r="AD30" i="4"/>
  <c r="W1059" i="4"/>
  <c r="O1059" i="4"/>
  <c r="G1059" i="4"/>
  <c r="N1127" i="6"/>
  <c r="F1095" i="6"/>
  <c r="N1071" i="6"/>
  <c r="H1065" i="6"/>
  <c r="H1062" i="6"/>
  <c r="I1105" i="3"/>
  <c r="B1105" i="3"/>
  <c r="J1105" i="3"/>
  <c r="C1105" i="3"/>
  <c r="A1106" i="3"/>
  <c r="H1105" i="3"/>
  <c r="F1105" i="3"/>
  <c r="G1105" i="3"/>
  <c r="E1105" i="3"/>
  <c r="D1105" i="3"/>
  <c r="S790" i="5"/>
  <c r="AD791" i="4"/>
  <c r="D1106" i="4"/>
  <c r="L1106" i="4"/>
  <c r="T1106" i="4"/>
  <c r="C1106" i="4"/>
  <c r="K1106" i="4"/>
  <c r="S1106" i="4"/>
  <c r="A1107" i="4"/>
  <c r="I1106" i="4"/>
  <c r="U1106" i="4"/>
  <c r="J1106" i="4"/>
  <c r="V1106" i="4"/>
  <c r="M1106" i="4"/>
  <c r="W1106" i="4"/>
  <c r="H1106" i="4"/>
  <c r="R1106" i="4"/>
  <c r="F1106" i="4"/>
  <c r="G1106" i="4"/>
  <c r="N1106" i="4"/>
  <c r="B1106" i="4"/>
  <c r="X1106" i="4"/>
  <c r="O1106" i="4"/>
  <c r="P1106" i="4"/>
  <c r="Q1106" i="4"/>
  <c r="E1106" i="4"/>
  <c r="S814" i="5"/>
  <c r="AD815" i="4"/>
  <c r="J1105" i="2"/>
  <c r="B1105" i="2"/>
  <c r="K1105" i="2"/>
  <c r="A1106" i="2"/>
  <c r="F1105" i="2"/>
  <c r="G1105" i="2"/>
  <c r="E1105" i="2"/>
  <c r="C1105" i="2"/>
  <c r="H1105" i="2"/>
  <c r="I1105" i="2"/>
  <c r="Q1101" i="5"/>
  <c r="S497" i="5"/>
  <c r="J1104" i="3"/>
  <c r="D1102" i="3"/>
  <c r="H1101" i="3"/>
  <c r="J1100" i="3"/>
  <c r="G1097" i="3"/>
  <c r="E1096" i="3"/>
  <c r="D1094" i="3"/>
  <c r="J1092" i="3"/>
  <c r="F1089" i="3"/>
  <c r="J1088" i="3"/>
  <c r="E1088" i="3"/>
  <c r="J1086" i="3"/>
  <c r="E1086" i="3"/>
  <c r="I1085" i="3"/>
  <c r="E1084" i="3"/>
  <c r="H1083" i="3"/>
  <c r="J1082" i="3"/>
  <c r="I1081" i="3"/>
  <c r="D1080" i="3"/>
  <c r="J1078" i="3"/>
  <c r="D1076" i="3"/>
  <c r="I1075" i="3"/>
  <c r="B1074" i="3"/>
  <c r="G1073" i="3"/>
  <c r="J1072" i="3"/>
  <c r="E1072" i="3"/>
  <c r="H1071" i="3"/>
  <c r="D1070" i="3"/>
  <c r="I1069" i="3"/>
  <c r="D1068" i="3"/>
  <c r="I1067" i="3"/>
  <c r="C1066" i="3"/>
  <c r="I1065" i="3"/>
  <c r="J1064" i="3"/>
  <c r="E1064" i="3"/>
  <c r="E1062" i="3"/>
  <c r="H1061" i="3"/>
  <c r="C1058" i="3"/>
  <c r="W1101" i="4"/>
  <c r="AD496" i="4"/>
  <c r="M1098" i="4"/>
  <c r="C1145" i="6"/>
  <c r="E1144" i="6"/>
  <c r="E1143" i="6"/>
  <c r="E1142" i="6"/>
  <c r="K1141" i="6"/>
  <c r="M1140" i="6"/>
  <c r="M1139" i="6"/>
  <c r="M1138" i="6"/>
  <c r="I1137" i="6"/>
  <c r="K1137" i="6"/>
  <c r="E1136" i="6"/>
  <c r="M1134" i="6"/>
  <c r="C1133" i="6"/>
  <c r="I1132" i="6"/>
  <c r="K1132" i="6"/>
  <c r="H1098" i="2"/>
  <c r="H1087" i="2"/>
  <c r="H1083" i="2"/>
  <c r="H1082" i="2"/>
  <c r="H1078" i="2"/>
  <c r="AC996" i="4"/>
  <c r="AD953" i="4"/>
  <c r="AC901" i="4"/>
  <c r="AC859" i="4"/>
  <c r="AD807" i="4"/>
  <c r="AD805" i="4"/>
  <c r="AC765" i="4"/>
  <c r="J1101" i="4"/>
  <c r="O1097" i="4"/>
  <c r="G1093" i="4"/>
  <c r="AC439" i="4"/>
  <c r="C1077" i="4"/>
  <c r="AC246" i="4"/>
  <c r="V1069" i="4"/>
  <c r="AD155" i="4"/>
  <c r="N1069" i="4"/>
  <c r="L32" i="5"/>
  <c r="C1058" i="5"/>
  <c r="B1145" i="6"/>
  <c r="B1138" i="6"/>
  <c r="B1136" i="6"/>
  <c r="J1132" i="6"/>
  <c r="B1129" i="6"/>
  <c r="J1127" i="6"/>
  <c r="B1126" i="6"/>
  <c r="B1124" i="6"/>
  <c r="J1121" i="6"/>
  <c r="B1120" i="6"/>
  <c r="J1119" i="6"/>
  <c r="B1118" i="6"/>
  <c r="B1116" i="6"/>
  <c r="B1114" i="6"/>
  <c r="G1102" i="3"/>
  <c r="C1101" i="3"/>
  <c r="C1099" i="3"/>
  <c r="G1098" i="3"/>
  <c r="C1097" i="3"/>
  <c r="G1094" i="3"/>
  <c r="C1093" i="3"/>
  <c r="C1091" i="3"/>
  <c r="G1090" i="3"/>
  <c r="C1089" i="3"/>
  <c r="G1086" i="3"/>
  <c r="C1085" i="3"/>
  <c r="C1083" i="3"/>
  <c r="G1082" i="3"/>
  <c r="C1081" i="3"/>
  <c r="G1080" i="3"/>
  <c r="C1079" i="3"/>
  <c r="G1078" i="3"/>
  <c r="C1077" i="3"/>
  <c r="G1076" i="3"/>
  <c r="C1075" i="3"/>
  <c r="C1073" i="3"/>
  <c r="C1071" i="3"/>
  <c r="G1070" i="3"/>
  <c r="C1069" i="3"/>
  <c r="G1068" i="3"/>
  <c r="C1065" i="3"/>
  <c r="G1064" i="3"/>
  <c r="C1063" i="3"/>
  <c r="G1062" i="3"/>
  <c r="C1061" i="3"/>
  <c r="G1060" i="3"/>
  <c r="C1059" i="3"/>
  <c r="G1057" i="3"/>
  <c r="E1092" i="4"/>
  <c r="AC680" i="4"/>
  <c r="AC534" i="4"/>
  <c r="V1100" i="4"/>
  <c r="AD519" i="4"/>
  <c r="N1100" i="4"/>
  <c r="AC519" i="4"/>
  <c r="F1100" i="4"/>
  <c r="W1094" i="4"/>
  <c r="O1094" i="4"/>
  <c r="G1094" i="4"/>
  <c r="U1091" i="4"/>
  <c r="E1091" i="4"/>
  <c r="V1090" i="4"/>
  <c r="AD403" i="4"/>
  <c r="N1090" i="4"/>
  <c r="W1073" i="4"/>
  <c r="O1073" i="4"/>
  <c r="AD110" i="4"/>
  <c r="V1062" i="4"/>
  <c r="AC64" i="4"/>
  <c r="F1062" i="4"/>
  <c r="P1061" i="4"/>
  <c r="F1104" i="3"/>
  <c r="J1103" i="3"/>
  <c r="F1102" i="3"/>
  <c r="J1101" i="3"/>
  <c r="B1101" i="3"/>
  <c r="B1099" i="3"/>
  <c r="F1098" i="3"/>
  <c r="J1097" i="3"/>
  <c r="B1097" i="3"/>
  <c r="F1096" i="3"/>
  <c r="J1095" i="3"/>
  <c r="F1094" i="3"/>
  <c r="J1093" i="3"/>
  <c r="B1093" i="3"/>
  <c r="B1091" i="3"/>
  <c r="F1090" i="3"/>
  <c r="J1089" i="3"/>
  <c r="B1089" i="3"/>
  <c r="F1088" i="3"/>
  <c r="J1087" i="3"/>
  <c r="F1086" i="3"/>
  <c r="J1085" i="3"/>
  <c r="B1085" i="3"/>
  <c r="F1084" i="3"/>
  <c r="B1083" i="3"/>
  <c r="F1082" i="3"/>
  <c r="J1081" i="3"/>
  <c r="B1081" i="3"/>
  <c r="F1080" i="3"/>
  <c r="F1078" i="3"/>
  <c r="B1077" i="3"/>
  <c r="F1076" i="3"/>
  <c r="J1075" i="3"/>
  <c r="B1075" i="3"/>
  <c r="F1074" i="3"/>
  <c r="J1073" i="3"/>
  <c r="B1073" i="3"/>
  <c r="F1070" i="3"/>
  <c r="J1069" i="3"/>
  <c r="F1068" i="3"/>
  <c r="J1067" i="3"/>
  <c r="B1067" i="3"/>
  <c r="F1066" i="3"/>
  <c r="J1065" i="3"/>
  <c r="B1065" i="3"/>
  <c r="F1064" i="3"/>
  <c r="F1062" i="3"/>
  <c r="B1061" i="3"/>
  <c r="F1060" i="3"/>
  <c r="J1059" i="3"/>
  <c r="B1059" i="3"/>
  <c r="F1058" i="3"/>
  <c r="F1057" i="3"/>
  <c r="J1057" i="3"/>
  <c r="N1095" i="4"/>
  <c r="D1092" i="4"/>
  <c r="AD979" i="4"/>
  <c r="AD978" i="4"/>
  <c r="AD977" i="4"/>
  <c r="AC968" i="4"/>
  <c r="AC949" i="4"/>
  <c r="AD939" i="4"/>
  <c r="AD843" i="4"/>
  <c r="AC744" i="4"/>
  <c r="AC711" i="4"/>
  <c r="AC710" i="4"/>
  <c r="AC657" i="4"/>
  <c r="AC608" i="4"/>
  <c r="AC590" i="4"/>
  <c r="AC545" i="4"/>
  <c r="AD521" i="4"/>
  <c r="U1100" i="4"/>
  <c r="AD520" i="4"/>
  <c r="M1100" i="4"/>
  <c r="E1100" i="4"/>
  <c r="AC482" i="4"/>
  <c r="T1097" i="4"/>
  <c r="W1095" i="4"/>
  <c r="O1095" i="4"/>
  <c r="AD451" i="4"/>
  <c r="V1094" i="4"/>
  <c r="AD450" i="4"/>
  <c r="N1094" i="4"/>
  <c r="AC450" i="4"/>
  <c r="D1091" i="4"/>
  <c r="I1101" i="3"/>
  <c r="B1100" i="3"/>
  <c r="H1097" i="3"/>
  <c r="B1096" i="3"/>
  <c r="G1091" i="3"/>
  <c r="H1089" i="3"/>
  <c r="G1087" i="3"/>
  <c r="B1084" i="3"/>
  <c r="G1083" i="3"/>
  <c r="B1082" i="3"/>
  <c r="B1080" i="3"/>
  <c r="F1079" i="3"/>
  <c r="E1078" i="3"/>
  <c r="G1077" i="3"/>
  <c r="H1075" i="3"/>
  <c r="J1074" i="3"/>
  <c r="I1073" i="3"/>
  <c r="B1072" i="3"/>
  <c r="F1071" i="3"/>
  <c r="B1070" i="3"/>
  <c r="G1069" i="3"/>
  <c r="B1068" i="3"/>
  <c r="G1067" i="3"/>
  <c r="B1066" i="3"/>
  <c r="C1064" i="3"/>
  <c r="I1063" i="3"/>
  <c r="D1062" i="3"/>
  <c r="F1061" i="3"/>
  <c r="J1060" i="3"/>
  <c r="H1059" i="3"/>
  <c r="J1058" i="3"/>
  <c r="I1093" i="4"/>
  <c r="AC438" i="4"/>
  <c r="AC244" i="4"/>
  <c r="D1077" i="4"/>
  <c r="G1145" i="6"/>
  <c r="C1144" i="6"/>
  <c r="M1143" i="6"/>
  <c r="K1142" i="6"/>
  <c r="E1140" i="6"/>
  <c r="E1139" i="6"/>
  <c r="E1138" i="6"/>
  <c r="I1136" i="6"/>
  <c r="C1136" i="6"/>
  <c r="K1135" i="6"/>
  <c r="I1134" i="6"/>
  <c r="K1134" i="6"/>
  <c r="M1132" i="6"/>
  <c r="H1102" i="2"/>
  <c r="H1094" i="2"/>
  <c r="H1090" i="2"/>
  <c r="AD806" i="4"/>
  <c r="B1101" i="4"/>
  <c r="G1097" i="4"/>
  <c r="T1081" i="4"/>
  <c r="J1143" i="6"/>
  <c r="J1141" i="6"/>
  <c r="J1138" i="6"/>
  <c r="B1137" i="6"/>
  <c r="B1131" i="6"/>
  <c r="J1129" i="6"/>
  <c r="J1123" i="6"/>
  <c r="B1117" i="6"/>
  <c r="J1116" i="6"/>
  <c r="B1113" i="6"/>
  <c r="J1112" i="6"/>
  <c r="J1111" i="6"/>
  <c r="J1109" i="6"/>
  <c r="B1105" i="6"/>
  <c r="B1104" i="6"/>
  <c r="B1102" i="6"/>
  <c r="J1099" i="6"/>
  <c r="J1096" i="6"/>
  <c r="B1095" i="6"/>
  <c r="J1094" i="6"/>
  <c r="J1090" i="6"/>
  <c r="J1088" i="6"/>
  <c r="J1087" i="6"/>
  <c r="B1083" i="6"/>
  <c r="J1081" i="6"/>
  <c r="B1076" i="6"/>
  <c r="B1075" i="6"/>
  <c r="B1072" i="6"/>
  <c r="J1071" i="6"/>
  <c r="J1069" i="6"/>
  <c r="B1068" i="6"/>
  <c r="B1065" i="6"/>
  <c r="B1060" i="6"/>
  <c r="G1099" i="2"/>
  <c r="AC908" i="4"/>
  <c r="I1104" i="4"/>
  <c r="F1103" i="4"/>
  <c r="AD536" i="4"/>
  <c r="AD483" i="4"/>
  <c r="H1093" i="4"/>
  <c r="AC433" i="4"/>
  <c r="D1090" i="4"/>
  <c r="L1082" i="4"/>
  <c r="T1078" i="4"/>
  <c r="N1078" i="4"/>
  <c r="G1071" i="4"/>
  <c r="D1100" i="5"/>
  <c r="D1101" i="5"/>
  <c r="D1099" i="5"/>
  <c r="D1097" i="5"/>
  <c r="S277" i="5"/>
  <c r="S1079" i="5" s="1"/>
  <c r="Q1079" i="5"/>
  <c r="AD278" i="4"/>
  <c r="F1103" i="2"/>
  <c r="F1099" i="2"/>
  <c r="F1095" i="2"/>
  <c r="F1092" i="2"/>
  <c r="F1091" i="2"/>
  <c r="J1090" i="2"/>
  <c r="F1088" i="2"/>
  <c r="F1087" i="2"/>
  <c r="J1086" i="2"/>
  <c r="F1084" i="2"/>
  <c r="F1083" i="2"/>
  <c r="J1082" i="2"/>
  <c r="F1080" i="2"/>
  <c r="F1079" i="2"/>
  <c r="F1078" i="2"/>
  <c r="J1076" i="2"/>
  <c r="B1075" i="2"/>
  <c r="F1072" i="2"/>
  <c r="F1071" i="2"/>
  <c r="F1070" i="2"/>
  <c r="J1068" i="2"/>
  <c r="J1067" i="2"/>
  <c r="B1067" i="2"/>
  <c r="J1066" i="2"/>
  <c r="B1066" i="2"/>
  <c r="B1065" i="2"/>
  <c r="F1064" i="2"/>
  <c r="F1063" i="2"/>
  <c r="F1062" i="2"/>
  <c r="J1060" i="2"/>
  <c r="J1059" i="2"/>
  <c r="B1059" i="2"/>
  <c r="J1058" i="2"/>
  <c r="B1058" i="2"/>
  <c r="B1057" i="2"/>
  <c r="N1092" i="4"/>
  <c r="M1091" i="4"/>
  <c r="AC1056" i="4"/>
  <c r="AC1055" i="4"/>
  <c r="AC1052" i="4"/>
  <c r="AC1007" i="4"/>
  <c r="AC1006" i="4"/>
  <c r="AC955" i="4"/>
  <c r="AD934" i="4"/>
  <c r="AC922" i="4"/>
  <c r="AD882" i="4"/>
  <c r="AD881" i="4"/>
  <c r="AC871" i="4"/>
  <c r="AC870" i="4"/>
  <c r="AC817" i="4"/>
  <c r="AC808" i="4"/>
  <c r="AC789" i="4"/>
  <c r="AD779" i="4"/>
  <c r="AC735" i="4"/>
  <c r="AD683" i="4"/>
  <c r="L1105" i="4"/>
  <c r="AC579" i="4"/>
  <c r="D1105" i="4"/>
  <c r="G1104" i="4"/>
  <c r="AC567" i="4"/>
  <c r="AD553" i="4"/>
  <c r="M1103" i="4"/>
  <c r="AD552" i="4"/>
  <c r="M1102" i="4"/>
  <c r="AC498" i="4"/>
  <c r="AC497" i="4"/>
  <c r="J1098" i="4"/>
  <c r="B1098" i="4"/>
  <c r="AD485" i="4"/>
  <c r="AD342" i="4"/>
  <c r="P1085" i="4"/>
  <c r="AC341" i="4"/>
  <c r="R1082" i="4"/>
  <c r="J1082" i="4"/>
  <c r="B1082" i="4"/>
  <c r="AC306" i="4"/>
  <c r="W1081" i="4"/>
  <c r="X1081" i="4"/>
  <c r="P1081" i="4"/>
  <c r="AD294" i="4"/>
  <c r="H1081" i="4"/>
  <c r="R1081" i="4"/>
  <c r="J1081" i="4"/>
  <c r="B1081" i="4"/>
  <c r="AC34" i="4"/>
  <c r="I1101" i="5"/>
  <c r="I1103" i="5"/>
  <c r="I1102" i="5"/>
  <c r="L496" i="5"/>
  <c r="C1100" i="5"/>
  <c r="C1101" i="5"/>
  <c r="Q1097" i="5"/>
  <c r="Q1098" i="5"/>
  <c r="Q484" i="5"/>
  <c r="L296" i="5"/>
  <c r="I1080" i="5"/>
  <c r="B1104" i="3"/>
  <c r="E1102" i="3"/>
  <c r="G1099" i="3"/>
  <c r="F1097" i="3"/>
  <c r="G1095" i="3"/>
  <c r="H1093" i="3"/>
  <c r="B1092" i="3"/>
  <c r="B1090" i="3"/>
  <c r="G1089" i="3"/>
  <c r="G1081" i="3"/>
  <c r="E1080" i="3"/>
  <c r="B1078" i="3"/>
  <c r="H1077" i="3"/>
  <c r="J1076" i="3"/>
  <c r="C1072" i="3"/>
  <c r="G1071" i="3"/>
  <c r="E1070" i="3"/>
  <c r="F1069" i="3"/>
  <c r="D1066" i="3"/>
  <c r="B1064" i="3"/>
  <c r="F1063" i="3"/>
  <c r="B1062" i="3"/>
  <c r="G1059" i="3"/>
  <c r="B1058" i="3"/>
  <c r="O1101" i="4"/>
  <c r="I1078" i="4"/>
  <c r="AC254" i="4"/>
  <c r="T1077" i="4"/>
  <c r="M1144" i="6"/>
  <c r="K1143" i="6"/>
  <c r="M1142" i="6"/>
  <c r="C1140" i="6"/>
  <c r="C1139" i="6"/>
  <c r="K1138" i="6"/>
  <c r="C1137" i="6"/>
  <c r="M1136" i="6"/>
  <c r="E1135" i="6"/>
  <c r="C1134" i="6"/>
  <c r="K1133" i="6"/>
  <c r="C1132" i="6"/>
  <c r="H1091" i="2"/>
  <c r="H1086" i="2"/>
  <c r="H1077" i="2"/>
  <c r="H1076" i="2"/>
  <c r="AC723" i="4"/>
  <c r="AC535" i="4"/>
  <c r="AC530" i="4"/>
  <c r="AC255" i="4"/>
  <c r="G1078" i="4"/>
  <c r="H1071" i="4"/>
  <c r="AC170" i="4"/>
  <c r="AC169" i="4"/>
  <c r="U1066" i="4"/>
  <c r="F1059" i="5"/>
  <c r="J1144" i="6"/>
  <c r="B1142" i="6"/>
  <c r="J1140" i="6"/>
  <c r="B1139" i="6"/>
  <c r="J1137" i="6"/>
  <c r="B1135" i="6"/>
  <c r="B1134" i="6"/>
  <c r="B1133" i="6"/>
  <c r="B1132" i="6"/>
  <c r="J1130" i="6"/>
  <c r="J1128" i="6"/>
  <c r="B1127" i="6"/>
  <c r="J1126" i="6"/>
  <c r="J1125" i="6"/>
  <c r="J1124" i="6"/>
  <c r="J1122" i="6"/>
  <c r="B1121" i="6"/>
  <c r="J1120" i="6"/>
  <c r="B1115" i="6"/>
  <c r="J1114" i="6"/>
  <c r="B1112" i="6"/>
  <c r="B1110" i="6"/>
  <c r="J1108" i="6"/>
  <c r="J1107" i="6"/>
  <c r="B1106" i="6"/>
  <c r="J1104" i="6"/>
  <c r="J1103" i="6"/>
  <c r="J1102" i="6"/>
  <c r="J1101" i="6"/>
  <c r="B1098" i="6"/>
  <c r="J1097" i="6"/>
  <c r="B1093" i="6"/>
  <c r="J1092" i="6"/>
  <c r="B1091" i="6"/>
  <c r="J1089" i="6"/>
  <c r="J1086" i="6"/>
  <c r="B1085" i="6"/>
  <c r="B1084" i="6"/>
  <c r="J1083" i="6"/>
  <c r="B1082" i="6"/>
  <c r="B1081" i="6"/>
  <c r="B1080" i="6"/>
  <c r="J1079" i="6"/>
  <c r="B1078" i="6"/>
  <c r="B1077" i="6"/>
  <c r="B1074" i="6"/>
  <c r="B1073" i="6"/>
  <c r="J1072" i="6"/>
  <c r="B1070" i="6"/>
  <c r="B1067" i="6"/>
  <c r="J1066" i="6"/>
  <c r="J1064" i="6"/>
  <c r="J1063" i="6"/>
  <c r="J1062" i="6"/>
  <c r="J1060" i="6"/>
  <c r="D1100" i="6"/>
  <c r="G1103" i="2"/>
  <c r="AD1003" i="4"/>
  <c r="AC912" i="4"/>
  <c r="AD766" i="4"/>
  <c r="AC671" i="4"/>
  <c r="Q1104" i="4"/>
  <c r="N1103" i="4"/>
  <c r="AD551" i="4"/>
  <c r="N1102" i="4"/>
  <c r="AD537" i="4"/>
  <c r="AC426" i="4"/>
  <c r="C1090" i="4"/>
  <c r="AC401" i="4"/>
  <c r="T1090" i="4"/>
  <c r="L1090" i="4"/>
  <c r="W1085" i="4"/>
  <c r="V1078" i="4"/>
  <c r="O1071" i="4"/>
  <c r="R1099" i="5"/>
  <c r="R1100" i="5"/>
  <c r="R1097" i="5"/>
  <c r="R1098" i="5"/>
  <c r="R1101" i="5"/>
  <c r="R1102" i="5"/>
  <c r="L497" i="5"/>
  <c r="C1102" i="5"/>
  <c r="F1097" i="5"/>
  <c r="F1100" i="5"/>
  <c r="F1098" i="5"/>
  <c r="F1099" i="5"/>
  <c r="L490" i="5"/>
  <c r="H1096" i="5"/>
  <c r="Q289" i="5"/>
  <c r="R1080" i="5"/>
  <c r="S147" i="5"/>
  <c r="S1068" i="5" s="1"/>
  <c r="Q1068" i="5"/>
  <c r="C1104" i="2"/>
  <c r="I1102" i="2"/>
  <c r="C1100" i="2"/>
  <c r="E1096" i="2"/>
  <c r="I1094" i="2"/>
  <c r="K1093" i="2"/>
  <c r="E1092" i="2"/>
  <c r="K1089" i="2"/>
  <c r="C1088" i="2"/>
  <c r="K1085" i="2"/>
  <c r="C1084" i="2"/>
  <c r="I1082" i="2"/>
  <c r="K1081" i="2"/>
  <c r="C1080" i="2"/>
  <c r="I1077" i="2"/>
  <c r="I1075" i="2"/>
  <c r="K1074" i="2"/>
  <c r="C1073" i="2"/>
  <c r="C1072" i="2"/>
  <c r="E1071" i="2"/>
  <c r="I1067" i="2"/>
  <c r="C1066" i="2"/>
  <c r="C1065" i="2"/>
  <c r="C1064" i="2"/>
  <c r="E1063" i="2"/>
  <c r="I1061" i="2"/>
  <c r="K1059" i="2"/>
  <c r="C1058" i="2"/>
  <c r="C1057" i="2"/>
  <c r="N1062" i="4"/>
  <c r="AD1029" i="4"/>
  <c r="AC1019" i="4"/>
  <c r="AC1018" i="4"/>
  <c r="AC913" i="4"/>
  <c r="AC829" i="4"/>
  <c r="AD818" i="4"/>
  <c r="AD817" i="4"/>
  <c r="AC639" i="4"/>
  <c r="V1104" i="4"/>
  <c r="N1104" i="4"/>
  <c r="L1103" i="4"/>
  <c r="D1103" i="4"/>
  <c r="AC555" i="4"/>
  <c r="AC554" i="4"/>
  <c r="W1098" i="4"/>
  <c r="O1098" i="4"/>
  <c r="G1098" i="4"/>
  <c r="C1095" i="4"/>
  <c r="AC465" i="4"/>
  <c r="V1093" i="4"/>
  <c r="N1093" i="4"/>
  <c r="AD434" i="4"/>
  <c r="F1093" i="4"/>
  <c r="AC434" i="4"/>
  <c r="R1092" i="4"/>
  <c r="AD363" i="4"/>
  <c r="N1087" i="4"/>
  <c r="AC363" i="4"/>
  <c r="F1087" i="4"/>
  <c r="J1086" i="4"/>
  <c r="B1086" i="4"/>
  <c r="AC353" i="4"/>
  <c r="AD349" i="4"/>
  <c r="AD322" i="4"/>
  <c r="P1083" i="4"/>
  <c r="AC322" i="4"/>
  <c r="H1083" i="4"/>
  <c r="AD311" i="4"/>
  <c r="N1082" i="4"/>
  <c r="AC311" i="4"/>
  <c r="F1082" i="4"/>
  <c r="X1082" i="4"/>
  <c r="P1082" i="4"/>
  <c r="H1082" i="4"/>
  <c r="AD295" i="4"/>
  <c r="AC295" i="4"/>
  <c r="C1061" i="4"/>
  <c r="AC57" i="4"/>
  <c r="S963" i="5"/>
  <c r="AD964" i="4"/>
  <c r="E1104" i="3"/>
  <c r="G1103" i="3"/>
  <c r="J1102" i="3"/>
  <c r="E1100" i="3"/>
  <c r="H1099" i="3"/>
  <c r="B1098" i="3"/>
  <c r="I1097" i="3"/>
  <c r="J1096" i="3"/>
  <c r="J1094" i="3"/>
  <c r="E1094" i="3"/>
  <c r="I1093" i="3"/>
  <c r="E1092" i="3"/>
  <c r="H1091" i="3"/>
  <c r="I1089" i="3"/>
  <c r="B1088" i="3"/>
  <c r="D1086" i="3"/>
  <c r="H1085" i="3"/>
  <c r="J1084" i="3"/>
  <c r="H1081" i="3"/>
  <c r="J1080" i="3"/>
  <c r="C1080" i="3"/>
  <c r="I1079" i="3"/>
  <c r="D1078" i="3"/>
  <c r="F1077" i="3"/>
  <c r="G1075" i="3"/>
  <c r="C1074" i="3"/>
  <c r="F1073" i="3"/>
  <c r="D1072" i="3"/>
  <c r="I1071" i="3"/>
  <c r="J1070" i="3"/>
  <c r="H1069" i="3"/>
  <c r="C1068" i="3"/>
  <c r="H1067" i="3"/>
  <c r="J1066" i="3"/>
  <c r="E1066" i="3"/>
  <c r="G1065" i="3"/>
  <c r="D1064" i="3"/>
  <c r="J1062" i="3"/>
  <c r="G1061" i="3"/>
  <c r="D1060" i="3"/>
  <c r="I1059" i="3"/>
  <c r="V1092" i="4"/>
  <c r="L1077" i="4"/>
  <c r="K1145" i="6"/>
  <c r="K1144" i="6"/>
  <c r="C1143" i="6"/>
  <c r="C1142" i="6"/>
  <c r="C1141" i="6"/>
  <c r="I1140" i="6"/>
  <c r="K1140" i="6"/>
  <c r="G1139" i="6"/>
  <c r="K1139" i="6"/>
  <c r="I1138" i="6"/>
  <c r="C1138" i="6"/>
  <c r="G1137" i="6"/>
  <c r="G1136" i="6"/>
  <c r="K1136" i="6"/>
  <c r="M1135" i="6"/>
  <c r="E1134" i="6"/>
  <c r="E1132" i="6"/>
  <c r="AC858" i="4"/>
  <c r="AC724" i="4"/>
  <c r="AD671" i="4"/>
  <c r="AD670" i="4"/>
  <c r="AC624" i="4"/>
  <c r="AD535" i="4"/>
  <c r="R1101" i="4"/>
  <c r="W1097" i="4"/>
  <c r="M1096" i="4"/>
  <c r="AD469" i="4"/>
  <c r="AD468" i="4"/>
  <c r="M1092" i="4"/>
  <c r="AD421" i="4"/>
  <c r="L1081" i="4"/>
  <c r="W1078" i="4"/>
  <c r="P1071" i="4"/>
  <c r="AD170" i="4"/>
  <c r="AC155" i="4"/>
  <c r="F1069" i="4"/>
  <c r="AD116" i="4"/>
  <c r="M1066" i="4"/>
  <c r="S459" i="5"/>
  <c r="Q1094" i="5"/>
  <c r="Q454" i="5"/>
  <c r="S454" i="5" s="1"/>
  <c r="R1093" i="5"/>
  <c r="L77" i="5"/>
  <c r="D1062" i="5"/>
  <c r="B1144" i="6"/>
  <c r="B1143" i="6"/>
  <c r="J1142" i="6"/>
  <c r="B1141" i="6"/>
  <c r="B1140" i="6"/>
  <c r="J1139" i="6"/>
  <c r="J1136" i="6"/>
  <c r="J1135" i="6"/>
  <c r="J1134" i="6"/>
  <c r="J1133" i="6"/>
  <c r="J1131" i="6"/>
  <c r="B1130" i="6"/>
  <c r="B1128" i="6"/>
  <c r="B1125" i="6"/>
  <c r="B1123" i="6"/>
  <c r="B1122" i="6"/>
  <c r="B1119" i="6"/>
  <c r="J1118" i="6"/>
  <c r="J1117" i="6"/>
  <c r="J1115" i="6"/>
  <c r="J1113" i="6"/>
  <c r="B1111" i="6"/>
  <c r="J1110" i="6"/>
  <c r="B1109" i="6"/>
  <c r="B1108" i="6"/>
  <c r="B1107" i="6"/>
  <c r="J1106" i="6"/>
  <c r="J1105" i="6"/>
  <c r="B1103" i="6"/>
  <c r="B1101" i="6"/>
  <c r="B1099" i="6"/>
  <c r="J1098" i="6"/>
  <c r="B1097" i="6"/>
  <c r="B1096" i="6"/>
  <c r="J1095" i="6"/>
  <c r="B1094" i="6"/>
  <c r="J1093" i="6"/>
  <c r="B1092" i="6"/>
  <c r="J1091" i="6"/>
  <c r="B1090" i="6"/>
  <c r="B1089" i="6"/>
  <c r="B1088" i="6"/>
  <c r="B1087" i="6"/>
  <c r="B1086" i="6"/>
  <c r="J1085" i="6"/>
  <c r="J1084" i="6"/>
  <c r="J1082" i="6"/>
  <c r="J1080" i="6"/>
  <c r="B1079" i="6"/>
  <c r="J1078" i="6"/>
  <c r="J1077" i="6"/>
  <c r="J1076" i="6"/>
  <c r="J1075" i="6"/>
  <c r="J1073" i="6"/>
  <c r="B1071" i="6"/>
  <c r="J1070" i="6"/>
  <c r="B1069" i="6"/>
  <c r="J1068" i="6"/>
  <c r="J1067" i="6"/>
  <c r="B1066" i="6"/>
  <c r="J1065" i="6"/>
  <c r="B1064" i="6"/>
  <c r="B1063" i="6"/>
  <c r="B1062" i="6"/>
  <c r="J1061" i="6"/>
  <c r="D1059" i="6"/>
  <c r="L1059" i="6"/>
  <c r="L1100" i="6"/>
  <c r="C1104" i="4"/>
  <c r="AC959" i="4"/>
  <c r="AC787" i="4"/>
  <c r="AD767" i="4"/>
  <c r="AC676" i="4"/>
  <c r="AC625" i="4"/>
  <c r="V1103" i="4"/>
  <c r="AC551" i="4"/>
  <c r="C1100" i="4"/>
  <c r="AC517" i="4"/>
  <c r="O1085" i="4"/>
  <c r="AD337" i="4"/>
  <c r="M1085" i="4"/>
  <c r="T1082" i="4"/>
  <c r="AC265" i="4"/>
  <c r="AC260" i="4"/>
  <c r="D1078" i="4"/>
  <c r="F1078" i="4"/>
  <c r="AD206" i="4"/>
  <c r="P1074" i="4"/>
  <c r="W1071" i="4"/>
  <c r="AC125" i="4"/>
  <c r="C1067" i="4"/>
  <c r="E1104" i="2"/>
  <c r="K1101" i="2"/>
  <c r="E1100" i="2"/>
  <c r="I1098" i="2"/>
  <c r="K1097" i="2"/>
  <c r="C1096" i="2"/>
  <c r="C1093" i="2"/>
  <c r="C1092" i="2"/>
  <c r="I1090" i="2"/>
  <c r="C1089" i="2"/>
  <c r="E1088" i="2"/>
  <c r="I1086" i="2"/>
  <c r="C1085" i="2"/>
  <c r="E1084" i="2"/>
  <c r="C1081" i="2"/>
  <c r="E1080" i="2"/>
  <c r="E1079" i="2"/>
  <c r="I1076" i="2"/>
  <c r="K1075" i="2"/>
  <c r="C1074" i="2"/>
  <c r="K1073" i="2"/>
  <c r="E1073" i="2"/>
  <c r="E1072" i="2"/>
  <c r="I1069" i="2"/>
  <c r="I1068" i="2"/>
  <c r="K1067" i="2"/>
  <c r="K1066" i="2"/>
  <c r="K1065" i="2"/>
  <c r="E1065" i="2"/>
  <c r="E1064" i="2"/>
  <c r="I1060" i="2"/>
  <c r="I1059" i="2"/>
  <c r="K1058" i="2"/>
  <c r="K1057" i="2"/>
  <c r="E1057" i="2"/>
  <c r="J1101" i="2"/>
  <c r="B1101" i="2"/>
  <c r="J1097" i="2"/>
  <c r="B1097" i="2"/>
  <c r="J1093" i="2"/>
  <c r="B1093" i="2"/>
  <c r="J1089" i="2"/>
  <c r="B1089" i="2"/>
  <c r="J1085" i="2"/>
  <c r="B1085" i="2"/>
  <c r="J1081" i="2"/>
  <c r="B1081" i="2"/>
  <c r="J1075" i="2"/>
  <c r="J1074" i="2"/>
  <c r="B1074" i="2"/>
  <c r="B1073" i="2"/>
  <c r="P1101" i="4"/>
  <c r="F1092" i="4"/>
  <c r="M1084" i="4"/>
  <c r="D1081" i="4"/>
  <c r="D1064" i="4"/>
  <c r="AC1000" i="4"/>
  <c r="AD967" i="4"/>
  <c r="AD966" i="4"/>
  <c r="AD965" i="4"/>
  <c r="AC935" i="4"/>
  <c r="AC934" i="4"/>
  <c r="AC925" i="4"/>
  <c r="AC884" i="4"/>
  <c r="AC883" i="4"/>
  <c r="AC841" i="4"/>
  <c r="AD831" i="4"/>
  <c r="AD830" i="4"/>
  <c r="AD793" i="4"/>
  <c r="AC764" i="4"/>
  <c r="AC741" i="4"/>
  <c r="AD709" i="4"/>
  <c r="AC699" i="4"/>
  <c r="AC698" i="4"/>
  <c r="AC664" i="4"/>
  <c r="AC645" i="4"/>
  <c r="U1099" i="4"/>
  <c r="AD505" i="4"/>
  <c r="M1099" i="4"/>
  <c r="E1099" i="4"/>
  <c r="X1094" i="4"/>
  <c r="H1094" i="4"/>
  <c r="AC449" i="4"/>
  <c r="AC1094" i="4" s="1"/>
  <c r="L1089" i="4"/>
  <c r="AC388" i="4"/>
  <c r="D1089" i="4"/>
  <c r="U1087" i="4"/>
  <c r="AD364" i="4"/>
  <c r="M1087" i="4"/>
  <c r="E1087" i="4"/>
  <c r="AD1055" i="4"/>
  <c r="AD1054" i="4"/>
  <c r="AC1041" i="4"/>
  <c r="AC1029" i="4"/>
  <c r="AC1011" i="4"/>
  <c r="AC999" i="4"/>
  <c r="AC998" i="4"/>
  <c r="AC986" i="4"/>
  <c r="AC984" i="4"/>
  <c r="AC974" i="4"/>
  <c r="AC964" i="4"/>
  <c r="AD907" i="4"/>
  <c r="AC898" i="4"/>
  <c r="AD895" i="4"/>
  <c r="AD894" i="4"/>
  <c r="AC881" i="4"/>
  <c r="AC869" i="4"/>
  <c r="AC851" i="4"/>
  <c r="AC839" i="4"/>
  <c r="AC838" i="4"/>
  <c r="AC826" i="4"/>
  <c r="AC814" i="4"/>
  <c r="AC804" i="4"/>
  <c r="AC799" i="4"/>
  <c r="AD747" i="4"/>
  <c r="AC738" i="4"/>
  <c r="AD735" i="4"/>
  <c r="AD734" i="4"/>
  <c r="AC721" i="4"/>
  <c r="AC709" i="4"/>
  <c r="AC691" i="4"/>
  <c r="AC679" i="4"/>
  <c r="AC678" i="4"/>
  <c r="AC666" i="4"/>
  <c r="AC654" i="4"/>
  <c r="AC644" i="4"/>
  <c r="AD638" i="4"/>
  <c r="AD637" i="4"/>
  <c r="AC581" i="4"/>
  <c r="R1104" i="4"/>
  <c r="J1104" i="4"/>
  <c r="S1104" i="4"/>
  <c r="K1104" i="4"/>
  <c r="AC565" i="4"/>
  <c r="G1102" i="4"/>
  <c r="T1101" i="4"/>
  <c r="L1101" i="4"/>
  <c r="AC528" i="4"/>
  <c r="P1100" i="4"/>
  <c r="AD518" i="4"/>
  <c r="H1100" i="4"/>
  <c r="AC518" i="4"/>
  <c r="R1100" i="4"/>
  <c r="AC512" i="4"/>
  <c r="AC496" i="4"/>
  <c r="T1098" i="4"/>
  <c r="L1098" i="4"/>
  <c r="D1098" i="4"/>
  <c r="T1095" i="4"/>
  <c r="T1094" i="4"/>
  <c r="L1094" i="4"/>
  <c r="D1094" i="4"/>
  <c r="AC430" i="4"/>
  <c r="AD425" i="4"/>
  <c r="AD424" i="4"/>
  <c r="W1090" i="4"/>
  <c r="H1090" i="4"/>
  <c r="V1085" i="4"/>
  <c r="N1085" i="4"/>
  <c r="F1085" i="4"/>
  <c r="U1081" i="4"/>
  <c r="M1081" i="4"/>
  <c r="E1081" i="4"/>
  <c r="AD244" i="4"/>
  <c r="M1077" i="4"/>
  <c r="E1077" i="4"/>
  <c r="T1069" i="4"/>
  <c r="AC148" i="4"/>
  <c r="D1069" i="4"/>
  <c r="AD139" i="4"/>
  <c r="N1068" i="4"/>
  <c r="AC139" i="4"/>
  <c r="F1068" i="4"/>
  <c r="L1064" i="4"/>
  <c r="H1061" i="4"/>
  <c r="X1060" i="4"/>
  <c r="P1060" i="4"/>
  <c r="H1060" i="4"/>
  <c r="AC30" i="4"/>
  <c r="S950" i="5"/>
  <c r="AD951" i="4"/>
  <c r="L786" i="5"/>
  <c r="L783" i="5"/>
  <c r="L206" i="5"/>
  <c r="H1073" i="5"/>
  <c r="Q204" i="5"/>
  <c r="R1073" i="5"/>
  <c r="H1145" i="6"/>
  <c r="N1145" i="6"/>
  <c r="F1145" i="6"/>
  <c r="L1145" i="6"/>
  <c r="D1145" i="6"/>
  <c r="H1144" i="6"/>
  <c r="N1144" i="6"/>
  <c r="F1144" i="6"/>
  <c r="L1144" i="6"/>
  <c r="D1144" i="6"/>
  <c r="H1143" i="6"/>
  <c r="N1143" i="6"/>
  <c r="F1143" i="6"/>
  <c r="L1143" i="6"/>
  <c r="D1143" i="6"/>
  <c r="H1142" i="6"/>
  <c r="N1142" i="6"/>
  <c r="F1142" i="6"/>
  <c r="L1142" i="6"/>
  <c r="D1142" i="6"/>
  <c r="H1141" i="6"/>
  <c r="N1141" i="6"/>
  <c r="F1141" i="6"/>
  <c r="L1141" i="6"/>
  <c r="D1141" i="6"/>
  <c r="H1140" i="6"/>
  <c r="N1140" i="6"/>
  <c r="F1140" i="6"/>
  <c r="L1140" i="6"/>
  <c r="D1140" i="6"/>
  <c r="H1139" i="6"/>
  <c r="N1139" i="6"/>
  <c r="F1139" i="6"/>
  <c r="L1139" i="6"/>
  <c r="D1139" i="6"/>
  <c r="H1138" i="6"/>
  <c r="N1138" i="6"/>
  <c r="F1138" i="6"/>
  <c r="L1138" i="6"/>
  <c r="D1138" i="6"/>
  <c r="H1137" i="6"/>
  <c r="N1137" i="6"/>
  <c r="F1137" i="6"/>
  <c r="L1137" i="6"/>
  <c r="D1137" i="6"/>
  <c r="H1136" i="6"/>
  <c r="N1136" i="6"/>
  <c r="F1136" i="6"/>
  <c r="L1136" i="6"/>
  <c r="D1136" i="6"/>
  <c r="H1135" i="6"/>
  <c r="N1135" i="6"/>
  <c r="F1135" i="6"/>
  <c r="L1135" i="6"/>
  <c r="D1135" i="6"/>
  <c r="H1134" i="6"/>
  <c r="N1134" i="6"/>
  <c r="F1134" i="6"/>
  <c r="L1134" i="6"/>
  <c r="D1134" i="6"/>
  <c r="H1133" i="6"/>
  <c r="N1133" i="6"/>
  <c r="F1133" i="6"/>
  <c r="L1133" i="6"/>
  <c r="D1133" i="6"/>
  <c r="H1132" i="6"/>
  <c r="N1132" i="6"/>
  <c r="F1132" i="6"/>
  <c r="L1132" i="6"/>
  <c r="D1132" i="6"/>
  <c r="H1131" i="6"/>
  <c r="N1131" i="6"/>
  <c r="F1131" i="6"/>
  <c r="L1131" i="6"/>
  <c r="D1131" i="6"/>
  <c r="H1130" i="6"/>
  <c r="N1130" i="6"/>
  <c r="F1130" i="6"/>
  <c r="L1130" i="6"/>
  <c r="D1130" i="6"/>
  <c r="H1129" i="6"/>
  <c r="N1129" i="6"/>
  <c r="F1129" i="6"/>
  <c r="L1129" i="6"/>
  <c r="D1129" i="6"/>
  <c r="H1128" i="6"/>
  <c r="N1128" i="6"/>
  <c r="F1128" i="6"/>
  <c r="L1128" i="6"/>
  <c r="D1128" i="6"/>
  <c r="H1127" i="6"/>
  <c r="F1127" i="6"/>
  <c r="L1127" i="6"/>
  <c r="D1127" i="6"/>
  <c r="H1126" i="6"/>
  <c r="N1126" i="6"/>
  <c r="F1126" i="6"/>
  <c r="L1126" i="6"/>
  <c r="D1126" i="6"/>
  <c r="H1125" i="6"/>
  <c r="N1125" i="6"/>
  <c r="F1125" i="6"/>
  <c r="L1125" i="6"/>
  <c r="D1125" i="6"/>
  <c r="H1124" i="6"/>
  <c r="N1124" i="6"/>
  <c r="F1124" i="6"/>
  <c r="L1124" i="6"/>
  <c r="D1124" i="6"/>
  <c r="H1123" i="6"/>
  <c r="N1123" i="6"/>
  <c r="F1123" i="6"/>
  <c r="L1123" i="6"/>
  <c r="D1123" i="6"/>
  <c r="H1122" i="6"/>
  <c r="N1122" i="6"/>
  <c r="F1122" i="6"/>
  <c r="L1122" i="6"/>
  <c r="D1122" i="6"/>
  <c r="H1121" i="6"/>
  <c r="N1121" i="6"/>
  <c r="F1121" i="6"/>
  <c r="L1121" i="6"/>
  <c r="D1121" i="6"/>
  <c r="H1120" i="6"/>
  <c r="N1120" i="6"/>
  <c r="F1120" i="6"/>
  <c r="L1120" i="6"/>
  <c r="D1120" i="6"/>
  <c r="H1119" i="6"/>
  <c r="N1119" i="6"/>
  <c r="C1104" i="3"/>
  <c r="D1104" i="3"/>
  <c r="E1103" i="3"/>
  <c r="F1103" i="3"/>
  <c r="H1102" i="3"/>
  <c r="C1100" i="3"/>
  <c r="D1100" i="3"/>
  <c r="E1099" i="3"/>
  <c r="F1099" i="3"/>
  <c r="H1098" i="3"/>
  <c r="C1096" i="3"/>
  <c r="D1096" i="3"/>
  <c r="E1095" i="3"/>
  <c r="F1095" i="3"/>
  <c r="H1094" i="3"/>
  <c r="C1092" i="3"/>
  <c r="D1092" i="3"/>
  <c r="E1091" i="3"/>
  <c r="F1091" i="3"/>
  <c r="H1090" i="3"/>
  <c r="C1088" i="3"/>
  <c r="D1088" i="3"/>
  <c r="E1087" i="3"/>
  <c r="F1087" i="3"/>
  <c r="H1086" i="3"/>
  <c r="C1084" i="3"/>
  <c r="D1084" i="3"/>
  <c r="E1083" i="3"/>
  <c r="F1083" i="3"/>
  <c r="H1082" i="3"/>
  <c r="AD1049" i="4"/>
  <c r="AC1021" i="4"/>
  <c r="AC1004" i="4"/>
  <c r="AC992" i="4"/>
  <c r="AC991" i="4"/>
  <c r="AC942" i="4"/>
  <c r="AC932" i="4"/>
  <c r="AC927" i="4"/>
  <c r="AD915" i="4"/>
  <c r="AD914" i="4"/>
  <c r="AD913" i="4"/>
  <c r="AD902" i="4"/>
  <c r="AD901" i="4"/>
  <c r="AD889" i="4"/>
  <c r="AC861" i="4"/>
  <c r="AC844" i="4"/>
  <c r="AC832" i="4"/>
  <c r="AC792" i="4"/>
  <c r="AC782" i="4"/>
  <c r="AC772" i="4"/>
  <c r="AC767" i="4"/>
  <c r="AD755" i="4"/>
  <c r="AD754" i="4"/>
  <c r="AD753" i="4"/>
  <c r="AD742" i="4"/>
  <c r="AD741" i="4"/>
  <c r="AD729" i="4"/>
  <c r="AC701" i="4"/>
  <c r="AC684" i="4"/>
  <c r="AC672" i="4"/>
  <c r="AD611" i="4"/>
  <c r="AD595" i="4"/>
  <c r="AD594" i="4"/>
  <c r="AC594" i="4"/>
  <c r="O1105" i="4"/>
  <c r="G1105" i="4"/>
  <c r="X1105" i="4"/>
  <c r="P1105" i="4"/>
  <c r="AD577" i="4"/>
  <c r="R1102" i="4"/>
  <c r="AC536" i="4"/>
  <c r="D1100" i="4"/>
  <c r="AC520" i="4"/>
  <c r="T1099" i="4"/>
  <c r="L1099" i="4"/>
  <c r="AC504" i="4"/>
  <c r="AC502" i="4"/>
  <c r="X1098" i="4"/>
  <c r="P1098" i="4"/>
  <c r="AC489" i="4"/>
  <c r="AC475" i="4"/>
  <c r="L1096" i="4"/>
  <c r="D1096" i="4"/>
  <c r="AC469" i="4"/>
  <c r="R1095" i="4"/>
  <c r="J1095" i="4"/>
  <c r="B1095" i="4"/>
  <c r="AD453" i="4"/>
  <c r="AD452" i="4"/>
  <c r="M1094" i="4"/>
  <c r="E1094" i="4"/>
  <c r="U1093" i="4"/>
  <c r="AD436" i="4"/>
  <c r="M1093" i="4"/>
  <c r="E1093" i="4"/>
  <c r="R1091" i="4"/>
  <c r="J1091" i="4"/>
  <c r="B1091" i="4"/>
  <c r="X1089" i="4"/>
  <c r="P1089" i="4"/>
  <c r="AC389" i="4"/>
  <c r="C1089" i="4"/>
  <c r="L1087" i="4"/>
  <c r="AC364" i="4"/>
  <c r="D1087" i="4"/>
  <c r="G1086" i="4"/>
  <c r="AD354" i="4"/>
  <c r="P1086" i="4"/>
  <c r="H1086" i="4"/>
  <c r="R1086" i="4"/>
  <c r="T1086" i="4"/>
  <c r="L1086" i="4"/>
  <c r="D1086" i="4"/>
  <c r="AC349" i="4"/>
  <c r="W1083" i="4"/>
  <c r="AC318" i="4"/>
  <c r="AD313" i="4"/>
  <c r="M1083" i="4"/>
  <c r="AD312" i="4"/>
  <c r="Q1082" i="4"/>
  <c r="AC218" i="4"/>
  <c r="D1075" i="4"/>
  <c r="AD171" i="4"/>
  <c r="N1071" i="4"/>
  <c r="AC171" i="4"/>
  <c r="F1071" i="4"/>
  <c r="L1009" i="5"/>
  <c r="H1070" i="2"/>
  <c r="H1069" i="2"/>
  <c r="H1068" i="2"/>
  <c r="H1062" i="2"/>
  <c r="H1061" i="2"/>
  <c r="H1060" i="2"/>
  <c r="AD1035" i="4"/>
  <c r="AC1026" i="4"/>
  <c r="AD1023" i="4"/>
  <c r="AD1022" i="4"/>
  <c r="AC1009" i="4"/>
  <c r="AC997" i="4"/>
  <c r="AC979" i="4"/>
  <c r="AC967" i="4"/>
  <c r="AC966" i="4"/>
  <c r="AC954" i="4"/>
  <c r="AC952" i="4"/>
  <c r="AC940" i="4"/>
  <c r="AC928" i="4"/>
  <c r="AC888" i="4"/>
  <c r="AD875" i="4"/>
  <c r="AC866" i="4"/>
  <c r="AD863" i="4"/>
  <c r="AD862" i="4"/>
  <c r="AC849" i="4"/>
  <c r="AC837" i="4"/>
  <c r="AC819" i="4"/>
  <c r="AC807" i="4"/>
  <c r="AC806" i="4"/>
  <c r="AC794" i="4"/>
  <c r="AC780" i="4"/>
  <c r="AC768" i="4"/>
  <c r="AC728" i="4"/>
  <c r="AD715" i="4"/>
  <c r="AC706" i="4"/>
  <c r="AD703" i="4"/>
  <c r="AD702" i="4"/>
  <c r="AC689" i="4"/>
  <c r="AC677" i="4"/>
  <c r="AC659" i="4"/>
  <c r="AC647" i="4"/>
  <c r="AC646" i="4"/>
  <c r="AC632" i="4"/>
  <c r="AC630" i="4"/>
  <c r="AD613" i="4"/>
  <c r="AC601" i="4"/>
  <c r="AD597" i="4"/>
  <c r="AD596" i="4"/>
  <c r="AD579" i="4"/>
  <c r="V1105" i="4"/>
  <c r="N1105" i="4"/>
  <c r="AD578" i="4"/>
  <c r="F1105" i="4"/>
  <c r="AC578" i="4"/>
  <c r="F1104" i="4"/>
  <c r="AC546" i="4"/>
  <c r="F1102" i="4"/>
  <c r="AC538" i="4"/>
  <c r="AC522" i="4"/>
  <c r="AC521" i="4"/>
  <c r="Q1099" i="4"/>
  <c r="I1099" i="4"/>
  <c r="K1099" i="4"/>
  <c r="C1099" i="4"/>
  <c r="AC505" i="4"/>
  <c r="AC492" i="4"/>
  <c r="AC486" i="4"/>
  <c r="AC476" i="4"/>
  <c r="B1096" i="4"/>
  <c r="C1096" i="4"/>
  <c r="AC470" i="4"/>
  <c r="G1095" i="4"/>
  <c r="AC460" i="4"/>
  <c r="AC452" i="4"/>
  <c r="AC451" i="4"/>
  <c r="AC436" i="4"/>
  <c r="K1092" i="4"/>
  <c r="C1092" i="4"/>
  <c r="AD414" i="4"/>
  <c r="N1091" i="4"/>
  <c r="F1091" i="4"/>
  <c r="X1091" i="4"/>
  <c r="P1091" i="4"/>
  <c r="O1089" i="4"/>
  <c r="G1089" i="4"/>
  <c r="AC391" i="4"/>
  <c r="Q1089" i="4"/>
  <c r="C1087" i="4"/>
  <c r="AC365" i="4"/>
  <c r="H1075" i="4"/>
  <c r="AC222" i="4"/>
  <c r="R1059" i="4"/>
  <c r="J1059" i="4"/>
  <c r="B1059" i="4"/>
  <c r="AC27" i="4"/>
  <c r="L1059" i="4"/>
  <c r="U1059" i="4"/>
  <c r="AD25" i="4"/>
  <c r="M1059" i="4"/>
  <c r="G1095" i="2"/>
  <c r="G1091" i="2"/>
  <c r="G1087" i="2"/>
  <c r="G1083" i="2"/>
  <c r="G1079" i="2"/>
  <c r="G1078" i="2"/>
  <c r="G1077" i="2"/>
  <c r="G1071" i="2"/>
  <c r="G1070" i="2"/>
  <c r="G1069" i="2"/>
  <c r="G1063" i="2"/>
  <c r="G1062" i="2"/>
  <c r="G1061" i="2"/>
  <c r="AC1050" i="4"/>
  <c r="AC1048" i="4"/>
  <c r="AC1038" i="4"/>
  <c r="AC1028" i="4"/>
  <c r="AD1011" i="4"/>
  <c r="AD1010" i="4"/>
  <c r="AD1009" i="4"/>
  <c r="AD998" i="4"/>
  <c r="AD997" i="4"/>
  <c r="AD986" i="4"/>
  <c r="AD985" i="4"/>
  <c r="AC957" i="4"/>
  <c r="AC945" i="4"/>
  <c r="AC933" i="4"/>
  <c r="AC915" i="4"/>
  <c r="AC903" i="4"/>
  <c r="AC902" i="4"/>
  <c r="AC890" i="4"/>
  <c r="AC878" i="4"/>
  <c r="AC868" i="4"/>
  <c r="AC863" i="4"/>
  <c r="AD851" i="4"/>
  <c r="AD850" i="4"/>
  <c r="AD849" i="4"/>
  <c r="AD838" i="4"/>
  <c r="AD837" i="4"/>
  <c r="AD825" i="4"/>
  <c r="AC797" i="4"/>
  <c r="AC785" i="4"/>
  <c r="AC773" i="4"/>
  <c r="AC755" i="4"/>
  <c r="AC743" i="4"/>
  <c r="AC742" i="4"/>
  <c r="AC730" i="4"/>
  <c r="AC718" i="4"/>
  <c r="AC708" i="4"/>
  <c r="AC703" i="4"/>
  <c r="AD691" i="4"/>
  <c r="AD690" i="4"/>
  <c r="AD689" i="4"/>
  <c r="AD678" i="4"/>
  <c r="AD677" i="4"/>
  <c r="AD665" i="4"/>
  <c r="AC633" i="4"/>
  <c r="AC597" i="4"/>
  <c r="U1105" i="4"/>
  <c r="AD580" i="4"/>
  <c r="M1105" i="4"/>
  <c r="E1105" i="4"/>
  <c r="U1102" i="4"/>
  <c r="P1102" i="4"/>
  <c r="H1102" i="4"/>
  <c r="V1099" i="4"/>
  <c r="H1099" i="4"/>
  <c r="R1099" i="4"/>
  <c r="J1099" i="4"/>
  <c r="B1099" i="4"/>
  <c r="AD494" i="4"/>
  <c r="N1098" i="4"/>
  <c r="AC493" i="4"/>
  <c r="F1098" i="4"/>
  <c r="Q1096" i="4"/>
  <c r="AC461" i="4"/>
  <c r="F1095" i="4"/>
  <c r="P1095" i="4"/>
  <c r="H1095" i="4"/>
  <c r="AC453" i="4"/>
  <c r="AC437" i="4"/>
  <c r="W1092" i="4"/>
  <c r="O1092" i="4"/>
  <c r="G1092" i="4"/>
  <c r="X1092" i="4"/>
  <c r="P1092" i="4"/>
  <c r="H1092" i="4"/>
  <c r="J1092" i="4"/>
  <c r="B1092" i="4"/>
  <c r="AC402" i="4"/>
  <c r="AD400" i="4"/>
  <c r="M1090" i="4"/>
  <c r="AC375" i="4"/>
  <c r="F1088" i="4"/>
  <c r="X1087" i="4"/>
  <c r="P1076" i="4"/>
  <c r="AD238" i="4"/>
  <c r="H1076" i="4"/>
  <c r="W1075" i="4"/>
  <c r="AC193" i="4"/>
  <c r="D1073" i="4"/>
  <c r="AC192" i="4"/>
  <c r="D1072" i="4"/>
  <c r="V1064" i="4"/>
  <c r="AD86" i="4"/>
  <c r="N1064" i="4"/>
  <c r="F1064" i="4"/>
  <c r="AC76" i="4"/>
  <c r="D1063" i="4"/>
  <c r="AC63" i="4"/>
  <c r="G1062" i="4"/>
  <c r="AC58" i="4"/>
  <c r="T1061" i="4"/>
  <c r="L1061" i="4"/>
  <c r="AC54" i="4"/>
  <c r="D1061" i="4"/>
  <c r="X1059" i="4"/>
  <c r="AA1059" i="4"/>
  <c r="F1119" i="6"/>
  <c r="L1119" i="6"/>
  <c r="D1119" i="6"/>
  <c r="H1118" i="6"/>
  <c r="N1118" i="6"/>
  <c r="F1118" i="6"/>
  <c r="L1118" i="6"/>
  <c r="D1118" i="6"/>
  <c r="H1117" i="6"/>
  <c r="N1117" i="6"/>
  <c r="F1117" i="6"/>
  <c r="L1117" i="6"/>
  <c r="D1117" i="6"/>
  <c r="H1116" i="6"/>
  <c r="N1116" i="6"/>
  <c r="F1116" i="6"/>
  <c r="L1116" i="6"/>
  <c r="D1116" i="6"/>
  <c r="H1115" i="6"/>
  <c r="N1115" i="6"/>
  <c r="F1115" i="6"/>
  <c r="L1115" i="6"/>
  <c r="D1115" i="6"/>
  <c r="H1114" i="6"/>
  <c r="N1114" i="6"/>
  <c r="F1114" i="6"/>
  <c r="L1114" i="6"/>
  <c r="D1114" i="6"/>
  <c r="H1113" i="6"/>
  <c r="N1113" i="6"/>
  <c r="F1113" i="6"/>
  <c r="L1113" i="6"/>
  <c r="D1113" i="6"/>
  <c r="H1112" i="6"/>
  <c r="N1112" i="6"/>
  <c r="F1112" i="6"/>
  <c r="L1112" i="6"/>
  <c r="D1112" i="6"/>
  <c r="H1111" i="6"/>
  <c r="N1111" i="6"/>
  <c r="F1111" i="6"/>
  <c r="L1111" i="6"/>
  <c r="D1111" i="6"/>
  <c r="H1110" i="6"/>
  <c r="N1110" i="6"/>
  <c r="F1110" i="6"/>
  <c r="L1110" i="6"/>
  <c r="D1110" i="6"/>
  <c r="H1109" i="6"/>
  <c r="N1109" i="6"/>
  <c r="F1109" i="6"/>
  <c r="L1109" i="6"/>
  <c r="D1109" i="6"/>
  <c r="H1108" i="6"/>
  <c r="N1108" i="6"/>
  <c r="F1108" i="6"/>
  <c r="L1108" i="6"/>
  <c r="D1108" i="6"/>
  <c r="N1107" i="6"/>
  <c r="F1107" i="6"/>
  <c r="L1107" i="6"/>
  <c r="D1107" i="6"/>
  <c r="H1106" i="6"/>
  <c r="L1106" i="6"/>
  <c r="D1106" i="6"/>
  <c r="H1105" i="6"/>
  <c r="N1105" i="6"/>
  <c r="F1105" i="6"/>
  <c r="L1105" i="6"/>
  <c r="D1105" i="6"/>
  <c r="H1104" i="6"/>
  <c r="N1104" i="6"/>
  <c r="F1104" i="6"/>
  <c r="L1104" i="6"/>
  <c r="D1104" i="6"/>
  <c r="N1103" i="6"/>
  <c r="F1103" i="6"/>
  <c r="L1103" i="6"/>
  <c r="D1103" i="6"/>
  <c r="H1102" i="6"/>
  <c r="L1102" i="6"/>
  <c r="D1102" i="6"/>
  <c r="H1101" i="6"/>
  <c r="N1101" i="6"/>
  <c r="F1101" i="6"/>
  <c r="L1101" i="6"/>
  <c r="D1101" i="6"/>
  <c r="N1099" i="6"/>
  <c r="F1099" i="6"/>
  <c r="L1099" i="6"/>
  <c r="D1099" i="6"/>
  <c r="H1098" i="6"/>
  <c r="L1098" i="6"/>
  <c r="D1098" i="6"/>
  <c r="H1097" i="6"/>
  <c r="N1097" i="6"/>
  <c r="F1097" i="6"/>
  <c r="L1097" i="6"/>
  <c r="D1097" i="6"/>
  <c r="H1096" i="6"/>
  <c r="N1096" i="6"/>
  <c r="F1096" i="6"/>
  <c r="L1096" i="6"/>
  <c r="D1096" i="6"/>
  <c r="N1095" i="6"/>
  <c r="L1095" i="6"/>
  <c r="D1095" i="6"/>
  <c r="H1094" i="6"/>
  <c r="L1094" i="6"/>
  <c r="D1094" i="6"/>
  <c r="H1093" i="6"/>
  <c r="N1093" i="6"/>
  <c r="F1093" i="6"/>
  <c r="L1093" i="6"/>
  <c r="D1093" i="6"/>
  <c r="H1092" i="6"/>
  <c r="N1092" i="6"/>
  <c r="F1092" i="6"/>
  <c r="L1092" i="6"/>
  <c r="D1092" i="6"/>
  <c r="N1091" i="6"/>
  <c r="F1091" i="6"/>
  <c r="L1091" i="6"/>
  <c r="D1091" i="6"/>
  <c r="H1090" i="6"/>
  <c r="L1090" i="6"/>
  <c r="D1090" i="6"/>
  <c r="H1089" i="6"/>
  <c r="N1089" i="6"/>
  <c r="F1089" i="6"/>
  <c r="L1089" i="6"/>
  <c r="D1089" i="6"/>
  <c r="H1088" i="6"/>
  <c r="N1088" i="6"/>
  <c r="F1088" i="6"/>
  <c r="L1088" i="6"/>
  <c r="D1088" i="6"/>
  <c r="N1087" i="6"/>
  <c r="F1087" i="6"/>
  <c r="L1087" i="6"/>
  <c r="D1087" i="6"/>
  <c r="H1086" i="6"/>
  <c r="L1086" i="6"/>
  <c r="D1086" i="6"/>
  <c r="H1085" i="6"/>
  <c r="N1085" i="6"/>
  <c r="F1085" i="6"/>
  <c r="L1085" i="6"/>
  <c r="D1085" i="6"/>
  <c r="H1084" i="6"/>
  <c r="N1084" i="6"/>
  <c r="F1084" i="6"/>
  <c r="L1084" i="6"/>
  <c r="D1084" i="6"/>
  <c r="N1083" i="6"/>
  <c r="F1083" i="6"/>
  <c r="L1083" i="6"/>
  <c r="D1083" i="6"/>
  <c r="H1082" i="6"/>
  <c r="L1082" i="6"/>
  <c r="D1082" i="6"/>
  <c r="H1081" i="6"/>
  <c r="N1081" i="6"/>
  <c r="F1081" i="6"/>
  <c r="L1081" i="6"/>
  <c r="D1081" i="6"/>
  <c r="H1080" i="6"/>
  <c r="N1080" i="6"/>
  <c r="F1080" i="6"/>
  <c r="L1080" i="6"/>
  <c r="AD377" i="4"/>
  <c r="U1088" i="4"/>
  <c r="AD376" i="4"/>
  <c r="W1087" i="4"/>
  <c r="O1087" i="4"/>
  <c r="Q1087" i="4"/>
  <c r="I1087" i="4"/>
  <c r="AC330" i="4"/>
  <c r="N1084" i="4"/>
  <c r="F1084" i="4"/>
  <c r="AD323" i="4"/>
  <c r="AC323" i="4"/>
  <c r="T1083" i="4"/>
  <c r="L1083" i="4"/>
  <c r="AD277" i="4"/>
  <c r="M1080" i="4"/>
  <c r="AC261" i="4"/>
  <c r="V1073" i="4"/>
  <c r="AD199" i="4"/>
  <c r="N1073" i="4"/>
  <c r="AC199" i="4"/>
  <c r="F1073" i="4"/>
  <c r="AC176" i="4"/>
  <c r="AD173" i="4"/>
  <c r="AC173" i="4"/>
  <c r="AD172" i="4"/>
  <c r="E1071" i="4"/>
  <c r="O1067" i="4"/>
  <c r="AC127" i="4"/>
  <c r="T1066" i="4"/>
  <c r="L1066" i="4"/>
  <c r="AC116" i="4"/>
  <c r="D1066" i="4"/>
  <c r="T1088" i="4"/>
  <c r="AC376" i="4"/>
  <c r="E1084" i="4"/>
  <c r="AD324" i="4"/>
  <c r="L1080" i="4"/>
  <c r="D1080" i="4"/>
  <c r="AC276" i="4"/>
  <c r="D1079" i="4"/>
  <c r="AD267" i="4"/>
  <c r="N1079" i="4"/>
  <c r="AC267" i="4"/>
  <c r="F1079" i="4"/>
  <c r="AC210" i="4"/>
  <c r="AD201" i="4"/>
  <c r="AD200" i="4"/>
  <c r="G1073" i="4"/>
  <c r="P1073" i="4"/>
  <c r="H1073" i="4"/>
  <c r="R1073" i="4"/>
  <c r="AC177" i="4"/>
  <c r="T1071" i="4"/>
  <c r="D1071" i="4"/>
  <c r="N1067" i="4"/>
  <c r="F1067" i="4"/>
  <c r="AC118" i="4"/>
  <c r="C1066" i="4"/>
  <c r="S931" i="5"/>
  <c r="AD932" i="4"/>
  <c r="AC435" i="4"/>
  <c r="D1093" i="4"/>
  <c r="T1092" i="4"/>
  <c r="L1092" i="4"/>
  <c r="AC420" i="4"/>
  <c r="AC410" i="4"/>
  <c r="AC409" i="4"/>
  <c r="U1089" i="4"/>
  <c r="AD388" i="4"/>
  <c r="M1089" i="4"/>
  <c r="E1089" i="4"/>
  <c r="S1088" i="4"/>
  <c r="K1088" i="4"/>
  <c r="AC377" i="4"/>
  <c r="D1084" i="4"/>
  <c r="AC324" i="4"/>
  <c r="K1080" i="4"/>
  <c r="AC277" i="4"/>
  <c r="C1080" i="4"/>
  <c r="B1074" i="4"/>
  <c r="AC200" i="4"/>
  <c r="AD148" i="4"/>
  <c r="E1069" i="4"/>
  <c r="S1068" i="4"/>
  <c r="K1068" i="4"/>
  <c r="C1068" i="4"/>
  <c r="AC133" i="4"/>
  <c r="AC62" i="4"/>
  <c r="H1062" i="4"/>
  <c r="R1062" i="4"/>
  <c r="J1062" i="4"/>
  <c r="B1062" i="4"/>
  <c r="U1061" i="4"/>
  <c r="AD55" i="4"/>
  <c r="M1061" i="4"/>
  <c r="E1061" i="4"/>
  <c r="S1059" i="4"/>
  <c r="V1059" i="4"/>
  <c r="F1059" i="4"/>
  <c r="S975" i="5"/>
  <c r="AD976" i="4"/>
  <c r="S939" i="5"/>
  <c r="AD940" i="4"/>
  <c r="L932" i="5"/>
  <c r="L925" i="5"/>
  <c r="L879" i="5"/>
  <c r="D1080" i="6"/>
  <c r="N1079" i="6"/>
  <c r="F1079" i="6"/>
  <c r="L1079" i="6"/>
  <c r="D1079" i="6"/>
  <c r="H1078" i="6"/>
  <c r="L1078" i="6"/>
  <c r="D1078" i="6"/>
  <c r="H1077" i="6"/>
  <c r="N1077" i="6"/>
  <c r="F1077" i="6"/>
  <c r="L1077" i="6"/>
  <c r="D1077" i="6"/>
  <c r="H1076" i="6"/>
  <c r="N1076" i="6"/>
  <c r="F1076" i="6"/>
  <c r="L1076" i="6"/>
  <c r="D1076" i="6"/>
  <c r="N1075" i="6"/>
  <c r="F1075" i="6"/>
  <c r="L1075" i="6"/>
  <c r="D1075" i="6"/>
  <c r="H1074" i="6"/>
  <c r="L1074" i="6"/>
  <c r="D1074" i="6"/>
  <c r="H1073" i="6"/>
  <c r="N1073" i="6"/>
  <c r="F1073" i="6"/>
  <c r="L1073" i="6"/>
  <c r="D1073" i="6"/>
  <c r="H1072" i="6"/>
  <c r="N1072" i="6"/>
  <c r="F1072" i="6"/>
  <c r="L1072" i="6"/>
  <c r="D1072" i="6"/>
  <c r="F1071" i="6"/>
  <c r="L1071" i="6"/>
  <c r="D1071" i="6"/>
  <c r="H1070" i="6"/>
  <c r="L1070" i="6"/>
  <c r="D1070" i="6"/>
  <c r="H1069" i="6"/>
  <c r="N1069" i="6"/>
  <c r="F1069" i="6"/>
  <c r="L1069" i="6"/>
  <c r="D1069" i="6"/>
  <c r="H1068" i="6"/>
  <c r="N1068" i="6"/>
  <c r="F1068" i="6"/>
  <c r="L1068" i="6"/>
  <c r="D1068" i="6"/>
  <c r="N1067" i="6"/>
  <c r="L1067" i="6"/>
  <c r="D1067" i="6"/>
  <c r="H1066" i="6"/>
  <c r="L1066" i="6"/>
  <c r="D1066" i="6"/>
  <c r="N1065" i="6"/>
  <c r="F1065" i="6"/>
  <c r="L1065" i="6"/>
  <c r="D1065" i="6"/>
  <c r="H1064" i="6"/>
  <c r="N1064" i="6"/>
  <c r="F1064" i="6"/>
  <c r="L1064" i="6"/>
  <c r="D1064" i="6"/>
  <c r="N1063" i="6"/>
  <c r="F1063" i="6"/>
  <c r="L1063" i="6"/>
  <c r="D1063" i="6"/>
  <c r="L1062" i="6"/>
  <c r="D1062" i="6"/>
  <c r="H1061" i="6"/>
  <c r="N1061" i="6"/>
  <c r="F1061" i="6"/>
  <c r="L1061" i="6"/>
  <c r="D1061" i="6"/>
  <c r="H1060" i="6"/>
  <c r="N1060" i="6"/>
  <c r="F1060" i="6"/>
  <c r="L1060" i="6"/>
  <c r="D1060" i="6"/>
  <c r="J1059" i="6"/>
  <c r="H1100" i="6"/>
  <c r="N1100" i="6"/>
  <c r="N1059" i="6"/>
  <c r="F1059" i="6"/>
  <c r="F1100" i="6"/>
  <c r="C1104" i="5"/>
  <c r="L500" i="5"/>
  <c r="C1103" i="5"/>
  <c r="F1104" i="5"/>
  <c r="F1103" i="5"/>
  <c r="F1101" i="5"/>
  <c r="F1102" i="5"/>
  <c r="H1101" i="5"/>
  <c r="H1103" i="5"/>
  <c r="L498" i="5"/>
  <c r="H1102" i="5"/>
  <c r="R1103" i="5"/>
  <c r="R1104" i="5"/>
  <c r="Q500" i="5"/>
  <c r="Q1100" i="5" s="1"/>
  <c r="AC1046" i="4"/>
  <c r="AC1014" i="4"/>
  <c r="AD993" i="4"/>
  <c r="AC982" i="4"/>
  <c r="AD961" i="4"/>
  <c r="AC950" i="4"/>
  <c r="AD929" i="4"/>
  <c r="AC918" i="4"/>
  <c r="AC886" i="4"/>
  <c r="AC854" i="4"/>
  <c r="AC822" i="4"/>
  <c r="AC790" i="4"/>
  <c r="AC758" i="4"/>
  <c r="AD750" i="4"/>
  <c r="AC726" i="4"/>
  <c r="AC694" i="4"/>
  <c r="AC662" i="4"/>
  <c r="AC600" i="4"/>
  <c r="AC585" i="4"/>
  <c r="AC542" i="4"/>
  <c r="U1101" i="4"/>
  <c r="AD532" i="4"/>
  <c r="M1101" i="4"/>
  <c r="E1101" i="4"/>
  <c r="V1101" i="4"/>
  <c r="N1101" i="4"/>
  <c r="AD530" i="4"/>
  <c r="F1101" i="4"/>
  <c r="AC515" i="4"/>
  <c r="AD489" i="4"/>
  <c r="AC472" i="4"/>
  <c r="AD464" i="4"/>
  <c r="Q1095" i="4"/>
  <c r="I1095" i="4"/>
  <c r="AC457" i="4"/>
  <c r="S1094" i="4"/>
  <c r="K1094" i="4"/>
  <c r="C1094" i="4"/>
  <c r="V1089" i="4"/>
  <c r="AD387" i="4"/>
  <c r="N1089" i="4"/>
  <c r="AC387" i="4"/>
  <c r="AC1089" i="4" s="1"/>
  <c r="F1089" i="4"/>
  <c r="W1088" i="4"/>
  <c r="O1088" i="4"/>
  <c r="G1088" i="4"/>
  <c r="AC342" i="4"/>
  <c r="V1081" i="4"/>
  <c r="N1081" i="4"/>
  <c r="F1081" i="4"/>
  <c r="V1080" i="4"/>
  <c r="N1080" i="4"/>
  <c r="F1080" i="4"/>
  <c r="AC238" i="4"/>
  <c r="T1074" i="4"/>
  <c r="L1074" i="4"/>
  <c r="AC208" i="4"/>
  <c r="D1074" i="4"/>
  <c r="U1073" i="4"/>
  <c r="AD193" i="4"/>
  <c r="M1073" i="4"/>
  <c r="E1073" i="4"/>
  <c r="T1067" i="4"/>
  <c r="L1067" i="4"/>
  <c r="AC122" i="4"/>
  <c r="D1067" i="4"/>
  <c r="AC110" i="4"/>
  <c r="W1064" i="4"/>
  <c r="O1064" i="4"/>
  <c r="G1064" i="4"/>
  <c r="AD53" i="4"/>
  <c r="N1061" i="4"/>
  <c r="F1061" i="4"/>
  <c r="AC53" i="4"/>
  <c r="AC28" i="4"/>
  <c r="L459" i="5"/>
  <c r="C1094" i="5"/>
  <c r="I1094" i="5"/>
  <c r="L182" i="5"/>
  <c r="H1071" i="5"/>
  <c r="S180" i="5"/>
  <c r="AD1053" i="4"/>
  <c r="AC1042" i="4"/>
  <c r="AD1034" i="4"/>
  <c r="AD1021" i="4"/>
  <c r="AC1010" i="4"/>
  <c r="AD1002" i="4"/>
  <c r="AD989" i="4"/>
  <c r="AC978" i="4"/>
  <c r="AD970" i="4"/>
  <c r="AD957" i="4"/>
  <c r="AC946" i="4"/>
  <c r="AD938" i="4"/>
  <c r="AD925" i="4"/>
  <c r="AC914" i="4"/>
  <c r="AD906" i="4"/>
  <c r="AD893" i="4"/>
  <c r="AC882" i="4"/>
  <c r="AD874" i="4"/>
  <c r="AD861" i="4"/>
  <c r="AC850" i="4"/>
  <c r="AD842" i="4"/>
  <c r="AD829" i="4"/>
  <c r="AC818" i="4"/>
  <c r="AD810" i="4"/>
  <c r="AD797" i="4"/>
  <c r="AC786" i="4"/>
  <c r="AD778" i="4"/>
  <c r="AD765" i="4"/>
  <c r="AC754" i="4"/>
  <c r="AD746" i="4"/>
  <c r="AD733" i="4"/>
  <c r="AC722" i="4"/>
  <c r="AD714" i="4"/>
  <c r="AD701" i="4"/>
  <c r="AC690" i="4"/>
  <c r="AD682" i="4"/>
  <c r="AD669" i="4"/>
  <c r="AC658" i="4"/>
  <c r="AD650" i="4"/>
  <c r="AD627" i="4"/>
  <c r="AC622" i="4"/>
  <c r="AD612" i="4"/>
  <c r="AD610" i="4"/>
  <c r="AC596" i="4"/>
  <c r="AC595" i="4"/>
  <c r="AD569" i="4"/>
  <c r="AD568" i="4"/>
  <c r="AD567" i="4"/>
  <c r="X1104" i="4"/>
  <c r="P1104" i="4"/>
  <c r="H1104" i="4"/>
  <c r="AC552" i="4"/>
  <c r="AD542" i="4"/>
  <c r="AC537" i="4"/>
  <c r="AD509" i="4"/>
  <c r="AD499" i="4"/>
  <c r="AC494" i="4"/>
  <c r="U1097" i="4"/>
  <c r="AD484" i="4"/>
  <c r="M1097" i="4"/>
  <c r="E1097" i="4"/>
  <c r="V1097" i="4"/>
  <c r="N1097" i="4"/>
  <c r="AD482" i="4"/>
  <c r="F1097" i="4"/>
  <c r="AC468" i="4"/>
  <c r="AC467" i="4"/>
  <c r="AD441" i="4"/>
  <c r="AD440" i="4"/>
  <c r="AD439" i="4"/>
  <c r="AC424" i="4"/>
  <c r="AD404" i="4"/>
  <c r="AD402" i="4"/>
  <c r="AD393" i="4"/>
  <c r="AD367" i="4"/>
  <c r="AC367" i="4"/>
  <c r="AD355" i="4"/>
  <c r="AC355" i="4"/>
  <c r="S1086" i="4"/>
  <c r="K1086" i="4"/>
  <c r="AC350" i="4"/>
  <c r="AC338" i="4"/>
  <c r="AC337" i="4"/>
  <c r="AC325" i="4"/>
  <c r="AC312" i="4"/>
  <c r="AC310" i="4"/>
  <c r="S1082" i="4"/>
  <c r="K1082" i="4"/>
  <c r="C1082" i="4"/>
  <c r="AD297" i="4"/>
  <c r="AD284" i="4"/>
  <c r="W1080" i="4"/>
  <c r="O1080" i="4"/>
  <c r="G1080" i="4"/>
  <c r="AD269" i="4"/>
  <c r="AC269" i="4"/>
  <c r="AD268" i="4"/>
  <c r="R1077" i="4"/>
  <c r="J1077" i="4"/>
  <c r="B1077" i="4"/>
  <c r="AC245" i="4"/>
  <c r="AD223" i="4"/>
  <c r="AC223" i="4"/>
  <c r="AC201" i="4"/>
  <c r="AD179" i="4"/>
  <c r="AC179" i="4"/>
  <c r="AD157" i="4"/>
  <c r="AD156" i="4"/>
  <c r="Q1069" i="4"/>
  <c r="I1069" i="4"/>
  <c r="S1069" i="4"/>
  <c r="K1069" i="4"/>
  <c r="C1069" i="4"/>
  <c r="AD141" i="4"/>
  <c r="AC141" i="4"/>
  <c r="AD140" i="4"/>
  <c r="AC117" i="4"/>
  <c r="V1065" i="4"/>
  <c r="N1065" i="4"/>
  <c r="F1065" i="4"/>
  <c r="AD95" i="4"/>
  <c r="AC95" i="4"/>
  <c r="X1063" i="4"/>
  <c r="AD73" i="4"/>
  <c r="P1063" i="4"/>
  <c r="H1063" i="4"/>
  <c r="AC67" i="4"/>
  <c r="AC66" i="4"/>
  <c r="T1062" i="4"/>
  <c r="L1062" i="4"/>
  <c r="AC65" i="4"/>
  <c r="D1062" i="4"/>
  <c r="W1060" i="4"/>
  <c r="O1060" i="4"/>
  <c r="G1060" i="4"/>
  <c r="L935" i="5"/>
  <c r="L815" i="5"/>
  <c r="L553" i="5"/>
  <c r="L506" i="5"/>
  <c r="H1104" i="5"/>
  <c r="I1104" i="5"/>
  <c r="T1100" i="5"/>
  <c r="T1102" i="5"/>
  <c r="T1104" i="5"/>
  <c r="T1101" i="5"/>
  <c r="T1099" i="5"/>
  <c r="T1097" i="5"/>
  <c r="E1100" i="5"/>
  <c r="E1102" i="5"/>
  <c r="E1104" i="5"/>
  <c r="E1103" i="5"/>
  <c r="E1101" i="5"/>
  <c r="L409" i="5"/>
  <c r="C1090" i="5"/>
  <c r="L351" i="5"/>
  <c r="C1085" i="5"/>
  <c r="S300" i="5"/>
  <c r="S1081" i="5" s="1"/>
  <c r="Q1081" i="5"/>
  <c r="AC1054" i="4"/>
  <c r="AD1046" i="4"/>
  <c r="AD1033" i="4"/>
  <c r="AC1022" i="4"/>
  <c r="AD1014" i="4"/>
  <c r="AD1001" i="4"/>
  <c r="AC990" i="4"/>
  <c r="AD982" i="4"/>
  <c r="AD969" i="4"/>
  <c r="AC958" i="4"/>
  <c r="AD950" i="4"/>
  <c r="AD937" i="4"/>
  <c r="AC926" i="4"/>
  <c r="AD918" i="4"/>
  <c r="AD905" i="4"/>
  <c r="AC894" i="4"/>
  <c r="AD886" i="4"/>
  <c r="AD873" i="4"/>
  <c r="AC862" i="4"/>
  <c r="AD854" i="4"/>
  <c r="AD841" i="4"/>
  <c r="AC830" i="4"/>
  <c r="AD822" i="4"/>
  <c r="AD809" i="4"/>
  <c r="AC798" i="4"/>
  <c r="AD790" i="4"/>
  <c r="AD777" i="4"/>
  <c r="AC766" i="4"/>
  <c r="AD758" i="4"/>
  <c r="AD745" i="4"/>
  <c r="AC734" i="4"/>
  <c r="AD726" i="4"/>
  <c r="AD713" i="4"/>
  <c r="AC702" i="4"/>
  <c r="AD694" i="4"/>
  <c r="AD681" i="4"/>
  <c r="AC670" i="4"/>
  <c r="AD662" i="4"/>
  <c r="AD649" i="4"/>
  <c r="AC638" i="4"/>
  <c r="AC637" i="4"/>
  <c r="AD628" i="4"/>
  <c r="AD626" i="4"/>
  <c r="AC612" i="4"/>
  <c r="AC611" i="4"/>
  <c r="AD585" i="4"/>
  <c r="AD584" i="4"/>
  <c r="AD583" i="4"/>
  <c r="AC568" i="4"/>
  <c r="AD558" i="4"/>
  <c r="Q1103" i="4"/>
  <c r="I1103" i="4"/>
  <c r="AC553" i="4"/>
  <c r="S1102" i="4"/>
  <c r="K1102" i="4"/>
  <c r="C1102" i="4"/>
  <c r="AD525" i="4"/>
  <c r="AD515" i="4"/>
  <c r="AC510" i="4"/>
  <c r="AD500" i="4"/>
  <c r="AD498" i="4"/>
  <c r="AC484" i="4"/>
  <c r="AC483" i="4"/>
  <c r="W1096" i="4"/>
  <c r="O1096" i="4"/>
  <c r="G1096" i="4"/>
  <c r="AD457" i="4"/>
  <c r="AD456" i="4"/>
  <c r="AC440" i="4"/>
  <c r="AD430" i="4"/>
  <c r="AC425" i="4"/>
  <c r="AC415" i="4"/>
  <c r="AD413" i="4"/>
  <c r="AC404" i="4"/>
  <c r="AC403" i="4"/>
  <c r="AC392" i="4"/>
  <c r="AD381" i="4"/>
  <c r="AD369" i="4"/>
  <c r="AD368" i="4"/>
  <c r="R1087" i="4"/>
  <c r="J1087" i="4"/>
  <c r="B1087" i="4"/>
  <c r="AD357" i="4"/>
  <c r="AD356" i="4"/>
  <c r="AD343" i="4"/>
  <c r="AC343" i="4"/>
  <c r="X1084" i="4"/>
  <c r="P1084" i="4"/>
  <c r="H1084" i="4"/>
  <c r="AC313" i="4"/>
  <c r="AC301" i="4"/>
  <c r="AC297" i="4"/>
  <c r="AC284" i="4"/>
  <c r="AC282" i="4"/>
  <c r="AC266" i="4"/>
  <c r="AD251" i="4"/>
  <c r="AC251" i="4"/>
  <c r="S1076" i="4"/>
  <c r="K1076" i="4"/>
  <c r="C1076" i="4"/>
  <c r="AD225" i="4"/>
  <c r="AD224" i="4"/>
  <c r="AD181" i="4"/>
  <c r="AC163" i="4"/>
  <c r="AC146" i="4"/>
  <c r="AC145" i="4"/>
  <c r="R1069" i="4"/>
  <c r="J1069" i="4"/>
  <c r="B1069" i="4"/>
  <c r="AC138" i="4"/>
  <c r="AD123" i="4"/>
  <c r="AC123" i="4"/>
  <c r="AD97" i="4"/>
  <c r="M1065" i="4"/>
  <c r="AD96" i="4"/>
  <c r="AD38" i="4"/>
  <c r="V1060" i="4"/>
  <c r="AD37" i="4"/>
  <c r="N1060" i="4"/>
  <c r="AC37" i="4"/>
  <c r="F1060" i="4"/>
  <c r="A1085" i="5"/>
  <c r="B1084" i="5"/>
  <c r="L1029" i="5"/>
  <c r="L1001" i="5"/>
  <c r="L990" i="5"/>
  <c r="L851" i="5"/>
  <c r="L828" i="5"/>
  <c r="L826" i="5"/>
  <c r="L561" i="5"/>
  <c r="Q432" i="5"/>
  <c r="R1092" i="5"/>
  <c r="Q409" i="5"/>
  <c r="D1090" i="5"/>
  <c r="AD1045" i="4"/>
  <c r="AC1034" i="4"/>
  <c r="AD1026" i="4"/>
  <c r="AD1013" i="4"/>
  <c r="AC1002" i="4"/>
  <c r="AD994" i="4"/>
  <c r="AD981" i="4"/>
  <c r="AC970" i="4"/>
  <c r="AD962" i="4"/>
  <c r="AD949" i="4"/>
  <c r="AC938" i="4"/>
  <c r="AD930" i="4"/>
  <c r="AD917" i="4"/>
  <c r="AC906" i="4"/>
  <c r="AD898" i="4"/>
  <c r="AD885" i="4"/>
  <c r="AC874" i="4"/>
  <c r="AD866" i="4"/>
  <c r="AD853" i="4"/>
  <c r="AC842" i="4"/>
  <c r="AD834" i="4"/>
  <c r="AD821" i="4"/>
  <c r="AC810" i="4"/>
  <c r="AD802" i="4"/>
  <c r="AD789" i="4"/>
  <c r="AC778" i="4"/>
  <c r="AD770" i="4"/>
  <c r="AD757" i="4"/>
  <c r="AC746" i="4"/>
  <c r="AD738" i="4"/>
  <c r="AD725" i="4"/>
  <c r="AC714" i="4"/>
  <c r="AD706" i="4"/>
  <c r="AD693" i="4"/>
  <c r="AC682" i="4"/>
  <c r="AD674" i="4"/>
  <c r="AD661" i="4"/>
  <c r="AC650" i="4"/>
  <c r="AD642" i="4"/>
  <c r="AC628" i="4"/>
  <c r="AC627" i="4"/>
  <c r="AD601" i="4"/>
  <c r="AD600" i="4"/>
  <c r="AD599" i="4"/>
  <c r="AC584" i="4"/>
  <c r="AD574" i="4"/>
  <c r="AC569" i="4"/>
  <c r="R1103" i="4"/>
  <c r="J1103" i="4"/>
  <c r="B1103" i="4"/>
  <c r="T1102" i="4"/>
  <c r="L1102" i="4"/>
  <c r="D1102" i="4"/>
  <c r="AD541" i="4"/>
  <c r="AD1102" i="4" s="1"/>
  <c r="AD531" i="4"/>
  <c r="AC526" i="4"/>
  <c r="AD516" i="4"/>
  <c r="AD514" i="4"/>
  <c r="AC500" i="4"/>
  <c r="AC499" i="4"/>
  <c r="AD473" i="4"/>
  <c r="AD472" i="4"/>
  <c r="AD471" i="4"/>
  <c r="X1096" i="4"/>
  <c r="P1096" i="4"/>
  <c r="H1096" i="4"/>
  <c r="AC456" i="4"/>
  <c r="AD446" i="4"/>
  <c r="AC441" i="4"/>
  <c r="AC414" i="4"/>
  <c r="AC405" i="4"/>
  <c r="AC394" i="4"/>
  <c r="AC393" i="4"/>
  <c r="AC381" i="4"/>
  <c r="X1088" i="4"/>
  <c r="AD374" i="4"/>
  <c r="P1088" i="4"/>
  <c r="H1088" i="4"/>
  <c r="AC356" i="4"/>
  <c r="W1084" i="4"/>
  <c r="O1084" i="4"/>
  <c r="G1084" i="4"/>
  <c r="Q1083" i="4"/>
  <c r="I1083" i="4"/>
  <c r="R1083" i="4"/>
  <c r="J1083" i="4"/>
  <c r="B1083" i="4"/>
  <c r="AC303" i="4"/>
  <c r="AC285" i="4"/>
  <c r="Q1077" i="4"/>
  <c r="I1077" i="4"/>
  <c r="R1076" i="4"/>
  <c r="J1076" i="4"/>
  <c r="B1076" i="4"/>
  <c r="AC225" i="4"/>
  <c r="AC224" i="4"/>
  <c r="U1074" i="4"/>
  <c r="AD208" i="4"/>
  <c r="M1074" i="4"/>
  <c r="E1074" i="4"/>
  <c r="AC159" i="4"/>
  <c r="AC157" i="4"/>
  <c r="U1067" i="4"/>
  <c r="AD124" i="4"/>
  <c r="M1067" i="4"/>
  <c r="E1067" i="4"/>
  <c r="W1065" i="4"/>
  <c r="O1065" i="4"/>
  <c r="G1065" i="4"/>
  <c r="AC97" i="4"/>
  <c r="AC96" i="4"/>
  <c r="X1064" i="4"/>
  <c r="P1064" i="4"/>
  <c r="AC85" i="4"/>
  <c r="H1064" i="4"/>
  <c r="H1059" i="4"/>
  <c r="C1058" i="4"/>
  <c r="U1058" i="4"/>
  <c r="AD20" i="4"/>
  <c r="AD1058" i="4" s="1"/>
  <c r="M1058" i="4"/>
  <c r="E1058" i="4"/>
  <c r="L718" i="5"/>
  <c r="L711" i="5"/>
  <c r="L639" i="5"/>
  <c r="L617" i="5"/>
  <c r="L564" i="5"/>
  <c r="L417" i="5"/>
  <c r="L254" i="5"/>
  <c r="H1077" i="5"/>
  <c r="S252" i="5"/>
  <c r="S1077" i="5" s="1"/>
  <c r="Q1077" i="5"/>
  <c r="L242" i="5"/>
  <c r="D1076" i="5"/>
  <c r="C1086" i="4"/>
  <c r="C1075" i="4"/>
  <c r="AD384" i="4"/>
  <c r="AD383" i="4"/>
  <c r="AC372" i="4"/>
  <c r="AD352" i="4"/>
  <c r="AD351" i="4"/>
  <c r="AC340" i="4"/>
  <c r="AD320" i="4"/>
  <c r="AD319" i="4"/>
  <c r="AC308" i="4"/>
  <c r="AC302" i="4"/>
  <c r="AD300" i="4"/>
  <c r="AD299" i="4"/>
  <c r="AC272" i="4"/>
  <c r="AC264" i="4"/>
  <c r="AD243" i="4"/>
  <c r="AD1077" i="4" s="1"/>
  <c r="AC243" i="4"/>
  <c r="AD236" i="4"/>
  <c r="AD235" i="4"/>
  <c r="AC212" i="4"/>
  <c r="AC186" i="4"/>
  <c r="AD167" i="4"/>
  <c r="AC167" i="4"/>
  <c r="AC161" i="4"/>
  <c r="AC160" i="4"/>
  <c r="AC144" i="4"/>
  <c r="AC136" i="4"/>
  <c r="AD115" i="4"/>
  <c r="AC115" i="4"/>
  <c r="AD108" i="4"/>
  <c r="AD107" i="4"/>
  <c r="AC82" i="4"/>
  <c r="AC81" i="4"/>
  <c r="AD54" i="4"/>
  <c r="AC46" i="4"/>
  <c r="L1052" i="5"/>
  <c r="L1030" i="5"/>
  <c r="L963" i="5"/>
  <c r="L955" i="5"/>
  <c r="L891" i="5"/>
  <c r="D1104" i="5"/>
  <c r="D1103" i="5"/>
  <c r="D1102" i="5"/>
  <c r="H1099" i="5"/>
  <c r="H1098" i="5"/>
  <c r="H1100" i="5"/>
  <c r="N1097" i="5"/>
  <c r="N1099" i="5"/>
  <c r="T1098" i="5"/>
  <c r="D1098" i="5"/>
  <c r="F1096" i="5"/>
  <c r="I1096" i="5"/>
  <c r="L455" i="5"/>
  <c r="C1093" i="5"/>
  <c r="D1093" i="5"/>
  <c r="L428" i="5"/>
  <c r="C1091" i="5"/>
  <c r="T1090" i="5"/>
  <c r="Q372" i="5"/>
  <c r="R1087" i="5"/>
  <c r="L302" i="5"/>
  <c r="H1081" i="5"/>
  <c r="L300" i="5"/>
  <c r="C1081" i="5"/>
  <c r="L295" i="5"/>
  <c r="C1080" i="5"/>
  <c r="L288" i="5"/>
  <c r="D1080" i="5"/>
  <c r="L234" i="5"/>
  <c r="D1075" i="5"/>
  <c r="Q231" i="5"/>
  <c r="R1075" i="5"/>
  <c r="S1074" i="5"/>
  <c r="D1074" i="5"/>
  <c r="F1074" i="5"/>
  <c r="L204" i="5"/>
  <c r="C1073" i="5"/>
  <c r="L195" i="5"/>
  <c r="L191" i="5"/>
  <c r="AD408" i="4"/>
  <c r="AD392" i="4"/>
  <c r="AD391" i="4"/>
  <c r="AD380" i="4"/>
  <c r="AD379" i="4"/>
  <c r="AC368" i="4"/>
  <c r="AC1087" i="4" s="1"/>
  <c r="AD348" i="4"/>
  <c r="AD347" i="4"/>
  <c r="AC336" i="4"/>
  <c r="AD316" i="4"/>
  <c r="AD315" i="4"/>
  <c r="AC304" i="4"/>
  <c r="AD296" i="4"/>
  <c r="AD289" i="4"/>
  <c r="AD288" i="4"/>
  <c r="AD287" i="4"/>
  <c r="AD257" i="4"/>
  <c r="AD256" i="4"/>
  <c r="AD255" i="4"/>
  <c r="AD240" i="4"/>
  <c r="AD180" i="4"/>
  <c r="AC174" i="4"/>
  <c r="AC164" i="4"/>
  <c r="AC156" i="4"/>
  <c r="AC149" i="4"/>
  <c r="AD129" i="4"/>
  <c r="AD128" i="4"/>
  <c r="AD127" i="4"/>
  <c r="AD112" i="4"/>
  <c r="AD104" i="4"/>
  <c r="AD70" i="4"/>
  <c r="AC47" i="4"/>
  <c r="AD39" i="4"/>
  <c r="AD28" i="4"/>
  <c r="L918" i="5"/>
  <c r="L788" i="5"/>
  <c r="L756" i="5"/>
  <c r="L731" i="5"/>
  <c r="L670" i="5"/>
  <c r="L586" i="5"/>
  <c r="Q384" i="5"/>
  <c r="R1088" i="5"/>
  <c r="D1086" i="5"/>
  <c r="D1067" i="5"/>
  <c r="L136" i="5"/>
  <c r="L132" i="5"/>
  <c r="E1067" i="5"/>
  <c r="I1065" i="5"/>
  <c r="S109" i="5"/>
  <c r="S1065" i="5" s="1"/>
  <c r="Q1065" i="5"/>
  <c r="L89" i="5"/>
  <c r="C1063" i="5"/>
  <c r="S81" i="5"/>
  <c r="S1062" i="5" s="1"/>
  <c r="Q1062" i="5"/>
  <c r="L71" i="5"/>
  <c r="C1061" i="5"/>
  <c r="L69" i="5"/>
  <c r="F1061" i="5"/>
  <c r="AD636" i="4"/>
  <c r="AC380" i="4"/>
  <c r="AD362" i="4"/>
  <c r="AD360" i="4"/>
  <c r="AD359" i="4"/>
  <c r="AC348" i="4"/>
  <c r="AD328" i="4"/>
  <c r="AD327" i="4"/>
  <c r="AC316" i="4"/>
  <c r="AC296" i="4"/>
  <c r="AC288" i="4"/>
  <c r="AD263" i="4"/>
  <c r="AC263" i="4"/>
  <c r="AC257" i="4"/>
  <c r="AC256" i="4"/>
  <c r="AC240" i="4"/>
  <c r="AC232" i="4"/>
  <c r="AC1076" i="4" s="1"/>
  <c r="AD211" i="4"/>
  <c r="AC211" i="4"/>
  <c r="AD205" i="4"/>
  <c r="AD204" i="4"/>
  <c r="AD203" i="4"/>
  <c r="AD188" i="4"/>
  <c r="AD187" i="4"/>
  <c r="AC180" i="4"/>
  <c r="AC154" i="4"/>
  <c r="AD135" i="4"/>
  <c r="AC135" i="4"/>
  <c r="AC129" i="4"/>
  <c r="AC128" i="4"/>
  <c r="AC112" i="4"/>
  <c r="AC104" i="4"/>
  <c r="AD82" i="4"/>
  <c r="AD81" i="4"/>
  <c r="AD80" i="4"/>
  <c r="AC80" i="4"/>
  <c r="AD72" i="4"/>
  <c r="AD71" i="4"/>
  <c r="AD69" i="4"/>
  <c r="AC39" i="4"/>
  <c r="AC38" i="4"/>
  <c r="AC35" i="4"/>
  <c r="F1062" i="5"/>
  <c r="L1011" i="5"/>
  <c r="L953" i="5"/>
  <c r="L943" i="5"/>
  <c r="L937" i="5"/>
  <c r="L889" i="5"/>
  <c r="L882" i="5"/>
  <c r="L785" i="5"/>
  <c r="L721" i="5"/>
  <c r="L656" i="5"/>
  <c r="L649" i="5"/>
  <c r="I1090" i="5"/>
  <c r="F1089" i="5"/>
  <c r="S398" i="5"/>
  <c r="L386" i="5"/>
  <c r="H1088" i="5"/>
  <c r="L266" i="5"/>
  <c r="I1078" i="5"/>
  <c r="S1072" i="5"/>
  <c r="C1072" i="5"/>
  <c r="Q182" i="5"/>
  <c r="S182" i="5" s="1"/>
  <c r="R1071" i="5"/>
  <c r="D1082" i="4"/>
  <c r="AD640" i="4"/>
  <c r="AD620" i="4"/>
  <c r="AD619" i="4"/>
  <c r="AD604" i="4"/>
  <c r="AD603" i="4"/>
  <c r="AD588" i="4"/>
  <c r="AD587" i="4"/>
  <c r="AD572" i="4"/>
  <c r="AD571" i="4"/>
  <c r="AD556" i="4"/>
  <c r="AD555" i="4"/>
  <c r="AD540" i="4"/>
  <c r="AD539" i="4"/>
  <c r="AD524" i="4"/>
  <c r="AD523" i="4"/>
  <c r="AD508" i="4"/>
  <c r="AD507" i="4"/>
  <c r="AD492" i="4"/>
  <c r="AD491" i="4"/>
  <c r="AD476" i="4"/>
  <c r="AD475" i="4"/>
  <c r="AD460" i="4"/>
  <c r="AD459" i="4"/>
  <c r="AD444" i="4"/>
  <c r="AD443" i="4"/>
  <c r="AD428" i="4"/>
  <c r="AD427" i="4"/>
  <c r="AD412" i="4"/>
  <c r="AD411" i="4"/>
  <c r="AD396" i="4"/>
  <c r="AD395" i="4"/>
  <c r="AD372" i="4"/>
  <c r="AD371" i="4"/>
  <c r="AC360" i="4"/>
  <c r="AD340" i="4"/>
  <c r="AD339" i="4"/>
  <c r="AC328" i="4"/>
  <c r="AD308" i="4"/>
  <c r="AD307" i="4"/>
  <c r="AD1082" i="4" s="1"/>
  <c r="AC280" i="4"/>
  <c r="AD272" i="4"/>
  <c r="AD271" i="4"/>
  <c r="AD264" i="4"/>
  <c r="AD212" i="4"/>
  <c r="AC206" i="4"/>
  <c r="AC196" i="4"/>
  <c r="AC188" i="4"/>
  <c r="AC181" i="4"/>
  <c r="AD161" i="4"/>
  <c r="AD160" i="4"/>
  <c r="AD159" i="4"/>
  <c r="AD144" i="4"/>
  <c r="AD136" i="4"/>
  <c r="AC73" i="4"/>
  <c r="AC60" i="4"/>
  <c r="AC49" i="4"/>
  <c r="AC40" i="4"/>
  <c r="AC19" i="4"/>
  <c r="E1061" i="5"/>
  <c r="L1050" i="5"/>
  <c r="L980" i="5"/>
  <c r="L978" i="5"/>
  <c r="L970" i="5"/>
  <c r="L962" i="5"/>
  <c r="L890" i="5"/>
  <c r="L801" i="5"/>
  <c r="L742" i="5"/>
  <c r="L729" i="5"/>
  <c r="I1097" i="5"/>
  <c r="I1099" i="5"/>
  <c r="I1100" i="5"/>
  <c r="I1098" i="5"/>
  <c r="S494" i="5"/>
  <c r="Q1099" i="5"/>
  <c r="C1098" i="5"/>
  <c r="C1099" i="5"/>
  <c r="C1097" i="5"/>
  <c r="E1098" i="5"/>
  <c r="E1097" i="5"/>
  <c r="H1097" i="5"/>
  <c r="L489" i="5"/>
  <c r="L482" i="5"/>
  <c r="L481" i="5"/>
  <c r="C1096" i="5"/>
  <c r="D1096" i="5"/>
  <c r="S473" i="5"/>
  <c r="S1095" i="5" s="1"/>
  <c r="Q1095" i="5"/>
  <c r="F1095" i="5"/>
  <c r="L460" i="5"/>
  <c r="S1094" i="5"/>
  <c r="T1093" i="5"/>
  <c r="H1093" i="5"/>
  <c r="N1093" i="5"/>
  <c r="E1090" i="5"/>
  <c r="Q406" i="5"/>
  <c r="S406" i="5" s="1"/>
  <c r="R1089" i="5"/>
  <c r="I1088" i="5"/>
  <c r="E1088" i="5"/>
  <c r="L372" i="5"/>
  <c r="T1080" i="5"/>
  <c r="L269" i="5"/>
  <c r="C1078" i="5"/>
  <c r="L231" i="5"/>
  <c r="C1075" i="5"/>
  <c r="L223" i="5"/>
  <c r="C1074" i="5"/>
  <c r="L215" i="5"/>
  <c r="G1131" i="6"/>
  <c r="M1131" i="6"/>
  <c r="E1131" i="6"/>
  <c r="K1131" i="6"/>
  <c r="C1131" i="6"/>
  <c r="M1130" i="6"/>
  <c r="E1130" i="6"/>
  <c r="K1130" i="6"/>
  <c r="C1130" i="6"/>
  <c r="I1129" i="6"/>
  <c r="O1129" i="6"/>
  <c r="G1129" i="6"/>
  <c r="K1129" i="6"/>
  <c r="C1129" i="6"/>
  <c r="M1128" i="6"/>
  <c r="E1128" i="6"/>
  <c r="K1128" i="6"/>
  <c r="C1128" i="6"/>
  <c r="G1127" i="6"/>
  <c r="M1127" i="6"/>
  <c r="E1127" i="6"/>
  <c r="K1127" i="6"/>
  <c r="C1127" i="6"/>
  <c r="M1126" i="6"/>
  <c r="E1126" i="6"/>
  <c r="K1126" i="6"/>
  <c r="C1126" i="6"/>
  <c r="I1125" i="6"/>
  <c r="O1125" i="6"/>
  <c r="K1125" i="6"/>
  <c r="C1125" i="6"/>
  <c r="G1124" i="6"/>
  <c r="M1124" i="6"/>
  <c r="E1124" i="6"/>
  <c r="K1124" i="6"/>
  <c r="C1124" i="6"/>
  <c r="O1123" i="6"/>
  <c r="M1123" i="6"/>
  <c r="E1123" i="6"/>
  <c r="K1123" i="6"/>
  <c r="C1123" i="6"/>
  <c r="I1122" i="6"/>
  <c r="M1122" i="6"/>
  <c r="E1122" i="6"/>
  <c r="C1122" i="6"/>
  <c r="G1121" i="6"/>
  <c r="K1121" i="6"/>
  <c r="C1121" i="6"/>
  <c r="I1120" i="6"/>
  <c r="M1120" i="6"/>
  <c r="E1120" i="6"/>
  <c r="K1120" i="6"/>
  <c r="C1120" i="6"/>
  <c r="G1119" i="6"/>
  <c r="M1119" i="6"/>
  <c r="E1119" i="6"/>
  <c r="K1119" i="6"/>
  <c r="C1119" i="6"/>
  <c r="M1118" i="6"/>
  <c r="E1118" i="6"/>
  <c r="K1118" i="6"/>
  <c r="C1118" i="6"/>
  <c r="K1117" i="6"/>
  <c r="C1117" i="6"/>
  <c r="I1116" i="6"/>
  <c r="M1116" i="6"/>
  <c r="E1116" i="6"/>
  <c r="K1116" i="6"/>
  <c r="C1116" i="6"/>
  <c r="M1115" i="6"/>
  <c r="E1115" i="6"/>
  <c r="K1115" i="6"/>
  <c r="C1115" i="6"/>
  <c r="M1114" i="6"/>
  <c r="E1114" i="6"/>
  <c r="K1114" i="6"/>
  <c r="C1114" i="6"/>
  <c r="O1113" i="6"/>
  <c r="K1113" i="6"/>
  <c r="C1113" i="6"/>
  <c r="G1112" i="6"/>
  <c r="M1112" i="6"/>
  <c r="E1112" i="6"/>
  <c r="K1112" i="6"/>
  <c r="C1112" i="6"/>
  <c r="O1111" i="6"/>
  <c r="M1111" i="6"/>
  <c r="E1111" i="6"/>
  <c r="K1111" i="6"/>
  <c r="C1111" i="6"/>
  <c r="M1110" i="6"/>
  <c r="E1110" i="6"/>
  <c r="K1110" i="6"/>
  <c r="C1110" i="6"/>
  <c r="K1109" i="6"/>
  <c r="C1109" i="6"/>
  <c r="M1108" i="6"/>
  <c r="E1108" i="6"/>
  <c r="K1108" i="6"/>
  <c r="C1108" i="6"/>
  <c r="M1107" i="6"/>
  <c r="E1107" i="6"/>
  <c r="K1107" i="6"/>
  <c r="C1107" i="6"/>
  <c r="E1106" i="6"/>
  <c r="K1106" i="6"/>
  <c r="C1106" i="6"/>
  <c r="M1105" i="6"/>
  <c r="E1105" i="6"/>
  <c r="K1105" i="6"/>
  <c r="C1105" i="6"/>
  <c r="G1104" i="6"/>
  <c r="M1104" i="6"/>
  <c r="K1104" i="6"/>
  <c r="C1104" i="6"/>
  <c r="M1103" i="6"/>
  <c r="E1103" i="6"/>
  <c r="K1103" i="6"/>
  <c r="C1103" i="6"/>
  <c r="M1102" i="6"/>
  <c r="K1102" i="6"/>
  <c r="C1102" i="6"/>
  <c r="O1101" i="6"/>
  <c r="M1101" i="6"/>
  <c r="K1101" i="6"/>
  <c r="C1101" i="6"/>
  <c r="I1099" i="6"/>
  <c r="M1099" i="6"/>
  <c r="E1099" i="6"/>
  <c r="K1099" i="6"/>
  <c r="C1099" i="6"/>
  <c r="M1098" i="6"/>
  <c r="E1098" i="6"/>
  <c r="K1098" i="6"/>
  <c r="C1098" i="6"/>
  <c r="I1097" i="6"/>
  <c r="G1097" i="6"/>
  <c r="M1097" i="6"/>
  <c r="E1097" i="6"/>
  <c r="K1097" i="6"/>
  <c r="C1097" i="6"/>
  <c r="M1096" i="6"/>
  <c r="E1096" i="6"/>
  <c r="K1096" i="6"/>
  <c r="C1096" i="6"/>
  <c r="O1095" i="6"/>
  <c r="M1095" i="6"/>
  <c r="E1095" i="6"/>
  <c r="K1095" i="6"/>
  <c r="C1095" i="6"/>
  <c r="O1094" i="6"/>
  <c r="M1094" i="6"/>
  <c r="E1094" i="6"/>
  <c r="K1094" i="6"/>
  <c r="C1094" i="6"/>
  <c r="E1093" i="6"/>
  <c r="K1093" i="6"/>
  <c r="C1093" i="6"/>
  <c r="M1092" i="6"/>
  <c r="E1092" i="6"/>
  <c r="K1092" i="6"/>
  <c r="C1092" i="6"/>
  <c r="G1091" i="6"/>
  <c r="E1091" i="6"/>
  <c r="K1091" i="6"/>
  <c r="C1091" i="6"/>
  <c r="M1090" i="6"/>
  <c r="E1090" i="6"/>
  <c r="K1090" i="6"/>
  <c r="C1090" i="6"/>
  <c r="AC300" i="4"/>
  <c r="AD280" i="4"/>
  <c r="AD279" i="4"/>
  <c r="AC268" i="4"/>
  <c r="AD248" i="4"/>
  <c r="AD247" i="4"/>
  <c r="AC236" i="4"/>
  <c r="AD216" i="4"/>
  <c r="AD215" i="4"/>
  <c r="AC204" i="4"/>
  <c r="AD184" i="4"/>
  <c r="AD183" i="4"/>
  <c r="AC172" i="4"/>
  <c r="AD152" i="4"/>
  <c r="AD151" i="4"/>
  <c r="AC140" i="4"/>
  <c r="AD120" i="4"/>
  <c r="AD119" i="4"/>
  <c r="AC108" i="4"/>
  <c r="AD87" i="4"/>
  <c r="AD85" i="4"/>
  <c r="AC71" i="4"/>
  <c r="AC70" i="4"/>
  <c r="AD44" i="4"/>
  <c r="AD43" i="4"/>
  <c r="AC43" i="4"/>
  <c r="AD42" i="4"/>
  <c r="L1038" i="5"/>
  <c r="L1017" i="5"/>
  <c r="L1010" i="5"/>
  <c r="L902" i="5"/>
  <c r="L900" i="5"/>
  <c r="L843" i="5"/>
  <c r="L838" i="5"/>
  <c r="L802" i="5"/>
  <c r="L769" i="5"/>
  <c r="L687" i="5"/>
  <c r="L679" i="5"/>
  <c r="N1104" i="5"/>
  <c r="N1103" i="5"/>
  <c r="N1102" i="5"/>
  <c r="L314" i="5"/>
  <c r="C1082" i="5"/>
  <c r="S1069" i="5"/>
  <c r="AD260" i="4"/>
  <c r="AD259" i="4"/>
  <c r="AD1078" i="4" s="1"/>
  <c r="AC248" i="4"/>
  <c r="AD228" i="4"/>
  <c r="AD227" i="4"/>
  <c r="AC216" i="4"/>
  <c r="AD196" i="4"/>
  <c r="AD195" i="4"/>
  <c r="AC184" i="4"/>
  <c r="AD164" i="4"/>
  <c r="AD163" i="4"/>
  <c r="AC152" i="4"/>
  <c r="AD132" i="4"/>
  <c r="AD131" i="4"/>
  <c r="AC120" i="4"/>
  <c r="AD100" i="4"/>
  <c r="AD99" i="4"/>
  <c r="AC87" i="4"/>
  <c r="AC86" i="4"/>
  <c r="AD60" i="4"/>
  <c r="AD59" i="4"/>
  <c r="AC59" i="4"/>
  <c r="AD58" i="4"/>
  <c r="AC44" i="4"/>
  <c r="AC22" i="4"/>
  <c r="L1040" i="5"/>
  <c r="L1037" i="5"/>
  <c r="L1021" i="5"/>
  <c r="L1019" i="5"/>
  <c r="L1007" i="5"/>
  <c r="L959" i="5"/>
  <c r="L895" i="5"/>
  <c r="L870" i="5"/>
  <c r="L835" i="5"/>
  <c r="L804" i="5"/>
  <c r="L614" i="5"/>
  <c r="L599" i="5"/>
  <c r="L355" i="5"/>
  <c r="L353" i="5"/>
  <c r="L328" i="5"/>
  <c r="D1083" i="5"/>
  <c r="S1082" i="5"/>
  <c r="L1043" i="5"/>
  <c r="L1033" i="5"/>
  <c r="L1031" i="5"/>
  <c r="L1012" i="5"/>
  <c r="L993" i="5"/>
  <c r="L974" i="5"/>
  <c r="L946" i="5"/>
  <c r="L844" i="5"/>
  <c r="L808" i="5"/>
  <c r="L778" i="5"/>
  <c r="L775" i="5"/>
  <c r="L737" i="5"/>
  <c r="L733" i="5"/>
  <c r="L726" i="5"/>
  <c r="L697" i="5"/>
  <c r="L694" i="5"/>
  <c r="L693" i="5"/>
  <c r="L691" i="5"/>
  <c r="L686" i="5"/>
  <c r="L646" i="5"/>
  <c r="L625" i="5"/>
  <c r="L619" i="5"/>
  <c r="L512" i="5"/>
  <c r="L378" i="5"/>
  <c r="I1087" i="5"/>
  <c r="L369" i="5"/>
  <c r="L362" i="5"/>
  <c r="S349" i="5"/>
  <c r="S1085" i="5" s="1"/>
  <c r="Q1085" i="5"/>
  <c r="I1083" i="5"/>
  <c r="S324" i="5"/>
  <c r="S1083" i="5" s="1"/>
  <c r="Q1083" i="5"/>
  <c r="D1082" i="5"/>
  <c r="L303" i="5"/>
  <c r="I1081" i="5"/>
  <c r="Q133" i="5"/>
  <c r="R1067" i="5"/>
  <c r="L82" i="5"/>
  <c r="I1062" i="5"/>
  <c r="AD79" i="4"/>
  <c r="AD78" i="4"/>
  <c r="AD63" i="4"/>
  <c r="AD62" i="4"/>
  <c r="AD1062" i="4" s="1"/>
  <c r="AD47" i="4"/>
  <c r="AD46" i="4"/>
  <c r="AC18" i="4"/>
  <c r="L1054" i="5"/>
  <c r="L1005" i="5"/>
  <c r="L995" i="5"/>
  <c r="L976" i="5"/>
  <c r="L957" i="5"/>
  <c r="L927" i="5"/>
  <c r="L916" i="5"/>
  <c r="L914" i="5"/>
  <c r="L860" i="5"/>
  <c r="L846" i="5"/>
  <c r="L834" i="5"/>
  <c r="L822" i="5"/>
  <c r="L758" i="5"/>
  <c r="L739" i="5"/>
  <c r="L665" i="5"/>
  <c r="L657" i="5"/>
  <c r="L654" i="5"/>
  <c r="L587" i="5"/>
  <c r="L439" i="5"/>
  <c r="C1092" i="5"/>
  <c r="D1092" i="5"/>
  <c r="E1086" i="5"/>
  <c r="S1086" i="5"/>
  <c r="S1084" i="5"/>
  <c r="Q172" i="5"/>
  <c r="R1070" i="5"/>
  <c r="L160" i="5"/>
  <c r="D1069" i="5"/>
  <c r="L139" i="5"/>
  <c r="C1067" i="5"/>
  <c r="AD27" i="4"/>
  <c r="AC20" i="4"/>
  <c r="L1045" i="5"/>
  <c r="L1036" i="5"/>
  <c r="L1024" i="5"/>
  <c r="L1014" i="5"/>
  <c r="L988" i="5"/>
  <c r="L986" i="5"/>
  <c r="L938" i="5"/>
  <c r="L929" i="5"/>
  <c r="L888" i="5"/>
  <c r="L866" i="5"/>
  <c r="L848" i="5"/>
  <c r="L824" i="5"/>
  <c r="L800" i="5"/>
  <c r="L796" i="5"/>
  <c r="L709" i="5"/>
  <c r="L701" i="5"/>
  <c r="L669" i="5"/>
  <c r="L661" i="5"/>
  <c r="L659" i="5"/>
  <c r="L602" i="5"/>
  <c r="L516" i="5"/>
  <c r="T1096" i="5"/>
  <c r="H1095" i="5"/>
  <c r="I1093" i="5"/>
  <c r="S444" i="5"/>
  <c r="S420" i="5"/>
  <c r="S1091" i="5" s="1"/>
  <c r="Q1091" i="5"/>
  <c r="H1089" i="5"/>
  <c r="L384" i="5"/>
  <c r="C1088" i="5"/>
  <c r="L375" i="5"/>
  <c r="L364" i="5"/>
  <c r="C1086" i="5"/>
  <c r="Q265" i="5"/>
  <c r="R1078" i="5"/>
  <c r="D1072" i="5"/>
  <c r="L138" i="5"/>
  <c r="L998" i="5"/>
  <c r="L919" i="5"/>
  <c r="L897" i="5"/>
  <c r="L893" i="5"/>
  <c r="L881" i="5"/>
  <c r="L791" i="5"/>
  <c r="L781" i="5"/>
  <c r="L779" i="5"/>
  <c r="L768" i="5"/>
  <c r="L744" i="5"/>
  <c r="L725" i="5"/>
  <c r="L723" i="5"/>
  <c r="L713" i="5"/>
  <c r="L671" i="5"/>
  <c r="L666" i="5"/>
  <c r="L651" i="5"/>
  <c r="L621" i="5"/>
  <c r="L606" i="5"/>
  <c r="L596" i="5"/>
  <c r="L589" i="5"/>
  <c r="L560" i="5"/>
  <c r="L537" i="5"/>
  <c r="L514" i="5"/>
  <c r="L503" i="5"/>
  <c r="L492" i="5"/>
  <c r="L1097" i="5" s="1"/>
  <c r="L332" i="5"/>
  <c r="L102" i="5"/>
  <c r="E1064" i="5"/>
  <c r="L91" i="5"/>
  <c r="I1060" i="5"/>
  <c r="S30" i="5"/>
  <c r="N1058" i="5"/>
  <c r="L1022" i="5"/>
  <c r="L968" i="5"/>
  <c r="L966" i="5"/>
  <c r="L936" i="5"/>
  <c r="L934" i="5"/>
  <c r="L923" i="5"/>
  <c r="L909" i="5"/>
  <c r="L871" i="5"/>
  <c r="L855" i="5"/>
  <c r="L833" i="5"/>
  <c r="L829" i="5"/>
  <c r="L817" i="5"/>
  <c r="L703" i="5"/>
  <c r="L698" i="5"/>
  <c r="L683" i="5"/>
  <c r="L653" i="5"/>
  <c r="L641" i="5"/>
  <c r="L631" i="5"/>
  <c r="L524" i="5"/>
  <c r="L511" i="5"/>
  <c r="L507" i="5"/>
  <c r="L420" i="5"/>
  <c r="L399" i="5"/>
  <c r="L395" i="5"/>
  <c r="L352" i="5"/>
  <c r="L256" i="5"/>
  <c r="L1046" i="5"/>
  <c r="L982" i="5"/>
  <c r="L907" i="5"/>
  <c r="L859" i="5"/>
  <c r="L845" i="5"/>
  <c r="L807" i="5"/>
  <c r="L793" i="5"/>
  <c r="L784" i="5"/>
  <c r="L770" i="5"/>
  <c r="L761" i="5"/>
  <c r="L757" i="5"/>
  <c r="L748" i="5"/>
  <c r="L735" i="5"/>
  <c r="L730" i="5"/>
  <c r="L715" i="5"/>
  <c r="L685" i="5"/>
  <c r="L673" i="5"/>
  <c r="L667" i="5"/>
  <c r="L663" i="5"/>
  <c r="L645" i="5"/>
  <c r="L643" i="5"/>
  <c r="L623" i="5"/>
  <c r="L611" i="5"/>
  <c r="L598" i="5"/>
  <c r="L591" i="5"/>
  <c r="L585" i="5"/>
  <c r="L566" i="5"/>
  <c r="L551" i="5"/>
  <c r="L543" i="5"/>
  <c r="L448" i="5"/>
  <c r="L432" i="5"/>
  <c r="L1092" i="5" s="1"/>
  <c r="L361" i="5"/>
  <c r="L336" i="5"/>
  <c r="L265" i="5"/>
  <c r="L67" i="5"/>
  <c r="S51" i="5"/>
  <c r="S1060" i="5" s="1"/>
  <c r="Q1060" i="5"/>
  <c r="L27" i="5"/>
  <c r="E1058" i="5"/>
  <c r="L874" i="5"/>
  <c r="L810" i="5"/>
  <c r="L746" i="5"/>
  <c r="L563" i="5"/>
  <c r="L556" i="5"/>
  <c r="L539" i="5"/>
  <c r="L521" i="5"/>
  <c r="L495" i="5"/>
  <c r="L487" i="5"/>
  <c r="L480" i="5"/>
  <c r="L474" i="5"/>
  <c r="L457" i="5"/>
  <c r="L431" i="5"/>
  <c r="L423" i="5"/>
  <c r="L416" i="5"/>
  <c r="L410" i="5"/>
  <c r="L393" i="5"/>
  <c r="L367" i="5"/>
  <c r="L359" i="5"/>
  <c r="L322" i="5"/>
  <c r="L306" i="5"/>
  <c r="L287" i="5"/>
  <c r="L159" i="5"/>
  <c r="L151" i="5"/>
  <c r="L124" i="5"/>
  <c r="L70" i="5"/>
  <c r="L751" i="5"/>
  <c r="L608" i="5"/>
  <c r="L576" i="5"/>
  <c r="L569" i="5"/>
  <c r="L559" i="5"/>
  <c r="L535" i="5"/>
  <c r="L491" i="5"/>
  <c r="L476" i="5"/>
  <c r="L427" i="5"/>
  <c r="L412" i="5"/>
  <c r="L363" i="5"/>
  <c r="L358" i="5"/>
  <c r="L354" i="5"/>
  <c r="L310" i="5"/>
  <c r="L275" i="5"/>
  <c r="L241" i="5"/>
  <c r="L233" i="5"/>
  <c r="L212" i="5"/>
  <c r="L189" i="5"/>
  <c r="L177" i="5"/>
  <c r="L41" i="5"/>
  <c r="O1143" i="6"/>
  <c r="O1141" i="6"/>
  <c r="O1135" i="6"/>
  <c r="I1133" i="6"/>
  <c r="G1133" i="6"/>
  <c r="L922" i="5"/>
  <c r="L858" i="5"/>
  <c r="L794" i="5"/>
  <c r="L762" i="5"/>
  <c r="L738" i="5"/>
  <c r="L724" i="5"/>
  <c r="L722" i="5"/>
  <c r="L706" i="5"/>
  <c r="L692" i="5"/>
  <c r="L690" i="5"/>
  <c r="L674" i="5"/>
  <c r="L660" i="5"/>
  <c r="L658" i="5"/>
  <c r="L642" i="5"/>
  <c r="L628" i="5"/>
  <c r="L626" i="5"/>
  <c r="L601" i="5"/>
  <c r="L579" i="5"/>
  <c r="L572" i="5"/>
  <c r="L555" i="5"/>
  <c r="L528" i="5"/>
  <c r="L522" i="5"/>
  <c r="L505" i="5"/>
  <c r="L479" i="5"/>
  <c r="L471" i="5"/>
  <c r="L464" i="5"/>
  <c r="L458" i="5"/>
  <c r="L441" i="5"/>
  <c r="L415" i="5"/>
  <c r="L407" i="5"/>
  <c r="L400" i="5"/>
  <c r="L394" i="5"/>
  <c r="L377" i="5"/>
  <c r="L290" i="5"/>
  <c r="L258" i="5"/>
  <c r="L253" i="5"/>
  <c r="L249" i="5"/>
  <c r="L248" i="5"/>
  <c r="L202" i="5"/>
  <c r="L185" i="5"/>
  <c r="L184" i="5"/>
  <c r="L172" i="5"/>
  <c r="L130" i="5"/>
  <c r="L115" i="5"/>
  <c r="L75" i="5"/>
  <c r="M1089" i="6"/>
  <c r="K1089" i="6"/>
  <c r="C1089" i="6"/>
  <c r="E1088" i="6"/>
  <c r="K1088" i="6"/>
  <c r="C1088" i="6"/>
  <c r="I1087" i="6"/>
  <c r="M1087" i="6"/>
  <c r="E1087" i="6"/>
  <c r="K1087" i="6"/>
  <c r="C1087" i="6"/>
  <c r="M1086" i="6"/>
  <c r="K1086" i="6"/>
  <c r="C1086" i="6"/>
  <c r="M1085" i="6"/>
  <c r="E1085" i="6"/>
  <c r="C1085" i="6"/>
  <c r="O1084" i="6"/>
  <c r="E1084" i="6"/>
  <c r="K1084" i="6"/>
  <c r="C1084" i="6"/>
  <c r="M1083" i="6"/>
  <c r="C1083" i="6"/>
  <c r="E1082" i="6"/>
  <c r="O1081" i="6"/>
  <c r="E1081" i="6"/>
  <c r="K1081" i="6"/>
  <c r="C1081" i="6"/>
  <c r="G1080" i="6"/>
  <c r="M1080" i="6"/>
  <c r="K1080" i="6"/>
  <c r="E1079" i="6"/>
  <c r="K1079" i="6"/>
  <c r="C1079" i="6"/>
  <c r="M1078" i="6"/>
  <c r="K1078" i="6"/>
  <c r="I1077" i="6"/>
  <c r="G1077" i="6"/>
  <c r="M1077" i="6"/>
  <c r="E1077" i="6"/>
  <c r="K1077" i="6"/>
  <c r="C1077" i="6"/>
  <c r="M1076" i="6"/>
  <c r="E1076" i="6"/>
  <c r="K1076" i="6"/>
  <c r="M1075" i="6"/>
  <c r="E1075" i="6"/>
  <c r="K1075" i="6"/>
  <c r="C1075" i="6"/>
  <c r="M1074" i="6"/>
  <c r="E1074" i="6"/>
  <c r="C1074" i="6"/>
  <c r="M1073" i="6"/>
  <c r="E1073" i="6"/>
  <c r="K1073" i="6"/>
  <c r="C1073" i="6"/>
  <c r="O1072" i="6"/>
  <c r="M1072" i="6"/>
  <c r="C1072" i="6"/>
  <c r="M1071" i="6"/>
  <c r="E1071" i="6"/>
  <c r="C1071" i="6"/>
  <c r="M1070" i="6"/>
  <c r="E1070" i="6"/>
  <c r="C1070" i="6"/>
  <c r="G1069" i="6"/>
  <c r="E1069" i="6"/>
  <c r="K1069" i="6"/>
  <c r="C1069" i="6"/>
  <c r="G1068" i="6"/>
  <c r="M1068" i="6"/>
  <c r="E1068" i="6"/>
  <c r="E1067" i="6"/>
  <c r="K1067" i="6"/>
  <c r="C1067" i="6"/>
  <c r="M1066" i="6"/>
  <c r="E1066" i="6"/>
  <c r="K1066" i="6"/>
  <c r="C1066" i="6"/>
  <c r="G1100" i="6"/>
  <c r="M1100" i="6"/>
  <c r="I1100" i="6"/>
  <c r="O1065" i="6"/>
  <c r="K1065" i="6"/>
  <c r="C1065" i="6"/>
  <c r="L515" i="5"/>
  <c r="L499" i="5"/>
  <c r="L483" i="5"/>
  <c r="L467" i="5"/>
  <c r="L451" i="5"/>
  <c r="L435" i="5"/>
  <c r="L419" i="5"/>
  <c r="L403" i="5"/>
  <c r="L387" i="5"/>
  <c r="L371" i="5"/>
  <c r="L298" i="5"/>
  <c r="L289" i="5"/>
  <c r="L276" i="5"/>
  <c r="L272" i="5"/>
  <c r="L268" i="5"/>
  <c r="L260" i="5"/>
  <c r="L243" i="5"/>
  <c r="L1076" i="5" s="1"/>
  <c r="L228" i="5"/>
  <c r="L145" i="5"/>
  <c r="L106" i="5"/>
  <c r="L57" i="5"/>
  <c r="L754" i="5"/>
  <c r="L714" i="5"/>
  <c r="L682" i="5"/>
  <c r="L650" i="5"/>
  <c r="L618" i="5"/>
  <c r="L584" i="5"/>
  <c r="L568" i="5"/>
  <c r="L552" i="5"/>
  <c r="L536" i="5"/>
  <c r="L520" i="5"/>
  <c r="L504" i="5"/>
  <c r="L488" i="5"/>
  <c r="L472" i="5"/>
  <c r="L456" i="5"/>
  <c r="L440" i="5"/>
  <c r="L424" i="5"/>
  <c r="L408" i="5"/>
  <c r="L392" i="5"/>
  <c r="L376" i="5"/>
  <c r="L360" i="5"/>
  <c r="L1086" i="5" s="1"/>
  <c r="L340" i="5"/>
  <c r="L292" i="5"/>
  <c r="L279" i="5"/>
  <c r="L278" i="5"/>
  <c r="L226" i="5"/>
  <c r="L218" i="5"/>
  <c r="L169" i="5"/>
  <c r="L168" i="5"/>
  <c r="L127" i="5"/>
  <c r="L116" i="5"/>
  <c r="L81" i="5"/>
  <c r="L343" i="5"/>
  <c r="L342" i="5"/>
  <c r="L324" i="5"/>
  <c r="L313" i="5"/>
  <c r="L312" i="5"/>
  <c r="L305" i="5"/>
  <c r="L297" i="5"/>
  <c r="L259" i="5"/>
  <c r="L255" i="5"/>
  <c r="L236" i="5"/>
  <c r="L205" i="5"/>
  <c r="L201" i="5"/>
  <c r="L194" i="5"/>
  <c r="L167" i="5"/>
  <c r="L129" i="5"/>
  <c r="L123" i="5"/>
  <c r="L122" i="5"/>
  <c r="S18" i="5"/>
  <c r="L28" i="5"/>
  <c r="S20" i="5"/>
  <c r="I1145" i="6"/>
  <c r="O1145" i="6"/>
  <c r="I1144" i="6"/>
  <c r="O1144" i="6"/>
  <c r="G1144" i="6"/>
  <c r="G1143" i="6"/>
  <c r="I1142" i="6"/>
  <c r="O1142" i="6"/>
  <c r="G1142" i="6"/>
  <c r="G1141" i="6"/>
  <c r="O1140" i="6"/>
  <c r="G1140" i="6"/>
  <c r="O1139" i="6"/>
  <c r="O1138" i="6"/>
  <c r="G1138" i="6"/>
  <c r="O1137" i="6"/>
  <c r="O1136" i="6"/>
  <c r="G1135" i="6"/>
  <c r="O1134" i="6"/>
  <c r="G1134" i="6"/>
  <c r="O1133" i="6"/>
  <c r="O1132" i="6"/>
  <c r="G1132" i="6"/>
  <c r="O1131" i="6"/>
  <c r="I1130" i="6"/>
  <c r="O1130" i="6"/>
  <c r="G1130" i="6"/>
  <c r="I1128" i="6"/>
  <c r="O1128" i="6"/>
  <c r="G1128" i="6"/>
  <c r="O1127" i="6"/>
  <c r="I1126" i="6"/>
  <c r="O1126" i="6"/>
  <c r="G1126" i="6"/>
  <c r="G1125" i="6"/>
  <c r="I1124" i="6"/>
  <c r="O1124" i="6"/>
  <c r="O1122" i="6"/>
  <c r="G1122" i="6"/>
  <c r="I1121" i="6"/>
  <c r="O1121" i="6"/>
  <c r="O1120" i="6"/>
  <c r="I1119" i="6"/>
  <c r="O1119" i="6"/>
  <c r="I1118" i="6"/>
  <c r="O1118" i="6"/>
  <c r="G1118" i="6"/>
  <c r="I1117" i="6"/>
  <c r="O1117" i="6"/>
  <c r="G1117" i="6"/>
  <c r="G1116" i="6"/>
  <c r="I1110" i="6"/>
  <c r="O1108" i="6"/>
  <c r="I1106" i="6"/>
  <c r="L616" i="5"/>
  <c r="L594" i="5"/>
  <c r="L592" i="5"/>
  <c r="L581" i="5"/>
  <c r="L573" i="5"/>
  <c r="L565" i="5"/>
  <c r="L557" i="5"/>
  <c r="L549" i="5"/>
  <c r="L541" i="5"/>
  <c r="L533" i="5"/>
  <c r="L525" i="5"/>
  <c r="L517" i="5"/>
  <c r="L509" i="5"/>
  <c r="L501" i="5"/>
  <c r="L493" i="5"/>
  <c r="L485" i="5"/>
  <c r="L477" i="5"/>
  <c r="L469" i="5"/>
  <c r="L1095" i="5" s="1"/>
  <c r="L461" i="5"/>
  <c r="L453" i="5"/>
  <c r="L445" i="5"/>
  <c r="L437" i="5"/>
  <c r="L429" i="5"/>
  <c r="L421" i="5"/>
  <c r="L413" i="5"/>
  <c r="L405" i="5"/>
  <c r="L397" i="5"/>
  <c r="L1089" i="5" s="1"/>
  <c r="L389" i="5"/>
  <c r="L381" i="5"/>
  <c r="L373" i="5"/>
  <c r="L365" i="5"/>
  <c r="L350" i="5"/>
  <c r="L339" i="5"/>
  <c r="L317" i="5"/>
  <c r="L282" i="5"/>
  <c r="L263" i="5"/>
  <c r="L252" i="5"/>
  <c r="L225" i="5"/>
  <c r="L221" i="5"/>
  <c r="L209" i="5"/>
  <c r="L179" i="5"/>
  <c r="L164" i="5"/>
  <c r="L148" i="5"/>
  <c r="L1068" i="5" s="1"/>
  <c r="L141" i="5"/>
  <c r="L90" i="5"/>
  <c r="L86" i="5"/>
  <c r="L65" i="5"/>
  <c r="L51" i="5"/>
  <c r="L50" i="5"/>
  <c r="L31" i="5"/>
  <c r="L321" i="5"/>
  <c r="L311" i="5"/>
  <c r="L301" i="5"/>
  <c r="L284" i="5"/>
  <c r="L257" i="5"/>
  <c r="L247" i="5"/>
  <c r="L237" i="5"/>
  <c r="L220" i="5"/>
  <c r="L193" i="5"/>
  <c r="L1072" i="5" s="1"/>
  <c r="L183" i="5"/>
  <c r="L173" i="5"/>
  <c r="L156" i="5"/>
  <c r="L95" i="5"/>
  <c r="L94" i="5"/>
  <c r="L62" i="5"/>
  <c r="L58" i="5"/>
  <c r="L49" i="5"/>
  <c r="L42" i="5"/>
  <c r="O1116" i="6"/>
  <c r="I1115" i="6"/>
  <c r="O1115" i="6"/>
  <c r="G1115" i="6"/>
  <c r="I1114" i="6"/>
  <c r="O1114" i="6"/>
  <c r="G1114" i="6"/>
  <c r="I1112" i="6"/>
  <c r="O1112" i="6"/>
  <c r="I1111" i="6"/>
  <c r="G1111" i="6"/>
  <c r="O1110" i="6"/>
  <c r="G1110" i="6"/>
  <c r="I1109" i="6"/>
  <c r="O1109" i="6"/>
  <c r="I1108" i="6"/>
  <c r="G1108" i="6"/>
  <c r="I1107" i="6"/>
  <c r="O1107" i="6"/>
  <c r="G1107" i="6"/>
  <c r="O1106" i="6"/>
  <c r="G1106" i="6"/>
  <c r="I1105" i="6"/>
  <c r="G1105" i="6"/>
  <c r="I1104" i="6"/>
  <c r="O1104" i="6"/>
  <c r="I1103" i="6"/>
  <c r="O1103" i="6"/>
  <c r="G1103" i="6"/>
  <c r="I1102" i="6"/>
  <c r="O1102" i="6"/>
  <c r="G1102" i="6"/>
  <c r="I1101" i="6"/>
  <c r="G1101" i="6"/>
  <c r="O1099" i="6"/>
  <c r="G1099" i="6"/>
  <c r="I1098" i="6"/>
  <c r="O1098" i="6"/>
  <c r="G1098" i="6"/>
  <c r="O1097" i="6"/>
  <c r="I1096" i="6"/>
  <c r="O1090" i="6"/>
  <c r="L356" i="5"/>
  <c r="L345" i="5"/>
  <c r="L335" i="5"/>
  <c r="L308" i="5"/>
  <c r="L291" i="5"/>
  <c r="L281" i="5"/>
  <c r="L271" i="5"/>
  <c r="L244" i="5"/>
  <c r="L227" i="5"/>
  <c r="L217" i="5"/>
  <c r="L1074" i="5" s="1"/>
  <c r="L207" i="5"/>
  <c r="L180" i="5"/>
  <c r="L163" i="5"/>
  <c r="L153" i="5"/>
  <c r="L120" i="5"/>
  <c r="L114" i="5"/>
  <c r="L85" i="5"/>
  <c r="L76" i="5"/>
  <c r="L73" i="5"/>
  <c r="L48" i="5"/>
  <c r="L36" i="5"/>
  <c r="L1059" i="5" s="1"/>
  <c r="L17" i="5"/>
  <c r="L347" i="5"/>
  <c r="L341" i="5"/>
  <c r="L331" i="5"/>
  <c r="L325" i="5"/>
  <c r="L315" i="5"/>
  <c r="L309" i="5"/>
  <c r="L299" i="5"/>
  <c r="L293" i="5"/>
  <c r="L283" i="5"/>
  <c r="L277" i="5"/>
  <c r="L267" i="5"/>
  <c r="L261" i="5"/>
  <c r="L251" i="5"/>
  <c r="L245" i="5"/>
  <c r="L235" i="5"/>
  <c r="L229" i="5"/>
  <c r="L219" i="5"/>
  <c r="L213" i="5"/>
  <c r="L203" i="5"/>
  <c r="L197" i="5"/>
  <c r="L187" i="5"/>
  <c r="L181" i="5"/>
  <c r="L171" i="5"/>
  <c r="L165" i="5"/>
  <c r="L155" i="5"/>
  <c r="L149" i="5"/>
  <c r="L110" i="5"/>
  <c r="L1065" i="5" s="1"/>
  <c r="L61" i="5"/>
  <c r="L60" i="5"/>
  <c r="L1061" i="5" s="1"/>
  <c r="L38" i="5"/>
  <c r="L34" i="5"/>
  <c r="Q27" i="5"/>
  <c r="S27" i="5"/>
  <c r="M1145" i="6"/>
  <c r="E1145" i="6"/>
  <c r="M1141" i="6"/>
  <c r="E1141" i="6"/>
  <c r="M1137" i="6"/>
  <c r="E1137" i="6"/>
  <c r="M1133" i="6"/>
  <c r="E1133" i="6"/>
  <c r="M1129" i="6"/>
  <c r="E1129" i="6"/>
  <c r="M1125" i="6"/>
  <c r="E1125" i="6"/>
  <c r="M1121" i="6"/>
  <c r="E1121" i="6"/>
  <c r="M1117" i="6"/>
  <c r="E1117" i="6"/>
  <c r="M1113" i="6"/>
  <c r="E1113" i="6"/>
  <c r="M1109" i="6"/>
  <c r="E1109" i="6"/>
  <c r="M1106" i="6"/>
  <c r="E1104" i="6"/>
  <c r="E1102" i="6"/>
  <c r="M1093" i="6"/>
  <c r="M1091" i="6"/>
  <c r="E1089" i="6"/>
  <c r="E1086" i="6"/>
  <c r="E1083" i="6"/>
  <c r="M1081" i="6"/>
  <c r="O1096" i="6"/>
  <c r="G1096" i="6"/>
  <c r="I1095" i="6"/>
  <c r="G1095" i="6"/>
  <c r="I1094" i="6"/>
  <c r="G1094" i="6"/>
  <c r="O1093" i="6"/>
  <c r="I1092" i="6"/>
  <c r="O1092" i="6"/>
  <c r="G1092" i="6"/>
  <c r="I1091" i="6"/>
  <c r="O1091" i="6"/>
  <c r="I1090" i="6"/>
  <c r="G1090" i="6"/>
  <c r="I1089" i="6"/>
  <c r="O1089" i="6"/>
  <c r="G1089" i="6"/>
  <c r="I1088" i="6"/>
  <c r="O1088" i="6"/>
  <c r="G1088" i="6"/>
  <c r="O1087" i="6"/>
  <c r="G1087" i="6"/>
  <c r="O1086" i="6"/>
  <c r="I1085" i="6"/>
  <c r="O1085" i="6"/>
  <c r="G1085" i="6"/>
  <c r="I1084" i="6"/>
  <c r="G1084" i="6"/>
  <c r="I1083" i="6"/>
  <c r="O1083" i="6"/>
  <c r="G1083" i="6"/>
  <c r="I1082" i="6"/>
  <c r="G1082" i="6"/>
  <c r="I1081" i="6"/>
  <c r="G1081" i="6"/>
  <c r="I1080" i="6"/>
  <c r="O1080" i="6"/>
  <c r="I1079" i="6"/>
  <c r="O1079" i="6"/>
  <c r="G1079" i="6"/>
  <c r="I1078" i="6"/>
  <c r="O1073" i="6"/>
  <c r="M1065" i="6"/>
  <c r="L105" i="5"/>
  <c r="L55" i="5"/>
  <c r="L45" i="5"/>
  <c r="S31" i="5"/>
  <c r="L30" i="5"/>
  <c r="L21" i="5"/>
  <c r="Q30" i="5"/>
  <c r="Q18" i="5"/>
  <c r="Q1057" i="5" s="1"/>
  <c r="O1078" i="6"/>
  <c r="O1077" i="6"/>
  <c r="I1076" i="6"/>
  <c r="O1076" i="6"/>
  <c r="G1076" i="6"/>
  <c r="I1075" i="6"/>
  <c r="O1075" i="6"/>
  <c r="G1075" i="6"/>
  <c r="I1074" i="6"/>
  <c r="O1074" i="6"/>
  <c r="G1074" i="6"/>
  <c r="I1073" i="6"/>
  <c r="G1073" i="6"/>
  <c r="I1072" i="6"/>
  <c r="G1072" i="6"/>
  <c r="I1071" i="6"/>
  <c r="O1071" i="6"/>
  <c r="G1071" i="6"/>
  <c r="I1070" i="6"/>
  <c r="O1070" i="6"/>
  <c r="G1070" i="6"/>
  <c r="O1069" i="6"/>
  <c r="I1068" i="6"/>
  <c r="O1068" i="6"/>
  <c r="I1067" i="6"/>
  <c r="O1067" i="6"/>
  <c r="G1067" i="6"/>
  <c r="I1066" i="6"/>
  <c r="O1066" i="6"/>
  <c r="G1066" i="6"/>
  <c r="I1065" i="6"/>
  <c r="G1065" i="6"/>
  <c r="I1064" i="6"/>
  <c r="G1064" i="6"/>
  <c r="I1063" i="6"/>
  <c r="G1063" i="6"/>
  <c r="I1062" i="6"/>
  <c r="O1062" i="6"/>
  <c r="G1062" i="6"/>
  <c r="I1061" i="6"/>
  <c r="O1061" i="6"/>
  <c r="K1100" i="6"/>
  <c r="K1059" i="6"/>
  <c r="C1100" i="6"/>
  <c r="L97" i="5"/>
  <c r="L1064" i="5" s="1"/>
  <c r="L74" i="5"/>
  <c r="L25" i="5"/>
  <c r="K1064" i="6"/>
  <c r="M1063" i="6"/>
  <c r="C1063" i="6"/>
  <c r="E1062" i="6"/>
  <c r="M1060" i="6"/>
  <c r="K1060" i="6"/>
  <c r="C1060" i="6"/>
  <c r="O1100" i="6"/>
  <c r="G1059" i="6"/>
  <c r="E1059" i="6"/>
  <c r="E1100" i="6"/>
  <c r="I1143" i="6"/>
  <c r="I1141" i="6"/>
  <c r="I1139" i="6"/>
  <c r="L35" i="5"/>
  <c r="S16" i="5"/>
  <c r="I1135" i="6"/>
  <c r="I1131" i="6"/>
  <c r="I1127" i="6"/>
  <c r="I1123" i="6"/>
  <c r="M1084" i="6"/>
  <c r="M1082" i="6"/>
  <c r="E1080" i="6"/>
  <c r="E1078" i="6"/>
  <c r="M1069" i="6"/>
  <c r="M1067" i="6"/>
  <c r="E1065" i="6"/>
  <c r="E1063" i="6"/>
  <c r="O1059" i="6"/>
  <c r="H1107" i="6"/>
  <c r="N1106" i="6"/>
  <c r="F1106" i="6"/>
  <c r="H1103" i="6"/>
  <c r="N1102" i="6"/>
  <c r="F1102" i="6"/>
  <c r="H1099" i="6"/>
  <c r="N1098" i="6"/>
  <c r="F1098" i="6"/>
  <c r="H1095" i="6"/>
  <c r="N1094" i="6"/>
  <c r="F1094" i="6"/>
  <c r="H1091" i="6"/>
  <c r="N1090" i="6"/>
  <c r="F1090" i="6"/>
  <c r="H1087" i="6"/>
  <c r="N1086" i="6"/>
  <c r="F1086" i="6"/>
  <c r="H1083" i="6"/>
  <c r="N1082" i="6"/>
  <c r="F1082" i="6"/>
  <c r="H1079" i="6"/>
  <c r="N1078" i="6"/>
  <c r="F1078" i="6"/>
  <c r="H1075" i="6"/>
  <c r="N1074" i="6"/>
  <c r="F1074" i="6"/>
  <c r="H1071" i="6"/>
  <c r="N1070" i="6"/>
  <c r="F1070" i="6"/>
  <c r="H1067" i="6"/>
  <c r="N1066" i="6"/>
  <c r="F1066" i="6"/>
  <c r="H1063" i="6"/>
  <c r="N1062" i="6"/>
  <c r="F1062" i="6"/>
  <c r="J1100" i="6"/>
  <c r="B1100" i="6"/>
  <c r="H1059" i="6"/>
  <c r="AD1074" i="4" l="1"/>
  <c r="AD1084" i="4"/>
  <c r="AC1066" i="4"/>
  <c r="AC1077" i="4"/>
  <c r="AC1092" i="4"/>
  <c r="AC1102" i="4"/>
  <c r="AC1106" i="4"/>
  <c r="AC1081" i="4"/>
  <c r="AC1058" i="4"/>
  <c r="AC1074" i="4"/>
  <c r="AD1087" i="4"/>
  <c r="AD1106" i="4"/>
  <c r="AC1062" i="4"/>
  <c r="AC1105" i="4"/>
  <c r="AD1083" i="4"/>
  <c r="AD1100" i="4"/>
  <c r="AC1072" i="4"/>
  <c r="AD1104" i="4"/>
  <c r="AC1090" i="4"/>
  <c r="AD1071" i="4"/>
  <c r="AC1101" i="4"/>
  <c r="AC1078" i="4"/>
  <c r="AC1097" i="4"/>
  <c r="AD1069" i="4"/>
  <c r="L1088" i="5"/>
  <c r="AC1070" i="4"/>
  <c r="L1103" i="5"/>
  <c r="AC1098" i="4"/>
  <c r="B1107" i="4"/>
  <c r="J1107" i="4"/>
  <c r="R1107" i="4"/>
  <c r="AD1107" i="4"/>
  <c r="I1107" i="4"/>
  <c r="Q1107" i="4"/>
  <c r="AC1107" i="4"/>
  <c r="E1107" i="4"/>
  <c r="O1107" i="4"/>
  <c r="A1108" i="4"/>
  <c r="F1107" i="4"/>
  <c r="P1107" i="4"/>
  <c r="G1107" i="4"/>
  <c r="S1107" i="4"/>
  <c r="D1107" i="4"/>
  <c r="N1107" i="4"/>
  <c r="X1107" i="4"/>
  <c r="V1107" i="4"/>
  <c r="C1107" i="4"/>
  <c r="W1107" i="4"/>
  <c r="H1107" i="4"/>
  <c r="T1107" i="4"/>
  <c r="M1107" i="4"/>
  <c r="U1107" i="4"/>
  <c r="K1107" i="4"/>
  <c r="L1107" i="4"/>
  <c r="S1057" i="5"/>
  <c r="L1058" i="5"/>
  <c r="Q1058" i="5"/>
  <c r="L1057" i="5"/>
  <c r="L1075" i="5"/>
  <c r="L1104" i="5"/>
  <c r="L1100" i="5"/>
  <c r="AD1064" i="4"/>
  <c r="L1087" i="5"/>
  <c r="AD1067" i="4"/>
  <c r="AD1072" i="4"/>
  <c r="AD1070" i="4"/>
  <c r="AC1084" i="4"/>
  <c r="AD1061" i="4"/>
  <c r="AC1073" i="4"/>
  <c r="AC1059" i="4"/>
  <c r="AD1096" i="4"/>
  <c r="AD1086" i="4"/>
  <c r="L1082" i="5"/>
  <c r="L1070" i="5"/>
  <c r="L1067" i="5"/>
  <c r="S231" i="5"/>
  <c r="S1075" i="5" s="1"/>
  <c r="Q1075" i="5"/>
  <c r="L1081" i="5"/>
  <c r="AD1060" i="4"/>
  <c r="AC1085" i="4"/>
  <c r="AC1068" i="4"/>
  <c r="AC1100" i="4"/>
  <c r="S484" i="5"/>
  <c r="S1096" i="5" s="1"/>
  <c r="Q1096" i="5"/>
  <c r="S409" i="5"/>
  <c r="S1090" i="5" s="1"/>
  <c r="Q1090" i="5"/>
  <c r="AD410" i="4"/>
  <c r="AD1091" i="4" s="1"/>
  <c r="S289" i="5"/>
  <c r="S1080" i="5" s="1"/>
  <c r="AD290" i="4"/>
  <c r="AD1081" i="4" s="1"/>
  <c r="Q1080" i="5"/>
  <c r="AD232" i="4"/>
  <c r="AD1076" i="4" s="1"/>
  <c r="AC1080" i="4"/>
  <c r="L1099" i="5"/>
  <c r="L1085" i="5"/>
  <c r="L1090" i="5"/>
  <c r="L1091" i="5"/>
  <c r="Q1089" i="5"/>
  <c r="L1073" i="5"/>
  <c r="S432" i="5"/>
  <c r="S1092" i="5" s="1"/>
  <c r="Q1092" i="5"/>
  <c r="AD433" i="4"/>
  <c r="AD1093" i="4" s="1"/>
  <c r="AD1097" i="4"/>
  <c r="AC1095" i="4"/>
  <c r="AD1101" i="4"/>
  <c r="AD1105" i="4"/>
  <c r="AC1104" i="4"/>
  <c r="AD1099" i="4"/>
  <c r="AC1079" i="4"/>
  <c r="L1102" i="5"/>
  <c r="L1060" i="5"/>
  <c r="G1106" i="3"/>
  <c r="H1106" i="3"/>
  <c r="I1106" i="3"/>
  <c r="F1106" i="3"/>
  <c r="B1106" i="3"/>
  <c r="A1107" i="3"/>
  <c r="E1106" i="3"/>
  <c r="J1106" i="3"/>
  <c r="C1106" i="3"/>
  <c r="D1106" i="3"/>
  <c r="L1062" i="5"/>
  <c r="AD1073" i="4"/>
  <c r="L1063" i="5"/>
  <c r="L1098" i="5"/>
  <c r="L1079" i="5"/>
  <c r="S265" i="5"/>
  <c r="S1078" i="5" s="1"/>
  <c r="Q1078" i="5"/>
  <c r="AD266" i="4"/>
  <c r="AD1079" i="4" s="1"/>
  <c r="AC1063" i="4"/>
  <c r="S1089" i="5"/>
  <c r="L1080" i="5"/>
  <c r="S372" i="5"/>
  <c r="S1087" i="5" s="1"/>
  <c r="Q1087" i="5"/>
  <c r="AD373" i="4"/>
  <c r="AD1088" i="4" s="1"/>
  <c r="AD1094" i="4"/>
  <c r="A1086" i="5"/>
  <c r="B1085" i="5"/>
  <c r="AC1069" i="4"/>
  <c r="AC1082" i="4"/>
  <c r="AD455" i="4"/>
  <c r="AC1103" i="4"/>
  <c r="AD1075" i="4"/>
  <c r="Q1071" i="5"/>
  <c r="AD1080" i="4"/>
  <c r="AD1059" i="4"/>
  <c r="AC1075" i="4"/>
  <c r="AC1086" i="4"/>
  <c r="AC1096" i="4"/>
  <c r="S204" i="5"/>
  <c r="S1073" i="5" s="1"/>
  <c r="Q1073" i="5"/>
  <c r="AD1092" i="4"/>
  <c r="AC1093" i="4"/>
  <c r="L1083" i="5"/>
  <c r="AC1061" i="4"/>
  <c r="L1069" i="5"/>
  <c r="L1096" i="5"/>
  <c r="L1078" i="5"/>
  <c r="Q1093" i="5"/>
  <c r="S384" i="5"/>
  <c r="S1088" i="5" s="1"/>
  <c r="Q1088" i="5"/>
  <c r="AD385" i="4"/>
  <c r="AD1089" i="4" s="1"/>
  <c r="AD1065" i="4"/>
  <c r="AC1083" i="4"/>
  <c r="AD1063" i="4"/>
  <c r="S1071" i="5"/>
  <c r="AC1067" i="4"/>
  <c r="AC1091" i="4"/>
  <c r="AC1099" i="4"/>
  <c r="L1101" i="5"/>
  <c r="AD1066" i="4"/>
  <c r="L1071" i="5"/>
  <c r="AD134" i="4"/>
  <c r="AD1068" i="4" s="1"/>
  <c r="Q1067" i="5"/>
  <c r="S133" i="5"/>
  <c r="S1067" i="5" s="1"/>
  <c r="H1106" i="2"/>
  <c r="I1106" i="2"/>
  <c r="A1107" i="2"/>
  <c r="C1106" i="2"/>
  <c r="E1106" i="2"/>
  <c r="B1106" i="2"/>
  <c r="G1106" i="2"/>
  <c r="J1106" i="2"/>
  <c r="K1106" i="2"/>
  <c r="F1106" i="2"/>
  <c r="AC1065" i="4"/>
  <c r="AD1103" i="4"/>
  <c r="S1058" i="5"/>
  <c r="L1066" i="5"/>
  <c r="L1077" i="5"/>
  <c r="L1093" i="5"/>
  <c r="L1094" i="5"/>
  <c r="L1084" i="5"/>
  <c r="S1093" i="5"/>
  <c r="S172" i="5"/>
  <c r="S1070" i="5" s="1"/>
  <c r="Q1070" i="5"/>
  <c r="AD407" i="4"/>
  <c r="AD1090" i="4" s="1"/>
  <c r="AC1064" i="4"/>
  <c r="AC1060" i="4"/>
  <c r="AD1095" i="4"/>
  <c r="S500" i="5"/>
  <c r="S1102" i="5" s="1"/>
  <c r="Q1103" i="5"/>
  <c r="Q1104" i="5"/>
  <c r="AD501" i="4"/>
  <c r="AD1098" i="4" s="1"/>
  <c r="AC1088" i="4"/>
  <c r="AD1085" i="4"/>
  <c r="AC1071" i="4"/>
  <c r="Q1102" i="5"/>
  <c r="S1099" i="5" l="1"/>
  <c r="S1097" i="5"/>
  <c r="A1087" i="5"/>
  <c r="B1086" i="5"/>
  <c r="E1107" i="3"/>
  <c r="F1107" i="3"/>
  <c r="G1107" i="3"/>
  <c r="D1107" i="3"/>
  <c r="B1107" i="3"/>
  <c r="C1107" i="3"/>
  <c r="H1107" i="3"/>
  <c r="A1108" i="3"/>
  <c r="I1107" i="3"/>
  <c r="J1107" i="3"/>
  <c r="S1101" i="5"/>
  <c r="F1107" i="2"/>
  <c r="G1107" i="2"/>
  <c r="A1108" i="2"/>
  <c r="B1107" i="2"/>
  <c r="H1107" i="2"/>
  <c r="C1107" i="2"/>
  <c r="E1107" i="2"/>
  <c r="J1107" i="2"/>
  <c r="K1107" i="2"/>
  <c r="I1107" i="2"/>
  <c r="S1104" i="5"/>
  <c r="S1103" i="5"/>
  <c r="S1100" i="5"/>
  <c r="H1108" i="4"/>
  <c r="P1108" i="4"/>
  <c r="X1108" i="4"/>
  <c r="G1108" i="4"/>
  <c r="O1108" i="4"/>
  <c r="W1108" i="4"/>
  <c r="K1108" i="4"/>
  <c r="U1108" i="4"/>
  <c r="B1108" i="4"/>
  <c r="L1108" i="4"/>
  <c r="V1108" i="4"/>
  <c r="C1108" i="4"/>
  <c r="M1108" i="4"/>
  <c r="AC1108" i="4"/>
  <c r="J1108" i="4"/>
  <c r="T1108" i="4"/>
  <c r="R1108" i="4"/>
  <c r="S1108" i="4"/>
  <c r="D1108" i="4"/>
  <c r="AD1108" i="4"/>
  <c r="N1108" i="4"/>
  <c r="E1108" i="4"/>
  <c r="Q1108" i="4"/>
  <c r="F1108" i="4"/>
  <c r="I1108" i="4"/>
  <c r="A1109" i="4"/>
  <c r="S1098" i="5"/>
  <c r="C1108" i="3" l="1"/>
  <c r="A1109" i="3"/>
  <c r="D1108" i="3"/>
  <c r="E1108" i="3"/>
  <c r="B1108" i="3"/>
  <c r="J1108" i="3"/>
  <c r="H1108" i="3"/>
  <c r="I1108" i="3"/>
  <c r="G1108" i="3"/>
  <c r="F1108" i="3"/>
  <c r="A1088" i="5"/>
  <c r="B1087" i="5"/>
  <c r="F1109" i="4"/>
  <c r="N1109" i="4"/>
  <c r="V1109" i="4"/>
  <c r="E1109" i="4"/>
  <c r="M1109" i="4"/>
  <c r="U1109" i="4"/>
  <c r="G1109" i="4"/>
  <c r="Q1109" i="4"/>
  <c r="A1110" i="4"/>
  <c r="H1109" i="4"/>
  <c r="R1109" i="4"/>
  <c r="I1109" i="4"/>
  <c r="S1109" i="4"/>
  <c r="D1109" i="4"/>
  <c r="P1109" i="4"/>
  <c r="AD1109" i="4"/>
  <c r="L1109" i="4"/>
  <c r="O1109" i="4"/>
  <c r="T1109" i="4"/>
  <c r="J1109" i="4"/>
  <c r="W1109" i="4"/>
  <c r="X1109" i="4"/>
  <c r="AC1109" i="4"/>
  <c r="B1109" i="4"/>
  <c r="C1109" i="4"/>
  <c r="K1109" i="4"/>
  <c r="C1108" i="2"/>
  <c r="A1109" i="2"/>
  <c r="E1108" i="2"/>
  <c r="B1108" i="2"/>
  <c r="F1108" i="2"/>
  <c r="I1108" i="2"/>
  <c r="G1108" i="2"/>
  <c r="H1108" i="2"/>
  <c r="J1108" i="2"/>
  <c r="K1108" i="2"/>
  <c r="J1109" i="2" l="1"/>
  <c r="B1109" i="2"/>
  <c r="K1109" i="2"/>
  <c r="C1109" i="2"/>
  <c r="E1109" i="2"/>
  <c r="G1109" i="2"/>
  <c r="I1109" i="2"/>
  <c r="F1109" i="2"/>
  <c r="A1110" i="2"/>
  <c r="H1109" i="2"/>
  <c r="A1089" i="5"/>
  <c r="B1088" i="5"/>
  <c r="I1109" i="3"/>
  <c r="B1109" i="3"/>
  <c r="J1109" i="3"/>
  <c r="C1109" i="3"/>
  <c r="A1110" i="3"/>
  <c r="H1109" i="3"/>
  <c r="D1109" i="3"/>
  <c r="G1109" i="3"/>
  <c r="E1109" i="3"/>
  <c r="F1109" i="3"/>
  <c r="D1110" i="4"/>
  <c r="L1110" i="4"/>
  <c r="T1110" i="4"/>
  <c r="C1110" i="4"/>
  <c r="K1110" i="4"/>
  <c r="S1110" i="4"/>
  <c r="A1111" i="4"/>
  <c r="M1110" i="4"/>
  <c r="W1110" i="4"/>
  <c r="B1110" i="4"/>
  <c r="N1110" i="4"/>
  <c r="X1110" i="4"/>
  <c r="E1110" i="4"/>
  <c r="O1110" i="4"/>
  <c r="AC1110" i="4"/>
  <c r="J1110" i="4"/>
  <c r="V1110" i="4"/>
  <c r="H1110" i="4"/>
  <c r="I1110" i="4"/>
  <c r="P1110" i="4"/>
  <c r="F1110" i="4"/>
  <c r="AD1110" i="4"/>
  <c r="R1110" i="4"/>
  <c r="G1110" i="4"/>
  <c r="Q1110" i="4"/>
  <c r="U1110" i="4"/>
  <c r="B1111" i="4" l="1"/>
  <c r="J1111" i="4"/>
  <c r="R1111" i="4"/>
  <c r="AD1111" i="4"/>
  <c r="I1111" i="4"/>
  <c r="Q1111" i="4"/>
  <c r="AC1111" i="4"/>
  <c r="G1111" i="4"/>
  <c r="S1111" i="4"/>
  <c r="H1111" i="4"/>
  <c r="T1111" i="4"/>
  <c r="K1111" i="4"/>
  <c r="U1111" i="4"/>
  <c r="F1111" i="4"/>
  <c r="P1111" i="4"/>
  <c r="D1111" i="4"/>
  <c r="X1111" i="4"/>
  <c r="E1111" i="4"/>
  <c r="A1112" i="4"/>
  <c r="L1111" i="4"/>
  <c r="V1111" i="4"/>
  <c r="M1111" i="4"/>
  <c r="N1111" i="4"/>
  <c r="O1111" i="4"/>
  <c r="W1111" i="4"/>
  <c r="C1111" i="4"/>
  <c r="A1090" i="5"/>
  <c r="B1089" i="5"/>
  <c r="G1110" i="3"/>
  <c r="H1110" i="3"/>
  <c r="I1110" i="3"/>
  <c r="F1110" i="3"/>
  <c r="D1110" i="3"/>
  <c r="E1110" i="3"/>
  <c r="J1110" i="3"/>
  <c r="B1110" i="3"/>
  <c r="A1111" i="3"/>
  <c r="C1110" i="3"/>
  <c r="H1110" i="2"/>
  <c r="I1110" i="2"/>
  <c r="C1110" i="2"/>
  <c r="F1110" i="2"/>
  <c r="J1110" i="2"/>
  <c r="E1110" i="2"/>
  <c r="G1110" i="2"/>
  <c r="A1111" i="2"/>
  <c r="B1110" i="2"/>
  <c r="K1110" i="2"/>
  <c r="F1111" i="2" l="1"/>
  <c r="G1111" i="2"/>
  <c r="C1111" i="2"/>
  <c r="E1111" i="2"/>
  <c r="H1111" i="2"/>
  <c r="I1111" i="2"/>
  <c r="K1111" i="2"/>
  <c r="A1112" i="2"/>
  <c r="B1111" i="2"/>
  <c r="J1111" i="2"/>
  <c r="E1111" i="3"/>
  <c r="F1111" i="3"/>
  <c r="G1111" i="3"/>
  <c r="D1111" i="3"/>
  <c r="J1111" i="3"/>
  <c r="A1112" i="3"/>
  <c r="C1111" i="3"/>
  <c r="H1111" i="3"/>
  <c r="I1111" i="3"/>
  <c r="B1111" i="3"/>
  <c r="A1091" i="5"/>
  <c r="B1090" i="5"/>
  <c r="H1112" i="4"/>
  <c r="P1112" i="4"/>
  <c r="X1112" i="4"/>
  <c r="G1112" i="4"/>
  <c r="O1112" i="4"/>
  <c r="W1112" i="4"/>
  <c r="C1112" i="4"/>
  <c r="M1112" i="4"/>
  <c r="AC1112" i="4"/>
  <c r="D1112" i="4"/>
  <c r="N1112" i="4"/>
  <c r="AD1112" i="4"/>
  <c r="E1112" i="4"/>
  <c r="Q1112" i="4"/>
  <c r="A1113" i="4"/>
  <c r="B1112" i="4"/>
  <c r="L1112" i="4"/>
  <c r="V1112" i="4"/>
  <c r="T1112" i="4"/>
  <c r="U1112" i="4"/>
  <c r="F1112" i="4"/>
  <c r="R1112" i="4"/>
  <c r="J1112" i="4"/>
  <c r="K1112" i="4"/>
  <c r="S1112" i="4"/>
  <c r="I1112" i="4"/>
  <c r="C1112" i="3" l="1"/>
  <c r="A1113" i="3"/>
  <c r="D1112" i="3"/>
  <c r="E1112" i="3"/>
  <c r="B1112" i="3"/>
  <c r="J1112" i="3"/>
  <c r="F1112" i="3"/>
  <c r="G1112" i="3"/>
  <c r="H1112" i="3"/>
  <c r="I1112" i="3"/>
  <c r="C1112" i="2"/>
  <c r="A1113" i="2"/>
  <c r="E1112" i="2"/>
  <c r="F1112" i="2"/>
  <c r="H1112" i="2"/>
  <c r="I1112" i="2"/>
  <c r="G1112" i="2"/>
  <c r="J1112" i="2"/>
  <c r="K1112" i="2"/>
  <c r="B1112" i="2"/>
  <c r="B1091" i="5"/>
  <c r="A1092" i="5"/>
  <c r="F1113" i="4"/>
  <c r="N1113" i="4"/>
  <c r="V1113" i="4"/>
  <c r="E1113" i="4"/>
  <c r="M1113" i="4"/>
  <c r="U1113" i="4"/>
  <c r="I1113" i="4"/>
  <c r="S1113" i="4"/>
  <c r="J1113" i="4"/>
  <c r="T1113" i="4"/>
  <c r="K1113" i="4"/>
  <c r="W1113" i="4"/>
  <c r="H1113" i="4"/>
  <c r="R1113" i="4"/>
  <c r="P1113" i="4"/>
  <c r="Q1113" i="4"/>
  <c r="B1113" i="4"/>
  <c r="X1113" i="4"/>
  <c r="L1113" i="4"/>
  <c r="C1113" i="4"/>
  <c r="D1113" i="4"/>
  <c r="O1113" i="4"/>
  <c r="G1113" i="4"/>
  <c r="AC1113" i="4"/>
  <c r="A1114" i="4"/>
  <c r="AD1113" i="4"/>
  <c r="D1114" i="4" l="1"/>
  <c r="L1114" i="4"/>
  <c r="T1114" i="4"/>
  <c r="C1114" i="4"/>
  <c r="K1114" i="4"/>
  <c r="S1114" i="4"/>
  <c r="A1115" i="4"/>
  <c r="E1114" i="4"/>
  <c r="O1114" i="4"/>
  <c r="AC1114" i="4"/>
  <c r="F1114" i="4"/>
  <c r="P1114" i="4"/>
  <c r="AD1114" i="4"/>
  <c r="G1114" i="4"/>
  <c r="Q1114" i="4"/>
  <c r="B1114" i="4"/>
  <c r="N1114" i="4"/>
  <c r="X1114" i="4"/>
  <c r="J1114" i="4"/>
  <c r="M1114" i="4"/>
  <c r="R1114" i="4"/>
  <c r="H1114" i="4"/>
  <c r="U1114" i="4"/>
  <c r="V1114" i="4"/>
  <c r="W1114" i="4"/>
  <c r="I1114" i="4"/>
  <c r="A1093" i="5"/>
  <c r="B1092" i="5"/>
  <c r="J1113" i="2"/>
  <c r="B1113" i="2"/>
  <c r="K1113" i="2"/>
  <c r="F1113" i="2"/>
  <c r="G1113" i="2"/>
  <c r="A1114" i="2"/>
  <c r="I1113" i="2"/>
  <c r="H1113" i="2"/>
  <c r="C1113" i="2"/>
  <c r="E1113" i="2"/>
  <c r="I1113" i="3"/>
  <c r="B1113" i="3"/>
  <c r="J1113" i="3"/>
  <c r="C1113" i="3"/>
  <c r="A1114" i="3"/>
  <c r="H1113" i="3"/>
  <c r="F1113" i="3"/>
  <c r="G1113" i="3"/>
  <c r="E1113" i="3"/>
  <c r="D1113" i="3"/>
  <c r="B1115" i="4" l="1"/>
  <c r="J1115" i="4"/>
  <c r="R1115" i="4"/>
  <c r="AD1115" i="4"/>
  <c r="I1115" i="4"/>
  <c r="Q1115" i="4"/>
  <c r="AC1115" i="4"/>
  <c r="K1115" i="4"/>
  <c r="U1115" i="4"/>
  <c r="L1115" i="4"/>
  <c r="V1115" i="4"/>
  <c r="C1115" i="4"/>
  <c r="M1115" i="4"/>
  <c r="W1115" i="4"/>
  <c r="H1115" i="4"/>
  <c r="T1115" i="4"/>
  <c r="F1115" i="4"/>
  <c r="G1115" i="4"/>
  <c r="N1115" i="4"/>
  <c r="D1115" i="4"/>
  <c r="X1115" i="4"/>
  <c r="E1115" i="4"/>
  <c r="O1115" i="4"/>
  <c r="P1115" i="4"/>
  <c r="S1115" i="4"/>
  <c r="A1116" i="4"/>
  <c r="G1114" i="3"/>
  <c r="H1114" i="3"/>
  <c r="I1114" i="3"/>
  <c r="F1114" i="3"/>
  <c r="B1114" i="3"/>
  <c r="J1114" i="3"/>
  <c r="C1114" i="3"/>
  <c r="A1115" i="3"/>
  <c r="D1114" i="3"/>
  <c r="E1114" i="3"/>
  <c r="B1093" i="5"/>
  <c r="A1094" i="5"/>
  <c r="H1114" i="2"/>
  <c r="I1114" i="2"/>
  <c r="F1114" i="2"/>
  <c r="G1114" i="2"/>
  <c r="J1114" i="2"/>
  <c r="B1114" i="2"/>
  <c r="K1114" i="2"/>
  <c r="A1115" i="2"/>
  <c r="C1114" i="2"/>
  <c r="E1114" i="2"/>
  <c r="F1115" i="2" l="1"/>
  <c r="G1115" i="2"/>
  <c r="H1115" i="2"/>
  <c r="K1115" i="2"/>
  <c r="A1116" i="2"/>
  <c r="I1115" i="2"/>
  <c r="J1115" i="2"/>
  <c r="C1115" i="2"/>
  <c r="E1115" i="2"/>
  <c r="B1115" i="2"/>
  <c r="E1115" i="3"/>
  <c r="F1115" i="3"/>
  <c r="G1115" i="3"/>
  <c r="D1115" i="3"/>
  <c r="B1115" i="3"/>
  <c r="C1115" i="3"/>
  <c r="H1115" i="3"/>
  <c r="J1115" i="3"/>
  <c r="I1115" i="3"/>
  <c r="A1116" i="3"/>
  <c r="H1116" i="4"/>
  <c r="P1116" i="4"/>
  <c r="X1116" i="4"/>
  <c r="G1116" i="4"/>
  <c r="O1116" i="4"/>
  <c r="W1116" i="4"/>
  <c r="E1116" i="4"/>
  <c r="Q1116" i="4"/>
  <c r="A1117" i="4"/>
  <c r="F1116" i="4"/>
  <c r="R1116" i="4"/>
  <c r="I1116" i="4"/>
  <c r="S1116" i="4"/>
  <c r="D1116" i="4"/>
  <c r="N1116" i="4"/>
  <c r="AD1116" i="4"/>
  <c r="B1116" i="4"/>
  <c r="V1116" i="4"/>
  <c r="C1116" i="4"/>
  <c r="AC1116" i="4"/>
  <c r="J1116" i="4"/>
  <c r="T1116" i="4"/>
  <c r="K1116" i="4"/>
  <c r="L1116" i="4"/>
  <c r="M1116" i="4"/>
  <c r="U1116" i="4"/>
  <c r="A1095" i="5"/>
  <c r="B1094" i="5"/>
  <c r="B1095" i="5" l="1"/>
  <c r="A1096" i="5"/>
  <c r="C1116" i="3"/>
  <c r="A1117" i="3"/>
  <c r="D1116" i="3"/>
  <c r="E1116" i="3"/>
  <c r="B1116" i="3"/>
  <c r="J1116" i="3"/>
  <c r="H1116" i="3"/>
  <c r="I1116" i="3"/>
  <c r="G1116" i="3"/>
  <c r="F1116" i="3"/>
  <c r="C1116" i="2"/>
  <c r="A1117" i="2"/>
  <c r="E1116" i="2"/>
  <c r="H1116" i="2"/>
  <c r="I1116" i="2"/>
  <c r="B1116" i="2"/>
  <c r="K1116" i="2"/>
  <c r="J1116" i="2"/>
  <c r="F1116" i="2"/>
  <c r="G1116" i="2"/>
  <c r="F1117" i="4"/>
  <c r="N1117" i="4"/>
  <c r="V1117" i="4"/>
  <c r="E1117" i="4"/>
  <c r="M1117" i="4"/>
  <c r="U1117" i="4"/>
  <c r="K1117" i="4"/>
  <c r="W1117" i="4"/>
  <c r="B1117" i="4"/>
  <c r="L1117" i="4"/>
  <c r="X1117" i="4"/>
  <c r="C1117" i="4"/>
  <c r="O1117" i="4"/>
  <c r="AC1117" i="4"/>
  <c r="J1117" i="4"/>
  <c r="T1117" i="4"/>
  <c r="R1117" i="4"/>
  <c r="S1117" i="4"/>
  <c r="D1117" i="4"/>
  <c r="AD1117" i="4"/>
  <c r="P1117" i="4"/>
  <c r="A1118" i="4"/>
  <c r="G1117" i="4"/>
  <c r="H1117" i="4"/>
  <c r="I1117" i="4"/>
  <c r="Q1117" i="4"/>
  <c r="D1118" i="4" l="1"/>
  <c r="L1118" i="4"/>
  <c r="T1118" i="4"/>
  <c r="C1118" i="4"/>
  <c r="K1118" i="4"/>
  <c r="S1118" i="4"/>
  <c r="A1119" i="4"/>
  <c r="G1118" i="4"/>
  <c r="Q1118" i="4"/>
  <c r="H1118" i="4"/>
  <c r="R1118" i="4"/>
  <c r="I1118" i="4"/>
  <c r="U1118" i="4"/>
  <c r="F1118" i="4"/>
  <c r="P1118" i="4"/>
  <c r="AD1118" i="4"/>
  <c r="N1118" i="4"/>
  <c r="O1118" i="4"/>
  <c r="V1118" i="4"/>
  <c r="J1118" i="4"/>
  <c r="B1118" i="4"/>
  <c r="M1118" i="4"/>
  <c r="E1118" i="4"/>
  <c r="AC1118" i="4"/>
  <c r="W1118" i="4"/>
  <c r="X1118" i="4"/>
  <c r="I1117" i="3"/>
  <c r="B1117" i="3"/>
  <c r="J1117" i="3"/>
  <c r="C1117" i="3"/>
  <c r="A1118" i="3"/>
  <c r="H1117" i="3"/>
  <c r="D1117" i="3"/>
  <c r="F1117" i="3"/>
  <c r="G1117" i="3"/>
  <c r="E1117" i="3"/>
  <c r="J1117" i="2"/>
  <c r="B1117" i="2"/>
  <c r="K1117" i="2"/>
  <c r="H1117" i="2"/>
  <c r="I1117" i="2"/>
  <c r="A1118" i="2"/>
  <c r="E1117" i="2"/>
  <c r="F1117" i="2"/>
  <c r="G1117" i="2"/>
  <c r="C1117" i="2"/>
  <c r="A1097" i="5"/>
  <c r="B1096" i="5"/>
  <c r="B1097" i="5" l="1"/>
  <c r="A1098" i="5"/>
  <c r="G1118" i="3"/>
  <c r="H1118" i="3"/>
  <c r="I1118" i="3"/>
  <c r="F1118" i="3"/>
  <c r="D1118" i="3"/>
  <c r="E1118" i="3"/>
  <c r="J1118" i="3"/>
  <c r="C1118" i="3"/>
  <c r="A1119" i="3"/>
  <c r="B1118" i="3"/>
  <c r="B1119" i="4"/>
  <c r="J1119" i="4"/>
  <c r="R1119" i="4"/>
  <c r="AD1119" i="4"/>
  <c r="I1119" i="4"/>
  <c r="Q1119" i="4"/>
  <c r="AC1119" i="4"/>
  <c r="C1119" i="4"/>
  <c r="M1119" i="4"/>
  <c r="W1119" i="4"/>
  <c r="D1119" i="4"/>
  <c r="N1119" i="4"/>
  <c r="X1119" i="4"/>
  <c r="E1119" i="4"/>
  <c r="O1119" i="4"/>
  <c r="A1120" i="4"/>
  <c r="L1119" i="4"/>
  <c r="V1119" i="4"/>
  <c r="H1119" i="4"/>
  <c r="K1119" i="4"/>
  <c r="P1119" i="4"/>
  <c r="F1119" i="4"/>
  <c r="S1119" i="4"/>
  <c r="T1119" i="4"/>
  <c r="U1119" i="4"/>
  <c r="G1119" i="4"/>
  <c r="H1118" i="2"/>
  <c r="I1118" i="2"/>
  <c r="J1118" i="2"/>
  <c r="K1118" i="2"/>
  <c r="A1119" i="2"/>
  <c r="C1118" i="2"/>
  <c r="B1118" i="2"/>
  <c r="E1118" i="2"/>
  <c r="F1118" i="2"/>
  <c r="G1118" i="2"/>
  <c r="H1120" i="4" l="1"/>
  <c r="P1120" i="4"/>
  <c r="X1120" i="4"/>
  <c r="G1120" i="4"/>
  <c r="O1120" i="4"/>
  <c r="W1120" i="4"/>
  <c r="I1120" i="4"/>
  <c r="S1120" i="4"/>
  <c r="J1120" i="4"/>
  <c r="T1120" i="4"/>
  <c r="K1120" i="4"/>
  <c r="U1120" i="4"/>
  <c r="F1120" i="4"/>
  <c r="R1120" i="4"/>
  <c r="D1120" i="4"/>
  <c r="AD1120" i="4"/>
  <c r="E1120" i="4"/>
  <c r="A1121" i="4"/>
  <c r="L1120" i="4"/>
  <c r="B1120" i="4"/>
  <c r="V1120" i="4"/>
  <c r="C1120" i="4"/>
  <c r="M1120" i="4"/>
  <c r="N1120" i="4"/>
  <c r="Q1120" i="4"/>
  <c r="AC1120" i="4"/>
  <c r="E1119" i="3"/>
  <c r="F1119" i="3"/>
  <c r="G1119" i="3"/>
  <c r="D1119" i="3"/>
  <c r="J1119" i="3"/>
  <c r="A1120" i="3"/>
  <c r="I1119" i="3"/>
  <c r="B1119" i="3"/>
  <c r="C1119" i="3"/>
  <c r="H1119" i="3"/>
  <c r="F1119" i="2"/>
  <c r="G1119" i="2"/>
  <c r="J1119" i="2"/>
  <c r="K1119" i="2"/>
  <c r="A1120" i="2"/>
  <c r="B1119" i="2"/>
  <c r="C1119" i="2"/>
  <c r="H1119" i="2"/>
  <c r="I1119" i="2"/>
  <c r="E1119" i="2"/>
  <c r="A1099" i="5"/>
  <c r="B1098" i="5"/>
  <c r="B1099" i="5" l="1"/>
  <c r="A1100" i="5"/>
  <c r="C1120" i="3"/>
  <c r="A1121" i="3"/>
  <c r="D1120" i="3"/>
  <c r="E1120" i="3"/>
  <c r="B1120" i="3"/>
  <c r="J1120" i="3"/>
  <c r="F1120" i="3"/>
  <c r="G1120" i="3"/>
  <c r="H1120" i="3"/>
  <c r="I1120" i="3"/>
  <c r="F1121" i="4"/>
  <c r="N1121" i="4"/>
  <c r="V1121" i="4"/>
  <c r="E1121" i="4"/>
  <c r="M1121" i="4"/>
  <c r="U1121" i="4"/>
  <c r="C1121" i="4"/>
  <c r="O1121" i="4"/>
  <c r="AC1121" i="4"/>
  <c r="D1121" i="4"/>
  <c r="P1121" i="4"/>
  <c r="AD1121" i="4"/>
  <c r="G1121" i="4"/>
  <c r="Q1121" i="4"/>
  <c r="A1122" i="4"/>
  <c r="B1121" i="4"/>
  <c r="L1121" i="4"/>
  <c r="X1121" i="4"/>
  <c r="T1121" i="4"/>
  <c r="W1121" i="4"/>
  <c r="H1121" i="4"/>
  <c r="R1121" i="4"/>
  <c r="I1121" i="4"/>
  <c r="J1121" i="4"/>
  <c r="K1121" i="4"/>
  <c r="S1121" i="4"/>
  <c r="C1120" i="2"/>
  <c r="A1121" i="2"/>
  <c r="E1120" i="2"/>
  <c r="J1120" i="2"/>
  <c r="G1120" i="2"/>
  <c r="K1120" i="2"/>
  <c r="B1120" i="2"/>
  <c r="F1120" i="2"/>
  <c r="H1120" i="2"/>
  <c r="I1120" i="2"/>
  <c r="J1121" i="2" l="1"/>
  <c r="B1121" i="2"/>
  <c r="K1121" i="2"/>
  <c r="A1122" i="2"/>
  <c r="E1121" i="2"/>
  <c r="C1121" i="2"/>
  <c r="H1121" i="2"/>
  <c r="I1121" i="2"/>
  <c r="F1121" i="2"/>
  <c r="G1121" i="2"/>
  <c r="I1121" i="3"/>
  <c r="B1121" i="3"/>
  <c r="J1121" i="3"/>
  <c r="C1121" i="3"/>
  <c r="A1122" i="3"/>
  <c r="H1121" i="3"/>
  <c r="F1121" i="3"/>
  <c r="G1121" i="3"/>
  <c r="E1121" i="3"/>
  <c r="D1121" i="3"/>
  <c r="D1122" i="4"/>
  <c r="L1122" i="4"/>
  <c r="T1122" i="4"/>
  <c r="C1122" i="4"/>
  <c r="K1122" i="4"/>
  <c r="S1122" i="4"/>
  <c r="A1123" i="4"/>
  <c r="I1122" i="4"/>
  <c r="U1122" i="4"/>
  <c r="J1122" i="4"/>
  <c r="V1122" i="4"/>
  <c r="M1122" i="4"/>
  <c r="W1122" i="4"/>
  <c r="H1122" i="4"/>
  <c r="R1122" i="4"/>
  <c r="P1122" i="4"/>
  <c r="Q1122" i="4"/>
  <c r="B1122" i="4"/>
  <c r="X1122" i="4"/>
  <c r="N1122" i="4"/>
  <c r="AC1122" i="4"/>
  <c r="AD1122" i="4"/>
  <c r="E1122" i="4"/>
  <c r="F1122" i="4"/>
  <c r="G1122" i="4"/>
  <c r="O1122" i="4"/>
  <c r="A1101" i="5"/>
  <c r="B1100" i="5"/>
  <c r="H1122" i="2" l="1"/>
  <c r="I1122" i="2"/>
  <c r="A1123" i="2"/>
  <c r="B1122" i="2"/>
  <c r="C1122" i="2"/>
  <c r="F1122" i="2"/>
  <c r="E1122" i="2"/>
  <c r="G1122" i="2"/>
  <c r="J1122" i="2"/>
  <c r="K1122" i="2"/>
  <c r="B1123" i="4"/>
  <c r="J1123" i="4"/>
  <c r="R1123" i="4"/>
  <c r="AD1123" i="4"/>
  <c r="I1123" i="4"/>
  <c r="Q1123" i="4"/>
  <c r="AC1123" i="4"/>
  <c r="E1123" i="4"/>
  <c r="O1123" i="4"/>
  <c r="A1124" i="4"/>
  <c r="F1123" i="4"/>
  <c r="P1123" i="4"/>
  <c r="G1123" i="4"/>
  <c r="S1123" i="4"/>
  <c r="D1123" i="4"/>
  <c r="N1123" i="4"/>
  <c r="X1123" i="4"/>
  <c r="L1123" i="4"/>
  <c r="M1123" i="4"/>
  <c r="T1123" i="4"/>
  <c r="H1123" i="4"/>
  <c r="V1123" i="4"/>
  <c r="K1123" i="4"/>
  <c r="C1123" i="4"/>
  <c r="W1123" i="4"/>
  <c r="U1123" i="4"/>
  <c r="B1101" i="5"/>
  <c r="A1102" i="5"/>
  <c r="G1122" i="3"/>
  <c r="H1122" i="3"/>
  <c r="I1122" i="3"/>
  <c r="F1122" i="3"/>
  <c r="B1122" i="3"/>
  <c r="E1122" i="3"/>
  <c r="J1122" i="3"/>
  <c r="A1123" i="3"/>
  <c r="C1122" i="3"/>
  <c r="D1122" i="3"/>
  <c r="E1123" i="3" l="1"/>
  <c r="F1123" i="3"/>
  <c r="G1123" i="3"/>
  <c r="D1123" i="3"/>
  <c r="B1123" i="3"/>
  <c r="C1123" i="3"/>
  <c r="H1123" i="3"/>
  <c r="I1123" i="3"/>
  <c r="J1123" i="3"/>
  <c r="A1124" i="3"/>
  <c r="H1124" i="4"/>
  <c r="P1124" i="4"/>
  <c r="X1124" i="4"/>
  <c r="G1124" i="4"/>
  <c r="O1124" i="4"/>
  <c r="W1124" i="4"/>
  <c r="K1124" i="4"/>
  <c r="U1124" i="4"/>
  <c r="B1124" i="4"/>
  <c r="L1124" i="4"/>
  <c r="V1124" i="4"/>
  <c r="C1124" i="4"/>
  <c r="M1124" i="4"/>
  <c r="AC1124" i="4"/>
  <c r="J1124" i="4"/>
  <c r="T1124" i="4"/>
  <c r="F1124" i="4"/>
  <c r="I1124" i="4"/>
  <c r="N1124" i="4"/>
  <c r="D1124" i="4"/>
  <c r="AD1124" i="4"/>
  <c r="Q1124" i="4"/>
  <c r="A1125" i="4"/>
  <c r="R1124" i="4"/>
  <c r="S1124" i="4"/>
  <c r="E1124" i="4"/>
  <c r="A1103" i="5"/>
  <c r="B1102" i="5"/>
  <c r="F1123" i="2"/>
  <c r="G1123" i="2"/>
  <c r="A1124" i="2"/>
  <c r="B1123" i="2"/>
  <c r="E1123" i="2"/>
  <c r="H1123" i="2"/>
  <c r="C1123" i="2"/>
  <c r="I1123" i="2"/>
  <c r="J1123" i="2"/>
  <c r="K1123" i="2"/>
  <c r="B1103" i="5" l="1"/>
  <c r="A1104" i="5"/>
  <c r="C1124" i="3"/>
  <c r="A1125" i="3"/>
  <c r="D1124" i="3"/>
  <c r="E1124" i="3"/>
  <c r="B1124" i="3"/>
  <c r="J1124" i="3"/>
  <c r="H1124" i="3"/>
  <c r="I1124" i="3"/>
  <c r="F1124" i="3"/>
  <c r="G1124" i="3"/>
  <c r="C1124" i="2"/>
  <c r="A1125" i="2"/>
  <c r="E1124" i="2"/>
  <c r="F1124" i="2"/>
  <c r="I1124" i="2"/>
  <c r="B1124" i="2"/>
  <c r="G1124" i="2"/>
  <c r="H1124" i="2"/>
  <c r="J1124" i="2"/>
  <c r="K1124" i="2"/>
  <c r="F1125" i="4"/>
  <c r="N1125" i="4"/>
  <c r="V1125" i="4"/>
  <c r="E1125" i="4"/>
  <c r="M1125" i="4"/>
  <c r="U1125" i="4"/>
  <c r="G1125" i="4"/>
  <c r="Q1125" i="4"/>
  <c r="A1126" i="4"/>
  <c r="H1125" i="4"/>
  <c r="R1125" i="4"/>
  <c r="I1125" i="4"/>
  <c r="S1125" i="4"/>
  <c r="D1125" i="4"/>
  <c r="P1125" i="4"/>
  <c r="AD1125" i="4"/>
  <c r="B1125" i="4"/>
  <c r="X1125" i="4"/>
  <c r="C1125" i="4"/>
  <c r="AC1125" i="4"/>
  <c r="J1125" i="4"/>
  <c r="T1125" i="4"/>
  <c r="K1125" i="4"/>
  <c r="O1125" i="4"/>
  <c r="W1125" i="4"/>
  <c r="L1125" i="4"/>
  <c r="J1125" i="2" l="1"/>
  <c r="B1125" i="2"/>
  <c r="K1125" i="2"/>
  <c r="C1125" i="2"/>
  <c r="E1125" i="2"/>
  <c r="F1125" i="2"/>
  <c r="G1125" i="2"/>
  <c r="A1126" i="2"/>
  <c r="H1125" i="2"/>
  <c r="I1125" i="2"/>
  <c r="I1125" i="3"/>
  <c r="B1125" i="3"/>
  <c r="J1125" i="3"/>
  <c r="C1125" i="3"/>
  <c r="A1126" i="3"/>
  <c r="H1125" i="3"/>
  <c r="D1125" i="3"/>
  <c r="E1125" i="3"/>
  <c r="F1125" i="3"/>
  <c r="G1125" i="3"/>
  <c r="A1105" i="5"/>
  <c r="B1104" i="5"/>
  <c r="D1126" i="4"/>
  <c r="L1126" i="4"/>
  <c r="T1126" i="4"/>
  <c r="C1126" i="4"/>
  <c r="K1126" i="4"/>
  <c r="S1126" i="4"/>
  <c r="A1127" i="4"/>
  <c r="M1126" i="4"/>
  <c r="W1126" i="4"/>
  <c r="B1126" i="4"/>
  <c r="N1126" i="4"/>
  <c r="X1126" i="4"/>
  <c r="E1126" i="4"/>
  <c r="O1126" i="4"/>
  <c r="AC1126" i="4"/>
  <c r="J1126" i="4"/>
  <c r="V1126" i="4"/>
  <c r="R1126" i="4"/>
  <c r="U1126" i="4"/>
  <c r="F1126" i="4"/>
  <c r="AD1126" i="4"/>
  <c r="P1126" i="4"/>
  <c r="G1126" i="4"/>
  <c r="H1126" i="4"/>
  <c r="I1126" i="4"/>
  <c r="Q1126" i="4"/>
  <c r="B1127" i="4" l="1"/>
  <c r="J1127" i="4"/>
  <c r="R1127" i="4"/>
  <c r="AD1127" i="4"/>
  <c r="I1127" i="4"/>
  <c r="Q1127" i="4"/>
  <c r="AC1127" i="4"/>
  <c r="G1127" i="4"/>
  <c r="S1127" i="4"/>
  <c r="H1127" i="4"/>
  <c r="T1127" i="4"/>
  <c r="K1127" i="4"/>
  <c r="U1127" i="4"/>
  <c r="F1127" i="4"/>
  <c r="P1127" i="4"/>
  <c r="N1127" i="4"/>
  <c r="O1127" i="4"/>
  <c r="V1127" i="4"/>
  <c r="L1127" i="4"/>
  <c r="W1127" i="4"/>
  <c r="X1127" i="4"/>
  <c r="A1128" i="4"/>
  <c r="C1127" i="4"/>
  <c r="D1127" i="4"/>
  <c r="E1127" i="4"/>
  <c r="M1127" i="4"/>
  <c r="H1126" i="2"/>
  <c r="I1126" i="2"/>
  <c r="C1126" i="2"/>
  <c r="E1126" i="2"/>
  <c r="G1126" i="2"/>
  <c r="F1126" i="2"/>
  <c r="J1126" i="2"/>
  <c r="K1126" i="2"/>
  <c r="A1127" i="2"/>
  <c r="B1126" i="2"/>
  <c r="G1126" i="3"/>
  <c r="H1126" i="3"/>
  <c r="I1126" i="3"/>
  <c r="F1126" i="3"/>
  <c r="D1126" i="3"/>
  <c r="E1126" i="3"/>
  <c r="J1126" i="3"/>
  <c r="B1126" i="3"/>
  <c r="C1126" i="3"/>
  <c r="A1127" i="3"/>
  <c r="G1105" i="5"/>
  <c r="O1105" i="5"/>
  <c r="H1105" i="5"/>
  <c r="P1105" i="5"/>
  <c r="I1105" i="5"/>
  <c r="Q1105" i="5"/>
  <c r="E1105" i="5"/>
  <c r="S1105" i="5"/>
  <c r="F1105" i="5"/>
  <c r="T1105" i="5"/>
  <c r="J1105" i="5"/>
  <c r="A1106" i="5"/>
  <c r="D1105" i="5"/>
  <c r="K1105" i="5"/>
  <c r="B1105" i="5"/>
  <c r="C1105" i="5"/>
  <c r="L1105" i="5"/>
  <c r="M1105" i="5"/>
  <c r="N1105" i="5"/>
  <c r="R1105" i="5"/>
  <c r="F1127" i="2" l="1"/>
  <c r="G1127" i="2"/>
  <c r="C1127" i="2"/>
  <c r="H1127" i="2"/>
  <c r="J1127" i="2"/>
  <c r="K1127" i="2"/>
  <c r="E1127" i="2"/>
  <c r="I1127" i="2"/>
  <c r="A1128" i="2"/>
  <c r="B1127" i="2"/>
  <c r="E1127" i="3"/>
  <c r="F1127" i="3"/>
  <c r="G1127" i="3"/>
  <c r="D1127" i="3"/>
  <c r="J1127" i="3"/>
  <c r="A1128" i="3"/>
  <c r="H1127" i="3"/>
  <c r="I1127" i="3"/>
  <c r="B1127" i="3"/>
  <c r="C1127" i="3"/>
  <c r="H1128" i="4"/>
  <c r="P1128" i="4"/>
  <c r="X1128" i="4"/>
  <c r="G1128" i="4"/>
  <c r="O1128" i="4"/>
  <c r="W1128" i="4"/>
  <c r="C1128" i="4"/>
  <c r="M1128" i="4"/>
  <c r="AC1128" i="4"/>
  <c r="D1128" i="4"/>
  <c r="N1128" i="4"/>
  <c r="AD1128" i="4"/>
  <c r="E1128" i="4"/>
  <c r="Q1128" i="4"/>
  <c r="A1129" i="4"/>
  <c r="B1128" i="4"/>
  <c r="L1128" i="4"/>
  <c r="V1128" i="4"/>
  <c r="J1128" i="4"/>
  <c r="K1128" i="4"/>
  <c r="R1128" i="4"/>
  <c r="F1128" i="4"/>
  <c r="I1128" i="4"/>
  <c r="S1128" i="4"/>
  <c r="T1128" i="4"/>
  <c r="U1128" i="4"/>
  <c r="C1106" i="5"/>
  <c r="K1106" i="5"/>
  <c r="S1106" i="5"/>
  <c r="D1106" i="5"/>
  <c r="L1106" i="5"/>
  <c r="T1106" i="5"/>
  <c r="E1106" i="5"/>
  <c r="M1106" i="5"/>
  <c r="A1107" i="5"/>
  <c r="J1106" i="5"/>
  <c r="N1106" i="5"/>
  <c r="O1106" i="5"/>
  <c r="G1106" i="5"/>
  <c r="H1106" i="5"/>
  <c r="F1106" i="5"/>
  <c r="I1106" i="5"/>
  <c r="P1106" i="5"/>
  <c r="B1106" i="5"/>
  <c r="R1106" i="5"/>
  <c r="Q1106" i="5"/>
  <c r="C1128" i="3" l="1"/>
  <c r="A1129" i="3"/>
  <c r="D1128" i="3"/>
  <c r="E1128" i="3"/>
  <c r="B1128" i="3"/>
  <c r="J1128" i="3"/>
  <c r="F1128" i="3"/>
  <c r="G1128" i="3"/>
  <c r="H1128" i="3"/>
  <c r="I1128" i="3"/>
  <c r="G1107" i="5"/>
  <c r="O1107" i="5"/>
  <c r="H1107" i="5"/>
  <c r="P1107" i="5"/>
  <c r="I1107" i="5"/>
  <c r="Q1107" i="5"/>
  <c r="D1107" i="5"/>
  <c r="R1107" i="5"/>
  <c r="E1107" i="5"/>
  <c r="S1107" i="5"/>
  <c r="F1107" i="5"/>
  <c r="T1107" i="5"/>
  <c r="J1107" i="5"/>
  <c r="K1107" i="5"/>
  <c r="M1107" i="5"/>
  <c r="N1107" i="5"/>
  <c r="A1108" i="5"/>
  <c r="L1107" i="5"/>
  <c r="B1107" i="5"/>
  <c r="C1107" i="5"/>
  <c r="F1129" i="4"/>
  <c r="N1129" i="4"/>
  <c r="V1129" i="4"/>
  <c r="E1129" i="4"/>
  <c r="M1129" i="4"/>
  <c r="U1129" i="4"/>
  <c r="I1129" i="4"/>
  <c r="S1129" i="4"/>
  <c r="J1129" i="4"/>
  <c r="T1129" i="4"/>
  <c r="K1129" i="4"/>
  <c r="W1129" i="4"/>
  <c r="H1129" i="4"/>
  <c r="R1129" i="4"/>
  <c r="D1129" i="4"/>
  <c r="AD1129" i="4"/>
  <c r="G1129" i="4"/>
  <c r="A1130" i="4"/>
  <c r="L1129" i="4"/>
  <c r="B1129" i="4"/>
  <c r="X1129" i="4"/>
  <c r="O1129" i="4"/>
  <c r="AC1129" i="4"/>
  <c r="P1129" i="4"/>
  <c r="Q1129" i="4"/>
  <c r="C1129" i="4"/>
  <c r="C1128" i="2"/>
  <c r="A1129" i="2"/>
  <c r="E1128" i="2"/>
  <c r="F1128" i="2"/>
  <c r="G1128" i="2"/>
  <c r="H1128" i="2"/>
  <c r="K1128" i="2"/>
  <c r="I1128" i="2"/>
  <c r="B1128" i="2"/>
  <c r="J1128" i="2"/>
  <c r="D1130" i="4" l="1"/>
  <c r="L1130" i="4"/>
  <c r="T1130" i="4"/>
  <c r="C1130" i="4"/>
  <c r="K1130" i="4"/>
  <c r="S1130" i="4"/>
  <c r="A1131" i="4"/>
  <c r="E1130" i="4"/>
  <c r="O1130" i="4"/>
  <c r="AC1130" i="4"/>
  <c r="F1130" i="4"/>
  <c r="P1130" i="4"/>
  <c r="AD1130" i="4"/>
  <c r="G1130" i="4"/>
  <c r="Q1130" i="4"/>
  <c r="B1130" i="4"/>
  <c r="N1130" i="4"/>
  <c r="X1130" i="4"/>
  <c r="V1130" i="4"/>
  <c r="W1130" i="4"/>
  <c r="H1130" i="4"/>
  <c r="R1130" i="4"/>
  <c r="M1130" i="4"/>
  <c r="U1130" i="4"/>
  <c r="I1130" i="4"/>
  <c r="J1130" i="4"/>
  <c r="C1108" i="5"/>
  <c r="K1108" i="5"/>
  <c r="S1108" i="5"/>
  <c r="D1108" i="5"/>
  <c r="L1108" i="5"/>
  <c r="T1108" i="5"/>
  <c r="E1108" i="5"/>
  <c r="M1108" i="5"/>
  <c r="A1109" i="5"/>
  <c r="I1108" i="5"/>
  <c r="J1108" i="5"/>
  <c r="N1108" i="5"/>
  <c r="G1108" i="5"/>
  <c r="H1108" i="5"/>
  <c r="R1108" i="5"/>
  <c r="Q1108" i="5"/>
  <c r="B1108" i="5"/>
  <c r="P1108" i="5"/>
  <c r="F1108" i="5"/>
  <c r="O1108" i="5"/>
  <c r="J1129" i="2"/>
  <c r="B1129" i="2"/>
  <c r="K1129" i="2"/>
  <c r="F1129" i="2"/>
  <c r="H1129" i="2"/>
  <c r="I1129" i="2"/>
  <c r="G1129" i="2"/>
  <c r="A1130" i="2"/>
  <c r="C1129" i="2"/>
  <c r="E1129" i="2"/>
  <c r="I1129" i="3"/>
  <c r="B1129" i="3"/>
  <c r="J1129" i="3"/>
  <c r="C1129" i="3"/>
  <c r="A1130" i="3"/>
  <c r="H1129" i="3"/>
  <c r="F1129" i="3"/>
  <c r="G1129" i="3"/>
  <c r="D1129" i="3"/>
  <c r="E1129" i="3"/>
  <c r="H1130" i="2" l="1"/>
  <c r="I1130" i="2"/>
  <c r="F1130" i="2"/>
  <c r="G1130" i="2"/>
  <c r="A1131" i="2"/>
  <c r="J1130" i="2"/>
  <c r="K1130" i="2"/>
  <c r="C1130" i="2"/>
  <c r="E1130" i="2"/>
  <c r="B1130" i="2"/>
  <c r="B1131" i="4"/>
  <c r="J1131" i="4"/>
  <c r="R1131" i="4"/>
  <c r="AD1131" i="4"/>
  <c r="I1131" i="4"/>
  <c r="Q1131" i="4"/>
  <c r="AC1131" i="4"/>
  <c r="K1131" i="4"/>
  <c r="U1131" i="4"/>
  <c r="L1131" i="4"/>
  <c r="V1131" i="4"/>
  <c r="C1131" i="4"/>
  <c r="M1131" i="4"/>
  <c r="W1131" i="4"/>
  <c r="H1131" i="4"/>
  <c r="T1131" i="4"/>
  <c r="P1131" i="4"/>
  <c r="S1131" i="4"/>
  <c r="D1131" i="4"/>
  <c r="X1131" i="4"/>
  <c r="N1131" i="4"/>
  <c r="E1131" i="4"/>
  <c r="F1131" i="4"/>
  <c r="G1131" i="4"/>
  <c r="O1131" i="4"/>
  <c r="A1132" i="4"/>
  <c r="G1130" i="3"/>
  <c r="H1130" i="3"/>
  <c r="I1130" i="3"/>
  <c r="F1130" i="3"/>
  <c r="B1130" i="3"/>
  <c r="D1130" i="3"/>
  <c r="E1130" i="3"/>
  <c r="A1131" i="3"/>
  <c r="J1130" i="3"/>
  <c r="C1130" i="3"/>
  <c r="G1109" i="5"/>
  <c r="O1109" i="5"/>
  <c r="H1109" i="5"/>
  <c r="P1109" i="5"/>
  <c r="I1109" i="5"/>
  <c r="Q1109" i="5"/>
  <c r="C1109" i="5"/>
  <c r="N1109" i="5"/>
  <c r="D1109" i="5"/>
  <c r="R1109" i="5"/>
  <c r="E1109" i="5"/>
  <c r="S1109" i="5"/>
  <c r="J1109" i="5"/>
  <c r="K1109" i="5"/>
  <c r="B1109" i="5"/>
  <c r="F1109" i="5"/>
  <c r="T1109" i="5"/>
  <c r="A1110" i="5"/>
  <c r="M1109" i="5"/>
  <c r="L1109" i="5"/>
  <c r="C1110" i="5" l="1"/>
  <c r="K1110" i="5"/>
  <c r="S1110" i="5"/>
  <c r="D1110" i="5"/>
  <c r="E1110" i="5"/>
  <c r="M1110" i="5"/>
  <c r="A1111" i="5"/>
  <c r="H1110" i="5"/>
  <c r="R1110" i="5"/>
  <c r="I1110" i="5"/>
  <c r="T1110" i="5"/>
  <c r="J1110" i="5"/>
  <c r="G1110" i="5"/>
  <c r="L1110" i="5"/>
  <c r="F1110" i="5"/>
  <c r="N1110" i="5"/>
  <c r="O1110" i="5"/>
  <c r="B1110" i="5"/>
  <c r="P1110" i="5"/>
  <c r="Q1110" i="5"/>
  <c r="F1131" i="2"/>
  <c r="G1131" i="2"/>
  <c r="H1131" i="2"/>
  <c r="I1131" i="2"/>
  <c r="J1131" i="2"/>
  <c r="B1131" i="2"/>
  <c r="K1131" i="2"/>
  <c r="C1131" i="2"/>
  <c r="E1131" i="2"/>
  <c r="A1132" i="2"/>
  <c r="E1131" i="3"/>
  <c r="F1131" i="3"/>
  <c r="G1131" i="3"/>
  <c r="D1131" i="3"/>
  <c r="B1131" i="3"/>
  <c r="C1131" i="3"/>
  <c r="H1131" i="3"/>
  <c r="I1131" i="3"/>
  <c r="J1131" i="3"/>
  <c r="A1132" i="3"/>
  <c r="H1132" i="4"/>
  <c r="P1132" i="4"/>
  <c r="X1132" i="4"/>
  <c r="G1132" i="4"/>
  <c r="O1132" i="4"/>
  <c r="W1132" i="4"/>
  <c r="E1132" i="4"/>
  <c r="Q1132" i="4"/>
  <c r="A1133" i="4"/>
  <c r="F1132" i="4"/>
  <c r="R1132" i="4"/>
  <c r="I1132" i="4"/>
  <c r="S1132" i="4"/>
  <c r="D1132" i="4"/>
  <c r="N1132" i="4"/>
  <c r="AD1132" i="4"/>
  <c r="L1132" i="4"/>
  <c r="M1132" i="4"/>
  <c r="T1132" i="4"/>
  <c r="J1132" i="4"/>
  <c r="U1132" i="4"/>
  <c r="B1132" i="4"/>
  <c r="V1132" i="4"/>
  <c r="AC1132" i="4"/>
  <c r="C1132" i="4"/>
  <c r="K1132" i="4"/>
  <c r="C1132" i="3" l="1"/>
  <c r="A1133" i="3"/>
  <c r="D1132" i="3"/>
  <c r="E1132" i="3"/>
  <c r="B1132" i="3"/>
  <c r="J1132" i="3"/>
  <c r="H1132" i="3"/>
  <c r="I1132" i="3"/>
  <c r="G1132" i="3"/>
  <c r="F1132" i="3"/>
  <c r="G1111" i="5"/>
  <c r="O1111" i="5"/>
  <c r="I1111" i="5"/>
  <c r="Q1111" i="5"/>
  <c r="J1111" i="5"/>
  <c r="T1111" i="5"/>
  <c r="K1111" i="5"/>
  <c r="A1112" i="5"/>
  <c r="B1111" i="5"/>
  <c r="L1111" i="5"/>
  <c r="E1111" i="5"/>
  <c r="F1111" i="5"/>
  <c r="M1111" i="5"/>
  <c r="N1111" i="5"/>
  <c r="P1111" i="5"/>
  <c r="H1111" i="5"/>
  <c r="S1111" i="5"/>
  <c r="C1111" i="5"/>
  <c r="D1111" i="5"/>
  <c r="R1111" i="5"/>
  <c r="C1132" i="2"/>
  <c r="A1133" i="2"/>
  <c r="E1132" i="2"/>
  <c r="H1132" i="2"/>
  <c r="K1132" i="2"/>
  <c r="I1132" i="2"/>
  <c r="J1132" i="2"/>
  <c r="B1132" i="2"/>
  <c r="F1132" i="2"/>
  <c r="G1132" i="2"/>
  <c r="F1133" i="4"/>
  <c r="N1133" i="4"/>
  <c r="V1133" i="4"/>
  <c r="E1133" i="4"/>
  <c r="M1133" i="4"/>
  <c r="U1133" i="4"/>
  <c r="K1133" i="4"/>
  <c r="W1133" i="4"/>
  <c r="B1133" i="4"/>
  <c r="L1133" i="4"/>
  <c r="X1133" i="4"/>
  <c r="C1133" i="4"/>
  <c r="O1133" i="4"/>
  <c r="AC1133" i="4"/>
  <c r="J1133" i="4"/>
  <c r="T1133" i="4"/>
  <c r="H1133" i="4"/>
  <c r="I1133" i="4"/>
  <c r="P1133" i="4"/>
  <c r="D1133" i="4"/>
  <c r="AD1133" i="4"/>
  <c r="Q1133" i="4"/>
  <c r="G1133" i="4"/>
  <c r="R1133" i="4"/>
  <c r="S1133" i="4"/>
  <c r="A1134" i="4"/>
  <c r="J1133" i="2" l="1"/>
  <c r="B1133" i="2"/>
  <c r="K1133" i="2"/>
  <c r="H1133" i="2"/>
  <c r="I1133" i="2"/>
  <c r="A1134" i="2"/>
  <c r="C1133" i="2"/>
  <c r="E1133" i="2"/>
  <c r="F1133" i="2"/>
  <c r="G1133" i="2"/>
  <c r="D1134" i="4"/>
  <c r="L1134" i="4"/>
  <c r="T1134" i="4"/>
  <c r="C1134" i="4"/>
  <c r="K1134" i="4"/>
  <c r="S1134" i="4"/>
  <c r="A1135" i="4"/>
  <c r="G1134" i="4"/>
  <c r="Q1134" i="4"/>
  <c r="H1134" i="4"/>
  <c r="R1134" i="4"/>
  <c r="I1134" i="4"/>
  <c r="U1134" i="4"/>
  <c r="F1134" i="4"/>
  <c r="P1134" i="4"/>
  <c r="AD1134" i="4"/>
  <c r="B1134" i="4"/>
  <c r="X1134" i="4"/>
  <c r="E1134" i="4"/>
  <c r="AC1134" i="4"/>
  <c r="J1134" i="4"/>
  <c r="V1134" i="4"/>
  <c r="M1134" i="4"/>
  <c r="W1134" i="4"/>
  <c r="N1134" i="4"/>
  <c r="O1134" i="4"/>
  <c r="C1112" i="5"/>
  <c r="K1112" i="5"/>
  <c r="S1112" i="5"/>
  <c r="E1112" i="5"/>
  <c r="M1112" i="5"/>
  <c r="A1113" i="5"/>
  <c r="J1112" i="5"/>
  <c r="L1112" i="5"/>
  <c r="B1112" i="5"/>
  <c r="N1112" i="5"/>
  <c r="D1112" i="5"/>
  <c r="R1112" i="5"/>
  <c r="F1112" i="5"/>
  <c r="T1112" i="5"/>
  <c r="O1112" i="5"/>
  <c r="P1112" i="5"/>
  <c r="Q1112" i="5"/>
  <c r="I1112" i="5"/>
  <c r="G1112" i="5"/>
  <c r="H1112" i="5"/>
  <c r="I1133" i="3"/>
  <c r="B1133" i="3"/>
  <c r="J1133" i="3"/>
  <c r="C1133" i="3"/>
  <c r="A1134" i="3"/>
  <c r="H1133" i="3"/>
  <c r="D1133" i="3"/>
  <c r="E1133" i="3"/>
  <c r="G1133" i="3"/>
  <c r="F1133" i="3"/>
  <c r="H1134" i="2" l="1"/>
  <c r="I1134" i="2"/>
  <c r="J1134" i="2"/>
  <c r="K1134" i="2"/>
  <c r="A1135" i="2"/>
  <c r="B1134" i="2"/>
  <c r="C1134" i="2"/>
  <c r="F1134" i="2"/>
  <c r="G1134" i="2"/>
  <c r="E1134" i="2"/>
  <c r="G1134" i="3"/>
  <c r="H1134" i="3"/>
  <c r="I1134" i="3"/>
  <c r="F1134" i="3"/>
  <c r="D1134" i="3"/>
  <c r="E1134" i="3"/>
  <c r="J1134" i="3"/>
  <c r="B1134" i="3"/>
  <c r="C1134" i="3"/>
  <c r="A1135" i="3"/>
  <c r="G1113" i="5"/>
  <c r="O1113" i="5"/>
  <c r="I1113" i="5"/>
  <c r="Q1113" i="5"/>
  <c r="B1113" i="5"/>
  <c r="L1113" i="5"/>
  <c r="C1113" i="5"/>
  <c r="M1113" i="5"/>
  <c r="D1113" i="5"/>
  <c r="N1113" i="5"/>
  <c r="R1113" i="5"/>
  <c r="S1113" i="5"/>
  <c r="P1113" i="5"/>
  <c r="T1113" i="5"/>
  <c r="A1114" i="5"/>
  <c r="K1113" i="5"/>
  <c r="E1113" i="5"/>
  <c r="J1113" i="5"/>
  <c r="F1113" i="5"/>
  <c r="H1113" i="5"/>
  <c r="B1135" i="4"/>
  <c r="J1135" i="4"/>
  <c r="R1135" i="4"/>
  <c r="AD1135" i="4"/>
  <c r="I1135" i="4"/>
  <c r="Q1135" i="4"/>
  <c r="AC1135" i="4"/>
  <c r="C1135" i="4"/>
  <c r="M1135" i="4"/>
  <c r="W1135" i="4"/>
  <c r="D1135" i="4"/>
  <c r="N1135" i="4"/>
  <c r="X1135" i="4"/>
  <c r="E1135" i="4"/>
  <c r="O1135" i="4"/>
  <c r="A1136" i="4"/>
  <c r="L1135" i="4"/>
  <c r="V1135" i="4"/>
  <c r="T1135" i="4"/>
  <c r="U1135" i="4"/>
  <c r="F1135" i="4"/>
  <c r="P1135" i="4"/>
  <c r="G1135" i="4"/>
  <c r="H1135" i="4"/>
  <c r="K1135" i="4"/>
  <c r="S1135" i="4"/>
  <c r="H1136" i="4" l="1"/>
  <c r="P1136" i="4"/>
  <c r="X1136" i="4"/>
  <c r="G1136" i="4"/>
  <c r="O1136" i="4"/>
  <c r="W1136" i="4"/>
  <c r="I1136" i="4"/>
  <c r="S1136" i="4"/>
  <c r="J1136" i="4"/>
  <c r="T1136" i="4"/>
  <c r="K1136" i="4"/>
  <c r="U1136" i="4"/>
  <c r="F1136" i="4"/>
  <c r="R1136" i="4"/>
  <c r="N1136" i="4"/>
  <c r="Q1136" i="4"/>
  <c r="B1136" i="4"/>
  <c r="V1136" i="4"/>
  <c r="L1136" i="4"/>
  <c r="C1136" i="4"/>
  <c r="D1136" i="4"/>
  <c r="E1136" i="4"/>
  <c r="M1136" i="4"/>
  <c r="AC1136" i="4"/>
  <c r="A1137" i="4"/>
  <c r="AD1136" i="4"/>
  <c r="F1135" i="2"/>
  <c r="G1135" i="2"/>
  <c r="J1135" i="2"/>
  <c r="E1135" i="2"/>
  <c r="K1135" i="2"/>
  <c r="A1136" i="2"/>
  <c r="B1135" i="2"/>
  <c r="C1135" i="2"/>
  <c r="H1135" i="2"/>
  <c r="I1135" i="2"/>
  <c r="E1135" i="3"/>
  <c r="F1135" i="3"/>
  <c r="G1135" i="3"/>
  <c r="D1135" i="3"/>
  <c r="J1135" i="3"/>
  <c r="A1136" i="3"/>
  <c r="C1135" i="3"/>
  <c r="H1135" i="3"/>
  <c r="I1135" i="3"/>
  <c r="B1135" i="3"/>
  <c r="C1114" i="5"/>
  <c r="K1114" i="5"/>
  <c r="S1114" i="5"/>
  <c r="E1114" i="5"/>
  <c r="M1114" i="5"/>
  <c r="A1115" i="5"/>
  <c r="B1114" i="5"/>
  <c r="N1114" i="5"/>
  <c r="D1114" i="5"/>
  <c r="O1114" i="5"/>
  <c r="F1114" i="5"/>
  <c r="P1114" i="5"/>
  <c r="L1114" i="5"/>
  <c r="Q1114" i="5"/>
  <c r="T1114" i="5"/>
  <c r="R1114" i="5"/>
  <c r="I1114" i="5"/>
  <c r="J1114" i="5"/>
  <c r="H1114" i="5"/>
  <c r="G1114" i="5"/>
  <c r="C1136" i="2" l="1"/>
  <c r="A1137" i="2"/>
  <c r="E1136" i="2"/>
  <c r="J1136" i="2"/>
  <c r="K1136" i="2"/>
  <c r="B1136" i="2"/>
  <c r="H1136" i="2"/>
  <c r="I1136" i="2"/>
  <c r="F1136" i="2"/>
  <c r="G1136" i="2"/>
  <c r="G1115" i="5"/>
  <c r="O1115" i="5"/>
  <c r="I1115" i="5"/>
  <c r="Q1115" i="5"/>
  <c r="D1115" i="5"/>
  <c r="N1115" i="5"/>
  <c r="E1115" i="5"/>
  <c r="P1115" i="5"/>
  <c r="F1115" i="5"/>
  <c r="R1115" i="5"/>
  <c r="K1115" i="5"/>
  <c r="L1115" i="5"/>
  <c r="A1116" i="5"/>
  <c r="B1115" i="5"/>
  <c r="C1115" i="5"/>
  <c r="T1115" i="5"/>
  <c r="H1115" i="5"/>
  <c r="J1115" i="5"/>
  <c r="M1115" i="5"/>
  <c r="S1115" i="5"/>
  <c r="C1136" i="3"/>
  <c r="A1137" i="3"/>
  <c r="D1136" i="3"/>
  <c r="E1136" i="3"/>
  <c r="B1136" i="3"/>
  <c r="J1136" i="3"/>
  <c r="F1136" i="3"/>
  <c r="G1136" i="3"/>
  <c r="H1136" i="3"/>
  <c r="I1136" i="3"/>
  <c r="F1137" i="4"/>
  <c r="N1137" i="4"/>
  <c r="V1137" i="4"/>
  <c r="E1137" i="4"/>
  <c r="M1137" i="4"/>
  <c r="U1137" i="4"/>
  <c r="C1137" i="4"/>
  <c r="O1137" i="4"/>
  <c r="AC1137" i="4"/>
  <c r="D1137" i="4"/>
  <c r="P1137" i="4"/>
  <c r="AD1137" i="4"/>
  <c r="G1137" i="4"/>
  <c r="Q1137" i="4"/>
  <c r="A1138" i="4"/>
  <c r="B1137" i="4"/>
  <c r="L1137" i="4"/>
  <c r="X1137" i="4"/>
  <c r="J1137" i="4"/>
  <c r="K1137" i="4"/>
  <c r="R1137" i="4"/>
  <c r="H1137" i="4"/>
  <c r="S1137" i="4"/>
  <c r="T1137" i="4"/>
  <c r="W1137" i="4"/>
  <c r="I1137" i="4"/>
  <c r="I1137" i="3" l="1"/>
  <c r="B1137" i="3"/>
  <c r="J1137" i="3"/>
  <c r="C1137" i="3"/>
  <c r="A1138" i="3"/>
  <c r="H1137" i="3"/>
  <c r="F1137" i="3"/>
  <c r="G1137" i="3"/>
  <c r="D1137" i="3"/>
  <c r="E1137" i="3"/>
  <c r="C1116" i="5"/>
  <c r="K1116" i="5"/>
  <c r="S1116" i="5"/>
  <c r="E1116" i="5"/>
  <c r="M1116" i="5"/>
  <c r="A1117" i="5"/>
  <c r="F1116" i="5"/>
  <c r="P1116" i="5"/>
  <c r="G1116" i="5"/>
  <c r="Q1116" i="5"/>
  <c r="H1116" i="5"/>
  <c r="R1116" i="5"/>
  <c r="I1116" i="5"/>
  <c r="J1116" i="5"/>
  <c r="B1116" i="5"/>
  <c r="D1116" i="5"/>
  <c r="O1116" i="5"/>
  <c r="T1116" i="5"/>
  <c r="N1116" i="5"/>
  <c r="L1116" i="5"/>
  <c r="D1138" i="4"/>
  <c r="L1138" i="4"/>
  <c r="T1138" i="4"/>
  <c r="C1138" i="4"/>
  <c r="K1138" i="4"/>
  <c r="S1138" i="4"/>
  <c r="A1139" i="4"/>
  <c r="I1138" i="4"/>
  <c r="U1138" i="4"/>
  <c r="J1138" i="4"/>
  <c r="V1138" i="4"/>
  <c r="M1138" i="4"/>
  <c r="W1138" i="4"/>
  <c r="H1138" i="4"/>
  <c r="R1138" i="4"/>
  <c r="F1138" i="4"/>
  <c r="AD1138" i="4"/>
  <c r="G1138" i="4"/>
  <c r="N1138" i="4"/>
  <c r="B1138" i="4"/>
  <c r="X1138" i="4"/>
  <c r="E1138" i="4"/>
  <c r="P1138" i="4"/>
  <c r="Q1138" i="4"/>
  <c r="AC1138" i="4"/>
  <c r="O1138" i="4"/>
  <c r="J1137" i="2"/>
  <c r="B1137" i="2"/>
  <c r="K1137" i="2"/>
  <c r="A1138" i="2"/>
  <c r="C1137" i="2"/>
  <c r="F1137" i="2"/>
  <c r="G1137" i="2"/>
  <c r="E1137" i="2"/>
  <c r="H1137" i="2"/>
  <c r="I1137" i="2"/>
  <c r="G1117" i="5" l="1"/>
  <c r="O1117" i="5"/>
  <c r="I1117" i="5"/>
  <c r="Q1117" i="5"/>
  <c r="F1117" i="5"/>
  <c r="R1117" i="5"/>
  <c r="H1117" i="5"/>
  <c r="S1117" i="5"/>
  <c r="J1117" i="5"/>
  <c r="T1117" i="5"/>
  <c r="D1117" i="5"/>
  <c r="E1117" i="5"/>
  <c r="C1117" i="5"/>
  <c r="K1117" i="5"/>
  <c r="L1117" i="5"/>
  <c r="B1117" i="5"/>
  <c r="M1117" i="5"/>
  <c r="N1117" i="5"/>
  <c r="P1117" i="5"/>
  <c r="A1118" i="5"/>
  <c r="B1139" i="4"/>
  <c r="J1139" i="4"/>
  <c r="R1139" i="4"/>
  <c r="AD1139" i="4"/>
  <c r="I1139" i="4"/>
  <c r="Q1139" i="4"/>
  <c r="AC1139" i="4"/>
  <c r="E1139" i="4"/>
  <c r="O1139" i="4"/>
  <c r="A1140" i="4"/>
  <c r="F1139" i="4"/>
  <c r="P1139" i="4"/>
  <c r="G1139" i="4"/>
  <c r="S1139" i="4"/>
  <c r="D1139" i="4"/>
  <c r="N1139" i="4"/>
  <c r="X1139" i="4"/>
  <c r="V1139" i="4"/>
  <c r="C1139" i="4"/>
  <c r="W1139" i="4"/>
  <c r="H1139" i="4"/>
  <c r="T1139" i="4"/>
  <c r="K1139" i="4"/>
  <c r="L1139" i="4"/>
  <c r="U1139" i="4"/>
  <c r="M1139" i="4"/>
  <c r="G1138" i="3"/>
  <c r="H1138" i="3"/>
  <c r="I1138" i="3"/>
  <c r="F1138" i="3"/>
  <c r="B1138" i="3"/>
  <c r="C1138" i="3"/>
  <c r="D1138" i="3"/>
  <c r="J1138" i="3"/>
  <c r="E1138" i="3"/>
  <c r="A1139" i="3"/>
  <c r="H1138" i="2"/>
  <c r="I1138" i="2"/>
  <c r="A1139" i="2"/>
  <c r="B1138" i="2"/>
  <c r="E1138" i="2"/>
  <c r="C1138" i="2"/>
  <c r="F1138" i="2"/>
  <c r="G1138" i="2"/>
  <c r="J1138" i="2"/>
  <c r="K1138" i="2"/>
  <c r="H1140" i="4" l="1"/>
  <c r="P1140" i="4"/>
  <c r="X1140" i="4"/>
  <c r="G1140" i="4"/>
  <c r="O1140" i="4"/>
  <c r="W1140" i="4"/>
  <c r="K1140" i="4"/>
  <c r="U1140" i="4"/>
  <c r="B1140" i="4"/>
  <c r="L1140" i="4"/>
  <c r="V1140" i="4"/>
  <c r="C1140" i="4"/>
  <c r="M1140" i="4"/>
  <c r="AC1140" i="4"/>
  <c r="J1140" i="4"/>
  <c r="T1140" i="4"/>
  <c r="R1140" i="4"/>
  <c r="S1140" i="4"/>
  <c r="D1140" i="4"/>
  <c r="AD1140" i="4"/>
  <c r="N1140" i="4"/>
  <c r="A1141" i="4"/>
  <c r="F1140" i="4"/>
  <c r="E1140" i="4"/>
  <c r="I1140" i="4"/>
  <c r="Q1140" i="4"/>
  <c r="E1139" i="3"/>
  <c r="F1139" i="3"/>
  <c r="G1139" i="3"/>
  <c r="D1139" i="3"/>
  <c r="B1139" i="3"/>
  <c r="C1139" i="3"/>
  <c r="H1139" i="3"/>
  <c r="I1139" i="3"/>
  <c r="J1139" i="3"/>
  <c r="A1140" i="3"/>
  <c r="C1118" i="5"/>
  <c r="K1118" i="5"/>
  <c r="S1118" i="5"/>
  <c r="E1118" i="5"/>
  <c r="M1118" i="5"/>
  <c r="A1119" i="5"/>
  <c r="H1118" i="5"/>
  <c r="R1118" i="5"/>
  <c r="I1118" i="5"/>
  <c r="T1118" i="5"/>
  <c r="J1118" i="5"/>
  <c r="B1118" i="5"/>
  <c r="Q1118" i="5"/>
  <c r="D1118" i="5"/>
  <c r="G1118" i="5"/>
  <c r="L1118" i="5"/>
  <c r="N1118" i="5"/>
  <c r="F1118" i="5"/>
  <c r="P1118" i="5"/>
  <c r="O1118" i="5"/>
  <c r="F1139" i="2"/>
  <c r="G1139" i="2"/>
  <c r="A1140" i="2"/>
  <c r="B1139" i="2"/>
  <c r="E1139" i="2"/>
  <c r="I1139" i="2"/>
  <c r="C1139" i="2"/>
  <c r="H1139" i="2"/>
  <c r="J1139" i="2"/>
  <c r="K1139" i="2"/>
  <c r="C1140" i="3" l="1"/>
  <c r="A1141" i="3"/>
  <c r="D1140" i="3"/>
  <c r="E1140" i="3"/>
  <c r="B1140" i="3"/>
  <c r="J1140" i="3"/>
  <c r="H1140" i="3"/>
  <c r="I1140" i="3"/>
  <c r="F1140" i="3"/>
  <c r="G1140" i="3"/>
  <c r="C1140" i="2"/>
  <c r="A1141" i="2"/>
  <c r="E1140" i="2"/>
  <c r="B1140" i="2"/>
  <c r="F1140" i="2"/>
  <c r="G1140" i="2"/>
  <c r="J1140" i="2"/>
  <c r="K1140" i="2"/>
  <c r="H1140" i="2"/>
  <c r="I1140" i="2"/>
  <c r="G1119" i="5"/>
  <c r="O1119" i="5"/>
  <c r="I1119" i="5"/>
  <c r="Q1119" i="5"/>
  <c r="J1119" i="5"/>
  <c r="T1119" i="5"/>
  <c r="K1119" i="5"/>
  <c r="A1120" i="5"/>
  <c r="B1119" i="5"/>
  <c r="L1119" i="5"/>
  <c r="P1119" i="5"/>
  <c r="C1119" i="5"/>
  <c r="R1119" i="5"/>
  <c r="H1119" i="5"/>
  <c r="M1119" i="5"/>
  <c r="N1119" i="5"/>
  <c r="F1119" i="5"/>
  <c r="D1119" i="5"/>
  <c r="E1119" i="5"/>
  <c r="S1119" i="5"/>
  <c r="F1141" i="4"/>
  <c r="N1141" i="4"/>
  <c r="V1141" i="4"/>
  <c r="E1141" i="4"/>
  <c r="M1141" i="4"/>
  <c r="U1141" i="4"/>
  <c r="G1141" i="4"/>
  <c r="Q1141" i="4"/>
  <c r="A1142" i="4"/>
  <c r="H1141" i="4"/>
  <c r="R1141" i="4"/>
  <c r="I1141" i="4"/>
  <c r="S1141" i="4"/>
  <c r="D1141" i="4"/>
  <c r="P1141" i="4"/>
  <c r="AD1141" i="4"/>
  <c r="L1141" i="4"/>
  <c r="O1141" i="4"/>
  <c r="T1141" i="4"/>
  <c r="J1141" i="4"/>
  <c r="W1141" i="4"/>
  <c r="B1141" i="4"/>
  <c r="C1141" i="4"/>
  <c r="K1141" i="4"/>
  <c r="X1141" i="4"/>
  <c r="AC1141" i="4"/>
  <c r="C1120" i="5" l="1"/>
  <c r="K1120" i="5"/>
  <c r="S1120" i="5"/>
  <c r="E1120" i="5"/>
  <c r="M1120" i="5"/>
  <c r="A1121" i="5"/>
  <c r="J1120" i="5"/>
  <c r="L1120" i="5"/>
  <c r="B1120" i="5"/>
  <c r="N1120" i="5"/>
  <c r="O1120" i="5"/>
  <c r="P1120" i="5"/>
  <c r="I1120" i="5"/>
  <c r="Q1120" i="5"/>
  <c r="R1120" i="5"/>
  <c r="H1120" i="5"/>
  <c r="D1120" i="5"/>
  <c r="F1120" i="5"/>
  <c r="G1120" i="5"/>
  <c r="T1120" i="5"/>
  <c r="J1141" i="2"/>
  <c r="B1141" i="2"/>
  <c r="K1141" i="2"/>
  <c r="C1141" i="2"/>
  <c r="F1141" i="2"/>
  <c r="H1141" i="2"/>
  <c r="I1141" i="2"/>
  <c r="E1141" i="2"/>
  <c r="G1141" i="2"/>
  <c r="A1142" i="2"/>
  <c r="I1141" i="3"/>
  <c r="B1141" i="3"/>
  <c r="J1141" i="3"/>
  <c r="C1141" i="3"/>
  <c r="A1142" i="3"/>
  <c r="H1141" i="3"/>
  <c r="D1141" i="3"/>
  <c r="F1141" i="3"/>
  <c r="G1141" i="3"/>
  <c r="E1141" i="3"/>
  <c r="D1142" i="4"/>
  <c r="L1142" i="4"/>
  <c r="T1142" i="4"/>
  <c r="C1142" i="4"/>
  <c r="K1142" i="4"/>
  <c r="S1142" i="4"/>
  <c r="A1143" i="4"/>
  <c r="M1142" i="4"/>
  <c r="W1142" i="4"/>
  <c r="B1142" i="4"/>
  <c r="N1142" i="4"/>
  <c r="X1142" i="4"/>
  <c r="E1142" i="4"/>
  <c r="O1142" i="4"/>
  <c r="AC1142" i="4"/>
  <c r="J1142" i="4"/>
  <c r="V1142" i="4"/>
  <c r="H1142" i="4"/>
  <c r="I1142" i="4"/>
  <c r="P1142" i="4"/>
  <c r="F1142" i="4"/>
  <c r="AD1142" i="4"/>
  <c r="Q1142" i="4"/>
  <c r="R1142" i="4"/>
  <c r="U1142" i="4"/>
  <c r="G1142" i="4"/>
  <c r="G1121" i="5" l="1"/>
  <c r="O1121" i="5"/>
  <c r="I1121" i="5"/>
  <c r="Q1121" i="5"/>
  <c r="B1121" i="5"/>
  <c r="L1121" i="5"/>
  <c r="C1121" i="5"/>
  <c r="M1121" i="5"/>
  <c r="D1121" i="5"/>
  <c r="N1121" i="5"/>
  <c r="J1121" i="5"/>
  <c r="K1121" i="5"/>
  <c r="R1121" i="5"/>
  <c r="S1121" i="5"/>
  <c r="T1121" i="5"/>
  <c r="P1121" i="5"/>
  <c r="F1121" i="5"/>
  <c r="H1121" i="5"/>
  <c r="A1122" i="5"/>
  <c r="E1121" i="5"/>
  <c r="B1143" i="4"/>
  <c r="J1143" i="4"/>
  <c r="R1143" i="4"/>
  <c r="AD1143" i="4"/>
  <c r="I1143" i="4"/>
  <c r="Q1143" i="4"/>
  <c r="AC1143" i="4"/>
  <c r="G1143" i="4"/>
  <c r="S1143" i="4"/>
  <c r="H1143" i="4"/>
  <c r="T1143" i="4"/>
  <c r="K1143" i="4"/>
  <c r="U1143" i="4"/>
  <c r="F1143" i="4"/>
  <c r="P1143" i="4"/>
  <c r="D1143" i="4"/>
  <c r="X1143" i="4"/>
  <c r="E1143" i="4"/>
  <c r="A1144" i="4"/>
  <c r="L1143" i="4"/>
  <c r="V1143" i="4"/>
  <c r="C1143" i="4"/>
  <c r="M1143" i="4"/>
  <c r="O1143" i="4"/>
  <c r="W1143" i="4"/>
  <c r="N1143" i="4"/>
  <c r="H1142" i="2"/>
  <c r="I1142" i="2"/>
  <c r="C1142" i="2"/>
  <c r="E1142" i="2"/>
  <c r="G1142" i="2"/>
  <c r="F1142" i="2"/>
  <c r="J1142" i="2"/>
  <c r="A1143" i="2"/>
  <c r="B1142" i="2"/>
  <c r="K1142" i="2"/>
  <c r="G1142" i="3"/>
  <c r="H1142" i="3"/>
  <c r="I1142" i="3"/>
  <c r="F1142" i="3"/>
  <c r="D1142" i="3"/>
  <c r="E1142" i="3"/>
  <c r="J1142" i="3"/>
  <c r="B1142" i="3"/>
  <c r="C1142" i="3"/>
  <c r="A1143" i="3"/>
  <c r="F1143" i="2" l="1"/>
  <c r="G1143" i="2"/>
  <c r="C1143" i="2"/>
  <c r="E1143" i="2"/>
  <c r="J1143" i="2"/>
  <c r="K1143" i="2"/>
  <c r="H1143" i="2"/>
  <c r="I1143" i="2"/>
  <c r="B1143" i="2"/>
  <c r="C1122" i="5"/>
  <c r="K1122" i="5"/>
  <c r="S1122" i="5"/>
  <c r="E1122" i="5"/>
  <c r="M1122" i="5"/>
  <c r="A1123" i="5"/>
  <c r="B1122" i="5"/>
  <c r="N1122" i="5"/>
  <c r="D1122" i="5"/>
  <c r="O1122" i="5"/>
  <c r="F1122" i="5"/>
  <c r="P1122" i="5"/>
  <c r="H1122" i="5"/>
  <c r="I1122" i="5"/>
  <c r="R1122" i="5"/>
  <c r="T1122" i="5"/>
  <c r="Q1122" i="5"/>
  <c r="J1122" i="5"/>
  <c r="G1122" i="5"/>
  <c r="L1122" i="5"/>
  <c r="H1144" i="4"/>
  <c r="P1144" i="4"/>
  <c r="X1144" i="4"/>
  <c r="G1144" i="4"/>
  <c r="O1144" i="4"/>
  <c r="W1144" i="4"/>
  <c r="C1144" i="4"/>
  <c r="M1144" i="4"/>
  <c r="AC1144" i="4"/>
  <c r="D1144" i="4"/>
  <c r="N1144" i="4"/>
  <c r="AD1144" i="4"/>
  <c r="E1144" i="4"/>
  <c r="Q1144" i="4"/>
  <c r="B1144" i="4"/>
  <c r="L1144" i="4"/>
  <c r="V1144" i="4"/>
  <c r="T1144" i="4"/>
  <c r="U1144" i="4"/>
  <c r="F1144" i="4"/>
  <c r="R1144" i="4"/>
  <c r="I1144" i="4"/>
  <c r="J1144" i="4"/>
  <c r="K1144" i="4"/>
  <c r="S1144" i="4"/>
  <c r="E1143" i="3"/>
  <c r="F1143" i="3"/>
  <c r="G1143" i="3"/>
  <c r="D1143" i="3"/>
  <c r="J1143" i="3"/>
  <c r="B1143" i="3"/>
  <c r="C1143" i="3"/>
  <c r="I1143" i="3"/>
  <c r="H1143" i="3"/>
  <c r="G1123" i="5" l="1"/>
  <c r="O1123" i="5"/>
  <c r="I1123" i="5"/>
  <c r="Q1123" i="5"/>
  <c r="D1123" i="5"/>
  <c r="N1123" i="5"/>
  <c r="E1123" i="5"/>
  <c r="P1123" i="5"/>
  <c r="F1123" i="5"/>
  <c r="R1123" i="5"/>
  <c r="C1123" i="5"/>
  <c r="A1124" i="5"/>
  <c r="H1123" i="5"/>
  <c r="T1123" i="5"/>
  <c r="B1123" i="5"/>
  <c r="S1123" i="5"/>
  <c r="L1123" i="5"/>
  <c r="M1123" i="5"/>
  <c r="K1123" i="5"/>
  <c r="J1123" i="5"/>
  <c r="C1124" i="5" l="1"/>
  <c r="K1124" i="5"/>
  <c r="S1124" i="5"/>
  <c r="E1124" i="5"/>
  <c r="M1124" i="5"/>
  <c r="A1125" i="5"/>
  <c r="F1124" i="5"/>
  <c r="P1124" i="5"/>
  <c r="G1124" i="5"/>
  <c r="Q1124" i="5"/>
  <c r="H1124" i="5"/>
  <c r="R1124" i="5"/>
  <c r="T1124" i="5"/>
  <c r="B1124" i="5"/>
  <c r="D1124" i="5"/>
  <c r="I1124" i="5"/>
  <c r="J1124" i="5"/>
  <c r="L1124" i="5"/>
  <c r="N1124" i="5"/>
  <c r="O1124" i="5"/>
  <c r="G1125" i="5" l="1"/>
  <c r="O1125" i="5"/>
  <c r="I1125" i="5"/>
  <c r="Q1125" i="5"/>
  <c r="F1125" i="5"/>
  <c r="R1125" i="5"/>
  <c r="H1125" i="5"/>
  <c r="S1125" i="5"/>
  <c r="J1125" i="5"/>
  <c r="T1125" i="5"/>
  <c r="N1125" i="5"/>
  <c r="B1125" i="5"/>
  <c r="P1125" i="5"/>
  <c r="D1125" i="5"/>
  <c r="E1125" i="5"/>
  <c r="K1125" i="5"/>
  <c r="C1125" i="5"/>
  <c r="A1126" i="5"/>
  <c r="M1125" i="5"/>
  <c r="L1125" i="5"/>
  <c r="C1126" i="5" l="1"/>
  <c r="K1126" i="5"/>
  <c r="S1126" i="5"/>
  <c r="E1126" i="5"/>
  <c r="M1126" i="5"/>
  <c r="A1127" i="5"/>
  <c r="H1126" i="5"/>
  <c r="R1126" i="5"/>
  <c r="I1126" i="5"/>
  <c r="T1126" i="5"/>
  <c r="J1126" i="5"/>
  <c r="N1126" i="5"/>
  <c r="O1126" i="5"/>
  <c r="F1126" i="5"/>
  <c r="G1126" i="5"/>
  <c r="L1126" i="5"/>
  <c r="D1126" i="5"/>
  <c r="B1126" i="5"/>
  <c r="P1126" i="5"/>
  <c r="Q1126" i="5"/>
  <c r="G1127" i="5" l="1"/>
  <c r="O1127" i="5"/>
  <c r="I1127" i="5"/>
  <c r="Q1127" i="5"/>
  <c r="J1127" i="5"/>
  <c r="T1127" i="5"/>
  <c r="K1127" i="5"/>
  <c r="A1128" i="5"/>
  <c r="B1127" i="5"/>
  <c r="L1127" i="5"/>
  <c r="H1127" i="5"/>
  <c r="M1127" i="5"/>
  <c r="F1127" i="5"/>
  <c r="N1127" i="5"/>
  <c r="P1127" i="5"/>
  <c r="E1127" i="5"/>
  <c r="S1127" i="5"/>
  <c r="R1127" i="5"/>
  <c r="C1127" i="5"/>
  <c r="D1127" i="5"/>
  <c r="C1128" i="5" l="1"/>
  <c r="K1128" i="5"/>
  <c r="S1128" i="5"/>
  <c r="E1128" i="5"/>
  <c r="M1128" i="5"/>
  <c r="A1129" i="5"/>
  <c r="J1128" i="5"/>
  <c r="L1128" i="5"/>
  <c r="B1128" i="5"/>
  <c r="N1128" i="5"/>
  <c r="G1128" i="5"/>
  <c r="H1128" i="5"/>
  <c r="O1128" i="5"/>
  <c r="P1128" i="5"/>
  <c r="Q1128" i="5"/>
  <c r="I1128" i="5"/>
  <c r="D1128" i="5"/>
  <c r="F1128" i="5"/>
  <c r="R1128" i="5"/>
  <c r="T1128" i="5"/>
  <c r="G1129" i="5" l="1"/>
  <c r="O1129" i="5"/>
  <c r="I1129" i="5"/>
  <c r="Q1129" i="5"/>
  <c r="B1129" i="5"/>
  <c r="L1129" i="5"/>
  <c r="C1129" i="5"/>
  <c r="M1129" i="5"/>
  <c r="D1129" i="5"/>
  <c r="N1129" i="5"/>
  <c r="E1129" i="5"/>
  <c r="T1129" i="5"/>
  <c r="F1129" i="5"/>
  <c r="A1130" i="5"/>
  <c r="P1129" i="5"/>
  <c r="R1129" i="5"/>
  <c r="S1129" i="5"/>
  <c r="K1129" i="5"/>
  <c r="H1129" i="5"/>
  <c r="J1129" i="5"/>
  <c r="C1130" i="5" l="1"/>
  <c r="K1130" i="5"/>
  <c r="S1130" i="5"/>
  <c r="E1130" i="5"/>
  <c r="M1130" i="5"/>
  <c r="A1131" i="5"/>
  <c r="B1130" i="5"/>
  <c r="N1130" i="5"/>
  <c r="D1130" i="5"/>
  <c r="O1130" i="5"/>
  <c r="F1130" i="5"/>
  <c r="P1130" i="5"/>
  <c r="R1130" i="5"/>
  <c r="T1130" i="5"/>
  <c r="Q1130" i="5"/>
  <c r="L1130" i="5"/>
  <c r="I1130" i="5"/>
  <c r="J1130" i="5"/>
  <c r="H1130" i="5"/>
  <c r="G1130" i="5"/>
  <c r="G1131" i="5" l="1"/>
  <c r="O1131" i="5"/>
  <c r="I1131" i="5"/>
  <c r="Q1131" i="5"/>
  <c r="D1131" i="5"/>
  <c r="N1131" i="5"/>
  <c r="E1131" i="5"/>
  <c r="P1131" i="5"/>
  <c r="F1131" i="5"/>
  <c r="R1131" i="5"/>
  <c r="M1131" i="5"/>
  <c r="S1131" i="5"/>
  <c r="A1132" i="5"/>
  <c r="B1131" i="5"/>
  <c r="C1131" i="5"/>
  <c r="T1131" i="5"/>
  <c r="H1131" i="5"/>
  <c r="K1131" i="5"/>
  <c r="L1131" i="5"/>
  <c r="J1131" i="5"/>
  <c r="C1132" i="5" l="1"/>
  <c r="K1132" i="5"/>
  <c r="S1132" i="5"/>
  <c r="E1132" i="5"/>
  <c r="M1132" i="5"/>
  <c r="A1133" i="5"/>
  <c r="F1132" i="5"/>
  <c r="P1132" i="5"/>
  <c r="G1132" i="5"/>
  <c r="Q1132" i="5"/>
  <c r="H1132" i="5"/>
  <c r="R1132" i="5"/>
  <c r="L1132" i="5"/>
  <c r="N1132" i="5"/>
  <c r="B1132" i="5"/>
  <c r="D1132" i="5"/>
  <c r="O1132" i="5"/>
  <c r="T1132" i="5"/>
  <c r="J1132" i="5"/>
  <c r="I1132" i="5"/>
  <c r="G1133" i="5" l="1"/>
  <c r="O1133" i="5"/>
  <c r="I1133" i="5"/>
  <c r="Q1133" i="5"/>
  <c r="F1133" i="5"/>
  <c r="R1133" i="5"/>
  <c r="H1133" i="5"/>
  <c r="S1133" i="5"/>
  <c r="J1133" i="5"/>
  <c r="T1133" i="5"/>
  <c r="K1133" i="5"/>
  <c r="L1133" i="5"/>
  <c r="C1133" i="5"/>
  <c r="D1133" i="5"/>
  <c r="E1133" i="5"/>
  <c r="B1133" i="5"/>
  <c r="M1133" i="5"/>
  <c r="N1133" i="5"/>
  <c r="P1133" i="5"/>
  <c r="A1134" i="5"/>
  <c r="C1134" i="5" l="1"/>
  <c r="K1134" i="5"/>
  <c r="S1134" i="5"/>
  <c r="E1134" i="5"/>
  <c r="M1134" i="5"/>
  <c r="A1135" i="5"/>
  <c r="H1134" i="5"/>
  <c r="R1134" i="5"/>
  <c r="I1134" i="5"/>
  <c r="T1134" i="5"/>
  <c r="J1134" i="5"/>
  <c r="F1134" i="5"/>
  <c r="G1134" i="5"/>
  <c r="D1134" i="5"/>
  <c r="L1134" i="5"/>
  <c r="N1134" i="5"/>
  <c r="B1134" i="5"/>
  <c r="Q1134" i="5"/>
  <c r="P1134" i="5"/>
  <c r="O1134" i="5"/>
  <c r="G1135" i="5" l="1"/>
  <c r="O1135" i="5"/>
  <c r="I1135" i="5"/>
  <c r="Q1135" i="5"/>
  <c r="J1135" i="5"/>
  <c r="T1135" i="5"/>
  <c r="K1135" i="5"/>
  <c r="A1136" i="5"/>
  <c r="B1135" i="5"/>
  <c r="L1135" i="5"/>
  <c r="D1135" i="5"/>
  <c r="S1135" i="5"/>
  <c r="E1135" i="5"/>
  <c r="H1135" i="5"/>
  <c r="M1135" i="5"/>
  <c r="N1135" i="5"/>
  <c r="F1135" i="5"/>
  <c r="C1135" i="5"/>
  <c r="P1135" i="5"/>
  <c r="R1135" i="5"/>
  <c r="C1136" i="5" l="1"/>
  <c r="K1136" i="5"/>
  <c r="S1136" i="5"/>
  <c r="E1136" i="5"/>
  <c r="M1136" i="5"/>
  <c r="A1137" i="5"/>
  <c r="J1136" i="5"/>
  <c r="L1136" i="5"/>
  <c r="B1136" i="5"/>
  <c r="N1136" i="5"/>
  <c r="Q1136" i="5"/>
  <c r="D1136" i="5"/>
  <c r="R1136" i="5"/>
  <c r="I1136" i="5"/>
  <c r="O1136" i="5"/>
  <c r="P1136" i="5"/>
  <c r="H1136" i="5"/>
  <c r="G1136" i="5"/>
  <c r="F1136" i="5"/>
  <c r="T1136" i="5"/>
  <c r="G1137" i="5" l="1"/>
  <c r="O1137" i="5"/>
  <c r="I1137" i="5"/>
  <c r="Q1137" i="5"/>
  <c r="B1137" i="5"/>
  <c r="L1137" i="5"/>
  <c r="C1137" i="5"/>
  <c r="M1137" i="5"/>
  <c r="D1137" i="5"/>
  <c r="N1137" i="5"/>
  <c r="P1137" i="5"/>
  <c r="R1137" i="5"/>
  <c r="K1137" i="5"/>
  <c r="S1137" i="5"/>
  <c r="T1137" i="5"/>
  <c r="J1137" i="5"/>
  <c r="F1137" i="5"/>
  <c r="H1137" i="5"/>
  <c r="A1138" i="5"/>
  <c r="E1137" i="5"/>
  <c r="C1138" i="5" l="1"/>
  <c r="K1138" i="5"/>
  <c r="S1138" i="5"/>
  <c r="E1138" i="5"/>
  <c r="M1138" i="5"/>
  <c r="A1139" i="5"/>
  <c r="B1138" i="5"/>
  <c r="N1138" i="5"/>
  <c r="D1138" i="5"/>
  <c r="O1138" i="5"/>
  <c r="F1138" i="5"/>
  <c r="P1138" i="5"/>
  <c r="J1138" i="5"/>
  <c r="L1138" i="5"/>
  <c r="R1138" i="5"/>
  <c r="T1138" i="5"/>
  <c r="Q1138" i="5"/>
  <c r="G1138" i="5"/>
  <c r="H1138" i="5"/>
  <c r="I1138" i="5"/>
  <c r="G1139" i="5" l="1"/>
  <c r="O1139" i="5"/>
  <c r="I1139" i="5"/>
  <c r="Q1139" i="5"/>
  <c r="D1139" i="5"/>
  <c r="N1139" i="5"/>
  <c r="E1139" i="5"/>
  <c r="P1139" i="5"/>
  <c r="F1139" i="5"/>
  <c r="R1139" i="5"/>
  <c r="J1139" i="5"/>
  <c r="K1139" i="5"/>
  <c r="T1139" i="5"/>
  <c r="A1140" i="5"/>
  <c r="B1139" i="5"/>
  <c r="S1139" i="5"/>
  <c r="L1139" i="5"/>
  <c r="M1139" i="5"/>
  <c r="H1139" i="5"/>
  <c r="C1139" i="5"/>
  <c r="C1140" i="5" l="1"/>
  <c r="K1140" i="5"/>
  <c r="S1140" i="5"/>
  <c r="E1140" i="5"/>
  <c r="M1140" i="5"/>
  <c r="A1141" i="5"/>
  <c r="F1140" i="5"/>
  <c r="P1140" i="5"/>
  <c r="G1140" i="5"/>
  <c r="Q1140" i="5"/>
  <c r="H1140" i="5"/>
  <c r="R1140" i="5"/>
  <c r="D1140" i="5"/>
  <c r="I1140" i="5"/>
  <c r="B1140" i="5"/>
  <c r="T1140" i="5"/>
  <c r="J1140" i="5"/>
  <c r="L1140" i="5"/>
  <c r="N1140" i="5"/>
  <c r="O1140" i="5"/>
  <c r="G1141" i="5" l="1"/>
  <c r="O1141" i="5"/>
  <c r="I1141" i="5"/>
  <c r="Q1141" i="5"/>
  <c r="F1141" i="5"/>
  <c r="R1141" i="5"/>
  <c r="H1141" i="5"/>
  <c r="S1141" i="5"/>
  <c r="J1141" i="5"/>
  <c r="T1141" i="5"/>
  <c r="C1141" i="5"/>
  <c r="A1142" i="5"/>
  <c r="D1141" i="5"/>
  <c r="B1141" i="5"/>
  <c r="E1141" i="5"/>
  <c r="K1141" i="5"/>
  <c r="N1141" i="5"/>
  <c r="P1141" i="5"/>
  <c r="M1141" i="5"/>
  <c r="L1141" i="5"/>
  <c r="C1142" i="5" l="1"/>
  <c r="K1142" i="5"/>
  <c r="S1142" i="5"/>
  <c r="E1142" i="5"/>
  <c r="M1142" i="5"/>
  <c r="A1143" i="5"/>
  <c r="H1142" i="5"/>
  <c r="R1142" i="5"/>
  <c r="I1142" i="5"/>
  <c r="T1142" i="5"/>
  <c r="J1142" i="5"/>
  <c r="P1142" i="5"/>
  <c r="B1142" i="5"/>
  <c r="Q1142" i="5"/>
  <c r="F1142" i="5"/>
  <c r="G1142" i="5"/>
  <c r="L1142" i="5"/>
  <c r="D1142" i="5"/>
  <c r="N1142" i="5"/>
  <c r="O1142" i="5"/>
  <c r="G1143" i="5" l="1"/>
  <c r="O1143" i="5"/>
  <c r="I1143" i="5"/>
  <c r="Q1143" i="5"/>
  <c r="J1143" i="5"/>
  <c r="T1143" i="5"/>
  <c r="K1143" i="5"/>
  <c r="B1143" i="5"/>
  <c r="L1143" i="5"/>
  <c r="N1143" i="5"/>
  <c r="P1143" i="5"/>
  <c r="F1143" i="5"/>
  <c r="H1143" i="5"/>
  <c r="M1143" i="5"/>
  <c r="E1143" i="5"/>
  <c r="S1143" i="5"/>
  <c r="C1143" i="5"/>
  <c r="D1143" i="5"/>
  <c r="R1143" i="5"/>
</calcChain>
</file>

<file path=xl/sharedStrings.xml><?xml version="1.0" encoding="utf-8"?>
<sst xmlns="http://schemas.openxmlformats.org/spreadsheetml/2006/main" count="256" uniqueCount="104">
  <si>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</si>
  <si>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</si>
  <si>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</si>
  <si>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</si>
  <si>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</si>
  <si>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</si>
  <si>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</si>
  <si>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</si>
  <si>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</si>
  <si>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</si>
  <si>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</si>
  <si>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</si>
  <si>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</si>
  <si>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</si>
  <si>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</si>
  <si>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</si>
  <si>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</si>
  <si>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</si>
  <si>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</si>
  <si>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</si>
  <si>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</si>
  <si>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</si>
  <si>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</si>
  <si>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</si>
  <si>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</si>
  <si>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</si>
  <si>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HIGH</t>
  </si>
  <si>
    <t>LOW</t>
  </si>
  <si>
    <t>April 07, 2014 - LYSTRA LOUTAN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</si>
  <si>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</si>
  <si>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</si>
  <si>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</si>
  <si>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</si>
  <si>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</si>
  <si>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</si>
  <si>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</si>
  <si>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</si>
  <si>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</si>
  <si>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</si>
  <si>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</si>
  <si>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</si>
  <si>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</si>
  <si>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</si>
  <si>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</si>
  <si>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</si>
  <si>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SABAL TRAIL &amp; FSC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</si>
  <si>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</si>
  <si>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</si>
  <si>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</si>
  <si>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</si>
  <si>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</si>
  <si>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</si>
  <si>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</si>
  <si>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</si>
  <si>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</si>
  <si>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</si>
  <si>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</si>
  <si>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</si>
  <si>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</si>
  <si>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r>
      <t xml:space="preserve">FSC FIRM     FROM                          </t>
    </r>
    <r>
      <rPr>
        <b/>
        <sz val="12"/>
        <color theme="5" tint="-0.249977111117893"/>
        <rFont val="Arial"/>
        <family val="2"/>
      </rPr>
      <t>SABAL TRAIL</t>
    </r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</si>
  <si>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</si>
  <si>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</si>
  <si>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</si>
  <si>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</si>
  <si>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</si>
  <si>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</si>
  <si>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</si>
  <si>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</si>
  <si>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</si>
  <si>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</si>
  <si>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</si>
  <si>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</si>
  <si>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</si>
  <si>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</si>
  <si>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</si>
  <si>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</si>
  <si>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</si>
  <si>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</si>
  <si>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</si>
  <si>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</si>
  <si>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SABAL TRAIL PIPELINE</t>
  </si>
  <si>
    <t>TOTAL FGT FIRM</t>
  </si>
  <si>
    <t>PHASE VIII FTS 3</t>
  </si>
  <si>
    <t>FGT FIRM BY ZONE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</si>
  <si>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</si>
  <si>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</si>
  <si>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</si>
  <si>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</si>
  <si>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</si>
  <si>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</si>
  <si>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</si>
  <si>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</si>
  <si>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 xml:space="preserve"> </t>
  </si>
  <si>
    <t>Florida Power &amp; Light Company</t>
  </si>
  <si>
    <t>Docket No. 160154-EI</t>
  </si>
  <si>
    <t>Staff's First Set of Interrogatories</t>
  </si>
  <si>
    <t>Interrogatory No. 2</t>
  </si>
  <si>
    <t>Tab 6 of 6</t>
  </si>
  <si>
    <t>Attachment No. 27</t>
  </si>
  <si>
    <t>Tab 1 of 6</t>
  </si>
  <si>
    <t>Tab 2 of 6</t>
  </si>
  <si>
    <t>Tab 3 of 6</t>
  </si>
  <si>
    <t>Tab 4 of 6</t>
  </si>
  <si>
    <t>Tab 5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</si>
</sst>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0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2"/>
      <color theme="5" tint="-0.249977111117893"/>
      <name val="Arial"/>
      <family val="2"/>
    </font>
    <font>
      <b/>
      <sz val="16"/>
      <color rgb="FFFF0000"/>
      <name val="Arial"/>
      <family val="2"/>
    </font>
    <font>
      <b/>
      <u val="singleAccounting"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5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</cellStyleXfs>
  <cellXfs count="114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24"/>
    <xf numFmtId="0" fontId="5" fillId="0" borderId="0" xfId="24" applyAlignment="1">
      <alignment horizontal="center"/>
    </xf>
    <xf numFmtId="166" fontId="6" fillId="0" borderId="0" xfId="24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6" fillId="0" borderId="0" xfId="0" applyNumberFormat="1" applyFont="1" applyAlignment="1"/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6" fillId="0" borderId="0" xfId="0" applyNumberFormat="1" applyFont="1" applyAlignment="1">
      <alignment horizontal="center"/>
    </xf>
    <xf numFmtId="17" fontId="6" fillId="0" borderId="0" xfId="0" applyNumberFormat="1" applyFont="1" applyAlignment="1">
      <alignment horizontal="center"/>
    </xf>
    <xf numFmtId="8" fontId="5" fillId="0" borderId="0" xfId="24" applyNumberFormat="1"/>
    <xf numFmtId="0" fontId="5" fillId="0" borderId="0" xfId="24" applyAlignment="1">
      <alignment horizontal="center" wrapText="1"/>
    </xf>
    <xf numFmtId="0" fontId="7" fillId="0" borderId="0" xfId="24" applyFont="1" applyAlignment="1">
      <alignment horizontal="center" wrapText="1"/>
    </xf>
    <xf numFmtId="0" fontId="8" fillId="0" borderId="0" xfId="24" applyFont="1" applyAlignment="1">
      <alignment horizontal="center" wrapText="1"/>
    </xf>
    <xf numFmtId="0" fontId="7" fillId="0" borderId="0" xfId="24" quotePrefix="1" applyFont="1" applyAlignment="1">
      <alignment horizontal="center" wrapText="1"/>
    </xf>
    <xf numFmtId="10" fontId="9" fillId="2" borderId="0" xfId="24" applyNumberFormat="1" applyFont="1" applyFill="1" applyAlignment="1">
      <alignment horizontal="center"/>
    </xf>
    <xf numFmtId="0" fontId="7" fillId="2" borderId="0" xfId="24" applyFont="1" applyFill="1" applyAlignment="1">
      <alignment horizontal="center"/>
    </xf>
    <xf numFmtId="166" fontId="7" fillId="0" borderId="0" xfId="24" applyNumberFormat="1" applyFont="1" applyFill="1" applyAlignment="1">
      <alignment horizontal="center"/>
    </xf>
    <xf numFmtId="15" fontId="7" fillId="0" borderId="0" xfId="24" applyNumberFormat="1" applyFont="1" applyAlignment="1">
      <alignment horizontal="left"/>
    </xf>
    <xf numFmtId="8" fontId="6" fillId="0" borderId="0" xfId="24" applyNumberFormat="1" applyFont="1" applyAlignment="1">
      <alignment horizontal="center"/>
    </xf>
    <xf numFmtId="166" fontId="6" fillId="4" borderId="0" xfId="24" applyNumberFormat="1" applyFont="1" applyFill="1" applyAlignment="1">
      <alignment horizontal="center"/>
    </xf>
    <xf numFmtId="166" fontId="6" fillId="5" borderId="0" xfId="24" applyNumberFormat="1" applyFont="1" applyFill="1" applyAlignment="1">
      <alignment horizontal="center"/>
    </xf>
    <xf numFmtId="8" fontId="6" fillId="6" borderId="0" xfId="24" applyNumberFormat="1" applyFont="1" applyFill="1" applyAlignment="1">
      <alignment horizontal="center"/>
    </xf>
    <xf numFmtId="15" fontId="7" fillId="0" borderId="0" xfId="24" applyNumberFormat="1" applyFont="1" applyFill="1" applyAlignment="1">
      <alignment horizontal="left"/>
    </xf>
    <xf numFmtId="0" fontId="5" fillId="0" borderId="0" xfId="24" applyFill="1" applyAlignment="1">
      <alignment horizontal="center"/>
    </xf>
    <xf numFmtId="168" fontId="6" fillId="0" borderId="0" xfId="24" applyNumberFormat="1" applyFont="1" applyAlignment="1">
      <alignment horizontal="center"/>
    </xf>
    <xf numFmtId="166" fontId="6" fillId="7" borderId="0" xfId="24" applyNumberFormat="1" applyFont="1" applyFill="1" applyAlignment="1">
      <alignment horizontal="center"/>
    </xf>
    <xf numFmtId="168" fontId="5" fillId="0" borderId="0" xfId="24" applyNumberFormat="1"/>
    <xf numFmtId="166" fontId="5" fillId="0" borderId="0" xfId="24" applyNumberFormat="1"/>
    <xf numFmtId="168" fontId="6" fillId="0" borderId="0" xfId="24" applyNumberFormat="1" applyFont="1"/>
    <xf numFmtId="166" fontId="6" fillId="0" borderId="0" xfId="24" applyNumberFormat="1" applyFont="1"/>
    <xf numFmtId="169" fontId="6" fillId="0" borderId="0" xfId="24" applyNumberFormat="1" applyFont="1" applyAlignment="1">
      <alignment horizontal="center"/>
    </xf>
    <xf numFmtId="168" fontId="12" fillId="0" borderId="0" xfId="24" applyNumberFormat="1" applyFont="1" applyAlignment="1">
      <alignment horizontal="center"/>
    </xf>
    <xf numFmtId="168" fontId="12" fillId="8" borderId="0" xfId="24" applyNumberFormat="1" applyFont="1" applyFill="1" applyAlignment="1">
      <alignment horizontal="center"/>
    </xf>
    <xf numFmtId="169" fontId="6" fillId="9" borderId="0" xfId="24" applyNumberFormat="1" applyFont="1" applyFill="1" applyAlignment="1">
      <alignment horizontal="center"/>
    </xf>
    <xf numFmtId="168" fontId="12" fillId="10" borderId="0" xfId="24" applyNumberFormat="1" applyFont="1" applyFill="1" applyAlignment="1">
      <alignment horizontal="center"/>
    </xf>
    <xf numFmtId="168" fontId="12" fillId="11" borderId="0" xfId="24" applyNumberFormat="1" applyFont="1" applyFill="1" applyAlignment="1">
      <alignment horizontal="center"/>
    </xf>
    <xf numFmtId="168" fontId="12" fillId="12" borderId="0" xfId="24" applyNumberFormat="1" applyFont="1" applyFill="1" applyAlignment="1">
      <alignment horizontal="center"/>
    </xf>
    <xf numFmtId="168" fontId="12" fillId="13" borderId="0" xfId="24" applyNumberFormat="1" applyFont="1" applyFill="1" applyAlignment="1">
      <alignment horizontal="center"/>
    </xf>
    <xf numFmtId="0" fontId="7" fillId="4" borderId="0" xfId="24" applyFont="1" applyFill="1" applyAlignment="1">
      <alignment horizontal="center" wrapText="1"/>
    </xf>
    <xf numFmtId="0" fontId="7" fillId="7" borderId="0" xfId="24" applyFont="1" applyFill="1" applyAlignment="1">
      <alignment horizontal="center" wrapText="1"/>
    </xf>
    <xf numFmtId="0" fontId="7" fillId="4" borderId="0" xfId="24" quotePrefix="1" applyFont="1" applyFill="1" applyAlignment="1">
      <alignment horizontal="center" wrapText="1"/>
    </xf>
    <xf numFmtId="0" fontId="7" fillId="3" borderId="0" xfId="24" quotePrefix="1" applyFont="1" applyFill="1" applyAlignment="1">
      <alignment horizontal="center" wrapText="1"/>
    </xf>
    <xf numFmtId="0" fontId="7" fillId="7" borderId="0" xfId="24" quotePrefix="1" applyFont="1" applyFill="1" applyAlignment="1">
      <alignment horizontal="center" wrapText="1"/>
    </xf>
    <xf numFmtId="0" fontId="7" fillId="0" borderId="0" xfId="24" applyFont="1" applyAlignment="1">
      <alignment horizontal="center"/>
    </xf>
    <xf numFmtId="10" fontId="7" fillId="0" borderId="0" xfId="24" applyNumberFormat="1" applyFont="1" applyFill="1" applyAlignment="1">
      <alignment horizontal="center"/>
    </xf>
    <xf numFmtId="0" fontId="7" fillId="0" borderId="0" xfId="24" applyFont="1" applyFill="1" applyAlignment="1">
      <alignment horizontal="center"/>
    </xf>
    <xf numFmtId="10" fontId="7" fillId="2" borderId="0" xfId="24" applyNumberFormat="1" applyFont="1" applyFill="1" applyAlignment="1">
      <alignment horizontal="center"/>
    </xf>
    <xf numFmtId="0" fontId="7" fillId="0" borderId="0" xfId="24" quotePrefix="1" applyFont="1" applyAlignment="1">
      <alignment horizontal="center"/>
    </xf>
    <xf numFmtId="1" fontId="6" fillId="0" borderId="0" xfId="24" applyNumberFormat="1" applyFont="1" applyAlignment="1">
      <alignment horizontal="center"/>
    </xf>
    <xf numFmtId="1" fontId="5" fillId="0" borderId="0" xfId="24" applyNumberFormat="1" applyAlignment="1">
      <alignment horizontal="center"/>
    </xf>
    <xf numFmtId="1" fontId="6" fillId="14" borderId="0" xfId="24" applyNumberFormat="1" applyFont="1" applyFill="1" applyAlignment="1">
      <alignment horizontal="center"/>
    </xf>
    <xf numFmtId="1" fontId="6" fillId="0" borderId="0" xfId="24" applyNumberFormat="1" applyFont="1" applyFill="1" applyAlignment="1">
      <alignment horizontal="center"/>
    </xf>
    <xf numFmtId="3" fontId="6" fillId="0" borderId="0" xfId="24" applyNumberFormat="1" applyFont="1" applyAlignment="1">
      <alignment horizontal="center"/>
    </xf>
    <xf numFmtId="3" fontId="6" fillId="0" borderId="0" xfId="24" applyNumberFormat="1" applyFont="1" applyFill="1" applyAlignment="1">
      <alignment horizontal="center"/>
    </xf>
    <xf numFmtId="3" fontId="6" fillId="14" borderId="0" xfId="24" applyNumberFormat="1" applyFont="1" applyFill="1" applyAlignment="1">
      <alignment horizontal="center"/>
    </xf>
    <xf numFmtId="170" fontId="7" fillId="9" borderId="0" xfId="24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Alignment="1"/>
    <xf numFmtId="1" fontId="7" fillId="9" borderId="0" xfId="24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9" borderId="0" xfId="24" applyNumberFormat="1" applyFont="1" applyFill="1" applyAlignment="1">
      <alignment horizontal="center"/>
    </xf>
    <xf numFmtId="0" fontId="8" fillId="9" borderId="0" xfId="24" applyFont="1" applyFill="1" applyAlignment="1">
      <alignment horizontal="center" wrapText="1"/>
    </xf>
    <xf numFmtId="0" fontId="7" fillId="3" borderId="0" xfId="24" applyFont="1" applyFill="1" applyAlignment="1">
      <alignment horizontal="center" wrapText="1"/>
    </xf>
    <xf numFmtId="0" fontId="7" fillId="9" borderId="0" xfId="24" applyFont="1" applyFill="1" applyAlignment="1">
      <alignment horizontal="center" wrapText="1"/>
    </xf>
    <xf numFmtId="0" fontId="6" fillId="0" borderId="0" xfId="24" applyFont="1" applyAlignment="1">
      <alignment horizontal="center" wrapText="1"/>
    </xf>
    <xf numFmtId="0" fontId="7" fillId="0" borderId="0" xfId="24" quotePrefix="1" applyFont="1" applyFill="1" applyAlignment="1">
      <alignment horizontal="center"/>
    </xf>
    <xf numFmtId="0" fontId="7" fillId="0" borderId="0" xfId="24" applyFont="1" applyFill="1" applyAlignment="1"/>
    <xf numFmtId="0" fontId="7" fillId="15" borderId="0" xfId="24" applyFont="1" applyFill="1" applyAlignment="1">
      <alignment horizontal="center"/>
    </xf>
    <xf numFmtId="0" fontId="7" fillId="4" borderId="0" xfId="24" quotePrefix="1" applyFont="1" applyFill="1" applyAlignment="1">
      <alignment horizontal="center"/>
    </xf>
    <xf numFmtId="0" fontId="7" fillId="0" borderId="0" xfId="24" applyFont="1"/>
    <xf numFmtId="166" fontId="6" fillId="0" borderId="0" xfId="0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44" fontId="17" fillId="0" borderId="0" xfId="1" applyFont="1" applyAlignment="1">
      <alignment horizontal="center"/>
    </xf>
    <xf numFmtId="0" fontId="8" fillId="0" borderId="0" xfId="24" applyFont="1" applyAlignment="1">
      <alignment horizontal="center"/>
    </xf>
    <xf numFmtId="165" fontId="7" fillId="0" borderId="0" xfId="0" quotePrefix="1" applyNumberFormat="1" applyFont="1" applyFill="1" applyAlignment="1">
      <alignment horizontal="center"/>
    </xf>
    <xf numFmtId="165" fontId="7" fillId="0" borderId="0" xfId="0" applyNumberFormat="1" applyFont="1" applyFill="1" applyAlignment="1">
      <alignment horizontal="center"/>
    </xf>
    <xf numFmtId="165" fontId="7" fillId="3" borderId="0" xfId="0" quotePrefix="1" applyNumberFormat="1" applyFont="1" applyFill="1" applyAlignment="1">
      <alignment horizontal="center"/>
    </xf>
    <xf numFmtId="165" fontId="7" fillId="7" borderId="0" xfId="0" quotePrefix="1" applyNumberFormat="1" applyFont="1" applyFill="1" applyAlignment="1">
      <alignment horizontal="center"/>
    </xf>
    <xf numFmtId="165" fontId="7" fillId="15" borderId="0" xfId="0" quotePrefix="1" applyNumberFormat="1" applyFont="1" applyFill="1" applyAlignment="1">
      <alignment horizontal="center"/>
    </xf>
    <xf numFmtId="0" fontId="5" fillId="0" borderId="0" xfId="24" applyFill="1"/>
    <xf numFmtId="165" fontId="7" fillId="3" borderId="0" xfId="0" quotePrefix="1" applyNumberFormat="1" applyFont="1" applyFill="1" applyAlignment="1">
      <alignment horizontal="center" vertical="center" wrapText="1"/>
    </xf>
    <xf numFmtId="165" fontId="7" fillId="7" borderId="0" xfId="0" quotePrefix="1" applyNumberFormat="1" applyFont="1" applyFill="1" applyAlignment="1">
      <alignment horizontal="center" vertical="center" wrapText="1"/>
    </xf>
    <xf numFmtId="165" fontId="7" fillId="15" borderId="0" xfId="0" quotePrefix="1" applyNumberFormat="1" applyFont="1" applyFill="1" applyAlignment="1">
      <alignment horizontal="center" vertical="center" wrapText="1"/>
    </xf>
    <xf numFmtId="0" fontId="18" fillId="0" borderId="0" xfId="24" applyFont="1"/>
    <xf numFmtId="10" fontId="7" fillId="2" borderId="0" xfId="24" quotePrefix="1" applyNumberFormat="1" applyFont="1" applyFill="1" applyAlignment="1">
      <alignment horizontal="center"/>
    </xf>
    <xf numFmtId="15" fontId="7" fillId="2" borderId="0" xfId="24" applyNumberFormat="1" applyFont="1" applyFill="1" applyAlignment="1">
      <alignment horizontal="left"/>
    </xf>
    <xf numFmtId="15" fontId="7" fillId="0" borderId="0" xfId="24" quotePrefix="1" applyNumberFormat="1" applyFont="1" applyAlignment="1">
      <alignment horizontal="left"/>
    </xf>
    <xf numFmtId="0" fontId="19" fillId="0" borderId="0" xfId="24" applyFont="1"/>
    <xf numFmtId="165" fontId="4" fillId="0" borderId="0" xfId="0" applyNumberFormat="1" applyFont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0" fontId="7" fillId="0" borderId="0" xfId="24" applyFont="1" applyAlignment="1">
      <alignment horizontal="center"/>
    </xf>
    <xf numFmtId="0" fontId="7" fillId="4" borderId="0" xfId="24" quotePrefix="1" applyFont="1" applyFill="1" applyAlignment="1">
      <alignment horizontal="center"/>
    </xf>
    <xf numFmtId="0" fontId="16" fillId="4" borderId="7" xfId="24" quotePrefix="1" applyFont="1" applyFill="1" applyBorder="1" applyAlignment="1">
      <alignment horizontal="center"/>
    </xf>
    <xf numFmtId="0" fontId="16" fillId="4" borderId="6" xfId="24" quotePrefix="1" applyFont="1" applyFill="1" applyBorder="1" applyAlignment="1">
      <alignment horizontal="center"/>
    </xf>
    <xf numFmtId="0" fontId="16" fillId="4" borderId="5" xfId="24" quotePrefix="1" applyFont="1" applyFill="1" applyBorder="1" applyAlignment="1">
      <alignment horizontal="center"/>
    </xf>
    <xf numFmtId="0" fontId="7" fillId="0" borderId="0" xfId="24" quotePrefix="1" applyFont="1" applyFill="1" applyAlignment="1">
      <alignment horizontal="center"/>
    </xf>
    <xf numFmtId="0" fontId="7" fillId="15" borderId="0" xfId="24" quotePrefix="1" applyFont="1" applyFill="1" applyAlignment="1">
      <alignment horizontal="center"/>
    </xf>
    <xf numFmtId="0" fontId="7" fillId="15" borderId="0" xfId="24" applyFont="1" applyFill="1" applyAlignment="1">
      <alignment horizontal="center"/>
    </xf>
    <xf numFmtId="165" fontId="7" fillId="4" borderId="0" xfId="0" quotePrefix="1" applyNumberFormat="1" applyFont="1" applyFill="1" applyAlignment="1">
      <alignment horizontal="center"/>
    </xf>
    <xf numFmtId="0" fontId="7" fillId="9" borderId="0" xfId="24" quotePrefix="1" applyFont="1" applyFill="1" applyAlignment="1">
      <alignment horizontal="center"/>
    </xf>
    <xf numFmtId="0" fontId="7" fillId="9" borderId="0" xfId="24" applyFont="1" applyFill="1" applyAlignment="1">
      <alignment horizontal="center"/>
    </xf>
    <xf numFmtId="0" fontId="7" fillId="4" borderId="0" xfId="24" applyFont="1" applyFill="1" applyAlignment="1">
      <alignment horizontal="center"/>
    </xf>
  </cellXfs>
  <cellStyles count="25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 2" xfId="21"/>
    <cellStyle name="Normal 2 2" xfId="22"/>
    <cellStyle name="Normal 2 3" xfId="23"/>
    <cellStyle name="Normal_060415 RAP Fuel Price Forecast Template - Case 1 (Historical Spread)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2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3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4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5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6.xml><?xml version="1.0" encoding="utf-8"?>
<formControlPr xmlns="http://schemas.microsoft.com/office/spreadsheetml/2009/9/main" objectType="Drop" dropLines="2" dropStyle="combo" dx="18" fmlaLink="CONTROL!$C$42" fmlaRange="CONTROL!$B$42:$B$43" val="0"/>
</file>

<file path=xl/ctrlProps/ctrlProp7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7</xdr:row>
          <xdr:rowOff>47625</xdr:rowOff>
        </xdr:from>
        <xdr:to>
          <xdr:col>7</xdr:col>
          <xdr:colOff>95250</xdr:colOff>
          <xdr:row>8</xdr:row>
          <xdr:rowOff>133350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276225</xdr:colOff>
          <xdr:row>7</xdr:row>
          <xdr:rowOff>76200</xdr:rowOff>
        </xdr:from>
        <xdr:to>
          <xdr:col>8</xdr:col>
          <xdr:colOff>285750</xdr:colOff>
          <xdr:row>8</xdr:row>
          <xdr:rowOff>161925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28575</xdr:rowOff>
        </xdr:from>
        <xdr:to>
          <xdr:col>8</xdr:col>
          <xdr:colOff>552450</xdr:colOff>
          <xdr:row>8</xdr:row>
          <xdr:rowOff>114300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981075</xdr:colOff>
          <xdr:row>7</xdr:row>
          <xdr:rowOff>133350</xdr:rowOff>
        </xdr:from>
        <xdr:to>
          <xdr:col>12</xdr:col>
          <xdr:colOff>257175</xdr:colOff>
          <xdr:row>9</xdr:row>
          <xdr:rowOff>9525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4.zip\2014\4.%20April\140407%202014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OIL &amp; GAS SEASONALITY"/>
      <sheetName val="_Setup_"/>
      <sheetName val="FGT PRIMARY FIRM ZONE 2"/>
      <sheetName val="FGT PRIMARY FIRM ZONE 3"/>
      <sheetName val="FGT FIRM ZONE 3 MOBILE BAY-DES"/>
      <sheetName val="FTS 3  FIRM ZONE 3 MOBILE BAY-D"/>
      <sheetName val="TRANSCO 4 LATERAL TO GULFSTREAM"/>
      <sheetName val="SESH TO FGT FIRM ZONE 3 MOB BAY"/>
      <sheetName val="SESH TO FTS 3"/>
      <sheetName val="GULFSTREAM FIRM "/>
      <sheetName val="GULFSTREAM NON-FIRM"/>
      <sheetName val="GULFSTREAM NON-FIRM  BACKHAUL "/>
      <sheetName val="UPS REPLACEMENT"/>
      <sheetName val="Upload"/>
      <sheetName val="GULF SOUTH TO FGT Z3 MOBILE BAY"/>
      <sheetName val="GULF SOUTH TO GULFSTREAM"/>
      <sheetName val="PIRA - LONG TERM OIL BACKUP"/>
      <sheetName val="DISTILLATE &amp; RESIDUAL FUEL OIL"/>
      <sheetName val="PIRA - LONG TERM GAS BACKUP"/>
      <sheetName val="TRANSCO 4A LATERAL TO FTS 3"/>
      <sheetName val="FGT PRIMARY FIRM ZONE 1"/>
      <sheetName val="FGT NON-FIRM"/>
      <sheetName val="SESH TO GULFSTREAM"/>
      <sheetName val="FSC DLVD"/>
      <sheetName val="MOST LIKELY COAL &amp; PET COK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0" zoomScaleNormal="70" workbookViewId="0">
      <selection activeCell="A7" sqref="A7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98" t="s">
        <v>93</v>
      </c>
    </row>
    <row r="2" spans="1:3" x14ac:dyDescent="0.25">
      <c r="A2" s="98" t="s">
        <v>94</v>
      </c>
    </row>
    <row r="3" spans="1:3" x14ac:dyDescent="0.25">
      <c r="A3" s="98" t="s">
        <v>95</v>
      </c>
    </row>
    <row r="4" spans="1:3" x14ac:dyDescent="0.25">
      <c r="A4" s="98" t="s">
        <v>96</v>
      </c>
    </row>
    <row r="5" spans="1:3" x14ac:dyDescent="0.25">
      <c r="A5" s="98" t="s">
        <v>98</v>
      </c>
    </row>
    <row r="6" spans="1:3" x14ac:dyDescent="0.25">
      <c r="A6" s="98" t="s">
        <v>99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99">
        <v>2</v>
      </c>
    </row>
    <row r="10" spans="1:3" x14ac:dyDescent="0.25">
      <c r="B10" s="6" t="s">
        <v>8</v>
      </c>
      <c r="C10" s="101"/>
    </row>
    <row r="11" spans="1:3" x14ac:dyDescent="0.25">
      <c r="B11" s="5" t="s">
        <v>7</v>
      </c>
      <c r="C11" s="100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99">
        <v>2</v>
      </c>
    </row>
    <row r="16" spans="1:3" x14ac:dyDescent="0.25">
      <c r="B16" s="6" t="s">
        <v>8</v>
      </c>
      <c r="C16" s="101"/>
    </row>
    <row r="17" spans="2:3" x14ac:dyDescent="0.25">
      <c r="B17" s="5" t="s">
        <v>7</v>
      </c>
      <c r="C17" s="100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99">
        <v>2</v>
      </c>
    </row>
    <row r="22" spans="2:3" x14ac:dyDescent="0.25">
      <c r="B22" s="6" t="s">
        <v>8</v>
      </c>
      <c r="C22" s="101"/>
    </row>
    <row r="23" spans="2:3" x14ac:dyDescent="0.25">
      <c r="B23" s="5" t="s">
        <v>7</v>
      </c>
      <c r="C23" s="100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99">
        <v>1</v>
      </c>
    </row>
    <row r="28" spans="2:3" x14ac:dyDescent="0.25">
      <c r="B28" s="2" t="s">
        <v>4</v>
      </c>
      <c r="C28" s="100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99">
        <v>2</v>
      </c>
    </row>
    <row r="33" spans="2:3" x14ac:dyDescent="0.25">
      <c r="B33" s="6" t="s">
        <v>8</v>
      </c>
      <c r="C33" s="101"/>
    </row>
    <row r="34" spans="2:3" x14ac:dyDescent="0.25">
      <c r="B34" s="5" t="s">
        <v>7</v>
      </c>
      <c r="C34" s="100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99">
        <v>1</v>
      </c>
    </row>
    <row r="39" spans="2:3" x14ac:dyDescent="0.25">
      <c r="B39" s="2" t="s">
        <v>4</v>
      </c>
      <c r="C39" s="100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99">
        <v>1</v>
      </c>
    </row>
    <row r="43" spans="2:3" x14ac:dyDescent="0.25">
      <c r="B43" s="2" t="s">
        <v>0</v>
      </c>
      <c r="C43" s="100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63"/>
  <sheetViews>
    <sheetView zoomScale="70" zoomScaleNormal="70" workbookViewId="0">
      <pane xSplit="1" ySplit="11" topLeftCell="B12" activePane="bottomRight" state="frozen"/>
      <selection activeCell="A6" sqref="A6"/>
      <selection pane="topRight" activeCell="A6" sqref="A6"/>
      <selection pane="bottomLeft" activeCell="A6" sqref="A6"/>
      <selection pane="bottomRight" activeCell="C41" sqref="C41"/>
    </sheetView>
  </sheetViews>
  <sheetFormatPr defaultColWidth="7.109375" defaultRowHeight="12.75" x14ac:dyDescent="0.2"/>
  <cols>
    <col min="1" max="1" width="19.77734375" style="9" customWidth="1"/>
    <col min="2" max="4" width="16.109375" style="9" customWidth="1"/>
    <col min="5" max="5" width="21" style="9" customWidth="1"/>
    <col min="6" max="9" width="16.109375" style="9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98" t="s">
        <v>93</v>
      </c>
    </row>
    <row r="2" spans="1:17" ht="15.75" x14ac:dyDescent="0.25">
      <c r="A2" s="98" t="s">
        <v>94</v>
      </c>
    </row>
    <row r="3" spans="1:17" ht="15.75" x14ac:dyDescent="0.25">
      <c r="A3" s="98" t="s">
        <v>95</v>
      </c>
    </row>
    <row r="4" spans="1:17" ht="15.75" x14ac:dyDescent="0.25">
      <c r="A4" s="98" t="s">
        <v>96</v>
      </c>
    </row>
    <row r="5" spans="1:17" ht="15.75" x14ac:dyDescent="0.25">
      <c r="A5" s="98" t="s">
        <v>98</v>
      </c>
    </row>
    <row r="6" spans="1:17" ht="15.75" x14ac:dyDescent="0.25">
      <c r="A6" s="98" t="s">
        <v>100</v>
      </c>
    </row>
    <row r="8" spans="1:17" ht="15.75" x14ac:dyDescent="0.25">
      <c r="A8" s="25" t="s">
        <v>28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25"/>
      <c r="B9" s="24"/>
      <c r="C9" s="23" t="s">
        <v>27</v>
      </c>
      <c r="D9" s="22">
        <f>1-0.263</f>
        <v>0.73699999999999999</v>
      </c>
      <c r="E9" s="23" t="s">
        <v>26</v>
      </c>
      <c r="F9" s="22">
        <f>1+0.263</f>
        <v>1.2629999999999999</v>
      </c>
      <c r="G9" s="8"/>
      <c r="H9" s="8"/>
      <c r="I9" s="8"/>
    </row>
    <row r="10" spans="1:17" s="18" customFormat="1" ht="21" customHeight="1" x14ac:dyDescent="0.25">
      <c r="B10" s="19" t="s">
        <v>25</v>
      </c>
      <c r="C10" s="19" t="s">
        <v>24</v>
      </c>
      <c r="D10" s="19" t="s">
        <v>23</v>
      </c>
      <c r="E10" s="21" t="s">
        <v>22</v>
      </c>
      <c r="F10" s="19" t="s">
        <v>21</v>
      </c>
      <c r="G10" s="21" t="s">
        <v>20</v>
      </c>
      <c r="H10" s="21" t="s">
        <v>19</v>
      </c>
      <c r="I10" s="19" t="s">
        <v>18</v>
      </c>
      <c r="J10" s="19" t="s">
        <v>17</v>
      </c>
      <c r="K10" s="19" t="s">
        <v>16</v>
      </c>
      <c r="L10" s="19"/>
    </row>
    <row r="11" spans="1:17" s="18" customFormat="1" ht="19.5" customHeight="1" x14ac:dyDescent="0.25">
      <c r="A11" s="20" t="s">
        <v>15</v>
      </c>
      <c r="B11" s="19" t="s">
        <v>14</v>
      </c>
      <c r="C11" s="19" t="s">
        <v>14</v>
      </c>
      <c r="D11" s="19" t="s">
        <v>14</v>
      </c>
      <c r="E11" s="19" t="s">
        <v>14</v>
      </c>
      <c r="F11" s="19" t="s">
        <v>14</v>
      </c>
      <c r="G11" s="19" t="s">
        <v>14</v>
      </c>
      <c r="H11" s="19" t="s">
        <v>14</v>
      </c>
      <c r="I11" s="19" t="s">
        <v>14</v>
      </c>
      <c r="J11" s="19" t="s">
        <v>14</v>
      </c>
      <c r="K11" s="19" t="s">
        <v>14</v>
      </c>
      <c r="L11" s="19"/>
    </row>
    <row r="12" spans="1:17" ht="15" x14ac:dyDescent="0.2">
      <c r="A12" s="16">
        <v>41640</v>
      </c>
      <c r="B12" s="10">
        <v>24.5270274442539</v>
      </c>
      <c r="C12" s="10">
        <v>24.0947804459691</v>
      </c>
      <c r="D12" s="10">
        <v>24.0947804459691</v>
      </c>
      <c r="E12" s="10">
        <v>23.958121955403101</v>
      </c>
      <c r="F12" s="10">
        <v>23.958121955403101</v>
      </c>
      <c r="G12" s="10">
        <v>24.229497427101201</v>
      </c>
      <c r="H12" s="10">
        <v>24.0947804459691</v>
      </c>
      <c r="I12" s="10">
        <v>24.0947804459691</v>
      </c>
      <c r="J12" s="10">
        <v>23.734574614065199</v>
      </c>
      <c r="K12" s="10">
        <v>24.0947804459691</v>
      </c>
      <c r="L12" s="10"/>
      <c r="M12" s="17"/>
      <c r="N12" s="17"/>
      <c r="O12" s="17"/>
      <c r="P12" s="17"/>
      <c r="Q12" s="17"/>
    </row>
    <row r="13" spans="1:17" ht="15" x14ac:dyDescent="0.2">
      <c r="A13" s="16">
        <v>41671</v>
      </c>
      <c r="B13" s="10">
        <v>24.6565862778731</v>
      </c>
      <c r="C13" s="10">
        <v>24.2243392795883</v>
      </c>
      <c r="D13" s="10">
        <v>24.2243392795883</v>
      </c>
      <c r="E13" s="10">
        <v>24.087680789022301</v>
      </c>
      <c r="F13" s="10">
        <v>24.087680789022301</v>
      </c>
      <c r="G13" s="10">
        <v>24.359056260720401</v>
      </c>
      <c r="H13" s="10">
        <v>24.2243392795883</v>
      </c>
      <c r="I13" s="10">
        <v>24.2243392795883</v>
      </c>
      <c r="J13" s="10">
        <v>23.864133447684399</v>
      </c>
      <c r="K13" s="10">
        <v>24.2243392795883</v>
      </c>
      <c r="L13" s="10"/>
      <c r="M13" s="17"/>
      <c r="N13" s="17"/>
      <c r="O13" s="17"/>
      <c r="P13" s="17"/>
      <c r="Q13" s="17"/>
    </row>
    <row r="14" spans="1:17" ht="15" x14ac:dyDescent="0.2">
      <c r="A14" s="16">
        <v>41699</v>
      </c>
      <c r="B14" s="10">
        <v>23.594685077186998</v>
      </c>
      <c r="C14" s="10">
        <v>23.162438078902198</v>
      </c>
      <c r="D14" s="10">
        <v>23.162438078902198</v>
      </c>
      <c r="E14" s="10">
        <v>23.025779588336199</v>
      </c>
      <c r="F14" s="10">
        <v>23.025779588336199</v>
      </c>
      <c r="G14" s="10">
        <v>23.297155060034299</v>
      </c>
      <c r="H14" s="10">
        <v>23.162438078902198</v>
      </c>
      <c r="I14" s="10">
        <v>23.162438078902198</v>
      </c>
      <c r="J14" s="10">
        <v>22.802232246998301</v>
      </c>
      <c r="K14" s="10">
        <v>23.162438078902198</v>
      </c>
      <c r="L14" s="10"/>
      <c r="M14" s="17"/>
      <c r="N14" s="17"/>
      <c r="O14" s="17"/>
      <c r="P14" s="17"/>
      <c r="Q14" s="17"/>
    </row>
    <row r="15" spans="1:17" ht="15" x14ac:dyDescent="0.2">
      <c r="A15" s="16">
        <v>41730</v>
      </c>
      <c r="B15" s="10">
        <v>23.110409948541999</v>
      </c>
      <c r="C15" s="10">
        <v>22.678162950257299</v>
      </c>
      <c r="D15" s="10">
        <v>22.678162950257299</v>
      </c>
      <c r="E15" s="10">
        <v>22.5415044596913</v>
      </c>
      <c r="F15" s="10">
        <v>22.5415044596913</v>
      </c>
      <c r="G15" s="10">
        <v>22.8128799313894</v>
      </c>
      <c r="H15" s="10">
        <v>22.678162950257299</v>
      </c>
      <c r="I15" s="10">
        <v>22.678162950257299</v>
      </c>
      <c r="J15" s="10">
        <v>22.317957118353299</v>
      </c>
      <c r="K15" s="10">
        <v>22.678162950257299</v>
      </c>
      <c r="L15" s="10"/>
      <c r="M15" s="17"/>
      <c r="N15" s="17"/>
      <c r="O15" s="17"/>
      <c r="P15" s="17"/>
      <c r="Q15" s="17"/>
    </row>
    <row r="16" spans="1:17" ht="15" x14ac:dyDescent="0.2">
      <c r="A16" s="16">
        <v>41760</v>
      </c>
      <c r="B16" s="10">
        <f>23.1173 * CHOOSE(CONTROL!$C$9, $D$9, 100%, $F$9) + CHOOSE(CONTROL!$C$27, 0.0021, 0)</f>
        <v>23.119399999999999</v>
      </c>
      <c r="C16" s="10">
        <f>22.685 * CHOOSE(CONTROL!$C$9, $D$9, 100%, $F$9) + CHOOSE(CONTROL!$C$27, 0.0021, 0)</f>
        <v>22.687099999999997</v>
      </c>
      <c r="D16" s="10">
        <f>22.685 * CHOOSE(CONTROL!$C$9, $D$9, 100%, $F$9) + CHOOSE(CONTROL!$C$27, 0.0021, 0)</f>
        <v>22.687099999999997</v>
      </c>
      <c r="E16" s="10">
        <f>22.5484 * CHOOSE(CONTROL!$C$9, $D$9, 100%, $F$9) + CHOOSE(CONTROL!$C$27, 0.0021, 0)</f>
        <v>22.5505</v>
      </c>
      <c r="F16" s="10">
        <f>22.5484 * CHOOSE(CONTROL!$C$9, $D$9, 100%, $F$9) + CHOOSE(CONTROL!$C$27, 0.0021, 0)</f>
        <v>22.5505</v>
      </c>
      <c r="G16" s="10">
        <f>22.8198 * CHOOSE(CONTROL!$C$9, $D$9, 100%, $F$9) + CHOOSE(CONTROL!$C$27, 0.0021, 0)</f>
        <v>22.821899999999999</v>
      </c>
      <c r="H16" s="10">
        <f>22.685 * CHOOSE(CONTROL!$C$9, $D$9, 100%, $F$9) + CHOOSE(CONTROL!$C$27, 0.0021, 0)</f>
        <v>22.687099999999997</v>
      </c>
      <c r="I16" s="10">
        <f>22.685 * CHOOSE(CONTROL!$C$9, $D$9, 100%, $F$9) + CHOOSE(CONTROL!$C$27, 0.0021, 0)</f>
        <v>22.687099999999997</v>
      </c>
      <c r="J16" s="10">
        <f>22.3248 * CHOOSE(CONTROL!$C$9, $D$9, 100%, $F$9) + CHOOSE(CONTROL!$C$27, 0.0021, 0)</f>
        <v>22.326899999999998</v>
      </c>
      <c r="K16" s="10">
        <f>22.685 * CHOOSE(CONTROL!$C$9, $D$9, 100%, $F$9) + CHOOSE(CONTROL!$C$27, 0.0021, 0)</f>
        <v>22.687099999999997</v>
      </c>
      <c r="L16" s="10"/>
      <c r="M16" s="17"/>
      <c r="N16" s="17"/>
      <c r="O16" s="17"/>
      <c r="P16" s="17"/>
      <c r="Q16" s="17"/>
    </row>
    <row r="17" spans="1:17" ht="15" x14ac:dyDescent="0.2">
      <c r="A17" s="16">
        <v>41791</v>
      </c>
      <c r="B17" s="10">
        <f>23.0892 * CHOOSE(CONTROL!$C$9, $D$9, 100%, $F$9) + CHOOSE(CONTROL!$C$27, 0.0021, 0)</f>
        <v>23.0913</v>
      </c>
      <c r="C17" s="10">
        <f>22.6569 * CHOOSE(CONTROL!$C$9, $D$9, 100%, $F$9) + CHOOSE(CONTROL!$C$27, 0.0021, 0)</f>
        <v>22.658999999999999</v>
      </c>
      <c r="D17" s="10">
        <f>22.6569 * CHOOSE(CONTROL!$C$9, $D$9, 100%, $F$9) + CHOOSE(CONTROL!$C$27, 0.0021, 0)</f>
        <v>22.658999999999999</v>
      </c>
      <c r="E17" s="10">
        <f>22.5203 * CHOOSE(CONTROL!$C$9, $D$9, 100%, $F$9) + CHOOSE(CONTROL!$C$27, 0.0021, 0)</f>
        <v>22.522399999999998</v>
      </c>
      <c r="F17" s="10">
        <f>22.5203 * CHOOSE(CONTROL!$C$9, $D$9, 100%, $F$9) + CHOOSE(CONTROL!$C$27, 0.0021, 0)</f>
        <v>22.522399999999998</v>
      </c>
      <c r="G17" s="10">
        <f>22.7917 * CHOOSE(CONTROL!$C$9, $D$9, 100%, $F$9) + CHOOSE(CONTROL!$C$27, 0.0021, 0)</f>
        <v>22.793799999999997</v>
      </c>
      <c r="H17" s="10">
        <f>22.6569 * CHOOSE(CONTROL!$C$9, $D$9, 100%, $F$9) + CHOOSE(CONTROL!$C$27, 0.0021, 0)</f>
        <v>22.658999999999999</v>
      </c>
      <c r="I17" s="10">
        <f>22.6569 * CHOOSE(CONTROL!$C$9, $D$9, 100%, $F$9) + CHOOSE(CONTROL!$C$27, 0.0021, 0)</f>
        <v>22.658999999999999</v>
      </c>
      <c r="J17" s="10">
        <f>22.2967 * CHOOSE(CONTROL!$C$9, $D$9, 100%, $F$9) + CHOOSE(CONTROL!$C$27, 0.0021, 0)</f>
        <v>22.2988</v>
      </c>
      <c r="K17" s="10">
        <f>22.6569 * CHOOSE(CONTROL!$C$9, $D$9, 100%, $F$9) + CHOOSE(CONTROL!$C$27, 0.0021, 0)</f>
        <v>22.658999999999999</v>
      </c>
      <c r="L17" s="10"/>
      <c r="M17" s="17"/>
      <c r="N17" s="17"/>
      <c r="O17" s="17"/>
      <c r="P17" s="17"/>
      <c r="Q17" s="17"/>
    </row>
    <row r="18" spans="1:17" ht="15" x14ac:dyDescent="0.2">
      <c r="A18" s="16">
        <v>41821</v>
      </c>
      <c r="B18" s="10">
        <f>23.082 * CHOOSE(CONTROL!$C$9, $D$9, 100%, $F$9) + CHOOSE(CONTROL!$C$27, 0.0021, 0)</f>
        <v>23.084099999999999</v>
      </c>
      <c r="C18" s="10">
        <f>22.6497 * CHOOSE(CONTROL!$C$9, $D$9, 100%, $F$9) + CHOOSE(CONTROL!$C$27, 0.0021, 0)</f>
        <v>22.651799999999998</v>
      </c>
      <c r="D18" s="10">
        <f>22.6497 * CHOOSE(CONTROL!$C$9, $D$9, 100%, $F$9) + CHOOSE(CONTROL!$C$27, 0.0021, 0)</f>
        <v>22.651799999999998</v>
      </c>
      <c r="E18" s="10">
        <f>22.5131 * CHOOSE(CONTROL!$C$9, $D$9, 100%, $F$9) + CHOOSE(CONTROL!$C$27, 0.0021, 0)</f>
        <v>22.5152</v>
      </c>
      <c r="F18" s="10">
        <f>22.5131 * CHOOSE(CONTROL!$C$9, $D$9, 100%, $F$9) + CHOOSE(CONTROL!$C$27, 0.0021, 0)</f>
        <v>22.5152</v>
      </c>
      <c r="G18" s="10">
        <f>22.7845 * CHOOSE(CONTROL!$C$9, $D$9, 100%, $F$9) + CHOOSE(CONTROL!$C$27, 0.0021, 0)</f>
        <v>22.7866</v>
      </c>
      <c r="H18" s="10">
        <f>22.6497 * CHOOSE(CONTROL!$C$9, $D$9, 100%, $F$9) + CHOOSE(CONTROL!$C$27, 0.0021, 0)</f>
        <v>22.651799999999998</v>
      </c>
      <c r="I18" s="10">
        <f>22.6497 * CHOOSE(CONTROL!$C$9, $D$9, 100%, $F$9) + CHOOSE(CONTROL!$C$27, 0.0021, 0)</f>
        <v>22.651799999999998</v>
      </c>
      <c r="J18" s="10">
        <f>22.2895 * CHOOSE(CONTROL!$C$9, $D$9, 100%, $F$9) + CHOOSE(CONTROL!$C$27, 0.0021, 0)</f>
        <v>22.291599999999999</v>
      </c>
      <c r="K18" s="10">
        <f>22.6497 * CHOOSE(CONTROL!$C$9, $D$9, 100%, $F$9) + CHOOSE(CONTROL!$C$27, 0.0021, 0)</f>
        <v>22.651799999999998</v>
      </c>
      <c r="L18" s="10"/>
      <c r="M18" s="17"/>
      <c r="N18" s="17"/>
      <c r="O18" s="17"/>
      <c r="P18" s="17"/>
      <c r="Q18" s="17"/>
    </row>
    <row r="19" spans="1:17" ht="15" x14ac:dyDescent="0.2">
      <c r="A19" s="16">
        <v>41852</v>
      </c>
      <c r="B19" s="10">
        <f>23.0784 * CHOOSE(CONTROL!$C$9, $D$9, 100%, $F$9) + CHOOSE(CONTROL!$C$27, 0.0021, 0)</f>
        <v>23.080499999999997</v>
      </c>
      <c r="C19" s="10">
        <f>22.6461 * CHOOSE(CONTROL!$C$9, $D$9, 100%, $F$9) + CHOOSE(CONTROL!$C$27, 0.0021, 0)</f>
        <v>22.648199999999999</v>
      </c>
      <c r="D19" s="10">
        <f>22.6461 * CHOOSE(CONTROL!$C$9, $D$9, 100%, $F$9) + CHOOSE(CONTROL!$C$27, 0.0021, 0)</f>
        <v>22.648199999999999</v>
      </c>
      <c r="E19" s="10">
        <f>22.5095 * CHOOSE(CONTROL!$C$9, $D$9, 100%, $F$9) + CHOOSE(CONTROL!$C$27, 0.0021, 0)</f>
        <v>22.511599999999998</v>
      </c>
      <c r="F19" s="10">
        <f>22.5095 * CHOOSE(CONTROL!$C$9, $D$9, 100%, $F$9) + CHOOSE(CONTROL!$C$27, 0.0021, 0)</f>
        <v>22.511599999999998</v>
      </c>
      <c r="G19" s="10">
        <f>22.7809 * CHOOSE(CONTROL!$C$9, $D$9, 100%, $F$9) + CHOOSE(CONTROL!$C$27, 0.0021, 0)</f>
        <v>22.782999999999998</v>
      </c>
      <c r="H19" s="10">
        <f>22.6461 * CHOOSE(CONTROL!$C$9, $D$9, 100%, $F$9) + CHOOSE(CONTROL!$C$27, 0.0021, 0)</f>
        <v>22.648199999999999</v>
      </c>
      <c r="I19" s="10">
        <f>22.6461 * CHOOSE(CONTROL!$C$9, $D$9, 100%, $F$9) + CHOOSE(CONTROL!$C$27, 0.0021, 0)</f>
        <v>22.648199999999999</v>
      </c>
      <c r="J19" s="10">
        <f>22.2859 * CHOOSE(CONTROL!$C$9, $D$9, 100%, $F$9) + CHOOSE(CONTROL!$C$27, 0.0021, 0)</f>
        <v>22.288</v>
      </c>
      <c r="K19" s="10">
        <f>22.6461 * CHOOSE(CONTROL!$C$9, $D$9, 100%, $F$9) + CHOOSE(CONTROL!$C$27, 0.0021, 0)</f>
        <v>22.648199999999999</v>
      </c>
      <c r="L19" s="10"/>
      <c r="M19" s="17"/>
      <c r="N19" s="17"/>
      <c r="O19" s="17"/>
      <c r="P19" s="17"/>
      <c r="Q19" s="17"/>
    </row>
    <row r="20" spans="1:17" ht="15" x14ac:dyDescent="0.2">
      <c r="A20" s="16">
        <v>41883</v>
      </c>
      <c r="B20" s="10">
        <f>23.0827 * CHOOSE(CONTROL!$C$9, $D$9, 100%, $F$9) + CHOOSE(CONTROL!$C$27, 0.0021, 0)</f>
        <v>23.084799999999998</v>
      </c>
      <c r="C20" s="10">
        <f>22.6505 * CHOOSE(CONTROL!$C$9, $D$9, 100%, $F$9) + CHOOSE(CONTROL!$C$27, 0.0021, 0)</f>
        <v>22.6526</v>
      </c>
      <c r="D20" s="10">
        <f>22.6505 * CHOOSE(CONTROL!$C$9, $D$9, 100%, $F$9) + CHOOSE(CONTROL!$C$27, 0.0021, 0)</f>
        <v>22.6526</v>
      </c>
      <c r="E20" s="10">
        <f>22.5138 * CHOOSE(CONTROL!$C$9, $D$9, 100%, $F$9) + CHOOSE(CONTROL!$C$27, 0.0021, 0)</f>
        <v>22.515899999999998</v>
      </c>
      <c r="F20" s="10">
        <f>22.5138 * CHOOSE(CONTROL!$C$9, $D$9, 100%, $F$9) + CHOOSE(CONTROL!$C$27, 0.0021, 0)</f>
        <v>22.515899999999998</v>
      </c>
      <c r="G20" s="10">
        <f>22.7852 * CHOOSE(CONTROL!$C$9, $D$9, 100%, $F$9) + CHOOSE(CONTROL!$C$27, 0.0021, 0)</f>
        <v>22.787299999999998</v>
      </c>
      <c r="H20" s="10">
        <f>22.6505 * CHOOSE(CONTROL!$C$9, $D$9, 100%, $F$9) + CHOOSE(CONTROL!$C$27, 0.0021, 0)</f>
        <v>22.6526</v>
      </c>
      <c r="I20" s="10">
        <f>22.6505 * CHOOSE(CONTROL!$C$9, $D$9, 100%, $F$9) + CHOOSE(CONTROL!$C$27, 0.0021, 0)</f>
        <v>22.6526</v>
      </c>
      <c r="J20" s="10">
        <f>22.2903 * CHOOSE(CONTROL!$C$9, $D$9, 100%, $F$9) + CHOOSE(CONTROL!$C$27, 0.0021, 0)</f>
        <v>22.292399999999997</v>
      </c>
      <c r="K20" s="10">
        <f>22.6505 * CHOOSE(CONTROL!$C$9, $D$9, 100%, $F$9) + CHOOSE(CONTROL!$C$27, 0.0021, 0)</f>
        <v>22.6526</v>
      </c>
      <c r="L20" s="10"/>
      <c r="M20" s="17"/>
      <c r="N20" s="17"/>
      <c r="O20" s="17"/>
      <c r="P20" s="17"/>
      <c r="Q20" s="17"/>
    </row>
    <row r="21" spans="1:17" ht="15" x14ac:dyDescent="0.2">
      <c r="A21" s="16">
        <v>41913</v>
      </c>
      <c r="B21" s="10">
        <f>23.0784 * CHOOSE(CONTROL!$C$9, $D$9, 100%, $F$9) + CHOOSE(CONTROL!$C$27, 0.0021, 0)</f>
        <v>23.080499999999997</v>
      </c>
      <c r="C21" s="10">
        <f>22.6461 * CHOOSE(CONTROL!$C$9, $D$9, 100%, $F$9) + CHOOSE(CONTROL!$C$27, 0.0021, 0)</f>
        <v>22.648199999999999</v>
      </c>
      <c r="D21" s="10">
        <f>22.6461 * CHOOSE(CONTROL!$C$9, $D$9, 100%, $F$9) + CHOOSE(CONTROL!$C$27, 0.0021, 0)</f>
        <v>22.648199999999999</v>
      </c>
      <c r="E21" s="10">
        <f>22.5095 * CHOOSE(CONTROL!$C$9, $D$9, 100%, $F$9) + CHOOSE(CONTROL!$C$27, 0.0021, 0)</f>
        <v>22.511599999999998</v>
      </c>
      <c r="F21" s="10">
        <f>22.5095 * CHOOSE(CONTROL!$C$9, $D$9, 100%, $F$9) + CHOOSE(CONTROL!$C$27, 0.0021, 0)</f>
        <v>22.511599999999998</v>
      </c>
      <c r="G21" s="10">
        <f>22.7809 * CHOOSE(CONTROL!$C$9, $D$9, 100%, $F$9) + CHOOSE(CONTROL!$C$27, 0.0021, 0)</f>
        <v>22.782999999999998</v>
      </c>
      <c r="H21" s="10">
        <f>22.6461 * CHOOSE(CONTROL!$C$9, $D$9, 100%, $F$9) + CHOOSE(CONTROL!$C$27, 0.0021, 0)</f>
        <v>22.648199999999999</v>
      </c>
      <c r="I21" s="10">
        <f>22.6461 * CHOOSE(CONTROL!$C$9, $D$9, 100%, $F$9) + CHOOSE(CONTROL!$C$27, 0.0021, 0)</f>
        <v>22.648199999999999</v>
      </c>
      <c r="J21" s="10">
        <f>22.2859 * CHOOSE(CONTROL!$C$9, $D$9, 100%, $F$9) + CHOOSE(CONTROL!$C$27, 0.0021, 0)</f>
        <v>22.288</v>
      </c>
      <c r="K21" s="10">
        <f>22.6461 * CHOOSE(CONTROL!$C$9, $D$9, 100%, $F$9) + CHOOSE(CONTROL!$C$27, 0.0021, 0)</f>
        <v>22.648199999999999</v>
      </c>
      <c r="L21" s="10"/>
      <c r="M21" s="17"/>
      <c r="N21" s="17"/>
      <c r="O21" s="17"/>
      <c r="P21" s="17"/>
      <c r="Q21" s="17"/>
    </row>
    <row r="22" spans="1:17" ht="15" x14ac:dyDescent="0.2">
      <c r="A22" s="16">
        <v>41944</v>
      </c>
      <c r="B22" s="10">
        <f>23.0705 * CHOOSE(CONTROL!$C$9, $D$9, 100%, $F$9) + CHOOSE(CONTROL!$C$27, 0.0021, 0)</f>
        <v>23.072599999999998</v>
      </c>
      <c r="C22" s="10">
        <f>22.6382 * CHOOSE(CONTROL!$C$9, $D$9, 100%, $F$9) + CHOOSE(CONTROL!$C$27, 0.0021, 0)</f>
        <v>22.6403</v>
      </c>
      <c r="D22" s="10">
        <f>22.6382 * CHOOSE(CONTROL!$C$9, $D$9, 100%, $F$9) + CHOOSE(CONTROL!$C$27, 0.0021, 0)</f>
        <v>22.6403</v>
      </c>
      <c r="E22" s="10">
        <f>22.5016 * CHOOSE(CONTROL!$C$9, $D$9, 100%, $F$9) + CHOOSE(CONTROL!$C$27, 0.0021, 0)</f>
        <v>22.503699999999998</v>
      </c>
      <c r="F22" s="10">
        <f>22.5016 * CHOOSE(CONTROL!$C$9, $D$9, 100%, $F$9) + CHOOSE(CONTROL!$C$27, 0.0021, 0)</f>
        <v>22.503699999999998</v>
      </c>
      <c r="G22" s="10">
        <f>22.7729 * CHOOSE(CONTROL!$C$9, $D$9, 100%, $F$9) + CHOOSE(CONTROL!$C$27, 0.0021, 0)</f>
        <v>22.774999999999999</v>
      </c>
      <c r="H22" s="10">
        <f>22.6382 * CHOOSE(CONTROL!$C$9, $D$9, 100%, $F$9) + CHOOSE(CONTROL!$C$27, 0.0021, 0)</f>
        <v>22.6403</v>
      </c>
      <c r="I22" s="10">
        <f>22.6382 * CHOOSE(CONTROL!$C$9, $D$9, 100%, $F$9) + CHOOSE(CONTROL!$C$27, 0.0021, 0)</f>
        <v>22.6403</v>
      </c>
      <c r="J22" s="10">
        <f>22.278 * CHOOSE(CONTROL!$C$9, $D$9, 100%, $F$9) + CHOOSE(CONTROL!$C$27, 0.0021, 0)</f>
        <v>22.280099999999997</v>
      </c>
      <c r="K22" s="10">
        <f>22.6382 * CHOOSE(CONTROL!$C$9, $D$9, 100%, $F$9) + CHOOSE(CONTROL!$C$27, 0.0021, 0)</f>
        <v>22.6403</v>
      </c>
      <c r="L22" s="10"/>
      <c r="M22" s="17"/>
      <c r="N22" s="17"/>
      <c r="O22" s="17"/>
      <c r="P22" s="17"/>
      <c r="Q22" s="17"/>
    </row>
    <row r="23" spans="1:17" ht="15" x14ac:dyDescent="0.2">
      <c r="A23" s="16">
        <v>41974</v>
      </c>
      <c r="B23" s="10">
        <f>23.0582 * CHOOSE(CONTROL!$C$9, $D$9, 100%, $F$9) + CHOOSE(CONTROL!$C$27, 0.0021, 0)</f>
        <v>23.060299999999998</v>
      </c>
      <c r="C23" s="10">
        <f>22.626 * CHOOSE(CONTROL!$C$9, $D$9, 100%, $F$9) + CHOOSE(CONTROL!$C$27, 0.0021, 0)</f>
        <v>22.6281</v>
      </c>
      <c r="D23" s="10">
        <f>22.626 * CHOOSE(CONTROL!$C$9, $D$9, 100%, $F$9) + CHOOSE(CONTROL!$C$27, 0.0021, 0)</f>
        <v>22.6281</v>
      </c>
      <c r="E23" s="10">
        <f>22.4893 * CHOOSE(CONTROL!$C$9, $D$9, 100%, $F$9) + CHOOSE(CONTROL!$C$27, 0.0021, 0)</f>
        <v>22.491399999999999</v>
      </c>
      <c r="F23" s="10">
        <f>22.4893 * CHOOSE(CONTROL!$C$9, $D$9, 100%, $F$9) + CHOOSE(CONTROL!$C$27, 0.0021, 0)</f>
        <v>22.491399999999999</v>
      </c>
      <c r="G23" s="10">
        <f>22.7607 * CHOOSE(CONTROL!$C$9, $D$9, 100%, $F$9) + CHOOSE(CONTROL!$C$27, 0.0021, 0)</f>
        <v>22.762799999999999</v>
      </c>
      <c r="H23" s="10">
        <f>22.626 * CHOOSE(CONTROL!$C$9, $D$9, 100%, $F$9) + CHOOSE(CONTROL!$C$27, 0.0021, 0)</f>
        <v>22.6281</v>
      </c>
      <c r="I23" s="10">
        <f>22.626 * CHOOSE(CONTROL!$C$9, $D$9, 100%, $F$9) + CHOOSE(CONTROL!$C$27, 0.0021, 0)</f>
        <v>22.6281</v>
      </c>
      <c r="J23" s="10">
        <f>22.2658 * CHOOSE(CONTROL!$C$9, $D$9, 100%, $F$9) + CHOOSE(CONTROL!$C$27, 0.0021, 0)</f>
        <v>22.267899999999997</v>
      </c>
      <c r="K23" s="10">
        <f>22.626 * CHOOSE(CONTROL!$C$9, $D$9, 100%, $F$9) + CHOOSE(CONTROL!$C$27, 0.0021, 0)</f>
        <v>22.6281</v>
      </c>
      <c r="L23" s="10"/>
      <c r="M23" s="17"/>
      <c r="N23" s="17"/>
      <c r="O23" s="17"/>
      <c r="P23" s="17"/>
      <c r="Q23" s="17"/>
    </row>
    <row r="24" spans="1:17" ht="15" x14ac:dyDescent="0.2">
      <c r="A24" s="16">
        <v>42005</v>
      </c>
      <c r="B24" s="10">
        <f>23.0438 * CHOOSE(CONTROL!$C$9, $D$9, 100%, $F$9) + CHOOSE(CONTROL!$C$27, 0.0021, 0)</f>
        <v>23.0459</v>
      </c>
      <c r="C24" s="10">
        <f>22.6116 * CHOOSE(CONTROL!$C$9, $D$9, 100%, $F$9) + CHOOSE(CONTROL!$C$27, 0.0021, 0)</f>
        <v>22.613699999999998</v>
      </c>
      <c r="D24" s="10">
        <f>22.6116 * CHOOSE(CONTROL!$C$9, $D$9, 100%, $F$9) + CHOOSE(CONTROL!$C$27, 0.0021, 0)</f>
        <v>22.613699999999998</v>
      </c>
      <c r="E24" s="10">
        <f>22.4749 * CHOOSE(CONTROL!$C$9, $D$9, 100%, $F$9) + CHOOSE(CONTROL!$C$27, 0.0021, 0)</f>
        <v>22.477</v>
      </c>
      <c r="F24" s="10">
        <f>22.4749 * CHOOSE(CONTROL!$C$9, $D$9, 100%, $F$9) + CHOOSE(CONTROL!$C$27, 0.0021, 0)</f>
        <v>22.477</v>
      </c>
      <c r="G24" s="10">
        <f>22.7463 * CHOOSE(CONTROL!$C$9, $D$9, 100%, $F$9) + CHOOSE(CONTROL!$C$27, 0.0021, 0)</f>
        <v>22.7484</v>
      </c>
      <c r="H24" s="10">
        <f>22.6116 * CHOOSE(CONTROL!$C$9, $D$9, 100%, $F$9) + CHOOSE(CONTROL!$C$27, 0.0021, 0)</f>
        <v>22.613699999999998</v>
      </c>
      <c r="I24" s="10">
        <f>22.6116 * CHOOSE(CONTROL!$C$9, $D$9, 100%, $F$9) + CHOOSE(CONTROL!$C$27, 0.0021, 0)</f>
        <v>22.613699999999998</v>
      </c>
      <c r="J24" s="10">
        <f>22.2514 * CHOOSE(CONTROL!$C$9, $D$9, 100%, $F$9) + CHOOSE(CONTROL!$C$27, 0.0021, 0)</f>
        <v>22.253499999999999</v>
      </c>
      <c r="K24" s="10">
        <f>22.6116 * CHOOSE(CONTROL!$C$9, $D$9, 100%, $F$9) + CHOOSE(CONTROL!$C$27, 0.0021, 0)</f>
        <v>22.613699999999998</v>
      </c>
      <c r="L24" s="10"/>
      <c r="M24" s="17"/>
      <c r="N24" s="17"/>
      <c r="O24" s="17"/>
      <c r="P24" s="17"/>
      <c r="Q24" s="17"/>
    </row>
    <row r="25" spans="1:17" ht="15" x14ac:dyDescent="0.2">
      <c r="A25" s="16">
        <v>42036</v>
      </c>
      <c r="B25" s="10">
        <f>22.9891 * CHOOSE(CONTROL!$C$9, $D$9, 100%, $F$9) + CHOOSE(CONTROL!$C$27, 0.0021, 0)</f>
        <v>22.991199999999999</v>
      </c>
      <c r="C25" s="10">
        <f>22.5568 * CHOOSE(CONTROL!$C$9, $D$9, 100%, $F$9) + CHOOSE(CONTROL!$C$27, 0.0021, 0)</f>
        <v>22.558899999999998</v>
      </c>
      <c r="D25" s="10">
        <f>22.5568 * CHOOSE(CONTROL!$C$9, $D$9, 100%, $F$9) + CHOOSE(CONTROL!$C$27, 0.0021, 0)</f>
        <v>22.558899999999998</v>
      </c>
      <c r="E25" s="10">
        <f>22.4202 * CHOOSE(CONTROL!$C$9, $D$9, 100%, $F$9) + CHOOSE(CONTROL!$C$27, 0.0021, 0)</f>
        <v>22.4223</v>
      </c>
      <c r="F25" s="10">
        <f>22.4202 * CHOOSE(CONTROL!$C$9, $D$9, 100%, $F$9) + CHOOSE(CONTROL!$C$27, 0.0021, 0)</f>
        <v>22.4223</v>
      </c>
      <c r="G25" s="10">
        <f>22.6915 * CHOOSE(CONTROL!$C$9, $D$9, 100%, $F$9) + CHOOSE(CONTROL!$C$27, 0.0021, 0)</f>
        <v>22.6936</v>
      </c>
      <c r="H25" s="10">
        <f>22.5568 * CHOOSE(CONTROL!$C$9, $D$9, 100%, $F$9) + CHOOSE(CONTROL!$C$27, 0.0021, 0)</f>
        <v>22.558899999999998</v>
      </c>
      <c r="I25" s="10">
        <f>22.5568 * CHOOSE(CONTROL!$C$9, $D$9, 100%, $F$9) + CHOOSE(CONTROL!$C$27, 0.0021, 0)</f>
        <v>22.558899999999998</v>
      </c>
      <c r="J25" s="10">
        <f>22.1966 * CHOOSE(CONTROL!$C$9, $D$9, 100%, $F$9) + CHOOSE(CONTROL!$C$27, 0.0021, 0)</f>
        <v>22.198699999999999</v>
      </c>
      <c r="K25" s="10">
        <f>22.5568 * CHOOSE(CONTROL!$C$9, $D$9, 100%, $F$9) + CHOOSE(CONTROL!$C$27, 0.0021, 0)</f>
        <v>22.558899999999998</v>
      </c>
      <c r="L25" s="10"/>
      <c r="M25" s="17"/>
      <c r="N25" s="17"/>
      <c r="O25" s="17"/>
      <c r="P25" s="17"/>
      <c r="Q25" s="17"/>
    </row>
    <row r="26" spans="1:17" ht="15" x14ac:dyDescent="0.2">
      <c r="A26" s="16">
        <v>42064</v>
      </c>
      <c r="B26" s="10">
        <f>22.8932 * CHOOSE(CONTROL!$C$9, $D$9, 100%, $F$9) + CHOOSE(CONTROL!$C$27, 0.0021, 0)</f>
        <v>22.895299999999999</v>
      </c>
      <c r="C26" s="10">
        <f>22.461 * CHOOSE(CONTROL!$C$9, $D$9, 100%, $F$9) + CHOOSE(CONTROL!$C$27, 0.0021, 0)</f>
        <v>22.463099999999997</v>
      </c>
      <c r="D26" s="10">
        <f>22.461 * CHOOSE(CONTROL!$C$9, $D$9, 100%, $F$9) + CHOOSE(CONTROL!$C$27, 0.0021, 0)</f>
        <v>22.463099999999997</v>
      </c>
      <c r="E26" s="10">
        <f>22.3243 * CHOOSE(CONTROL!$C$9, $D$9, 100%, $F$9) + CHOOSE(CONTROL!$C$27, 0.0021, 0)</f>
        <v>22.3264</v>
      </c>
      <c r="F26" s="10">
        <f>22.3243 * CHOOSE(CONTROL!$C$9, $D$9, 100%, $F$9) + CHOOSE(CONTROL!$C$27, 0.0021, 0)</f>
        <v>22.3264</v>
      </c>
      <c r="G26" s="10">
        <f>22.5957 * CHOOSE(CONTROL!$C$9, $D$9, 100%, $F$9) + CHOOSE(CONTROL!$C$27, 0.0021, 0)</f>
        <v>22.597799999999999</v>
      </c>
      <c r="H26" s="10">
        <f>22.461 * CHOOSE(CONTROL!$C$9, $D$9, 100%, $F$9) + CHOOSE(CONTROL!$C$27, 0.0021, 0)</f>
        <v>22.463099999999997</v>
      </c>
      <c r="I26" s="10">
        <f>22.461 * CHOOSE(CONTROL!$C$9, $D$9, 100%, $F$9) + CHOOSE(CONTROL!$C$27, 0.0021, 0)</f>
        <v>22.463099999999997</v>
      </c>
      <c r="J26" s="10">
        <f>22.1008 * CHOOSE(CONTROL!$C$9, $D$9, 100%, $F$9) + CHOOSE(CONTROL!$C$27, 0.0021, 0)</f>
        <v>22.102899999999998</v>
      </c>
      <c r="K26" s="10">
        <f>22.461 * CHOOSE(CONTROL!$C$9, $D$9, 100%, $F$9) + CHOOSE(CONTROL!$C$27, 0.0021, 0)</f>
        <v>22.463099999999997</v>
      </c>
      <c r="L26" s="10"/>
      <c r="M26" s="17"/>
      <c r="N26" s="17"/>
      <c r="O26" s="17"/>
      <c r="P26" s="17"/>
      <c r="Q26" s="17"/>
    </row>
    <row r="27" spans="1:17" ht="15" x14ac:dyDescent="0.2">
      <c r="A27" s="16">
        <v>42095</v>
      </c>
      <c r="B27" s="10">
        <f>22.7852 * CHOOSE(CONTROL!$C$9, $D$9, 100%, $F$9) + CHOOSE(CONTROL!$C$27, 0.0021, 0)</f>
        <v>22.787299999999998</v>
      </c>
      <c r="C27" s="10">
        <f>22.3529 * CHOOSE(CONTROL!$C$9, $D$9, 100%, $F$9) + CHOOSE(CONTROL!$C$27, 0.0021, 0)</f>
        <v>22.355</v>
      </c>
      <c r="D27" s="10">
        <f>22.3529 * CHOOSE(CONTROL!$C$9, $D$9, 100%, $F$9) + CHOOSE(CONTROL!$C$27, 0.0021, 0)</f>
        <v>22.355</v>
      </c>
      <c r="E27" s="10">
        <f>22.2163 * CHOOSE(CONTROL!$C$9, $D$9, 100%, $F$9) + CHOOSE(CONTROL!$C$27, 0.0021, 0)</f>
        <v>22.218399999999999</v>
      </c>
      <c r="F27" s="10">
        <f>22.2163 * CHOOSE(CONTROL!$C$9, $D$9, 100%, $F$9) + CHOOSE(CONTROL!$C$27, 0.0021, 0)</f>
        <v>22.218399999999999</v>
      </c>
      <c r="G27" s="10">
        <f>22.4877 * CHOOSE(CONTROL!$C$9, $D$9, 100%, $F$9) + CHOOSE(CONTROL!$C$27, 0.0021, 0)</f>
        <v>22.489799999999999</v>
      </c>
      <c r="H27" s="10">
        <f>22.3529 * CHOOSE(CONTROL!$C$9, $D$9, 100%, $F$9) + CHOOSE(CONTROL!$C$27, 0.0021, 0)</f>
        <v>22.355</v>
      </c>
      <c r="I27" s="10">
        <f>22.3529 * CHOOSE(CONTROL!$C$9, $D$9, 100%, $F$9) + CHOOSE(CONTROL!$C$27, 0.0021, 0)</f>
        <v>22.355</v>
      </c>
      <c r="J27" s="10">
        <f>21.9927 * CHOOSE(CONTROL!$C$9, $D$9, 100%, $F$9) + CHOOSE(CONTROL!$C$27, 0.0021, 0)</f>
        <v>21.994799999999998</v>
      </c>
      <c r="K27" s="10">
        <f>22.3529 * CHOOSE(CONTROL!$C$9, $D$9, 100%, $F$9) + CHOOSE(CONTROL!$C$27, 0.0021, 0)</f>
        <v>22.355</v>
      </c>
      <c r="L27" s="10"/>
      <c r="M27" s="17"/>
      <c r="N27" s="17"/>
      <c r="O27" s="17"/>
      <c r="P27" s="17"/>
      <c r="Q27" s="17"/>
    </row>
    <row r="28" spans="1:17" ht="15" x14ac:dyDescent="0.2">
      <c r="A28" s="16">
        <v>42125</v>
      </c>
      <c r="B28" s="10">
        <f>22.7052 * CHOOSE(CONTROL!$C$9, $D$9, 100%, $F$9) + CHOOSE(CONTROL!$C$27, 0.0021, 0)</f>
        <v>22.7073</v>
      </c>
      <c r="C28" s="10">
        <f>22.273 * CHOOSE(CONTROL!$C$9, $D$9, 100%, $F$9) + CHOOSE(CONTROL!$C$27, 0.0021, 0)</f>
        <v>22.275099999999998</v>
      </c>
      <c r="D28" s="10">
        <f>22.273 * CHOOSE(CONTROL!$C$9, $D$9, 100%, $F$9) + CHOOSE(CONTROL!$C$27, 0.0021, 0)</f>
        <v>22.275099999999998</v>
      </c>
      <c r="E28" s="10">
        <f>22.1363 * CHOOSE(CONTROL!$C$9, $D$9, 100%, $F$9) + CHOOSE(CONTROL!$C$27, 0.0021, 0)</f>
        <v>22.138399999999997</v>
      </c>
      <c r="F28" s="10">
        <f>22.1363 * CHOOSE(CONTROL!$C$9, $D$9, 100%, $F$9) + CHOOSE(CONTROL!$C$27, 0.0021, 0)</f>
        <v>22.138399999999997</v>
      </c>
      <c r="G28" s="10">
        <f>22.4077 * CHOOSE(CONTROL!$C$9, $D$9, 100%, $F$9) + CHOOSE(CONTROL!$C$27, 0.0021, 0)</f>
        <v>22.409799999999997</v>
      </c>
      <c r="H28" s="10">
        <f>22.273 * CHOOSE(CONTROL!$C$9, $D$9, 100%, $F$9) + CHOOSE(CONTROL!$C$27, 0.0021, 0)</f>
        <v>22.275099999999998</v>
      </c>
      <c r="I28" s="10">
        <f>22.273 * CHOOSE(CONTROL!$C$9, $D$9, 100%, $F$9) + CHOOSE(CONTROL!$C$27, 0.0021, 0)</f>
        <v>22.275099999999998</v>
      </c>
      <c r="J28" s="10">
        <f>21.9128 * CHOOSE(CONTROL!$C$9, $D$9, 100%, $F$9) + CHOOSE(CONTROL!$C$27, 0.0021, 0)</f>
        <v>21.914899999999999</v>
      </c>
      <c r="K28" s="10">
        <f>22.273 * CHOOSE(CONTROL!$C$9, $D$9, 100%, $F$9) + CHOOSE(CONTROL!$C$27, 0.0021, 0)</f>
        <v>22.275099999999998</v>
      </c>
      <c r="L28" s="10"/>
      <c r="M28" s="17"/>
      <c r="N28" s="17"/>
      <c r="O28" s="17"/>
      <c r="P28" s="17"/>
      <c r="Q28" s="17"/>
    </row>
    <row r="29" spans="1:17" ht="15" x14ac:dyDescent="0.2">
      <c r="A29" s="16">
        <v>42156</v>
      </c>
      <c r="B29" s="10">
        <f>22.6346 * CHOOSE(CONTROL!$C$9, $D$9, 100%, $F$9) + CHOOSE(CONTROL!$C$27, 0.0021, 0)</f>
        <v>22.636699999999998</v>
      </c>
      <c r="C29" s="10">
        <f>22.2024 * CHOOSE(CONTROL!$C$9, $D$9, 100%, $F$9) + CHOOSE(CONTROL!$C$27, 0.0021, 0)</f>
        <v>22.204499999999999</v>
      </c>
      <c r="D29" s="10">
        <f>22.2024 * CHOOSE(CONTROL!$C$9, $D$9, 100%, $F$9) + CHOOSE(CONTROL!$C$27, 0.0021, 0)</f>
        <v>22.204499999999999</v>
      </c>
      <c r="E29" s="10">
        <f>22.0657 * CHOOSE(CONTROL!$C$9, $D$9, 100%, $F$9) + CHOOSE(CONTROL!$C$27, 0.0021, 0)</f>
        <v>22.067799999999998</v>
      </c>
      <c r="F29" s="10">
        <f>22.0657 * CHOOSE(CONTROL!$C$9, $D$9, 100%, $F$9) + CHOOSE(CONTROL!$C$27, 0.0021, 0)</f>
        <v>22.067799999999998</v>
      </c>
      <c r="G29" s="10">
        <f>22.3371 * CHOOSE(CONTROL!$C$9, $D$9, 100%, $F$9) + CHOOSE(CONTROL!$C$27, 0.0021, 0)</f>
        <v>22.339199999999998</v>
      </c>
      <c r="H29" s="10">
        <f>22.2024 * CHOOSE(CONTROL!$C$9, $D$9, 100%, $F$9) + CHOOSE(CONTROL!$C$27, 0.0021, 0)</f>
        <v>22.204499999999999</v>
      </c>
      <c r="I29" s="10">
        <f>22.2024 * CHOOSE(CONTROL!$C$9, $D$9, 100%, $F$9) + CHOOSE(CONTROL!$C$27, 0.0021, 0)</f>
        <v>22.204499999999999</v>
      </c>
      <c r="J29" s="10">
        <f>21.8422 * CHOOSE(CONTROL!$C$9, $D$9, 100%, $F$9) + CHOOSE(CONTROL!$C$27, 0.0021, 0)</f>
        <v>21.844299999999997</v>
      </c>
      <c r="K29" s="10">
        <f>22.2024 * CHOOSE(CONTROL!$C$9, $D$9, 100%, $F$9) + CHOOSE(CONTROL!$C$27, 0.0021, 0)</f>
        <v>22.204499999999999</v>
      </c>
      <c r="L29" s="10"/>
      <c r="M29" s="17"/>
      <c r="N29" s="17"/>
      <c r="O29" s="17"/>
      <c r="P29" s="17"/>
      <c r="Q29" s="17"/>
    </row>
    <row r="30" spans="1:17" ht="15" x14ac:dyDescent="0.2">
      <c r="A30" s="16">
        <v>42186</v>
      </c>
      <c r="B30" s="10">
        <f>22.5907 * CHOOSE(CONTROL!$C$9, $D$9, 100%, $F$9) + CHOOSE(CONTROL!$C$27, 0.0021, 0)</f>
        <v>22.592799999999997</v>
      </c>
      <c r="C30" s="10">
        <f>22.1584 * CHOOSE(CONTROL!$C$9, $D$9, 100%, $F$9) + CHOOSE(CONTROL!$C$27, 0.0021, 0)</f>
        <v>22.160499999999999</v>
      </c>
      <c r="D30" s="10">
        <f>22.1584 * CHOOSE(CONTROL!$C$9, $D$9, 100%, $F$9) + CHOOSE(CONTROL!$C$27, 0.0021, 0)</f>
        <v>22.160499999999999</v>
      </c>
      <c r="E30" s="10">
        <f>22.0218 * CHOOSE(CONTROL!$C$9, $D$9, 100%, $F$9) + CHOOSE(CONTROL!$C$27, 0.0021, 0)</f>
        <v>22.023899999999998</v>
      </c>
      <c r="F30" s="10">
        <f>22.0218 * CHOOSE(CONTROL!$C$9, $D$9, 100%, $F$9) + CHOOSE(CONTROL!$C$27, 0.0021, 0)</f>
        <v>22.023899999999998</v>
      </c>
      <c r="G30" s="10">
        <f>22.2931 * CHOOSE(CONTROL!$C$9, $D$9, 100%, $F$9) + CHOOSE(CONTROL!$C$27, 0.0021, 0)</f>
        <v>22.295199999999998</v>
      </c>
      <c r="H30" s="10">
        <f>22.1584 * CHOOSE(CONTROL!$C$9, $D$9, 100%, $F$9) + CHOOSE(CONTROL!$C$27, 0.0021, 0)</f>
        <v>22.160499999999999</v>
      </c>
      <c r="I30" s="10">
        <f>22.1584 * CHOOSE(CONTROL!$C$9, $D$9, 100%, $F$9) + CHOOSE(CONTROL!$C$27, 0.0021, 0)</f>
        <v>22.160499999999999</v>
      </c>
      <c r="J30" s="10">
        <f>21.7982 * CHOOSE(CONTROL!$C$9, $D$9, 100%, $F$9) + CHOOSE(CONTROL!$C$27, 0.0021, 0)</f>
        <v>21.8003</v>
      </c>
      <c r="K30" s="10">
        <f>22.1584 * CHOOSE(CONTROL!$C$9, $D$9, 100%, $F$9) + CHOOSE(CONTROL!$C$27, 0.0021, 0)</f>
        <v>22.160499999999999</v>
      </c>
      <c r="L30" s="10"/>
      <c r="M30" s="17"/>
      <c r="N30" s="17"/>
      <c r="O30" s="17"/>
      <c r="P30" s="17"/>
      <c r="Q30" s="17"/>
    </row>
    <row r="31" spans="1:17" ht="15" x14ac:dyDescent="0.2">
      <c r="A31" s="16">
        <v>42217</v>
      </c>
      <c r="B31" s="10">
        <f>22.564 * CHOOSE(CONTROL!$C$9, $D$9, 100%, $F$9) + CHOOSE(CONTROL!$C$27, 0.0021, 0)</f>
        <v>22.566099999999999</v>
      </c>
      <c r="C31" s="10">
        <f>22.1318 * CHOOSE(CONTROL!$C$9, $D$9, 100%, $F$9) + CHOOSE(CONTROL!$C$27, 0.0021, 0)</f>
        <v>22.133899999999997</v>
      </c>
      <c r="D31" s="10">
        <f>22.1318 * CHOOSE(CONTROL!$C$9, $D$9, 100%, $F$9) + CHOOSE(CONTROL!$C$27, 0.0021, 0)</f>
        <v>22.133899999999997</v>
      </c>
      <c r="E31" s="10">
        <f>21.9951 * CHOOSE(CONTROL!$C$9, $D$9, 100%, $F$9) + CHOOSE(CONTROL!$C$27, 0.0021, 0)</f>
        <v>21.997199999999999</v>
      </c>
      <c r="F31" s="10">
        <f>21.9951 * CHOOSE(CONTROL!$C$9, $D$9, 100%, $F$9) + CHOOSE(CONTROL!$C$27, 0.0021, 0)</f>
        <v>21.997199999999999</v>
      </c>
      <c r="G31" s="10">
        <f>22.2665 * CHOOSE(CONTROL!$C$9, $D$9, 100%, $F$9) + CHOOSE(CONTROL!$C$27, 0.0021, 0)</f>
        <v>22.268599999999999</v>
      </c>
      <c r="H31" s="10">
        <f>22.1318 * CHOOSE(CONTROL!$C$9, $D$9, 100%, $F$9) + CHOOSE(CONTROL!$C$27, 0.0021, 0)</f>
        <v>22.133899999999997</v>
      </c>
      <c r="I31" s="10">
        <f>22.1318 * CHOOSE(CONTROL!$C$9, $D$9, 100%, $F$9) + CHOOSE(CONTROL!$C$27, 0.0021, 0)</f>
        <v>22.133899999999997</v>
      </c>
      <c r="J31" s="10">
        <f>21.7716 * CHOOSE(CONTROL!$C$9, $D$9, 100%, $F$9) + CHOOSE(CONTROL!$C$27, 0.0021, 0)</f>
        <v>21.773699999999998</v>
      </c>
      <c r="K31" s="10">
        <f>22.1318 * CHOOSE(CONTROL!$C$9, $D$9, 100%, $F$9) + CHOOSE(CONTROL!$C$27, 0.0021, 0)</f>
        <v>22.133899999999997</v>
      </c>
      <c r="L31" s="10"/>
      <c r="M31" s="17"/>
      <c r="N31" s="17"/>
      <c r="O31" s="17"/>
      <c r="P31" s="17"/>
      <c r="Q31" s="17"/>
    </row>
    <row r="32" spans="1:17" ht="15" x14ac:dyDescent="0.2">
      <c r="A32" s="16">
        <v>42248</v>
      </c>
      <c r="B32" s="10">
        <f>22.5453 * CHOOSE(CONTROL!$C$9, $D$9, 100%, $F$9) + CHOOSE(CONTROL!$C$27, 0.0021, 0)</f>
        <v>22.5474</v>
      </c>
      <c r="C32" s="10">
        <f>22.113 * CHOOSE(CONTROL!$C$9, $D$9, 100%, $F$9) + CHOOSE(CONTROL!$C$27, 0.0021, 0)</f>
        <v>22.115099999999998</v>
      </c>
      <c r="D32" s="10">
        <f>22.113 * CHOOSE(CONTROL!$C$9, $D$9, 100%, $F$9) + CHOOSE(CONTROL!$C$27, 0.0021, 0)</f>
        <v>22.115099999999998</v>
      </c>
      <c r="E32" s="10">
        <f>21.9764 * CHOOSE(CONTROL!$C$9, $D$9, 100%, $F$9) + CHOOSE(CONTROL!$C$27, 0.0021, 0)</f>
        <v>21.9785</v>
      </c>
      <c r="F32" s="10">
        <f>21.9764 * CHOOSE(CONTROL!$C$9, $D$9, 100%, $F$9) + CHOOSE(CONTROL!$C$27, 0.0021, 0)</f>
        <v>21.9785</v>
      </c>
      <c r="G32" s="10">
        <f>22.2478 * CHOOSE(CONTROL!$C$9, $D$9, 100%, $F$9) + CHOOSE(CONTROL!$C$27, 0.0021, 0)</f>
        <v>22.2499</v>
      </c>
      <c r="H32" s="10">
        <f>22.113 * CHOOSE(CONTROL!$C$9, $D$9, 100%, $F$9) + CHOOSE(CONTROL!$C$27, 0.0021, 0)</f>
        <v>22.115099999999998</v>
      </c>
      <c r="I32" s="10">
        <f>22.113 * CHOOSE(CONTROL!$C$9, $D$9, 100%, $F$9) + CHOOSE(CONTROL!$C$27, 0.0021, 0)</f>
        <v>22.115099999999998</v>
      </c>
      <c r="J32" s="10">
        <f>21.7528 * CHOOSE(CONTROL!$C$9, $D$9, 100%, $F$9) + CHOOSE(CONTROL!$C$27, 0.0021, 0)</f>
        <v>21.754899999999999</v>
      </c>
      <c r="K32" s="10">
        <f>22.113 * CHOOSE(CONTROL!$C$9, $D$9, 100%, $F$9) + CHOOSE(CONTROL!$C$27, 0.0021, 0)</f>
        <v>22.115099999999998</v>
      </c>
      <c r="L32" s="10"/>
      <c r="M32" s="17"/>
      <c r="N32" s="17"/>
      <c r="O32" s="17"/>
      <c r="P32" s="17"/>
      <c r="Q32" s="17"/>
    </row>
    <row r="33" spans="1:17" ht="15" x14ac:dyDescent="0.2">
      <c r="A33" s="16">
        <v>42278</v>
      </c>
      <c r="B33" s="10">
        <f>22.5222 * CHOOSE(CONTROL!$C$9, $D$9, 100%, $F$9) + CHOOSE(CONTROL!$C$27, 0.0021, 0)</f>
        <v>22.5243</v>
      </c>
      <c r="C33" s="10">
        <f>22.09 * CHOOSE(CONTROL!$C$9, $D$9, 100%, $F$9) + CHOOSE(CONTROL!$C$27, 0.0021, 0)</f>
        <v>22.092099999999999</v>
      </c>
      <c r="D33" s="10">
        <f>22.09 * CHOOSE(CONTROL!$C$9, $D$9, 100%, $F$9) + CHOOSE(CONTROL!$C$27, 0.0021, 0)</f>
        <v>22.092099999999999</v>
      </c>
      <c r="E33" s="10">
        <f>21.9533 * CHOOSE(CONTROL!$C$9, $D$9, 100%, $F$9) + CHOOSE(CONTROL!$C$27, 0.0021, 0)</f>
        <v>21.955399999999997</v>
      </c>
      <c r="F33" s="10">
        <f>21.9533 * CHOOSE(CONTROL!$C$9, $D$9, 100%, $F$9) + CHOOSE(CONTROL!$C$27, 0.0021, 0)</f>
        <v>21.955399999999997</v>
      </c>
      <c r="G33" s="10">
        <f>22.2247 * CHOOSE(CONTROL!$C$9, $D$9, 100%, $F$9) + CHOOSE(CONTROL!$C$27, 0.0021, 0)</f>
        <v>22.226799999999997</v>
      </c>
      <c r="H33" s="10">
        <f>22.09 * CHOOSE(CONTROL!$C$9, $D$9, 100%, $F$9) + CHOOSE(CONTROL!$C$27, 0.0021, 0)</f>
        <v>22.092099999999999</v>
      </c>
      <c r="I33" s="10">
        <f>22.09 * CHOOSE(CONTROL!$C$9, $D$9, 100%, $F$9) + CHOOSE(CONTROL!$C$27, 0.0021, 0)</f>
        <v>22.092099999999999</v>
      </c>
      <c r="J33" s="10">
        <f>21.7298 * CHOOSE(CONTROL!$C$9, $D$9, 100%, $F$9) + CHOOSE(CONTROL!$C$27, 0.0021, 0)</f>
        <v>21.7319</v>
      </c>
      <c r="K33" s="10">
        <f>22.09 * CHOOSE(CONTROL!$C$9, $D$9, 100%, $F$9) + CHOOSE(CONTROL!$C$27, 0.0021, 0)</f>
        <v>22.092099999999999</v>
      </c>
      <c r="L33" s="10"/>
      <c r="M33" s="17"/>
      <c r="N33" s="17"/>
      <c r="O33" s="17"/>
      <c r="P33" s="17"/>
      <c r="Q33" s="17"/>
    </row>
    <row r="34" spans="1:17" ht="15" x14ac:dyDescent="0.2">
      <c r="A34" s="16">
        <v>42309</v>
      </c>
      <c r="B34" s="10">
        <f>22.4862 * CHOOSE(CONTROL!$C$9, $D$9, 100%, $F$9) + CHOOSE(CONTROL!$C$27, 0.0021, 0)</f>
        <v>22.488299999999999</v>
      </c>
      <c r="C34" s="10">
        <f>22.054 * CHOOSE(CONTROL!$C$9, $D$9, 100%, $F$9) + CHOOSE(CONTROL!$C$27, 0.0021, 0)</f>
        <v>22.056099999999997</v>
      </c>
      <c r="D34" s="10">
        <f>22.054 * CHOOSE(CONTROL!$C$9, $D$9, 100%, $F$9) + CHOOSE(CONTROL!$C$27, 0.0021, 0)</f>
        <v>22.056099999999997</v>
      </c>
      <c r="E34" s="10">
        <f>21.9173 * CHOOSE(CONTROL!$C$9, $D$9, 100%, $F$9) + CHOOSE(CONTROL!$C$27, 0.0021, 0)</f>
        <v>21.9194</v>
      </c>
      <c r="F34" s="10">
        <f>21.9173 * CHOOSE(CONTROL!$C$9, $D$9, 100%, $F$9) + CHOOSE(CONTROL!$C$27, 0.0021, 0)</f>
        <v>21.9194</v>
      </c>
      <c r="G34" s="10">
        <f>22.1887 * CHOOSE(CONTROL!$C$9, $D$9, 100%, $F$9) + CHOOSE(CONTROL!$C$27, 0.0021, 0)</f>
        <v>22.190799999999999</v>
      </c>
      <c r="H34" s="10">
        <f>22.054 * CHOOSE(CONTROL!$C$9, $D$9, 100%, $F$9) + CHOOSE(CONTROL!$C$27, 0.0021, 0)</f>
        <v>22.056099999999997</v>
      </c>
      <c r="I34" s="10">
        <f>22.054 * CHOOSE(CONTROL!$C$9, $D$9, 100%, $F$9) + CHOOSE(CONTROL!$C$27, 0.0021, 0)</f>
        <v>22.056099999999997</v>
      </c>
      <c r="J34" s="10">
        <f>21.6938 * CHOOSE(CONTROL!$C$9, $D$9, 100%, $F$9) + CHOOSE(CONTROL!$C$27, 0.0021, 0)</f>
        <v>21.695899999999998</v>
      </c>
      <c r="K34" s="10">
        <f>22.054 * CHOOSE(CONTROL!$C$9, $D$9, 100%, $F$9) + CHOOSE(CONTROL!$C$27, 0.0021, 0)</f>
        <v>22.056099999999997</v>
      </c>
      <c r="L34" s="10"/>
      <c r="M34" s="17"/>
      <c r="N34" s="17"/>
      <c r="O34" s="17"/>
      <c r="P34" s="17"/>
      <c r="Q34" s="17"/>
    </row>
    <row r="35" spans="1:17" ht="15" x14ac:dyDescent="0.2">
      <c r="A35" s="16">
        <v>42339</v>
      </c>
      <c r="B35" s="10">
        <f>22.4487 * CHOOSE(CONTROL!$C$9, $D$9, 100%, $F$9) + CHOOSE(CONTROL!$C$27, 0.0021, 0)</f>
        <v>22.450799999999997</v>
      </c>
      <c r="C35" s="10">
        <f>22.0165 * CHOOSE(CONTROL!$C$9, $D$9, 100%, $F$9) + CHOOSE(CONTROL!$C$27, 0.0021, 0)</f>
        <v>22.018599999999999</v>
      </c>
      <c r="D35" s="10">
        <f>22.0165 * CHOOSE(CONTROL!$C$9, $D$9, 100%, $F$9) + CHOOSE(CONTROL!$C$27, 0.0021, 0)</f>
        <v>22.018599999999999</v>
      </c>
      <c r="E35" s="10">
        <f>21.8798 * CHOOSE(CONTROL!$C$9, $D$9, 100%, $F$9) + CHOOSE(CONTROL!$C$27, 0.0021, 0)</f>
        <v>21.881899999999998</v>
      </c>
      <c r="F35" s="10">
        <f>21.8798 * CHOOSE(CONTROL!$C$9, $D$9, 100%, $F$9) + CHOOSE(CONTROL!$C$27, 0.0021, 0)</f>
        <v>21.881899999999998</v>
      </c>
      <c r="G35" s="10">
        <f>22.1512 * CHOOSE(CONTROL!$C$9, $D$9, 100%, $F$9) + CHOOSE(CONTROL!$C$27, 0.0021, 0)</f>
        <v>22.153299999999998</v>
      </c>
      <c r="H35" s="10">
        <f>22.0165 * CHOOSE(CONTROL!$C$9, $D$9, 100%, $F$9) + CHOOSE(CONTROL!$C$27, 0.0021, 0)</f>
        <v>22.018599999999999</v>
      </c>
      <c r="I35" s="10">
        <f>22.0165 * CHOOSE(CONTROL!$C$9, $D$9, 100%, $F$9) + CHOOSE(CONTROL!$C$27, 0.0021, 0)</f>
        <v>22.018599999999999</v>
      </c>
      <c r="J35" s="10">
        <f>21.6563 * CHOOSE(CONTROL!$C$9, $D$9, 100%, $F$9) + CHOOSE(CONTROL!$C$27, 0.0021, 0)</f>
        <v>21.6584</v>
      </c>
      <c r="K35" s="10">
        <f>22.0165 * CHOOSE(CONTROL!$C$9, $D$9, 100%, $F$9) + CHOOSE(CONTROL!$C$27, 0.0021, 0)</f>
        <v>22.018599999999999</v>
      </c>
      <c r="L35" s="10"/>
      <c r="M35" s="17"/>
      <c r="N35" s="17"/>
      <c r="O35" s="17"/>
      <c r="P35" s="17"/>
      <c r="Q35" s="17"/>
    </row>
    <row r="36" spans="1:17" ht="15" x14ac:dyDescent="0.2">
      <c r="A36" s="16">
        <v>42370</v>
      </c>
      <c r="B36" s="10">
        <f>22.4235 * CHOOSE(CONTROL!$C$9, $D$9, 100%, $F$9) + CHOOSE(CONTROL!$C$27, 0.0021, 0)</f>
        <v>22.425599999999999</v>
      </c>
      <c r="C36" s="10">
        <f>21.9913 * CHOOSE(CONTROL!$C$9, $D$9, 100%, $F$9) + CHOOSE(CONTROL!$C$27, 0.0021, 0)</f>
        <v>21.993399999999998</v>
      </c>
      <c r="D36" s="10">
        <f>21.9913 * CHOOSE(CONTROL!$C$9, $D$9, 100%, $F$9) + CHOOSE(CONTROL!$C$27, 0.0021, 0)</f>
        <v>21.993399999999998</v>
      </c>
      <c r="E36" s="10">
        <f>21.8546 * CHOOSE(CONTROL!$C$9, $D$9, 100%, $F$9) + CHOOSE(CONTROL!$C$27, 0.0021, 0)</f>
        <v>21.8567</v>
      </c>
      <c r="F36" s="10">
        <f>21.8546 * CHOOSE(CONTROL!$C$9, $D$9, 100%, $F$9) + CHOOSE(CONTROL!$C$27, 0.0021, 0)</f>
        <v>21.8567</v>
      </c>
      <c r="G36" s="10">
        <f>22.126 * CHOOSE(CONTROL!$C$9, $D$9, 100%, $F$9) + CHOOSE(CONTROL!$C$27, 0.0021, 0)</f>
        <v>22.1281</v>
      </c>
      <c r="H36" s="10">
        <f>21.9913 * CHOOSE(CONTROL!$C$9, $D$9, 100%, $F$9) + CHOOSE(CONTROL!$C$27, 0.0021, 0)</f>
        <v>21.993399999999998</v>
      </c>
      <c r="I36" s="10">
        <f>21.9913 * CHOOSE(CONTROL!$C$9, $D$9, 100%, $F$9) + CHOOSE(CONTROL!$C$27, 0.0021, 0)</f>
        <v>21.993399999999998</v>
      </c>
      <c r="J36" s="10">
        <f>21.9913 * CHOOSE(CONTROL!$C$9, $D$9, 100%, $F$9) + CHOOSE(CONTROL!$C$27, 0.0021, 0)</f>
        <v>21.993399999999998</v>
      </c>
      <c r="K36" s="10">
        <f>21.9913 * CHOOSE(CONTROL!$C$9, $D$9, 100%, $F$9) + CHOOSE(CONTROL!$C$27, 0.0021, 0)</f>
        <v>21.993399999999998</v>
      </c>
      <c r="L36" s="10"/>
    </row>
    <row r="37" spans="1:17" ht="15" x14ac:dyDescent="0.2">
      <c r="A37" s="16">
        <v>42401</v>
      </c>
      <c r="B37" s="10">
        <f>22.3695 * CHOOSE(CONTROL!$C$9, $D$9, 100%, $F$9) + CHOOSE(CONTROL!$C$27, 0.0021, 0)</f>
        <v>22.371599999999997</v>
      </c>
      <c r="C37" s="10">
        <f>21.9373 * CHOOSE(CONTROL!$C$9, $D$9, 100%, $F$9) + CHOOSE(CONTROL!$C$27, 0.0021, 0)</f>
        <v>21.939399999999999</v>
      </c>
      <c r="D37" s="10">
        <f>21.9373 * CHOOSE(CONTROL!$C$9, $D$9, 100%, $F$9) + CHOOSE(CONTROL!$C$27, 0.0021, 0)</f>
        <v>21.939399999999999</v>
      </c>
      <c r="E37" s="10">
        <f>21.8006 * CHOOSE(CONTROL!$C$9, $D$9, 100%, $F$9) + CHOOSE(CONTROL!$C$27, 0.0021, 0)</f>
        <v>21.802699999999998</v>
      </c>
      <c r="F37" s="10">
        <f>21.8006 * CHOOSE(CONTROL!$C$9, $D$9, 100%, $F$9) + CHOOSE(CONTROL!$C$27, 0.0021, 0)</f>
        <v>21.802699999999998</v>
      </c>
      <c r="G37" s="10">
        <f>22.072 * CHOOSE(CONTROL!$C$9, $D$9, 100%, $F$9) + CHOOSE(CONTROL!$C$27, 0.0021, 0)</f>
        <v>22.074099999999998</v>
      </c>
      <c r="H37" s="10">
        <f>21.9373 * CHOOSE(CONTROL!$C$9, $D$9, 100%, $F$9) + CHOOSE(CONTROL!$C$27, 0.0021, 0)</f>
        <v>21.939399999999999</v>
      </c>
      <c r="I37" s="10">
        <f>21.9373 * CHOOSE(CONTROL!$C$9, $D$9, 100%, $F$9) + CHOOSE(CONTROL!$C$27, 0.0021, 0)</f>
        <v>21.939399999999999</v>
      </c>
      <c r="J37" s="10">
        <f>21.9373 * CHOOSE(CONTROL!$C$9, $D$9, 100%, $F$9) + CHOOSE(CONTROL!$C$27, 0.0021, 0)</f>
        <v>21.939399999999999</v>
      </c>
      <c r="K37" s="10">
        <f>21.9373 * CHOOSE(CONTROL!$C$9, $D$9, 100%, $F$9) + CHOOSE(CONTROL!$C$27, 0.0021, 0)</f>
        <v>21.939399999999999</v>
      </c>
      <c r="L37" s="10"/>
    </row>
    <row r="38" spans="1:17" ht="15" x14ac:dyDescent="0.2">
      <c r="A38" s="16">
        <v>42430</v>
      </c>
      <c r="B38" s="10">
        <f>22.2903 * CHOOSE(CONTROL!$C$9, $D$9, 100%, $F$9) + CHOOSE(CONTROL!$C$27, 0.0021, 0)</f>
        <v>22.292399999999997</v>
      </c>
      <c r="C38" s="10">
        <f>21.858 * CHOOSE(CONTROL!$C$9, $D$9, 100%, $F$9) + CHOOSE(CONTROL!$C$27, 0.0021, 0)</f>
        <v>21.860099999999999</v>
      </c>
      <c r="D38" s="10">
        <f>21.858 * CHOOSE(CONTROL!$C$9, $D$9, 100%, $F$9) + CHOOSE(CONTROL!$C$27, 0.0021, 0)</f>
        <v>21.860099999999999</v>
      </c>
      <c r="E38" s="10">
        <f>21.7214 * CHOOSE(CONTROL!$C$9, $D$9, 100%, $F$9) + CHOOSE(CONTROL!$C$27, 0.0021, 0)</f>
        <v>21.723499999999998</v>
      </c>
      <c r="F38" s="10">
        <f>21.7214 * CHOOSE(CONTROL!$C$9, $D$9, 100%, $F$9) + CHOOSE(CONTROL!$C$27, 0.0021, 0)</f>
        <v>21.723499999999998</v>
      </c>
      <c r="G38" s="10">
        <f>21.9927 * CHOOSE(CONTROL!$C$9, $D$9, 100%, $F$9) + CHOOSE(CONTROL!$C$27, 0.0021, 0)</f>
        <v>21.994799999999998</v>
      </c>
      <c r="H38" s="10">
        <f>21.858 * CHOOSE(CONTROL!$C$9, $D$9, 100%, $F$9) + CHOOSE(CONTROL!$C$27, 0.0021, 0)</f>
        <v>21.860099999999999</v>
      </c>
      <c r="I38" s="10">
        <f>21.858 * CHOOSE(CONTROL!$C$9, $D$9, 100%, $F$9) + CHOOSE(CONTROL!$C$27, 0.0021, 0)</f>
        <v>21.860099999999999</v>
      </c>
      <c r="J38" s="10">
        <f>21.858 * CHOOSE(CONTROL!$C$9, $D$9, 100%, $F$9) + CHOOSE(CONTROL!$C$27, 0.0021, 0)</f>
        <v>21.860099999999999</v>
      </c>
      <c r="K38" s="10">
        <f>21.858 * CHOOSE(CONTROL!$C$9, $D$9, 100%, $F$9) + CHOOSE(CONTROL!$C$27, 0.0021, 0)</f>
        <v>21.860099999999999</v>
      </c>
      <c r="L38" s="10"/>
    </row>
    <row r="39" spans="1:17" ht="15" x14ac:dyDescent="0.2">
      <c r="A39" s="16">
        <v>42461</v>
      </c>
      <c r="B39" s="10">
        <f>22.2038 * CHOOSE(CONTROL!$C$9, $D$9, 100%, $F$9) + CHOOSE(CONTROL!$C$27, 0.0021, 0)</f>
        <v>22.2059</v>
      </c>
      <c r="C39" s="10">
        <f>21.7716 * CHOOSE(CONTROL!$C$9, $D$9, 100%, $F$9) + CHOOSE(CONTROL!$C$27, 0.0021, 0)</f>
        <v>21.773699999999998</v>
      </c>
      <c r="D39" s="10">
        <f>21.7716 * CHOOSE(CONTROL!$C$9, $D$9, 100%, $F$9) + CHOOSE(CONTROL!$C$27, 0.0021, 0)</f>
        <v>21.773699999999998</v>
      </c>
      <c r="E39" s="10">
        <f>21.6349 * CHOOSE(CONTROL!$C$9, $D$9, 100%, $F$9) + CHOOSE(CONTROL!$C$27, 0.0021, 0)</f>
        <v>21.636999999999997</v>
      </c>
      <c r="F39" s="10">
        <f>21.6349 * CHOOSE(CONTROL!$C$9, $D$9, 100%, $F$9) + CHOOSE(CONTROL!$C$27, 0.0021, 0)</f>
        <v>21.636999999999997</v>
      </c>
      <c r="G39" s="10">
        <f>21.9063 * CHOOSE(CONTROL!$C$9, $D$9, 100%, $F$9) + CHOOSE(CONTROL!$C$27, 0.0021, 0)</f>
        <v>21.9084</v>
      </c>
      <c r="H39" s="10">
        <f>21.7716 * CHOOSE(CONTROL!$C$9, $D$9, 100%, $F$9) + CHOOSE(CONTROL!$C$27, 0.0021, 0)</f>
        <v>21.773699999999998</v>
      </c>
      <c r="I39" s="10">
        <f>21.7716 * CHOOSE(CONTROL!$C$9, $D$9, 100%, $F$9) + CHOOSE(CONTROL!$C$27, 0.0021, 0)</f>
        <v>21.773699999999998</v>
      </c>
      <c r="J39" s="10">
        <f>21.7716 * CHOOSE(CONTROL!$C$9, $D$9, 100%, $F$9) + CHOOSE(CONTROL!$C$27, 0.0021, 0)</f>
        <v>21.773699999999998</v>
      </c>
      <c r="K39" s="10">
        <f>21.7716 * CHOOSE(CONTROL!$C$9, $D$9, 100%, $F$9) + CHOOSE(CONTROL!$C$27, 0.0021, 0)</f>
        <v>21.773699999999998</v>
      </c>
      <c r="L39" s="10"/>
    </row>
    <row r="40" spans="1:17" ht="15" x14ac:dyDescent="0.2">
      <c r="A40" s="16">
        <v>42491</v>
      </c>
      <c r="B40" s="10">
        <f>22.1174 * CHOOSE(CONTROL!$C$9, $D$9, 100%, $F$9) + CHOOSE(CONTROL!$C$27, 0.0021, 0)</f>
        <v>22.119499999999999</v>
      </c>
      <c r="C40" s="10">
        <f>21.6851 * CHOOSE(CONTROL!$C$9, $D$9, 100%, $F$9) + CHOOSE(CONTROL!$C$27, 0.0021, 0)</f>
        <v>21.687199999999997</v>
      </c>
      <c r="D40" s="10">
        <f>21.6851 * CHOOSE(CONTROL!$C$9, $D$9, 100%, $F$9) + CHOOSE(CONTROL!$C$27, 0.0021, 0)</f>
        <v>21.687199999999997</v>
      </c>
      <c r="E40" s="10">
        <f>21.5485 * CHOOSE(CONTROL!$C$9, $D$9, 100%, $F$9) + CHOOSE(CONTROL!$C$27, 0.0021, 0)</f>
        <v>21.550599999999999</v>
      </c>
      <c r="F40" s="10">
        <f>21.5485 * CHOOSE(CONTROL!$C$9, $D$9, 100%, $F$9) + CHOOSE(CONTROL!$C$27, 0.0021, 0)</f>
        <v>21.550599999999999</v>
      </c>
      <c r="G40" s="10">
        <f>21.8198 * CHOOSE(CONTROL!$C$9, $D$9, 100%, $F$9) + CHOOSE(CONTROL!$C$27, 0.0021, 0)</f>
        <v>21.821899999999999</v>
      </c>
      <c r="H40" s="10">
        <f>21.6851 * CHOOSE(CONTROL!$C$9, $D$9, 100%, $F$9) + CHOOSE(CONTROL!$C$27, 0.0021, 0)</f>
        <v>21.687199999999997</v>
      </c>
      <c r="I40" s="10">
        <f>21.6851 * CHOOSE(CONTROL!$C$9, $D$9, 100%, $F$9) + CHOOSE(CONTROL!$C$27, 0.0021, 0)</f>
        <v>21.687199999999997</v>
      </c>
      <c r="J40" s="10">
        <f>21.6851 * CHOOSE(CONTROL!$C$9, $D$9, 100%, $F$9) + CHOOSE(CONTROL!$C$27, 0.0021, 0)</f>
        <v>21.687199999999997</v>
      </c>
      <c r="K40" s="10">
        <f>21.6851 * CHOOSE(CONTROL!$C$9, $D$9, 100%, $F$9) + CHOOSE(CONTROL!$C$27, 0.0021, 0)</f>
        <v>21.687199999999997</v>
      </c>
      <c r="L40" s="10"/>
    </row>
    <row r="41" spans="1:17" ht="15" x14ac:dyDescent="0.2">
      <c r="A41" s="16">
        <v>42522</v>
      </c>
      <c r="B41" s="10">
        <f>22.0345 * CHOOSE(CONTROL!$C$9, $D$9, 100%, $F$9) + CHOOSE(CONTROL!$C$27, 0.0021, 0)</f>
        <v>22.0366</v>
      </c>
      <c r="C41" s="10">
        <f>21.6023 * CHOOSE(CONTROL!$C$9, $D$9, 100%, $F$9) + CHOOSE(CONTROL!$C$27, 0.0021, 0)</f>
        <v>21.604399999999998</v>
      </c>
      <c r="D41" s="10">
        <f>21.6023 * CHOOSE(CONTROL!$C$9, $D$9, 100%, $F$9) + CHOOSE(CONTROL!$C$27, 0.0021, 0)</f>
        <v>21.604399999999998</v>
      </c>
      <c r="E41" s="10">
        <f>21.4656 * CHOOSE(CONTROL!$C$9, $D$9, 100%, $F$9) + CHOOSE(CONTROL!$C$27, 0.0021, 0)</f>
        <v>21.467699999999997</v>
      </c>
      <c r="F41" s="10">
        <f>21.4656 * CHOOSE(CONTROL!$C$9, $D$9, 100%, $F$9) + CHOOSE(CONTROL!$C$27, 0.0021, 0)</f>
        <v>21.467699999999997</v>
      </c>
      <c r="G41" s="10">
        <f>21.737 * CHOOSE(CONTROL!$C$9, $D$9, 100%, $F$9) + CHOOSE(CONTROL!$C$27, 0.0021, 0)</f>
        <v>21.739099999999997</v>
      </c>
      <c r="H41" s="10">
        <f>21.6023 * CHOOSE(CONTROL!$C$9, $D$9, 100%, $F$9) + CHOOSE(CONTROL!$C$27, 0.0021, 0)</f>
        <v>21.604399999999998</v>
      </c>
      <c r="I41" s="10">
        <f>21.6023 * CHOOSE(CONTROL!$C$9, $D$9, 100%, $F$9) + CHOOSE(CONTROL!$C$27, 0.0021, 0)</f>
        <v>21.604399999999998</v>
      </c>
      <c r="J41" s="10">
        <f>21.6023 * CHOOSE(CONTROL!$C$9, $D$9, 100%, $F$9) + CHOOSE(CONTROL!$C$27, 0.0021, 0)</f>
        <v>21.604399999999998</v>
      </c>
      <c r="K41" s="10">
        <f>21.6023 * CHOOSE(CONTROL!$C$9, $D$9, 100%, $F$9) + CHOOSE(CONTROL!$C$27, 0.0021, 0)</f>
        <v>21.604399999999998</v>
      </c>
      <c r="L41" s="10"/>
    </row>
    <row r="42" spans="1:17" ht="15" x14ac:dyDescent="0.2">
      <c r="A42" s="16">
        <v>42552</v>
      </c>
      <c r="B42" s="10">
        <f>21.9877 * CHOOSE(CONTROL!$C$9, $D$9, 100%, $F$9) + CHOOSE(CONTROL!$C$27, 0.0021, 0)</f>
        <v>21.989799999999999</v>
      </c>
      <c r="C42" s="10">
        <f>21.5554 * CHOOSE(CONTROL!$C$9, $D$9, 100%, $F$9) + CHOOSE(CONTROL!$C$27, 0.0021, 0)</f>
        <v>21.557499999999997</v>
      </c>
      <c r="D42" s="10">
        <f>21.5554 * CHOOSE(CONTROL!$C$9, $D$9, 100%, $F$9) + CHOOSE(CONTROL!$C$27, 0.0021, 0)</f>
        <v>21.557499999999997</v>
      </c>
      <c r="E42" s="10">
        <f>21.4188 * CHOOSE(CONTROL!$C$9, $D$9, 100%, $F$9) + CHOOSE(CONTROL!$C$27, 0.0021, 0)</f>
        <v>21.4209</v>
      </c>
      <c r="F42" s="10">
        <f>21.4188 * CHOOSE(CONTROL!$C$9, $D$9, 100%, $F$9) + CHOOSE(CONTROL!$C$27, 0.0021, 0)</f>
        <v>21.4209</v>
      </c>
      <c r="G42" s="10">
        <f>21.6902 * CHOOSE(CONTROL!$C$9, $D$9, 100%, $F$9) + CHOOSE(CONTROL!$C$27, 0.0021, 0)</f>
        <v>21.692299999999999</v>
      </c>
      <c r="H42" s="10">
        <f>21.5554 * CHOOSE(CONTROL!$C$9, $D$9, 100%, $F$9) + CHOOSE(CONTROL!$C$27, 0.0021, 0)</f>
        <v>21.557499999999997</v>
      </c>
      <c r="I42" s="10">
        <f>21.5554 * CHOOSE(CONTROL!$C$9, $D$9, 100%, $F$9) + CHOOSE(CONTROL!$C$27, 0.0021, 0)</f>
        <v>21.557499999999997</v>
      </c>
      <c r="J42" s="10">
        <f>21.5554 * CHOOSE(CONTROL!$C$9, $D$9, 100%, $F$9) + CHOOSE(CONTROL!$C$27, 0.0021, 0)</f>
        <v>21.557499999999997</v>
      </c>
      <c r="K42" s="10">
        <f>21.5554 * CHOOSE(CONTROL!$C$9, $D$9, 100%, $F$9) + CHOOSE(CONTROL!$C$27, 0.0021, 0)</f>
        <v>21.557499999999997</v>
      </c>
      <c r="L42" s="10"/>
    </row>
    <row r="43" spans="1:17" ht="15" x14ac:dyDescent="0.2">
      <c r="A43" s="16">
        <v>42583</v>
      </c>
      <c r="B43" s="10">
        <f>21.9445 * CHOOSE(CONTROL!$C$9, $D$9, 100%, $F$9) + CHOOSE(CONTROL!$C$27, 0.0021, 0)</f>
        <v>21.9466</v>
      </c>
      <c r="C43" s="10">
        <f>21.5122 * CHOOSE(CONTROL!$C$9, $D$9, 100%, $F$9) + CHOOSE(CONTROL!$C$27, 0.0021, 0)</f>
        <v>21.514299999999999</v>
      </c>
      <c r="D43" s="10">
        <f>21.5122 * CHOOSE(CONTROL!$C$9, $D$9, 100%, $F$9) + CHOOSE(CONTROL!$C$27, 0.0021, 0)</f>
        <v>21.514299999999999</v>
      </c>
      <c r="E43" s="10">
        <f>21.3756 * CHOOSE(CONTROL!$C$9, $D$9, 100%, $F$9) + CHOOSE(CONTROL!$C$27, 0.0021, 0)</f>
        <v>21.377699999999997</v>
      </c>
      <c r="F43" s="10">
        <f>21.3756 * CHOOSE(CONTROL!$C$9, $D$9, 100%, $F$9) + CHOOSE(CONTROL!$C$27, 0.0021, 0)</f>
        <v>21.377699999999997</v>
      </c>
      <c r="G43" s="10">
        <f>21.6469 * CHOOSE(CONTROL!$C$9, $D$9, 100%, $F$9) + CHOOSE(CONTROL!$C$27, 0.0021, 0)</f>
        <v>21.648999999999997</v>
      </c>
      <c r="H43" s="10">
        <f>21.5122 * CHOOSE(CONTROL!$C$9, $D$9, 100%, $F$9) + CHOOSE(CONTROL!$C$27, 0.0021, 0)</f>
        <v>21.514299999999999</v>
      </c>
      <c r="I43" s="10">
        <f>21.5122 * CHOOSE(CONTROL!$C$9, $D$9, 100%, $F$9) + CHOOSE(CONTROL!$C$27, 0.0021, 0)</f>
        <v>21.514299999999999</v>
      </c>
      <c r="J43" s="10">
        <f>21.5122 * CHOOSE(CONTROL!$C$9, $D$9, 100%, $F$9) + CHOOSE(CONTROL!$C$27, 0.0021, 0)</f>
        <v>21.514299999999999</v>
      </c>
      <c r="K43" s="10">
        <f>21.5122 * CHOOSE(CONTROL!$C$9, $D$9, 100%, $F$9) + CHOOSE(CONTROL!$C$27, 0.0021, 0)</f>
        <v>21.514299999999999</v>
      </c>
      <c r="L43" s="10"/>
    </row>
    <row r="44" spans="1:17" ht="15" x14ac:dyDescent="0.2">
      <c r="A44" s="16">
        <v>42614</v>
      </c>
      <c r="B44" s="10">
        <f>21.9012 * CHOOSE(CONTROL!$C$9, $D$9, 100%, $F$9) + CHOOSE(CONTROL!$C$27, 0.0021, 0)</f>
        <v>21.903299999999998</v>
      </c>
      <c r="C44" s="10">
        <f>21.469 * CHOOSE(CONTROL!$C$9, $D$9, 100%, $F$9) + CHOOSE(CONTROL!$C$27, 0.0021, 0)</f>
        <v>21.4711</v>
      </c>
      <c r="D44" s="10">
        <f>21.469 * CHOOSE(CONTROL!$C$9, $D$9, 100%, $F$9) + CHOOSE(CONTROL!$C$27, 0.0021, 0)</f>
        <v>21.4711</v>
      </c>
      <c r="E44" s="10">
        <f>21.3323 * CHOOSE(CONTROL!$C$9, $D$9, 100%, $F$9) + CHOOSE(CONTROL!$C$27, 0.0021, 0)</f>
        <v>21.334399999999999</v>
      </c>
      <c r="F44" s="10">
        <f>21.3323 * CHOOSE(CONTROL!$C$9, $D$9, 100%, $F$9) + CHOOSE(CONTROL!$C$27, 0.0021, 0)</f>
        <v>21.334399999999999</v>
      </c>
      <c r="G44" s="10">
        <f>21.6037 * CHOOSE(CONTROL!$C$9, $D$9, 100%, $F$9) + CHOOSE(CONTROL!$C$27, 0.0021, 0)</f>
        <v>21.605799999999999</v>
      </c>
      <c r="H44" s="10">
        <f>21.469 * CHOOSE(CONTROL!$C$9, $D$9, 100%, $F$9) + CHOOSE(CONTROL!$C$27, 0.0021, 0)</f>
        <v>21.4711</v>
      </c>
      <c r="I44" s="10">
        <f>21.469 * CHOOSE(CONTROL!$C$9, $D$9, 100%, $F$9) + CHOOSE(CONTROL!$C$27, 0.0021, 0)</f>
        <v>21.4711</v>
      </c>
      <c r="J44" s="10">
        <f>21.469 * CHOOSE(CONTROL!$C$9, $D$9, 100%, $F$9) + CHOOSE(CONTROL!$C$27, 0.0021, 0)</f>
        <v>21.4711</v>
      </c>
      <c r="K44" s="10">
        <f>21.469 * CHOOSE(CONTROL!$C$9, $D$9, 100%, $F$9) + CHOOSE(CONTROL!$C$27, 0.0021, 0)</f>
        <v>21.4711</v>
      </c>
      <c r="L44" s="10"/>
    </row>
    <row r="45" spans="1:17" ht="15" x14ac:dyDescent="0.2">
      <c r="A45" s="16">
        <v>42644</v>
      </c>
      <c r="B45" s="10">
        <f>21.858 * CHOOSE(CONTROL!$C$9, $D$9, 100%, $F$9) + CHOOSE(CONTROL!$C$27, 0.0021, 0)</f>
        <v>21.860099999999999</v>
      </c>
      <c r="C45" s="10">
        <f>21.4258 * CHOOSE(CONTROL!$C$9, $D$9, 100%, $F$9) + CHOOSE(CONTROL!$C$27, 0.0021, 0)</f>
        <v>21.427899999999998</v>
      </c>
      <c r="D45" s="10">
        <f>21.4258 * CHOOSE(CONTROL!$C$9, $D$9, 100%, $F$9) + CHOOSE(CONTROL!$C$27, 0.0021, 0)</f>
        <v>21.427899999999998</v>
      </c>
      <c r="E45" s="10">
        <f>21.2891 * CHOOSE(CONTROL!$C$9, $D$9, 100%, $F$9) + CHOOSE(CONTROL!$C$27, 0.0021, 0)</f>
        <v>21.2912</v>
      </c>
      <c r="F45" s="10">
        <f>21.2891 * CHOOSE(CONTROL!$C$9, $D$9, 100%, $F$9) + CHOOSE(CONTROL!$C$27, 0.0021, 0)</f>
        <v>21.2912</v>
      </c>
      <c r="G45" s="10">
        <f>21.5605 * CHOOSE(CONTROL!$C$9, $D$9, 100%, $F$9) + CHOOSE(CONTROL!$C$27, 0.0021, 0)</f>
        <v>21.5626</v>
      </c>
      <c r="H45" s="10">
        <f>21.4258 * CHOOSE(CONTROL!$C$9, $D$9, 100%, $F$9) + CHOOSE(CONTROL!$C$27, 0.0021, 0)</f>
        <v>21.427899999999998</v>
      </c>
      <c r="I45" s="10">
        <f>21.4258 * CHOOSE(CONTROL!$C$9, $D$9, 100%, $F$9) + CHOOSE(CONTROL!$C$27, 0.0021, 0)</f>
        <v>21.427899999999998</v>
      </c>
      <c r="J45" s="10">
        <f>21.4258 * CHOOSE(CONTROL!$C$9, $D$9, 100%, $F$9) + CHOOSE(CONTROL!$C$27, 0.0021, 0)</f>
        <v>21.427899999999998</v>
      </c>
      <c r="K45" s="10">
        <f>21.4258 * CHOOSE(CONTROL!$C$9, $D$9, 100%, $F$9) + CHOOSE(CONTROL!$C$27, 0.0021, 0)</f>
        <v>21.427899999999998</v>
      </c>
      <c r="L45" s="10"/>
    </row>
    <row r="46" spans="1:17" ht="15" x14ac:dyDescent="0.2">
      <c r="A46" s="16">
        <v>42675</v>
      </c>
      <c r="B46" s="10">
        <f>21.8112 * CHOOSE(CONTROL!$C$9, $D$9, 100%, $F$9) + CHOOSE(CONTROL!$C$27, 0.0021, 0)</f>
        <v>21.813299999999998</v>
      </c>
      <c r="C46" s="10">
        <f>21.3789 * CHOOSE(CONTROL!$C$9, $D$9, 100%, $F$9) + CHOOSE(CONTROL!$C$27, 0.0021, 0)</f>
        <v>21.381</v>
      </c>
      <c r="D46" s="10">
        <f>21.3789 * CHOOSE(CONTROL!$C$9, $D$9, 100%, $F$9) + CHOOSE(CONTROL!$C$27, 0.0021, 0)</f>
        <v>21.381</v>
      </c>
      <c r="E46" s="10">
        <f>21.2423 * CHOOSE(CONTROL!$C$9, $D$9, 100%, $F$9) + CHOOSE(CONTROL!$C$27, 0.0021, 0)</f>
        <v>21.244399999999999</v>
      </c>
      <c r="F46" s="10">
        <f>21.2423 * CHOOSE(CONTROL!$C$9, $D$9, 100%, $F$9) + CHOOSE(CONTROL!$C$27, 0.0021, 0)</f>
        <v>21.244399999999999</v>
      </c>
      <c r="G46" s="10">
        <f>21.5137 * CHOOSE(CONTROL!$C$9, $D$9, 100%, $F$9) + CHOOSE(CONTROL!$C$27, 0.0021, 0)</f>
        <v>21.515799999999999</v>
      </c>
      <c r="H46" s="10">
        <f>21.3789 * CHOOSE(CONTROL!$C$9, $D$9, 100%, $F$9) + CHOOSE(CONTROL!$C$27, 0.0021, 0)</f>
        <v>21.381</v>
      </c>
      <c r="I46" s="10">
        <f>21.3789 * CHOOSE(CONTROL!$C$9, $D$9, 100%, $F$9) + CHOOSE(CONTROL!$C$27, 0.0021, 0)</f>
        <v>21.381</v>
      </c>
      <c r="J46" s="10">
        <f>21.3789 * CHOOSE(CONTROL!$C$9, $D$9, 100%, $F$9) + CHOOSE(CONTROL!$C$27, 0.0021, 0)</f>
        <v>21.381</v>
      </c>
      <c r="K46" s="10">
        <f>21.3789 * CHOOSE(CONTROL!$C$9, $D$9, 100%, $F$9) + CHOOSE(CONTROL!$C$27, 0.0021, 0)</f>
        <v>21.381</v>
      </c>
      <c r="L46" s="10"/>
    </row>
    <row r="47" spans="1:17" ht="15" x14ac:dyDescent="0.2">
      <c r="A47" s="16">
        <v>42705</v>
      </c>
      <c r="B47" s="10">
        <f>21.7608 * CHOOSE(CONTROL!$C$9, $D$9, 100%, $F$9) + CHOOSE(CONTROL!$C$27, 0.0021, 0)</f>
        <v>21.762899999999998</v>
      </c>
      <c r="C47" s="10">
        <f>21.3285 * CHOOSE(CONTROL!$C$9, $D$9, 100%, $F$9) + CHOOSE(CONTROL!$C$27, 0.0021, 0)</f>
        <v>21.330599999999997</v>
      </c>
      <c r="D47" s="10">
        <f>21.3285 * CHOOSE(CONTROL!$C$9, $D$9, 100%, $F$9) + CHOOSE(CONTROL!$C$27, 0.0021, 0)</f>
        <v>21.330599999999997</v>
      </c>
      <c r="E47" s="10">
        <f>21.1918 * CHOOSE(CONTROL!$C$9, $D$9, 100%, $F$9) + CHOOSE(CONTROL!$C$27, 0.0021, 0)</f>
        <v>21.193899999999999</v>
      </c>
      <c r="F47" s="10">
        <f>21.1918 * CHOOSE(CONTROL!$C$9, $D$9, 100%, $F$9) + CHOOSE(CONTROL!$C$27, 0.0021, 0)</f>
        <v>21.193899999999999</v>
      </c>
      <c r="G47" s="10">
        <f>21.4632 * CHOOSE(CONTROL!$C$9, $D$9, 100%, $F$9) + CHOOSE(CONTROL!$C$27, 0.0021, 0)</f>
        <v>21.465299999999999</v>
      </c>
      <c r="H47" s="10">
        <f>21.3285 * CHOOSE(CONTROL!$C$9, $D$9, 100%, $F$9) + CHOOSE(CONTROL!$C$27, 0.0021, 0)</f>
        <v>21.330599999999997</v>
      </c>
      <c r="I47" s="10">
        <f>21.3285 * CHOOSE(CONTROL!$C$9, $D$9, 100%, $F$9) + CHOOSE(CONTROL!$C$27, 0.0021, 0)</f>
        <v>21.330599999999997</v>
      </c>
      <c r="J47" s="10">
        <f>21.3285 * CHOOSE(CONTROL!$C$9, $D$9, 100%, $F$9) + CHOOSE(CONTROL!$C$27, 0.0021, 0)</f>
        <v>21.330599999999997</v>
      </c>
      <c r="K47" s="10">
        <f>21.3285 * CHOOSE(CONTROL!$C$9, $D$9, 100%, $F$9) + CHOOSE(CONTROL!$C$27, 0.0021, 0)</f>
        <v>21.330599999999997</v>
      </c>
      <c r="L47" s="10"/>
    </row>
    <row r="48" spans="1:17" ht="15" x14ac:dyDescent="0.2">
      <c r="A48" s="16">
        <v>42736</v>
      </c>
      <c r="B48" s="10">
        <f>21.8936 * CHOOSE(CONTROL!$C$9, $D$9, 100%, $F$9) + CHOOSE(CONTROL!$C$27, 0.0021, 0)</f>
        <v>21.895699999999998</v>
      </c>
      <c r="C48" s="10">
        <f>21.4613 * CHOOSE(CONTROL!$C$9, $D$9, 100%, $F$9) + CHOOSE(CONTROL!$C$27, 0.0021, 0)</f>
        <v>21.4634</v>
      </c>
      <c r="D48" s="10">
        <f>21.4613 * CHOOSE(CONTROL!$C$9, $D$9, 100%, $F$9) + CHOOSE(CONTROL!$C$27, 0.0021, 0)</f>
        <v>21.4634</v>
      </c>
      <c r="E48" s="10">
        <f>21.3247 * CHOOSE(CONTROL!$C$9, $D$9, 100%, $F$9) + CHOOSE(CONTROL!$C$27, 0.0021, 0)</f>
        <v>21.326799999999999</v>
      </c>
      <c r="F48" s="10">
        <f>21.3247 * CHOOSE(CONTROL!$C$9, $D$9, 100%, $F$9) + CHOOSE(CONTROL!$C$27, 0.0021, 0)</f>
        <v>21.326799999999999</v>
      </c>
      <c r="G48" s="10">
        <f>21.5961 * CHOOSE(CONTROL!$C$9, $D$9, 100%, $F$9) + CHOOSE(CONTROL!$C$27, 0.0021, 0)</f>
        <v>21.598199999999999</v>
      </c>
      <c r="H48" s="10">
        <f>21.4613 * CHOOSE(CONTROL!$C$9, $D$9, 100%, $F$9) + CHOOSE(CONTROL!$C$27, 0.0021, 0)</f>
        <v>21.4634</v>
      </c>
      <c r="I48" s="10">
        <f>21.4613 * CHOOSE(CONTROL!$C$9, $D$9, 100%, $F$9) + CHOOSE(CONTROL!$C$27, 0.0021, 0)</f>
        <v>21.4634</v>
      </c>
      <c r="J48" s="10">
        <f>21.4613 * CHOOSE(CONTROL!$C$9, $D$9, 100%, $F$9) + CHOOSE(CONTROL!$C$27, 0.0021, 0)</f>
        <v>21.4634</v>
      </c>
      <c r="K48" s="10">
        <f>21.4613 * CHOOSE(CONTROL!$C$9, $D$9, 100%, $F$9) + CHOOSE(CONTROL!$C$27, 0.0021, 0)</f>
        <v>21.4634</v>
      </c>
      <c r="L48" s="10"/>
    </row>
    <row r="49" spans="1:12" ht="15" x14ac:dyDescent="0.2">
      <c r="A49" s="16">
        <v>42767</v>
      </c>
      <c r="B49" s="10">
        <f>21.3392 * CHOOSE(CONTROL!$C$9, $D$9, 100%, $F$9) + CHOOSE(CONTROL!$C$27, 0.0021, 0)</f>
        <v>21.3413</v>
      </c>
      <c r="C49" s="10">
        <f>20.9069 * CHOOSE(CONTROL!$C$9, $D$9, 100%, $F$9) + CHOOSE(CONTROL!$C$27, 0.0021, 0)</f>
        <v>20.908999999999999</v>
      </c>
      <c r="D49" s="10">
        <f>20.9069 * CHOOSE(CONTROL!$C$9, $D$9, 100%, $F$9) + CHOOSE(CONTROL!$C$27, 0.0021, 0)</f>
        <v>20.908999999999999</v>
      </c>
      <c r="E49" s="10">
        <f>20.7703 * CHOOSE(CONTROL!$C$9, $D$9, 100%, $F$9) + CHOOSE(CONTROL!$C$27, 0.0021, 0)</f>
        <v>20.772399999999998</v>
      </c>
      <c r="F49" s="10">
        <f>20.7703 * CHOOSE(CONTROL!$C$9, $D$9, 100%, $F$9) + CHOOSE(CONTROL!$C$27, 0.0021, 0)</f>
        <v>20.772399999999998</v>
      </c>
      <c r="G49" s="10">
        <f>21.0416 * CHOOSE(CONTROL!$C$9, $D$9, 100%, $F$9) + CHOOSE(CONTROL!$C$27, 0.0021, 0)</f>
        <v>21.043699999999998</v>
      </c>
      <c r="H49" s="10">
        <f>20.9069 * CHOOSE(CONTROL!$C$9, $D$9, 100%, $F$9) + CHOOSE(CONTROL!$C$27, 0.0021, 0)</f>
        <v>20.908999999999999</v>
      </c>
      <c r="I49" s="10">
        <f>20.9069 * CHOOSE(CONTROL!$C$9, $D$9, 100%, $F$9) + CHOOSE(CONTROL!$C$27, 0.0021, 0)</f>
        <v>20.908999999999999</v>
      </c>
      <c r="J49" s="10">
        <f>20.9069 * CHOOSE(CONTROL!$C$9, $D$9, 100%, $F$9) + CHOOSE(CONTROL!$C$27, 0.0021, 0)</f>
        <v>20.908999999999999</v>
      </c>
      <c r="K49" s="10">
        <f>20.9069 * CHOOSE(CONTROL!$C$9, $D$9, 100%, $F$9) + CHOOSE(CONTROL!$C$27, 0.0021, 0)</f>
        <v>20.908999999999999</v>
      </c>
      <c r="L49" s="10"/>
    </row>
    <row r="50" spans="1:12" ht="15" x14ac:dyDescent="0.2">
      <c r="A50" s="16">
        <v>42795</v>
      </c>
      <c r="B50" s="10">
        <f>21.1103 * CHOOSE(CONTROL!$C$9, $D$9, 100%, $F$9) + CHOOSE(CONTROL!$C$27, 0.0021, 0)</f>
        <v>21.112399999999997</v>
      </c>
      <c r="C50" s="10">
        <f>20.678 * CHOOSE(CONTROL!$C$9, $D$9, 100%, $F$9) + CHOOSE(CONTROL!$C$27, 0.0021, 0)</f>
        <v>20.680099999999999</v>
      </c>
      <c r="D50" s="10">
        <f>20.678 * CHOOSE(CONTROL!$C$9, $D$9, 100%, $F$9) + CHOOSE(CONTROL!$C$27, 0.0021, 0)</f>
        <v>20.680099999999999</v>
      </c>
      <c r="E50" s="10">
        <f>20.5414 * CHOOSE(CONTROL!$C$9, $D$9, 100%, $F$9) + CHOOSE(CONTROL!$C$27, 0.0021, 0)</f>
        <v>20.543499999999998</v>
      </c>
      <c r="F50" s="10">
        <f>20.5414 * CHOOSE(CONTROL!$C$9, $D$9, 100%, $F$9) + CHOOSE(CONTROL!$C$27, 0.0021, 0)</f>
        <v>20.543499999999998</v>
      </c>
      <c r="G50" s="10">
        <f>20.8128 * CHOOSE(CONTROL!$C$9, $D$9, 100%, $F$9) + CHOOSE(CONTROL!$C$27, 0.0021, 0)</f>
        <v>20.814899999999998</v>
      </c>
      <c r="H50" s="10">
        <f>20.678 * CHOOSE(CONTROL!$C$9, $D$9, 100%, $F$9) + CHOOSE(CONTROL!$C$27, 0.0021, 0)</f>
        <v>20.680099999999999</v>
      </c>
      <c r="I50" s="10">
        <f>20.678 * CHOOSE(CONTROL!$C$9, $D$9, 100%, $F$9) + CHOOSE(CONTROL!$C$27, 0.0021, 0)</f>
        <v>20.680099999999999</v>
      </c>
      <c r="J50" s="10">
        <f>20.678 * CHOOSE(CONTROL!$C$9, $D$9, 100%, $F$9) + CHOOSE(CONTROL!$C$27, 0.0021, 0)</f>
        <v>20.680099999999999</v>
      </c>
      <c r="K50" s="10">
        <f>20.678 * CHOOSE(CONTROL!$C$9, $D$9, 100%, $F$9) + CHOOSE(CONTROL!$C$27, 0.0021, 0)</f>
        <v>20.680099999999999</v>
      </c>
      <c r="L50" s="10"/>
    </row>
    <row r="51" spans="1:12" ht="15" x14ac:dyDescent="0.2">
      <c r="A51" s="16">
        <v>42826</v>
      </c>
      <c r="B51" s="10">
        <f>20.837 * CHOOSE(CONTROL!$C$9, $D$9, 100%, $F$9) + CHOOSE(CONTROL!$C$27, 0.0021, 0)</f>
        <v>20.839099999999998</v>
      </c>
      <c r="C51" s="10">
        <f>20.4048 * CHOOSE(CONTROL!$C$9, $D$9, 100%, $F$9) + CHOOSE(CONTROL!$C$27, 0.0021, 0)</f>
        <v>20.4069</v>
      </c>
      <c r="D51" s="10">
        <f>20.4048 * CHOOSE(CONTROL!$C$9, $D$9, 100%, $F$9) + CHOOSE(CONTROL!$C$27, 0.0021, 0)</f>
        <v>20.4069</v>
      </c>
      <c r="E51" s="10">
        <f>20.2681 * CHOOSE(CONTROL!$C$9, $D$9, 100%, $F$9) + CHOOSE(CONTROL!$C$27, 0.0021, 0)</f>
        <v>20.270199999999999</v>
      </c>
      <c r="F51" s="10">
        <f>20.2681 * CHOOSE(CONTROL!$C$9, $D$9, 100%, $F$9) + CHOOSE(CONTROL!$C$27, 0.0021, 0)</f>
        <v>20.270199999999999</v>
      </c>
      <c r="G51" s="10">
        <f>20.5395 * CHOOSE(CONTROL!$C$9, $D$9, 100%, $F$9) + CHOOSE(CONTROL!$C$27, 0.0021, 0)</f>
        <v>20.541599999999999</v>
      </c>
      <c r="H51" s="10">
        <f>20.4048 * CHOOSE(CONTROL!$C$9, $D$9, 100%, $F$9) + CHOOSE(CONTROL!$C$27, 0.0021, 0)</f>
        <v>20.4069</v>
      </c>
      <c r="I51" s="10">
        <f>20.4048 * CHOOSE(CONTROL!$C$9, $D$9, 100%, $F$9) + CHOOSE(CONTROL!$C$27, 0.0021, 0)</f>
        <v>20.4069</v>
      </c>
      <c r="J51" s="10">
        <f>20.4048 * CHOOSE(CONTROL!$C$9, $D$9, 100%, $F$9) + CHOOSE(CONTROL!$C$27, 0.0021, 0)</f>
        <v>20.4069</v>
      </c>
      <c r="K51" s="10">
        <f>20.4048 * CHOOSE(CONTROL!$C$9, $D$9, 100%, $F$9) + CHOOSE(CONTROL!$C$27, 0.0021, 0)</f>
        <v>20.4069</v>
      </c>
      <c r="L51" s="10"/>
    </row>
    <row r="52" spans="1:12" ht="15" x14ac:dyDescent="0.2">
      <c r="A52" s="16">
        <v>42856</v>
      </c>
      <c r="B52" s="10">
        <f>21.2265 * CHOOSE(CONTROL!$C$9, $D$9, 100%, $F$9) + CHOOSE(CONTROL!$C$27, 0.0021, 0)</f>
        <v>21.2286</v>
      </c>
      <c r="C52" s="10">
        <f>20.7942 * CHOOSE(CONTROL!$C$9, $D$9, 100%, $F$9) + CHOOSE(CONTROL!$C$27, 0.0021, 0)</f>
        <v>20.796299999999999</v>
      </c>
      <c r="D52" s="10">
        <f>20.7942 * CHOOSE(CONTROL!$C$9, $D$9, 100%, $F$9) + CHOOSE(CONTROL!$C$27, 0.0021, 0)</f>
        <v>20.796299999999999</v>
      </c>
      <c r="E52" s="10">
        <f>20.6576 * CHOOSE(CONTROL!$C$9, $D$9, 100%, $F$9) + CHOOSE(CONTROL!$C$27, 0.0021, 0)</f>
        <v>20.659699999999997</v>
      </c>
      <c r="F52" s="10">
        <f>20.6576 * CHOOSE(CONTROL!$C$9, $D$9, 100%, $F$9) + CHOOSE(CONTROL!$C$27, 0.0021, 0)</f>
        <v>20.659699999999997</v>
      </c>
      <c r="G52" s="10">
        <f>20.9289 * CHOOSE(CONTROL!$C$9, $D$9, 100%, $F$9) + CHOOSE(CONTROL!$C$27, 0.0021, 0)</f>
        <v>20.930999999999997</v>
      </c>
      <c r="H52" s="10">
        <f>20.7942 * CHOOSE(CONTROL!$C$9, $D$9, 100%, $F$9) + CHOOSE(CONTROL!$C$27, 0.0021, 0)</f>
        <v>20.796299999999999</v>
      </c>
      <c r="I52" s="10">
        <f>20.7942 * CHOOSE(CONTROL!$C$9, $D$9, 100%, $F$9) + CHOOSE(CONTROL!$C$27, 0.0021, 0)</f>
        <v>20.796299999999999</v>
      </c>
      <c r="J52" s="10">
        <f>20.7942 * CHOOSE(CONTROL!$C$9, $D$9, 100%, $F$9) + CHOOSE(CONTROL!$C$27, 0.0021, 0)</f>
        <v>20.796299999999999</v>
      </c>
      <c r="K52" s="10">
        <f>20.7942 * CHOOSE(CONTROL!$C$9, $D$9, 100%, $F$9) + CHOOSE(CONTROL!$C$27, 0.0021, 0)</f>
        <v>20.796299999999999</v>
      </c>
      <c r="L52" s="10"/>
    </row>
    <row r="53" spans="1:12" ht="15" x14ac:dyDescent="0.2">
      <c r="A53" s="16">
        <v>42887</v>
      </c>
      <c r="B53" s="10">
        <f>21.4597 * CHOOSE(CONTROL!$C$9, $D$9, 100%, $F$9) + CHOOSE(CONTROL!$C$27, 0.0021, 0)</f>
        <v>21.4618</v>
      </c>
      <c r="C53" s="10">
        <f>21.0275 * CHOOSE(CONTROL!$C$9, $D$9, 100%, $F$9) + CHOOSE(CONTROL!$C$27, 0.0021, 0)</f>
        <v>21.029599999999999</v>
      </c>
      <c r="D53" s="10">
        <f>21.0275 * CHOOSE(CONTROL!$C$9, $D$9, 100%, $F$9) + CHOOSE(CONTROL!$C$27, 0.0021, 0)</f>
        <v>21.029599999999999</v>
      </c>
      <c r="E53" s="10">
        <f>20.8908 * CHOOSE(CONTROL!$C$9, $D$9, 100%, $F$9) + CHOOSE(CONTROL!$C$27, 0.0021, 0)</f>
        <v>20.892899999999997</v>
      </c>
      <c r="F53" s="10">
        <f>20.8908 * CHOOSE(CONTROL!$C$9, $D$9, 100%, $F$9) + CHOOSE(CONTROL!$C$27, 0.0021, 0)</f>
        <v>20.892899999999997</v>
      </c>
      <c r="G53" s="10">
        <f>21.1622 * CHOOSE(CONTROL!$C$9, $D$9, 100%, $F$9) + CHOOSE(CONTROL!$C$27, 0.0021, 0)</f>
        <v>21.164299999999997</v>
      </c>
      <c r="H53" s="10">
        <f>21.0275 * CHOOSE(CONTROL!$C$9, $D$9, 100%, $F$9) + CHOOSE(CONTROL!$C$27, 0.0021, 0)</f>
        <v>21.029599999999999</v>
      </c>
      <c r="I53" s="10">
        <f>21.0275 * CHOOSE(CONTROL!$C$9, $D$9, 100%, $F$9) + CHOOSE(CONTROL!$C$27, 0.0021, 0)</f>
        <v>21.029599999999999</v>
      </c>
      <c r="J53" s="10">
        <f>21.0275 * CHOOSE(CONTROL!$C$9, $D$9, 100%, $F$9) + CHOOSE(CONTROL!$C$27, 0.0021, 0)</f>
        <v>21.029599999999999</v>
      </c>
      <c r="K53" s="10">
        <f>21.0275 * CHOOSE(CONTROL!$C$9, $D$9, 100%, $F$9) + CHOOSE(CONTROL!$C$27, 0.0021, 0)</f>
        <v>21.029599999999999</v>
      </c>
      <c r="L53" s="10"/>
    </row>
    <row r="54" spans="1:12" ht="15" x14ac:dyDescent="0.2">
      <c r="A54" s="16">
        <v>42917</v>
      </c>
      <c r="B54" s="10">
        <f>21.8445 * CHOOSE(CONTROL!$C$9, $D$9, 100%, $F$9) + CHOOSE(CONTROL!$C$27, 0.0021, 0)</f>
        <v>21.846599999999999</v>
      </c>
      <c r="C54" s="10">
        <f>21.4123 * CHOOSE(CONTROL!$C$9, $D$9, 100%, $F$9) + CHOOSE(CONTROL!$C$27, 0.0021, 0)</f>
        <v>21.414399999999997</v>
      </c>
      <c r="D54" s="10">
        <f>21.4123 * CHOOSE(CONTROL!$C$9, $D$9, 100%, $F$9) + CHOOSE(CONTROL!$C$27, 0.0021, 0)</f>
        <v>21.414399999999997</v>
      </c>
      <c r="E54" s="10">
        <f>21.2756 * CHOOSE(CONTROL!$C$9, $D$9, 100%, $F$9) + CHOOSE(CONTROL!$C$27, 0.0021, 0)</f>
        <v>21.277699999999999</v>
      </c>
      <c r="F54" s="10">
        <f>21.2756 * CHOOSE(CONTROL!$C$9, $D$9, 100%, $F$9) + CHOOSE(CONTROL!$C$27, 0.0021, 0)</f>
        <v>21.277699999999999</v>
      </c>
      <c r="G54" s="10">
        <f>21.547 * CHOOSE(CONTROL!$C$9, $D$9, 100%, $F$9) + CHOOSE(CONTROL!$C$27, 0.0021, 0)</f>
        <v>21.549099999999999</v>
      </c>
      <c r="H54" s="10">
        <f>21.4123 * CHOOSE(CONTROL!$C$9, $D$9, 100%, $F$9) + CHOOSE(CONTROL!$C$27, 0.0021, 0)</f>
        <v>21.414399999999997</v>
      </c>
      <c r="I54" s="10">
        <f>21.4123 * CHOOSE(CONTROL!$C$9, $D$9, 100%, $F$9) + CHOOSE(CONTROL!$C$27, 0.0021, 0)</f>
        <v>21.414399999999997</v>
      </c>
      <c r="J54" s="10">
        <f>21.4123 * CHOOSE(CONTROL!$C$9, $D$9, 100%, $F$9) + CHOOSE(CONTROL!$C$27, 0.0021, 0)</f>
        <v>21.414399999999997</v>
      </c>
      <c r="K54" s="10">
        <f>21.4123 * CHOOSE(CONTROL!$C$9, $D$9, 100%, $F$9) + CHOOSE(CONTROL!$C$27, 0.0021, 0)</f>
        <v>21.414399999999997</v>
      </c>
      <c r="L54" s="10"/>
    </row>
    <row r="55" spans="1:12" ht="15" x14ac:dyDescent="0.2">
      <c r="A55" s="16">
        <v>42948</v>
      </c>
      <c r="B55" s="10">
        <f>21.962 * CHOOSE(CONTROL!$C$9, $D$9, 100%, $F$9) + CHOOSE(CONTROL!$C$27, 0.0021, 0)</f>
        <v>21.964099999999998</v>
      </c>
      <c r="C55" s="10">
        <f>21.5297 * CHOOSE(CONTROL!$C$9, $D$9, 100%, $F$9) + CHOOSE(CONTROL!$C$27, 0.0021, 0)</f>
        <v>21.531799999999997</v>
      </c>
      <c r="D55" s="10">
        <f>21.5297 * CHOOSE(CONTROL!$C$9, $D$9, 100%, $F$9) + CHOOSE(CONTROL!$C$27, 0.0021, 0)</f>
        <v>21.531799999999997</v>
      </c>
      <c r="E55" s="10">
        <f>21.3931 * CHOOSE(CONTROL!$C$9, $D$9, 100%, $F$9) + CHOOSE(CONTROL!$C$27, 0.0021, 0)</f>
        <v>21.395199999999999</v>
      </c>
      <c r="F55" s="10">
        <f>21.3931 * CHOOSE(CONTROL!$C$9, $D$9, 100%, $F$9) + CHOOSE(CONTROL!$C$27, 0.0021, 0)</f>
        <v>21.395199999999999</v>
      </c>
      <c r="G55" s="10">
        <f>21.6644 * CHOOSE(CONTROL!$C$9, $D$9, 100%, $F$9) + CHOOSE(CONTROL!$C$27, 0.0021, 0)</f>
        <v>21.666499999999999</v>
      </c>
      <c r="H55" s="10">
        <f>21.5297 * CHOOSE(CONTROL!$C$9, $D$9, 100%, $F$9) + CHOOSE(CONTROL!$C$27, 0.0021, 0)</f>
        <v>21.531799999999997</v>
      </c>
      <c r="I55" s="10">
        <f>21.5297 * CHOOSE(CONTROL!$C$9, $D$9, 100%, $F$9) + CHOOSE(CONTROL!$C$27, 0.0021, 0)</f>
        <v>21.531799999999997</v>
      </c>
      <c r="J55" s="10">
        <f>21.5297 * CHOOSE(CONTROL!$C$9, $D$9, 100%, $F$9) + CHOOSE(CONTROL!$C$27, 0.0021, 0)</f>
        <v>21.531799999999997</v>
      </c>
      <c r="K55" s="10">
        <f>21.5297 * CHOOSE(CONTROL!$C$9, $D$9, 100%, $F$9) + CHOOSE(CONTROL!$C$27, 0.0021, 0)</f>
        <v>21.531799999999997</v>
      </c>
      <c r="L55" s="10"/>
    </row>
    <row r="56" spans="1:12" ht="15" x14ac:dyDescent="0.2">
      <c r="A56" s="16">
        <v>42979</v>
      </c>
      <c r="B56" s="10">
        <f>22.362 * CHOOSE(CONTROL!$C$9, $D$9, 100%, $F$9) + CHOOSE(CONTROL!$C$27, 0.0021, 0)</f>
        <v>22.364099999999997</v>
      </c>
      <c r="C56" s="10">
        <f>21.9297 * CHOOSE(CONTROL!$C$9, $D$9, 100%, $F$9) + CHOOSE(CONTROL!$C$27, 0.0021, 0)</f>
        <v>21.931799999999999</v>
      </c>
      <c r="D56" s="10">
        <f>21.9297 * CHOOSE(CONTROL!$C$9, $D$9, 100%, $F$9) + CHOOSE(CONTROL!$C$27, 0.0021, 0)</f>
        <v>21.931799999999999</v>
      </c>
      <c r="E56" s="10">
        <f>21.7931 * CHOOSE(CONTROL!$C$9, $D$9, 100%, $F$9) + CHOOSE(CONTROL!$C$27, 0.0021, 0)</f>
        <v>21.795199999999998</v>
      </c>
      <c r="F56" s="10">
        <f>21.7931 * CHOOSE(CONTROL!$C$9, $D$9, 100%, $F$9) + CHOOSE(CONTROL!$C$27, 0.0021, 0)</f>
        <v>21.795199999999998</v>
      </c>
      <c r="G56" s="10">
        <f>22.0644 * CHOOSE(CONTROL!$C$9, $D$9, 100%, $F$9) + CHOOSE(CONTROL!$C$27, 0.0021, 0)</f>
        <v>22.066499999999998</v>
      </c>
      <c r="H56" s="10">
        <f>21.9297 * CHOOSE(CONTROL!$C$9, $D$9, 100%, $F$9) + CHOOSE(CONTROL!$C$27, 0.0021, 0)</f>
        <v>21.931799999999999</v>
      </c>
      <c r="I56" s="10">
        <f>21.9297 * CHOOSE(CONTROL!$C$9, $D$9, 100%, $F$9) + CHOOSE(CONTROL!$C$27, 0.0021, 0)</f>
        <v>21.931799999999999</v>
      </c>
      <c r="J56" s="10">
        <f>21.9297 * CHOOSE(CONTROL!$C$9, $D$9, 100%, $F$9) + CHOOSE(CONTROL!$C$27, 0.0021, 0)</f>
        <v>21.931799999999999</v>
      </c>
      <c r="K56" s="10">
        <f>21.9297 * CHOOSE(CONTROL!$C$9, $D$9, 100%, $F$9) + CHOOSE(CONTROL!$C$27, 0.0021, 0)</f>
        <v>21.931799999999999</v>
      </c>
      <c r="L56" s="10"/>
    </row>
    <row r="57" spans="1:12" ht="15" x14ac:dyDescent="0.2">
      <c r="A57" s="16">
        <v>43009</v>
      </c>
      <c r="B57" s="10">
        <f>22.8683 * CHOOSE(CONTROL!$C$9, $D$9, 100%, $F$9) + CHOOSE(CONTROL!$C$27, 0.0021, 0)</f>
        <v>22.8704</v>
      </c>
      <c r="C57" s="10">
        <f>22.436 * CHOOSE(CONTROL!$C$9, $D$9, 100%, $F$9) + CHOOSE(CONTROL!$C$27, 0.0021, 0)</f>
        <v>22.438099999999999</v>
      </c>
      <c r="D57" s="10">
        <f>22.436 * CHOOSE(CONTROL!$C$9, $D$9, 100%, $F$9) + CHOOSE(CONTROL!$C$27, 0.0021, 0)</f>
        <v>22.438099999999999</v>
      </c>
      <c r="E57" s="10">
        <f>22.2994 * CHOOSE(CONTROL!$C$9, $D$9, 100%, $F$9) + CHOOSE(CONTROL!$C$27, 0.0021, 0)</f>
        <v>22.301499999999997</v>
      </c>
      <c r="F57" s="10">
        <f>22.2994 * CHOOSE(CONTROL!$C$9, $D$9, 100%, $F$9) + CHOOSE(CONTROL!$C$27, 0.0021, 0)</f>
        <v>22.301499999999997</v>
      </c>
      <c r="G57" s="10">
        <f>22.5707 * CHOOSE(CONTROL!$C$9, $D$9, 100%, $F$9) + CHOOSE(CONTROL!$C$27, 0.0021, 0)</f>
        <v>22.572799999999997</v>
      </c>
      <c r="H57" s="10">
        <f>22.436 * CHOOSE(CONTROL!$C$9, $D$9, 100%, $F$9) + CHOOSE(CONTROL!$C$27, 0.0021, 0)</f>
        <v>22.438099999999999</v>
      </c>
      <c r="I57" s="10">
        <f>22.436 * CHOOSE(CONTROL!$C$9, $D$9, 100%, $F$9) + CHOOSE(CONTROL!$C$27, 0.0021, 0)</f>
        <v>22.438099999999999</v>
      </c>
      <c r="J57" s="10">
        <f>22.436 * CHOOSE(CONTROL!$C$9, $D$9, 100%, $F$9) + CHOOSE(CONTROL!$C$27, 0.0021, 0)</f>
        <v>22.438099999999999</v>
      </c>
      <c r="K57" s="10">
        <f>22.436 * CHOOSE(CONTROL!$C$9, $D$9, 100%, $F$9) + CHOOSE(CONTROL!$C$27, 0.0021, 0)</f>
        <v>22.438099999999999</v>
      </c>
      <c r="L57" s="10"/>
    </row>
    <row r="58" spans="1:12" ht="15" x14ac:dyDescent="0.2">
      <c r="A58" s="16">
        <v>43040</v>
      </c>
      <c r="B58" s="10">
        <f>22.9158 * CHOOSE(CONTROL!$C$9, $D$9, 100%, $F$9) + CHOOSE(CONTROL!$C$27, 0.0021, 0)</f>
        <v>22.917899999999999</v>
      </c>
      <c r="C58" s="10">
        <f>22.4835 * CHOOSE(CONTROL!$C$9, $D$9, 100%, $F$9) + CHOOSE(CONTROL!$C$27, 0.0021, 0)</f>
        <v>22.485599999999998</v>
      </c>
      <c r="D58" s="10">
        <f>22.4835 * CHOOSE(CONTROL!$C$9, $D$9, 100%, $F$9) + CHOOSE(CONTROL!$C$27, 0.0021, 0)</f>
        <v>22.485599999999998</v>
      </c>
      <c r="E58" s="10">
        <f>22.3469 * CHOOSE(CONTROL!$C$9, $D$9, 100%, $F$9) + CHOOSE(CONTROL!$C$27, 0.0021, 0)</f>
        <v>22.349</v>
      </c>
      <c r="F58" s="10">
        <f>22.3469 * CHOOSE(CONTROL!$C$9, $D$9, 100%, $F$9) + CHOOSE(CONTROL!$C$27, 0.0021, 0)</f>
        <v>22.349</v>
      </c>
      <c r="G58" s="10">
        <f>22.6183 * CHOOSE(CONTROL!$C$9, $D$9, 100%, $F$9) + CHOOSE(CONTROL!$C$27, 0.0021, 0)</f>
        <v>22.6204</v>
      </c>
      <c r="H58" s="10">
        <f>22.4835 * CHOOSE(CONTROL!$C$9, $D$9, 100%, $F$9) + CHOOSE(CONTROL!$C$27, 0.0021, 0)</f>
        <v>22.485599999999998</v>
      </c>
      <c r="I58" s="10">
        <f>22.4835 * CHOOSE(CONTROL!$C$9, $D$9, 100%, $F$9) + CHOOSE(CONTROL!$C$27, 0.0021, 0)</f>
        <v>22.485599999999998</v>
      </c>
      <c r="J58" s="10">
        <f>22.4835 * CHOOSE(CONTROL!$C$9, $D$9, 100%, $F$9) + CHOOSE(CONTROL!$C$27, 0.0021, 0)</f>
        <v>22.485599999999998</v>
      </c>
      <c r="K58" s="10">
        <f>22.4835 * CHOOSE(CONTROL!$C$9, $D$9, 100%, $F$9) + CHOOSE(CONTROL!$C$27, 0.0021, 0)</f>
        <v>22.485599999999998</v>
      </c>
      <c r="L58" s="10"/>
    </row>
    <row r="59" spans="1:12" ht="15" x14ac:dyDescent="0.2">
      <c r="A59" s="16">
        <v>43070</v>
      </c>
      <c r="B59" s="10">
        <f>22.5114 * CHOOSE(CONTROL!$C$9, $D$9, 100%, $F$9) + CHOOSE(CONTROL!$C$27, 0.0021, 0)</f>
        <v>22.513499999999997</v>
      </c>
      <c r="C59" s="10">
        <f>22.0792 * CHOOSE(CONTROL!$C$9, $D$9, 100%, $F$9) + CHOOSE(CONTROL!$C$27, 0.0021, 0)</f>
        <v>22.081299999999999</v>
      </c>
      <c r="D59" s="10">
        <f>22.0792 * CHOOSE(CONTROL!$C$9, $D$9, 100%, $F$9) + CHOOSE(CONTROL!$C$27, 0.0021, 0)</f>
        <v>22.081299999999999</v>
      </c>
      <c r="E59" s="10">
        <f>21.9425 * CHOOSE(CONTROL!$C$9, $D$9, 100%, $F$9) + CHOOSE(CONTROL!$C$27, 0.0021, 0)</f>
        <v>21.944599999999998</v>
      </c>
      <c r="F59" s="10">
        <f>21.9425 * CHOOSE(CONTROL!$C$9, $D$9, 100%, $F$9) + CHOOSE(CONTROL!$C$27, 0.0021, 0)</f>
        <v>21.944599999999998</v>
      </c>
      <c r="G59" s="10">
        <f>22.2139 * CHOOSE(CONTROL!$C$9, $D$9, 100%, $F$9) + CHOOSE(CONTROL!$C$27, 0.0021, 0)</f>
        <v>22.215999999999998</v>
      </c>
      <c r="H59" s="10">
        <f>22.0792 * CHOOSE(CONTROL!$C$9, $D$9, 100%, $F$9) + CHOOSE(CONTROL!$C$27, 0.0021, 0)</f>
        <v>22.081299999999999</v>
      </c>
      <c r="I59" s="10">
        <f>22.0792 * CHOOSE(CONTROL!$C$9, $D$9, 100%, $F$9) + CHOOSE(CONTROL!$C$27, 0.0021, 0)</f>
        <v>22.081299999999999</v>
      </c>
      <c r="J59" s="10">
        <f>22.0792 * CHOOSE(CONTROL!$C$9, $D$9, 100%, $F$9) + CHOOSE(CONTROL!$C$27, 0.0021, 0)</f>
        <v>22.081299999999999</v>
      </c>
      <c r="K59" s="10">
        <f>22.0792 * CHOOSE(CONTROL!$C$9, $D$9, 100%, $F$9) + CHOOSE(CONTROL!$C$27, 0.0021, 0)</f>
        <v>22.081299999999999</v>
      </c>
      <c r="L59" s="10"/>
    </row>
    <row r="60" spans="1:12" ht="15" x14ac:dyDescent="0.2">
      <c r="A60" s="16">
        <v>43101</v>
      </c>
      <c r="B60" s="10">
        <f>22.553 * CHOOSE(CONTROL!$C$9, $D$9, 100%, $F$9) + CHOOSE(CONTROL!$C$27, 0.0021, 0)</f>
        <v>22.555099999999999</v>
      </c>
      <c r="C60" s="10">
        <f>22.1207 * CHOOSE(CONTROL!$C$9, $D$9, 100%, $F$9) + CHOOSE(CONTROL!$C$27, 0.0021, 0)</f>
        <v>22.122799999999998</v>
      </c>
      <c r="D60" s="10">
        <f>22.1207 * CHOOSE(CONTROL!$C$9, $D$9, 100%, $F$9) + CHOOSE(CONTROL!$C$27, 0.0021, 0)</f>
        <v>22.122799999999998</v>
      </c>
      <c r="E60" s="10">
        <f>21.9841 * CHOOSE(CONTROL!$C$9, $D$9, 100%, $F$9) + CHOOSE(CONTROL!$C$27, 0.0021, 0)</f>
        <v>21.9862</v>
      </c>
      <c r="F60" s="10">
        <f>21.9841 * CHOOSE(CONTROL!$C$9, $D$9, 100%, $F$9) + CHOOSE(CONTROL!$C$27, 0.0021, 0)</f>
        <v>21.9862</v>
      </c>
      <c r="G60" s="10">
        <f>22.2554 * CHOOSE(CONTROL!$C$9, $D$9, 100%, $F$9) + CHOOSE(CONTROL!$C$27, 0.0021, 0)</f>
        <v>22.2575</v>
      </c>
      <c r="H60" s="10">
        <f>22.1207 * CHOOSE(CONTROL!$C$9, $D$9, 100%, $F$9) + CHOOSE(CONTROL!$C$27, 0.0021, 0)</f>
        <v>22.122799999999998</v>
      </c>
      <c r="I60" s="10">
        <f>22.1207 * CHOOSE(CONTROL!$C$9, $D$9, 100%, $F$9) + CHOOSE(CONTROL!$C$27, 0.0021, 0)</f>
        <v>22.122799999999998</v>
      </c>
      <c r="J60" s="10">
        <f>22.1207 * CHOOSE(CONTROL!$C$9, $D$9, 100%, $F$9) + CHOOSE(CONTROL!$C$27, 0.0021, 0)</f>
        <v>22.122799999999998</v>
      </c>
      <c r="K60" s="10">
        <f>22.1207 * CHOOSE(CONTROL!$C$9, $D$9, 100%, $F$9) + CHOOSE(CONTROL!$C$27, 0.0021, 0)</f>
        <v>22.122799999999998</v>
      </c>
      <c r="L60" s="10"/>
    </row>
    <row r="61" spans="1:12" ht="15" x14ac:dyDescent="0.2">
      <c r="A61" s="16">
        <v>43132</v>
      </c>
      <c r="B61" s="10">
        <f>21.9799 * CHOOSE(CONTROL!$C$9, $D$9, 100%, $F$9) + CHOOSE(CONTROL!$C$27, 0.0021, 0)</f>
        <v>21.981999999999999</v>
      </c>
      <c r="C61" s="10">
        <f>21.5476 * CHOOSE(CONTROL!$C$9, $D$9, 100%, $F$9) + CHOOSE(CONTROL!$C$27, 0.0021, 0)</f>
        <v>21.549699999999998</v>
      </c>
      <c r="D61" s="10">
        <f>21.5476 * CHOOSE(CONTROL!$C$9, $D$9, 100%, $F$9) + CHOOSE(CONTROL!$C$27, 0.0021, 0)</f>
        <v>21.549699999999998</v>
      </c>
      <c r="E61" s="10">
        <f>21.411 * CHOOSE(CONTROL!$C$9, $D$9, 100%, $F$9) + CHOOSE(CONTROL!$C$27, 0.0021, 0)</f>
        <v>21.4131</v>
      </c>
      <c r="F61" s="10">
        <f>21.411 * CHOOSE(CONTROL!$C$9, $D$9, 100%, $F$9) + CHOOSE(CONTROL!$C$27, 0.0021, 0)</f>
        <v>21.4131</v>
      </c>
      <c r="G61" s="10">
        <f>21.6824 * CHOOSE(CONTROL!$C$9, $D$9, 100%, $F$9) + CHOOSE(CONTROL!$C$27, 0.0021, 0)</f>
        <v>21.6845</v>
      </c>
      <c r="H61" s="10">
        <f>21.5476 * CHOOSE(CONTROL!$C$9, $D$9, 100%, $F$9) + CHOOSE(CONTROL!$C$27, 0.0021, 0)</f>
        <v>21.549699999999998</v>
      </c>
      <c r="I61" s="10">
        <f>21.5476 * CHOOSE(CONTROL!$C$9, $D$9, 100%, $F$9) + CHOOSE(CONTROL!$C$27, 0.0021, 0)</f>
        <v>21.549699999999998</v>
      </c>
      <c r="J61" s="10">
        <f>21.5476 * CHOOSE(CONTROL!$C$9, $D$9, 100%, $F$9) + CHOOSE(CONTROL!$C$27, 0.0021, 0)</f>
        <v>21.549699999999998</v>
      </c>
      <c r="K61" s="10">
        <f>21.5476 * CHOOSE(CONTROL!$C$9, $D$9, 100%, $F$9) + CHOOSE(CONTROL!$C$27, 0.0021, 0)</f>
        <v>21.549699999999998</v>
      </c>
      <c r="L61" s="10"/>
    </row>
    <row r="62" spans="1:12" ht="15" x14ac:dyDescent="0.2">
      <c r="A62" s="16">
        <v>43160</v>
      </c>
      <c r="B62" s="10">
        <f>21.7433 * CHOOSE(CONTROL!$C$9, $D$9, 100%, $F$9) + CHOOSE(CONTROL!$C$27, 0.0021, 0)</f>
        <v>21.7454</v>
      </c>
      <c r="C62" s="10">
        <f>21.3111 * CHOOSE(CONTROL!$C$9, $D$9, 100%, $F$9) + CHOOSE(CONTROL!$C$27, 0.0021, 0)</f>
        <v>21.313199999999998</v>
      </c>
      <c r="D62" s="10">
        <f>21.3111 * CHOOSE(CONTROL!$C$9, $D$9, 100%, $F$9) + CHOOSE(CONTROL!$C$27, 0.0021, 0)</f>
        <v>21.313199999999998</v>
      </c>
      <c r="E62" s="10">
        <f>21.1744 * CHOOSE(CONTROL!$C$9, $D$9, 100%, $F$9) + CHOOSE(CONTROL!$C$27, 0.0021, 0)</f>
        <v>21.176499999999997</v>
      </c>
      <c r="F62" s="10">
        <f>21.1744 * CHOOSE(CONTROL!$C$9, $D$9, 100%, $F$9) + CHOOSE(CONTROL!$C$27, 0.0021, 0)</f>
        <v>21.176499999999997</v>
      </c>
      <c r="G62" s="10">
        <f>21.4458 * CHOOSE(CONTROL!$C$9, $D$9, 100%, $F$9) + CHOOSE(CONTROL!$C$27, 0.0021, 0)</f>
        <v>21.447899999999997</v>
      </c>
      <c r="H62" s="10">
        <f>21.3111 * CHOOSE(CONTROL!$C$9, $D$9, 100%, $F$9) + CHOOSE(CONTROL!$C$27, 0.0021, 0)</f>
        <v>21.313199999999998</v>
      </c>
      <c r="I62" s="10">
        <f>21.3111 * CHOOSE(CONTROL!$C$9, $D$9, 100%, $F$9) + CHOOSE(CONTROL!$C$27, 0.0021, 0)</f>
        <v>21.313199999999998</v>
      </c>
      <c r="J62" s="10">
        <f>21.3111 * CHOOSE(CONTROL!$C$9, $D$9, 100%, $F$9) + CHOOSE(CONTROL!$C$27, 0.0021, 0)</f>
        <v>21.313199999999998</v>
      </c>
      <c r="K62" s="10">
        <f>21.3111 * CHOOSE(CONTROL!$C$9, $D$9, 100%, $F$9) + CHOOSE(CONTROL!$C$27, 0.0021, 0)</f>
        <v>21.313199999999998</v>
      </c>
      <c r="L62" s="10"/>
    </row>
    <row r="63" spans="1:12" ht="15" x14ac:dyDescent="0.2">
      <c r="A63" s="16">
        <v>43191</v>
      </c>
      <c r="B63" s="10">
        <f>21.4608 * CHOOSE(CONTROL!$C$9, $D$9, 100%, $F$9) + CHOOSE(CONTROL!$C$27, 0.0021, 0)</f>
        <v>21.462899999999998</v>
      </c>
      <c r="C63" s="10">
        <f>21.0286 * CHOOSE(CONTROL!$C$9, $D$9, 100%, $F$9) + CHOOSE(CONTROL!$C$27, 0.0021, 0)</f>
        <v>21.0307</v>
      </c>
      <c r="D63" s="10">
        <f>21.0286 * CHOOSE(CONTROL!$C$9, $D$9, 100%, $F$9) + CHOOSE(CONTROL!$C$27, 0.0021, 0)</f>
        <v>21.0307</v>
      </c>
      <c r="E63" s="10">
        <f>20.8919 * CHOOSE(CONTROL!$C$9, $D$9, 100%, $F$9) + CHOOSE(CONTROL!$C$27, 0.0021, 0)</f>
        <v>20.893999999999998</v>
      </c>
      <c r="F63" s="10">
        <f>20.8919 * CHOOSE(CONTROL!$C$9, $D$9, 100%, $F$9) + CHOOSE(CONTROL!$C$27, 0.0021, 0)</f>
        <v>20.893999999999998</v>
      </c>
      <c r="G63" s="10">
        <f>21.1633 * CHOOSE(CONTROL!$C$9, $D$9, 100%, $F$9) + CHOOSE(CONTROL!$C$27, 0.0021, 0)</f>
        <v>21.165399999999998</v>
      </c>
      <c r="H63" s="10">
        <f>21.0286 * CHOOSE(CONTROL!$C$9, $D$9, 100%, $F$9) + CHOOSE(CONTROL!$C$27, 0.0021, 0)</f>
        <v>21.0307</v>
      </c>
      <c r="I63" s="10">
        <f>21.0286 * CHOOSE(CONTROL!$C$9, $D$9, 100%, $F$9) + CHOOSE(CONTROL!$C$27, 0.0021, 0)</f>
        <v>21.0307</v>
      </c>
      <c r="J63" s="10">
        <f>21.0286 * CHOOSE(CONTROL!$C$9, $D$9, 100%, $F$9) + CHOOSE(CONTROL!$C$27, 0.0021, 0)</f>
        <v>21.0307</v>
      </c>
      <c r="K63" s="10">
        <f>21.0286 * CHOOSE(CONTROL!$C$9, $D$9, 100%, $F$9) + CHOOSE(CONTROL!$C$27, 0.0021, 0)</f>
        <v>21.0307</v>
      </c>
      <c r="L63" s="10"/>
    </row>
    <row r="64" spans="1:12" ht="15" x14ac:dyDescent="0.2">
      <c r="A64" s="16">
        <v>43221</v>
      </c>
      <c r="B64" s="10">
        <f>21.8634 * CHOOSE(CONTROL!$C$9, $D$9, 100%, $F$9) + CHOOSE(CONTROL!$C$27, 0.0021, 0)</f>
        <v>21.865499999999997</v>
      </c>
      <c r="C64" s="10">
        <f>21.4311 * CHOOSE(CONTROL!$C$9, $D$9, 100%, $F$9) + CHOOSE(CONTROL!$C$27, 0.0021, 0)</f>
        <v>21.433199999999999</v>
      </c>
      <c r="D64" s="10">
        <f>21.4311 * CHOOSE(CONTROL!$C$9, $D$9, 100%, $F$9) + CHOOSE(CONTROL!$C$27, 0.0021, 0)</f>
        <v>21.433199999999999</v>
      </c>
      <c r="E64" s="10">
        <f>21.2945 * CHOOSE(CONTROL!$C$9, $D$9, 100%, $F$9) + CHOOSE(CONTROL!$C$27, 0.0021, 0)</f>
        <v>21.296599999999998</v>
      </c>
      <c r="F64" s="10">
        <f>21.2945 * CHOOSE(CONTROL!$C$9, $D$9, 100%, $F$9) + CHOOSE(CONTROL!$C$27, 0.0021, 0)</f>
        <v>21.296599999999998</v>
      </c>
      <c r="G64" s="10">
        <f>21.5659 * CHOOSE(CONTROL!$C$9, $D$9, 100%, $F$9) + CHOOSE(CONTROL!$C$27, 0.0021, 0)</f>
        <v>21.567999999999998</v>
      </c>
      <c r="H64" s="10">
        <f>21.4311 * CHOOSE(CONTROL!$C$9, $D$9, 100%, $F$9) + CHOOSE(CONTROL!$C$27, 0.0021, 0)</f>
        <v>21.433199999999999</v>
      </c>
      <c r="I64" s="10">
        <f>21.4311 * CHOOSE(CONTROL!$C$9, $D$9, 100%, $F$9) + CHOOSE(CONTROL!$C$27, 0.0021, 0)</f>
        <v>21.433199999999999</v>
      </c>
      <c r="J64" s="10">
        <f>21.4311 * CHOOSE(CONTROL!$C$9, $D$9, 100%, $F$9) + CHOOSE(CONTROL!$C$27, 0.0021, 0)</f>
        <v>21.433199999999999</v>
      </c>
      <c r="K64" s="10">
        <f>21.4311 * CHOOSE(CONTROL!$C$9, $D$9, 100%, $F$9) + CHOOSE(CONTROL!$C$27, 0.0021, 0)</f>
        <v>21.433199999999999</v>
      </c>
      <c r="L64" s="10"/>
    </row>
    <row r="65" spans="1:12" ht="15" x14ac:dyDescent="0.2">
      <c r="A65" s="16">
        <v>43252</v>
      </c>
      <c r="B65" s="10">
        <f>22.1045 * CHOOSE(CONTROL!$C$9, $D$9, 100%, $F$9) + CHOOSE(CONTROL!$C$27, 0.0021, 0)</f>
        <v>22.1066</v>
      </c>
      <c r="C65" s="10">
        <f>21.6723 * CHOOSE(CONTROL!$C$9, $D$9, 100%, $F$9) + CHOOSE(CONTROL!$C$27, 0.0021, 0)</f>
        <v>21.674399999999999</v>
      </c>
      <c r="D65" s="10">
        <f>21.6723 * CHOOSE(CONTROL!$C$9, $D$9, 100%, $F$9) + CHOOSE(CONTROL!$C$27, 0.0021, 0)</f>
        <v>21.674399999999999</v>
      </c>
      <c r="E65" s="10">
        <f>21.5356 * CHOOSE(CONTROL!$C$9, $D$9, 100%, $F$9) + CHOOSE(CONTROL!$C$27, 0.0021, 0)</f>
        <v>21.537699999999997</v>
      </c>
      <c r="F65" s="10">
        <f>21.5356 * CHOOSE(CONTROL!$C$9, $D$9, 100%, $F$9) + CHOOSE(CONTROL!$C$27, 0.0021, 0)</f>
        <v>21.537699999999997</v>
      </c>
      <c r="G65" s="10">
        <f>21.807 * CHOOSE(CONTROL!$C$9, $D$9, 100%, $F$9) + CHOOSE(CONTROL!$C$27, 0.0021, 0)</f>
        <v>21.809099999999997</v>
      </c>
      <c r="H65" s="10">
        <f>21.6723 * CHOOSE(CONTROL!$C$9, $D$9, 100%, $F$9) + CHOOSE(CONTROL!$C$27, 0.0021, 0)</f>
        <v>21.674399999999999</v>
      </c>
      <c r="I65" s="10">
        <f>21.6723 * CHOOSE(CONTROL!$C$9, $D$9, 100%, $F$9) + CHOOSE(CONTROL!$C$27, 0.0021, 0)</f>
        <v>21.674399999999999</v>
      </c>
      <c r="J65" s="10">
        <f>21.6723 * CHOOSE(CONTROL!$C$9, $D$9, 100%, $F$9) + CHOOSE(CONTROL!$C$27, 0.0021, 0)</f>
        <v>21.674399999999999</v>
      </c>
      <c r="K65" s="10">
        <f>21.6723 * CHOOSE(CONTROL!$C$9, $D$9, 100%, $F$9) + CHOOSE(CONTROL!$C$27, 0.0021, 0)</f>
        <v>21.674399999999999</v>
      </c>
      <c r="L65" s="10"/>
    </row>
    <row r="66" spans="1:12" ht="15" x14ac:dyDescent="0.2">
      <c r="A66" s="16">
        <v>43282</v>
      </c>
      <c r="B66" s="10">
        <f>22.5022 * CHOOSE(CONTROL!$C$9, $D$9, 100%, $F$9) + CHOOSE(CONTROL!$C$27, 0.0021, 0)</f>
        <v>22.504299999999997</v>
      </c>
      <c r="C66" s="10">
        <f>22.07 * CHOOSE(CONTROL!$C$9, $D$9, 100%, $F$9) + CHOOSE(CONTROL!$C$27, 0.0021, 0)</f>
        <v>22.072099999999999</v>
      </c>
      <c r="D66" s="10">
        <f>22.07 * CHOOSE(CONTROL!$C$9, $D$9, 100%, $F$9) + CHOOSE(CONTROL!$C$27, 0.0021, 0)</f>
        <v>22.072099999999999</v>
      </c>
      <c r="E66" s="10">
        <f>21.9333 * CHOOSE(CONTROL!$C$9, $D$9, 100%, $F$9) + CHOOSE(CONTROL!$C$27, 0.0021, 0)</f>
        <v>21.935399999999998</v>
      </c>
      <c r="F66" s="10">
        <f>21.9333 * CHOOSE(CONTROL!$C$9, $D$9, 100%, $F$9) + CHOOSE(CONTROL!$C$27, 0.0021, 0)</f>
        <v>21.935399999999998</v>
      </c>
      <c r="G66" s="10">
        <f>22.2047 * CHOOSE(CONTROL!$C$9, $D$9, 100%, $F$9) + CHOOSE(CONTROL!$C$27, 0.0021, 0)</f>
        <v>22.206799999999998</v>
      </c>
      <c r="H66" s="10">
        <f>22.07 * CHOOSE(CONTROL!$C$9, $D$9, 100%, $F$9) + CHOOSE(CONTROL!$C$27, 0.0021, 0)</f>
        <v>22.072099999999999</v>
      </c>
      <c r="I66" s="10">
        <f>22.07 * CHOOSE(CONTROL!$C$9, $D$9, 100%, $F$9) + CHOOSE(CONTROL!$C$27, 0.0021, 0)</f>
        <v>22.072099999999999</v>
      </c>
      <c r="J66" s="10">
        <f>22.07 * CHOOSE(CONTROL!$C$9, $D$9, 100%, $F$9) + CHOOSE(CONTROL!$C$27, 0.0021, 0)</f>
        <v>22.072099999999999</v>
      </c>
      <c r="K66" s="10">
        <f>22.07 * CHOOSE(CONTROL!$C$9, $D$9, 100%, $F$9) + CHOOSE(CONTROL!$C$27, 0.0021, 0)</f>
        <v>22.072099999999999</v>
      </c>
      <c r="L66" s="10"/>
    </row>
    <row r="67" spans="1:12" ht="15" x14ac:dyDescent="0.2">
      <c r="A67" s="16">
        <v>43313</v>
      </c>
      <c r="B67" s="10">
        <f>22.6237 * CHOOSE(CONTROL!$C$9, $D$9, 100%, $F$9) + CHOOSE(CONTROL!$C$27, 0.0021, 0)</f>
        <v>22.625799999999998</v>
      </c>
      <c r="C67" s="10">
        <f>22.1914 * CHOOSE(CONTROL!$C$9, $D$9, 100%, $F$9) + CHOOSE(CONTROL!$C$27, 0.0021, 0)</f>
        <v>22.1935</v>
      </c>
      <c r="D67" s="10">
        <f>22.1914 * CHOOSE(CONTROL!$C$9, $D$9, 100%, $F$9) + CHOOSE(CONTROL!$C$27, 0.0021, 0)</f>
        <v>22.1935</v>
      </c>
      <c r="E67" s="10">
        <f>22.0547 * CHOOSE(CONTROL!$C$9, $D$9, 100%, $F$9) + CHOOSE(CONTROL!$C$27, 0.0021, 0)</f>
        <v>22.056799999999999</v>
      </c>
      <c r="F67" s="10">
        <f>22.0547 * CHOOSE(CONTROL!$C$9, $D$9, 100%, $F$9) + CHOOSE(CONTROL!$C$27, 0.0021, 0)</f>
        <v>22.056799999999999</v>
      </c>
      <c r="G67" s="10">
        <f>22.3261 * CHOOSE(CONTROL!$C$9, $D$9, 100%, $F$9) + CHOOSE(CONTROL!$C$27, 0.0021, 0)</f>
        <v>22.328199999999999</v>
      </c>
      <c r="H67" s="10">
        <f>22.1914 * CHOOSE(CONTROL!$C$9, $D$9, 100%, $F$9) + CHOOSE(CONTROL!$C$27, 0.0021, 0)</f>
        <v>22.1935</v>
      </c>
      <c r="I67" s="10">
        <f>22.1914 * CHOOSE(CONTROL!$C$9, $D$9, 100%, $F$9) + CHOOSE(CONTROL!$C$27, 0.0021, 0)</f>
        <v>22.1935</v>
      </c>
      <c r="J67" s="10">
        <f>22.1914 * CHOOSE(CONTROL!$C$9, $D$9, 100%, $F$9) + CHOOSE(CONTROL!$C$27, 0.0021, 0)</f>
        <v>22.1935</v>
      </c>
      <c r="K67" s="10">
        <f>22.1914 * CHOOSE(CONTROL!$C$9, $D$9, 100%, $F$9) + CHOOSE(CONTROL!$C$27, 0.0021, 0)</f>
        <v>22.1935</v>
      </c>
      <c r="L67" s="10"/>
    </row>
    <row r="68" spans="1:12" ht="15" x14ac:dyDescent="0.2">
      <c r="A68" s="16">
        <v>43344</v>
      </c>
      <c r="B68" s="10">
        <f>23.0371 * CHOOSE(CONTROL!$C$9, $D$9, 100%, $F$9) + CHOOSE(CONTROL!$C$27, 0.0021, 0)</f>
        <v>23.039199999999997</v>
      </c>
      <c r="C68" s="10">
        <f>22.6048 * CHOOSE(CONTROL!$C$9, $D$9, 100%, $F$9) + CHOOSE(CONTROL!$C$27, 0.0021, 0)</f>
        <v>22.6069</v>
      </c>
      <c r="D68" s="10">
        <f>22.6048 * CHOOSE(CONTROL!$C$9, $D$9, 100%, $F$9) + CHOOSE(CONTROL!$C$27, 0.0021, 0)</f>
        <v>22.6069</v>
      </c>
      <c r="E68" s="10">
        <f>22.4682 * CHOOSE(CONTROL!$C$9, $D$9, 100%, $F$9) + CHOOSE(CONTROL!$C$27, 0.0021, 0)</f>
        <v>22.470299999999998</v>
      </c>
      <c r="F68" s="10">
        <f>22.4682 * CHOOSE(CONTROL!$C$9, $D$9, 100%, $F$9) + CHOOSE(CONTROL!$C$27, 0.0021, 0)</f>
        <v>22.470299999999998</v>
      </c>
      <c r="G68" s="10">
        <f>22.7396 * CHOOSE(CONTROL!$C$9, $D$9, 100%, $F$9) + CHOOSE(CONTROL!$C$27, 0.0021, 0)</f>
        <v>22.741699999999998</v>
      </c>
      <c r="H68" s="10">
        <f>22.6048 * CHOOSE(CONTROL!$C$9, $D$9, 100%, $F$9) + CHOOSE(CONTROL!$C$27, 0.0021, 0)</f>
        <v>22.6069</v>
      </c>
      <c r="I68" s="10">
        <f>22.6048 * CHOOSE(CONTROL!$C$9, $D$9, 100%, $F$9) + CHOOSE(CONTROL!$C$27, 0.0021, 0)</f>
        <v>22.6069</v>
      </c>
      <c r="J68" s="10">
        <f>22.6048 * CHOOSE(CONTROL!$C$9, $D$9, 100%, $F$9) + CHOOSE(CONTROL!$C$27, 0.0021, 0)</f>
        <v>22.6069</v>
      </c>
      <c r="K68" s="10">
        <f>22.6048 * CHOOSE(CONTROL!$C$9, $D$9, 100%, $F$9) + CHOOSE(CONTROL!$C$27, 0.0021, 0)</f>
        <v>22.6069</v>
      </c>
      <c r="L68" s="10"/>
    </row>
    <row r="69" spans="1:12" ht="15" x14ac:dyDescent="0.2">
      <c r="A69" s="16">
        <v>43374</v>
      </c>
      <c r="B69" s="10">
        <f>23.5604 * CHOOSE(CONTROL!$C$9, $D$9, 100%, $F$9) + CHOOSE(CONTROL!$C$27, 0.0021, 0)</f>
        <v>23.5625</v>
      </c>
      <c r="C69" s="10">
        <f>23.1282 * CHOOSE(CONTROL!$C$9, $D$9, 100%, $F$9) + CHOOSE(CONTROL!$C$27, 0.0021, 0)</f>
        <v>23.130299999999998</v>
      </c>
      <c r="D69" s="10">
        <f>23.1282 * CHOOSE(CONTROL!$C$9, $D$9, 100%, $F$9) + CHOOSE(CONTROL!$C$27, 0.0021, 0)</f>
        <v>23.130299999999998</v>
      </c>
      <c r="E69" s="10">
        <f>22.9915 * CHOOSE(CONTROL!$C$9, $D$9, 100%, $F$9) + CHOOSE(CONTROL!$C$27, 0.0021, 0)</f>
        <v>22.993599999999997</v>
      </c>
      <c r="F69" s="10">
        <f>22.9915 * CHOOSE(CONTROL!$C$9, $D$9, 100%, $F$9) + CHOOSE(CONTROL!$C$27, 0.0021, 0)</f>
        <v>22.993599999999997</v>
      </c>
      <c r="G69" s="10">
        <f>23.2629 * CHOOSE(CONTROL!$C$9, $D$9, 100%, $F$9) + CHOOSE(CONTROL!$C$27, 0.0021, 0)</f>
        <v>23.264999999999997</v>
      </c>
      <c r="H69" s="10">
        <f>23.1282 * CHOOSE(CONTROL!$C$9, $D$9, 100%, $F$9) + CHOOSE(CONTROL!$C$27, 0.0021, 0)</f>
        <v>23.130299999999998</v>
      </c>
      <c r="I69" s="10">
        <f>23.1282 * CHOOSE(CONTROL!$C$9, $D$9, 100%, $F$9) + CHOOSE(CONTROL!$C$27, 0.0021, 0)</f>
        <v>23.130299999999998</v>
      </c>
      <c r="J69" s="10">
        <f>23.1282 * CHOOSE(CONTROL!$C$9, $D$9, 100%, $F$9) + CHOOSE(CONTROL!$C$27, 0.0021, 0)</f>
        <v>23.130299999999998</v>
      </c>
      <c r="K69" s="10">
        <f>23.1282 * CHOOSE(CONTROL!$C$9, $D$9, 100%, $F$9) + CHOOSE(CONTROL!$C$27, 0.0021, 0)</f>
        <v>23.130299999999998</v>
      </c>
      <c r="L69" s="10"/>
    </row>
    <row r="70" spans="1:12" ht="15" x14ac:dyDescent="0.2">
      <c r="A70" s="16">
        <v>43405</v>
      </c>
      <c r="B70" s="10">
        <f>23.6096 * CHOOSE(CONTROL!$C$9, $D$9, 100%, $F$9) + CHOOSE(CONTROL!$C$27, 0.0021, 0)</f>
        <v>23.611699999999999</v>
      </c>
      <c r="C70" s="10">
        <f>23.1773 * CHOOSE(CONTROL!$C$9, $D$9, 100%, $F$9) + CHOOSE(CONTROL!$C$27, 0.0021, 0)</f>
        <v>23.179399999999998</v>
      </c>
      <c r="D70" s="10">
        <f>23.1773 * CHOOSE(CONTROL!$C$9, $D$9, 100%, $F$9) + CHOOSE(CONTROL!$C$27, 0.0021, 0)</f>
        <v>23.179399999999998</v>
      </c>
      <c r="E70" s="10">
        <f>23.0407 * CHOOSE(CONTROL!$C$9, $D$9, 100%, $F$9) + CHOOSE(CONTROL!$C$27, 0.0021, 0)</f>
        <v>23.0428</v>
      </c>
      <c r="F70" s="10">
        <f>23.0407 * CHOOSE(CONTROL!$C$9, $D$9, 100%, $F$9) + CHOOSE(CONTROL!$C$27, 0.0021, 0)</f>
        <v>23.0428</v>
      </c>
      <c r="G70" s="10">
        <f>23.312 * CHOOSE(CONTROL!$C$9, $D$9, 100%, $F$9) + CHOOSE(CONTROL!$C$27, 0.0021, 0)</f>
        <v>23.3141</v>
      </c>
      <c r="H70" s="10">
        <f>23.1773 * CHOOSE(CONTROL!$C$9, $D$9, 100%, $F$9) + CHOOSE(CONTROL!$C$27, 0.0021, 0)</f>
        <v>23.179399999999998</v>
      </c>
      <c r="I70" s="10">
        <f>23.1773 * CHOOSE(CONTROL!$C$9, $D$9, 100%, $F$9) + CHOOSE(CONTROL!$C$27, 0.0021, 0)</f>
        <v>23.179399999999998</v>
      </c>
      <c r="J70" s="10">
        <f>23.1773 * CHOOSE(CONTROL!$C$9, $D$9, 100%, $F$9) + CHOOSE(CONTROL!$C$27, 0.0021, 0)</f>
        <v>23.179399999999998</v>
      </c>
      <c r="K70" s="10">
        <f>23.1773 * CHOOSE(CONTROL!$C$9, $D$9, 100%, $F$9) + CHOOSE(CONTROL!$C$27, 0.0021, 0)</f>
        <v>23.179399999999998</v>
      </c>
      <c r="L70" s="10"/>
    </row>
    <row r="71" spans="1:12" ht="15" x14ac:dyDescent="0.2">
      <c r="A71" s="16">
        <v>43435</v>
      </c>
      <c r="B71" s="10">
        <f>23.1916 * CHOOSE(CONTROL!$C$9, $D$9, 100%, $F$9) + CHOOSE(CONTROL!$C$27, 0.0021, 0)</f>
        <v>23.1937</v>
      </c>
      <c r="C71" s="10">
        <f>22.7593 * CHOOSE(CONTROL!$C$9, $D$9, 100%, $F$9) + CHOOSE(CONTROL!$C$27, 0.0021, 0)</f>
        <v>22.761399999999998</v>
      </c>
      <c r="D71" s="10">
        <f>22.7593 * CHOOSE(CONTROL!$C$9, $D$9, 100%, $F$9) + CHOOSE(CONTROL!$C$27, 0.0021, 0)</f>
        <v>22.761399999999998</v>
      </c>
      <c r="E71" s="10">
        <f>22.6227 * CHOOSE(CONTROL!$C$9, $D$9, 100%, $F$9) + CHOOSE(CONTROL!$C$27, 0.0021, 0)</f>
        <v>22.624799999999997</v>
      </c>
      <c r="F71" s="10">
        <f>22.6227 * CHOOSE(CONTROL!$C$9, $D$9, 100%, $F$9) + CHOOSE(CONTROL!$C$27, 0.0021, 0)</f>
        <v>22.624799999999997</v>
      </c>
      <c r="G71" s="10">
        <f>22.894 * CHOOSE(CONTROL!$C$9, $D$9, 100%, $F$9) + CHOOSE(CONTROL!$C$27, 0.0021, 0)</f>
        <v>22.896099999999997</v>
      </c>
      <c r="H71" s="10">
        <f>22.7593 * CHOOSE(CONTROL!$C$9, $D$9, 100%, $F$9) + CHOOSE(CONTROL!$C$27, 0.0021, 0)</f>
        <v>22.761399999999998</v>
      </c>
      <c r="I71" s="10">
        <f>22.7593 * CHOOSE(CONTROL!$C$9, $D$9, 100%, $F$9) + CHOOSE(CONTROL!$C$27, 0.0021, 0)</f>
        <v>22.761399999999998</v>
      </c>
      <c r="J71" s="10">
        <f>22.7593 * CHOOSE(CONTROL!$C$9, $D$9, 100%, $F$9) + CHOOSE(CONTROL!$C$27, 0.0021, 0)</f>
        <v>22.761399999999998</v>
      </c>
      <c r="K71" s="10">
        <f>22.7593 * CHOOSE(CONTROL!$C$9, $D$9, 100%, $F$9) + CHOOSE(CONTROL!$C$27, 0.0021, 0)</f>
        <v>22.761399999999998</v>
      </c>
      <c r="L71" s="10"/>
    </row>
    <row r="72" spans="1:12" ht="15" x14ac:dyDescent="0.2">
      <c r="A72" s="16">
        <v>43466</v>
      </c>
      <c r="B72" s="10">
        <f>23.9219 * CHOOSE(CONTROL!$C$9, $D$9, 100%, $F$9) + CHOOSE(CONTROL!$C$27, 0.0021, 0)</f>
        <v>23.923999999999999</v>
      </c>
      <c r="C72" s="10">
        <f>23.4897 * CHOOSE(CONTROL!$C$9, $D$9, 100%, $F$9) + CHOOSE(CONTROL!$C$27, 0.0021, 0)</f>
        <v>23.491799999999998</v>
      </c>
      <c r="D72" s="10">
        <f>23.4897 * CHOOSE(CONTROL!$C$9, $D$9, 100%, $F$9) + CHOOSE(CONTROL!$C$27, 0.0021, 0)</f>
        <v>23.491799999999998</v>
      </c>
      <c r="E72" s="10">
        <f>23.353 * CHOOSE(CONTROL!$C$9, $D$9, 100%, $F$9) + CHOOSE(CONTROL!$C$27, 0.0021, 0)</f>
        <v>23.3551</v>
      </c>
      <c r="F72" s="10">
        <f>23.353 * CHOOSE(CONTROL!$C$9, $D$9, 100%, $F$9) + CHOOSE(CONTROL!$C$27, 0.0021, 0)</f>
        <v>23.3551</v>
      </c>
      <c r="G72" s="10">
        <f>23.6244 * CHOOSE(CONTROL!$C$9, $D$9, 100%, $F$9) + CHOOSE(CONTROL!$C$27, 0.0021, 0)</f>
        <v>23.6265</v>
      </c>
      <c r="H72" s="10">
        <f>23.4897 * CHOOSE(CONTROL!$C$9, $D$9, 100%, $F$9) + CHOOSE(CONTROL!$C$27, 0.0021, 0)</f>
        <v>23.491799999999998</v>
      </c>
      <c r="I72" s="10">
        <f>23.4897 * CHOOSE(CONTROL!$C$9, $D$9, 100%, $F$9) + CHOOSE(CONTROL!$C$27, 0.0021, 0)</f>
        <v>23.491799999999998</v>
      </c>
      <c r="J72" s="10">
        <f>23.4897 * CHOOSE(CONTROL!$C$9, $D$9, 100%, $F$9) + CHOOSE(CONTROL!$C$27, 0.0021, 0)</f>
        <v>23.491799999999998</v>
      </c>
      <c r="K72" s="10">
        <f>23.4897 * CHOOSE(CONTROL!$C$9, $D$9, 100%, $F$9) + CHOOSE(CONTROL!$C$27, 0.0021, 0)</f>
        <v>23.491799999999998</v>
      </c>
      <c r="L72" s="10"/>
    </row>
    <row r="73" spans="1:12" ht="15" x14ac:dyDescent="0.2">
      <c r="A73" s="16">
        <v>43497</v>
      </c>
      <c r="B73" s="10">
        <f>23.3101 * CHOOSE(CONTROL!$C$9, $D$9, 100%, $F$9) + CHOOSE(CONTROL!$C$27, 0.0021, 0)</f>
        <v>23.312199999999997</v>
      </c>
      <c r="C73" s="10">
        <f>22.8779 * CHOOSE(CONTROL!$C$9, $D$9, 100%, $F$9) + CHOOSE(CONTROL!$C$27, 0.0021, 0)</f>
        <v>22.88</v>
      </c>
      <c r="D73" s="10">
        <f>22.8779 * CHOOSE(CONTROL!$C$9, $D$9, 100%, $F$9) + CHOOSE(CONTROL!$C$27, 0.0021, 0)</f>
        <v>22.88</v>
      </c>
      <c r="E73" s="10">
        <f>22.7412 * CHOOSE(CONTROL!$C$9, $D$9, 100%, $F$9) + CHOOSE(CONTROL!$C$27, 0.0021, 0)</f>
        <v>22.743299999999998</v>
      </c>
      <c r="F73" s="10">
        <f>22.7412 * CHOOSE(CONTROL!$C$9, $D$9, 100%, $F$9) + CHOOSE(CONTROL!$C$27, 0.0021, 0)</f>
        <v>22.743299999999998</v>
      </c>
      <c r="G73" s="10">
        <f>23.0126 * CHOOSE(CONTROL!$C$9, $D$9, 100%, $F$9) + CHOOSE(CONTROL!$C$27, 0.0021, 0)</f>
        <v>23.014699999999998</v>
      </c>
      <c r="H73" s="10">
        <f>22.8779 * CHOOSE(CONTROL!$C$9, $D$9, 100%, $F$9) + CHOOSE(CONTROL!$C$27, 0.0021, 0)</f>
        <v>22.88</v>
      </c>
      <c r="I73" s="10">
        <f>22.8779 * CHOOSE(CONTROL!$C$9, $D$9, 100%, $F$9) + CHOOSE(CONTROL!$C$27, 0.0021, 0)</f>
        <v>22.88</v>
      </c>
      <c r="J73" s="10">
        <f>22.8779 * CHOOSE(CONTROL!$C$9, $D$9, 100%, $F$9) + CHOOSE(CONTROL!$C$27, 0.0021, 0)</f>
        <v>22.88</v>
      </c>
      <c r="K73" s="10">
        <f>22.8779 * CHOOSE(CONTROL!$C$9, $D$9, 100%, $F$9) + CHOOSE(CONTROL!$C$27, 0.0021, 0)</f>
        <v>22.88</v>
      </c>
      <c r="L73" s="10"/>
    </row>
    <row r="74" spans="1:12" ht="15" x14ac:dyDescent="0.2">
      <c r="A74" s="16">
        <v>43525</v>
      </c>
      <c r="B74" s="10">
        <f>23.0576 * CHOOSE(CONTROL!$C$9, $D$9, 100%, $F$9) + CHOOSE(CONTROL!$C$27, 0.0021, 0)</f>
        <v>23.059699999999999</v>
      </c>
      <c r="C74" s="10">
        <f>22.6253 * CHOOSE(CONTROL!$C$9, $D$9, 100%, $F$9) + CHOOSE(CONTROL!$C$27, 0.0021, 0)</f>
        <v>22.627399999999998</v>
      </c>
      <c r="D74" s="10">
        <f>22.6253 * CHOOSE(CONTROL!$C$9, $D$9, 100%, $F$9) + CHOOSE(CONTROL!$C$27, 0.0021, 0)</f>
        <v>22.627399999999998</v>
      </c>
      <c r="E74" s="10">
        <f>22.4887 * CHOOSE(CONTROL!$C$9, $D$9, 100%, $F$9) + CHOOSE(CONTROL!$C$27, 0.0021, 0)</f>
        <v>22.4908</v>
      </c>
      <c r="F74" s="10">
        <f>22.4887 * CHOOSE(CONTROL!$C$9, $D$9, 100%, $F$9) + CHOOSE(CONTROL!$C$27, 0.0021, 0)</f>
        <v>22.4908</v>
      </c>
      <c r="G74" s="10">
        <f>22.7601 * CHOOSE(CONTROL!$C$9, $D$9, 100%, $F$9) + CHOOSE(CONTROL!$C$27, 0.0021, 0)</f>
        <v>22.7622</v>
      </c>
      <c r="H74" s="10">
        <f>22.6253 * CHOOSE(CONTROL!$C$9, $D$9, 100%, $F$9) + CHOOSE(CONTROL!$C$27, 0.0021, 0)</f>
        <v>22.627399999999998</v>
      </c>
      <c r="I74" s="10">
        <f>22.6253 * CHOOSE(CONTROL!$C$9, $D$9, 100%, $F$9) + CHOOSE(CONTROL!$C$27, 0.0021, 0)</f>
        <v>22.627399999999998</v>
      </c>
      <c r="J74" s="10">
        <f>22.6253 * CHOOSE(CONTROL!$C$9, $D$9, 100%, $F$9) + CHOOSE(CONTROL!$C$27, 0.0021, 0)</f>
        <v>22.627399999999998</v>
      </c>
      <c r="K74" s="10">
        <f>22.6253 * CHOOSE(CONTROL!$C$9, $D$9, 100%, $F$9) + CHOOSE(CONTROL!$C$27, 0.0021, 0)</f>
        <v>22.627399999999998</v>
      </c>
      <c r="L74" s="10"/>
    </row>
    <row r="75" spans="1:12" ht="15" x14ac:dyDescent="0.2">
      <c r="A75" s="16">
        <v>43556</v>
      </c>
      <c r="B75" s="10">
        <f>22.756 * CHOOSE(CONTROL!$C$9, $D$9, 100%, $F$9) + CHOOSE(CONTROL!$C$27, 0.0021, 0)</f>
        <v>22.758099999999999</v>
      </c>
      <c r="C75" s="10">
        <f>22.3238 * CHOOSE(CONTROL!$C$9, $D$9, 100%, $F$9) + CHOOSE(CONTROL!$C$27, 0.0021, 0)</f>
        <v>22.325899999999997</v>
      </c>
      <c r="D75" s="10">
        <f>22.3238 * CHOOSE(CONTROL!$C$9, $D$9, 100%, $F$9) + CHOOSE(CONTROL!$C$27, 0.0021, 0)</f>
        <v>22.325899999999997</v>
      </c>
      <c r="E75" s="10">
        <f>22.1871 * CHOOSE(CONTROL!$C$9, $D$9, 100%, $F$9) + CHOOSE(CONTROL!$C$27, 0.0021, 0)</f>
        <v>22.1892</v>
      </c>
      <c r="F75" s="10">
        <f>22.1871 * CHOOSE(CONTROL!$C$9, $D$9, 100%, $F$9) + CHOOSE(CONTROL!$C$27, 0.0021, 0)</f>
        <v>22.1892</v>
      </c>
      <c r="G75" s="10">
        <f>22.4585 * CHOOSE(CONTROL!$C$9, $D$9, 100%, $F$9) + CHOOSE(CONTROL!$C$27, 0.0021, 0)</f>
        <v>22.460599999999999</v>
      </c>
      <c r="H75" s="10">
        <f>22.3238 * CHOOSE(CONTROL!$C$9, $D$9, 100%, $F$9) + CHOOSE(CONTROL!$C$27, 0.0021, 0)</f>
        <v>22.325899999999997</v>
      </c>
      <c r="I75" s="10">
        <f>22.3238 * CHOOSE(CONTROL!$C$9, $D$9, 100%, $F$9) + CHOOSE(CONTROL!$C$27, 0.0021, 0)</f>
        <v>22.325899999999997</v>
      </c>
      <c r="J75" s="10">
        <f>22.3238 * CHOOSE(CONTROL!$C$9, $D$9, 100%, $F$9) + CHOOSE(CONTROL!$C$27, 0.0021, 0)</f>
        <v>22.325899999999997</v>
      </c>
      <c r="K75" s="10">
        <f>22.3238 * CHOOSE(CONTROL!$C$9, $D$9, 100%, $F$9) + CHOOSE(CONTROL!$C$27, 0.0021, 0)</f>
        <v>22.325899999999997</v>
      </c>
      <c r="L75" s="10"/>
    </row>
    <row r="76" spans="1:12" ht="15" x14ac:dyDescent="0.2">
      <c r="A76" s="16">
        <v>43586</v>
      </c>
      <c r="B76" s="10">
        <f>23.1858 * CHOOSE(CONTROL!$C$9, $D$9, 100%, $F$9) + CHOOSE(CONTROL!$C$27, 0.0021, 0)</f>
        <v>23.187899999999999</v>
      </c>
      <c r="C76" s="10">
        <f>22.7535 * CHOOSE(CONTROL!$C$9, $D$9, 100%, $F$9) + CHOOSE(CONTROL!$C$27, 0.0021, 0)</f>
        <v>22.755599999999998</v>
      </c>
      <c r="D76" s="10">
        <f>22.7535 * CHOOSE(CONTROL!$C$9, $D$9, 100%, $F$9) + CHOOSE(CONTROL!$C$27, 0.0021, 0)</f>
        <v>22.755599999999998</v>
      </c>
      <c r="E76" s="10">
        <f>22.6169 * CHOOSE(CONTROL!$C$9, $D$9, 100%, $F$9) + CHOOSE(CONTROL!$C$27, 0.0021, 0)</f>
        <v>22.619</v>
      </c>
      <c r="F76" s="10">
        <f>22.6169 * CHOOSE(CONTROL!$C$9, $D$9, 100%, $F$9) + CHOOSE(CONTROL!$C$27, 0.0021, 0)</f>
        <v>22.619</v>
      </c>
      <c r="G76" s="10">
        <f>22.8882 * CHOOSE(CONTROL!$C$9, $D$9, 100%, $F$9) + CHOOSE(CONTROL!$C$27, 0.0021, 0)</f>
        <v>22.8903</v>
      </c>
      <c r="H76" s="10">
        <f>22.7535 * CHOOSE(CONTROL!$C$9, $D$9, 100%, $F$9) + CHOOSE(CONTROL!$C$27, 0.0021, 0)</f>
        <v>22.755599999999998</v>
      </c>
      <c r="I76" s="10">
        <f>22.7535 * CHOOSE(CONTROL!$C$9, $D$9, 100%, $F$9) + CHOOSE(CONTROL!$C$27, 0.0021, 0)</f>
        <v>22.755599999999998</v>
      </c>
      <c r="J76" s="10">
        <f>22.7535 * CHOOSE(CONTROL!$C$9, $D$9, 100%, $F$9) + CHOOSE(CONTROL!$C$27, 0.0021, 0)</f>
        <v>22.755599999999998</v>
      </c>
      <c r="K76" s="10">
        <f>22.7535 * CHOOSE(CONTROL!$C$9, $D$9, 100%, $F$9) + CHOOSE(CONTROL!$C$27, 0.0021, 0)</f>
        <v>22.755599999999998</v>
      </c>
      <c r="L76" s="10"/>
    </row>
    <row r="77" spans="1:12" ht="15" x14ac:dyDescent="0.2">
      <c r="A77" s="16">
        <v>43617</v>
      </c>
      <c r="B77" s="10">
        <f>23.4432 * CHOOSE(CONTROL!$C$9, $D$9, 100%, $F$9) + CHOOSE(CONTROL!$C$27, 0.0021, 0)</f>
        <v>23.4453</v>
      </c>
      <c r="C77" s="10">
        <f>23.0109 * CHOOSE(CONTROL!$C$9, $D$9, 100%, $F$9) + CHOOSE(CONTROL!$C$27, 0.0021, 0)</f>
        <v>23.012999999999998</v>
      </c>
      <c r="D77" s="10">
        <f>23.0109 * CHOOSE(CONTROL!$C$9, $D$9, 100%, $F$9) + CHOOSE(CONTROL!$C$27, 0.0021, 0)</f>
        <v>23.012999999999998</v>
      </c>
      <c r="E77" s="10">
        <f>22.8743 * CHOOSE(CONTROL!$C$9, $D$9, 100%, $F$9) + CHOOSE(CONTROL!$C$27, 0.0021, 0)</f>
        <v>22.8764</v>
      </c>
      <c r="F77" s="10">
        <f>22.8743 * CHOOSE(CONTROL!$C$9, $D$9, 100%, $F$9) + CHOOSE(CONTROL!$C$27, 0.0021, 0)</f>
        <v>22.8764</v>
      </c>
      <c r="G77" s="10">
        <f>23.1457 * CHOOSE(CONTROL!$C$9, $D$9, 100%, $F$9) + CHOOSE(CONTROL!$C$27, 0.0021, 0)</f>
        <v>23.1478</v>
      </c>
      <c r="H77" s="10">
        <f>23.0109 * CHOOSE(CONTROL!$C$9, $D$9, 100%, $F$9) + CHOOSE(CONTROL!$C$27, 0.0021, 0)</f>
        <v>23.012999999999998</v>
      </c>
      <c r="I77" s="10">
        <f>23.0109 * CHOOSE(CONTROL!$C$9, $D$9, 100%, $F$9) + CHOOSE(CONTROL!$C$27, 0.0021, 0)</f>
        <v>23.012999999999998</v>
      </c>
      <c r="J77" s="10">
        <f>23.0109 * CHOOSE(CONTROL!$C$9, $D$9, 100%, $F$9) + CHOOSE(CONTROL!$C$27, 0.0021, 0)</f>
        <v>23.012999999999998</v>
      </c>
      <c r="K77" s="10">
        <f>23.0109 * CHOOSE(CONTROL!$C$9, $D$9, 100%, $F$9) + CHOOSE(CONTROL!$C$27, 0.0021, 0)</f>
        <v>23.012999999999998</v>
      </c>
      <c r="L77" s="10"/>
    </row>
    <row r="78" spans="1:12" ht="15" x14ac:dyDescent="0.2">
      <c r="A78" s="16">
        <v>43647</v>
      </c>
      <c r="B78" s="10">
        <f>23.8678 * CHOOSE(CONTROL!$C$9, $D$9, 100%, $F$9) + CHOOSE(CONTROL!$C$27, 0.0021, 0)</f>
        <v>23.869899999999998</v>
      </c>
      <c r="C78" s="10">
        <f>23.4355 * CHOOSE(CONTROL!$C$9, $D$9, 100%, $F$9) + CHOOSE(CONTROL!$C$27, 0.0021, 0)</f>
        <v>23.4376</v>
      </c>
      <c r="D78" s="10">
        <f>23.4355 * CHOOSE(CONTROL!$C$9, $D$9, 100%, $F$9) + CHOOSE(CONTROL!$C$27, 0.0021, 0)</f>
        <v>23.4376</v>
      </c>
      <c r="E78" s="10">
        <f>23.2989 * CHOOSE(CONTROL!$C$9, $D$9, 100%, $F$9) + CHOOSE(CONTROL!$C$27, 0.0021, 0)</f>
        <v>23.300999999999998</v>
      </c>
      <c r="F78" s="10">
        <f>23.2989 * CHOOSE(CONTROL!$C$9, $D$9, 100%, $F$9) + CHOOSE(CONTROL!$C$27, 0.0021, 0)</f>
        <v>23.300999999999998</v>
      </c>
      <c r="G78" s="10">
        <f>23.5703 * CHOOSE(CONTROL!$C$9, $D$9, 100%, $F$9) + CHOOSE(CONTROL!$C$27, 0.0021, 0)</f>
        <v>23.572399999999998</v>
      </c>
      <c r="H78" s="10">
        <f>23.4355 * CHOOSE(CONTROL!$C$9, $D$9, 100%, $F$9) + CHOOSE(CONTROL!$C$27, 0.0021, 0)</f>
        <v>23.4376</v>
      </c>
      <c r="I78" s="10">
        <f>23.4355 * CHOOSE(CONTROL!$C$9, $D$9, 100%, $F$9) + CHOOSE(CONTROL!$C$27, 0.0021, 0)</f>
        <v>23.4376</v>
      </c>
      <c r="J78" s="10">
        <f>23.4355 * CHOOSE(CONTROL!$C$9, $D$9, 100%, $F$9) + CHOOSE(CONTROL!$C$27, 0.0021, 0)</f>
        <v>23.4376</v>
      </c>
      <c r="K78" s="10">
        <f>23.4355 * CHOOSE(CONTROL!$C$9, $D$9, 100%, $F$9) + CHOOSE(CONTROL!$C$27, 0.0021, 0)</f>
        <v>23.4376</v>
      </c>
      <c r="L78" s="10"/>
    </row>
    <row r="79" spans="1:12" ht="15" x14ac:dyDescent="0.2">
      <c r="A79" s="16">
        <v>43678</v>
      </c>
      <c r="B79" s="10">
        <f>23.9974 * CHOOSE(CONTROL!$C$9, $D$9, 100%, $F$9) + CHOOSE(CONTROL!$C$27, 0.0021, 0)</f>
        <v>23.999499999999998</v>
      </c>
      <c r="C79" s="10">
        <f>23.5652 * CHOOSE(CONTROL!$C$9, $D$9, 100%, $F$9) + CHOOSE(CONTROL!$C$27, 0.0021, 0)</f>
        <v>23.567299999999999</v>
      </c>
      <c r="D79" s="10">
        <f>23.5652 * CHOOSE(CONTROL!$C$9, $D$9, 100%, $F$9) + CHOOSE(CONTROL!$C$27, 0.0021, 0)</f>
        <v>23.567299999999999</v>
      </c>
      <c r="E79" s="10">
        <f>23.4285 * CHOOSE(CONTROL!$C$9, $D$9, 100%, $F$9) + CHOOSE(CONTROL!$C$27, 0.0021, 0)</f>
        <v>23.430599999999998</v>
      </c>
      <c r="F79" s="10">
        <f>23.4285 * CHOOSE(CONTROL!$C$9, $D$9, 100%, $F$9) + CHOOSE(CONTROL!$C$27, 0.0021, 0)</f>
        <v>23.430599999999998</v>
      </c>
      <c r="G79" s="10">
        <f>23.6999 * CHOOSE(CONTROL!$C$9, $D$9, 100%, $F$9) + CHOOSE(CONTROL!$C$27, 0.0021, 0)</f>
        <v>23.701999999999998</v>
      </c>
      <c r="H79" s="10">
        <f>23.5652 * CHOOSE(CONTROL!$C$9, $D$9, 100%, $F$9) + CHOOSE(CONTROL!$C$27, 0.0021, 0)</f>
        <v>23.567299999999999</v>
      </c>
      <c r="I79" s="10">
        <f>23.5652 * CHOOSE(CONTROL!$C$9, $D$9, 100%, $F$9) + CHOOSE(CONTROL!$C$27, 0.0021, 0)</f>
        <v>23.567299999999999</v>
      </c>
      <c r="J79" s="10">
        <f>23.5652 * CHOOSE(CONTROL!$C$9, $D$9, 100%, $F$9) + CHOOSE(CONTROL!$C$27, 0.0021, 0)</f>
        <v>23.567299999999999</v>
      </c>
      <c r="K79" s="10">
        <f>23.5652 * CHOOSE(CONTROL!$C$9, $D$9, 100%, $F$9) + CHOOSE(CONTROL!$C$27, 0.0021, 0)</f>
        <v>23.567299999999999</v>
      </c>
      <c r="L79" s="10"/>
    </row>
    <row r="80" spans="1:12" ht="15" x14ac:dyDescent="0.2">
      <c r="A80" s="16">
        <v>43709</v>
      </c>
      <c r="B80" s="10">
        <f>24.4388 * CHOOSE(CONTROL!$C$9, $D$9, 100%, $F$9) + CHOOSE(CONTROL!$C$27, 0.0021, 0)</f>
        <v>24.440899999999999</v>
      </c>
      <c r="C80" s="10">
        <f>24.0065 * CHOOSE(CONTROL!$C$9, $D$9, 100%, $F$9) + CHOOSE(CONTROL!$C$27, 0.0021, 0)</f>
        <v>24.008599999999998</v>
      </c>
      <c r="D80" s="10">
        <f>24.0065 * CHOOSE(CONTROL!$C$9, $D$9, 100%, $F$9) + CHOOSE(CONTROL!$C$27, 0.0021, 0)</f>
        <v>24.008599999999998</v>
      </c>
      <c r="E80" s="10">
        <f>23.8699 * CHOOSE(CONTROL!$C$9, $D$9, 100%, $F$9) + CHOOSE(CONTROL!$C$27, 0.0021, 0)</f>
        <v>23.872</v>
      </c>
      <c r="F80" s="10">
        <f>23.8699 * CHOOSE(CONTROL!$C$9, $D$9, 100%, $F$9) + CHOOSE(CONTROL!$C$27, 0.0021, 0)</f>
        <v>23.872</v>
      </c>
      <c r="G80" s="10">
        <f>24.1412 * CHOOSE(CONTROL!$C$9, $D$9, 100%, $F$9) + CHOOSE(CONTROL!$C$27, 0.0021, 0)</f>
        <v>24.1433</v>
      </c>
      <c r="H80" s="10">
        <f>24.0065 * CHOOSE(CONTROL!$C$9, $D$9, 100%, $F$9) + CHOOSE(CONTROL!$C$27, 0.0021, 0)</f>
        <v>24.008599999999998</v>
      </c>
      <c r="I80" s="10">
        <f>24.0065 * CHOOSE(CONTROL!$C$9, $D$9, 100%, $F$9) + CHOOSE(CONTROL!$C$27, 0.0021, 0)</f>
        <v>24.008599999999998</v>
      </c>
      <c r="J80" s="10">
        <f>24.0065 * CHOOSE(CONTROL!$C$9, $D$9, 100%, $F$9) + CHOOSE(CONTROL!$C$27, 0.0021, 0)</f>
        <v>24.008599999999998</v>
      </c>
      <c r="K80" s="10">
        <f>24.0065 * CHOOSE(CONTROL!$C$9, $D$9, 100%, $F$9) + CHOOSE(CONTROL!$C$27, 0.0021, 0)</f>
        <v>24.008599999999998</v>
      </c>
      <c r="L80" s="10"/>
    </row>
    <row r="81" spans="1:12" ht="15" x14ac:dyDescent="0.2">
      <c r="A81" s="16">
        <v>43739</v>
      </c>
      <c r="B81" s="10">
        <f>24.9975 * CHOOSE(CONTROL!$C$9, $D$9, 100%, $F$9) + CHOOSE(CONTROL!$C$27, 0.0021, 0)</f>
        <v>24.999599999999997</v>
      </c>
      <c r="C81" s="10">
        <f>24.5652 * CHOOSE(CONTROL!$C$9, $D$9, 100%, $F$9) + CHOOSE(CONTROL!$C$27, 0.0021, 0)</f>
        <v>24.567299999999999</v>
      </c>
      <c r="D81" s="10">
        <f>24.5652 * CHOOSE(CONTROL!$C$9, $D$9, 100%, $F$9) + CHOOSE(CONTROL!$C$27, 0.0021, 0)</f>
        <v>24.567299999999999</v>
      </c>
      <c r="E81" s="10">
        <f>24.4286 * CHOOSE(CONTROL!$C$9, $D$9, 100%, $F$9) + CHOOSE(CONTROL!$C$27, 0.0021, 0)</f>
        <v>24.430699999999998</v>
      </c>
      <c r="F81" s="10">
        <f>24.4286 * CHOOSE(CONTROL!$C$9, $D$9, 100%, $F$9) + CHOOSE(CONTROL!$C$27, 0.0021, 0)</f>
        <v>24.430699999999998</v>
      </c>
      <c r="G81" s="10">
        <f>24.6999 * CHOOSE(CONTROL!$C$9, $D$9, 100%, $F$9) + CHOOSE(CONTROL!$C$27, 0.0021, 0)</f>
        <v>24.701999999999998</v>
      </c>
      <c r="H81" s="10">
        <f>24.5652 * CHOOSE(CONTROL!$C$9, $D$9, 100%, $F$9) + CHOOSE(CONTROL!$C$27, 0.0021, 0)</f>
        <v>24.567299999999999</v>
      </c>
      <c r="I81" s="10">
        <f>24.5652 * CHOOSE(CONTROL!$C$9, $D$9, 100%, $F$9) + CHOOSE(CONTROL!$C$27, 0.0021, 0)</f>
        <v>24.567299999999999</v>
      </c>
      <c r="J81" s="10">
        <f>24.5652 * CHOOSE(CONTROL!$C$9, $D$9, 100%, $F$9) + CHOOSE(CONTROL!$C$27, 0.0021, 0)</f>
        <v>24.567299999999999</v>
      </c>
      <c r="K81" s="10">
        <f>24.5652 * CHOOSE(CONTROL!$C$9, $D$9, 100%, $F$9) + CHOOSE(CONTROL!$C$27, 0.0021, 0)</f>
        <v>24.567299999999999</v>
      </c>
      <c r="L81" s="10"/>
    </row>
    <row r="82" spans="1:12" ht="15" x14ac:dyDescent="0.2">
      <c r="A82" s="16">
        <v>43770</v>
      </c>
      <c r="B82" s="10">
        <f>25.0499 * CHOOSE(CONTROL!$C$9, $D$9, 100%, $F$9) + CHOOSE(CONTROL!$C$27, 0.0021, 0)</f>
        <v>25.052</v>
      </c>
      <c r="C82" s="10">
        <f>24.6177 * CHOOSE(CONTROL!$C$9, $D$9, 100%, $F$9) + CHOOSE(CONTROL!$C$27, 0.0021, 0)</f>
        <v>24.619799999999998</v>
      </c>
      <c r="D82" s="10">
        <f>24.6177 * CHOOSE(CONTROL!$C$9, $D$9, 100%, $F$9) + CHOOSE(CONTROL!$C$27, 0.0021, 0)</f>
        <v>24.619799999999998</v>
      </c>
      <c r="E82" s="10">
        <f>24.481 * CHOOSE(CONTROL!$C$9, $D$9, 100%, $F$9) + CHOOSE(CONTROL!$C$27, 0.0021, 0)</f>
        <v>24.4831</v>
      </c>
      <c r="F82" s="10">
        <f>24.481 * CHOOSE(CONTROL!$C$9, $D$9, 100%, $F$9) + CHOOSE(CONTROL!$C$27, 0.0021, 0)</f>
        <v>24.4831</v>
      </c>
      <c r="G82" s="10">
        <f>24.7524 * CHOOSE(CONTROL!$C$9, $D$9, 100%, $F$9) + CHOOSE(CONTROL!$C$27, 0.0021, 0)</f>
        <v>24.7545</v>
      </c>
      <c r="H82" s="10">
        <f>24.6177 * CHOOSE(CONTROL!$C$9, $D$9, 100%, $F$9) + CHOOSE(CONTROL!$C$27, 0.0021, 0)</f>
        <v>24.619799999999998</v>
      </c>
      <c r="I82" s="10">
        <f>24.6177 * CHOOSE(CONTROL!$C$9, $D$9, 100%, $F$9) + CHOOSE(CONTROL!$C$27, 0.0021, 0)</f>
        <v>24.619799999999998</v>
      </c>
      <c r="J82" s="10">
        <f>24.6177 * CHOOSE(CONTROL!$C$9, $D$9, 100%, $F$9) + CHOOSE(CONTROL!$C$27, 0.0021, 0)</f>
        <v>24.619799999999998</v>
      </c>
      <c r="K82" s="10">
        <f>24.6177 * CHOOSE(CONTROL!$C$9, $D$9, 100%, $F$9) + CHOOSE(CONTROL!$C$27, 0.0021, 0)</f>
        <v>24.619799999999998</v>
      </c>
      <c r="L82" s="10"/>
    </row>
    <row r="83" spans="1:12" ht="15" x14ac:dyDescent="0.2">
      <c r="A83" s="16">
        <v>43800</v>
      </c>
      <c r="B83" s="10">
        <f>24.6037 * CHOOSE(CONTROL!$C$9, $D$9, 100%, $F$9) + CHOOSE(CONTROL!$C$27, 0.0021, 0)</f>
        <v>24.605799999999999</v>
      </c>
      <c r="C83" s="10">
        <f>24.1715 * CHOOSE(CONTROL!$C$9, $D$9, 100%, $F$9) + CHOOSE(CONTROL!$C$27, 0.0021, 0)</f>
        <v>24.1736</v>
      </c>
      <c r="D83" s="10">
        <f>24.1715 * CHOOSE(CONTROL!$C$9, $D$9, 100%, $F$9) + CHOOSE(CONTROL!$C$27, 0.0021, 0)</f>
        <v>24.1736</v>
      </c>
      <c r="E83" s="10">
        <f>24.0348 * CHOOSE(CONTROL!$C$9, $D$9, 100%, $F$9) + CHOOSE(CONTROL!$C$27, 0.0021, 0)</f>
        <v>24.036899999999999</v>
      </c>
      <c r="F83" s="10">
        <f>24.0348 * CHOOSE(CONTROL!$C$9, $D$9, 100%, $F$9) + CHOOSE(CONTROL!$C$27, 0.0021, 0)</f>
        <v>24.036899999999999</v>
      </c>
      <c r="G83" s="10">
        <f>24.3062 * CHOOSE(CONTROL!$C$9, $D$9, 100%, $F$9) + CHOOSE(CONTROL!$C$27, 0.0021, 0)</f>
        <v>24.308299999999999</v>
      </c>
      <c r="H83" s="10">
        <f>24.1715 * CHOOSE(CONTROL!$C$9, $D$9, 100%, $F$9) + CHOOSE(CONTROL!$C$27, 0.0021, 0)</f>
        <v>24.1736</v>
      </c>
      <c r="I83" s="10">
        <f>24.1715 * CHOOSE(CONTROL!$C$9, $D$9, 100%, $F$9) + CHOOSE(CONTROL!$C$27, 0.0021, 0)</f>
        <v>24.1736</v>
      </c>
      <c r="J83" s="10">
        <f>24.1715 * CHOOSE(CONTROL!$C$9, $D$9, 100%, $F$9) + CHOOSE(CONTROL!$C$27, 0.0021, 0)</f>
        <v>24.1736</v>
      </c>
      <c r="K83" s="10">
        <f>24.1715 * CHOOSE(CONTROL!$C$9, $D$9, 100%, $F$9) + CHOOSE(CONTROL!$C$27, 0.0021, 0)</f>
        <v>24.1736</v>
      </c>
      <c r="L83" s="10"/>
    </row>
    <row r="84" spans="1:12" ht="15" x14ac:dyDescent="0.2">
      <c r="A84" s="16">
        <v>43831</v>
      </c>
      <c r="B84" s="10">
        <f>24.9339 * CHOOSE(CONTROL!$C$9, $D$9, 100%, $F$9) + CHOOSE(CONTROL!$C$27, 0.0021, 0)</f>
        <v>24.936</v>
      </c>
      <c r="C84" s="10">
        <f>24.5017 * CHOOSE(CONTROL!$C$9, $D$9, 100%, $F$9) + CHOOSE(CONTROL!$C$27, 0.0021, 0)</f>
        <v>24.503799999999998</v>
      </c>
      <c r="D84" s="10">
        <f>24.5017 * CHOOSE(CONTROL!$C$9, $D$9, 100%, $F$9) + CHOOSE(CONTROL!$C$27, 0.0021, 0)</f>
        <v>24.503799999999998</v>
      </c>
      <c r="E84" s="10">
        <f>24.365 * CHOOSE(CONTROL!$C$9, $D$9, 100%, $F$9) + CHOOSE(CONTROL!$C$27, 0.0021, 0)</f>
        <v>24.367099999999997</v>
      </c>
      <c r="F84" s="10">
        <f>24.365 * CHOOSE(CONTROL!$C$9, $D$9, 100%, $F$9) + CHOOSE(CONTROL!$C$27, 0.0021, 0)</f>
        <v>24.367099999999997</v>
      </c>
      <c r="G84" s="10">
        <f>24.6364 * CHOOSE(CONTROL!$C$9, $D$9, 100%, $F$9) + CHOOSE(CONTROL!$C$27, 0.0021, 0)</f>
        <v>24.638499999999997</v>
      </c>
      <c r="H84" s="10">
        <f>24.5017 * CHOOSE(CONTROL!$C$9, $D$9, 100%, $F$9) + CHOOSE(CONTROL!$C$27, 0.0021, 0)</f>
        <v>24.503799999999998</v>
      </c>
      <c r="I84" s="10">
        <f>24.5017 * CHOOSE(CONTROL!$C$9, $D$9, 100%, $F$9) + CHOOSE(CONTROL!$C$27, 0.0021, 0)</f>
        <v>24.503799999999998</v>
      </c>
      <c r="J84" s="10">
        <f>24.5017 * CHOOSE(CONTROL!$C$9, $D$9, 100%, $F$9) + CHOOSE(CONTROL!$C$27, 0.0021, 0)</f>
        <v>24.503799999999998</v>
      </c>
      <c r="K84" s="10">
        <f>24.5017 * CHOOSE(CONTROL!$C$9, $D$9, 100%, $F$9) + CHOOSE(CONTROL!$C$27, 0.0021, 0)</f>
        <v>24.503799999999998</v>
      </c>
      <c r="L84" s="10"/>
    </row>
    <row r="85" spans="1:12" ht="15" x14ac:dyDescent="0.2">
      <c r="A85" s="16">
        <v>43862</v>
      </c>
      <c r="B85" s="10">
        <f>24.2935 * CHOOSE(CONTROL!$C$9, $D$9, 100%, $F$9) + CHOOSE(CONTROL!$C$27, 0.0021, 0)</f>
        <v>24.2956</v>
      </c>
      <c r="C85" s="10">
        <f>23.8612 * CHOOSE(CONTROL!$C$9, $D$9, 100%, $F$9) + CHOOSE(CONTROL!$C$27, 0.0021, 0)</f>
        <v>23.863299999999999</v>
      </c>
      <c r="D85" s="10">
        <f>23.8612 * CHOOSE(CONTROL!$C$9, $D$9, 100%, $F$9) + CHOOSE(CONTROL!$C$27, 0.0021, 0)</f>
        <v>23.863299999999999</v>
      </c>
      <c r="E85" s="10">
        <f>23.7246 * CHOOSE(CONTROL!$C$9, $D$9, 100%, $F$9) + CHOOSE(CONTROL!$C$27, 0.0021, 0)</f>
        <v>23.726699999999997</v>
      </c>
      <c r="F85" s="10">
        <f>23.7246 * CHOOSE(CONTROL!$C$9, $D$9, 100%, $F$9) + CHOOSE(CONTROL!$C$27, 0.0021, 0)</f>
        <v>23.726699999999997</v>
      </c>
      <c r="G85" s="10">
        <f>23.996 * CHOOSE(CONTROL!$C$9, $D$9, 100%, $F$9) + CHOOSE(CONTROL!$C$27, 0.0021, 0)</f>
        <v>23.998099999999997</v>
      </c>
      <c r="H85" s="10">
        <f>23.8612 * CHOOSE(CONTROL!$C$9, $D$9, 100%, $F$9) + CHOOSE(CONTROL!$C$27, 0.0021, 0)</f>
        <v>23.863299999999999</v>
      </c>
      <c r="I85" s="10">
        <f>23.8612 * CHOOSE(CONTROL!$C$9, $D$9, 100%, $F$9) + CHOOSE(CONTROL!$C$27, 0.0021, 0)</f>
        <v>23.863299999999999</v>
      </c>
      <c r="J85" s="10">
        <f>23.8612 * CHOOSE(CONTROL!$C$9, $D$9, 100%, $F$9) + CHOOSE(CONTROL!$C$27, 0.0021, 0)</f>
        <v>23.863299999999999</v>
      </c>
      <c r="K85" s="10">
        <f>23.8612 * CHOOSE(CONTROL!$C$9, $D$9, 100%, $F$9) + CHOOSE(CONTROL!$C$27, 0.0021, 0)</f>
        <v>23.863299999999999</v>
      </c>
      <c r="L85" s="10"/>
    </row>
    <row r="86" spans="1:12" ht="15" x14ac:dyDescent="0.2">
      <c r="A86" s="16">
        <v>43891</v>
      </c>
      <c r="B86" s="10">
        <f>24.0291 * CHOOSE(CONTROL!$C$9, $D$9, 100%, $F$9) + CHOOSE(CONTROL!$C$27, 0.0021, 0)</f>
        <v>24.031199999999998</v>
      </c>
      <c r="C86" s="10">
        <f>23.5969 * CHOOSE(CONTROL!$C$9, $D$9, 100%, $F$9) + CHOOSE(CONTROL!$C$27, 0.0021, 0)</f>
        <v>23.599</v>
      </c>
      <c r="D86" s="10">
        <f>23.5969 * CHOOSE(CONTROL!$C$9, $D$9, 100%, $F$9) + CHOOSE(CONTROL!$C$27, 0.0021, 0)</f>
        <v>23.599</v>
      </c>
      <c r="E86" s="10">
        <f>23.4602 * CHOOSE(CONTROL!$C$9, $D$9, 100%, $F$9) + CHOOSE(CONTROL!$C$27, 0.0021, 0)</f>
        <v>23.462299999999999</v>
      </c>
      <c r="F86" s="10">
        <f>23.4602 * CHOOSE(CONTROL!$C$9, $D$9, 100%, $F$9) + CHOOSE(CONTROL!$C$27, 0.0021, 0)</f>
        <v>23.462299999999999</v>
      </c>
      <c r="G86" s="10">
        <f>23.7316 * CHOOSE(CONTROL!$C$9, $D$9, 100%, $F$9) + CHOOSE(CONTROL!$C$27, 0.0021, 0)</f>
        <v>23.733699999999999</v>
      </c>
      <c r="H86" s="10">
        <f>23.5969 * CHOOSE(CONTROL!$C$9, $D$9, 100%, $F$9) + CHOOSE(CONTROL!$C$27, 0.0021, 0)</f>
        <v>23.599</v>
      </c>
      <c r="I86" s="10">
        <f>23.5969 * CHOOSE(CONTROL!$C$9, $D$9, 100%, $F$9) + CHOOSE(CONTROL!$C$27, 0.0021, 0)</f>
        <v>23.599</v>
      </c>
      <c r="J86" s="10">
        <f>23.5969 * CHOOSE(CONTROL!$C$9, $D$9, 100%, $F$9) + CHOOSE(CONTROL!$C$27, 0.0021, 0)</f>
        <v>23.599</v>
      </c>
      <c r="K86" s="10">
        <f>23.5969 * CHOOSE(CONTROL!$C$9, $D$9, 100%, $F$9) + CHOOSE(CONTROL!$C$27, 0.0021, 0)</f>
        <v>23.599</v>
      </c>
      <c r="L86" s="10"/>
    </row>
    <row r="87" spans="1:12" ht="15" x14ac:dyDescent="0.2">
      <c r="A87" s="16">
        <v>43922</v>
      </c>
      <c r="B87" s="10">
        <f>23.7135 * CHOOSE(CONTROL!$C$9, $D$9, 100%, $F$9) + CHOOSE(CONTROL!$C$27, 0.0021, 0)</f>
        <v>23.715599999999998</v>
      </c>
      <c r="C87" s="10">
        <f>23.2812 * CHOOSE(CONTROL!$C$9, $D$9, 100%, $F$9) + CHOOSE(CONTROL!$C$27, 0.0021, 0)</f>
        <v>23.283299999999997</v>
      </c>
      <c r="D87" s="10">
        <f>23.2812 * CHOOSE(CONTROL!$C$9, $D$9, 100%, $F$9) + CHOOSE(CONTROL!$C$27, 0.0021, 0)</f>
        <v>23.283299999999997</v>
      </c>
      <c r="E87" s="10">
        <f>23.1446 * CHOOSE(CONTROL!$C$9, $D$9, 100%, $F$9) + CHOOSE(CONTROL!$C$27, 0.0021, 0)</f>
        <v>23.146699999999999</v>
      </c>
      <c r="F87" s="10">
        <f>23.1446 * CHOOSE(CONTROL!$C$9, $D$9, 100%, $F$9) + CHOOSE(CONTROL!$C$27, 0.0021, 0)</f>
        <v>23.146699999999999</v>
      </c>
      <c r="G87" s="10">
        <f>23.4159 * CHOOSE(CONTROL!$C$9, $D$9, 100%, $F$9) + CHOOSE(CONTROL!$C$27, 0.0021, 0)</f>
        <v>23.417999999999999</v>
      </c>
      <c r="H87" s="10">
        <f>23.2812 * CHOOSE(CONTROL!$C$9, $D$9, 100%, $F$9) + CHOOSE(CONTROL!$C$27, 0.0021, 0)</f>
        <v>23.283299999999997</v>
      </c>
      <c r="I87" s="10">
        <f>23.2812 * CHOOSE(CONTROL!$C$9, $D$9, 100%, $F$9) + CHOOSE(CONTROL!$C$27, 0.0021, 0)</f>
        <v>23.283299999999997</v>
      </c>
      <c r="J87" s="10">
        <f>23.2812 * CHOOSE(CONTROL!$C$9, $D$9, 100%, $F$9) + CHOOSE(CONTROL!$C$27, 0.0021, 0)</f>
        <v>23.283299999999997</v>
      </c>
      <c r="K87" s="10">
        <f>23.2812 * CHOOSE(CONTROL!$C$9, $D$9, 100%, $F$9) + CHOOSE(CONTROL!$C$27, 0.0021, 0)</f>
        <v>23.283299999999997</v>
      </c>
      <c r="L87" s="10"/>
    </row>
    <row r="88" spans="1:12" ht="15" x14ac:dyDescent="0.2">
      <c r="A88" s="16">
        <v>43952</v>
      </c>
      <c r="B88" s="10">
        <f>24.1633 * CHOOSE(CONTROL!$C$9, $D$9, 100%, $F$9) + CHOOSE(CONTROL!$C$27, 0.0021, 0)</f>
        <v>24.165399999999998</v>
      </c>
      <c r="C88" s="10">
        <f>23.7311 * CHOOSE(CONTROL!$C$9, $D$9, 100%, $F$9) + CHOOSE(CONTROL!$C$27, 0.0021, 0)</f>
        <v>23.7332</v>
      </c>
      <c r="D88" s="10">
        <f>23.7311 * CHOOSE(CONTROL!$C$9, $D$9, 100%, $F$9) + CHOOSE(CONTROL!$C$27, 0.0021, 0)</f>
        <v>23.7332</v>
      </c>
      <c r="E88" s="10">
        <f>23.5944 * CHOOSE(CONTROL!$C$9, $D$9, 100%, $F$9) + CHOOSE(CONTROL!$C$27, 0.0021, 0)</f>
        <v>23.596499999999999</v>
      </c>
      <c r="F88" s="10">
        <f>23.5944 * CHOOSE(CONTROL!$C$9, $D$9, 100%, $F$9) + CHOOSE(CONTROL!$C$27, 0.0021, 0)</f>
        <v>23.596499999999999</v>
      </c>
      <c r="G88" s="10">
        <f>23.8658 * CHOOSE(CONTROL!$C$9, $D$9, 100%, $F$9) + CHOOSE(CONTROL!$C$27, 0.0021, 0)</f>
        <v>23.867899999999999</v>
      </c>
      <c r="H88" s="10">
        <f>23.7311 * CHOOSE(CONTROL!$C$9, $D$9, 100%, $F$9) + CHOOSE(CONTROL!$C$27, 0.0021, 0)</f>
        <v>23.7332</v>
      </c>
      <c r="I88" s="10">
        <f>23.7311 * CHOOSE(CONTROL!$C$9, $D$9, 100%, $F$9) + CHOOSE(CONTROL!$C$27, 0.0021, 0)</f>
        <v>23.7332</v>
      </c>
      <c r="J88" s="10">
        <f>23.7311 * CHOOSE(CONTROL!$C$9, $D$9, 100%, $F$9) + CHOOSE(CONTROL!$C$27, 0.0021, 0)</f>
        <v>23.7332</v>
      </c>
      <c r="K88" s="10">
        <f>23.7311 * CHOOSE(CONTROL!$C$9, $D$9, 100%, $F$9) + CHOOSE(CONTROL!$C$27, 0.0021, 0)</f>
        <v>23.7332</v>
      </c>
      <c r="L88" s="10"/>
    </row>
    <row r="89" spans="1:12" ht="15" x14ac:dyDescent="0.2">
      <c r="A89" s="16">
        <v>43983</v>
      </c>
      <c r="B89" s="10">
        <f>24.4328 * CHOOSE(CONTROL!$C$9, $D$9, 100%, $F$9) + CHOOSE(CONTROL!$C$27, 0.0021, 0)</f>
        <v>24.434899999999999</v>
      </c>
      <c r="C89" s="10">
        <f>24.0005 * CHOOSE(CONTROL!$C$9, $D$9, 100%, $F$9) + CHOOSE(CONTROL!$C$27, 0.0021, 0)</f>
        <v>24.002599999999997</v>
      </c>
      <c r="D89" s="10">
        <f>24.0005 * CHOOSE(CONTROL!$C$9, $D$9, 100%, $F$9) + CHOOSE(CONTROL!$C$27, 0.0021, 0)</f>
        <v>24.002599999999997</v>
      </c>
      <c r="E89" s="10">
        <f>23.8639 * CHOOSE(CONTROL!$C$9, $D$9, 100%, $F$9) + CHOOSE(CONTROL!$C$27, 0.0021, 0)</f>
        <v>23.866</v>
      </c>
      <c r="F89" s="10">
        <f>23.8639 * CHOOSE(CONTROL!$C$9, $D$9, 100%, $F$9) + CHOOSE(CONTROL!$C$27, 0.0021, 0)</f>
        <v>23.866</v>
      </c>
      <c r="G89" s="10">
        <f>24.1352 * CHOOSE(CONTROL!$C$9, $D$9, 100%, $F$9) + CHOOSE(CONTROL!$C$27, 0.0021, 0)</f>
        <v>24.1373</v>
      </c>
      <c r="H89" s="10">
        <f>24.0005 * CHOOSE(CONTROL!$C$9, $D$9, 100%, $F$9) + CHOOSE(CONTROL!$C$27, 0.0021, 0)</f>
        <v>24.002599999999997</v>
      </c>
      <c r="I89" s="10">
        <f>24.0005 * CHOOSE(CONTROL!$C$9, $D$9, 100%, $F$9) + CHOOSE(CONTROL!$C$27, 0.0021, 0)</f>
        <v>24.002599999999997</v>
      </c>
      <c r="J89" s="10">
        <f>24.0005 * CHOOSE(CONTROL!$C$9, $D$9, 100%, $F$9) + CHOOSE(CONTROL!$C$27, 0.0021, 0)</f>
        <v>24.002599999999997</v>
      </c>
      <c r="K89" s="10">
        <f>24.0005 * CHOOSE(CONTROL!$C$9, $D$9, 100%, $F$9) + CHOOSE(CONTROL!$C$27, 0.0021, 0)</f>
        <v>24.002599999999997</v>
      </c>
      <c r="L89" s="10"/>
    </row>
    <row r="90" spans="1:12" ht="15" x14ac:dyDescent="0.2">
      <c r="A90" s="16">
        <v>44013</v>
      </c>
      <c r="B90" s="10">
        <f>24.8772 * CHOOSE(CONTROL!$C$9, $D$9, 100%, $F$9) + CHOOSE(CONTROL!$C$27, 0.0021, 0)</f>
        <v>24.879299999999997</v>
      </c>
      <c r="C90" s="10">
        <f>24.445 * CHOOSE(CONTROL!$C$9, $D$9, 100%, $F$9) + CHOOSE(CONTROL!$C$27, 0.0021, 0)</f>
        <v>24.447099999999999</v>
      </c>
      <c r="D90" s="10">
        <f>24.445 * CHOOSE(CONTROL!$C$9, $D$9, 100%, $F$9) + CHOOSE(CONTROL!$C$27, 0.0021, 0)</f>
        <v>24.447099999999999</v>
      </c>
      <c r="E90" s="10">
        <f>24.3083 * CHOOSE(CONTROL!$C$9, $D$9, 100%, $F$9) + CHOOSE(CONTROL!$C$27, 0.0021, 0)</f>
        <v>24.310399999999998</v>
      </c>
      <c r="F90" s="10">
        <f>24.3083 * CHOOSE(CONTROL!$C$9, $D$9, 100%, $F$9) + CHOOSE(CONTROL!$C$27, 0.0021, 0)</f>
        <v>24.310399999999998</v>
      </c>
      <c r="G90" s="10">
        <f>24.5797 * CHOOSE(CONTROL!$C$9, $D$9, 100%, $F$9) + CHOOSE(CONTROL!$C$27, 0.0021, 0)</f>
        <v>24.581799999999998</v>
      </c>
      <c r="H90" s="10">
        <f>24.445 * CHOOSE(CONTROL!$C$9, $D$9, 100%, $F$9) + CHOOSE(CONTROL!$C$27, 0.0021, 0)</f>
        <v>24.447099999999999</v>
      </c>
      <c r="I90" s="10">
        <f>24.445 * CHOOSE(CONTROL!$C$9, $D$9, 100%, $F$9) + CHOOSE(CONTROL!$C$27, 0.0021, 0)</f>
        <v>24.447099999999999</v>
      </c>
      <c r="J90" s="10">
        <f>24.445 * CHOOSE(CONTROL!$C$9, $D$9, 100%, $F$9) + CHOOSE(CONTROL!$C$27, 0.0021, 0)</f>
        <v>24.447099999999999</v>
      </c>
      <c r="K90" s="10">
        <f>24.445 * CHOOSE(CONTROL!$C$9, $D$9, 100%, $F$9) + CHOOSE(CONTROL!$C$27, 0.0021, 0)</f>
        <v>24.447099999999999</v>
      </c>
      <c r="L90" s="10"/>
    </row>
    <row r="91" spans="1:12" ht="15" x14ac:dyDescent="0.2">
      <c r="A91" s="16">
        <v>44044</v>
      </c>
      <c r="B91" s="10">
        <f>25.0129 * CHOOSE(CONTROL!$C$9, $D$9, 100%, $F$9) + CHOOSE(CONTROL!$C$27, 0.0021, 0)</f>
        <v>25.014999999999997</v>
      </c>
      <c r="C91" s="10">
        <f>24.5807 * CHOOSE(CONTROL!$C$9, $D$9, 100%, $F$9) + CHOOSE(CONTROL!$C$27, 0.0021, 0)</f>
        <v>24.582799999999999</v>
      </c>
      <c r="D91" s="10">
        <f>24.5807 * CHOOSE(CONTROL!$C$9, $D$9, 100%, $F$9) + CHOOSE(CONTROL!$C$27, 0.0021, 0)</f>
        <v>24.582799999999999</v>
      </c>
      <c r="E91" s="10">
        <f>24.444 * CHOOSE(CONTROL!$C$9, $D$9, 100%, $F$9) + CHOOSE(CONTROL!$C$27, 0.0021, 0)</f>
        <v>24.446099999999998</v>
      </c>
      <c r="F91" s="10">
        <f>24.444 * CHOOSE(CONTROL!$C$9, $D$9, 100%, $F$9) + CHOOSE(CONTROL!$C$27, 0.0021, 0)</f>
        <v>24.446099999999998</v>
      </c>
      <c r="G91" s="10">
        <f>24.7154 * CHOOSE(CONTROL!$C$9, $D$9, 100%, $F$9) + CHOOSE(CONTROL!$C$27, 0.0021, 0)</f>
        <v>24.717499999999998</v>
      </c>
      <c r="H91" s="10">
        <f>24.5807 * CHOOSE(CONTROL!$C$9, $D$9, 100%, $F$9) + CHOOSE(CONTROL!$C$27, 0.0021, 0)</f>
        <v>24.582799999999999</v>
      </c>
      <c r="I91" s="10">
        <f>24.5807 * CHOOSE(CONTROL!$C$9, $D$9, 100%, $F$9) + CHOOSE(CONTROL!$C$27, 0.0021, 0)</f>
        <v>24.582799999999999</v>
      </c>
      <c r="J91" s="10">
        <f>24.5807 * CHOOSE(CONTROL!$C$9, $D$9, 100%, $F$9) + CHOOSE(CONTROL!$C$27, 0.0021, 0)</f>
        <v>24.582799999999999</v>
      </c>
      <c r="K91" s="10">
        <f>24.5807 * CHOOSE(CONTROL!$C$9, $D$9, 100%, $F$9) + CHOOSE(CONTROL!$C$27, 0.0021, 0)</f>
        <v>24.582799999999999</v>
      </c>
      <c r="L91" s="10"/>
    </row>
    <row r="92" spans="1:12" ht="15" x14ac:dyDescent="0.2">
      <c r="A92" s="16">
        <v>44075</v>
      </c>
      <c r="B92" s="10">
        <f>25.4749 * CHOOSE(CONTROL!$C$9, $D$9, 100%, $F$9) + CHOOSE(CONTROL!$C$27, 0.0021, 0)</f>
        <v>25.477</v>
      </c>
      <c r="C92" s="10">
        <f>25.0427 * CHOOSE(CONTROL!$C$9, $D$9, 100%, $F$9) + CHOOSE(CONTROL!$C$27, 0.0021, 0)</f>
        <v>25.044799999999999</v>
      </c>
      <c r="D92" s="10">
        <f>25.0427 * CHOOSE(CONTROL!$C$9, $D$9, 100%, $F$9) + CHOOSE(CONTROL!$C$27, 0.0021, 0)</f>
        <v>25.044799999999999</v>
      </c>
      <c r="E92" s="10">
        <f>24.906 * CHOOSE(CONTROL!$C$9, $D$9, 100%, $F$9) + CHOOSE(CONTROL!$C$27, 0.0021, 0)</f>
        <v>24.908099999999997</v>
      </c>
      <c r="F92" s="10">
        <f>24.906 * CHOOSE(CONTROL!$C$9, $D$9, 100%, $F$9) + CHOOSE(CONTROL!$C$27, 0.0021, 0)</f>
        <v>24.908099999999997</v>
      </c>
      <c r="G92" s="10">
        <f>25.1774 * CHOOSE(CONTROL!$C$9, $D$9, 100%, $F$9) + CHOOSE(CONTROL!$C$27, 0.0021, 0)</f>
        <v>25.179499999999997</v>
      </c>
      <c r="H92" s="10">
        <f>25.0427 * CHOOSE(CONTROL!$C$9, $D$9, 100%, $F$9) + CHOOSE(CONTROL!$C$27, 0.0021, 0)</f>
        <v>25.044799999999999</v>
      </c>
      <c r="I92" s="10">
        <f>25.0427 * CHOOSE(CONTROL!$C$9, $D$9, 100%, $F$9) + CHOOSE(CONTROL!$C$27, 0.0021, 0)</f>
        <v>25.044799999999999</v>
      </c>
      <c r="J92" s="10">
        <f>25.0427 * CHOOSE(CONTROL!$C$9, $D$9, 100%, $F$9) + CHOOSE(CONTROL!$C$27, 0.0021, 0)</f>
        <v>25.044799999999999</v>
      </c>
      <c r="K92" s="10">
        <f>25.0427 * CHOOSE(CONTROL!$C$9, $D$9, 100%, $F$9) + CHOOSE(CONTROL!$C$27, 0.0021, 0)</f>
        <v>25.044799999999999</v>
      </c>
      <c r="L92" s="10"/>
    </row>
    <row r="93" spans="1:12" ht="15" x14ac:dyDescent="0.2">
      <c r="A93" s="16">
        <v>44105</v>
      </c>
      <c r="B93" s="10">
        <f>26.0598 * CHOOSE(CONTROL!$C$9, $D$9, 100%, $F$9) + CHOOSE(CONTROL!$C$27, 0.0021, 0)</f>
        <v>26.061899999999998</v>
      </c>
      <c r="C93" s="10">
        <f>25.6275 * CHOOSE(CONTROL!$C$9, $D$9, 100%, $F$9) + CHOOSE(CONTROL!$C$27, 0.0021, 0)</f>
        <v>25.6296</v>
      </c>
      <c r="D93" s="10">
        <f>25.6275 * CHOOSE(CONTROL!$C$9, $D$9, 100%, $F$9) + CHOOSE(CONTROL!$C$27, 0.0021, 0)</f>
        <v>25.6296</v>
      </c>
      <c r="E93" s="10">
        <f>25.4909 * CHOOSE(CONTROL!$C$9, $D$9, 100%, $F$9) + CHOOSE(CONTROL!$C$27, 0.0021, 0)</f>
        <v>25.492999999999999</v>
      </c>
      <c r="F93" s="10">
        <f>25.4909 * CHOOSE(CONTROL!$C$9, $D$9, 100%, $F$9) + CHOOSE(CONTROL!$C$27, 0.0021, 0)</f>
        <v>25.492999999999999</v>
      </c>
      <c r="G93" s="10">
        <f>25.7622 * CHOOSE(CONTROL!$C$9, $D$9, 100%, $F$9) + CHOOSE(CONTROL!$C$27, 0.0021, 0)</f>
        <v>25.764299999999999</v>
      </c>
      <c r="H93" s="10">
        <f>25.6275 * CHOOSE(CONTROL!$C$9, $D$9, 100%, $F$9) + CHOOSE(CONTROL!$C$27, 0.0021, 0)</f>
        <v>25.6296</v>
      </c>
      <c r="I93" s="10">
        <f>25.6275 * CHOOSE(CONTROL!$C$9, $D$9, 100%, $F$9) + CHOOSE(CONTROL!$C$27, 0.0021, 0)</f>
        <v>25.6296</v>
      </c>
      <c r="J93" s="10">
        <f>25.6275 * CHOOSE(CONTROL!$C$9, $D$9, 100%, $F$9) + CHOOSE(CONTROL!$C$27, 0.0021, 0)</f>
        <v>25.6296</v>
      </c>
      <c r="K93" s="10">
        <f>25.6275 * CHOOSE(CONTROL!$C$9, $D$9, 100%, $F$9) + CHOOSE(CONTROL!$C$27, 0.0021, 0)</f>
        <v>25.6296</v>
      </c>
      <c r="L93" s="10"/>
    </row>
    <row r="94" spans="1:12" ht="15" x14ac:dyDescent="0.2">
      <c r="A94" s="16">
        <v>44136</v>
      </c>
      <c r="B94" s="10">
        <f>26.1147 * CHOOSE(CONTROL!$C$9, $D$9, 100%, $F$9) + CHOOSE(CONTROL!$C$27, 0.0021, 0)</f>
        <v>26.116799999999998</v>
      </c>
      <c r="C94" s="10">
        <f>25.6824 * CHOOSE(CONTROL!$C$9, $D$9, 100%, $F$9) + CHOOSE(CONTROL!$C$27, 0.0021, 0)</f>
        <v>25.6845</v>
      </c>
      <c r="D94" s="10">
        <f>25.6824 * CHOOSE(CONTROL!$C$9, $D$9, 100%, $F$9) + CHOOSE(CONTROL!$C$27, 0.0021, 0)</f>
        <v>25.6845</v>
      </c>
      <c r="E94" s="10">
        <f>25.5458 * CHOOSE(CONTROL!$C$9, $D$9, 100%, $F$9) + CHOOSE(CONTROL!$C$27, 0.0021, 0)</f>
        <v>25.547899999999998</v>
      </c>
      <c r="F94" s="10">
        <f>25.5458 * CHOOSE(CONTROL!$C$9, $D$9, 100%, $F$9) + CHOOSE(CONTROL!$C$27, 0.0021, 0)</f>
        <v>25.547899999999998</v>
      </c>
      <c r="G94" s="10">
        <f>25.8172 * CHOOSE(CONTROL!$C$9, $D$9, 100%, $F$9) + CHOOSE(CONTROL!$C$27, 0.0021, 0)</f>
        <v>25.819299999999998</v>
      </c>
      <c r="H94" s="10">
        <f>25.6824 * CHOOSE(CONTROL!$C$9, $D$9, 100%, $F$9) + CHOOSE(CONTROL!$C$27, 0.0021, 0)</f>
        <v>25.6845</v>
      </c>
      <c r="I94" s="10">
        <f>25.6824 * CHOOSE(CONTROL!$C$9, $D$9, 100%, $F$9) + CHOOSE(CONTROL!$C$27, 0.0021, 0)</f>
        <v>25.6845</v>
      </c>
      <c r="J94" s="10">
        <f>25.6824 * CHOOSE(CONTROL!$C$9, $D$9, 100%, $F$9) + CHOOSE(CONTROL!$C$27, 0.0021, 0)</f>
        <v>25.6845</v>
      </c>
      <c r="K94" s="10">
        <f>25.6824 * CHOOSE(CONTROL!$C$9, $D$9, 100%, $F$9) + CHOOSE(CONTROL!$C$27, 0.0021, 0)</f>
        <v>25.6845</v>
      </c>
      <c r="L94" s="10"/>
    </row>
    <row r="95" spans="1:12" ht="15" x14ac:dyDescent="0.2">
      <c r="A95" s="16">
        <v>44166</v>
      </c>
      <c r="B95" s="10">
        <f>25.6476 * CHOOSE(CONTROL!$C$9, $D$9, 100%, $F$9) + CHOOSE(CONTROL!$C$27, 0.0021, 0)</f>
        <v>25.649699999999999</v>
      </c>
      <c r="C95" s="10">
        <f>25.2153 * CHOOSE(CONTROL!$C$9, $D$9, 100%, $F$9) + CHOOSE(CONTROL!$C$27, 0.0021, 0)</f>
        <v>25.217399999999998</v>
      </c>
      <c r="D95" s="10">
        <f>25.2153 * CHOOSE(CONTROL!$C$9, $D$9, 100%, $F$9) + CHOOSE(CONTROL!$C$27, 0.0021, 0)</f>
        <v>25.217399999999998</v>
      </c>
      <c r="E95" s="10">
        <f>25.0787 * CHOOSE(CONTROL!$C$9, $D$9, 100%, $F$9) + CHOOSE(CONTROL!$C$27, 0.0021, 0)</f>
        <v>25.0808</v>
      </c>
      <c r="F95" s="10">
        <f>25.0787 * CHOOSE(CONTROL!$C$9, $D$9, 100%, $F$9) + CHOOSE(CONTROL!$C$27, 0.0021, 0)</f>
        <v>25.0808</v>
      </c>
      <c r="G95" s="10">
        <f>25.3501 * CHOOSE(CONTROL!$C$9, $D$9, 100%, $F$9) + CHOOSE(CONTROL!$C$27, 0.0021, 0)</f>
        <v>25.3522</v>
      </c>
      <c r="H95" s="10">
        <f>25.2153 * CHOOSE(CONTROL!$C$9, $D$9, 100%, $F$9) + CHOOSE(CONTROL!$C$27, 0.0021, 0)</f>
        <v>25.217399999999998</v>
      </c>
      <c r="I95" s="10">
        <f>25.2153 * CHOOSE(CONTROL!$C$9, $D$9, 100%, $F$9) + CHOOSE(CONTROL!$C$27, 0.0021, 0)</f>
        <v>25.217399999999998</v>
      </c>
      <c r="J95" s="10">
        <f>25.2153 * CHOOSE(CONTROL!$C$9, $D$9, 100%, $F$9) + CHOOSE(CONTROL!$C$27, 0.0021, 0)</f>
        <v>25.217399999999998</v>
      </c>
      <c r="K95" s="10">
        <f>25.2153 * CHOOSE(CONTROL!$C$9, $D$9, 100%, $F$9) + CHOOSE(CONTROL!$C$27, 0.0021, 0)</f>
        <v>25.217399999999998</v>
      </c>
      <c r="L95" s="10"/>
    </row>
    <row r="96" spans="1:12" ht="15" x14ac:dyDescent="0.2">
      <c r="A96" s="16">
        <v>44197</v>
      </c>
      <c r="B96" s="10">
        <f>25.9425 * CHOOSE(CONTROL!$C$9, $D$9, 100%, $F$9) + CHOOSE(CONTROL!$C$27, 0.0021, 0)</f>
        <v>25.944599999999998</v>
      </c>
      <c r="C96" s="10">
        <f>25.5102 * CHOOSE(CONTROL!$C$9, $D$9, 100%, $F$9) + CHOOSE(CONTROL!$C$27, 0.0021, 0)</f>
        <v>25.5123</v>
      </c>
      <c r="D96" s="10">
        <f>25.5102 * CHOOSE(CONTROL!$C$9, $D$9, 100%, $F$9) + CHOOSE(CONTROL!$C$27, 0.0021, 0)</f>
        <v>25.5123</v>
      </c>
      <c r="E96" s="10">
        <f>25.3736 * CHOOSE(CONTROL!$C$9, $D$9, 100%, $F$9) + CHOOSE(CONTROL!$C$27, 0.0021, 0)</f>
        <v>25.375699999999998</v>
      </c>
      <c r="F96" s="10">
        <f>25.3736 * CHOOSE(CONTROL!$C$9, $D$9, 100%, $F$9) + CHOOSE(CONTROL!$C$27, 0.0021, 0)</f>
        <v>25.375699999999998</v>
      </c>
      <c r="G96" s="10">
        <f>25.6449 * CHOOSE(CONTROL!$C$9, $D$9, 100%, $F$9) + CHOOSE(CONTROL!$C$27, 0.0021, 0)</f>
        <v>25.646999999999998</v>
      </c>
      <c r="H96" s="10">
        <f>25.5102 * CHOOSE(CONTROL!$C$9, $D$9, 100%, $F$9) + CHOOSE(CONTROL!$C$27, 0.0021, 0)</f>
        <v>25.5123</v>
      </c>
      <c r="I96" s="10">
        <f>25.5102 * CHOOSE(CONTROL!$C$9, $D$9, 100%, $F$9) + CHOOSE(CONTROL!$C$27, 0.0021, 0)</f>
        <v>25.5123</v>
      </c>
      <c r="J96" s="10">
        <f>25.5102 * CHOOSE(CONTROL!$C$9, $D$9, 100%, $F$9) + CHOOSE(CONTROL!$C$27, 0.0021, 0)</f>
        <v>25.5123</v>
      </c>
      <c r="K96" s="10">
        <f>25.5102 * CHOOSE(CONTROL!$C$9, $D$9, 100%, $F$9) + CHOOSE(CONTROL!$C$27, 0.0021, 0)</f>
        <v>25.5123</v>
      </c>
      <c r="L96" s="10"/>
    </row>
    <row r="97" spans="1:12" ht="15" x14ac:dyDescent="0.2">
      <c r="A97" s="16">
        <v>44228</v>
      </c>
      <c r="B97" s="10">
        <f>25.2735 * CHOOSE(CONTROL!$C$9, $D$9, 100%, $F$9) + CHOOSE(CONTROL!$C$27, 0.0021, 0)</f>
        <v>25.275599999999997</v>
      </c>
      <c r="C97" s="10">
        <f>24.8413 * CHOOSE(CONTROL!$C$9, $D$9, 100%, $F$9) + CHOOSE(CONTROL!$C$27, 0.0021, 0)</f>
        <v>24.843399999999999</v>
      </c>
      <c r="D97" s="10">
        <f>24.8413 * CHOOSE(CONTROL!$C$9, $D$9, 100%, $F$9) + CHOOSE(CONTROL!$C$27, 0.0021, 0)</f>
        <v>24.843399999999999</v>
      </c>
      <c r="E97" s="10">
        <f>24.7046 * CHOOSE(CONTROL!$C$9, $D$9, 100%, $F$9) + CHOOSE(CONTROL!$C$27, 0.0021, 0)</f>
        <v>24.706699999999998</v>
      </c>
      <c r="F97" s="10">
        <f>24.7046 * CHOOSE(CONTROL!$C$9, $D$9, 100%, $F$9) + CHOOSE(CONTROL!$C$27, 0.0021, 0)</f>
        <v>24.706699999999998</v>
      </c>
      <c r="G97" s="10">
        <f>24.976 * CHOOSE(CONTROL!$C$9, $D$9, 100%, $F$9) + CHOOSE(CONTROL!$C$27, 0.0021, 0)</f>
        <v>24.978099999999998</v>
      </c>
      <c r="H97" s="10">
        <f>24.8413 * CHOOSE(CONTROL!$C$9, $D$9, 100%, $F$9) + CHOOSE(CONTROL!$C$27, 0.0021, 0)</f>
        <v>24.843399999999999</v>
      </c>
      <c r="I97" s="10">
        <f>24.8413 * CHOOSE(CONTROL!$C$9, $D$9, 100%, $F$9) + CHOOSE(CONTROL!$C$27, 0.0021, 0)</f>
        <v>24.843399999999999</v>
      </c>
      <c r="J97" s="10">
        <f>24.8413 * CHOOSE(CONTROL!$C$9, $D$9, 100%, $F$9) + CHOOSE(CONTROL!$C$27, 0.0021, 0)</f>
        <v>24.843399999999999</v>
      </c>
      <c r="K97" s="10">
        <f>24.8413 * CHOOSE(CONTROL!$C$9, $D$9, 100%, $F$9) + CHOOSE(CONTROL!$C$27, 0.0021, 0)</f>
        <v>24.843399999999999</v>
      </c>
      <c r="L97" s="10"/>
    </row>
    <row r="98" spans="1:12" ht="15" x14ac:dyDescent="0.2">
      <c r="A98" s="16">
        <v>44256</v>
      </c>
      <c r="B98" s="10">
        <f>24.9974 * CHOOSE(CONTROL!$C$9, $D$9, 100%, $F$9) + CHOOSE(CONTROL!$C$27, 0.0021, 0)</f>
        <v>24.999499999999998</v>
      </c>
      <c r="C98" s="10">
        <f>24.5651 * CHOOSE(CONTROL!$C$9, $D$9, 100%, $F$9) + CHOOSE(CONTROL!$C$27, 0.0021, 0)</f>
        <v>24.5672</v>
      </c>
      <c r="D98" s="10">
        <f>24.5651 * CHOOSE(CONTROL!$C$9, $D$9, 100%, $F$9) + CHOOSE(CONTROL!$C$27, 0.0021, 0)</f>
        <v>24.5672</v>
      </c>
      <c r="E98" s="10">
        <f>24.4285 * CHOOSE(CONTROL!$C$9, $D$9, 100%, $F$9) + CHOOSE(CONTROL!$C$27, 0.0021, 0)</f>
        <v>24.430599999999998</v>
      </c>
      <c r="F98" s="10">
        <f>24.4285 * CHOOSE(CONTROL!$C$9, $D$9, 100%, $F$9) + CHOOSE(CONTROL!$C$27, 0.0021, 0)</f>
        <v>24.430599999999998</v>
      </c>
      <c r="G98" s="10">
        <f>24.6998 * CHOOSE(CONTROL!$C$9, $D$9, 100%, $F$9) + CHOOSE(CONTROL!$C$27, 0.0021, 0)</f>
        <v>24.701899999999998</v>
      </c>
      <c r="H98" s="10">
        <f>24.5651 * CHOOSE(CONTROL!$C$9, $D$9, 100%, $F$9) + CHOOSE(CONTROL!$C$27, 0.0021, 0)</f>
        <v>24.5672</v>
      </c>
      <c r="I98" s="10">
        <f>24.5651 * CHOOSE(CONTROL!$C$9, $D$9, 100%, $F$9) + CHOOSE(CONTROL!$C$27, 0.0021, 0)</f>
        <v>24.5672</v>
      </c>
      <c r="J98" s="10">
        <f>24.5651 * CHOOSE(CONTROL!$C$9, $D$9, 100%, $F$9) + CHOOSE(CONTROL!$C$27, 0.0021, 0)</f>
        <v>24.5672</v>
      </c>
      <c r="K98" s="10">
        <f>24.5651 * CHOOSE(CONTROL!$C$9, $D$9, 100%, $F$9) + CHOOSE(CONTROL!$C$27, 0.0021, 0)</f>
        <v>24.5672</v>
      </c>
      <c r="L98" s="10"/>
    </row>
    <row r="99" spans="1:12" ht="15" x14ac:dyDescent="0.2">
      <c r="A99" s="16">
        <v>44287</v>
      </c>
      <c r="B99" s="10">
        <f>24.6676 * CHOOSE(CONTROL!$C$9, $D$9, 100%, $F$9) + CHOOSE(CONTROL!$C$27, 0.0021, 0)</f>
        <v>24.669699999999999</v>
      </c>
      <c r="C99" s="10">
        <f>24.2354 * CHOOSE(CONTROL!$C$9, $D$9, 100%, $F$9) + CHOOSE(CONTROL!$C$27, 0.0021, 0)</f>
        <v>24.237499999999997</v>
      </c>
      <c r="D99" s="10">
        <f>24.2354 * CHOOSE(CONTROL!$C$9, $D$9, 100%, $F$9) + CHOOSE(CONTROL!$C$27, 0.0021, 0)</f>
        <v>24.237499999999997</v>
      </c>
      <c r="E99" s="10">
        <f>24.0987 * CHOOSE(CONTROL!$C$9, $D$9, 100%, $F$9) + CHOOSE(CONTROL!$C$27, 0.0021, 0)</f>
        <v>24.1008</v>
      </c>
      <c r="F99" s="10">
        <f>24.0987 * CHOOSE(CONTROL!$C$9, $D$9, 100%, $F$9) + CHOOSE(CONTROL!$C$27, 0.0021, 0)</f>
        <v>24.1008</v>
      </c>
      <c r="G99" s="10">
        <f>24.3701 * CHOOSE(CONTROL!$C$9, $D$9, 100%, $F$9) + CHOOSE(CONTROL!$C$27, 0.0021, 0)</f>
        <v>24.372199999999999</v>
      </c>
      <c r="H99" s="10">
        <f>24.2354 * CHOOSE(CONTROL!$C$9, $D$9, 100%, $F$9) + CHOOSE(CONTROL!$C$27, 0.0021, 0)</f>
        <v>24.237499999999997</v>
      </c>
      <c r="I99" s="10">
        <f>24.2354 * CHOOSE(CONTROL!$C$9, $D$9, 100%, $F$9) + CHOOSE(CONTROL!$C$27, 0.0021, 0)</f>
        <v>24.237499999999997</v>
      </c>
      <c r="J99" s="10">
        <f>24.2354 * CHOOSE(CONTROL!$C$9, $D$9, 100%, $F$9) + CHOOSE(CONTROL!$C$27, 0.0021, 0)</f>
        <v>24.237499999999997</v>
      </c>
      <c r="K99" s="10">
        <f>24.2354 * CHOOSE(CONTROL!$C$9, $D$9, 100%, $F$9) + CHOOSE(CONTROL!$C$27, 0.0021, 0)</f>
        <v>24.237499999999997</v>
      </c>
      <c r="L99" s="10"/>
    </row>
    <row r="100" spans="1:12" ht="15" x14ac:dyDescent="0.2">
      <c r="A100" s="16">
        <v>44317</v>
      </c>
      <c r="B100" s="10">
        <f>25.1375 * CHOOSE(CONTROL!$C$9, $D$9, 100%, $F$9) + CHOOSE(CONTROL!$C$27, 0.0021, 0)</f>
        <v>25.139599999999998</v>
      </c>
      <c r="C100" s="10">
        <f>24.7053 * CHOOSE(CONTROL!$C$9, $D$9, 100%, $F$9) + CHOOSE(CONTROL!$C$27, 0.0021, 0)</f>
        <v>24.7074</v>
      </c>
      <c r="D100" s="10">
        <f>24.7053 * CHOOSE(CONTROL!$C$9, $D$9, 100%, $F$9) + CHOOSE(CONTROL!$C$27, 0.0021, 0)</f>
        <v>24.7074</v>
      </c>
      <c r="E100" s="10">
        <f>24.5686 * CHOOSE(CONTROL!$C$9, $D$9, 100%, $F$9) + CHOOSE(CONTROL!$C$27, 0.0021, 0)</f>
        <v>24.570699999999999</v>
      </c>
      <c r="F100" s="10">
        <f>24.5686 * CHOOSE(CONTROL!$C$9, $D$9, 100%, $F$9) + CHOOSE(CONTROL!$C$27, 0.0021, 0)</f>
        <v>24.570699999999999</v>
      </c>
      <c r="G100" s="10">
        <f>24.84 * CHOOSE(CONTROL!$C$9, $D$9, 100%, $F$9) + CHOOSE(CONTROL!$C$27, 0.0021, 0)</f>
        <v>24.842099999999999</v>
      </c>
      <c r="H100" s="10">
        <f>24.7053 * CHOOSE(CONTROL!$C$9, $D$9, 100%, $F$9) + CHOOSE(CONTROL!$C$27, 0.0021, 0)</f>
        <v>24.7074</v>
      </c>
      <c r="I100" s="10">
        <f>24.7053 * CHOOSE(CONTROL!$C$9, $D$9, 100%, $F$9) + CHOOSE(CONTROL!$C$27, 0.0021, 0)</f>
        <v>24.7074</v>
      </c>
      <c r="J100" s="10">
        <f>24.7053 * CHOOSE(CONTROL!$C$9, $D$9, 100%, $F$9) + CHOOSE(CONTROL!$C$27, 0.0021, 0)</f>
        <v>24.7074</v>
      </c>
      <c r="K100" s="10">
        <f>24.7053 * CHOOSE(CONTROL!$C$9, $D$9, 100%, $F$9) + CHOOSE(CONTROL!$C$27, 0.0021, 0)</f>
        <v>24.7074</v>
      </c>
      <c r="L100" s="10"/>
    </row>
    <row r="101" spans="1:12" ht="15" x14ac:dyDescent="0.2">
      <c r="A101" s="16">
        <v>44348</v>
      </c>
      <c r="B101" s="10">
        <f>25.419 * CHOOSE(CONTROL!$C$9, $D$9, 100%, $F$9) + CHOOSE(CONTROL!$C$27, 0.0021, 0)</f>
        <v>25.421099999999999</v>
      </c>
      <c r="C101" s="10">
        <f>24.9867 * CHOOSE(CONTROL!$C$9, $D$9, 100%, $F$9) + CHOOSE(CONTROL!$C$27, 0.0021, 0)</f>
        <v>24.988799999999998</v>
      </c>
      <c r="D101" s="10">
        <f>24.9867 * CHOOSE(CONTROL!$C$9, $D$9, 100%, $F$9) + CHOOSE(CONTROL!$C$27, 0.0021, 0)</f>
        <v>24.988799999999998</v>
      </c>
      <c r="E101" s="10">
        <f>24.8501 * CHOOSE(CONTROL!$C$9, $D$9, 100%, $F$9) + CHOOSE(CONTROL!$C$27, 0.0021, 0)</f>
        <v>24.8522</v>
      </c>
      <c r="F101" s="10">
        <f>24.8501 * CHOOSE(CONTROL!$C$9, $D$9, 100%, $F$9) + CHOOSE(CONTROL!$C$27, 0.0021, 0)</f>
        <v>24.8522</v>
      </c>
      <c r="G101" s="10">
        <f>25.1215 * CHOOSE(CONTROL!$C$9, $D$9, 100%, $F$9) + CHOOSE(CONTROL!$C$27, 0.0021, 0)</f>
        <v>25.1236</v>
      </c>
      <c r="H101" s="10">
        <f>24.9867 * CHOOSE(CONTROL!$C$9, $D$9, 100%, $F$9) + CHOOSE(CONTROL!$C$27, 0.0021, 0)</f>
        <v>24.988799999999998</v>
      </c>
      <c r="I101" s="10">
        <f>24.9867 * CHOOSE(CONTROL!$C$9, $D$9, 100%, $F$9) + CHOOSE(CONTROL!$C$27, 0.0021, 0)</f>
        <v>24.988799999999998</v>
      </c>
      <c r="J101" s="10">
        <f>24.9867 * CHOOSE(CONTROL!$C$9, $D$9, 100%, $F$9) + CHOOSE(CONTROL!$C$27, 0.0021, 0)</f>
        <v>24.988799999999998</v>
      </c>
      <c r="K101" s="10">
        <f>24.9867 * CHOOSE(CONTROL!$C$9, $D$9, 100%, $F$9) + CHOOSE(CONTROL!$C$27, 0.0021, 0)</f>
        <v>24.988799999999998</v>
      </c>
      <c r="L101" s="10"/>
    </row>
    <row r="102" spans="1:12" ht="15" x14ac:dyDescent="0.2">
      <c r="A102" s="16">
        <v>44378</v>
      </c>
      <c r="B102" s="10">
        <f>25.8833 * CHOOSE(CONTROL!$C$9, $D$9, 100%, $F$9) + CHOOSE(CONTROL!$C$27, 0.0021, 0)</f>
        <v>25.885399999999997</v>
      </c>
      <c r="C102" s="10">
        <f>25.451 * CHOOSE(CONTROL!$C$9, $D$9, 100%, $F$9) + CHOOSE(CONTROL!$C$27, 0.0021, 0)</f>
        <v>25.453099999999999</v>
      </c>
      <c r="D102" s="10">
        <f>25.451 * CHOOSE(CONTROL!$C$9, $D$9, 100%, $F$9) + CHOOSE(CONTROL!$C$27, 0.0021, 0)</f>
        <v>25.453099999999999</v>
      </c>
      <c r="E102" s="10">
        <f>25.3144 * CHOOSE(CONTROL!$C$9, $D$9, 100%, $F$9) + CHOOSE(CONTROL!$C$27, 0.0021, 0)</f>
        <v>25.316499999999998</v>
      </c>
      <c r="F102" s="10">
        <f>25.3144 * CHOOSE(CONTROL!$C$9, $D$9, 100%, $F$9) + CHOOSE(CONTROL!$C$27, 0.0021, 0)</f>
        <v>25.316499999999998</v>
      </c>
      <c r="G102" s="10">
        <f>25.5857 * CHOOSE(CONTROL!$C$9, $D$9, 100%, $F$9) + CHOOSE(CONTROL!$C$27, 0.0021, 0)</f>
        <v>25.587799999999998</v>
      </c>
      <c r="H102" s="10">
        <f>25.451 * CHOOSE(CONTROL!$C$9, $D$9, 100%, $F$9) + CHOOSE(CONTROL!$C$27, 0.0021, 0)</f>
        <v>25.453099999999999</v>
      </c>
      <c r="I102" s="10">
        <f>25.451 * CHOOSE(CONTROL!$C$9, $D$9, 100%, $F$9) + CHOOSE(CONTROL!$C$27, 0.0021, 0)</f>
        <v>25.453099999999999</v>
      </c>
      <c r="J102" s="10">
        <f>25.451 * CHOOSE(CONTROL!$C$9, $D$9, 100%, $F$9) + CHOOSE(CONTROL!$C$27, 0.0021, 0)</f>
        <v>25.453099999999999</v>
      </c>
      <c r="K102" s="10">
        <f>25.451 * CHOOSE(CONTROL!$C$9, $D$9, 100%, $F$9) + CHOOSE(CONTROL!$C$27, 0.0021, 0)</f>
        <v>25.453099999999999</v>
      </c>
      <c r="L102" s="10"/>
    </row>
    <row r="103" spans="1:12" ht="15" x14ac:dyDescent="0.2">
      <c r="A103" s="16">
        <v>44409</v>
      </c>
      <c r="B103" s="10">
        <f>26.025 * CHOOSE(CONTROL!$C$9, $D$9, 100%, $F$9) + CHOOSE(CONTROL!$C$27, 0.0021, 0)</f>
        <v>26.027099999999997</v>
      </c>
      <c r="C103" s="10">
        <f>25.5927 * CHOOSE(CONTROL!$C$9, $D$9, 100%, $F$9) + CHOOSE(CONTROL!$C$27, 0.0021, 0)</f>
        <v>25.594799999999999</v>
      </c>
      <c r="D103" s="10">
        <f>25.5927 * CHOOSE(CONTROL!$C$9, $D$9, 100%, $F$9) + CHOOSE(CONTROL!$C$27, 0.0021, 0)</f>
        <v>25.594799999999999</v>
      </c>
      <c r="E103" s="10">
        <f>25.4561 * CHOOSE(CONTROL!$C$9, $D$9, 100%, $F$9) + CHOOSE(CONTROL!$C$27, 0.0021, 0)</f>
        <v>25.458199999999998</v>
      </c>
      <c r="F103" s="10">
        <f>25.4561 * CHOOSE(CONTROL!$C$9, $D$9, 100%, $F$9) + CHOOSE(CONTROL!$C$27, 0.0021, 0)</f>
        <v>25.458199999999998</v>
      </c>
      <c r="G103" s="10">
        <f>25.7274 * CHOOSE(CONTROL!$C$9, $D$9, 100%, $F$9) + CHOOSE(CONTROL!$C$27, 0.0021, 0)</f>
        <v>25.729499999999998</v>
      </c>
      <c r="H103" s="10">
        <f>25.5927 * CHOOSE(CONTROL!$C$9, $D$9, 100%, $F$9) + CHOOSE(CONTROL!$C$27, 0.0021, 0)</f>
        <v>25.594799999999999</v>
      </c>
      <c r="I103" s="10">
        <f>25.5927 * CHOOSE(CONTROL!$C$9, $D$9, 100%, $F$9) + CHOOSE(CONTROL!$C$27, 0.0021, 0)</f>
        <v>25.594799999999999</v>
      </c>
      <c r="J103" s="10">
        <f>25.5927 * CHOOSE(CONTROL!$C$9, $D$9, 100%, $F$9) + CHOOSE(CONTROL!$C$27, 0.0021, 0)</f>
        <v>25.594799999999999</v>
      </c>
      <c r="K103" s="10">
        <f>25.5927 * CHOOSE(CONTROL!$C$9, $D$9, 100%, $F$9) + CHOOSE(CONTROL!$C$27, 0.0021, 0)</f>
        <v>25.594799999999999</v>
      </c>
      <c r="L103" s="10"/>
    </row>
    <row r="104" spans="1:12" ht="15" x14ac:dyDescent="0.2">
      <c r="A104" s="16">
        <v>44440</v>
      </c>
      <c r="B104" s="10">
        <f>26.5076 * CHOOSE(CONTROL!$C$9, $D$9, 100%, $F$9) + CHOOSE(CONTROL!$C$27, 0.0021, 0)</f>
        <v>26.509699999999999</v>
      </c>
      <c r="C104" s="10">
        <f>26.0753 * CHOOSE(CONTROL!$C$9, $D$9, 100%, $F$9) + CHOOSE(CONTROL!$C$27, 0.0021, 0)</f>
        <v>26.077399999999997</v>
      </c>
      <c r="D104" s="10">
        <f>26.0753 * CHOOSE(CONTROL!$C$9, $D$9, 100%, $F$9) + CHOOSE(CONTROL!$C$27, 0.0021, 0)</f>
        <v>26.077399999999997</v>
      </c>
      <c r="E104" s="10">
        <f>25.9387 * CHOOSE(CONTROL!$C$9, $D$9, 100%, $F$9) + CHOOSE(CONTROL!$C$27, 0.0021, 0)</f>
        <v>25.940799999999999</v>
      </c>
      <c r="F104" s="10">
        <f>25.9387 * CHOOSE(CONTROL!$C$9, $D$9, 100%, $F$9) + CHOOSE(CONTROL!$C$27, 0.0021, 0)</f>
        <v>25.940799999999999</v>
      </c>
      <c r="G104" s="10">
        <f>26.21 * CHOOSE(CONTROL!$C$9, $D$9, 100%, $F$9) + CHOOSE(CONTROL!$C$27, 0.0021, 0)</f>
        <v>26.2121</v>
      </c>
      <c r="H104" s="10">
        <f>26.0753 * CHOOSE(CONTROL!$C$9, $D$9, 100%, $F$9) + CHOOSE(CONTROL!$C$27, 0.0021, 0)</f>
        <v>26.077399999999997</v>
      </c>
      <c r="I104" s="10">
        <f>26.0753 * CHOOSE(CONTROL!$C$9, $D$9, 100%, $F$9) + CHOOSE(CONTROL!$C$27, 0.0021, 0)</f>
        <v>26.077399999999997</v>
      </c>
      <c r="J104" s="10">
        <f>26.0753 * CHOOSE(CONTROL!$C$9, $D$9, 100%, $F$9) + CHOOSE(CONTROL!$C$27, 0.0021, 0)</f>
        <v>26.077399999999997</v>
      </c>
      <c r="K104" s="10">
        <f>26.0753 * CHOOSE(CONTROL!$C$9, $D$9, 100%, $F$9) + CHOOSE(CONTROL!$C$27, 0.0021, 0)</f>
        <v>26.077399999999997</v>
      </c>
      <c r="L104" s="10"/>
    </row>
    <row r="105" spans="1:12" ht="15" x14ac:dyDescent="0.2">
      <c r="A105" s="16">
        <v>44470</v>
      </c>
      <c r="B105" s="10">
        <f>27.1185 * CHOOSE(CONTROL!$C$9, $D$9, 100%, $F$9) + CHOOSE(CONTROL!$C$27, 0.0021, 0)</f>
        <v>27.1206</v>
      </c>
      <c r="C105" s="10">
        <f>26.6862 * CHOOSE(CONTROL!$C$9, $D$9, 100%, $F$9) + CHOOSE(CONTROL!$C$27, 0.0021, 0)</f>
        <v>26.688299999999998</v>
      </c>
      <c r="D105" s="10">
        <f>26.6862 * CHOOSE(CONTROL!$C$9, $D$9, 100%, $F$9) + CHOOSE(CONTROL!$C$27, 0.0021, 0)</f>
        <v>26.688299999999998</v>
      </c>
      <c r="E105" s="10">
        <f>26.5496 * CHOOSE(CONTROL!$C$9, $D$9, 100%, $F$9) + CHOOSE(CONTROL!$C$27, 0.0021, 0)</f>
        <v>26.5517</v>
      </c>
      <c r="F105" s="10">
        <f>26.5496 * CHOOSE(CONTROL!$C$9, $D$9, 100%, $F$9) + CHOOSE(CONTROL!$C$27, 0.0021, 0)</f>
        <v>26.5517</v>
      </c>
      <c r="G105" s="10">
        <f>26.8209 * CHOOSE(CONTROL!$C$9, $D$9, 100%, $F$9) + CHOOSE(CONTROL!$C$27, 0.0021, 0)</f>
        <v>26.823</v>
      </c>
      <c r="H105" s="10">
        <f>26.6862 * CHOOSE(CONTROL!$C$9, $D$9, 100%, $F$9) + CHOOSE(CONTROL!$C$27, 0.0021, 0)</f>
        <v>26.688299999999998</v>
      </c>
      <c r="I105" s="10">
        <f>26.6862 * CHOOSE(CONTROL!$C$9, $D$9, 100%, $F$9) + CHOOSE(CONTROL!$C$27, 0.0021, 0)</f>
        <v>26.688299999999998</v>
      </c>
      <c r="J105" s="10">
        <f>26.6862 * CHOOSE(CONTROL!$C$9, $D$9, 100%, $F$9) + CHOOSE(CONTROL!$C$27, 0.0021, 0)</f>
        <v>26.688299999999998</v>
      </c>
      <c r="K105" s="10">
        <f>26.6862 * CHOOSE(CONTROL!$C$9, $D$9, 100%, $F$9) + CHOOSE(CONTROL!$C$27, 0.0021, 0)</f>
        <v>26.688299999999998</v>
      </c>
      <c r="L105" s="10"/>
    </row>
    <row r="106" spans="1:12" ht="15" x14ac:dyDescent="0.2">
      <c r="A106" s="16">
        <v>44501</v>
      </c>
      <c r="B106" s="10">
        <f>27.1758 * CHOOSE(CONTROL!$C$9, $D$9, 100%, $F$9) + CHOOSE(CONTROL!$C$27, 0.0021, 0)</f>
        <v>27.177899999999998</v>
      </c>
      <c r="C106" s="10">
        <f>26.7436 * CHOOSE(CONTROL!$C$9, $D$9, 100%, $F$9) + CHOOSE(CONTROL!$C$27, 0.0021, 0)</f>
        <v>26.745699999999999</v>
      </c>
      <c r="D106" s="10">
        <f>26.7436 * CHOOSE(CONTROL!$C$9, $D$9, 100%, $F$9) + CHOOSE(CONTROL!$C$27, 0.0021, 0)</f>
        <v>26.745699999999999</v>
      </c>
      <c r="E106" s="10">
        <f>26.6069 * CHOOSE(CONTROL!$C$9, $D$9, 100%, $F$9) + CHOOSE(CONTROL!$C$27, 0.0021, 0)</f>
        <v>26.608999999999998</v>
      </c>
      <c r="F106" s="10">
        <f>26.6069 * CHOOSE(CONTROL!$C$9, $D$9, 100%, $F$9) + CHOOSE(CONTROL!$C$27, 0.0021, 0)</f>
        <v>26.608999999999998</v>
      </c>
      <c r="G106" s="10">
        <f>26.8783 * CHOOSE(CONTROL!$C$9, $D$9, 100%, $F$9) + CHOOSE(CONTROL!$C$27, 0.0021, 0)</f>
        <v>26.880399999999998</v>
      </c>
      <c r="H106" s="10">
        <f>26.7436 * CHOOSE(CONTROL!$C$9, $D$9, 100%, $F$9) + CHOOSE(CONTROL!$C$27, 0.0021, 0)</f>
        <v>26.745699999999999</v>
      </c>
      <c r="I106" s="10">
        <f>26.7436 * CHOOSE(CONTROL!$C$9, $D$9, 100%, $F$9) + CHOOSE(CONTROL!$C$27, 0.0021, 0)</f>
        <v>26.745699999999999</v>
      </c>
      <c r="J106" s="10">
        <f>26.7436 * CHOOSE(CONTROL!$C$9, $D$9, 100%, $F$9) + CHOOSE(CONTROL!$C$27, 0.0021, 0)</f>
        <v>26.745699999999999</v>
      </c>
      <c r="K106" s="10">
        <f>26.7436 * CHOOSE(CONTROL!$C$9, $D$9, 100%, $F$9) + CHOOSE(CONTROL!$C$27, 0.0021, 0)</f>
        <v>26.745699999999999</v>
      </c>
      <c r="L106" s="10"/>
    </row>
    <row r="107" spans="1:12" ht="15" x14ac:dyDescent="0.2">
      <c r="A107" s="16">
        <v>44531</v>
      </c>
      <c r="B107" s="10">
        <f>26.6879 * CHOOSE(CONTROL!$C$9, $D$9, 100%, $F$9) + CHOOSE(CONTROL!$C$27, 0.0021, 0)</f>
        <v>26.689999999999998</v>
      </c>
      <c r="C107" s="10">
        <f>26.2557 * CHOOSE(CONTROL!$C$9, $D$9, 100%, $F$9) + CHOOSE(CONTROL!$C$27, 0.0021, 0)</f>
        <v>26.2578</v>
      </c>
      <c r="D107" s="10">
        <f>26.2557 * CHOOSE(CONTROL!$C$9, $D$9, 100%, $F$9) + CHOOSE(CONTROL!$C$27, 0.0021, 0)</f>
        <v>26.2578</v>
      </c>
      <c r="E107" s="10">
        <f>26.119 * CHOOSE(CONTROL!$C$9, $D$9, 100%, $F$9) + CHOOSE(CONTROL!$C$27, 0.0021, 0)</f>
        <v>26.121099999999998</v>
      </c>
      <c r="F107" s="10">
        <f>26.119 * CHOOSE(CONTROL!$C$9, $D$9, 100%, $F$9) + CHOOSE(CONTROL!$C$27, 0.0021, 0)</f>
        <v>26.121099999999998</v>
      </c>
      <c r="G107" s="10">
        <f>26.3904 * CHOOSE(CONTROL!$C$9, $D$9, 100%, $F$9) + CHOOSE(CONTROL!$C$27, 0.0021, 0)</f>
        <v>26.392499999999998</v>
      </c>
      <c r="H107" s="10">
        <f>26.2557 * CHOOSE(CONTROL!$C$9, $D$9, 100%, $F$9) + CHOOSE(CONTROL!$C$27, 0.0021, 0)</f>
        <v>26.2578</v>
      </c>
      <c r="I107" s="10">
        <f>26.2557 * CHOOSE(CONTROL!$C$9, $D$9, 100%, $F$9) + CHOOSE(CONTROL!$C$27, 0.0021, 0)</f>
        <v>26.2578</v>
      </c>
      <c r="J107" s="10">
        <f>26.2557 * CHOOSE(CONTROL!$C$9, $D$9, 100%, $F$9) + CHOOSE(CONTROL!$C$27, 0.0021, 0)</f>
        <v>26.2578</v>
      </c>
      <c r="K107" s="10">
        <f>26.2557 * CHOOSE(CONTROL!$C$9, $D$9, 100%, $F$9) + CHOOSE(CONTROL!$C$27, 0.0021, 0)</f>
        <v>26.2578</v>
      </c>
      <c r="L107" s="10"/>
    </row>
    <row r="108" spans="1:12" ht="15" x14ac:dyDescent="0.2">
      <c r="A108" s="16">
        <v>44562</v>
      </c>
      <c r="B108" s="10">
        <f>27.1005 * CHOOSE(CONTROL!$C$9, $D$9, 100%, $F$9) + CHOOSE(CONTROL!$C$27, 0.0021, 0)</f>
        <v>27.102599999999999</v>
      </c>
      <c r="C108" s="10">
        <f>26.6682 * CHOOSE(CONTROL!$C$9, $D$9, 100%, $F$9) + CHOOSE(CONTROL!$C$27, 0.0021, 0)</f>
        <v>26.670299999999997</v>
      </c>
      <c r="D108" s="10">
        <f>26.6682 * CHOOSE(CONTROL!$C$9, $D$9, 100%, $F$9) + CHOOSE(CONTROL!$C$27, 0.0021, 0)</f>
        <v>26.670299999999997</v>
      </c>
      <c r="E108" s="10">
        <f>26.5316 * CHOOSE(CONTROL!$C$9, $D$9, 100%, $F$9) + CHOOSE(CONTROL!$C$27, 0.0021, 0)</f>
        <v>26.5337</v>
      </c>
      <c r="F108" s="10">
        <f>26.5316 * CHOOSE(CONTROL!$C$9, $D$9, 100%, $F$9) + CHOOSE(CONTROL!$C$27, 0.0021, 0)</f>
        <v>26.5337</v>
      </c>
      <c r="G108" s="10">
        <f>26.803 * CHOOSE(CONTROL!$C$9, $D$9, 100%, $F$9) + CHOOSE(CONTROL!$C$27, 0.0021, 0)</f>
        <v>26.805099999999999</v>
      </c>
      <c r="H108" s="10">
        <f>26.6682 * CHOOSE(CONTROL!$C$9, $D$9, 100%, $F$9) + CHOOSE(CONTROL!$C$27, 0.0021, 0)</f>
        <v>26.670299999999997</v>
      </c>
      <c r="I108" s="10">
        <f>26.6682 * CHOOSE(CONTROL!$C$9, $D$9, 100%, $F$9) + CHOOSE(CONTROL!$C$27, 0.0021, 0)</f>
        <v>26.670299999999997</v>
      </c>
      <c r="J108" s="10">
        <f>26.6682 * CHOOSE(CONTROL!$C$9, $D$9, 100%, $F$9) + CHOOSE(CONTROL!$C$27, 0.0021, 0)</f>
        <v>26.670299999999997</v>
      </c>
      <c r="K108" s="10">
        <f>26.6682 * CHOOSE(CONTROL!$C$9, $D$9, 100%, $F$9) + CHOOSE(CONTROL!$C$27, 0.0021, 0)</f>
        <v>26.670299999999997</v>
      </c>
      <c r="L108" s="10"/>
    </row>
    <row r="109" spans="1:12" ht="15" x14ac:dyDescent="0.2">
      <c r="A109" s="16">
        <v>44593</v>
      </c>
      <c r="B109" s="10">
        <f>26.3988 * CHOOSE(CONTROL!$C$9, $D$9, 100%, $F$9) + CHOOSE(CONTROL!$C$27, 0.0021, 0)</f>
        <v>26.4009</v>
      </c>
      <c r="C109" s="10">
        <f>25.9665 * CHOOSE(CONTROL!$C$9, $D$9, 100%, $F$9) + CHOOSE(CONTROL!$C$27, 0.0021, 0)</f>
        <v>25.968599999999999</v>
      </c>
      <c r="D109" s="10">
        <f>25.9665 * CHOOSE(CONTROL!$C$9, $D$9, 100%, $F$9) + CHOOSE(CONTROL!$C$27, 0.0021, 0)</f>
        <v>25.968599999999999</v>
      </c>
      <c r="E109" s="10">
        <f>25.8299 * CHOOSE(CONTROL!$C$9, $D$9, 100%, $F$9) + CHOOSE(CONTROL!$C$27, 0.0021, 0)</f>
        <v>25.831999999999997</v>
      </c>
      <c r="F109" s="10">
        <f>25.8299 * CHOOSE(CONTROL!$C$9, $D$9, 100%, $F$9) + CHOOSE(CONTROL!$C$27, 0.0021, 0)</f>
        <v>25.831999999999997</v>
      </c>
      <c r="G109" s="10">
        <f>26.1012 * CHOOSE(CONTROL!$C$9, $D$9, 100%, $F$9) + CHOOSE(CONTROL!$C$27, 0.0021, 0)</f>
        <v>26.103299999999997</v>
      </c>
      <c r="H109" s="10">
        <f>25.9665 * CHOOSE(CONTROL!$C$9, $D$9, 100%, $F$9) + CHOOSE(CONTROL!$C$27, 0.0021, 0)</f>
        <v>25.968599999999999</v>
      </c>
      <c r="I109" s="10">
        <f>25.9665 * CHOOSE(CONTROL!$C$9, $D$9, 100%, $F$9) + CHOOSE(CONTROL!$C$27, 0.0021, 0)</f>
        <v>25.968599999999999</v>
      </c>
      <c r="J109" s="10">
        <f>25.9665 * CHOOSE(CONTROL!$C$9, $D$9, 100%, $F$9) + CHOOSE(CONTROL!$C$27, 0.0021, 0)</f>
        <v>25.968599999999999</v>
      </c>
      <c r="K109" s="10">
        <f>25.9665 * CHOOSE(CONTROL!$C$9, $D$9, 100%, $F$9) + CHOOSE(CONTROL!$C$27, 0.0021, 0)</f>
        <v>25.968599999999999</v>
      </c>
      <c r="L109" s="10"/>
    </row>
    <row r="110" spans="1:12" ht="15" x14ac:dyDescent="0.2">
      <c r="A110" s="16">
        <v>44621</v>
      </c>
      <c r="B110" s="10">
        <f>26.1091 * CHOOSE(CONTROL!$C$9, $D$9, 100%, $F$9) + CHOOSE(CONTROL!$C$27, 0.0021, 0)</f>
        <v>26.1112</v>
      </c>
      <c r="C110" s="10">
        <f>25.6769 * CHOOSE(CONTROL!$C$9, $D$9, 100%, $F$9) + CHOOSE(CONTROL!$C$27, 0.0021, 0)</f>
        <v>25.678999999999998</v>
      </c>
      <c r="D110" s="10">
        <f>25.6769 * CHOOSE(CONTROL!$C$9, $D$9, 100%, $F$9) + CHOOSE(CONTROL!$C$27, 0.0021, 0)</f>
        <v>25.678999999999998</v>
      </c>
      <c r="E110" s="10">
        <f>25.5402 * CHOOSE(CONTROL!$C$9, $D$9, 100%, $F$9) + CHOOSE(CONTROL!$C$27, 0.0021, 0)</f>
        <v>25.542299999999997</v>
      </c>
      <c r="F110" s="10">
        <f>25.5402 * CHOOSE(CONTROL!$C$9, $D$9, 100%, $F$9) + CHOOSE(CONTROL!$C$27, 0.0021, 0)</f>
        <v>25.542299999999997</v>
      </c>
      <c r="G110" s="10">
        <f>25.8116 * CHOOSE(CONTROL!$C$9, $D$9, 100%, $F$9) + CHOOSE(CONTROL!$C$27, 0.0021, 0)</f>
        <v>25.813699999999997</v>
      </c>
      <c r="H110" s="10">
        <f>25.6769 * CHOOSE(CONTROL!$C$9, $D$9, 100%, $F$9) + CHOOSE(CONTROL!$C$27, 0.0021, 0)</f>
        <v>25.678999999999998</v>
      </c>
      <c r="I110" s="10">
        <f>25.6769 * CHOOSE(CONTROL!$C$9, $D$9, 100%, $F$9) + CHOOSE(CONTROL!$C$27, 0.0021, 0)</f>
        <v>25.678999999999998</v>
      </c>
      <c r="J110" s="10">
        <f>25.6769 * CHOOSE(CONTROL!$C$9, $D$9, 100%, $F$9) + CHOOSE(CONTROL!$C$27, 0.0021, 0)</f>
        <v>25.678999999999998</v>
      </c>
      <c r="K110" s="10">
        <f>25.6769 * CHOOSE(CONTROL!$C$9, $D$9, 100%, $F$9) + CHOOSE(CONTROL!$C$27, 0.0021, 0)</f>
        <v>25.678999999999998</v>
      </c>
      <c r="L110" s="10"/>
    </row>
    <row r="111" spans="1:12" ht="15" x14ac:dyDescent="0.2">
      <c r="A111" s="16">
        <v>44652</v>
      </c>
      <c r="B111" s="10">
        <f>25.7632 * CHOOSE(CONTROL!$C$9, $D$9, 100%, $F$9) + CHOOSE(CONTROL!$C$27, 0.0021, 0)</f>
        <v>25.7653</v>
      </c>
      <c r="C111" s="10">
        <f>25.331 * CHOOSE(CONTROL!$C$9, $D$9, 100%, $F$9) + CHOOSE(CONTROL!$C$27, 0.0021, 0)</f>
        <v>25.333099999999998</v>
      </c>
      <c r="D111" s="10">
        <f>25.331 * CHOOSE(CONTROL!$C$9, $D$9, 100%, $F$9) + CHOOSE(CONTROL!$C$27, 0.0021, 0)</f>
        <v>25.333099999999998</v>
      </c>
      <c r="E111" s="10">
        <f>25.1943 * CHOOSE(CONTROL!$C$9, $D$9, 100%, $F$9) + CHOOSE(CONTROL!$C$27, 0.0021, 0)</f>
        <v>25.196399999999997</v>
      </c>
      <c r="F111" s="10">
        <f>25.1943 * CHOOSE(CONTROL!$C$9, $D$9, 100%, $F$9) + CHOOSE(CONTROL!$C$27, 0.0021, 0)</f>
        <v>25.196399999999997</v>
      </c>
      <c r="G111" s="10">
        <f>25.4657 * CHOOSE(CONTROL!$C$9, $D$9, 100%, $F$9) + CHOOSE(CONTROL!$C$27, 0.0021, 0)</f>
        <v>25.467799999999997</v>
      </c>
      <c r="H111" s="10">
        <f>25.331 * CHOOSE(CONTROL!$C$9, $D$9, 100%, $F$9) + CHOOSE(CONTROL!$C$27, 0.0021, 0)</f>
        <v>25.333099999999998</v>
      </c>
      <c r="I111" s="10">
        <f>25.331 * CHOOSE(CONTROL!$C$9, $D$9, 100%, $F$9) + CHOOSE(CONTROL!$C$27, 0.0021, 0)</f>
        <v>25.333099999999998</v>
      </c>
      <c r="J111" s="10">
        <f>25.331 * CHOOSE(CONTROL!$C$9, $D$9, 100%, $F$9) + CHOOSE(CONTROL!$C$27, 0.0021, 0)</f>
        <v>25.333099999999998</v>
      </c>
      <c r="K111" s="10">
        <f>25.331 * CHOOSE(CONTROL!$C$9, $D$9, 100%, $F$9) + CHOOSE(CONTROL!$C$27, 0.0021, 0)</f>
        <v>25.333099999999998</v>
      </c>
      <c r="L111" s="10"/>
    </row>
    <row r="112" spans="1:12" ht="15" x14ac:dyDescent="0.2">
      <c r="A112" s="16">
        <v>44682</v>
      </c>
      <c r="B112" s="10">
        <f>26.2561 * CHOOSE(CONTROL!$C$9, $D$9, 100%, $F$9) + CHOOSE(CONTROL!$C$27, 0.0021, 0)</f>
        <v>26.258199999999999</v>
      </c>
      <c r="C112" s="10">
        <f>25.8239 * CHOOSE(CONTROL!$C$9, $D$9, 100%, $F$9) + CHOOSE(CONTROL!$C$27, 0.0021, 0)</f>
        <v>25.825999999999997</v>
      </c>
      <c r="D112" s="10">
        <f>25.8239 * CHOOSE(CONTROL!$C$9, $D$9, 100%, $F$9) + CHOOSE(CONTROL!$C$27, 0.0021, 0)</f>
        <v>25.825999999999997</v>
      </c>
      <c r="E112" s="10">
        <f>25.6872 * CHOOSE(CONTROL!$C$9, $D$9, 100%, $F$9) + CHOOSE(CONTROL!$C$27, 0.0021, 0)</f>
        <v>25.689299999999999</v>
      </c>
      <c r="F112" s="10">
        <f>25.6872 * CHOOSE(CONTROL!$C$9, $D$9, 100%, $F$9) + CHOOSE(CONTROL!$C$27, 0.0021, 0)</f>
        <v>25.689299999999999</v>
      </c>
      <c r="G112" s="10">
        <f>25.9586 * CHOOSE(CONTROL!$C$9, $D$9, 100%, $F$9) + CHOOSE(CONTROL!$C$27, 0.0021, 0)</f>
        <v>25.960699999999999</v>
      </c>
      <c r="H112" s="10">
        <f>25.8239 * CHOOSE(CONTROL!$C$9, $D$9, 100%, $F$9) + CHOOSE(CONTROL!$C$27, 0.0021, 0)</f>
        <v>25.825999999999997</v>
      </c>
      <c r="I112" s="10">
        <f>25.8239 * CHOOSE(CONTROL!$C$9, $D$9, 100%, $F$9) + CHOOSE(CONTROL!$C$27, 0.0021, 0)</f>
        <v>25.825999999999997</v>
      </c>
      <c r="J112" s="10">
        <f>25.8239 * CHOOSE(CONTROL!$C$9, $D$9, 100%, $F$9) + CHOOSE(CONTROL!$C$27, 0.0021, 0)</f>
        <v>25.825999999999997</v>
      </c>
      <c r="K112" s="10">
        <f>25.8239 * CHOOSE(CONTROL!$C$9, $D$9, 100%, $F$9) + CHOOSE(CONTROL!$C$27, 0.0021, 0)</f>
        <v>25.825999999999997</v>
      </c>
      <c r="L112" s="10"/>
    </row>
    <row r="113" spans="1:12" ht="15" x14ac:dyDescent="0.2">
      <c r="A113" s="16">
        <v>44713</v>
      </c>
      <c r="B113" s="10">
        <f>26.5514 * CHOOSE(CONTROL!$C$9, $D$9, 100%, $F$9) + CHOOSE(CONTROL!$C$27, 0.0021, 0)</f>
        <v>26.5535</v>
      </c>
      <c r="C113" s="10">
        <f>26.1191 * CHOOSE(CONTROL!$C$9, $D$9, 100%, $F$9) + CHOOSE(CONTROL!$C$27, 0.0021, 0)</f>
        <v>26.121199999999998</v>
      </c>
      <c r="D113" s="10">
        <f>26.1191 * CHOOSE(CONTROL!$C$9, $D$9, 100%, $F$9) + CHOOSE(CONTROL!$C$27, 0.0021, 0)</f>
        <v>26.121199999999998</v>
      </c>
      <c r="E113" s="10">
        <f>25.9825 * CHOOSE(CONTROL!$C$9, $D$9, 100%, $F$9) + CHOOSE(CONTROL!$C$27, 0.0021, 0)</f>
        <v>25.9846</v>
      </c>
      <c r="F113" s="10">
        <f>25.9825 * CHOOSE(CONTROL!$C$9, $D$9, 100%, $F$9) + CHOOSE(CONTROL!$C$27, 0.0021, 0)</f>
        <v>25.9846</v>
      </c>
      <c r="G113" s="10">
        <f>26.2538 * CHOOSE(CONTROL!$C$9, $D$9, 100%, $F$9) + CHOOSE(CONTROL!$C$27, 0.0021, 0)</f>
        <v>26.255899999999997</v>
      </c>
      <c r="H113" s="10">
        <f>26.1191 * CHOOSE(CONTROL!$C$9, $D$9, 100%, $F$9) + CHOOSE(CONTROL!$C$27, 0.0021, 0)</f>
        <v>26.121199999999998</v>
      </c>
      <c r="I113" s="10">
        <f>26.1191 * CHOOSE(CONTROL!$C$9, $D$9, 100%, $F$9) + CHOOSE(CONTROL!$C$27, 0.0021, 0)</f>
        <v>26.121199999999998</v>
      </c>
      <c r="J113" s="10">
        <f>26.1191 * CHOOSE(CONTROL!$C$9, $D$9, 100%, $F$9) + CHOOSE(CONTROL!$C$27, 0.0021, 0)</f>
        <v>26.121199999999998</v>
      </c>
      <c r="K113" s="10">
        <f>26.1191 * CHOOSE(CONTROL!$C$9, $D$9, 100%, $F$9) + CHOOSE(CONTROL!$C$27, 0.0021, 0)</f>
        <v>26.121199999999998</v>
      </c>
      <c r="L113" s="10"/>
    </row>
    <row r="114" spans="1:12" ht="15" x14ac:dyDescent="0.2">
      <c r="A114" s="16">
        <v>44743</v>
      </c>
      <c r="B114" s="10">
        <f>27.0384 * CHOOSE(CONTROL!$C$9, $D$9, 100%, $F$9) + CHOOSE(CONTROL!$C$27, 0.0021, 0)</f>
        <v>27.040499999999998</v>
      </c>
      <c r="C114" s="10">
        <f>26.6061 * CHOOSE(CONTROL!$C$9, $D$9, 100%, $F$9) + CHOOSE(CONTROL!$C$27, 0.0021, 0)</f>
        <v>26.6082</v>
      </c>
      <c r="D114" s="10">
        <f>26.6061 * CHOOSE(CONTROL!$C$9, $D$9, 100%, $F$9) + CHOOSE(CONTROL!$C$27, 0.0021, 0)</f>
        <v>26.6082</v>
      </c>
      <c r="E114" s="10">
        <f>26.4695 * CHOOSE(CONTROL!$C$9, $D$9, 100%, $F$9) + CHOOSE(CONTROL!$C$27, 0.0021, 0)</f>
        <v>26.471599999999999</v>
      </c>
      <c r="F114" s="10">
        <f>26.4695 * CHOOSE(CONTROL!$C$9, $D$9, 100%, $F$9) + CHOOSE(CONTROL!$C$27, 0.0021, 0)</f>
        <v>26.471599999999999</v>
      </c>
      <c r="G114" s="10">
        <f>26.7409 * CHOOSE(CONTROL!$C$9, $D$9, 100%, $F$9) + CHOOSE(CONTROL!$C$27, 0.0021, 0)</f>
        <v>26.742999999999999</v>
      </c>
      <c r="H114" s="10">
        <f>26.6061 * CHOOSE(CONTROL!$C$9, $D$9, 100%, $F$9) + CHOOSE(CONTROL!$C$27, 0.0021, 0)</f>
        <v>26.6082</v>
      </c>
      <c r="I114" s="10">
        <f>26.6061 * CHOOSE(CONTROL!$C$9, $D$9, 100%, $F$9) + CHOOSE(CONTROL!$C$27, 0.0021, 0)</f>
        <v>26.6082</v>
      </c>
      <c r="J114" s="10">
        <f>26.6061 * CHOOSE(CONTROL!$C$9, $D$9, 100%, $F$9) + CHOOSE(CONTROL!$C$27, 0.0021, 0)</f>
        <v>26.6082</v>
      </c>
      <c r="K114" s="10">
        <f>26.6061 * CHOOSE(CONTROL!$C$9, $D$9, 100%, $F$9) + CHOOSE(CONTROL!$C$27, 0.0021, 0)</f>
        <v>26.6082</v>
      </c>
      <c r="L114" s="10"/>
    </row>
    <row r="115" spans="1:12" ht="15" x14ac:dyDescent="0.2">
      <c r="A115" s="16">
        <v>44774</v>
      </c>
      <c r="B115" s="10">
        <f>27.187 * CHOOSE(CONTROL!$C$9, $D$9, 100%, $F$9) + CHOOSE(CONTROL!$C$27, 0.0021, 0)</f>
        <v>27.1891</v>
      </c>
      <c r="C115" s="10">
        <f>26.7548 * CHOOSE(CONTROL!$C$9, $D$9, 100%, $F$9) + CHOOSE(CONTROL!$C$27, 0.0021, 0)</f>
        <v>26.756899999999998</v>
      </c>
      <c r="D115" s="10">
        <f>26.7548 * CHOOSE(CONTROL!$C$9, $D$9, 100%, $F$9) + CHOOSE(CONTROL!$C$27, 0.0021, 0)</f>
        <v>26.756899999999998</v>
      </c>
      <c r="E115" s="10">
        <f>26.6181 * CHOOSE(CONTROL!$C$9, $D$9, 100%, $F$9) + CHOOSE(CONTROL!$C$27, 0.0021, 0)</f>
        <v>26.620199999999997</v>
      </c>
      <c r="F115" s="10">
        <f>26.6181 * CHOOSE(CONTROL!$C$9, $D$9, 100%, $F$9) + CHOOSE(CONTROL!$C$27, 0.0021, 0)</f>
        <v>26.620199999999997</v>
      </c>
      <c r="G115" s="10">
        <f>26.8895 * CHOOSE(CONTROL!$C$9, $D$9, 100%, $F$9) + CHOOSE(CONTROL!$C$27, 0.0021, 0)</f>
        <v>26.8916</v>
      </c>
      <c r="H115" s="10">
        <f>26.7548 * CHOOSE(CONTROL!$C$9, $D$9, 100%, $F$9) + CHOOSE(CONTROL!$C$27, 0.0021, 0)</f>
        <v>26.756899999999998</v>
      </c>
      <c r="I115" s="10">
        <f>26.7548 * CHOOSE(CONTROL!$C$9, $D$9, 100%, $F$9) + CHOOSE(CONTROL!$C$27, 0.0021, 0)</f>
        <v>26.756899999999998</v>
      </c>
      <c r="J115" s="10">
        <f>26.7548 * CHOOSE(CONTROL!$C$9, $D$9, 100%, $F$9) + CHOOSE(CONTROL!$C$27, 0.0021, 0)</f>
        <v>26.756899999999998</v>
      </c>
      <c r="K115" s="10">
        <f>26.7548 * CHOOSE(CONTROL!$C$9, $D$9, 100%, $F$9) + CHOOSE(CONTROL!$C$27, 0.0021, 0)</f>
        <v>26.756899999999998</v>
      </c>
      <c r="L115" s="10"/>
    </row>
    <row r="116" spans="1:12" ht="15" x14ac:dyDescent="0.2">
      <c r="A116" s="16">
        <v>44805</v>
      </c>
      <c r="B116" s="10">
        <f>27.6933 * CHOOSE(CONTROL!$C$9, $D$9, 100%, $F$9) + CHOOSE(CONTROL!$C$27, 0.0021, 0)</f>
        <v>27.695399999999999</v>
      </c>
      <c r="C116" s="10">
        <f>27.261 * CHOOSE(CONTROL!$C$9, $D$9, 100%, $F$9) + CHOOSE(CONTROL!$C$27, 0.0021, 0)</f>
        <v>27.263099999999998</v>
      </c>
      <c r="D116" s="10">
        <f>27.261 * CHOOSE(CONTROL!$C$9, $D$9, 100%, $F$9) + CHOOSE(CONTROL!$C$27, 0.0021, 0)</f>
        <v>27.263099999999998</v>
      </c>
      <c r="E116" s="10">
        <f>27.1244 * CHOOSE(CONTROL!$C$9, $D$9, 100%, $F$9) + CHOOSE(CONTROL!$C$27, 0.0021, 0)</f>
        <v>27.1265</v>
      </c>
      <c r="F116" s="10">
        <f>27.1244 * CHOOSE(CONTROL!$C$9, $D$9, 100%, $F$9) + CHOOSE(CONTROL!$C$27, 0.0021, 0)</f>
        <v>27.1265</v>
      </c>
      <c r="G116" s="10">
        <f>27.3957 * CHOOSE(CONTROL!$C$9, $D$9, 100%, $F$9) + CHOOSE(CONTROL!$C$27, 0.0021, 0)</f>
        <v>27.3978</v>
      </c>
      <c r="H116" s="10">
        <f>27.261 * CHOOSE(CONTROL!$C$9, $D$9, 100%, $F$9) + CHOOSE(CONTROL!$C$27, 0.0021, 0)</f>
        <v>27.263099999999998</v>
      </c>
      <c r="I116" s="10">
        <f>27.261 * CHOOSE(CONTROL!$C$9, $D$9, 100%, $F$9) + CHOOSE(CONTROL!$C$27, 0.0021, 0)</f>
        <v>27.263099999999998</v>
      </c>
      <c r="J116" s="10">
        <f>27.261 * CHOOSE(CONTROL!$C$9, $D$9, 100%, $F$9) + CHOOSE(CONTROL!$C$27, 0.0021, 0)</f>
        <v>27.263099999999998</v>
      </c>
      <c r="K116" s="10">
        <f>27.261 * CHOOSE(CONTROL!$C$9, $D$9, 100%, $F$9) + CHOOSE(CONTROL!$C$27, 0.0021, 0)</f>
        <v>27.263099999999998</v>
      </c>
      <c r="L116" s="10"/>
    </row>
    <row r="117" spans="1:12" ht="15" x14ac:dyDescent="0.2">
      <c r="A117" s="16">
        <v>44835</v>
      </c>
      <c r="B117" s="10">
        <f>28.3341 * CHOOSE(CONTROL!$C$9, $D$9, 100%, $F$9) + CHOOSE(CONTROL!$C$27, 0.0021, 0)</f>
        <v>28.336199999999998</v>
      </c>
      <c r="C117" s="10">
        <f>27.9018 * CHOOSE(CONTROL!$C$9, $D$9, 100%, $F$9) + CHOOSE(CONTROL!$C$27, 0.0021, 0)</f>
        <v>27.9039</v>
      </c>
      <c r="D117" s="10">
        <f>27.9018 * CHOOSE(CONTROL!$C$9, $D$9, 100%, $F$9) + CHOOSE(CONTROL!$C$27, 0.0021, 0)</f>
        <v>27.9039</v>
      </c>
      <c r="E117" s="10">
        <f>27.7652 * CHOOSE(CONTROL!$C$9, $D$9, 100%, $F$9) + CHOOSE(CONTROL!$C$27, 0.0021, 0)</f>
        <v>27.767299999999999</v>
      </c>
      <c r="F117" s="10">
        <f>27.7652 * CHOOSE(CONTROL!$C$9, $D$9, 100%, $F$9) + CHOOSE(CONTROL!$C$27, 0.0021, 0)</f>
        <v>27.767299999999999</v>
      </c>
      <c r="G117" s="10">
        <f>28.0365 * CHOOSE(CONTROL!$C$9, $D$9, 100%, $F$9) + CHOOSE(CONTROL!$C$27, 0.0021, 0)</f>
        <v>28.038599999999999</v>
      </c>
      <c r="H117" s="10">
        <f>27.9018 * CHOOSE(CONTROL!$C$9, $D$9, 100%, $F$9) + CHOOSE(CONTROL!$C$27, 0.0021, 0)</f>
        <v>27.9039</v>
      </c>
      <c r="I117" s="10">
        <f>27.9018 * CHOOSE(CONTROL!$C$9, $D$9, 100%, $F$9) + CHOOSE(CONTROL!$C$27, 0.0021, 0)</f>
        <v>27.9039</v>
      </c>
      <c r="J117" s="10">
        <f>27.9018 * CHOOSE(CONTROL!$C$9, $D$9, 100%, $F$9) + CHOOSE(CONTROL!$C$27, 0.0021, 0)</f>
        <v>27.9039</v>
      </c>
      <c r="K117" s="10">
        <f>27.9018 * CHOOSE(CONTROL!$C$9, $D$9, 100%, $F$9) + CHOOSE(CONTROL!$C$27, 0.0021, 0)</f>
        <v>27.9039</v>
      </c>
      <c r="L117" s="10"/>
    </row>
    <row r="118" spans="1:12" ht="15" x14ac:dyDescent="0.2">
      <c r="A118" s="16">
        <v>44866</v>
      </c>
      <c r="B118" s="10">
        <f>28.3942 * CHOOSE(CONTROL!$C$9, $D$9, 100%, $F$9) + CHOOSE(CONTROL!$C$27, 0.0021, 0)</f>
        <v>28.3963</v>
      </c>
      <c r="C118" s="10">
        <f>27.962 * CHOOSE(CONTROL!$C$9, $D$9, 100%, $F$9) + CHOOSE(CONTROL!$C$27, 0.0021, 0)</f>
        <v>27.964099999999998</v>
      </c>
      <c r="D118" s="10">
        <f>27.962 * CHOOSE(CONTROL!$C$9, $D$9, 100%, $F$9) + CHOOSE(CONTROL!$C$27, 0.0021, 0)</f>
        <v>27.964099999999998</v>
      </c>
      <c r="E118" s="10">
        <f>27.8253 * CHOOSE(CONTROL!$C$9, $D$9, 100%, $F$9) + CHOOSE(CONTROL!$C$27, 0.0021, 0)</f>
        <v>27.827399999999997</v>
      </c>
      <c r="F118" s="10">
        <f>27.8253 * CHOOSE(CONTROL!$C$9, $D$9, 100%, $F$9) + CHOOSE(CONTROL!$C$27, 0.0021, 0)</f>
        <v>27.827399999999997</v>
      </c>
      <c r="G118" s="10">
        <f>28.0967 * CHOOSE(CONTROL!$C$9, $D$9, 100%, $F$9) + CHOOSE(CONTROL!$C$27, 0.0021, 0)</f>
        <v>28.098799999999997</v>
      </c>
      <c r="H118" s="10">
        <f>27.962 * CHOOSE(CONTROL!$C$9, $D$9, 100%, $F$9) + CHOOSE(CONTROL!$C$27, 0.0021, 0)</f>
        <v>27.964099999999998</v>
      </c>
      <c r="I118" s="10">
        <f>27.962 * CHOOSE(CONTROL!$C$9, $D$9, 100%, $F$9) + CHOOSE(CONTROL!$C$27, 0.0021, 0)</f>
        <v>27.964099999999998</v>
      </c>
      <c r="J118" s="10">
        <f>27.962 * CHOOSE(CONTROL!$C$9, $D$9, 100%, $F$9) + CHOOSE(CONTROL!$C$27, 0.0021, 0)</f>
        <v>27.964099999999998</v>
      </c>
      <c r="K118" s="10">
        <f>27.962 * CHOOSE(CONTROL!$C$9, $D$9, 100%, $F$9) + CHOOSE(CONTROL!$C$27, 0.0021, 0)</f>
        <v>27.964099999999998</v>
      </c>
      <c r="L118" s="10"/>
    </row>
    <row r="119" spans="1:12" ht="15" x14ac:dyDescent="0.2">
      <c r="A119" s="16">
        <v>44896</v>
      </c>
      <c r="B119" s="10">
        <f>27.8824 * CHOOSE(CONTROL!$C$9, $D$9, 100%, $F$9) + CHOOSE(CONTROL!$C$27, 0.0021, 0)</f>
        <v>27.884499999999999</v>
      </c>
      <c r="C119" s="10">
        <f>27.4502 * CHOOSE(CONTROL!$C$9, $D$9, 100%, $F$9) + CHOOSE(CONTROL!$C$27, 0.0021, 0)</f>
        <v>27.452299999999997</v>
      </c>
      <c r="D119" s="10">
        <f>27.4502 * CHOOSE(CONTROL!$C$9, $D$9, 100%, $F$9) + CHOOSE(CONTROL!$C$27, 0.0021, 0)</f>
        <v>27.452299999999997</v>
      </c>
      <c r="E119" s="10">
        <f>27.3135 * CHOOSE(CONTROL!$C$9, $D$9, 100%, $F$9) + CHOOSE(CONTROL!$C$27, 0.0021, 0)</f>
        <v>27.3156</v>
      </c>
      <c r="F119" s="10">
        <f>27.3135 * CHOOSE(CONTROL!$C$9, $D$9, 100%, $F$9) + CHOOSE(CONTROL!$C$27, 0.0021, 0)</f>
        <v>27.3156</v>
      </c>
      <c r="G119" s="10">
        <f>27.5849 * CHOOSE(CONTROL!$C$9, $D$9, 100%, $F$9) + CHOOSE(CONTROL!$C$27, 0.0021, 0)</f>
        <v>27.587</v>
      </c>
      <c r="H119" s="10">
        <f>27.4502 * CHOOSE(CONTROL!$C$9, $D$9, 100%, $F$9) + CHOOSE(CONTROL!$C$27, 0.0021, 0)</f>
        <v>27.452299999999997</v>
      </c>
      <c r="I119" s="10">
        <f>27.4502 * CHOOSE(CONTROL!$C$9, $D$9, 100%, $F$9) + CHOOSE(CONTROL!$C$27, 0.0021, 0)</f>
        <v>27.452299999999997</v>
      </c>
      <c r="J119" s="10">
        <f>27.4502 * CHOOSE(CONTROL!$C$9, $D$9, 100%, $F$9) + CHOOSE(CONTROL!$C$27, 0.0021, 0)</f>
        <v>27.452299999999997</v>
      </c>
      <c r="K119" s="10">
        <f>27.4502 * CHOOSE(CONTROL!$C$9, $D$9, 100%, $F$9) + CHOOSE(CONTROL!$C$27, 0.0021, 0)</f>
        <v>27.452299999999997</v>
      </c>
      <c r="L119" s="10"/>
    </row>
    <row r="120" spans="1:12" ht="15" x14ac:dyDescent="0.2">
      <c r="A120" s="16">
        <v>44927</v>
      </c>
      <c r="B120" s="10">
        <f>28.1898 * CHOOSE(CONTROL!$C$9, $D$9, 100%, $F$9) + CHOOSE(CONTROL!$C$27, 0.0021, 0)</f>
        <v>28.1919</v>
      </c>
      <c r="C120" s="10">
        <f>27.7575 * CHOOSE(CONTROL!$C$9, $D$9, 100%, $F$9) + CHOOSE(CONTROL!$C$27, 0.0021, 0)</f>
        <v>27.759599999999999</v>
      </c>
      <c r="D120" s="10">
        <f>27.7575 * CHOOSE(CONTROL!$C$9, $D$9, 100%, $F$9) + CHOOSE(CONTROL!$C$27, 0.0021, 0)</f>
        <v>27.759599999999999</v>
      </c>
      <c r="E120" s="10">
        <f>27.6209 * CHOOSE(CONTROL!$C$9, $D$9, 100%, $F$9) + CHOOSE(CONTROL!$C$27, 0.0021, 0)</f>
        <v>27.622999999999998</v>
      </c>
      <c r="F120" s="10">
        <f>27.6209 * CHOOSE(CONTROL!$C$9, $D$9, 100%, $F$9) + CHOOSE(CONTROL!$C$27, 0.0021, 0)</f>
        <v>27.622999999999998</v>
      </c>
      <c r="G120" s="10">
        <f>27.8922 * CHOOSE(CONTROL!$C$9, $D$9, 100%, $F$9) + CHOOSE(CONTROL!$C$27, 0.0021, 0)</f>
        <v>27.894299999999998</v>
      </c>
      <c r="H120" s="10">
        <f>27.7575 * CHOOSE(CONTROL!$C$9, $D$9, 100%, $F$9) + CHOOSE(CONTROL!$C$27, 0.0021, 0)</f>
        <v>27.759599999999999</v>
      </c>
      <c r="I120" s="10">
        <f>27.7575 * CHOOSE(CONTROL!$C$9, $D$9, 100%, $F$9) + CHOOSE(CONTROL!$C$27, 0.0021, 0)</f>
        <v>27.759599999999999</v>
      </c>
      <c r="J120" s="10">
        <f>27.7575 * CHOOSE(CONTROL!$C$9, $D$9, 100%, $F$9) + CHOOSE(CONTROL!$C$27, 0.0021, 0)</f>
        <v>27.759599999999999</v>
      </c>
      <c r="K120" s="10">
        <f>27.7575 * CHOOSE(CONTROL!$C$9, $D$9, 100%, $F$9) + CHOOSE(CONTROL!$C$27, 0.0021, 0)</f>
        <v>27.759599999999999</v>
      </c>
      <c r="L120" s="10"/>
    </row>
    <row r="121" spans="1:12" ht="15" x14ac:dyDescent="0.2">
      <c r="A121" s="16">
        <v>44958</v>
      </c>
      <c r="B121" s="10">
        <f>27.4573 * CHOOSE(CONTROL!$C$9, $D$9, 100%, $F$9) + CHOOSE(CONTROL!$C$27, 0.0021, 0)</f>
        <v>27.459399999999999</v>
      </c>
      <c r="C121" s="10">
        <f>27.025 * CHOOSE(CONTROL!$C$9, $D$9, 100%, $F$9) + CHOOSE(CONTROL!$C$27, 0.0021, 0)</f>
        <v>27.027099999999997</v>
      </c>
      <c r="D121" s="10">
        <f>27.025 * CHOOSE(CONTROL!$C$9, $D$9, 100%, $F$9) + CHOOSE(CONTROL!$C$27, 0.0021, 0)</f>
        <v>27.027099999999997</v>
      </c>
      <c r="E121" s="10">
        <f>26.8884 * CHOOSE(CONTROL!$C$9, $D$9, 100%, $F$9) + CHOOSE(CONTROL!$C$27, 0.0021, 0)</f>
        <v>26.890499999999999</v>
      </c>
      <c r="F121" s="10">
        <f>26.8884 * CHOOSE(CONTROL!$C$9, $D$9, 100%, $F$9) + CHOOSE(CONTROL!$C$27, 0.0021, 0)</f>
        <v>26.890499999999999</v>
      </c>
      <c r="G121" s="10">
        <f>27.1597 * CHOOSE(CONTROL!$C$9, $D$9, 100%, $F$9) + CHOOSE(CONTROL!$C$27, 0.0021, 0)</f>
        <v>27.161799999999999</v>
      </c>
      <c r="H121" s="10">
        <f>27.025 * CHOOSE(CONTROL!$C$9, $D$9, 100%, $F$9) + CHOOSE(CONTROL!$C$27, 0.0021, 0)</f>
        <v>27.027099999999997</v>
      </c>
      <c r="I121" s="10">
        <f>27.025 * CHOOSE(CONTROL!$C$9, $D$9, 100%, $F$9) + CHOOSE(CONTROL!$C$27, 0.0021, 0)</f>
        <v>27.027099999999997</v>
      </c>
      <c r="J121" s="10">
        <f>27.025 * CHOOSE(CONTROL!$C$9, $D$9, 100%, $F$9) + CHOOSE(CONTROL!$C$27, 0.0021, 0)</f>
        <v>27.027099999999997</v>
      </c>
      <c r="K121" s="10">
        <f>27.025 * CHOOSE(CONTROL!$C$9, $D$9, 100%, $F$9) + CHOOSE(CONTROL!$C$27, 0.0021, 0)</f>
        <v>27.027099999999997</v>
      </c>
      <c r="L121" s="10"/>
    </row>
    <row r="122" spans="1:12" ht="15" x14ac:dyDescent="0.2">
      <c r="A122" s="16">
        <v>44986</v>
      </c>
      <c r="B122" s="10">
        <f>27.1549 * CHOOSE(CONTROL!$C$9, $D$9, 100%, $F$9) + CHOOSE(CONTROL!$C$27, 0.0021, 0)</f>
        <v>27.157</v>
      </c>
      <c r="C122" s="10">
        <f>26.7226 * CHOOSE(CONTROL!$C$9, $D$9, 100%, $F$9) + CHOOSE(CONTROL!$C$27, 0.0021, 0)</f>
        <v>26.724699999999999</v>
      </c>
      <c r="D122" s="10">
        <f>26.7226 * CHOOSE(CONTROL!$C$9, $D$9, 100%, $F$9) + CHOOSE(CONTROL!$C$27, 0.0021, 0)</f>
        <v>26.724699999999999</v>
      </c>
      <c r="E122" s="10">
        <f>26.586 * CHOOSE(CONTROL!$C$9, $D$9, 100%, $F$9) + CHOOSE(CONTROL!$C$27, 0.0021, 0)</f>
        <v>26.588099999999997</v>
      </c>
      <c r="F122" s="10">
        <f>26.586 * CHOOSE(CONTROL!$C$9, $D$9, 100%, $F$9) + CHOOSE(CONTROL!$C$27, 0.0021, 0)</f>
        <v>26.588099999999997</v>
      </c>
      <c r="G122" s="10">
        <f>26.8573 * CHOOSE(CONTROL!$C$9, $D$9, 100%, $F$9) + CHOOSE(CONTROL!$C$27, 0.0021, 0)</f>
        <v>26.859399999999997</v>
      </c>
      <c r="H122" s="10">
        <f>26.7226 * CHOOSE(CONTROL!$C$9, $D$9, 100%, $F$9) + CHOOSE(CONTROL!$C$27, 0.0021, 0)</f>
        <v>26.724699999999999</v>
      </c>
      <c r="I122" s="10">
        <f>26.7226 * CHOOSE(CONTROL!$C$9, $D$9, 100%, $F$9) + CHOOSE(CONTROL!$C$27, 0.0021, 0)</f>
        <v>26.724699999999999</v>
      </c>
      <c r="J122" s="10">
        <f>26.7226 * CHOOSE(CONTROL!$C$9, $D$9, 100%, $F$9) + CHOOSE(CONTROL!$C$27, 0.0021, 0)</f>
        <v>26.724699999999999</v>
      </c>
      <c r="K122" s="10">
        <f>26.7226 * CHOOSE(CONTROL!$C$9, $D$9, 100%, $F$9) + CHOOSE(CONTROL!$C$27, 0.0021, 0)</f>
        <v>26.724699999999999</v>
      </c>
      <c r="L122" s="10"/>
    </row>
    <row r="123" spans="1:12" ht="15" x14ac:dyDescent="0.2">
      <c r="A123" s="16">
        <v>45017</v>
      </c>
      <c r="B123" s="10">
        <f>26.7938 * CHOOSE(CONTROL!$C$9, $D$9, 100%, $F$9) + CHOOSE(CONTROL!$C$27, 0.0021, 0)</f>
        <v>26.7959</v>
      </c>
      <c r="C123" s="10">
        <f>26.3616 * CHOOSE(CONTROL!$C$9, $D$9, 100%, $F$9) + CHOOSE(CONTROL!$C$27, 0.0021, 0)</f>
        <v>26.363699999999998</v>
      </c>
      <c r="D123" s="10">
        <f>26.3616 * CHOOSE(CONTROL!$C$9, $D$9, 100%, $F$9) + CHOOSE(CONTROL!$C$27, 0.0021, 0)</f>
        <v>26.363699999999998</v>
      </c>
      <c r="E123" s="10">
        <f>26.2249 * CHOOSE(CONTROL!$C$9, $D$9, 100%, $F$9) + CHOOSE(CONTROL!$C$27, 0.0021, 0)</f>
        <v>26.227</v>
      </c>
      <c r="F123" s="10">
        <f>26.2249 * CHOOSE(CONTROL!$C$9, $D$9, 100%, $F$9) + CHOOSE(CONTROL!$C$27, 0.0021, 0)</f>
        <v>26.227</v>
      </c>
      <c r="G123" s="10">
        <f>26.4963 * CHOOSE(CONTROL!$C$9, $D$9, 100%, $F$9) + CHOOSE(CONTROL!$C$27, 0.0021, 0)</f>
        <v>26.4984</v>
      </c>
      <c r="H123" s="10">
        <f>26.3616 * CHOOSE(CONTROL!$C$9, $D$9, 100%, $F$9) + CHOOSE(CONTROL!$C$27, 0.0021, 0)</f>
        <v>26.363699999999998</v>
      </c>
      <c r="I123" s="10">
        <f>26.3616 * CHOOSE(CONTROL!$C$9, $D$9, 100%, $F$9) + CHOOSE(CONTROL!$C$27, 0.0021, 0)</f>
        <v>26.363699999999998</v>
      </c>
      <c r="J123" s="10">
        <f>26.3616 * CHOOSE(CONTROL!$C$9, $D$9, 100%, $F$9) + CHOOSE(CONTROL!$C$27, 0.0021, 0)</f>
        <v>26.363699999999998</v>
      </c>
      <c r="K123" s="10">
        <f>26.3616 * CHOOSE(CONTROL!$C$9, $D$9, 100%, $F$9) + CHOOSE(CONTROL!$C$27, 0.0021, 0)</f>
        <v>26.363699999999998</v>
      </c>
      <c r="L123" s="10"/>
    </row>
    <row r="124" spans="1:12" ht="15" x14ac:dyDescent="0.2">
      <c r="A124" s="16">
        <v>45047</v>
      </c>
      <c r="B124" s="10">
        <f>27.3084 * CHOOSE(CONTROL!$C$9, $D$9, 100%, $F$9) + CHOOSE(CONTROL!$C$27, 0.0021, 0)</f>
        <v>27.310499999999998</v>
      </c>
      <c r="C124" s="10">
        <f>26.8761 * CHOOSE(CONTROL!$C$9, $D$9, 100%, $F$9) + CHOOSE(CONTROL!$C$27, 0.0021, 0)</f>
        <v>26.8782</v>
      </c>
      <c r="D124" s="10">
        <f>26.8761 * CHOOSE(CONTROL!$C$9, $D$9, 100%, $F$9) + CHOOSE(CONTROL!$C$27, 0.0021, 0)</f>
        <v>26.8782</v>
      </c>
      <c r="E124" s="10">
        <f>26.7395 * CHOOSE(CONTROL!$C$9, $D$9, 100%, $F$9) + CHOOSE(CONTROL!$C$27, 0.0021, 0)</f>
        <v>26.741599999999998</v>
      </c>
      <c r="F124" s="10">
        <f>26.7395 * CHOOSE(CONTROL!$C$9, $D$9, 100%, $F$9) + CHOOSE(CONTROL!$C$27, 0.0021, 0)</f>
        <v>26.741599999999998</v>
      </c>
      <c r="G124" s="10">
        <f>27.0108 * CHOOSE(CONTROL!$C$9, $D$9, 100%, $F$9) + CHOOSE(CONTROL!$C$27, 0.0021, 0)</f>
        <v>27.012899999999998</v>
      </c>
      <c r="H124" s="10">
        <f>26.8761 * CHOOSE(CONTROL!$C$9, $D$9, 100%, $F$9) + CHOOSE(CONTROL!$C$27, 0.0021, 0)</f>
        <v>26.8782</v>
      </c>
      <c r="I124" s="10">
        <f>26.8761 * CHOOSE(CONTROL!$C$9, $D$9, 100%, $F$9) + CHOOSE(CONTROL!$C$27, 0.0021, 0)</f>
        <v>26.8782</v>
      </c>
      <c r="J124" s="10">
        <f>26.8761 * CHOOSE(CONTROL!$C$9, $D$9, 100%, $F$9) + CHOOSE(CONTROL!$C$27, 0.0021, 0)</f>
        <v>26.8782</v>
      </c>
      <c r="K124" s="10">
        <f>26.8761 * CHOOSE(CONTROL!$C$9, $D$9, 100%, $F$9) + CHOOSE(CONTROL!$C$27, 0.0021, 0)</f>
        <v>26.8782</v>
      </c>
      <c r="L124" s="10"/>
    </row>
    <row r="125" spans="1:12" ht="15" x14ac:dyDescent="0.2">
      <c r="A125" s="16">
        <v>45078</v>
      </c>
      <c r="B125" s="10">
        <f>27.6166 * CHOOSE(CONTROL!$C$9, $D$9, 100%, $F$9) + CHOOSE(CONTROL!$C$27, 0.0021, 0)</f>
        <v>27.618699999999997</v>
      </c>
      <c r="C125" s="10">
        <f>27.1843 * CHOOSE(CONTROL!$C$9, $D$9, 100%, $F$9) + CHOOSE(CONTROL!$C$27, 0.0021, 0)</f>
        <v>27.186399999999999</v>
      </c>
      <c r="D125" s="10">
        <f>27.1843 * CHOOSE(CONTROL!$C$9, $D$9, 100%, $F$9) + CHOOSE(CONTROL!$C$27, 0.0021, 0)</f>
        <v>27.186399999999999</v>
      </c>
      <c r="E125" s="10">
        <f>27.0477 * CHOOSE(CONTROL!$C$9, $D$9, 100%, $F$9) + CHOOSE(CONTROL!$C$27, 0.0021, 0)</f>
        <v>27.049799999999998</v>
      </c>
      <c r="F125" s="10">
        <f>27.0477 * CHOOSE(CONTROL!$C$9, $D$9, 100%, $F$9) + CHOOSE(CONTROL!$C$27, 0.0021, 0)</f>
        <v>27.049799999999998</v>
      </c>
      <c r="G125" s="10">
        <f>27.319 * CHOOSE(CONTROL!$C$9, $D$9, 100%, $F$9) + CHOOSE(CONTROL!$C$27, 0.0021, 0)</f>
        <v>27.321099999999998</v>
      </c>
      <c r="H125" s="10">
        <f>27.1843 * CHOOSE(CONTROL!$C$9, $D$9, 100%, $F$9) + CHOOSE(CONTROL!$C$27, 0.0021, 0)</f>
        <v>27.186399999999999</v>
      </c>
      <c r="I125" s="10">
        <f>27.1843 * CHOOSE(CONTROL!$C$9, $D$9, 100%, $F$9) + CHOOSE(CONTROL!$C$27, 0.0021, 0)</f>
        <v>27.186399999999999</v>
      </c>
      <c r="J125" s="10">
        <f>27.1843 * CHOOSE(CONTROL!$C$9, $D$9, 100%, $F$9) + CHOOSE(CONTROL!$C$27, 0.0021, 0)</f>
        <v>27.186399999999999</v>
      </c>
      <c r="K125" s="10">
        <f>27.1843 * CHOOSE(CONTROL!$C$9, $D$9, 100%, $F$9) + CHOOSE(CONTROL!$C$27, 0.0021, 0)</f>
        <v>27.186399999999999</v>
      </c>
      <c r="L125" s="10"/>
    </row>
    <row r="126" spans="1:12" ht="15" x14ac:dyDescent="0.2">
      <c r="A126" s="16">
        <v>45108</v>
      </c>
      <c r="B126" s="10">
        <f>28.125 * CHOOSE(CONTROL!$C$9, $D$9, 100%, $F$9) + CHOOSE(CONTROL!$C$27, 0.0021, 0)</f>
        <v>28.127099999999999</v>
      </c>
      <c r="C126" s="10">
        <f>27.6927 * CHOOSE(CONTROL!$C$9, $D$9, 100%, $F$9) + CHOOSE(CONTROL!$C$27, 0.0021, 0)</f>
        <v>27.694799999999997</v>
      </c>
      <c r="D126" s="10">
        <f>27.6927 * CHOOSE(CONTROL!$C$9, $D$9, 100%, $F$9) + CHOOSE(CONTROL!$C$27, 0.0021, 0)</f>
        <v>27.694799999999997</v>
      </c>
      <c r="E126" s="10">
        <f>27.5561 * CHOOSE(CONTROL!$C$9, $D$9, 100%, $F$9) + CHOOSE(CONTROL!$C$27, 0.0021, 0)</f>
        <v>27.558199999999999</v>
      </c>
      <c r="F126" s="10">
        <f>27.5561 * CHOOSE(CONTROL!$C$9, $D$9, 100%, $F$9) + CHOOSE(CONTROL!$C$27, 0.0021, 0)</f>
        <v>27.558199999999999</v>
      </c>
      <c r="G126" s="10">
        <f>27.8274 * CHOOSE(CONTROL!$C$9, $D$9, 100%, $F$9) + CHOOSE(CONTROL!$C$27, 0.0021, 0)</f>
        <v>27.829499999999999</v>
      </c>
      <c r="H126" s="10">
        <f>27.6927 * CHOOSE(CONTROL!$C$9, $D$9, 100%, $F$9) + CHOOSE(CONTROL!$C$27, 0.0021, 0)</f>
        <v>27.694799999999997</v>
      </c>
      <c r="I126" s="10">
        <f>27.6927 * CHOOSE(CONTROL!$C$9, $D$9, 100%, $F$9) + CHOOSE(CONTROL!$C$27, 0.0021, 0)</f>
        <v>27.694799999999997</v>
      </c>
      <c r="J126" s="10">
        <f>27.6927 * CHOOSE(CONTROL!$C$9, $D$9, 100%, $F$9) + CHOOSE(CONTROL!$C$27, 0.0021, 0)</f>
        <v>27.694799999999997</v>
      </c>
      <c r="K126" s="10">
        <f>27.6927 * CHOOSE(CONTROL!$C$9, $D$9, 100%, $F$9) + CHOOSE(CONTROL!$C$27, 0.0021, 0)</f>
        <v>27.694799999999997</v>
      </c>
      <c r="L126" s="10"/>
    </row>
    <row r="127" spans="1:12" ht="15" x14ac:dyDescent="0.2">
      <c r="A127" s="16">
        <v>45139</v>
      </c>
      <c r="B127" s="10">
        <f>28.2801 * CHOOSE(CONTROL!$C$9, $D$9, 100%, $F$9) + CHOOSE(CONTROL!$C$27, 0.0021, 0)</f>
        <v>28.2822</v>
      </c>
      <c r="C127" s="10">
        <f>27.8479 * CHOOSE(CONTROL!$C$9, $D$9, 100%, $F$9) + CHOOSE(CONTROL!$C$27, 0.0021, 0)</f>
        <v>27.849999999999998</v>
      </c>
      <c r="D127" s="10">
        <f>27.8479 * CHOOSE(CONTROL!$C$9, $D$9, 100%, $F$9) + CHOOSE(CONTROL!$C$27, 0.0021, 0)</f>
        <v>27.849999999999998</v>
      </c>
      <c r="E127" s="10">
        <f>27.7112 * CHOOSE(CONTROL!$C$9, $D$9, 100%, $F$9) + CHOOSE(CONTROL!$C$27, 0.0021, 0)</f>
        <v>27.7133</v>
      </c>
      <c r="F127" s="10">
        <f>27.7112 * CHOOSE(CONTROL!$C$9, $D$9, 100%, $F$9) + CHOOSE(CONTROL!$C$27, 0.0021, 0)</f>
        <v>27.7133</v>
      </c>
      <c r="G127" s="10">
        <f>27.9826 * CHOOSE(CONTROL!$C$9, $D$9, 100%, $F$9) + CHOOSE(CONTROL!$C$27, 0.0021, 0)</f>
        <v>27.9847</v>
      </c>
      <c r="H127" s="10">
        <f>27.8479 * CHOOSE(CONTROL!$C$9, $D$9, 100%, $F$9) + CHOOSE(CONTROL!$C$27, 0.0021, 0)</f>
        <v>27.849999999999998</v>
      </c>
      <c r="I127" s="10">
        <f>27.8479 * CHOOSE(CONTROL!$C$9, $D$9, 100%, $F$9) + CHOOSE(CONTROL!$C$27, 0.0021, 0)</f>
        <v>27.849999999999998</v>
      </c>
      <c r="J127" s="10">
        <f>27.8479 * CHOOSE(CONTROL!$C$9, $D$9, 100%, $F$9) + CHOOSE(CONTROL!$C$27, 0.0021, 0)</f>
        <v>27.849999999999998</v>
      </c>
      <c r="K127" s="10">
        <f>27.8479 * CHOOSE(CONTROL!$C$9, $D$9, 100%, $F$9) + CHOOSE(CONTROL!$C$27, 0.0021, 0)</f>
        <v>27.849999999999998</v>
      </c>
      <c r="L127" s="10"/>
    </row>
    <row r="128" spans="1:12" ht="15" x14ac:dyDescent="0.2">
      <c r="A128" s="16">
        <v>45170</v>
      </c>
      <c r="B128" s="10">
        <f>28.8086 * CHOOSE(CONTROL!$C$9, $D$9, 100%, $F$9) + CHOOSE(CONTROL!$C$27, 0.0021, 0)</f>
        <v>28.810699999999997</v>
      </c>
      <c r="C128" s="10">
        <f>28.3764 * CHOOSE(CONTROL!$C$9, $D$9, 100%, $F$9) + CHOOSE(CONTROL!$C$27, 0.0021, 0)</f>
        <v>28.378499999999999</v>
      </c>
      <c r="D128" s="10">
        <f>28.3764 * CHOOSE(CONTROL!$C$9, $D$9, 100%, $F$9) + CHOOSE(CONTROL!$C$27, 0.0021, 0)</f>
        <v>28.378499999999999</v>
      </c>
      <c r="E128" s="10">
        <f>28.2397 * CHOOSE(CONTROL!$C$9, $D$9, 100%, $F$9) + CHOOSE(CONTROL!$C$27, 0.0021, 0)</f>
        <v>28.241799999999998</v>
      </c>
      <c r="F128" s="10">
        <f>28.2397 * CHOOSE(CONTROL!$C$9, $D$9, 100%, $F$9) + CHOOSE(CONTROL!$C$27, 0.0021, 0)</f>
        <v>28.241799999999998</v>
      </c>
      <c r="G128" s="10">
        <f>28.5111 * CHOOSE(CONTROL!$C$9, $D$9, 100%, $F$9) + CHOOSE(CONTROL!$C$27, 0.0021, 0)</f>
        <v>28.513199999999998</v>
      </c>
      <c r="H128" s="10">
        <f>28.3764 * CHOOSE(CONTROL!$C$9, $D$9, 100%, $F$9) + CHOOSE(CONTROL!$C$27, 0.0021, 0)</f>
        <v>28.378499999999999</v>
      </c>
      <c r="I128" s="10">
        <f>28.3764 * CHOOSE(CONTROL!$C$9, $D$9, 100%, $F$9) + CHOOSE(CONTROL!$C$27, 0.0021, 0)</f>
        <v>28.378499999999999</v>
      </c>
      <c r="J128" s="10">
        <f>28.3764 * CHOOSE(CONTROL!$C$9, $D$9, 100%, $F$9) + CHOOSE(CONTROL!$C$27, 0.0021, 0)</f>
        <v>28.378499999999999</v>
      </c>
      <c r="K128" s="10">
        <f>28.3764 * CHOOSE(CONTROL!$C$9, $D$9, 100%, $F$9) + CHOOSE(CONTROL!$C$27, 0.0021, 0)</f>
        <v>28.378499999999999</v>
      </c>
      <c r="L128" s="10"/>
    </row>
    <row r="129" spans="1:12" ht="15" x14ac:dyDescent="0.2">
      <c r="A129" s="16">
        <v>45200</v>
      </c>
      <c r="B129" s="10">
        <f>29.4775 * CHOOSE(CONTROL!$C$9, $D$9, 100%, $F$9) + CHOOSE(CONTROL!$C$27, 0.0021, 0)</f>
        <v>29.479599999999998</v>
      </c>
      <c r="C129" s="10">
        <f>29.0453 * CHOOSE(CONTROL!$C$9, $D$9, 100%, $F$9) + CHOOSE(CONTROL!$C$27, 0.0021, 0)</f>
        <v>29.0474</v>
      </c>
      <c r="D129" s="10">
        <f>29.0453 * CHOOSE(CONTROL!$C$9, $D$9, 100%, $F$9) + CHOOSE(CONTROL!$C$27, 0.0021, 0)</f>
        <v>29.0474</v>
      </c>
      <c r="E129" s="10">
        <f>28.9086 * CHOOSE(CONTROL!$C$9, $D$9, 100%, $F$9) + CHOOSE(CONTROL!$C$27, 0.0021, 0)</f>
        <v>28.910699999999999</v>
      </c>
      <c r="F129" s="10">
        <f>28.9086 * CHOOSE(CONTROL!$C$9, $D$9, 100%, $F$9) + CHOOSE(CONTROL!$C$27, 0.0021, 0)</f>
        <v>28.910699999999999</v>
      </c>
      <c r="G129" s="10">
        <f>29.18 * CHOOSE(CONTROL!$C$9, $D$9, 100%, $F$9) + CHOOSE(CONTROL!$C$27, 0.0021, 0)</f>
        <v>29.182099999999998</v>
      </c>
      <c r="H129" s="10">
        <f>29.0453 * CHOOSE(CONTROL!$C$9, $D$9, 100%, $F$9) + CHOOSE(CONTROL!$C$27, 0.0021, 0)</f>
        <v>29.0474</v>
      </c>
      <c r="I129" s="10">
        <f>29.0453 * CHOOSE(CONTROL!$C$9, $D$9, 100%, $F$9) + CHOOSE(CONTROL!$C$27, 0.0021, 0)</f>
        <v>29.0474</v>
      </c>
      <c r="J129" s="10">
        <f>29.0453 * CHOOSE(CONTROL!$C$9, $D$9, 100%, $F$9) + CHOOSE(CONTROL!$C$27, 0.0021, 0)</f>
        <v>29.0474</v>
      </c>
      <c r="K129" s="10">
        <f>29.0453 * CHOOSE(CONTROL!$C$9, $D$9, 100%, $F$9) + CHOOSE(CONTROL!$C$27, 0.0021, 0)</f>
        <v>29.0474</v>
      </c>
      <c r="L129" s="10"/>
    </row>
    <row r="130" spans="1:12" ht="15" x14ac:dyDescent="0.2">
      <c r="A130" s="16">
        <v>45231</v>
      </c>
      <c r="B130" s="10">
        <f>29.5403 * CHOOSE(CONTROL!$C$9, $D$9, 100%, $F$9) + CHOOSE(CONTROL!$C$27, 0.0021, 0)</f>
        <v>29.542399999999997</v>
      </c>
      <c r="C130" s="10">
        <f>29.1081 * CHOOSE(CONTROL!$C$9, $D$9, 100%, $F$9) + CHOOSE(CONTROL!$C$27, 0.0021, 0)</f>
        <v>29.110199999999999</v>
      </c>
      <c r="D130" s="10">
        <f>29.1081 * CHOOSE(CONTROL!$C$9, $D$9, 100%, $F$9) + CHOOSE(CONTROL!$C$27, 0.0021, 0)</f>
        <v>29.110199999999999</v>
      </c>
      <c r="E130" s="10">
        <f>28.9714 * CHOOSE(CONTROL!$C$9, $D$9, 100%, $F$9) + CHOOSE(CONTROL!$C$27, 0.0021, 0)</f>
        <v>28.973499999999998</v>
      </c>
      <c r="F130" s="10">
        <f>28.9714 * CHOOSE(CONTROL!$C$9, $D$9, 100%, $F$9) + CHOOSE(CONTROL!$C$27, 0.0021, 0)</f>
        <v>28.973499999999998</v>
      </c>
      <c r="G130" s="10">
        <f>29.2428 * CHOOSE(CONTROL!$C$9, $D$9, 100%, $F$9) + CHOOSE(CONTROL!$C$27, 0.0021, 0)</f>
        <v>29.244899999999998</v>
      </c>
      <c r="H130" s="10">
        <f>29.1081 * CHOOSE(CONTROL!$C$9, $D$9, 100%, $F$9) + CHOOSE(CONTROL!$C$27, 0.0021, 0)</f>
        <v>29.110199999999999</v>
      </c>
      <c r="I130" s="10">
        <f>29.1081 * CHOOSE(CONTROL!$C$9, $D$9, 100%, $F$9) + CHOOSE(CONTROL!$C$27, 0.0021, 0)</f>
        <v>29.110199999999999</v>
      </c>
      <c r="J130" s="10">
        <f>29.1081 * CHOOSE(CONTROL!$C$9, $D$9, 100%, $F$9) + CHOOSE(CONTROL!$C$27, 0.0021, 0)</f>
        <v>29.110199999999999</v>
      </c>
      <c r="K130" s="10">
        <f>29.1081 * CHOOSE(CONTROL!$C$9, $D$9, 100%, $F$9) + CHOOSE(CONTROL!$C$27, 0.0021, 0)</f>
        <v>29.110199999999999</v>
      </c>
      <c r="L130" s="10"/>
    </row>
    <row r="131" spans="1:12" ht="15" x14ac:dyDescent="0.2">
      <c r="A131" s="16">
        <v>45261</v>
      </c>
      <c r="B131" s="10">
        <f>29.0061 * CHOOSE(CONTROL!$C$9, $D$9, 100%, $F$9) + CHOOSE(CONTROL!$C$27, 0.0021, 0)</f>
        <v>29.008199999999999</v>
      </c>
      <c r="C131" s="10">
        <f>28.5738 * CHOOSE(CONTROL!$C$9, $D$9, 100%, $F$9) + CHOOSE(CONTROL!$C$27, 0.0021, 0)</f>
        <v>28.575899999999997</v>
      </c>
      <c r="D131" s="10">
        <f>28.5738 * CHOOSE(CONTROL!$C$9, $D$9, 100%, $F$9) + CHOOSE(CONTROL!$C$27, 0.0021, 0)</f>
        <v>28.575899999999997</v>
      </c>
      <c r="E131" s="10">
        <f>28.4372 * CHOOSE(CONTROL!$C$9, $D$9, 100%, $F$9) + CHOOSE(CONTROL!$C$27, 0.0021, 0)</f>
        <v>28.439299999999999</v>
      </c>
      <c r="F131" s="10">
        <f>28.4372 * CHOOSE(CONTROL!$C$9, $D$9, 100%, $F$9) + CHOOSE(CONTROL!$C$27, 0.0021, 0)</f>
        <v>28.439299999999999</v>
      </c>
      <c r="G131" s="10">
        <f>28.7085 * CHOOSE(CONTROL!$C$9, $D$9, 100%, $F$9) + CHOOSE(CONTROL!$C$27, 0.0021, 0)</f>
        <v>28.710599999999999</v>
      </c>
      <c r="H131" s="10">
        <f>28.5738 * CHOOSE(CONTROL!$C$9, $D$9, 100%, $F$9) + CHOOSE(CONTROL!$C$27, 0.0021, 0)</f>
        <v>28.575899999999997</v>
      </c>
      <c r="I131" s="10">
        <f>28.5738 * CHOOSE(CONTROL!$C$9, $D$9, 100%, $F$9) + CHOOSE(CONTROL!$C$27, 0.0021, 0)</f>
        <v>28.575899999999997</v>
      </c>
      <c r="J131" s="10">
        <f>28.5738 * CHOOSE(CONTROL!$C$9, $D$9, 100%, $F$9) + CHOOSE(CONTROL!$C$27, 0.0021, 0)</f>
        <v>28.575899999999997</v>
      </c>
      <c r="K131" s="10">
        <f>28.5738 * CHOOSE(CONTROL!$C$9, $D$9, 100%, $F$9) + CHOOSE(CONTROL!$C$27, 0.0021, 0)</f>
        <v>28.575899999999997</v>
      </c>
      <c r="L131" s="10"/>
    </row>
    <row r="132" spans="1:12" ht="15" x14ac:dyDescent="0.2">
      <c r="A132" s="16">
        <v>45292</v>
      </c>
      <c r="B132" s="10">
        <f>29.2241 * CHOOSE(CONTROL!$C$9, $D$9, 100%, $F$9) + CHOOSE(CONTROL!$C$27, 0.0021, 0)</f>
        <v>29.226199999999999</v>
      </c>
      <c r="C132" s="10">
        <f>28.7919 * CHOOSE(CONTROL!$C$9, $D$9, 100%, $F$9) + CHOOSE(CONTROL!$C$27, 0.0021, 0)</f>
        <v>28.793999999999997</v>
      </c>
      <c r="D132" s="10">
        <f>28.7919 * CHOOSE(CONTROL!$C$9, $D$9, 100%, $F$9) + CHOOSE(CONTROL!$C$27, 0.0021, 0)</f>
        <v>28.793999999999997</v>
      </c>
      <c r="E132" s="10">
        <f>28.6552 * CHOOSE(CONTROL!$C$9, $D$9, 100%, $F$9) + CHOOSE(CONTROL!$C$27, 0.0021, 0)</f>
        <v>28.657299999999999</v>
      </c>
      <c r="F132" s="10">
        <f>28.6552 * CHOOSE(CONTROL!$C$9, $D$9, 100%, $F$9) + CHOOSE(CONTROL!$C$27, 0.0021, 0)</f>
        <v>28.657299999999999</v>
      </c>
      <c r="G132" s="10">
        <f>28.9266 * CHOOSE(CONTROL!$C$9, $D$9, 100%, $F$9) + CHOOSE(CONTROL!$C$27, 0.0021, 0)</f>
        <v>28.928699999999999</v>
      </c>
      <c r="H132" s="10">
        <f>28.7919 * CHOOSE(CONTROL!$C$9, $D$9, 100%, $F$9) + CHOOSE(CONTROL!$C$27, 0.0021, 0)</f>
        <v>28.793999999999997</v>
      </c>
      <c r="I132" s="10">
        <f>28.7919 * CHOOSE(CONTROL!$C$9, $D$9, 100%, $F$9) + CHOOSE(CONTROL!$C$27, 0.0021, 0)</f>
        <v>28.793999999999997</v>
      </c>
      <c r="J132" s="10">
        <f>28.7919 * CHOOSE(CONTROL!$C$9, $D$9, 100%, $F$9) + CHOOSE(CONTROL!$C$27, 0.0021, 0)</f>
        <v>28.793999999999997</v>
      </c>
      <c r="K132" s="10">
        <f>28.7919 * CHOOSE(CONTROL!$C$9, $D$9, 100%, $F$9) + CHOOSE(CONTROL!$C$27, 0.0021, 0)</f>
        <v>28.793999999999997</v>
      </c>
      <c r="L132" s="10"/>
    </row>
    <row r="133" spans="1:12" ht="15" x14ac:dyDescent="0.2">
      <c r="A133" s="16">
        <v>45323</v>
      </c>
      <c r="B133" s="10">
        <f>28.4623 * CHOOSE(CONTROL!$C$9, $D$9, 100%, $F$9) + CHOOSE(CONTROL!$C$27, 0.0021, 0)</f>
        <v>28.464399999999998</v>
      </c>
      <c r="C133" s="10">
        <f>28.0301 * CHOOSE(CONTROL!$C$9, $D$9, 100%, $F$9) + CHOOSE(CONTROL!$C$27, 0.0021, 0)</f>
        <v>28.0322</v>
      </c>
      <c r="D133" s="10">
        <f>28.0301 * CHOOSE(CONTROL!$C$9, $D$9, 100%, $F$9) + CHOOSE(CONTROL!$C$27, 0.0021, 0)</f>
        <v>28.0322</v>
      </c>
      <c r="E133" s="10">
        <f>27.8934 * CHOOSE(CONTROL!$C$9, $D$9, 100%, $F$9) + CHOOSE(CONTROL!$C$27, 0.0021, 0)</f>
        <v>27.895499999999998</v>
      </c>
      <c r="F133" s="10">
        <f>27.8934 * CHOOSE(CONTROL!$C$9, $D$9, 100%, $F$9) + CHOOSE(CONTROL!$C$27, 0.0021, 0)</f>
        <v>27.895499999999998</v>
      </c>
      <c r="G133" s="10">
        <f>28.1648 * CHOOSE(CONTROL!$C$9, $D$9, 100%, $F$9) + CHOOSE(CONTROL!$C$27, 0.0021, 0)</f>
        <v>28.166899999999998</v>
      </c>
      <c r="H133" s="10">
        <f>28.0301 * CHOOSE(CONTROL!$C$9, $D$9, 100%, $F$9) + CHOOSE(CONTROL!$C$27, 0.0021, 0)</f>
        <v>28.0322</v>
      </c>
      <c r="I133" s="10">
        <f>28.0301 * CHOOSE(CONTROL!$C$9, $D$9, 100%, $F$9) + CHOOSE(CONTROL!$C$27, 0.0021, 0)</f>
        <v>28.0322</v>
      </c>
      <c r="J133" s="10">
        <f>28.0301 * CHOOSE(CONTROL!$C$9, $D$9, 100%, $F$9) + CHOOSE(CONTROL!$C$27, 0.0021, 0)</f>
        <v>28.0322</v>
      </c>
      <c r="K133" s="10">
        <f>28.0301 * CHOOSE(CONTROL!$C$9, $D$9, 100%, $F$9) + CHOOSE(CONTROL!$C$27, 0.0021, 0)</f>
        <v>28.0322</v>
      </c>
      <c r="L133" s="10"/>
    </row>
    <row r="134" spans="1:12" ht="15" x14ac:dyDescent="0.2">
      <c r="A134" s="16">
        <v>45352</v>
      </c>
      <c r="B134" s="10">
        <f>28.1479 * CHOOSE(CONTROL!$C$9, $D$9, 100%, $F$9) + CHOOSE(CONTROL!$C$27, 0.0021, 0)</f>
        <v>28.15</v>
      </c>
      <c r="C134" s="10">
        <f>27.7156 * CHOOSE(CONTROL!$C$9, $D$9, 100%, $F$9) + CHOOSE(CONTROL!$C$27, 0.0021, 0)</f>
        <v>27.717699999999997</v>
      </c>
      <c r="D134" s="10">
        <f>27.7156 * CHOOSE(CONTROL!$C$9, $D$9, 100%, $F$9) + CHOOSE(CONTROL!$C$27, 0.0021, 0)</f>
        <v>27.717699999999997</v>
      </c>
      <c r="E134" s="10">
        <f>27.579 * CHOOSE(CONTROL!$C$9, $D$9, 100%, $F$9) + CHOOSE(CONTROL!$C$27, 0.0021, 0)</f>
        <v>27.581099999999999</v>
      </c>
      <c r="F134" s="10">
        <f>27.579 * CHOOSE(CONTROL!$C$9, $D$9, 100%, $F$9) + CHOOSE(CONTROL!$C$27, 0.0021, 0)</f>
        <v>27.581099999999999</v>
      </c>
      <c r="G134" s="10">
        <f>27.8503 * CHOOSE(CONTROL!$C$9, $D$9, 100%, $F$9) + CHOOSE(CONTROL!$C$27, 0.0021, 0)</f>
        <v>27.852399999999999</v>
      </c>
      <c r="H134" s="10">
        <f>27.7156 * CHOOSE(CONTROL!$C$9, $D$9, 100%, $F$9) + CHOOSE(CONTROL!$C$27, 0.0021, 0)</f>
        <v>27.717699999999997</v>
      </c>
      <c r="I134" s="10">
        <f>27.7156 * CHOOSE(CONTROL!$C$9, $D$9, 100%, $F$9) + CHOOSE(CONTROL!$C$27, 0.0021, 0)</f>
        <v>27.717699999999997</v>
      </c>
      <c r="J134" s="10">
        <f>27.7156 * CHOOSE(CONTROL!$C$9, $D$9, 100%, $F$9) + CHOOSE(CONTROL!$C$27, 0.0021, 0)</f>
        <v>27.717699999999997</v>
      </c>
      <c r="K134" s="10">
        <f>27.7156 * CHOOSE(CONTROL!$C$9, $D$9, 100%, $F$9) + CHOOSE(CONTROL!$C$27, 0.0021, 0)</f>
        <v>27.717699999999997</v>
      </c>
      <c r="L134" s="10"/>
    </row>
    <row r="135" spans="1:12" ht="15" x14ac:dyDescent="0.2">
      <c r="A135" s="16">
        <v>45383</v>
      </c>
      <c r="B135" s="10">
        <f>27.7724 * CHOOSE(CONTROL!$C$9, $D$9, 100%, $F$9) + CHOOSE(CONTROL!$C$27, 0.0021, 0)</f>
        <v>27.7745</v>
      </c>
      <c r="C135" s="10">
        <f>27.3401 * CHOOSE(CONTROL!$C$9, $D$9, 100%, $F$9) + CHOOSE(CONTROL!$C$27, 0.0021, 0)</f>
        <v>27.342199999999998</v>
      </c>
      <c r="D135" s="10">
        <f>27.3401 * CHOOSE(CONTROL!$C$9, $D$9, 100%, $F$9) + CHOOSE(CONTROL!$C$27, 0.0021, 0)</f>
        <v>27.342199999999998</v>
      </c>
      <c r="E135" s="10">
        <f>27.2035 * CHOOSE(CONTROL!$C$9, $D$9, 100%, $F$9) + CHOOSE(CONTROL!$C$27, 0.0021, 0)</f>
        <v>27.205599999999997</v>
      </c>
      <c r="F135" s="10">
        <f>27.2035 * CHOOSE(CONTROL!$C$9, $D$9, 100%, $F$9) + CHOOSE(CONTROL!$C$27, 0.0021, 0)</f>
        <v>27.205599999999997</v>
      </c>
      <c r="G135" s="10">
        <f>27.4749 * CHOOSE(CONTROL!$C$9, $D$9, 100%, $F$9) + CHOOSE(CONTROL!$C$27, 0.0021, 0)</f>
        <v>27.477</v>
      </c>
      <c r="H135" s="10">
        <f>27.3401 * CHOOSE(CONTROL!$C$9, $D$9, 100%, $F$9) + CHOOSE(CONTROL!$C$27, 0.0021, 0)</f>
        <v>27.342199999999998</v>
      </c>
      <c r="I135" s="10">
        <f>27.3401 * CHOOSE(CONTROL!$C$9, $D$9, 100%, $F$9) + CHOOSE(CONTROL!$C$27, 0.0021, 0)</f>
        <v>27.342199999999998</v>
      </c>
      <c r="J135" s="10">
        <f>27.3401 * CHOOSE(CONTROL!$C$9, $D$9, 100%, $F$9) + CHOOSE(CONTROL!$C$27, 0.0021, 0)</f>
        <v>27.342199999999998</v>
      </c>
      <c r="K135" s="10">
        <f>27.3401 * CHOOSE(CONTROL!$C$9, $D$9, 100%, $F$9) + CHOOSE(CONTROL!$C$27, 0.0021, 0)</f>
        <v>27.342199999999998</v>
      </c>
      <c r="L135" s="10"/>
    </row>
    <row r="136" spans="1:12" ht="15" x14ac:dyDescent="0.2">
      <c r="A136" s="16">
        <v>45413</v>
      </c>
      <c r="B136" s="10">
        <f>28.3075 * CHOOSE(CONTROL!$C$9, $D$9, 100%, $F$9) + CHOOSE(CONTROL!$C$27, 0.0021, 0)</f>
        <v>28.3096</v>
      </c>
      <c r="C136" s="10">
        <f>27.8752 * CHOOSE(CONTROL!$C$9, $D$9, 100%, $F$9) + CHOOSE(CONTROL!$C$27, 0.0021, 0)</f>
        <v>27.877299999999998</v>
      </c>
      <c r="D136" s="10">
        <f>27.8752 * CHOOSE(CONTROL!$C$9, $D$9, 100%, $F$9) + CHOOSE(CONTROL!$C$27, 0.0021, 0)</f>
        <v>27.877299999999998</v>
      </c>
      <c r="E136" s="10">
        <f>27.7386 * CHOOSE(CONTROL!$C$9, $D$9, 100%, $F$9) + CHOOSE(CONTROL!$C$27, 0.0021, 0)</f>
        <v>27.7407</v>
      </c>
      <c r="F136" s="10">
        <f>27.7386 * CHOOSE(CONTROL!$C$9, $D$9, 100%, $F$9) + CHOOSE(CONTROL!$C$27, 0.0021, 0)</f>
        <v>27.7407</v>
      </c>
      <c r="G136" s="10">
        <f>28.01 * CHOOSE(CONTROL!$C$9, $D$9, 100%, $F$9) + CHOOSE(CONTROL!$C$27, 0.0021, 0)</f>
        <v>28.0121</v>
      </c>
      <c r="H136" s="10">
        <f>27.8752 * CHOOSE(CONTROL!$C$9, $D$9, 100%, $F$9) + CHOOSE(CONTROL!$C$27, 0.0021, 0)</f>
        <v>27.877299999999998</v>
      </c>
      <c r="I136" s="10">
        <f>27.8752 * CHOOSE(CONTROL!$C$9, $D$9, 100%, $F$9) + CHOOSE(CONTROL!$C$27, 0.0021, 0)</f>
        <v>27.877299999999998</v>
      </c>
      <c r="J136" s="10">
        <f>27.8752 * CHOOSE(CONTROL!$C$9, $D$9, 100%, $F$9) + CHOOSE(CONTROL!$C$27, 0.0021, 0)</f>
        <v>27.877299999999998</v>
      </c>
      <c r="K136" s="10">
        <f>27.8752 * CHOOSE(CONTROL!$C$9, $D$9, 100%, $F$9) + CHOOSE(CONTROL!$C$27, 0.0021, 0)</f>
        <v>27.877299999999998</v>
      </c>
      <c r="L136" s="10"/>
    </row>
    <row r="137" spans="1:12" ht="15" x14ac:dyDescent="0.2">
      <c r="A137" s="16">
        <v>45444</v>
      </c>
      <c r="B137" s="10">
        <f>28.628 * CHOOSE(CONTROL!$C$9, $D$9, 100%, $F$9) + CHOOSE(CONTROL!$C$27, 0.0021, 0)</f>
        <v>28.630099999999999</v>
      </c>
      <c r="C137" s="10">
        <f>28.1957 * CHOOSE(CONTROL!$C$9, $D$9, 100%, $F$9) + CHOOSE(CONTROL!$C$27, 0.0021, 0)</f>
        <v>28.197799999999997</v>
      </c>
      <c r="D137" s="10">
        <f>28.1957 * CHOOSE(CONTROL!$C$9, $D$9, 100%, $F$9) + CHOOSE(CONTROL!$C$27, 0.0021, 0)</f>
        <v>28.197799999999997</v>
      </c>
      <c r="E137" s="10">
        <f>28.0591 * CHOOSE(CONTROL!$C$9, $D$9, 100%, $F$9) + CHOOSE(CONTROL!$C$27, 0.0021, 0)</f>
        <v>28.061199999999999</v>
      </c>
      <c r="F137" s="10">
        <f>28.0591 * CHOOSE(CONTROL!$C$9, $D$9, 100%, $F$9) + CHOOSE(CONTROL!$C$27, 0.0021, 0)</f>
        <v>28.061199999999999</v>
      </c>
      <c r="G137" s="10">
        <f>28.3305 * CHOOSE(CONTROL!$C$9, $D$9, 100%, $F$9) + CHOOSE(CONTROL!$C$27, 0.0021, 0)</f>
        <v>28.332599999999999</v>
      </c>
      <c r="H137" s="10">
        <f>28.1957 * CHOOSE(CONTROL!$C$9, $D$9, 100%, $F$9) + CHOOSE(CONTROL!$C$27, 0.0021, 0)</f>
        <v>28.197799999999997</v>
      </c>
      <c r="I137" s="10">
        <f>28.1957 * CHOOSE(CONTROL!$C$9, $D$9, 100%, $F$9) + CHOOSE(CONTROL!$C$27, 0.0021, 0)</f>
        <v>28.197799999999997</v>
      </c>
      <c r="J137" s="10">
        <f>28.1957 * CHOOSE(CONTROL!$C$9, $D$9, 100%, $F$9) + CHOOSE(CONTROL!$C$27, 0.0021, 0)</f>
        <v>28.197799999999997</v>
      </c>
      <c r="K137" s="10">
        <f>28.1957 * CHOOSE(CONTROL!$C$9, $D$9, 100%, $F$9) + CHOOSE(CONTROL!$C$27, 0.0021, 0)</f>
        <v>28.197799999999997</v>
      </c>
      <c r="L137" s="10"/>
    </row>
    <row r="138" spans="1:12" ht="15" x14ac:dyDescent="0.2">
      <c r="A138" s="16">
        <v>45474</v>
      </c>
      <c r="B138" s="10">
        <f>29.1567 * CHOOSE(CONTROL!$C$9, $D$9, 100%, $F$9) + CHOOSE(CONTROL!$C$27, 0.0021, 0)</f>
        <v>29.158799999999999</v>
      </c>
      <c r="C138" s="10">
        <f>28.7244 * CHOOSE(CONTROL!$C$9, $D$9, 100%, $F$9) + CHOOSE(CONTROL!$C$27, 0.0021, 0)</f>
        <v>28.726499999999998</v>
      </c>
      <c r="D138" s="10">
        <f>28.7244 * CHOOSE(CONTROL!$C$9, $D$9, 100%, $F$9) + CHOOSE(CONTROL!$C$27, 0.0021, 0)</f>
        <v>28.726499999999998</v>
      </c>
      <c r="E138" s="10">
        <f>28.5878 * CHOOSE(CONTROL!$C$9, $D$9, 100%, $F$9) + CHOOSE(CONTROL!$C$27, 0.0021, 0)</f>
        <v>28.5899</v>
      </c>
      <c r="F138" s="10">
        <f>28.5878 * CHOOSE(CONTROL!$C$9, $D$9, 100%, $F$9) + CHOOSE(CONTROL!$C$27, 0.0021, 0)</f>
        <v>28.5899</v>
      </c>
      <c r="G138" s="10">
        <f>28.8592 * CHOOSE(CONTROL!$C$9, $D$9, 100%, $F$9) + CHOOSE(CONTROL!$C$27, 0.0021, 0)</f>
        <v>28.8613</v>
      </c>
      <c r="H138" s="10">
        <f>28.7244 * CHOOSE(CONTROL!$C$9, $D$9, 100%, $F$9) + CHOOSE(CONTROL!$C$27, 0.0021, 0)</f>
        <v>28.726499999999998</v>
      </c>
      <c r="I138" s="10">
        <f>28.7244 * CHOOSE(CONTROL!$C$9, $D$9, 100%, $F$9) + CHOOSE(CONTROL!$C$27, 0.0021, 0)</f>
        <v>28.726499999999998</v>
      </c>
      <c r="J138" s="10">
        <f>28.7244 * CHOOSE(CONTROL!$C$9, $D$9, 100%, $F$9) + CHOOSE(CONTROL!$C$27, 0.0021, 0)</f>
        <v>28.726499999999998</v>
      </c>
      <c r="K138" s="10">
        <f>28.7244 * CHOOSE(CONTROL!$C$9, $D$9, 100%, $F$9) + CHOOSE(CONTROL!$C$27, 0.0021, 0)</f>
        <v>28.726499999999998</v>
      </c>
      <c r="L138" s="10"/>
    </row>
    <row r="139" spans="1:12" ht="15" x14ac:dyDescent="0.2">
      <c r="A139" s="16">
        <v>45505</v>
      </c>
      <c r="B139" s="10">
        <f>29.3181 * CHOOSE(CONTROL!$C$9, $D$9, 100%, $F$9) + CHOOSE(CONTROL!$C$27, 0.0021, 0)</f>
        <v>29.3202</v>
      </c>
      <c r="C139" s="10">
        <f>28.8858 * CHOOSE(CONTROL!$C$9, $D$9, 100%, $F$9) + CHOOSE(CONTROL!$C$27, 0.0021, 0)</f>
        <v>28.887899999999998</v>
      </c>
      <c r="D139" s="10">
        <f>28.8858 * CHOOSE(CONTROL!$C$9, $D$9, 100%, $F$9) + CHOOSE(CONTROL!$C$27, 0.0021, 0)</f>
        <v>28.887899999999998</v>
      </c>
      <c r="E139" s="10">
        <f>28.7492 * CHOOSE(CONTROL!$C$9, $D$9, 100%, $F$9) + CHOOSE(CONTROL!$C$27, 0.0021, 0)</f>
        <v>28.751299999999997</v>
      </c>
      <c r="F139" s="10">
        <f>28.7492 * CHOOSE(CONTROL!$C$9, $D$9, 100%, $F$9) + CHOOSE(CONTROL!$C$27, 0.0021, 0)</f>
        <v>28.751299999999997</v>
      </c>
      <c r="G139" s="10">
        <f>29.0205 * CHOOSE(CONTROL!$C$9, $D$9, 100%, $F$9) + CHOOSE(CONTROL!$C$27, 0.0021, 0)</f>
        <v>29.022599999999997</v>
      </c>
      <c r="H139" s="10">
        <f>28.8858 * CHOOSE(CONTROL!$C$9, $D$9, 100%, $F$9) + CHOOSE(CONTROL!$C$27, 0.0021, 0)</f>
        <v>28.887899999999998</v>
      </c>
      <c r="I139" s="10">
        <f>28.8858 * CHOOSE(CONTROL!$C$9, $D$9, 100%, $F$9) + CHOOSE(CONTROL!$C$27, 0.0021, 0)</f>
        <v>28.887899999999998</v>
      </c>
      <c r="J139" s="10">
        <f>28.8858 * CHOOSE(CONTROL!$C$9, $D$9, 100%, $F$9) + CHOOSE(CONTROL!$C$27, 0.0021, 0)</f>
        <v>28.887899999999998</v>
      </c>
      <c r="K139" s="10">
        <f>28.8858 * CHOOSE(CONTROL!$C$9, $D$9, 100%, $F$9) + CHOOSE(CONTROL!$C$27, 0.0021, 0)</f>
        <v>28.887899999999998</v>
      </c>
      <c r="L139" s="10"/>
    </row>
    <row r="140" spans="1:12" ht="15" x14ac:dyDescent="0.2">
      <c r="A140" s="16">
        <v>45536</v>
      </c>
      <c r="B140" s="10">
        <f>29.8676 * CHOOSE(CONTROL!$C$9, $D$9, 100%, $F$9) + CHOOSE(CONTROL!$C$27, 0.0021, 0)</f>
        <v>29.869699999999998</v>
      </c>
      <c r="C140" s="10">
        <f>29.4354 * CHOOSE(CONTROL!$C$9, $D$9, 100%, $F$9) + CHOOSE(CONTROL!$C$27, 0.0021, 0)</f>
        <v>29.4375</v>
      </c>
      <c r="D140" s="10">
        <f>29.4354 * CHOOSE(CONTROL!$C$9, $D$9, 100%, $F$9) + CHOOSE(CONTROL!$C$27, 0.0021, 0)</f>
        <v>29.4375</v>
      </c>
      <c r="E140" s="10">
        <f>29.2987 * CHOOSE(CONTROL!$C$9, $D$9, 100%, $F$9) + CHOOSE(CONTROL!$C$27, 0.0021, 0)</f>
        <v>29.300799999999999</v>
      </c>
      <c r="F140" s="10">
        <f>29.2987 * CHOOSE(CONTROL!$C$9, $D$9, 100%, $F$9) + CHOOSE(CONTROL!$C$27, 0.0021, 0)</f>
        <v>29.300799999999999</v>
      </c>
      <c r="G140" s="10">
        <f>29.5701 * CHOOSE(CONTROL!$C$9, $D$9, 100%, $F$9) + CHOOSE(CONTROL!$C$27, 0.0021, 0)</f>
        <v>29.572199999999999</v>
      </c>
      <c r="H140" s="10">
        <f>29.4354 * CHOOSE(CONTROL!$C$9, $D$9, 100%, $F$9) + CHOOSE(CONTROL!$C$27, 0.0021, 0)</f>
        <v>29.4375</v>
      </c>
      <c r="I140" s="10">
        <f>29.4354 * CHOOSE(CONTROL!$C$9, $D$9, 100%, $F$9) + CHOOSE(CONTROL!$C$27, 0.0021, 0)</f>
        <v>29.4375</v>
      </c>
      <c r="J140" s="10">
        <f>29.4354 * CHOOSE(CONTROL!$C$9, $D$9, 100%, $F$9) + CHOOSE(CONTROL!$C$27, 0.0021, 0)</f>
        <v>29.4375</v>
      </c>
      <c r="K140" s="10">
        <f>29.4354 * CHOOSE(CONTROL!$C$9, $D$9, 100%, $F$9) + CHOOSE(CONTROL!$C$27, 0.0021, 0)</f>
        <v>29.4375</v>
      </c>
      <c r="L140" s="10"/>
    </row>
    <row r="141" spans="1:12" ht="15" x14ac:dyDescent="0.2">
      <c r="A141" s="16">
        <v>45566</v>
      </c>
      <c r="B141" s="10">
        <f>30.5633 * CHOOSE(CONTROL!$C$9, $D$9, 100%, $F$9) + CHOOSE(CONTROL!$C$27, 0.0021, 0)</f>
        <v>30.5654</v>
      </c>
      <c r="C141" s="10">
        <f>30.131 * CHOOSE(CONTROL!$C$9, $D$9, 100%, $F$9) + CHOOSE(CONTROL!$C$27, 0.0021, 0)</f>
        <v>30.133099999999999</v>
      </c>
      <c r="D141" s="10">
        <f>30.131 * CHOOSE(CONTROL!$C$9, $D$9, 100%, $F$9) + CHOOSE(CONTROL!$C$27, 0.0021, 0)</f>
        <v>30.133099999999999</v>
      </c>
      <c r="E141" s="10">
        <f>29.9944 * CHOOSE(CONTROL!$C$9, $D$9, 100%, $F$9) + CHOOSE(CONTROL!$C$27, 0.0021, 0)</f>
        <v>29.996499999999997</v>
      </c>
      <c r="F141" s="10">
        <f>29.9944 * CHOOSE(CONTROL!$C$9, $D$9, 100%, $F$9) + CHOOSE(CONTROL!$C$27, 0.0021, 0)</f>
        <v>29.996499999999997</v>
      </c>
      <c r="G141" s="10">
        <f>30.2658 * CHOOSE(CONTROL!$C$9, $D$9, 100%, $F$9) + CHOOSE(CONTROL!$C$27, 0.0021, 0)</f>
        <v>30.267899999999997</v>
      </c>
      <c r="H141" s="10">
        <f>30.131 * CHOOSE(CONTROL!$C$9, $D$9, 100%, $F$9) + CHOOSE(CONTROL!$C$27, 0.0021, 0)</f>
        <v>30.133099999999999</v>
      </c>
      <c r="I141" s="10">
        <f>30.131 * CHOOSE(CONTROL!$C$9, $D$9, 100%, $F$9) + CHOOSE(CONTROL!$C$27, 0.0021, 0)</f>
        <v>30.133099999999999</v>
      </c>
      <c r="J141" s="10">
        <f>30.131 * CHOOSE(CONTROL!$C$9, $D$9, 100%, $F$9) + CHOOSE(CONTROL!$C$27, 0.0021, 0)</f>
        <v>30.133099999999999</v>
      </c>
      <c r="K141" s="10">
        <f>30.131 * CHOOSE(CONTROL!$C$9, $D$9, 100%, $F$9) + CHOOSE(CONTROL!$C$27, 0.0021, 0)</f>
        <v>30.133099999999999</v>
      </c>
      <c r="L141" s="10"/>
    </row>
    <row r="142" spans="1:12" ht="15" x14ac:dyDescent="0.2">
      <c r="A142" s="16">
        <v>45597</v>
      </c>
      <c r="B142" s="10">
        <f>30.6286 * CHOOSE(CONTROL!$C$9, $D$9, 100%, $F$9) + CHOOSE(CONTROL!$C$27, 0.0021, 0)</f>
        <v>30.630699999999997</v>
      </c>
      <c r="C142" s="10">
        <f>30.1963 * CHOOSE(CONTROL!$C$9, $D$9, 100%, $F$9) + CHOOSE(CONTROL!$C$27, 0.0021, 0)</f>
        <v>30.198399999999999</v>
      </c>
      <c r="D142" s="10">
        <f>30.1963 * CHOOSE(CONTROL!$C$9, $D$9, 100%, $F$9) + CHOOSE(CONTROL!$C$27, 0.0021, 0)</f>
        <v>30.198399999999999</v>
      </c>
      <c r="E142" s="10">
        <f>30.0597 * CHOOSE(CONTROL!$C$9, $D$9, 100%, $F$9) + CHOOSE(CONTROL!$C$27, 0.0021, 0)</f>
        <v>30.061799999999998</v>
      </c>
      <c r="F142" s="10">
        <f>30.0597 * CHOOSE(CONTROL!$C$9, $D$9, 100%, $F$9) + CHOOSE(CONTROL!$C$27, 0.0021, 0)</f>
        <v>30.061799999999998</v>
      </c>
      <c r="G142" s="10">
        <f>30.3311 * CHOOSE(CONTROL!$C$9, $D$9, 100%, $F$9) + CHOOSE(CONTROL!$C$27, 0.0021, 0)</f>
        <v>30.333199999999998</v>
      </c>
      <c r="H142" s="10">
        <f>30.1963 * CHOOSE(CONTROL!$C$9, $D$9, 100%, $F$9) + CHOOSE(CONTROL!$C$27, 0.0021, 0)</f>
        <v>30.198399999999999</v>
      </c>
      <c r="I142" s="10">
        <f>30.1963 * CHOOSE(CONTROL!$C$9, $D$9, 100%, $F$9) + CHOOSE(CONTROL!$C$27, 0.0021, 0)</f>
        <v>30.198399999999999</v>
      </c>
      <c r="J142" s="10">
        <f>30.1963 * CHOOSE(CONTROL!$C$9, $D$9, 100%, $F$9) + CHOOSE(CONTROL!$C$27, 0.0021, 0)</f>
        <v>30.198399999999999</v>
      </c>
      <c r="K142" s="10">
        <f>30.1963 * CHOOSE(CONTROL!$C$9, $D$9, 100%, $F$9) + CHOOSE(CONTROL!$C$27, 0.0021, 0)</f>
        <v>30.198399999999999</v>
      </c>
      <c r="L142" s="10"/>
    </row>
    <row r="143" spans="1:12" ht="15" x14ac:dyDescent="0.2">
      <c r="A143" s="16">
        <v>45627</v>
      </c>
      <c r="B143" s="10">
        <f>30.073 * CHOOSE(CONTROL!$C$9, $D$9, 100%, $F$9) + CHOOSE(CONTROL!$C$27, 0.0021, 0)</f>
        <v>30.075099999999999</v>
      </c>
      <c r="C143" s="10">
        <f>29.6407 * CHOOSE(CONTROL!$C$9, $D$9, 100%, $F$9) + CHOOSE(CONTROL!$C$27, 0.0021, 0)</f>
        <v>29.642799999999998</v>
      </c>
      <c r="D143" s="10">
        <f>29.6407 * CHOOSE(CONTROL!$C$9, $D$9, 100%, $F$9) + CHOOSE(CONTROL!$C$27, 0.0021, 0)</f>
        <v>29.642799999999998</v>
      </c>
      <c r="E143" s="10">
        <f>29.5041 * CHOOSE(CONTROL!$C$9, $D$9, 100%, $F$9) + CHOOSE(CONTROL!$C$27, 0.0021, 0)</f>
        <v>29.5062</v>
      </c>
      <c r="F143" s="10">
        <f>29.5041 * CHOOSE(CONTROL!$C$9, $D$9, 100%, $F$9) + CHOOSE(CONTROL!$C$27, 0.0021, 0)</f>
        <v>29.5062</v>
      </c>
      <c r="G143" s="10">
        <f>29.7755 * CHOOSE(CONTROL!$C$9, $D$9, 100%, $F$9) + CHOOSE(CONTROL!$C$27, 0.0021, 0)</f>
        <v>29.7776</v>
      </c>
      <c r="H143" s="10">
        <f>29.6407 * CHOOSE(CONTROL!$C$9, $D$9, 100%, $F$9) + CHOOSE(CONTROL!$C$27, 0.0021, 0)</f>
        <v>29.642799999999998</v>
      </c>
      <c r="I143" s="10">
        <f>29.6407 * CHOOSE(CONTROL!$C$9, $D$9, 100%, $F$9) + CHOOSE(CONTROL!$C$27, 0.0021, 0)</f>
        <v>29.642799999999998</v>
      </c>
      <c r="J143" s="10">
        <f>29.6407 * CHOOSE(CONTROL!$C$9, $D$9, 100%, $F$9) + CHOOSE(CONTROL!$C$27, 0.0021, 0)</f>
        <v>29.642799999999998</v>
      </c>
      <c r="K143" s="10">
        <f>29.6407 * CHOOSE(CONTROL!$C$9, $D$9, 100%, $F$9) + CHOOSE(CONTROL!$C$27, 0.0021, 0)</f>
        <v>29.642799999999998</v>
      </c>
      <c r="L143" s="10"/>
    </row>
    <row r="144" spans="1:12" ht="15" x14ac:dyDescent="0.2">
      <c r="A144" s="16">
        <v>45658</v>
      </c>
      <c r="B144" s="10">
        <f>30.2103 * CHOOSE(CONTROL!$C$9, $D$9, 100%, $F$9) + CHOOSE(CONTROL!$C$27, 0.0021, 0)</f>
        <v>30.212399999999999</v>
      </c>
      <c r="C144" s="10">
        <f>29.7781 * CHOOSE(CONTROL!$C$9, $D$9, 100%, $F$9) + CHOOSE(CONTROL!$C$27, 0.0021, 0)</f>
        <v>29.780199999999997</v>
      </c>
      <c r="D144" s="10">
        <f>29.7781 * CHOOSE(CONTROL!$C$9, $D$9, 100%, $F$9) + CHOOSE(CONTROL!$C$27, 0.0021, 0)</f>
        <v>29.780199999999997</v>
      </c>
      <c r="E144" s="10">
        <f>29.6414 * CHOOSE(CONTROL!$C$9, $D$9, 100%, $F$9) + CHOOSE(CONTROL!$C$27, 0.0021, 0)</f>
        <v>29.6435</v>
      </c>
      <c r="F144" s="10">
        <f>29.6414 * CHOOSE(CONTROL!$C$9, $D$9, 100%, $F$9) + CHOOSE(CONTROL!$C$27, 0.0021, 0)</f>
        <v>29.6435</v>
      </c>
      <c r="G144" s="10">
        <f>29.9128 * CHOOSE(CONTROL!$C$9, $D$9, 100%, $F$9) + CHOOSE(CONTROL!$C$27, 0.0021, 0)</f>
        <v>29.914899999999999</v>
      </c>
      <c r="H144" s="10">
        <f>29.7781 * CHOOSE(CONTROL!$C$9, $D$9, 100%, $F$9) + CHOOSE(CONTROL!$C$27, 0.0021, 0)</f>
        <v>29.780199999999997</v>
      </c>
      <c r="I144" s="10">
        <f>29.7781 * CHOOSE(CONTROL!$C$9, $D$9, 100%, $F$9) + CHOOSE(CONTROL!$C$27, 0.0021, 0)</f>
        <v>29.780199999999997</v>
      </c>
      <c r="J144" s="10">
        <f>29.7781 * CHOOSE(CONTROL!$C$9, $D$9, 100%, $F$9) + CHOOSE(CONTROL!$C$27, 0.0021, 0)</f>
        <v>29.780199999999997</v>
      </c>
      <c r="K144" s="10">
        <f>29.7781 * CHOOSE(CONTROL!$C$9, $D$9, 100%, $F$9) + CHOOSE(CONTROL!$C$27, 0.0021, 0)</f>
        <v>29.780199999999997</v>
      </c>
      <c r="L144" s="10"/>
    </row>
    <row r="145" spans="1:12" ht="15" x14ac:dyDescent="0.2">
      <c r="A145" s="16">
        <v>45689</v>
      </c>
      <c r="B145" s="10">
        <f>29.4206 * CHOOSE(CONTROL!$C$9, $D$9, 100%, $F$9) + CHOOSE(CONTROL!$C$27, 0.0021, 0)</f>
        <v>29.422699999999999</v>
      </c>
      <c r="C145" s="10">
        <f>28.9884 * CHOOSE(CONTROL!$C$9, $D$9, 100%, $F$9) + CHOOSE(CONTROL!$C$27, 0.0021, 0)</f>
        <v>28.990499999999997</v>
      </c>
      <c r="D145" s="10">
        <f>28.9884 * CHOOSE(CONTROL!$C$9, $D$9, 100%, $F$9) + CHOOSE(CONTROL!$C$27, 0.0021, 0)</f>
        <v>28.990499999999997</v>
      </c>
      <c r="E145" s="10">
        <f>28.8517 * CHOOSE(CONTROL!$C$9, $D$9, 100%, $F$9) + CHOOSE(CONTROL!$C$27, 0.0021, 0)</f>
        <v>28.8538</v>
      </c>
      <c r="F145" s="10">
        <f>28.8517 * CHOOSE(CONTROL!$C$9, $D$9, 100%, $F$9) + CHOOSE(CONTROL!$C$27, 0.0021, 0)</f>
        <v>28.8538</v>
      </c>
      <c r="G145" s="10">
        <f>29.1231 * CHOOSE(CONTROL!$C$9, $D$9, 100%, $F$9) + CHOOSE(CONTROL!$C$27, 0.0021, 0)</f>
        <v>29.1252</v>
      </c>
      <c r="H145" s="10">
        <f>28.9884 * CHOOSE(CONTROL!$C$9, $D$9, 100%, $F$9) + CHOOSE(CONTROL!$C$27, 0.0021, 0)</f>
        <v>28.990499999999997</v>
      </c>
      <c r="I145" s="10">
        <f>28.9884 * CHOOSE(CONTROL!$C$9, $D$9, 100%, $F$9) + CHOOSE(CONTROL!$C$27, 0.0021, 0)</f>
        <v>28.990499999999997</v>
      </c>
      <c r="J145" s="10">
        <f>28.9884 * CHOOSE(CONTROL!$C$9, $D$9, 100%, $F$9) + CHOOSE(CONTROL!$C$27, 0.0021, 0)</f>
        <v>28.990499999999997</v>
      </c>
      <c r="K145" s="10">
        <f>28.9884 * CHOOSE(CONTROL!$C$9, $D$9, 100%, $F$9) + CHOOSE(CONTROL!$C$27, 0.0021, 0)</f>
        <v>28.990499999999997</v>
      </c>
      <c r="L145" s="10"/>
    </row>
    <row r="146" spans="1:12" ht="15" x14ac:dyDescent="0.2">
      <c r="A146" s="16">
        <v>45717</v>
      </c>
      <c r="B146" s="10">
        <f>29.0947 * CHOOSE(CONTROL!$C$9, $D$9, 100%, $F$9) + CHOOSE(CONTROL!$C$27, 0.0021, 0)</f>
        <v>29.096799999999998</v>
      </c>
      <c r="C146" s="10">
        <f>28.6624 * CHOOSE(CONTROL!$C$9, $D$9, 100%, $F$9) + CHOOSE(CONTROL!$C$27, 0.0021, 0)</f>
        <v>28.6645</v>
      </c>
      <c r="D146" s="10">
        <f>28.6624 * CHOOSE(CONTROL!$C$9, $D$9, 100%, $F$9) + CHOOSE(CONTROL!$C$27, 0.0021, 0)</f>
        <v>28.6645</v>
      </c>
      <c r="E146" s="10">
        <f>28.5258 * CHOOSE(CONTROL!$C$9, $D$9, 100%, $F$9) + CHOOSE(CONTROL!$C$27, 0.0021, 0)</f>
        <v>28.527899999999999</v>
      </c>
      <c r="F146" s="10">
        <f>28.5258 * CHOOSE(CONTROL!$C$9, $D$9, 100%, $F$9) + CHOOSE(CONTROL!$C$27, 0.0021, 0)</f>
        <v>28.527899999999999</v>
      </c>
      <c r="G146" s="10">
        <f>28.7971 * CHOOSE(CONTROL!$C$9, $D$9, 100%, $F$9) + CHOOSE(CONTROL!$C$27, 0.0021, 0)</f>
        <v>28.799199999999999</v>
      </c>
      <c r="H146" s="10">
        <f>28.6624 * CHOOSE(CONTROL!$C$9, $D$9, 100%, $F$9) + CHOOSE(CONTROL!$C$27, 0.0021, 0)</f>
        <v>28.6645</v>
      </c>
      <c r="I146" s="10">
        <f>28.6624 * CHOOSE(CONTROL!$C$9, $D$9, 100%, $F$9) + CHOOSE(CONTROL!$C$27, 0.0021, 0)</f>
        <v>28.6645</v>
      </c>
      <c r="J146" s="10">
        <f>28.6624 * CHOOSE(CONTROL!$C$9, $D$9, 100%, $F$9) + CHOOSE(CONTROL!$C$27, 0.0021, 0)</f>
        <v>28.6645</v>
      </c>
      <c r="K146" s="10">
        <f>28.6624 * CHOOSE(CONTROL!$C$9, $D$9, 100%, $F$9) + CHOOSE(CONTROL!$C$27, 0.0021, 0)</f>
        <v>28.6645</v>
      </c>
      <c r="L146" s="10"/>
    </row>
    <row r="147" spans="1:12" ht="15" x14ac:dyDescent="0.2">
      <c r="A147" s="16">
        <v>45748</v>
      </c>
      <c r="B147" s="10">
        <f>28.7054 * CHOOSE(CONTROL!$C$9, $D$9, 100%, $F$9) + CHOOSE(CONTROL!$C$27, 0.0021, 0)</f>
        <v>28.7075</v>
      </c>
      <c r="C147" s="10">
        <f>28.2732 * CHOOSE(CONTROL!$C$9, $D$9, 100%, $F$9) + CHOOSE(CONTROL!$C$27, 0.0021, 0)</f>
        <v>28.275299999999998</v>
      </c>
      <c r="D147" s="10">
        <f>28.2732 * CHOOSE(CONTROL!$C$9, $D$9, 100%, $F$9) + CHOOSE(CONTROL!$C$27, 0.0021, 0)</f>
        <v>28.275299999999998</v>
      </c>
      <c r="E147" s="10">
        <f>28.1365 * CHOOSE(CONTROL!$C$9, $D$9, 100%, $F$9) + CHOOSE(CONTROL!$C$27, 0.0021, 0)</f>
        <v>28.1386</v>
      </c>
      <c r="F147" s="10">
        <f>28.1365 * CHOOSE(CONTROL!$C$9, $D$9, 100%, $F$9) + CHOOSE(CONTROL!$C$27, 0.0021, 0)</f>
        <v>28.1386</v>
      </c>
      <c r="G147" s="10">
        <f>28.4079 * CHOOSE(CONTROL!$C$9, $D$9, 100%, $F$9) + CHOOSE(CONTROL!$C$27, 0.0021, 0)</f>
        <v>28.41</v>
      </c>
      <c r="H147" s="10">
        <f>28.2732 * CHOOSE(CONTROL!$C$9, $D$9, 100%, $F$9) + CHOOSE(CONTROL!$C$27, 0.0021, 0)</f>
        <v>28.275299999999998</v>
      </c>
      <c r="I147" s="10">
        <f>28.2732 * CHOOSE(CONTROL!$C$9, $D$9, 100%, $F$9) + CHOOSE(CONTROL!$C$27, 0.0021, 0)</f>
        <v>28.275299999999998</v>
      </c>
      <c r="J147" s="10">
        <f>28.2732 * CHOOSE(CONTROL!$C$9, $D$9, 100%, $F$9) + CHOOSE(CONTROL!$C$27, 0.0021, 0)</f>
        <v>28.275299999999998</v>
      </c>
      <c r="K147" s="10">
        <f>28.2732 * CHOOSE(CONTROL!$C$9, $D$9, 100%, $F$9) + CHOOSE(CONTROL!$C$27, 0.0021, 0)</f>
        <v>28.275299999999998</v>
      </c>
      <c r="L147" s="10"/>
    </row>
    <row r="148" spans="1:12" ht="15" x14ac:dyDescent="0.2">
      <c r="A148" s="16">
        <v>45778</v>
      </c>
      <c r="B148" s="10">
        <f>29.2601 * CHOOSE(CONTROL!$C$9, $D$9, 100%, $F$9) + CHOOSE(CONTROL!$C$27, 0.0021, 0)</f>
        <v>29.2622</v>
      </c>
      <c r="C148" s="10">
        <f>28.8279 * CHOOSE(CONTROL!$C$9, $D$9, 100%, $F$9) + CHOOSE(CONTROL!$C$27, 0.0021, 0)</f>
        <v>28.83</v>
      </c>
      <c r="D148" s="10">
        <f>28.8279 * CHOOSE(CONTROL!$C$9, $D$9, 100%, $F$9) + CHOOSE(CONTROL!$C$27, 0.0021, 0)</f>
        <v>28.83</v>
      </c>
      <c r="E148" s="10">
        <f>28.6912 * CHOOSE(CONTROL!$C$9, $D$9, 100%, $F$9) + CHOOSE(CONTROL!$C$27, 0.0021, 0)</f>
        <v>28.693299999999997</v>
      </c>
      <c r="F148" s="10">
        <f>28.6912 * CHOOSE(CONTROL!$C$9, $D$9, 100%, $F$9) + CHOOSE(CONTROL!$C$27, 0.0021, 0)</f>
        <v>28.693299999999997</v>
      </c>
      <c r="G148" s="10">
        <f>28.9626 * CHOOSE(CONTROL!$C$9, $D$9, 100%, $F$9) + CHOOSE(CONTROL!$C$27, 0.0021, 0)</f>
        <v>28.964699999999997</v>
      </c>
      <c r="H148" s="10">
        <f>28.8279 * CHOOSE(CONTROL!$C$9, $D$9, 100%, $F$9) + CHOOSE(CONTROL!$C$27, 0.0021, 0)</f>
        <v>28.83</v>
      </c>
      <c r="I148" s="10">
        <f>28.8279 * CHOOSE(CONTROL!$C$9, $D$9, 100%, $F$9) + CHOOSE(CONTROL!$C$27, 0.0021, 0)</f>
        <v>28.83</v>
      </c>
      <c r="J148" s="10">
        <f>28.8279 * CHOOSE(CONTROL!$C$9, $D$9, 100%, $F$9) + CHOOSE(CONTROL!$C$27, 0.0021, 0)</f>
        <v>28.83</v>
      </c>
      <c r="K148" s="10">
        <f>28.8279 * CHOOSE(CONTROL!$C$9, $D$9, 100%, $F$9) + CHOOSE(CONTROL!$C$27, 0.0021, 0)</f>
        <v>28.83</v>
      </c>
      <c r="L148" s="10"/>
    </row>
    <row r="149" spans="1:12" ht="15" x14ac:dyDescent="0.2">
      <c r="A149" s="16">
        <v>45809</v>
      </c>
      <c r="B149" s="10">
        <f>29.5924 * CHOOSE(CONTROL!$C$9, $D$9, 100%, $F$9) + CHOOSE(CONTROL!$C$27, 0.0021, 0)</f>
        <v>29.5945</v>
      </c>
      <c r="C149" s="10">
        <f>29.1601 * CHOOSE(CONTROL!$C$9, $D$9, 100%, $F$9) + CHOOSE(CONTROL!$C$27, 0.0021, 0)</f>
        <v>29.162199999999999</v>
      </c>
      <c r="D149" s="10">
        <f>29.1601 * CHOOSE(CONTROL!$C$9, $D$9, 100%, $F$9) + CHOOSE(CONTROL!$C$27, 0.0021, 0)</f>
        <v>29.162199999999999</v>
      </c>
      <c r="E149" s="10">
        <f>29.0235 * CHOOSE(CONTROL!$C$9, $D$9, 100%, $F$9) + CHOOSE(CONTROL!$C$27, 0.0021, 0)</f>
        <v>29.025599999999997</v>
      </c>
      <c r="F149" s="10">
        <f>29.0235 * CHOOSE(CONTROL!$C$9, $D$9, 100%, $F$9) + CHOOSE(CONTROL!$C$27, 0.0021, 0)</f>
        <v>29.025599999999997</v>
      </c>
      <c r="G149" s="10">
        <f>29.2948 * CHOOSE(CONTROL!$C$9, $D$9, 100%, $F$9) + CHOOSE(CONTROL!$C$27, 0.0021, 0)</f>
        <v>29.296899999999997</v>
      </c>
      <c r="H149" s="10">
        <f>29.1601 * CHOOSE(CONTROL!$C$9, $D$9, 100%, $F$9) + CHOOSE(CONTROL!$C$27, 0.0021, 0)</f>
        <v>29.162199999999999</v>
      </c>
      <c r="I149" s="10">
        <f>29.1601 * CHOOSE(CONTROL!$C$9, $D$9, 100%, $F$9) + CHOOSE(CONTROL!$C$27, 0.0021, 0)</f>
        <v>29.162199999999999</v>
      </c>
      <c r="J149" s="10">
        <f>29.1601 * CHOOSE(CONTROL!$C$9, $D$9, 100%, $F$9) + CHOOSE(CONTROL!$C$27, 0.0021, 0)</f>
        <v>29.162199999999999</v>
      </c>
      <c r="K149" s="10">
        <f>29.1601 * CHOOSE(CONTROL!$C$9, $D$9, 100%, $F$9) + CHOOSE(CONTROL!$C$27, 0.0021, 0)</f>
        <v>29.162199999999999</v>
      </c>
      <c r="L149" s="10"/>
    </row>
    <row r="150" spans="1:12" ht="15" x14ac:dyDescent="0.2">
      <c r="A150" s="16">
        <v>45839</v>
      </c>
      <c r="B150" s="10">
        <f>30.1404 * CHOOSE(CONTROL!$C$9, $D$9, 100%, $F$9) + CHOOSE(CONTROL!$C$27, 0.0021, 0)</f>
        <v>30.142499999999998</v>
      </c>
      <c r="C150" s="10">
        <f>29.7082 * CHOOSE(CONTROL!$C$9, $D$9, 100%, $F$9) + CHOOSE(CONTROL!$C$27, 0.0021, 0)</f>
        <v>29.7103</v>
      </c>
      <c r="D150" s="10">
        <f>29.7082 * CHOOSE(CONTROL!$C$9, $D$9, 100%, $F$9) + CHOOSE(CONTROL!$C$27, 0.0021, 0)</f>
        <v>29.7103</v>
      </c>
      <c r="E150" s="10">
        <f>29.5715 * CHOOSE(CONTROL!$C$9, $D$9, 100%, $F$9) + CHOOSE(CONTROL!$C$27, 0.0021, 0)</f>
        <v>29.573599999999999</v>
      </c>
      <c r="F150" s="10">
        <f>29.5715 * CHOOSE(CONTROL!$C$9, $D$9, 100%, $F$9) + CHOOSE(CONTROL!$C$27, 0.0021, 0)</f>
        <v>29.573599999999999</v>
      </c>
      <c r="G150" s="10">
        <f>29.8429 * CHOOSE(CONTROL!$C$9, $D$9, 100%, $F$9) + CHOOSE(CONTROL!$C$27, 0.0021, 0)</f>
        <v>29.844999999999999</v>
      </c>
      <c r="H150" s="10">
        <f>29.7082 * CHOOSE(CONTROL!$C$9, $D$9, 100%, $F$9) + CHOOSE(CONTROL!$C$27, 0.0021, 0)</f>
        <v>29.7103</v>
      </c>
      <c r="I150" s="10">
        <f>29.7082 * CHOOSE(CONTROL!$C$9, $D$9, 100%, $F$9) + CHOOSE(CONTROL!$C$27, 0.0021, 0)</f>
        <v>29.7103</v>
      </c>
      <c r="J150" s="10">
        <f>29.7082 * CHOOSE(CONTROL!$C$9, $D$9, 100%, $F$9) + CHOOSE(CONTROL!$C$27, 0.0021, 0)</f>
        <v>29.7103</v>
      </c>
      <c r="K150" s="10">
        <f>29.7082 * CHOOSE(CONTROL!$C$9, $D$9, 100%, $F$9) + CHOOSE(CONTROL!$C$27, 0.0021, 0)</f>
        <v>29.7103</v>
      </c>
      <c r="L150" s="10"/>
    </row>
    <row r="151" spans="1:12" ht="15" x14ac:dyDescent="0.2">
      <c r="A151" s="16">
        <v>45870</v>
      </c>
      <c r="B151" s="10">
        <f>30.3077 * CHOOSE(CONTROL!$C$9, $D$9, 100%, $F$9) + CHOOSE(CONTROL!$C$27, 0.0021, 0)</f>
        <v>30.309799999999999</v>
      </c>
      <c r="C151" s="10">
        <f>29.8755 * CHOOSE(CONTROL!$C$9, $D$9, 100%, $F$9) + CHOOSE(CONTROL!$C$27, 0.0021, 0)</f>
        <v>29.877599999999997</v>
      </c>
      <c r="D151" s="10">
        <f>29.8755 * CHOOSE(CONTROL!$C$9, $D$9, 100%, $F$9) + CHOOSE(CONTROL!$C$27, 0.0021, 0)</f>
        <v>29.877599999999997</v>
      </c>
      <c r="E151" s="10">
        <f>29.7388 * CHOOSE(CONTROL!$C$9, $D$9, 100%, $F$9) + CHOOSE(CONTROL!$C$27, 0.0021, 0)</f>
        <v>29.7409</v>
      </c>
      <c r="F151" s="10">
        <f>29.7388 * CHOOSE(CONTROL!$C$9, $D$9, 100%, $F$9) + CHOOSE(CONTROL!$C$27, 0.0021, 0)</f>
        <v>29.7409</v>
      </c>
      <c r="G151" s="10">
        <f>30.0102 * CHOOSE(CONTROL!$C$9, $D$9, 100%, $F$9) + CHOOSE(CONTROL!$C$27, 0.0021, 0)</f>
        <v>30.0123</v>
      </c>
      <c r="H151" s="10">
        <f>29.8755 * CHOOSE(CONTROL!$C$9, $D$9, 100%, $F$9) + CHOOSE(CONTROL!$C$27, 0.0021, 0)</f>
        <v>29.877599999999997</v>
      </c>
      <c r="I151" s="10">
        <f>29.8755 * CHOOSE(CONTROL!$C$9, $D$9, 100%, $F$9) + CHOOSE(CONTROL!$C$27, 0.0021, 0)</f>
        <v>29.877599999999997</v>
      </c>
      <c r="J151" s="10">
        <f>29.8755 * CHOOSE(CONTROL!$C$9, $D$9, 100%, $F$9) + CHOOSE(CONTROL!$C$27, 0.0021, 0)</f>
        <v>29.877599999999997</v>
      </c>
      <c r="K151" s="10">
        <f>29.8755 * CHOOSE(CONTROL!$C$9, $D$9, 100%, $F$9) + CHOOSE(CONTROL!$C$27, 0.0021, 0)</f>
        <v>29.877599999999997</v>
      </c>
      <c r="L151" s="10"/>
    </row>
    <row r="152" spans="1:12" ht="15" x14ac:dyDescent="0.2">
      <c r="A152" s="16">
        <v>45901</v>
      </c>
      <c r="B152" s="10">
        <f>30.8774 * CHOOSE(CONTROL!$C$9, $D$9, 100%, $F$9) + CHOOSE(CONTROL!$C$27, 0.0021, 0)</f>
        <v>30.8795</v>
      </c>
      <c r="C152" s="10">
        <f>30.4452 * CHOOSE(CONTROL!$C$9, $D$9, 100%, $F$9) + CHOOSE(CONTROL!$C$27, 0.0021, 0)</f>
        <v>30.447299999999998</v>
      </c>
      <c r="D152" s="10">
        <f>30.4452 * CHOOSE(CONTROL!$C$9, $D$9, 100%, $F$9) + CHOOSE(CONTROL!$C$27, 0.0021, 0)</f>
        <v>30.447299999999998</v>
      </c>
      <c r="E152" s="10">
        <f>30.3085 * CHOOSE(CONTROL!$C$9, $D$9, 100%, $F$9) + CHOOSE(CONTROL!$C$27, 0.0021, 0)</f>
        <v>30.310599999999997</v>
      </c>
      <c r="F152" s="10">
        <f>30.3085 * CHOOSE(CONTROL!$C$9, $D$9, 100%, $F$9) + CHOOSE(CONTROL!$C$27, 0.0021, 0)</f>
        <v>30.310599999999997</v>
      </c>
      <c r="G152" s="10">
        <f>30.5799 * CHOOSE(CONTROL!$C$9, $D$9, 100%, $F$9) + CHOOSE(CONTROL!$C$27, 0.0021, 0)</f>
        <v>30.581999999999997</v>
      </c>
      <c r="H152" s="10">
        <f>30.4452 * CHOOSE(CONTROL!$C$9, $D$9, 100%, $F$9) + CHOOSE(CONTROL!$C$27, 0.0021, 0)</f>
        <v>30.447299999999998</v>
      </c>
      <c r="I152" s="10">
        <f>30.4452 * CHOOSE(CONTROL!$C$9, $D$9, 100%, $F$9) + CHOOSE(CONTROL!$C$27, 0.0021, 0)</f>
        <v>30.447299999999998</v>
      </c>
      <c r="J152" s="10">
        <f>30.4452 * CHOOSE(CONTROL!$C$9, $D$9, 100%, $F$9) + CHOOSE(CONTROL!$C$27, 0.0021, 0)</f>
        <v>30.447299999999998</v>
      </c>
      <c r="K152" s="10">
        <f>30.4452 * CHOOSE(CONTROL!$C$9, $D$9, 100%, $F$9) + CHOOSE(CONTROL!$C$27, 0.0021, 0)</f>
        <v>30.447299999999998</v>
      </c>
      <c r="L152" s="10"/>
    </row>
    <row r="153" spans="1:12" ht="15" x14ac:dyDescent="0.2">
      <c r="A153" s="16">
        <v>45931</v>
      </c>
      <c r="B153" s="10">
        <f>31.5985 * CHOOSE(CONTROL!$C$9, $D$9, 100%, $F$9) + CHOOSE(CONTROL!$C$27, 0.0021, 0)</f>
        <v>31.6006</v>
      </c>
      <c r="C153" s="10">
        <f>31.1663 * CHOOSE(CONTROL!$C$9, $D$9, 100%, $F$9) + CHOOSE(CONTROL!$C$27, 0.0021, 0)</f>
        <v>31.168399999999998</v>
      </c>
      <c r="D153" s="10">
        <f>31.1663 * CHOOSE(CONTROL!$C$9, $D$9, 100%, $F$9) + CHOOSE(CONTROL!$C$27, 0.0021, 0)</f>
        <v>31.168399999999998</v>
      </c>
      <c r="E153" s="10">
        <f>31.0296 * CHOOSE(CONTROL!$C$9, $D$9, 100%, $F$9) + CHOOSE(CONTROL!$C$27, 0.0021, 0)</f>
        <v>31.031699999999997</v>
      </c>
      <c r="F153" s="10">
        <f>31.0296 * CHOOSE(CONTROL!$C$9, $D$9, 100%, $F$9) + CHOOSE(CONTROL!$C$27, 0.0021, 0)</f>
        <v>31.031699999999997</v>
      </c>
      <c r="G153" s="10">
        <f>31.301 * CHOOSE(CONTROL!$C$9, $D$9, 100%, $F$9) + CHOOSE(CONTROL!$C$27, 0.0021, 0)</f>
        <v>31.303099999999997</v>
      </c>
      <c r="H153" s="10">
        <f>31.1663 * CHOOSE(CONTROL!$C$9, $D$9, 100%, $F$9) + CHOOSE(CONTROL!$C$27, 0.0021, 0)</f>
        <v>31.168399999999998</v>
      </c>
      <c r="I153" s="10">
        <f>31.1663 * CHOOSE(CONTROL!$C$9, $D$9, 100%, $F$9) + CHOOSE(CONTROL!$C$27, 0.0021, 0)</f>
        <v>31.168399999999998</v>
      </c>
      <c r="J153" s="10">
        <f>31.1663 * CHOOSE(CONTROL!$C$9, $D$9, 100%, $F$9) + CHOOSE(CONTROL!$C$27, 0.0021, 0)</f>
        <v>31.168399999999998</v>
      </c>
      <c r="K153" s="10">
        <f>31.1663 * CHOOSE(CONTROL!$C$9, $D$9, 100%, $F$9) + CHOOSE(CONTROL!$C$27, 0.0021, 0)</f>
        <v>31.168399999999998</v>
      </c>
      <c r="L153" s="10"/>
    </row>
    <row r="154" spans="1:12" ht="15" x14ac:dyDescent="0.2">
      <c r="A154" s="16">
        <v>45962</v>
      </c>
      <c r="B154" s="10">
        <f>31.6662 * CHOOSE(CONTROL!$C$9, $D$9, 100%, $F$9) + CHOOSE(CONTROL!$C$27, 0.0021, 0)</f>
        <v>31.668299999999999</v>
      </c>
      <c r="C154" s="10">
        <f>31.234 * CHOOSE(CONTROL!$C$9, $D$9, 100%, $F$9) + CHOOSE(CONTROL!$C$27, 0.0021, 0)</f>
        <v>31.2361</v>
      </c>
      <c r="D154" s="10">
        <f>31.234 * CHOOSE(CONTROL!$C$9, $D$9, 100%, $F$9) + CHOOSE(CONTROL!$C$27, 0.0021, 0)</f>
        <v>31.2361</v>
      </c>
      <c r="E154" s="10">
        <f>31.0973 * CHOOSE(CONTROL!$C$9, $D$9, 100%, $F$9) + CHOOSE(CONTROL!$C$27, 0.0021, 0)</f>
        <v>31.099399999999999</v>
      </c>
      <c r="F154" s="10">
        <f>31.0973 * CHOOSE(CONTROL!$C$9, $D$9, 100%, $F$9) + CHOOSE(CONTROL!$C$27, 0.0021, 0)</f>
        <v>31.099399999999999</v>
      </c>
      <c r="G154" s="10">
        <f>31.3687 * CHOOSE(CONTROL!$C$9, $D$9, 100%, $F$9) + CHOOSE(CONTROL!$C$27, 0.0021, 0)</f>
        <v>31.370799999999999</v>
      </c>
      <c r="H154" s="10">
        <f>31.234 * CHOOSE(CONTROL!$C$9, $D$9, 100%, $F$9) + CHOOSE(CONTROL!$C$27, 0.0021, 0)</f>
        <v>31.2361</v>
      </c>
      <c r="I154" s="10">
        <f>31.234 * CHOOSE(CONTROL!$C$9, $D$9, 100%, $F$9) + CHOOSE(CONTROL!$C$27, 0.0021, 0)</f>
        <v>31.2361</v>
      </c>
      <c r="J154" s="10">
        <f>31.234 * CHOOSE(CONTROL!$C$9, $D$9, 100%, $F$9) + CHOOSE(CONTROL!$C$27, 0.0021, 0)</f>
        <v>31.2361</v>
      </c>
      <c r="K154" s="10">
        <f>31.234 * CHOOSE(CONTROL!$C$9, $D$9, 100%, $F$9) + CHOOSE(CONTROL!$C$27, 0.0021, 0)</f>
        <v>31.2361</v>
      </c>
      <c r="L154" s="10"/>
    </row>
    <row r="155" spans="1:12" ht="15" x14ac:dyDescent="0.2">
      <c r="A155" s="16">
        <v>45992</v>
      </c>
      <c r="B155" s="10">
        <f>31.0903 * CHOOSE(CONTROL!$C$9, $D$9, 100%, $F$9) + CHOOSE(CONTROL!$C$27, 0.0021, 0)</f>
        <v>31.092399999999998</v>
      </c>
      <c r="C155" s="10">
        <f>30.658 * CHOOSE(CONTROL!$C$9, $D$9, 100%, $F$9) + CHOOSE(CONTROL!$C$27, 0.0021, 0)</f>
        <v>30.6601</v>
      </c>
      <c r="D155" s="10">
        <f>30.658 * CHOOSE(CONTROL!$C$9, $D$9, 100%, $F$9) + CHOOSE(CONTROL!$C$27, 0.0021, 0)</f>
        <v>30.6601</v>
      </c>
      <c r="E155" s="10">
        <f>30.5214 * CHOOSE(CONTROL!$C$9, $D$9, 100%, $F$9) + CHOOSE(CONTROL!$C$27, 0.0021, 0)</f>
        <v>30.523499999999999</v>
      </c>
      <c r="F155" s="10">
        <f>30.5214 * CHOOSE(CONTROL!$C$9, $D$9, 100%, $F$9) + CHOOSE(CONTROL!$C$27, 0.0021, 0)</f>
        <v>30.523499999999999</v>
      </c>
      <c r="G155" s="10">
        <f>30.7928 * CHOOSE(CONTROL!$C$9, $D$9, 100%, $F$9) + CHOOSE(CONTROL!$C$27, 0.0021, 0)</f>
        <v>30.794899999999998</v>
      </c>
      <c r="H155" s="10">
        <f>30.658 * CHOOSE(CONTROL!$C$9, $D$9, 100%, $F$9) + CHOOSE(CONTROL!$C$27, 0.0021, 0)</f>
        <v>30.6601</v>
      </c>
      <c r="I155" s="10">
        <f>30.658 * CHOOSE(CONTROL!$C$9, $D$9, 100%, $F$9) + CHOOSE(CONTROL!$C$27, 0.0021, 0)</f>
        <v>30.6601</v>
      </c>
      <c r="J155" s="10">
        <f>30.658 * CHOOSE(CONTROL!$C$9, $D$9, 100%, $F$9) + CHOOSE(CONTROL!$C$27, 0.0021, 0)</f>
        <v>30.6601</v>
      </c>
      <c r="K155" s="10">
        <f>30.658 * CHOOSE(CONTROL!$C$9, $D$9, 100%, $F$9) + CHOOSE(CONTROL!$C$27, 0.0021, 0)</f>
        <v>30.6601</v>
      </c>
      <c r="L155" s="10"/>
    </row>
    <row r="156" spans="1:12" ht="15" x14ac:dyDescent="0.2">
      <c r="A156" s="16">
        <v>46023</v>
      </c>
      <c r="B156" s="10">
        <f>31.3151 * CHOOSE(CONTROL!$C$9, $D$9, 100%, $F$9) + CHOOSE(CONTROL!$C$27, 0.0021, 0)</f>
        <v>31.3172</v>
      </c>
      <c r="C156" s="10">
        <f>30.8828 * CHOOSE(CONTROL!$C$9, $D$9, 100%, $F$9) + CHOOSE(CONTROL!$C$27, 0.0021, 0)</f>
        <v>30.884899999999998</v>
      </c>
      <c r="D156" s="10">
        <f>30.8828 * CHOOSE(CONTROL!$C$9, $D$9, 100%, $F$9) + CHOOSE(CONTROL!$C$27, 0.0021, 0)</f>
        <v>30.884899999999998</v>
      </c>
      <c r="E156" s="10">
        <f>30.7462 * CHOOSE(CONTROL!$C$9, $D$9, 100%, $F$9) + CHOOSE(CONTROL!$C$27, 0.0021, 0)</f>
        <v>30.7483</v>
      </c>
      <c r="F156" s="10">
        <f>30.7462 * CHOOSE(CONTROL!$C$9, $D$9, 100%, $F$9) + CHOOSE(CONTROL!$C$27, 0.0021, 0)</f>
        <v>30.7483</v>
      </c>
      <c r="G156" s="10">
        <f>31.0175 * CHOOSE(CONTROL!$C$9, $D$9, 100%, $F$9) + CHOOSE(CONTROL!$C$27, 0.0021, 0)</f>
        <v>31.019599999999997</v>
      </c>
      <c r="H156" s="10">
        <f>30.8828 * CHOOSE(CONTROL!$C$9, $D$9, 100%, $F$9) + CHOOSE(CONTROL!$C$27, 0.0021, 0)</f>
        <v>30.884899999999998</v>
      </c>
      <c r="I156" s="10">
        <f>30.8828 * CHOOSE(CONTROL!$C$9, $D$9, 100%, $F$9) + CHOOSE(CONTROL!$C$27, 0.0021, 0)</f>
        <v>30.884899999999998</v>
      </c>
      <c r="J156" s="10">
        <f>30.8828 * CHOOSE(CONTROL!$C$9, $D$9, 100%, $F$9) + CHOOSE(CONTROL!$C$27, 0.0021, 0)</f>
        <v>30.884899999999998</v>
      </c>
      <c r="K156" s="10">
        <f>30.8828 * CHOOSE(CONTROL!$C$9, $D$9, 100%, $F$9) + CHOOSE(CONTROL!$C$27, 0.0021, 0)</f>
        <v>30.884899999999998</v>
      </c>
      <c r="L156" s="10"/>
    </row>
    <row r="157" spans="1:12" ht="15" x14ac:dyDescent="0.2">
      <c r="A157" s="16">
        <v>46054</v>
      </c>
      <c r="B157" s="10">
        <f>30.4941 * CHOOSE(CONTROL!$C$9, $D$9, 100%, $F$9) + CHOOSE(CONTROL!$C$27, 0.0021, 0)</f>
        <v>30.496199999999998</v>
      </c>
      <c r="C157" s="10">
        <f>30.0619 * CHOOSE(CONTROL!$C$9, $D$9, 100%, $F$9) + CHOOSE(CONTROL!$C$27, 0.0021, 0)</f>
        <v>30.064</v>
      </c>
      <c r="D157" s="10">
        <f>30.0619 * CHOOSE(CONTROL!$C$9, $D$9, 100%, $F$9) + CHOOSE(CONTROL!$C$27, 0.0021, 0)</f>
        <v>30.064</v>
      </c>
      <c r="E157" s="10">
        <f>29.9252 * CHOOSE(CONTROL!$C$9, $D$9, 100%, $F$9) + CHOOSE(CONTROL!$C$27, 0.0021, 0)</f>
        <v>29.927299999999999</v>
      </c>
      <c r="F157" s="10">
        <f>29.9252 * CHOOSE(CONTROL!$C$9, $D$9, 100%, $F$9) + CHOOSE(CONTROL!$C$27, 0.0021, 0)</f>
        <v>29.927299999999999</v>
      </c>
      <c r="G157" s="10">
        <f>30.1966 * CHOOSE(CONTROL!$C$9, $D$9, 100%, $F$9) + CHOOSE(CONTROL!$C$27, 0.0021, 0)</f>
        <v>30.198699999999999</v>
      </c>
      <c r="H157" s="10">
        <f>30.0619 * CHOOSE(CONTROL!$C$9, $D$9, 100%, $F$9) + CHOOSE(CONTROL!$C$27, 0.0021, 0)</f>
        <v>30.064</v>
      </c>
      <c r="I157" s="10">
        <f>30.0619 * CHOOSE(CONTROL!$C$9, $D$9, 100%, $F$9) + CHOOSE(CONTROL!$C$27, 0.0021, 0)</f>
        <v>30.064</v>
      </c>
      <c r="J157" s="10">
        <f>30.0619 * CHOOSE(CONTROL!$C$9, $D$9, 100%, $F$9) + CHOOSE(CONTROL!$C$27, 0.0021, 0)</f>
        <v>30.064</v>
      </c>
      <c r="K157" s="10">
        <f>30.0619 * CHOOSE(CONTROL!$C$9, $D$9, 100%, $F$9) + CHOOSE(CONTROL!$C$27, 0.0021, 0)</f>
        <v>30.064</v>
      </c>
      <c r="L157" s="10"/>
    </row>
    <row r="158" spans="1:12" ht="15" x14ac:dyDescent="0.2">
      <c r="A158" s="16">
        <v>46082</v>
      </c>
      <c r="B158" s="10">
        <f>30.1553 * CHOOSE(CONTROL!$C$9, $D$9, 100%, $F$9) + CHOOSE(CONTROL!$C$27, 0.0021, 0)</f>
        <v>30.157399999999999</v>
      </c>
      <c r="C158" s="10">
        <f>29.723 * CHOOSE(CONTROL!$C$9, $D$9, 100%, $F$9) + CHOOSE(CONTROL!$C$27, 0.0021, 0)</f>
        <v>29.725099999999998</v>
      </c>
      <c r="D158" s="10">
        <f>29.723 * CHOOSE(CONTROL!$C$9, $D$9, 100%, $F$9) + CHOOSE(CONTROL!$C$27, 0.0021, 0)</f>
        <v>29.725099999999998</v>
      </c>
      <c r="E158" s="10">
        <f>29.5864 * CHOOSE(CONTROL!$C$9, $D$9, 100%, $F$9) + CHOOSE(CONTROL!$C$27, 0.0021, 0)</f>
        <v>29.5885</v>
      </c>
      <c r="F158" s="10">
        <f>29.5864 * CHOOSE(CONTROL!$C$9, $D$9, 100%, $F$9) + CHOOSE(CONTROL!$C$27, 0.0021, 0)</f>
        <v>29.5885</v>
      </c>
      <c r="G158" s="10">
        <f>29.8577 * CHOOSE(CONTROL!$C$9, $D$9, 100%, $F$9) + CHOOSE(CONTROL!$C$27, 0.0021, 0)</f>
        <v>29.8598</v>
      </c>
      <c r="H158" s="10">
        <f>29.723 * CHOOSE(CONTROL!$C$9, $D$9, 100%, $F$9) + CHOOSE(CONTROL!$C$27, 0.0021, 0)</f>
        <v>29.725099999999998</v>
      </c>
      <c r="I158" s="10">
        <f>29.723 * CHOOSE(CONTROL!$C$9, $D$9, 100%, $F$9) + CHOOSE(CONTROL!$C$27, 0.0021, 0)</f>
        <v>29.725099999999998</v>
      </c>
      <c r="J158" s="10">
        <f>29.723 * CHOOSE(CONTROL!$C$9, $D$9, 100%, $F$9) + CHOOSE(CONTROL!$C$27, 0.0021, 0)</f>
        <v>29.725099999999998</v>
      </c>
      <c r="K158" s="10">
        <f>29.723 * CHOOSE(CONTROL!$C$9, $D$9, 100%, $F$9) + CHOOSE(CONTROL!$C$27, 0.0021, 0)</f>
        <v>29.725099999999998</v>
      </c>
      <c r="L158" s="10"/>
    </row>
    <row r="159" spans="1:12" ht="15" x14ac:dyDescent="0.2">
      <c r="A159" s="16">
        <v>46113</v>
      </c>
      <c r="B159" s="10">
        <f>29.7506 * CHOOSE(CONTROL!$C$9, $D$9, 100%, $F$9) + CHOOSE(CONTROL!$C$27, 0.0021, 0)</f>
        <v>29.752699999999997</v>
      </c>
      <c r="C159" s="10">
        <f>29.3184 * CHOOSE(CONTROL!$C$9, $D$9, 100%, $F$9) + CHOOSE(CONTROL!$C$27, 0.0021, 0)</f>
        <v>29.320499999999999</v>
      </c>
      <c r="D159" s="10">
        <f>29.3184 * CHOOSE(CONTROL!$C$9, $D$9, 100%, $F$9) + CHOOSE(CONTROL!$C$27, 0.0021, 0)</f>
        <v>29.320499999999999</v>
      </c>
      <c r="E159" s="10">
        <f>29.1817 * CHOOSE(CONTROL!$C$9, $D$9, 100%, $F$9) + CHOOSE(CONTROL!$C$27, 0.0021, 0)</f>
        <v>29.183799999999998</v>
      </c>
      <c r="F159" s="10">
        <f>29.1817 * CHOOSE(CONTROL!$C$9, $D$9, 100%, $F$9) + CHOOSE(CONTROL!$C$27, 0.0021, 0)</f>
        <v>29.183799999999998</v>
      </c>
      <c r="G159" s="10">
        <f>29.4531 * CHOOSE(CONTROL!$C$9, $D$9, 100%, $F$9) + CHOOSE(CONTROL!$C$27, 0.0021, 0)</f>
        <v>29.455199999999998</v>
      </c>
      <c r="H159" s="10">
        <f>29.3184 * CHOOSE(CONTROL!$C$9, $D$9, 100%, $F$9) + CHOOSE(CONTROL!$C$27, 0.0021, 0)</f>
        <v>29.320499999999999</v>
      </c>
      <c r="I159" s="10">
        <f>29.3184 * CHOOSE(CONTROL!$C$9, $D$9, 100%, $F$9) + CHOOSE(CONTROL!$C$27, 0.0021, 0)</f>
        <v>29.320499999999999</v>
      </c>
      <c r="J159" s="10">
        <f>29.3184 * CHOOSE(CONTROL!$C$9, $D$9, 100%, $F$9) + CHOOSE(CONTROL!$C$27, 0.0021, 0)</f>
        <v>29.320499999999999</v>
      </c>
      <c r="K159" s="10">
        <f>29.3184 * CHOOSE(CONTROL!$C$9, $D$9, 100%, $F$9) + CHOOSE(CONTROL!$C$27, 0.0021, 0)</f>
        <v>29.320499999999999</v>
      </c>
      <c r="L159" s="10"/>
    </row>
    <row r="160" spans="1:12" ht="15" x14ac:dyDescent="0.2">
      <c r="A160" s="16">
        <v>46143</v>
      </c>
      <c r="B160" s="10">
        <f>30.3273 * CHOOSE(CONTROL!$C$9, $D$9, 100%, $F$9) + CHOOSE(CONTROL!$C$27, 0.0021, 0)</f>
        <v>30.3294</v>
      </c>
      <c r="C160" s="10">
        <f>29.895 * CHOOSE(CONTROL!$C$9, $D$9, 100%, $F$9) + CHOOSE(CONTROL!$C$27, 0.0021, 0)</f>
        <v>29.897099999999998</v>
      </c>
      <c r="D160" s="10">
        <f>29.895 * CHOOSE(CONTROL!$C$9, $D$9, 100%, $F$9) + CHOOSE(CONTROL!$C$27, 0.0021, 0)</f>
        <v>29.897099999999998</v>
      </c>
      <c r="E160" s="10">
        <f>29.7584 * CHOOSE(CONTROL!$C$9, $D$9, 100%, $F$9) + CHOOSE(CONTROL!$C$27, 0.0021, 0)</f>
        <v>29.7605</v>
      </c>
      <c r="F160" s="10">
        <f>29.7584 * CHOOSE(CONTROL!$C$9, $D$9, 100%, $F$9) + CHOOSE(CONTROL!$C$27, 0.0021, 0)</f>
        <v>29.7605</v>
      </c>
      <c r="G160" s="10">
        <f>30.0298 * CHOOSE(CONTROL!$C$9, $D$9, 100%, $F$9) + CHOOSE(CONTROL!$C$27, 0.0021, 0)</f>
        <v>30.0319</v>
      </c>
      <c r="H160" s="10">
        <f>29.895 * CHOOSE(CONTROL!$C$9, $D$9, 100%, $F$9) + CHOOSE(CONTROL!$C$27, 0.0021, 0)</f>
        <v>29.897099999999998</v>
      </c>
      <c r="I160" s="10">
        <f>29.895 * CHOOSE(CONTROL!$C$9, $D$9, 100%, $F$9) + CHOOSE(CONTROL!$C$27, 0.0021, 0)</f>
        <v>29.897099999999998</v>
      </c>
      <c r="J160" s="10">
        <f>29.895 * CHOOSE(CONTROL!$C$9, $D$9, 100%, $F$9) + CHOOSE(CONTROL!$C$27, 0.0021, 0)</f>
        <v>29.897099999999998</v>
      </c>
      <c r="K160" s="10">
        <f>29.895 * CHOOSE(CONTROL!$C$9, $D$9, 100%, $F$9) + CHOOSE(CONTROL!$C$27, 0.0021, 0)</f>
        <v>29.897099999999998</v>
      </c>
      <c r="L160" s="10"/>
    </row>
    <row r="161" spans="1:12" ht="15" x14ac:dyDescent="0.2">
      <c r="A161" s="16">
        <v>46174</v>
      </c>
      <c r="B161" s="10">
        <f>30.6727 * CHOOSE(CONTROL!$C$9, $D$9, 100%, $F$9) + CHOOSE(CONTROL!$C$27, 0.0021, 0)</f>
        <v>30.674799999999998</v>
      </c>
      <c r="C161" s="10">
        <f>30.2404 * CHOOSE(CONTROL!$C$9, $D$9, 100%, $F$9) + CHOOSE(CONTROL!$C$27, 0.0021, 0)</f>
        <v>30.2425</v>
      </c>
      <c r="D161" s="10">
        <f>30.2404 * CHOOSE(CONTROL!$C$9, $D$9, 100%, $F$9) + CHOOSE(CONTROL!$C$27, 0.0021, 0)</f>
        <v>30.2425</v>
      </c>
      <c r="E161" s="10">
        <f>30.1038 * CHOOSE(CONTROL!$C$9, $D$9, 100%, $F$9) + CHOOSE(CONTROL!$C$27, 0.0021, 0)</f>
        <v>30.105899999999998</v>
      </c>
      <c r="F161" s="10">
        <f>30.1038 * CHOOSE(CONTROL!$C$9, $D$9, 100%, $F$9) + CHOOSE(CONTROL!$C$27, 0.0021, 0)</f>
        <v>30.105899999999998</v>
      </c>
      <c r="G161" s="10">
        <f>30.3751 * CHOOSE(CONTROL!$C$9, $D$9, 100%, $F$9) + CHOOSE(CONTROL!$C$27, 0.0021, 0)</f>
        <v>30.377199999999998</v>
      </c>
      <c r="H161" s="10">
        <f>30.2404 * CHOOSE(CONTROL!$C$9, $D$9, 100%, $F$9) + CHOOSE(CONTROL!$C$27, 0.0021, 0)</f>
        <v>30.2425</v>
      </c>
      <c r="I161" s="10">
        <f>30.2404 * CHOOSE(CONTROL!$C$9, $D$9, 100%, $F$9) + CHOOSE(CONTROL!$C$27, 0.0021, 0)</f>
        <v>30.2425</v>
      </c>
      <c r="J161" s="10">
        <f>30.2404 * CHOOSE(CONTROL!$C$9, $D$9, 100%, $F$9) + CHOOSE(CONTROL!$C$27, 0.0021, 0)</f>
        <v>30.2425</v>
      </c>
      <c r="K161" s="10">
        <f>30.2404 * CHOOSE(CONTROL!$C$9, $D$9, 100%, $F$9) + CHOOSE(CONTROL!$C$27, 0.0021, 0)</f>
        <v>30.2425</v>
      </c>
      <c r="L161" s="10"/>
    </row>
    <row r="162" spans="1:12" ht="15" x14ac:dyDescent="0.2">
      <c r="A162" s="16">
        <v>46204</v>
      </c>
      <c r="B162" s="10">
        <f>31.2424 * CHOOSE(CONTROL!$C$9, $D$9, 100%, $F$9) + CHOOSE(CONTROL!$C$27, 0.0021, 0)</f>
        <v>31.244499999999999</v>
      </c>
      <c r="C162" s="10">
        <f>30.8102 * CHOOSE(CONTROL!$C$9, $D$9, 100%, $F$9) + CHOOSE(CONTROL!$C$27, 0.0021, 0)</f>
        <v>30.812299999999997</v>
      </c>
      <c r="D162" s="10">
        <f>30.8102 * CHOOSE(CONTROL!$C$9, $D$9, 100%, $F$9) + CHOOSE(CONTROL!$C$27, 0.0021, 0)</f>
        <v>30.812299999999997</v>
      </c>
      <c r="E162" s="10">
        <f>30.6735 * CHOOSE(CONTROL!$C$9, $D$9, 100%, $F$9) + CHOOSE(CONTROL!$C$27, 0.0021, 0)</f>
        <v>30.675599999999999</v>
      </c>
      <c r="F162" s="10">
        <f>30.6735 * CHOOSE(CONTROL!$C$9, $D$9, 100%, $F$9) + CHOOSE(CONTROL!$C$27, 0.0021, 0)</f>
        <v>30.675599999999999</v>
      </c>
      <c r="G162" s="10">
        <f>30.9449 * CHOOSE(CONTROL!$C$9, $D$9, 100%, $F$9) + CHOOSE(CONTROL!$C$27, 0.0021, 0)</f>
        <v>30.946999999999999</v>
      </c>
      <c r="H162" s="10">
        <f>30.8102 * CHOOSE(CONTROL!$C$9, $D$9, 100%, $F$9) + CHOOSE(CONTROL!$C$27, 0.0021, 0)</f>
        <v>30.812299999999997</v>
      </c>
      <c r="I162" s="10">
        <f>30.8102 * CHOOSE(CONTROL!$C$9, $D$9, 100%, $F$9) + CHOOSE(CONTROL!$C$27, 0.0021, 0)</f>
        <v>30.812299999999997</v>
      </c>
      <c r="J162" s="10">
        <f>30.8102 * CHOOSE(CONTROL!$C$9, $D$9, 100%, $F$9) + CHOOSE(CONTROL!$C$27, 0.0021, 0)</f>
        <v>30.812299999999997</v>
      </c>
      <c r="K162" s="10">
        <f>30.8102 * CHOOSE(CONTROL!$C$9, $D$9, 100%, $F$9) + CHOOSE(CONTROL!$C$27, 0.0021, 0)</f>
        <v>30.812299999999997</v>
      </c>
      <c r="L162" s="10"/>
    </row>
    <row r="163" spans="1:12" ht="15" x14ac:dyDescent="0.2">
      <c r="A163" s="16">
        <v>46235</v>
      </c>
      <c r="B163" s="10">
        <f>31.4163 * CHOOSE(CONTROL!$C$9, $D$9, 100%, $F$9) + CHOOSE(CONTROL!$C$27, 0.0021, 0)</f>
        <v>31.418399999999998</v>
      </c>
      <c r="C163" s="10">
        <f>30.9841 * CHOOSE(CONTROL!$C$9, $D$9, 100%, $F$9) + CHOOSE(CONTROL!$C$27, 0.0021, 0)</f>
        <v>30.9862</v>
      </c>
      <c r="D163" s="10">
        <f>30.9841 * CHOOSE(CONTROL!$C$9, $D$9, 100%, $F$9) + CHOOSE(CONTROL!$C$27, 0.0021, 0)</f>
        <v>30.9862</v>
      </c>
      <c r="E163" s="10">
        <f>30.8474 * CHOOSE(CONTROL!$C$9, $D$9, 100%, $F$9) + CHOOSE(CONTROL!$C$27, 0.0021, 0)</f>
        <v>30.849499999999999</v>
      </c>
      <c r="F163" s="10">
        <f>30.8474 * CHOOSE(CONTROL!$C$9, $D$9, 100%, $F$9) + CHOOSE(CONTROL!$C$27, 0.0021, 0)</f>
        <v>30.849499999999999</v>
      </c>
      <c r="G163" s="10">
        <f>31.1188 * CHOOSE(CONTROL!$C$9, $D$9, 100%, $F$9) + CHOOSE(CONTROL!$C$27, 0.0021, 0)</f>
        <v>31.120899999999999</v>
      </c>
      <c r="H163" s="10">
        <f>30.9841 * CHOOSE(CONTROL!$C$9, $D$9, 100%, $F$9) + CHOOSE(CONTROL!$C$27, 0.0021, 0)</f>
        <v>30.9862</v>
      </c>
      <c r="I163" s="10">
        <f>30.9841 * CHOOSE(CONTROL!$C$9, $D$9, 100%, $F$9) + CHOOSE(CONTROL!$C$27, 0.0021, 0)</f>
        <v>30.9862</v>
      </c>
      <c r="J163" s="10">
        <f>30.9841 * CHOOSE(CONTROL!$C$9, $D$9, 100%, $F$9) + CHOOSE(CONTROL!$C$27, 0.0021, 0)</f>
        <v>30.9862</v>
      </c>
      <c r="K163" s="10">
        <f>30.9841 * CHOOSE(CONTROL!$C$9, $D$9, 100%, $F$9) + CHOOSE(CONTROL!$C$27, 0.0021, 0)</f>
        <v>30.9862</v>
      </c>
      <c r="L163" s="10"/>
    </row>
    <row r="164" spans="1:12" ht="15" x14ac:dyDescent="0.2">
      <c r="A164" s="16">
        <v>46266</v>
      </c>
      <c r="B164" s="10">
        <f>32.0086 * CHOOSE(CONTROL!$C$9, $D$9, 100%, $F$9) + CHOOSE(CONTROL!$C$27, 0.0021, 0)</f>
        <v>32.0107</v>
      </c>
      <c r="C164" s="10">
        <f>31.5763 * CHOOSE(CONTROL!$C$9, $D$9, 100%, $F$9) + CHOOSE(CONTROL!$C$27, 0.0021, 0)</f>
        <v>31.578399999999998</v>
      </c>
      <c r="D164" s="10">
        <f>31.5763 * CHOOSE(CONTROL!$C$9, $D$9, 100%, $F$9) + CHOOSE(CONTROL!$C$27, 0.0021, 0)</f>
        <v>31.578399999999998</v>
      </c>
      <c r="E164" s="10">
        <f>31.4397 * CHOOSE(CONTROL!$C$9, $D$9, 100%, $F$9) + CHOOSE(CONTROL!$C$27, 0.0021, 0)</f>
        <v>31.441799999999997</v>
      </c>
      <c r="F164" s="10">
        <f>31.4397 * CHOOSE(CONTROL!$C$9, $D$9, 100%, $F$9) + CHOOSE(CONTROL!$C$27, 0.0021, 0)</f>
        <v>31.441799999999997</v>
      </c>
      <c r="G164" s="10">
        <f>31.711 * CHOOSE(CONTROL!$C$9, $D$9, 100%, $F$9) + CHOOSE(CONTROL!$C$27, 0.0021, 0)</f>
        <v>31.713099999999997</v>
      </c>
      <c r="H164" s="10">
        <f>31.5763 * CHOOSE(CONTROL!$C$9, $D$9, 100%, $F$9) + CHOOSE(CONTROL!$C$27, 0.0021, 0)</f>
        <v>31.578399999999998</v>
      </c>
      <c r="I164" s="10">
        <f>31.5763 * CHOOSE(CONTROL!$C$9, $D$9, 100%, $F$9) + CHOOSE(CONTROL!$C$27, 0.0021, 0)</f>
        <v>31.578399999999998</v>
      </c>
      <c r="J164" s="10">
        <f>31.5763 * CHOOSE(CONTROL!$C$9, $D$9, 100%, $F$9) + CHOOSE(CONTROL!$C$27, 0.0021, 0)</f>
        <v>31.578399999999998</v>
      </c>
      <c r="K164" s="10">
        <f>31.5763 * CHOOSE(CONTROL!$C$9, $D$9, 100%, $F$9) + CHOOSE(CONTROL!$C$27, 0.0021, 0)</f>
        <v>31.578399999999998</v>
      </c>
      <c r="L164" s="10"/>
    </row>
    <row r="165" spans="1:12" ht="15" x14ac:dyDescent="0.2">
      <c r="A165" s="16">
        <v>46296</v>
      </c>
      <c r="B165" s="10">
        <f>32.7582 * CHOOSE(CONTROL!$C$9, $D$9, 100%, $F$9) + CHOOSE(CONTROL!$C$27, 0.0021, 0)</f>
        <v>32.760300000000001</v>
      </c>
      <c r="C165" s="10">
        <f>32.326 * CHOOSE(CONTROL!$C$9, $D$9, 100%, $F$9) + CHOOSE(CONTROL!$C$27, 0.0021, 0)</f>
        <v>32.328099999999999</v>
      </c>
      <c r="D165" s="10">
        <f>32.326 * CHOOSE(CONTROL!$C$9, $D$9, 100%, $F$9) + CHOOSE(CONTROL!$C$27, 0.0021, 0)</f>
        <v>32.328099999999999</v>
      </c>
      <c r="E165" s="10">
        <f>32.1893 * CHOOSE(CONTROL!$C$9, $D$9, 100%, $F$9) + CHOOSE(CONTROL!$C$27, 0.0021, 0)</f>
        <v>32.191400000000002</v>
      </c>
      <c r="F165" s="10">
        <f>32.1893 * CHOOSE(CONTROL!$C$9, $D$9, 100%, $F$9) + CHOOSE(CONTROL!$C$27, 0.0021, 0)</f>
        <v>32.191400000000002</v>
      </c>
      <c r="G165" s="10">
        <f>32.4607 * CHOOSE(CONTROL!$C$9, $D$9, 100%, $F$9) + CHOOSE(CONTROL!$C$27, 0.0021, 0)</f>
        <v>32.462800000000001</v>
      </c>
      <c r="H165" s="10">
        <f>32.326 * CHOOSE(CONTROL!$C$9, $D$9, 100%, $F$9) + CHOOSE(CONTROL!$C$27, 0.0021, 0)</f>
        <v>32.328099999999999</v>
      </c>
      <c r="I165" s="10">
        <f>32.326 * CHOOSE(CONTROL!$C$9, $D$9, 100%, $F$9) + CHOOSE(CONTROL!$C$27, 0.0021, 0)</f>
        <v>32.328099999999999</v>
      </c>
      <c r="J165" s="10">
        <f>32.326 * CHOOSE(CONTROL!$C$9, $D$9, 100%, $F$9) + CHOOSE(CONTROL!$C$27, 0.0021, 0)</f>
        <v>32.328099999999999</v>
      </c>
      <c r="K165" s="10">
        <f>32.326 * CHOOSE(CONTROL!$C$9, $D$9, 100%, $F$9) + CHOOSE(CONTROL!$C$27, 0.0021, 0)</f>
        <v>32.328099999999999</v>
      </c>
      <c r="L165" s="10"/>
    </row>
    <row r="166" spans="1:12" ht="15" x14ac:dyDescent="0.2">
      <c r="A166" s="16">
        <v>46327</v>
      </c>
      <c r="B166" s="10">
        <f>32.8286 * CHOOSE(CONTROL!$C$9, $D$9, 100%, $F$9) + CHOOSE(CONTROL!$C$27, 0.0021, 0)</f>
        <v>32.8307</v>
      </c>
      <c r="C166" s="10">
        <f>32.3964 * CHOOSE(CONTROL!$C$9, $D$9, 100%, $F$9) + CHOOSE(CONTROL!$C$27, 0.0021, 0)</f>
        <v>32.398499999999999</v>
      </c>
      <c r="D166" s="10">
        <f>32.3964 * CHOOSE(CONTROL!$C$9, $D$9, 100%, $F$9) + CHOOSE(CONTROL!$C$27, 0.0021, 0)</f>
        <v>32.398499999999999</v>
      </c>
      <c r="E166" s="10">
        <f>32.2597 * CHOOSE(CONTROL!$C$9, $D$9, 100%, $F$9) + CHOOSE(CONTROL!$C$27, 0.0021, 0)</f>
        <v>32.261800000000001</v>
      </c>
      <c r="F166" s="10">
        <f>32.2597 * CHOOSE(CONTROL!$C$9, $D$9, 100%, $F$9) + CHOOSE(CONTROL!$C$27, 0.0021, 0)</f>
        <v>32.261800000000001</v>
      </c>
      <c r="G166" s="10">
        <f>32.5311 * CHOOSE(CONTROL!$C$9, $D$9, 100%, $F$9) + CHOOSE(CONTROL!$C$27, 0.0021, 0)</f>
        <v>32.533200000000001</v>
      </c>
      <c r="H166" s="10">
        <f>32.3964 * CHOOSE(CONTROL!$C$9, $D$9, 100%, $F$9) + CHOOSE(CONTROL!$C$27, 0.0021, 0)</f>
        <v>32.398499999999999</v>
      </c>
      <c r="I166" s="10">
        <f>32.3964 * CHOOSE(CONTROL!$C$9, $D$9, 100%, $F$9) + CHOOSE(CONTROL!$C$27, 0.0021, 0)</f>
        <v>32.398499999999999</v>
      </c>
      <c r="J166" s="10">
        <f>32.3964 * CHOOSE(CONTROL!$C$9, $D$9, 100%, $F$9) + CHOOSE(CONTROL!$C$27, 0.0021, 0)</f>
        <v>32.398499999999999</v>
      </c>
      <c r="K166" s="10">
        <f>32.3964 * CHOOSE(CONTROL!$C$9, $D$9, 100%, $F$9) + CHOOSE(CONTROL!$C$27, 0.0021, 0)</f>
        <v>32.398499999999999</v>
      </c>
      <c r="L166" s="10"/>
    </row>
    <row r="167" spans="1:12" ht="15" x14ac:dyDescent="0.2">
      <c r="A167" s="16">
        <v>46357</v>
      </c>
      <c r="B167" s="10">
        <f>32.2299 * CHOOSE(CONTROL!$C$9, $D$9, 100%, $F$9) + CHOOSE(CONTROL!$C$27, 0.0021, 0)</f>
        <v>32.231999999999999</v>
      </c>
      <c r="C167" s="10">
        <f>31.7976 * CHOOSE(CONTROL!$C$9, $D$9, 100%, $F$9) + CHOOSE(CONTROL!$C$27, 0.0021, 0)</f>
        <v>31.799699999999998</v>
      </c>
      <c r="D167" s="10">
        <f>31.7976 * CHOOSE(CONTROL!$C$9, $D$9, 100%, $F$9) + CHOOSE(CONTROL!$C$27, 0.0021, 0)</f>
        <v>31.799699999999998</v>
      </c>
      <c r="E167" s="10">
        <f>31.661 * CHOOSE(CONTROL!$C$9, $D$9, 100%, $F$9) + CHOOSE(CONTROL!$C$27, 0.0021, 0)</f>
        <v>31.6631</v>
      </c>
      <c r="F167" s="10">
        <f>31.661 * CHOOSE(CONTROL!$C$9, $D$9, 100%, $F$9) + CHOOSE(CONTROL!$C$27, 0.0021, 0)</f>
        <v>31.6631</v>
      </c>
      <c r="G167" s="10">
        <f>31.9323 * CHOOSE(CONTROL!$C$9, $D$9, 100%, $F$9) + CHOOSE(CONTROL!$C$27, 0.0021, 0)</f>
        <v>31.9344</v>
      </c>
      <c r="H167" s="10">
        <f>31.7976 * CHOOSE(CONTROL!$C$9, $D$9, 100%, $F$9) + CHOOSE(CONTROL!$C$27, 0.0021, 0)</f>
        <v>31.799699999999998</v>
      </c>
      <c r="I167" s="10">
        <f>31.7976 * CHOOSE(CONTROL!$C$9, $D$9, 100%, $F$9) + CHOOSE(CONTROL!$C$27, 0.0021, 0)</f>
        <v>31.799699999999998</v>
      </c>
      <c r="J167" s="10">
        <f>31.7976 * CHOOSE(CONTROL!$C$9, $D$9, 100%, $F$9) + CHOOSE(CONTROL!$C$27, 0.0021, 0)</f>
        <v>31.799699999999998</v>
      </c>
      <c r="K167" s="10">
        <f>31.7976 * CHOOSE(CONTROL!$C$9, $D$9, 100%, $F$9) + CHOOSE(CONTROL!$C$27, 0.0021, 0)</f>
        <v>31.799699999999998</v>
      </c>
      <c r="L167" s="10"/>
    </row>
    <row r="168" spans="1:12" ht="15" x14ac:dyDescent="0.2">
      <c r="A168" s="16">
        <v>46388</v>
      </c>
      <c r="B168" s="10">
        <f>32.3734 * CHOOSE(CONTROL!$C$9, $D$9, 100%, $F$9) + CHOOSE(CONTROL!$C$27, 0.0021, 0)</f>
        <v>32.375499999999995</v>
      </c>
      <c r="C168" s="10">
        <f>31.9412 * CHOOSE(CONTROL!$C$9, $D$9, 100%, $F$9) + CHOOSE(CONTROL!$C$27, 0.0021, 0)</f>
        <v>31.943299999999997</v>
      </c>
      <c r="D168" s="10">
        <f>31.9412 * CHOOSE(CONTROL!$C$9, $D$9, 100%, $F$9) + CHOOSE(CONTROL!$C$27, 0.0021, 0)</f>
        <v>31.943299999999997</v>
      </c>
      <c r="E168" s="10">
        <f>31.8045 * CHOOSE(CONTROL!$C$9, $D$9, 100%, $F$9) + CHOOSE(CONTROL!$C$27, 0.0021, 0)</f>
        <v>31.8066</v>
      </c>
      <c r="F168" s="10">
        <f>31.8045 * CHOOSE(CONTROL!$C$9, $D$9, 100%, $F$9) + CHOOSE(CONTROL!$C$27, 0.0021, 0)</f>
        <v>31.8066</v>
      </c>
      <c r="G168" s="10">
        <f>32.0759 * CHOOSE(CONTROL!$C$9, $D$9, 100%, $F$9) + CHOOSE(CONTROL!$C$27, 0.0021, 0)</f>
        <v>32.077999999999996</v>
      </c>
      <c r="H168" s="10">
        <f>31.9412 * CHOOSE(CONTROL!$C$9, $D$9, 100%, $F$9) + CHOOSE(CONTROL!$C$27, 0.0021, 0)</f>
        <v>31.943299999999997</v>
      </c>
      <c r="I168" s="10">
        <f>31.9412 * CHOOSE(CONTROL!$C$9, $D$9, 100%, $F$9) + CHOOSE(CONTROL!$C$27, 0.0021, 0)</f>
        <v>31.943299999999997</v>
      </c>
      <c r="J168" s="10">
        <f>31.9412 * CHOOSE(CONTROL!$C$9, $D$9, 100%, $F$9) + CHOOSE(CONTROL!$C$27, 0.0021, 0)</f>
        <v>31.943299999999997</v>
      </c>
      <c r="K168" s="10">
        <f>31.9412 * CHOOSE(CONTROL!$C$9, $D$9, 100%, $F$9) + CHOOSE(CONTROL!$C$27, 0.0021, 0)</f>
        <v>31.943299999999997</v>
      </c>
      <c r="L168" s="10"/>
    </row>
    <row r="169" spans="1:12" ht="15" x14ac:dyDescent="0.2">
      <c r="A169" s="16">
        <v>46419</v>
      </c>
      <c r="B169" s="10">
        <f>31.5226 * CHOOSE(CONTROL!$C$9, $D$9, 100%, $F$9) + CHOOSE(CONTROL!$C$27, 0.0021, 0)</f>
        <v>31.524699999999999</v>
      </c>
      <c r="C169" s="10">
        <f>31.0903 * CHOOSE(CONTROL!$C$9, $D$9, 100%, $F$9) + CHOOSE(CONTROL!$C$27, 0.0021, 0)</f>
        <v>31.092399999999998</v>
      </c>
      <c r="D169" s="10">
        <f>31.0903 * CHOOSE(CONTROL!$C$9, $D$9, 100%, $F$9) + CHOOSE(CONTROL!$C$27, 0.0021, 0)</f>
        <v>31.092399999999998</v>
      </c>
      <c r="E169" s="10">
        <f>30.9537 * CHOOSE(CONTROL!$C$9, $D$9, 100%, $F$9) + CHOOSE(CONTROL!$C$27, 0.0021, 0)</f>
        <v>30.9558</v>
      </c>
      <c r="F169" s="10">
        <f>30.9537 * CHOOSE(CONTROL!$C$9, $D$9, 100%, $F$9) + CHOOSE(CONTROL!$C$27, 0.0021, 0)</f>
        <v>30.9558</v>
      </c>
      <c r="G169" s="10">
        <f>31.225 * CHOOSE(CONTROL!$C$9, $D$9, 100%, $F$9) + CHOOSE(CONTROL!$C$27, 0.0021, 0)</f>
        <v>31.2271</v>
      </c>
      <c r="H169" s="10">
        <f>31.0903 * CHOOSE(CONTROL!$C$9, $D$9, 100%, $F$9) + CHOOSE(CONTROL!$C$27, 0.0021, 0)</f>
        <v>31.092399999999998</v>
      </c>
      <c r="I169" s="10">
        <f>31.0903 * CHOOSE(CONTROL!$C$9, $D$9, 100%, $F$9) + CHOOSE(CONTROL!$C$27, 0.0021, 0)</f>
        <v>31.092399999999998</v>
      </c>
      <c r="J169" s="10">
        <f>31.0903 * CHOOSE(CONTROL!$C$9, $D$9, 100%, $F$9) + CHOOSE(CONTROL!$C$27, 0.0021, 0)</f>
        <v>31.092399999999998</v>
      </c>
      <c r="K169" s="10">
        <f>31.0903 * CHOOSE(CONTROL!$C$9, $D$9, 100%, $F$9) + CHOOSE(CONTROL!$C$27, 0.0021, 0)</f>
        <v>31.092399999999998</v>
      </c>
      <c r="L169" s="10"/>
    </row>
    <row r="170" spans="1:12" ht="15" x14ac:dyDescent="0.2">
      <c r="A170" s="16">
        <v>46447</v>
      </c>
      <c r="B170" s="10">
        <f>31.1713 * CHOOSE(CONTROL!$C$9, $D$9, 100%, $F$9) + CHOOSE(CONTROL!$C$27, 0.0021, 0)</f>
        <v>31.173399999999997</v>
      </c>
      <c r="C170" s="10">
        <f>30.7391 * CHOOSE(CONTROL!$C$9, $D$9, 100%, $F$9) + CHOOSE(CONTROL!$C$27, 0.0021, 0)</f>
        <v>30.741199999999999</v>
      </c>
      <c r="D170" s="10">
        <f>30.7391 * CHOOSE(CONTROL!$C$9, $D$9, 100%, $F$9) + CHOOSE(CONTROL!$C$27, 0.0021, 0)</f>
        <v>30.741199999999999</v>
      </c>
      <c r="E170" s="10">
        <f>30.6024 * CHOOSE(CONTROL!$C$9, $D$9, 100%, $F$9) + CHOOSE(CONTROL!$C$27, 0.0021, 0)</f>
        <v>30.604499999999998</v>
      </c>
      <c r="F170" s="10">
        <f>30.6024 * CHOOSE(CONTROL!$C$9, $D$9, 100%, $F$9) + CHOOSE(CONTROL!$C$27, 0.0021, 0)</f>
        <v>30.604499999999998</v>
      </c>
      <c r="G170" s="10">
        <f>30.8738 * CHOOSE(CONTROL!$C$9, $D$9, 100%, $F$9) + CHOOSE(CONTROL!$C$27, 0.0021, 0)</f>
        <v>30.875899999999998</v>
      </c>
      <c r="H170" s="10">
        <f>30.7391 * CHOOSE(CONTROL!$C$9, $D$9, 100%, $F$9) + CHOOSE(CONTROL!$C$27, 0.0021, 0)</f>
        <v>30.741199999999999</v>
      </c>
      <c r="I170" s="10">
        <f>30.7391 * CHOOSE(CONTROL!$C$9, $D$9, 100%, $F$9) + CHOOSE(CONTROL!$C$27, 0.0021, 0)</f>
        <v>30.741199999999999</v>
      </c>
      <c r="J170" s="10">
        <f>30.7391 * CHOOSE(CONTROL!$C$9, $D$9, 100%, $F$9) + CHOOSE(CONTROL!$C$27, 0.0021, 0)</f>
        <v>30.741199999999999</v>
      </c>
      <c r="K170" s="10">
        <f>30.7391 * CHOOSE(CONTROL!$C$9, $D$9, 100%, $F$9) + CHOOSE(CONTROL!$C$27, 0.0021, 0)</f>
        <v>30.741199999999999</v>
      </c>
      <c r="L170" s="10"/>
    </row>
    <row r="171" spans="1:12" ht="15" x14ac:dyDescent="0.2">
      <c r="A171" s="16">
        <v>46478</v>
      </c>
      <c r="B171" s="10">
        <f>30.752 * CHOOSE(CONTROL!$C$9, $D$9, 100%, $F$9) + CHOOSE(CONTROL!$C$27, 0.0021, 0)</f>
        <v>30.754099999999998</v>
      </c>
      <c r="C171" s="10">
        <f>30.3197 * CHOOSE(CONTROL!$C$9, $D$9, 100%, $F$9) + CHOOSE(CONTROL!$C$27, 0.0021, 0)</f>
        <v>30.3218</v>
      </c>
      <c r="D171" s="10">
        <f>30.3197 * CHOOSE(CONTROL!$C$9, $D$9, 100%, $F$9) + CHOOSE(CONTROL!$C$27, 0.0021, 0)</f>
        <v>30.3218</v>
      </c>
      <c r="E171" s="10">
        <f>30.1831 * CHOOSE(CONTROL!$C$9, $D$9, 100%, $F$9) + CHOOSE(CONTROL!$C$27, 0.0021, 0)</f>
        <v>30.185199999999998</v>
      </c>
      <c r="F171" s="10">
        <f>30.1831 * CHOOSE(CONTROL!$C$9, $D$9, 100%, $F$9) + CHOOSE(CONTROL!$C$27, 0.0021, 0)</f>
        <v>30.185199999999998</v>
      </c>
      <c r="G171" s="10">
        <f>30.4544 * CHOOSE(CONTROL!$C$9, $D$9, 100%, $F$9) + CHOOSE(CONTROL!$C$27, 0.0021, 0)</f>
        <v>30.456499999999998</v>
      </c>
      <c r="H171" s="10">
        <f>30.3197 * CHOOSE(CONTROL!$C$9, $D$9, 100%, $F$9) + CHOOSE(CONTROL!$C$27, 0.0021, 0)</f>
        <v>30.3218</v>
      </c>
      <c r="I171" s="10">
        <f>30.3197 * CHOOSE(CONTROL!$C$9, $D$9, 100%, $F$9) + CHOOSE(CONTROL!$C$27, 0.0021, 0)</f>
        <v>30.3218</v>
      </c>
      <c r="J171" s="10">
        <f>30.3197 * CHOOSE(CONTROL!$C$9, $D$9, 100%, $F$9) + CHOOSE(CONTROL!$C$27, 0.0021, 0)</f>
        <v>30.3218</v>
      </c>
      <c r="K171" s="10">
        <f>30.3197 * CHOOSE(CONTROL!$C$9, $D$9, 100%, $F$9) + CHOOSE(CONTROL!$C$27, 0.0021, 0)</f>
        <v>30.3218</v>
      </c>
      <c r="L171" s="10"/>
    </row>
    <row r="172" spans="1:12" ht="15" x14ac:dyDescent="0.2">
      <c r="A172" s="16">
        <v>46508</v>
      </c>
      <c r="B172" s="10">
        <f>31.3496 * CHOOSE(CONTROL!$C$9, $D$9, 100%, $F$9) + CHOOSE(CONTROL!$C$27, 0.0021, 0)</f>
        <v>31.351699999999997</v>
      </c>
      <c r="C172" s="10">
        <f>30.9174 * CHOOSE(CONTROL!$C$9, $D$9, 100%, $F$9) + CHOOSE(CONTROL!$C$27, 0.0021, 0)</f>
        <v>30.919499999999999</v>
      </c>
      <c r="D172" s="10">
        <f>30.9174 * CHOOSE(CONTROL!$C$9, $D$9, 100%, $F$9) + CHOOSE(CONTROL!$C$27, 0.0021, 0)</f>
        <v>30.919499999999999</v>
      </c>
      <c r="E172" s="10">
        <f>30.7807 * CHOOSE(CONTROL!$C$9, $D$9, 100%, $F$9) + CHOOSE(CONTROL!$C$27, 0.0021, 0)</f>
        <v>30.782799999999998</v>
      </c>
      <c r="F172" s="10">
        <f>30.7807 * CHOOSE(CONTROL!$C$9, $D$9, 100%, $F$9) + CHOOSE(CONTROL!$C$27, 0.0021, 0)</f>
        <v>30.782799999999998</v>
      </c>
      <c r="G172" s="10">
        <f>31.0521 * CHOOSE(CONTROL!$C$9, $D$9, 100%, $F$9) + CHOOSE(CONTROL!$C$27, 0.0021, 0)</f>
        <v>31.054199999999998</v>
      </c>
      <c r="H172" s="10">
        <f>30.9174 * CHOOSE(CONTROL!$C$9, $D$9, 100%, $F$9) + CHOOSE(CONTROL!$C$27, 0.0021, 0)</f>
        <v>30.919499999999999</v>
      </c>
      <c r="I172" s="10">
        <f>30.9174 * CHOOSE(CONTROL!$C$9, $D$9, 100%, $F$9) + CHOOSE(CONTROL!$C$27, 0.0021, 0)</f>
        <v>30.919499999999999</v>
      </c>
      <c r="J172" s="10">
        <f>30.9174 * CHOOSE(CONTROL!$C$9, $D$9, 100%, $F$9) + CHOOSE(CONTROL!$C$27, 0.0021, 0)</f>
        <v>30.919499999999999</v>
      </c>
      <c r="K172" s="10">
        <f>30.9174 * CHOOSE(CONTROL!$C$9, $D$9, 100%, $F$9) + CHOOSE(CONTROL!$C$27, 0.0021, 0)</f>
        <v>30.919499999999999</v>
      </c>
      <c r="L172" s="10"/>
    </row>
    <row r="173" spans="1:12" ht="15" x14ac:dyDescent="0.2">
      <c r="A173" s="16">
        <v>46539</v>
      </c>
      <c r="B173" s="10">
        <f>31.7076 * CHOOSE(CONTROL!$C$9, $D$9, 100%, $F$9) + CHOOSE(CONTROL!$C$27, 0.0021, 0)</f>
        <v>31.709699999999998</v>
      </c>
      <c r="C173" s="10">
        <f>31.2754 * CHOOSE(CONTROL!$C$9, $D$9, 100%, $F$9) + CHOOSE(CONTROL!$C$27, 0.0021, 0)</f>
        <v>31.2775</v>
      </c>
      <c r="D173" s="10">
        <f>31.2754 * CHOOSE(CONTROL!$C$9, $D$9, 100%, $F$9) + CHOOSE(CONTROL!$C$27, 0.0021, 0)</f>
        <v>31.2775</v>
      </c>
      <c r="E173" s="10">
        <f>31.1387 * CHOOSE(CONTROL!$C$9, $D$9, 100%, $F$9) + CHOOSE(CONTROL!$C$27, 0.0021, 0)</f>
        <v>31.140799999999999</v>
      </c>
      <c r="F173" s="10">
        <f>31.1387 * CHOOSE(CONTROL!$C$9, $D$9, 100%, $F$9) + CHOOSE(CONTROL!$C$27, 0.0021, 0)</f>
        <v>31.140799999999999</v>
      </c>
      <c r="G173" s="10">
        <f>31.4101 * CHOOSE(CONTROL!$C$9, $D$9, 100%, $F$9) + CHOOSE(CONTROL!$C$27, 0.0021, 0)</f>
        <v>31.412199999999999</v>
      </c>
      <c r="H173" s="10">
        <f>31.2754 * CHOOSE(CONTROL!$C$9, $D$9, 100%, $F$9) + CHOOSE(CONTROL!$C$27, 0.0021, 0)</f>
        <v>31.2775</v>
      </c>
      <c r="I173" s="10">
        <f>31.2754 * CHOOSE(CONTROL!$C$9, $D$9, 100%, $F$9) + CHOOSE(CONTROL!$C$27, 0.0021, 0)</f>
        <v>31.2775</v>
      </c>
      <c r="J173" s="10">
        <f>31.2754 * CHOOSE(CONTROL!$C$9, $D$9, 100%, $F$9) + CHOOSE(CONTROL!$C$27, 0.0021, 0)</f>
        <v>31.2775</v>
      </c>
      <c r="K173" s="10">
        <f>31.2754 * CHOOSE(CONTROL!$C$9, $D$9, 100%, $F$9) + CHOOSE(CONTROL!$C$27, 0.0021, 0)</f>
        <v>31.2775</v>
      </c>
      <c r="L173" s="10"/>
    </row>
    <row r="174" spans="1:12" ht="15" x14ac:dyDescent="0.2">
      <c r="A174" s="16">
        <v>46569</v>
      </c>
      <c r="B174" s="10">
        <f>32.2981 * CHOOSE(CONTROL!$C$9, $D$9, 100%, $F$9) + CHOOSE(CONTROL!$C$27, 0.0021, 0)</f>
        <v>32.300199999999997</v>
      </c>
      <c r="C174" s="10">
        <f>31.8659 * CHOOSE(CONTROL!$C$9, $D$9, 100%, $F$9) + CHOOSE(CONTROL!$C$27, 0.0021, 0)</f>
        <v>31.867999999999999</v>
      </c>
      <c r="D174" s="10">
        <f>31.8659 * CHOOSE(CONTROL!$C$9, $D$9, 100%, $F$9) + CHOOSE(CONTROL!$C$27, 0.0021, 0)</f>
        <v>31.867999999999999</v>
      </c>
      <c r="E174" s="10">
        <f>31.7292 * CHOOSE(CONTROL!$C$9, $D$9, 100%, $F$9) + CHOOSE(CONTROL!$C$27, 0.0021, 0)</f>
        <v>31.731299999999997</v>
      </c>
      <c r="F174" s="10">
        <f>31.7292 * CHOOSE(CONTROL!$C$9, $D$9, 100%, $F$9) + CHOOSE(CONTROL!$C$27, 0.0021, 0)</f>
        <v>31.731299999999997</v>
      </c>
      <c r="G174" s="10">
        <f>32.0006 * CHOOSE(CONTROL!$C$9, $D$9, 100%, $F$9) + CHOOSE(CONTROL!$C$27, 0.0021, 0)</f>
        <v>32.002699999999997</v>
      </c>
      <c r="H174" s="10">
        <f>31.8659 * CHOOSE(CONTROL!$C$9, $D$9, 100%, $F$9) + CHOOSE(CONTROL!$C$27, 0.0021, 0)</f>
        <v>31.867999999999999</v>
      </c>
      <c r="I174" s="10">
        <f>31.8659 * CHOOSE(CONTROL!$C$9, $D$9, 100%, $F$9) + CHOOSE(CONTROL!$C$27, 0.0021, 0)</f>
        <v>31.867999999999999</v>
      </c>
      <c r="J174" s="10">
        <f>31.8659 * CHOOSE(CONTROL!$C$9, $D$9, 100%, $F$9) + CHOOSE(CONTROL!$C$27, 0.0021, 0)</f>
        <v>31.867999999999999</v>
      </c>
      <c r="K174" s="10">
        <f>31.8659 * CHOOSE(CONTROL!$C$9, $D$9, 100%, $F$9) + CHOOSE(CONTROL!$C$27, 0.0021, 0)</f>
        <v>31.867999999999999</v>
      </c>
      <c r="L174" s="10"/>
    </row>
    <row r="175" spans="1:12" ht="15" x14ac:dyDescent="0.2">
      <c r="A175" s="16">
        <v>46600</v>
      </c>
      <c r="B175" s="10">
        <f>32.4784 * CHOOSE(CONTROL!$C$9, $D$9, 100%, $F$9) + CHOOSE(CONTROL!$C$27, 0.0021, 0)</f>
        <v>32.480499999999999</v>
      </c>
      <c r="C175" s="10">
        <f>32.0461 * CHOOSE(CONTROL!$C$9, $D$9, 100%, $F$9) + CHOOSE(CONTROL!$C$27, 0.0021, 0)</f>
        <v>32.048200000000001</v>
      </c>
      <c r="D175" s="10">
        <f>32.0461 * CHOOSE(CONTROL!$C$9, $D$9, 100%, $F$9) + CHOOSE(CONTROL!$C$27, 0.0021, 0)</f>
        <v>32.048200000000001</v>
      </c>
      <c r="E175" s="10">
        <f>31.9095 * CHOOSE(CONTROL!$C$9, $D$9, 100%, $F$9) + CHOOSE(CONTROL!$C$27, 0.0021, 0)</f>
        <v>31.9116</v>
      </c>
      <c r="F175" s="10">
        <f>31.9095 * CHOOSE(CONTROL!$C$9, $D$9, 100%, $F$9) + CHOOSE(CONTROL!$C$27, 0.0021, 0)</f>
        <v>31.9116</v>
      </c>
      <c r="G175" s="10">
        <f>32.1809 * CHOOSE(CONTROL!$C$9, $D$9, 100%, $F$9) + CHOOSE(CONTROL!$C$27, 0.0021, 0)</f>
        <v>32.183</v>
      </c>
      <c r="H175" s="10">
        <f>32.0461 * CHOOSE(CONTROL!$C$9, $D$9, 100%, $F$9) + CHOOSE(CONTROL!$C$27, 0.0021, 0)</f>
        <v>32.048200000000001</v>
      </c>
      <c r="I175" s="10">
        <f>32.0461 * CHOOSE(CONTROL!$C$9, $D$9, 100%, $F$9) + CHOOSE(CONTROL!$C$27, 0.0021, 0)</f>
        <v>32.048200000000001</v>
      </c>
      <c r="J175" s="10">
        <f>32.0461 * CHOOSE(CONTROL!$C$9, $D$9, 100%, $F$9) + CHOOSE(CONTROL!$C$27, 0.0021, 0)</f>
        <v>32.048200000000001</v>
      </c>
      <c r="K175" s="10">
        <f>32.0461 * CHOOSE(CONTROL!$C$9, $D$9, 100%, $F$9) + CHOOSE(CONTROL!$C$27, 0.0021, 0)</f>
        <v>32.048200000000001</v>
      </c>
      <c r="L175" s="10"/>
    </row>
    <row r="176" spans="1:12" ht="15" x14ac:dyDescent="0.2">
      <c r="A176" s="16">
        <v>46631</v>
      </c>
      <c r="B176" s="10">
        <f>33.0922 * CHOOSE(CONTROL!$C$9, $D$9, 100%, $F$9) + CHOOSE(CONTROL!$C$27, 0.0021, 0)</f>
        <v>33.094299999999997</v>
      </c>
      <c r="C176" s="10">
        <f>32.66 * CHOOSE(CONTROL!$C$9, $D$9, 100%, $F$9) + CHOOSE(CONTROL!$C$27, 0.0021, 0)</f>
        <v>32.662099999999995</v>
      </c>
      <c r="D176" s="10">
        <f>32.66 * CHOOSE(CONTROL!$C$9, $D$9, 100%, $F$9) + CHOOSE(CONTROL!$C$27, 0.0021, 0)</f>
        <v>32.662099999999995</v>
      </c>
      <c r="E176" s="10">
        <f>32.5233 * CHOOSE(CONTROL!$C$9, $D$9, 100%, $F$9) + CHOOSE(CONTROL!$C$27, 0.0021, 0)</f>
        <v>32.525399999999998</v>
      </c>
      <c r="F176" s="10">
        <f>32.5233 * CHOOSE(CONTROL!$C$9, $D$9, 100%, $F$9) + CHOOSE(CONTROL!$C$27, 0.0021, 0)</f>
        <v>32.525399999999998</v>
      </c>
      <c r="G176" s="10">
        <f>32.7947 * CHOOSE(CONTROL!$C$9, $D$9, 100%, $F$9) + CHOOSE(CONTROL!$C$27, 0.0021, 0)</f>
        <v>32.796799999999998</v>
      </c>
      <c r="H176" s="10">
        <f>32.66 * CHOOSE(CONTROL!$C$9, $D$9, 100%, $F$9) + CHOOSE(CONTROL!$C$27, 0.0021, 0)</f>
        <v>32.662099999999995</v>
      </c>
      <c r="I176" s="10">
        <f>32.66 * CHOOSE(CONTROL!$C$9, $D$9, 100%, $F$9) + CHOOSE(CONTROL!$C$27, 0.0021, 0)</f>
        <v>32.662099999999995</v>
      </c>
      <c r="J176" s="10">
        <f>32.66 * CHOOSE(CONTROL!$C$9, $D$9, 100%, $F$9) + CHOOSE(CONTROL!$C$27, 0.0021, 0)</f>
        <v>32.662099999999995</v>
      </c>
      <c r="K176" s="10">
        <f>32.66 * CHOOSE(CONTROL!$C$9, $D$9, 100%, $F$9) + CHOOSE(CONTROL!$C$27, 0.0021, 0)</f>
        <v>32.662099999999995</v>
      </c>
      <c r="L176" s="10"/>
    </row>
    <row r="177" spans="1:12" ht="15" x14ac:dyDescent="0.2">
      <c r="A177" s="16">
        <v>46661</v>
      </c>
      <c r="B177" s="10">
        <f>33.8692 * CHOOSE(CONTROL!$C$9, $D$9, 100%, $F$9) + CHOOSE(CONTROL!$C$27, 0.0021, 0)</f>
        <v>33.871299999999998</v>
      </c>
      <c r="C177" s="10">
        <f>33.437 * CHOOSE(CONTROL!$C$9, $D$9, 100%, $F$9) + CHOOSE(CONTROL!$C$27, 0.0021, 0)</f>
        <v>33.439099999999996</v>
      </c>
      <c r="D177" s="10">
        <f>33.437 * CHOOSE(CONTROL!$C$9, $D$9, 100%, $F$9) + CHOOSE(CONTROL!$C$27, 0.0021, 0)</f>
        <v>33.439099999999996</v>
      </c>
      <c r="E177" s="10">
        <f>33.3003 * CHOOSE(CONTROL!$C$9, $D$9, 100%, $F$9) + CHOOSE(CONTROL!$C$27, 0.0021, 0)</f>
        <v>33.302399999999999</v>
      </c>
      <c r="F177" s="10">
        <f>33.3003 * CHOOSE(CONTROL!$C$9, $D$9, 100%, $F$9) + CHOOSE(CONTROL!$C$27, 0.0021, 0)</f>
        <v>33.302399999999999</v>
      </c>
      <c r="G177" s="10">
        <f>33.5717 * CHOOSE(CONTROL!$C$9, $D$9, 100%, $F$9) + CHOOSE(CONTROL!$C$27, 0.0021, 0)</f>
        <v>33.573799999999999</v>
      </c>
      <c r="H177" s="10">
        <f>33.437 * CHOOSE(CONTROL!$C$9, $D$9, 100%, $F$9) + CHOOSE(CONTROL!$C$27, 0.0021, 0)</f>
        <v>33.439099999999996</v>
      </c>
      <c r="I177" s="10">
        <f>33.437 * CHOOSE(CONTROL!$C$9, $D$9, 100%, $F$9) + CHOOSE(CONTROL!$C$27, 0.0021, 0)</f>
        <v>33.439099999999996</v>
      </c>
      <c r="J177" s="10">
        <f>33.437 * CHOOSE(CONTROL!$C$9, $D$9, 100%, $F$9) + CHOOSE(CONTROL!$C$27, 0.0021, 0)</f>
        <v>33.439099999999996</v>
      </c>
      <c r="K177" s="10">
        <f>33.437 * CHOOSE(CONTROL!$C$9, $D$9, 100%, $F$9) + CHOOSE(CONTROL!$C$27, 0.0021, 0)</f>
        <v>33.439099999999996</v>
      </c>
      <c r="L177" s="10"/>
    </row>
    <row r="178" spans="1:12" ht="15" x14ac:dyDescent="0.2">
      <c r="A178" s="16">
        <v>46692</v>
      </c>
      <c r="B178" s="10">
        <f>33.9422 * CHOOSE(CONTROL!$C$9, $D$9, 100%, $F$9) + CHOOSE(CONTROL!$C$27, 0.0021, 0)</f>
        <v>33.944299999999998</v>
      </c>
      <c r="C178" s="10">
        <f>33.5099 * CHOOSE(CONTROL!$C$9, $D$9, 100%, $F$9) + CHOOSE(CONTROL!$C$27, 0.0021, 0)</f>
        <v>33.512</v>
      </c>
      <c r="D178" s="10">
        <f>33.5099 * CHOOSE(CONTROL!$C$9, $D$9, 100%, $F$9) + CHOOSE(CONTROL!$C$27, 0.0021, 0)</f>
        <v>33.512</v>
      </c>
      <c r="E178" s="10">
        <f>33.3733 * CHOOSE(CONTROL!$C$9, $D$9, 100%, $F$9) + CHOOSE(CONTROL!$C$27, 0.0021, 0)</f>
        <v>33.375399999999999</v>
      </c>
      <c r="F178" s="10">
        <f>33.3733 * CHOOSE(CONTROL!$C$9, $D$9, 100%, $F$9) + CHOOSE(CONTROL!$C$27, 0.0021, 0)</f>
        <v>33.375399999999999</v>
      </c>
      <c r="G178" s="10">
        <f>33.6446 * CHOOSE(CONTROL!$C$9, $D$9, 100%, $F$9) + CHOOSE(CONTROL!$C$27, 0.0021, 0)</f>
        <v>33.646699999999996</v>
      </c>
      <c r="H178" s="10">
        <f>33.5099 * CHOOSE(CONTROL!$C$9, $D$9, 100%, $F$9) + CHOOSE(CONTROL!$C$27, 0.0021, 0)</f>
        <v>33.512</v>
      </c>
      <c r="I178" s="10">
        <f>33.5099 * CHOOSE(CONTROL!$C$9, $D$9, 100%, $F$9) + CHOOSE(CONTROL!$C$27, 0.0021, 0)</f>
        <v>33.512</v>
      </c>
      <c r="J178" s="10">
        <f>33.5099 * CHOOSE(CONTROL!$C$9, $D$9, 100%, $F$9) + CHOOSE(CONTROL!$C$27, 0.0021, 0)</f>
        <v>33.512</v>
      </c>
      <c r="K178" s="10">
        <f>33.5099 * CHOOSE(CONTROL!$C$9, $D$9, 100%, $F$9) + CHOOSE(CONTROL!$C$27, 0.0021, 0)</f>
        <v>33.512</v>
      </c>
      <c r="L178" s="10"/>
    </row>
    <row r="179" spans="1:12" ht="15" x14ac:dyDescent="0.2">
      <c r="A179" s="16">
        <v>46722</v>
      </c>
      <c r="B179" s="10">
        <f>33.3216 * CHOOSE(CONTROL!$C$9, $D$9, 100%, $F$9) + CHOOSE(CONTROL!$C$27, 0.0021, 0)</f>
        <v>33.323699999999995</v>
      </c>
      <c r="C179" s="10">
        <f>32.8893 * CHOOSE(CONTROL!$C$9, $D$9, 100%, $F$9) + CHOOSE(CONTROL!$C$27, 0.0021, 0)</f>
        <v>32.891399999999997</v>
      </c>
      <c r="D179" s="10">
        <f>32.8893 * CHOOSE(CONTROL!$C$9, $D$9, 100%, $F$9) + CHOOSE(CONTROL!$C$27, 0.0021, 0)</f>
        <v>32.891399999999997</v>
      </c>
      <c r="E179" s="10">
        <f>32.7527 * CHOOSE(CONTROL!$C$9, $D$9, 100%, $F$9) + CHOOSE(CONTROL!$C$27, 0.0021, 0)</f>
        <v>32.754799999999996</v>
      </c>
      <c r="F179" s="10">
        <f>32.7527 * CHOOSE(CONTROL!$C$9, $D$9, 100%, $F$9) + CHOOSE(CONTROL!$C$27, 0.0021, 0)</f>
        <v>32.754799999999996</v>
      </c>
      <c r="G179" s="10">
        <f>33.0241 * CHOOSE(CONTROL!$C$9, $D$9, 100%, $F$9) + CHOOSE(CONTROL!$C$27, 0.0021, 0)</f>
        <v>33.026199999999996</v>
      </c>
      <c r="H179" s="10">
        <f>32.8893 * CHOOSE(CONTROL!$C$9, $D$9, 100%, $F$9) + CHOOSE(CONTROL!$C$27, 0.0021, 0)</f>
        <v>32.891399999999997</v>
      </c>
      <c r="I179" s="10">
        <f>32.8893 * CHOOSE(CONTROL!$C$9, $D$9, 100%, $F$9) + CHOOSE(CONTROL!$C$27, 0.0021, 0)</f>
        <v>32.891399999999997</v>
      </c>
      <c r="J179" s="10">
        <f>32.8893 * CHOOSE(CONTROL!$C$9, $D$9, 100%, $F$9) + CHOOSE(CONTROL!$C$27, 0.0021, 0)</f>
        <v>32.891399999999997</v>
      </c>
      <c r="K179" s="10">
        <f>32.8893 * CHOOSE(CONTROL!$C$9, $D$9, 100%, $F$9) + CHOOSE(CONTROL!$C$27, 0.0021, 0)</f>
        <v>32.891399999999997</v>
      </c>
      <c r="L179" s="10"/>
    </row>
    <row r="180" spans="1:12" ht="15" x14ac:dyDescent="0.2">
      <c r="A180" s="16">
        <v>46753</v>
      </c>
      <c r="B180" s="10">
        <f>33.4267 * CHOOSE(CONTROL!$C$9, $D$9, 100%, $F$9) + CHOOSE(CONTROL!$C$27, 0.0021, 0)</f>
        <v>33.428799999999995</v>
      </c>
      <c r="C180" s="10">
        <f>32.9944 * CHOOSE(CONTROL!$C$9, $D$9, 100%, $F$9) + CHOOSE(CONTROL!$C$27, 0.0021, 0)</f>
        <v>32.996499999999997</v>
      </c>
      <c r="D180" s="10">
        <f>32.9944 * CHOOSE(CONTROL!$C$9, $D$9, 100%, $F$9) + CHOOSE(CONTROL!$C$27, 0.0021, 0)</f>
        <v>32.996499999999997</v>
      </c>
      <c r="E180" s="10">
        <f>32.8577 * CHOOSE(CONTROL!$C$9, $D$9, 100%, $F$9) + CHOOSE(CONTROL!$C$27, 0.0021, 0)</f>
        <v>32.8598</v>
      </c>
      <c r="F180" s="10">
        <f>32.8577 * CHOOSE(CONTROL!$C$9, $D$9, 100%, $F$9) + CHOOSE(CONTROL!$C$27, 0.0021, 0)</f>
        <v>32.8598</v>
      </c>
      <c r="G180" s="10">
        <f>33.1291 * CHOOSE(CONTROL!$C$9, $D$9, 100%, $F$9) + CHOOSE(CONTROL!$C$27, 0.0021, 0)</f>
        <v>33.1312</v>
      </c>
      <c r="H180" s="10">
        <f>32.9944 * CHOOSE(CONTROL!$C$9, $D$9, 100%, $F$9) + CHOOSE(CONTROL!$C$27, 0.0021, 0)</f>
        <v>32.996499999999997</v>
      </c>
      <c r="I180" s="10">
        <f>32.9944 * CHOOSE(CONTROL!$C$9, $D$9, 100%, $F$9) + CHOOSE(CONTROL!$C$27, 0.0021, 0)</f>
        <v>32.996499999999997</v>
      </c>
      <c r="J180" s="10">
        <f>32.9944 * CHOOSE(CONTROL!$C$9, $D$9, 100%, $F$9) + CHOOSE(CONTROL!$C$27, 0.0021, 0)</f>
        <v>32.996499999999997</v>
      </c>
      <c r="K180" s="10">
        <f>32.9944 * CHOOSE(CONTROL!$C$9, $D$9, 100%, $F$9) + CHOOSE(CONTROL!$C$27, 0.0021, 0)</f>
        <v>32.996499999999997</v>
      </c>
      <c r="L180" s="10"/>
    </row>
    <row r="181" spans="1:12" ht="15" x14ac:dyDescent="0.2">
      <c r="A181" s="16">
        <v>46784</v>
      </c>
      <c r="B181" s="10">
        <f>32.546 * CHOOSE(CONTROL!$C$9, $D$9, 100%, $F$9) + CHOOSE(CONTROL!$C$27, 0.0021, 0)</f>
        <v>32.548099999999998</v>
      </c>
      <c r="C181" s="10">
        <f>32.1138 * CHOOSE(CONTROL!$C$9, $D$9, 100%, $F$9) + CHOOSE(CONTROL!$C$27, 0.0021, 0)</f>
        <v>32.115899999999996</v>
      </c>
      <c r="D181" s="10">
        <f>32.1138 * CHOOSE(CONTROL!$C$9, $D$9, 100%, $F$9) + CHOOSE(CONTROL!$C$27, 0.0021, 0)</f>
        <v>32.115899999999996</v>
      </c>
      <c r="E181" s="10">
        <f>31.9771 * CHOOSE(CONTROL!$C$9, $D$9, 100%, $F$9) + CHOOSE(CONTROL!$C$27, 0.0021, 0)</f>
        <v>31.979199999999999</v>
      </c>
      <c r="F181" s="10">
        <f>31.9771 * CHOOSE(CONTROL!$C$9, $D$9, 100%, $F$9) + CHOOSE(CONTROL!$C$27, 0.0021, 0)</f>
        <v>31.979199999999999</v>
      </c>
      <c r="G181" s="10">
        <f>32.2485 * CHOOSE(CONTROL!$C$9, $D$9, 100%, $F$9) + CHOOSE(CONTROL!$C$27, 0.0021, 0)</f>
        <v>32.250599999999999</v>
      </c>
      <c r="H181" s="10">
        <f>32.1138 * CHOOSE(CONTROL!$C$9, $D$9, 100%, $F$9) + CHOOSE(CONTROL!$C$27, 0.0021, 0)</f>
        <v>32.115899999999996</v>
      </c>
      <c r="I181" s="10">
        <f>32.1138 * CHOOSE(CONTROL!$C$9, $D$9, 100%, $F$9) + CHOOSE(CONTROL!$C$27, 0.0021, 0)</f>
        <v>32.115899999999996</v>
      </c>
      <c r="J181" s="10">
        <f>32.1138 * CHOOSE(CONTROL!$C$9, $D$9, 100%, $F$9) + CHOOSE(CONTROL!$C$27, 0.0021, 0)</f>
        <v>32.115899999999996</v>
      </c>
      <c r="K181" s="10">
        <f>32.1138 * CHOOSE(CONTROL!$C$9, $D$9, 100%, $F$9) + CHOOSE(CONTROL!$C$27, 0.0021, 0)</f>
        <v>32.115899999999996</v>
      </c>
      <c r="L181" s="10"/>
    </row>
    <row r="182" spans="1:12" ht="15" x14ac:dyDescent="0.2">
      <c r="A182" s="16">
        <v>46813</v>
      </c>
      <c r="B182" s="10">
        <f>32.1825 * CHOOSE(CONTROL!$C$9, $D$9, 100%, $F$9) + CHOOSE(CONTROL!$C$27, 0.0021, 0)</f>
        <v>32.184599999999996</v>
      </c>
      <c r="C182" s="10">
        <f>31.7502 * CHOOSE(CONTROL!$C$9, $D$9, 100%, $F$9) + CHOOSE(CONTROL!$C$27, 0.0021, 0)</f>
        <v>31.752299999999998</v>
      </c>
      <c r="D182" s="10">
        <f>31.7502 * CHOOSE(CONTROL!$C$9, $D$9, 100%, $F$9) + CHOOSE(CONTROL!$C$27, 0.0021, 0)</f>
        <v>31.752299999999998</v>
      </c>
      <c r="E182" s="10">
        <f>31.6136 * CHOOSE(CONTROL!$C$9, $D$9, 100%, $F$9) + CHOOSE(CONTROL!$C$27, 0.0021, 0)</f>
        <v>31.6157</v>
      </c>
      <c r="F182" s="10">
        <f>31.6136 * CHOOSE(CONTROL!$C$9, $D$9, 100%, $F$9) + CHOOSE(CONTROL!$C$27, 0.0021, 0)</f>
        <v>31.6157</v>
      </c>
      <c r="G182" s="10">
        <f>31.8849 * CHOOSE(CONTROL!$C$9, $D$9, 100%, $F$9) + CHOOSE(CONTROL!$C$27, 0.0021, 0)</f>
        <v>31.886999999999997</v>
      </c>
      <c r="H182" s="10">
        <f>31.7502 * CHOOSE(CONTROL!$C$9, $D$9, 100%, $F$9) + CHOOSE(CONTROL!$C$27, 0.0021, 0)</f>
        <v>31.752299999999998</v>
      </c>
      <c r="I182" s="10">
        <f>31.7502 * CHOOSE(CONTROL!$C$9, $D$9, 100%, $F$9) + CHOOSE(CONTROL!$C$27, 0.0021, 0)</f>
        <v>31.752299999999998</v>
      </c>
      <c r="J182" s="10">
        <f>31.7502 * CHOOSE(CONTROL!$C$9, $D$9, 100%, $F$9) + CHOOSE(CONTROL!$C$27, 0.0021, 0)</f>
        <v>31.752299999999998</v>
      </c>
      <c r="K182" s="10">
        <f>31.7502 * CHOOSE(CONTROL!$C$9, $D$9, 100%, $F$9) + CHOOSE(CONTROL!$C$27, 0.0021, 0)</f>
        <v>31.752299999999998</v>
      </c>
      <c r="L182" s="10"/>
    </row>
    <row r="183" spans="1:12" ht="15" x14ac:dyDescent="0.2">
      <c r="A183" s="16">
        <v>46844</v>
      </c>
      <c r="B183" s="10">
        <f>31.7484 * CHOOSE(CONTROL!$C$9, $D$9, 100%, $F$9) + CHOOSE(CONTROL!$C$27, 0.0021, 0)</f>
        <v>31.750499999999999</v>
      </c>
      <c r="C183" s="10">
        <f>31.3162 * CHOOSE(CONTROL!$C$9, $D$9, 100%, $F$9) + CHOOSE(CONTROL!$C$27, 0.0021, 0)</f>
        <v>31.318299999999997</v>
      </c>
      <c r="D183" s="10">
        <f>31.3162 * CHOOSE(CONTROL!$C$9, $D$9, 100%, $F$9) + CHOOSE(CONTROL!$C$27, 0.0021, 0)</f>
        <v>31.318299999999997</v>
      </c>
      <c r="E183" s="10">
        <f>31.1795 * CHOOSE(CONTROL!$C$9, $D$9, 100%, $F$9) + CHOOSE(CONTROL!$C$27, 0.0021, 0)</f>
        <v>31.1816</v>
      </c>
      <c r="F183" s="10">
        <f>31.1795 * CHOOSE(CONTROL!$C$9, $D$9, 100%, $F$9) + CHOOSE(CONTROL!$C$27, 0.0021, 0)</f>
        <v>31.1816</v>
      </c>
      <c r="G183" s="10">
        <f>31.4509 * CHOOSE(CONTROL!$C$9, $D$9, 100%, $F$9) + CHOOSE(CONTROL!$C$27, 0.0021, 0)</f>
        <v>31.452999999999999</v>
      </c>
      <c r="H183" s="10">
        <f>31.3162 * CHOOSE(CONTROL!$C$9, $D$9, 100%, $F$9) + CHOOSE(CONTROL!$C$27, 0.0021, 0)</f>
        <v>31.318299999999997</v>
      </c>
      <c r="I183" s="10">
        <f>31.3162 * CHOOSE(CONTROL!$C$9, $D$9, 100%, $F$9) + CHOOSE(CONTROL!$C$27, 0.0021, 0)</f>
        <v>31.318299999999997</v>
      </c>
      <c r="J183" s="10">
        <f>31.3162 * CHOOSE(CONTROL!$C$9, $D$9, 100%, $F$9) + CHOOSE(CONTROL!$C$27, 0.0021, 0)</f>
        <v>31.318299999999997</v>
      </c>
      <c r="K183" s="10">
        <f>31.3162 * CHOOSE(CONTROL!$C$9, $D$9, 100%, $F$9) + CHOOSE(CONTROL!$C$27, 0.0021, 0)</f>
        <v>31.318299999999997</v>
      </c>
      <c r="L183" s="10"/>
    </row>
    <row r="184" spans="1:12" ht="15" x14ac:dyDescent="0.2">
      <c r="A184" s="16">
        <v>46874</v>
      </c>
      <c r="B184" s="10">
        <f>32.367 * CHOOSE(CONTROL!$C$9, $D$9, 100%, $F$9) + CHOOSE(CONTROL!$C$27, 0.0021, 0)</f>
        <v>32.369099999999996</v>
      </c>
      <c r="C184" s="10">
        <f>31.9348 * CHOOSE(CONTROL!$C$9, $D$9, 100%, $F$9) + CHOOSE(CONTROL!$C$27, 0.0021, 0)</f>
        <v>31.936899999999998</v>
      </c>
      <c r="D184" s="10">
        <f>31.9348 * CHOOSE(CONTROL!$C$9, $D$9, 100%, $F$9) + CHOOSE(CONTROL!$C$27, 0.0021, 0)</f>
        <v>31.936899999999998</v>
      </c>
      <c r="E184" s="10">
        <f>31.7981 * CHOOSE(CONTROL!$C$9, $D$9, 100%, $F$9) + CHOOSE(CONTROL!$C$27, 0.0021, 0)</f>
        <v>31.8002</v>
      </c>
      <c r="F184" s="10">
        <f>31.7981 * CHOOSE(CONTROL!$C$9, $D$9, 100%, $F$9) + CHOOSE(CONTROL!$C$27, 0.0021, 0)</f>
        <v>31.8002</v>
      </c>
      <c r="G184" s="10">
        <f>32.0695 * CHOOSE(CONTROL!$C$9, $D$9, 100%, $F$9) + CHOOSE(CONTROL!$C$27, 0.0021, 0)</f>
        <v>32.071599999999997</v>
      </c>
      <c r="H184" s="10">
        <f>31.9348 * CHOOSE(CONTROL!$C$9, $D$9, 100%, $F$9) + CHOOSE(CONTROL!$C$27, 0.0021, 0)</f>
        <v>31.936899999999998</v>
      </c>
      <c r="I184" s="10">
        <f>31.9348 * CHOOSE(CONTROL!$C$9, $D$9, 100%, $F$9) + CHOOSE(CONTROL!$C$27, 0.0021, 0)</f>
        <v>31.936899999999998</v>
      </c>
      <c r="J184" s="10">
        <f>31.9348 * CHOOSE(CONTROL!$C$9, $D$9, 100%, $F$9) + CHOOSE(CONTROL!$C$27, 0.0021, 0)</f>
        <v>31.936899999999998</v>
      </c>
      <c r="K184" s="10">
        <f>31.9348 * CHOOSE(CONTROL!$C$9, $D$9, 100%, $F$9) + CHOOSE(CONTROL!$C$27, 0.0021, 0)</f>
        <v>31.936899999999998</v>
      </c>
      <c r="L184" s="10"/>
    </row>
    <row r="185" spans="1:12" ht="15" x14ac:dyDescent="0.2">
      <c r="A185" s="16">
        <v>46905</v>
      </c>
      <c r="B185" s="10">
        <f>32.7375 * CHOOSE(CONTROL!$C$9, $D$9, 100%, $F$9) + CHOOSE(CONTROL!$C$27, 0.0021, 0)</f>
        <v>32.739599999999996</v>
      </c>
      <c r="C185" s="10">
        <f>32.3053 * CHOOSE(CONTROL!$C$9, $D$9, 100%, $F$9) + CHOOSE(CONTROL!$C$27, 0.0021, 0)</f>
        <v>32.307400000000001</v>
      </c>
      <c r="D185" s="10">
        <f>32.3053 * CHOOSE(CONTROL!$C$9, $D$9, 100%, $F$9) + CHOOSE(CONTROL!$C$27, 0.0021, 0)</f>
        <v>32.307400000000001</v>
      </c>
      <c r="E185" s="10">
        <f>32.1686 * CHOOSE(CONTROL!$C$9, $D$9, 100%, $F$9) + CHOOSE(CONTROL!$C$27, 0.0021, 0)</f>
        <v>32.170699999999997</v>
      </c>
      <c r="F185" s="10">
        <f>32.1686 * CHOOSE(CONTROL!$C$9, $D$9, 100%, $F$9) + CHOOSE(CONTROL!$C$27, 0.0021, 0)</f>
        <v>32.170699999999997</v>
      </c>
      <c r="G185" s="10">
        <f>32.44 * CHOOSE(CONTROL!$C$9, $D$9, 100%, $F$9) + CHOOSE(CONTROL!$C$27, 0.0021, 0)</f>
        <v>32.442099999999996</v>
      </c>
      <c r="H185" s="10">
        <f>32.3053 * CHOOSE(CONTROL!$C$9, $D$9, 100%, $F$9) + CHOOSE(CONTROL!$C$27, 0.0021, 0)</f>
        <v>32.307400000000001</v>
      </c>
      <c r="I185" s="10">
        <f>32.3053 * CHOOSE(CONTROL!$C$9, $D$9, 100%, $F$9) + CHOOSE(CONTROL!$C$27, 0.0021, 0)</f>
        <v>32.307400000000001</v>
      </c>
      <c r="J185" s="10">
        <f>32.3053 * CHOOSE(CONTROL!$C$9, $D$9, 100%, $F$9) + CHOOSE(CONTROL!$C$27, 0.0021, 0)</f>
        <v>32.307400000000001</v>
      </c>
      <c r="K185" s="10">
        <f>32.3053 * CHOOSE(CONTROL!$C$9, $D$9, 100%, $F$9) + CHOOSE(CONTROL!$C$27, 0.0021, 0)</f>
        <v>32.307400000000001</v>
      </c>
      <c r="L185" s="10"/>
    </row>
    <row r="186" spans="1:12" ht="15" x14ac:dyDescent="0.2">
      <c r="A186" s="16">
        <v>46935</v>
      </c>
      <c r="B186" s="10">
        <f>33.3487 * CHOOSE(CONTROL!$C$9, $D$9, 100%, $F$9) + CHOOSE(CONTROL!$C$27, 0.0021, 0)</f>
        <v>33.3508</v>
      </c>
      <c r="C186" s="10">
        <f>32.9165 * CHOOSE(CONTROL!$C$9, $D$9, 100%, $F$9) + CHOOSE(CONTROL!$C$27, 0.0021, 0)</f>
        <v>32.918599999999998</v>
      </c>
      <c r="D186" s="10">
        <f>32.9165 * CHOOSE(CONTROL!$C$9, $D$9, 100%, $F$9) + CHOOSE(CONTROL!$C$27, 0.0021, 0)</f>
        <v>32.918599999999998</v>
      </c>
      <c r="E186" s="10">
        <f>32.7798 * CHOOSE(CONTROL!$C$9, $D$9, 100%, $F$9) + CHOOSE(CONTROL!$C$27, 0.0021, 0)</f>
        <v>32.7819</v>
      </c>
      <c r="F186" s="10">
        <f>32.7798 * CHOOSE(CONTROL!$C$9, $D$9, 100%, $F$9) + CHOOSE(CONTROL!$C$27, 0.0021, 0)</f>
        <v>32.7819</v>
      </c>
      <c r="G186" s="10">
        <f>33.0512 * CHOOSE(CONTROL!$C$9, $D$9, 100%, $F$9) + CHOOSE(CONTROL!$C$27, 0.0021, 0)</f>
        <v>33.0533</v>
      </c>
      <c r="H186" s="10">
        <f>32.9165 * CHOOSE(CONTROL!$C$9, $D$9, 100%, $F$9) + CHOOSE(CONTROL!$C$27, 0.0021, 0)</f>
        <v>32.918599999999998</v>
      </c>
      <c r="I186" s="10">
        <f>32.9165 * CHOOSE(CONTROL!$C$9, $D$9, 100%, $F$9) + CHOOSE(CONTROL!$C$27, 0.0021, 0)</f>
        <v>32.918599999999998</v>
      </c>
      <c r="J186" s="10">
        <f>32.9165 * CHOOSE(CONTROL!$C$9, $D$9, 100%, $F$9) + CHOOSE(CONTROL!$C$27, 0.0021, 0)</f>
        <v>32.918599999999998</v>
      </c>
      <c r="K186" s="10">
        <f>32.9165 * CHOOSE(CONTROL!$C$9, $D$9, 100%, $F$9) + CHOOSE(CONTROL!$C$27, 0.0021, 0)</f>
        <v>32.918599999999998</v>
      </c>
      <c r="L186" s="10"/>
    </row>
    <row r="187" spans="1:12" ht="15" x14ac:dyDescent="0.2">
      <c r="A187" s="16">
        <v>46966</v>
      </c>
      <c r="B187" s="10">
        <f>33.5353 * CHOOSE(CONTROL!$C$9, $D$9, 100%, $F$9) + CHOOSE(CONTROL!$C$27, 0.0021, 0)</f>
        <v>33.537399999999998</v>
      </c>
      <c r="C187" s="10">
        <f>33.103 * CHOOSE(CONTROL!$C$9, $D$9, 100%, $F$9) + CHOOSE(CONTROL!$C$27, 0.0021, 0)</f>
        <v>33.1051</v>
      </c>
      <c r="D187" s="10">
        <f>33.103 * CHOOSE(CONTROL!$C$9, $D$9, 100%, $F$9) + CHOOSE(CONTROL!$C$27, 0.0021, 0)</f>
        <v>33.1051</v>
      </c>
      <c r="E187" s="10">
        <f>32.9664 * CHOOSE(CONTROL!$C$9, $D$9, 100%, $F$9) + CHOOSE(CONTROL!$C$27, 0.0021, 0)</f>
        <v>32.968499999999999</v>
      </c>
      <c r="F187" s="10">
        <f>32.9664 * CHOOSE(CONTROL!$C$9, $D$9, 100%, $F$9) + CHOOSE(CONTROL!$C$27, 0.0021, 0)</f>
        <v>32.968499999999999</v>
      </c>
      <c r="G187" s="10">
        <f>33.2378 * CHOOSE(CONTROL!$C$9, $D$9, 100%, $F$9) + CHOOSE(CONTROL!$C$27, 0.0021, 0)</f>
        <v>33.239899999999999</v>
      </c>
      <c r="H187" s="10">
        <f>33.103 * CHOOSE(CONTROL!$C$9, $D$9, 100%, $F$9) + CHOOSE(CONTROL!$C$27, 0.0021, 0)</f>
        <v>33.1051</v>
      </c>
      <c r="I187" s="10">
        <f>33.103 * CHOOSE(CONTROL!$C$9, $D$9, 100%, $F$9) + CHOOSE(CONTROL!$C$27, 0.0021, 0)</f>
        <v>33.1051</v>
      </c>
      <c r="J187" s="10">
        <f>33.103 * CHOOSE(CONTROL!$C$9, $D$9, 100%, $F$9) + CHOOSE(CONTROL!$C$27, 0.0021, 0)</f>
        <v>33.1051</v>
      </c>
      <c r="K187" s="10">
        <f>33.103 * CHOOSE(CONTROL!$C$9, $D$9, 100%, $F$9) + CHOOSE(CONTROL!$C$27, 0.0021, 0)</f>
        <v>33.1051</v>
      </c>
      <c r="L187" s="10"/>
    </row>
    <row r="188" spans="1:12" ht="15" x14ac:dyDescent="0.2">
      <c r="A188" s="16">
        <v>46997</v>
      </c>
      <c r="B188" s="10">
        <f>34.1706 * CHOOSE(CONTROL!$C$9, $D$9, 100%, $F$9) + CHOOSE(CONTROL!$C$27, 0.0021, 0)</f>
        <v>34.172699999999999</v>
      </c>
      <c r="C188" s="10">
        <f>33.7384 * CHOOSE(CONTROL!$C$9, $D$9, 100%, $F$9) + CHOOSE(CONTROL!$C$27, 0.0021, 0)</f>
        <v>33.740499999999997</v>
      </c>
      <c r="D188" s="10">
        <f>33.7384 * CHOOSE(CONTROL!$C$9, $D$9, 100%, $F$9) + CHOOSE(CONTROL!$C$27, 0.0021, 0)</f>
        <v>33.740499999999997</v>
      </c>
      <c r="E188" s="10">
        <f>33.6017 * CHOOSE(CONTROL!$C$9, $D$9, 100%, $F$9) + CHOOSE(CONTROL!$C$27, 0.0021, 0)</f>
        <v>33.6038</v>
      </c>
      <c r="F188" s="10">
        <f>33.6017 * CHOOSE(CONTROL!$C$9, $D$9, 100%, $F$9) + CHOOSE(CONTROL!$C$27, 0.0021, 0)</f>
        <v>33.6038</v>
      </c>
      <c r="G188" s="10">
        <f>33.8731 * CHOOSE(CONTROL!$C$9, $D$9, 100%, $F$9) + CHOOSE(CONTROL!$C$27, 0.0021, 0)</f>
        <v>33.8752</v>
      </c>
      <c r="H188" s="10">
        <f>33.7384 * CHOOSE(CONTROL!$C$9, $D$9, 100%, $F$9) + CHOOSE(CONTROL!$C$27, 0.0021, 0)</f>
        <v>33.740499999999997</v>
      </c>
      <c r="I188" s="10">
        <f>33.7384 * CHOOSE(CONTROL!$C$9, $D$9, 100%, $F$9) + CHOOSE(CONTROL!$C$27, 0.0021, 0)</f>
        <v>33.740499999999997</v>
      </c>
      <c r="J188" s="10">
        <f>33.7384 * CHOOSE(CONTROL!$C$9, $D$9, 100%, $F$9) + CHOOSE(CONTROL!$C$27, 0.0021, 0)</f>
        <v>33.740499999999997</v>
      </c>
      <c r="K188" s="10">
        <f>33.7384 * CHOOSE(CONTROL!$C$9, $D$9, 100%, $F$9) + CHOOSE(CONTROL!$C$27, 0.0021, 0)</f>
        <v>33.740499999999997</v>
      </c>
      <c r="L188" s="10"/>
    </row>
    <row r="189" spans="1:12" ht="15" x14ac:dyDescent="0.2">
      <c r="A189" s="16">
        <v>47027</v>
      </c>
      <c r="B189" s="10">
        <f>34.9748 * CHOOSE(CONTROL!$C$9, $D$9, 100%, $F$9) + CHOOSE(CONTROL!$C$27, 0.0021, 0)</f>
        <v>34.976900000000001</v>
      </c>
      <c r="C189" s="10">
        <f>34.5426 * CHOOSE(CONTROL!$C$9, $D$9, 100%, $F$9) + CHOOSE(CONTROL!$C$27, 0.0021, 0)</f>
        <v>34.544699999999999</v>
      </c>
      <c r="D189" s="10">
        <f>34.5426 * CHOOSE(CONTROL!$C$9, $D$9, 100%, $F$9) + CHOOSE(CONTROL!$C$27, 0.0021, 0)</f>
        <v>34.544699999999999</v>
      </c>
      <c r="E189" s="10">
        <f>34.4059 * CHOOSE(CONTROL!$C$9, $D$9, 100%, $F$9) + CHOOSE(CONTROL!$C$27, 0.0021, 0)</f>
        <v>34.408000000000001</v>
      </c>
      <c r="F189" s="10">
        <f>34.4059 * CHOOSE(CONTROL!$C$9, $D$9, 100%, $F$9) + CHOOSE(CONTROL!$C$27, 0.0021, 0)</f>
        <v>34.408000000000001</v>
      </c>
      <c r="G189" s="10">
        <f>34.6773 * CHOOSE(CONTROL!$C$9, $D$9, 100%, $F$9) + CHOOSE(CONTROL!$C$27, 0.0021, 0)</f>
        <v>34.679400000000001</v>
      </c>
      <c r="H189" s="10">
        <f>34.5426 * CHOOSE(CONTROL!$C$9, $D$9, 100%, $F$9) + CHOOSE(CONTROL!$C$27, 0.0021, 0)</f>
        <v>34.544699999999999</v>
      </c>
      <c r="I189" s="10">
        <f>34.5426 * CHOOSE(CONTROL!$C$9, $D$9, 100%, $F$9) + CHOOSE(CONTROL!$C$27, 0.0021, 0)</f>
        <v>34.544699999999999</v>
      </c>
      <c r="J189" s="10">
        <f>34.5426 * CHOOSE(CONTROL!$C$9, $D$9, 100%, $F$9) + CHOOSE(CONTROL!$C$27, 0.0021, 0)</f>
        <v>34.544699999999999</v>
      </c>
      <c r="K189" s="10">
        <f>34.5426 * CHOOSE(CONTROL!$C$9, $D$9, 100%, $F$9) + CHOOSE(CONTROL!$C$27, 0.0021, 0)</f>
        <v>34.544699999999999</v>
      </c>
      <c r="L189" s="10"/>
    </row>
    <row r="190" spans="1:12" ht="15" x14ac:dyDescent="0.2">
      <c r="A190" s="16">
        <v>47058</v>
      </c>
      <c r="B190" s="10">
        <f>35.0503 * CHOOSE(CONTROL!$C$9, $D$9, 100%, $F$9) + CHOOSE(CONTROL!$C$27, 0.0021, 0)</f>
        <v>35.052399999999999</v>
      </c>
      <c r="C190" s="10">
        <f>34.6181 * CHOOSE(CONTROL!$C$9, $D$9, 100%, $F$9) + CHOOSE(CONTROL!$C$27, 0.0021, 0)</f>
        <v>34.620199999999997</v>
      </c>
      <c r="D190" s="10">
        <f>34.6181 * CHOOSE(CONTROL!$C$9, $D$9, 100%, $F$9) + CHOOSE(CONTROL!$C$27, 0.0021, 0)</f>
        <v>34.620199999999997</v>
      </c>
      <c r="E190" s="10">
        <f>34.4814 * CHOOSE(CONTROL!$C$9, $D$9, 100%, $F$9) + CHOOSE(CONTROL!$C$27, 0.0021, 0)</f>
        <v>34.483499999999999</v>
      </c>
      <c r="F190" s="10">
        <f>34.4814 * CHOOSE(CONTROL!$C$9, $D$9, 100%, $F$9) + CHOOSE(CONTROL!$C$27, 0.0021, 0)</f>
        <v>34.483499999999999</v>
      </c>
      <c r="G190" s="10">
        <f>34.7528 * CHOOSE(CONTROL!$C$9, $D$9, 100%, $F$9) + CHOOSE(CONTROL!$C$27, 0.0021, 0)</f>
        <v>34.754899999999999</v>
      </c>
      <c r="H190" s="10">
        <f>34.6181 * CHOOSE(CONTROL!$C$9, $D$9, 100%, $F$9) + CHOOSE(CONTROL!$C$27, 0.0021, 0)</f>
        <v>34.620199999999997</v>
      </c>
      <c r="I190" s="10">
        <f>34.6181 * CHOOSE(CONTROL!$C$9, $D$9, 100%, $F$9) + CHOOSE(CONTROL!$C$27, 0.0021, 0)</f>
        <v>34.620199999999997</v>
      </c>
      <c r="J190" s="10">
        <f>34.6181 * CHOOSE(CONTROL!$C$9, $D$9, 100%, $F$9) + CHOOSE(CONTROL!$C$27, 0.0021, 0)</f>
        <v>34.620199999999997</v>
      </c>
      <c r="K190" s="10">
        <f>34.6181 * CHOOSE(CONTROL!$C$9, $D$9, 100%, $F$9) + CHOOSE(CONTROL!$C$27, 0.0021, 0)</f>
        <v>34.620199999999997</v>
      </c>
      <c r="L190" s="10"/>
    </row>
    <row r="191" spans="1:12" ht="15" x14ac:dyDescent="0.2">
      <c r="A191" s="16">
        <v>47088</v>
      </c>
      <c r="B191" s="10">
        <f>34.408 * CHOOSE(CONTROL!$C$9, $D$9, 100%, $F$9) + CHOOSE(CONTROL!$C$27, 0.0021, 0)</f>
        <v>34.4101</v>
      </c>
      <c r="C191" s="10">
        <f>33.9758 * CHOOSE(CONTROL!$C$9, $D$9, 100%, $F$9) + CHOOSE(CONTROL!$C$27, 0.0021, 0)</f>
        <v>33.977899999999998</v>
      </c>
      <c r="D191" s="10">
        <f>33.9758 * CHOOSE(CONTROL!$C$9, $D$9, 100%, $F$9) + CHOOSE(CONTROL!$C$27, 0.0021, 0)</f>
        <v>33.977899999999998</v>
      </c>
      <c r="E191" s="10">
        <f>33.8391 * CHOOSE(CONTROL!$C$9, $D$9, 100%, $F$9) + CHOOSE(CONTROL!$C$27, 0.0021, 0)</f>
        <v>33.841200000000001</v>
      </c>
      <c r="F191" s="10">
        <f>33.8391 * CHOOSE(CONTROL!$C$9, $D$9, 100%, $F$9) + CHOOSE(CONTROL!$C$27, 0.0021, 0)</f>
        <v>33.841200000000001</v>
      </c>
      <c r="G191" s="10">
        <f>34.1105 * CHOOSE(CONTROL!$C$9, $D$9, 100%, $F$9) + CHOOSE(CONTROL!$C$27, 0.0021, 0)</f>
        <v>34.1126</v>
      </c>
      <c r="H191" s="10">
        <f>33.9758 * CHOOSE(CONTROL!$C$9, $D$9, 100%, $F$9) + CHOOSE(CONTROL!$C$27, 0.0021, 0)</f>
        <v>33.977899999999998</v>
      </c>
      <c r="I191" s="10">
        <f>33.9758 * CHOOSE(CONTROL!$C$9, $D$9, 100%, $F$9) + CHOOSE(CONTROL!$C$27, 0.0021, 0)</f>
        <v>33.977899999999998</v>
      </c>
      <c r="J191" s="10">
        <f>33.9758 * CHOOSE(CONTROL!$C$9, $D$9, 100%, $F$9) + CHOOSE(CONTROL!$C$27, 0.0021, 0)</f>
        <v>33.977899999999998</v>
      </c>
      <c r="K191" s="10">
        <f>33.9758 * CHOOSE(CONTROL!$C$9, $D$9, 100%, $F$9) + CHOOSE(CONTROL!$C$27, 0.0021, 0)</f>
        <v>33.977899999999998</v>
      </c>
      <c r="L191" s="10"/>
    </row>
    <row r="192" spans="1:12" ht="15" x14ac:dyDescent="0.2">
      <c r="A192" s="16">
        <v>47119</v>
      </c>
      <c r="B192" s="10">
        <f>34.5211 * CHOOSE(CONTROL!$C$9, $D$9, 100%, $F$9) + CHOOSE(CONTROL!$C$27, 0.0021, 0)</f>
        <v>34.523199999999996</v>
      </c>
      <c r="C192" s="10">
        <f>34.0889 * CHOOSE(CONTROL!$C$9, $D$9, 100%, $F$9) + CHOOSE(CONTROL!$C$27, 0.0021, 0)</f>
        <v>34.091000000000001</v>
      </c>
      <c r="D192" s="10">
        <f>34.0889 * CHOOSE(CONTROL!$C$9, $D$9, 100%, $F$9) + CHOOSE(CONTROL!$C$27, 0.0021, 0)</f>
        <v>34.091000000000001</v>
      </c>
      <c r="E192" s="10">
        <f>33.9522 * CHOOSE(CONTROL!$C$9, $D$9, 100%, $F$9) + CHOOSE(CONTROL!$C$27, 0.0021, 0)</f>
        <v>33.954299999999996</v>
      </c>
      <c r="F192" s="10">
        <f>33.9522 * CHOOSE(CONTROL!$C$9, $D$9, 100%, $F$9) + CHOOSE(CONTROL!$C$27, 0.0021, 0)</f>
        <v>33.954299999999996</v>
      </c>
      <c r="G192" s="10">
        <f>34.2236 * CHOOSE(CONTROL!$C$9, $D$9, 100%, $F$9) + CHOOSE(CONTROL!$C$27, 0.0021, 0)</f>
        <v>34.225699999999996</v>
      </c>
      <c r="H192" s="10">
        <f>34.0889 * CHOOSE(CONTROL!$C$9, $D$9, 100%, $F$9) + CHOOSE(CONTROL!$C$27, 0.0021, 0)</f>
        <v>34.091000000000001</v>
      </c>
      <c r="I192" s="10">
        <f>34.0889 * CHOOSE(CONTROL!$C$9, $D$9, 100%, $F$9) + CHOOSE(CONTROL!$C$27, 0.0021, 0)</f>
        <v>34.091000000000001</v>
      </c>
      <c r="J192" s="10">
        <f>34.0889 * CHOOSE(CONTROL!$C$9, $D$9, 100%, $F$9) + CHOOSE(CONTROL!$C$27, 0.0021, 0)</f>
        <v>34.091000000000001</v>
      </c>
      <c r="K192" s="10">
        <f>34.0889 * CHOOSE(CONTROL!$C$9, $D$9, 100%, $F$9) + CHOOSE(CONTROL!$C$27, 0.0021, 0)</f>
        <v>34.091000000000001</v>
      </c>
      <c r="L192" s="10"/>
    </row>
    <row r="193" spans="1:12" ht="15" x14ac:dyDescent="0.2">
      <c r="A193" s="16">
        <v>47150</v>
      </c>
      <c r="B193" s="10">
        <f>33.6095 * CHOOSE(CONTROL!$C$9, $D$9, 100%, $F$9) + CHOOSE(CONTROL!$C$27, 0.0021, 0)</f>
        <v>33.611599999999996</v>
      </c>
      <c r="C193" s="10">
        <f>33.1773 * CHOOSE(CONTROL!$C$9, $D$9, 100%, $F$9) + CHOOSE(CONTROL!$C$27, 0.0021, 0)</f>
        <v>33.179400000000001</v>
      </c>
      <c r="D193" s="10">
        <f>33.1773 * CHOOSE(CONTROL!$C$9, $D$9, 100%, $F$9) + CHOOSE(CONTROL!$C$27, 0.0021, 0)</f>
        <v>33.179400000000001</v>
      </c>
      <c r="E193" s="10">
        <f>33.0406 * CHOOSE(CONTROL!$C$9, $D$9, 100%, $F$9) + CHOOSE(CONTROL!$C$27, 0.0021, 0)</f>
        <v>33.042699999999996</v>
      </c>
      <c r="F193" s="10">
        <f>33.0406 * CHOOSE(CONTROL!$C$9, $D$9, 100%, $F$9) + CHOOSE(CONTROL!$C$27, 0.0021, 0)</f>
        <v>33.042699999999996</v>
      </c>
      <c r="G193" s="10">
        <f>33.312 * CHOOSE(CONTROL!$C$9, $D$9, 100%, $F$9) + CHOOSE(CONTROL!$C$27, 0.0021, 0)</f>
        <v>33.314099999999996</v>
      </c>
      <c r="H193" s="10">
        <f>33.1773 * CHOOSE(CONTROL!$C$9, $D$9, 100%, $F$9) + CHOOSE(CONTROL!$C$27, 0.0021, 0)</f>
        <v>33.179400000000001</v>
      </c>
      <c r="I193" s="10">
        <f>33.1773 * CHOOSE(CONTROL!$C$9, $D$9, 100%, $F$9) + CHOOSE(CONTROL!$C$27, 0.0021, 0)</f>
        <v>33.179400000000001</v>
      </c>
      <c r="J193" s="10">
        <f>33.1773 * CHOOSE(CONTROL!$C$9, $D$9, 100%, $F$9) + CHOOSE(CONTROL!$C$27, 0.0021, 0)</f>
        <v>33.179400000000001</v>
      </c>
      <c r="K193" s="10">
        <f>33.1773 * CHOOSE(CONTROL!$C$9, $D$9, 100%, $F$9) + CHOOSE(CONTROL!$C$27, 0.0021, 0)</f>
        <v>33.179400000000001</v>
      </c>
      <c r="L193" s="10"/>
    </row>
    <row r="194" spans="1:12" ht="15" x14ac:dyDescent="0.2">
      <c r="A194" s="16">
        <v>47178</v>
      </c>
      <c r="B194" s="10">
        <f>33.2332 * CHOOSE(CONTROL!$C$9, $D$9, 100%, $F$9) + CHOOSE(CONTROL!$C$27, 0.0021, 0)</f>
        <v>33.235299999999995</v>
      </c>
      <c r="C194" s="10">
        <f>32.8009 * CHOOSE(CONTROL!$C$9, $D$9, 100%, $F$9) + CHOOSE(CONTROL!$C$27, 0.0021, 0)</f>
        <v>32.802999999999997</v>
      </c>
      <c r="D194" s="10">
        <f>32.8009 * CHOOSE(CONTROL!$C$9, $D$9, 100%, $F$9) + CHOOSE(CONTROL!$C$27, 0.0021, 0)</f>
        <v>32.802999999999997</v>
      </c>
      <c r="E194" s="10">
        <f>32.6643 * CHOOSE(CONTROL!$C$9, $D$9, 100%, $F$9) + CHOOSE(CONTROL!$C$27, 0.0021, 0)</f>
        <v>32.666399999999996</v>
      </c>
      <c r="F194" s="10">
        <f>32.6643 * CHOOSE(CONTROL!$C$9, $D$9, 100%, $F$9) + CHOOSE(CONTROL!$C$27, 0.0021, 0)</f>
        <v>32.666399999999996</v>
      </c>
      <c r="G194" s="10">
        <f>32.9357 * CHOOSE(CONTROL!$C$9, $D$9, 100%, $F$9) + CHOOSE(CONTROL!$C$27, 0.0021, 0)</f>
        <v>32.937799999999996</v>
      </c>
      <c r="H194" s="10">
        <f>32.8009 * CHOOSE(CONTROL!$C$9, $D$9, 100%, $F$9) + CHOOSE(CONTROL!$C$27, 0.0021, 0)</f>
        <v>32.802999999999997</v>
      </c>
      <c r="I194" s="10">
        <f>32.8009 * CHOOSE(CONTROL!$C$9, $D$9, 100%, $F$9) + CHOOSE(CONTROL!$C$27, 0.0021, 0)</f>
        <v>32.802999999999997</v>
      </c>
      <c r="J194" s="10">
        <f>32.8009 * CHOOSE(CONTROL!$C$9, $D$9, 100%, $F$9) + CHOOSE(CONTROL!$C$27, 0.0021, 0)</f>
        <v>32.802999999999997</v>
      </c>
      <c r="K194" s="10">
        <f>32.8009 * CHOOSE(CONTROL!$C$9, $D$9, 100%, $F$9) + CHOOSE(CONTROL!$C$27, 0.0021, 0)</f>
        <v>32.802999999999997</v>
      </c>
      <c r="L194" s="10"/>
    </row>
    <row r="195" spans="1:12" ht="15" x14ac:dyDescent="0.2">
      <c r="A195" s="16">
        <v>47209</v>
      </c>
      <c r="B195" s="10">
        <f>32.7839 * CHOOSE(CONTROL!$C$9, $D$9, 100%, $F$9) + CHOOSE(CONTROL!$C$27, 0.0021, 0)</f>
        <v>32.786000000000001</v>
      </c>
      <c r="C195" s="10">
        <f>32.3516 * CHOOSE(CONTROL!$C$9, $D$9, 100%, $F$9) + CHOOSE(CONTROL!$C$27, 0.0021, 0)</f>
        <v>32.353699999999996</v>
      </c>
      <c r="D195" s="10">
        <f>32.3516 * CHOOSE(CONTROL!$C$9, $D$9, 100%, $F$9) + CHOOSE(CONTROL!$C$27, 0.0021, 0)</f>
        <v>32.353699999999996</v>
      </c>
      <c r="E195" s="10">
        <f>32.215 * CHOOSE(CONTROL!$C$9, $D$9, 100%, $F$9) + CHOOSE(CONTROL!$C$27, 0.0021, 0)</f>
        <v>32.217100000000002</v>
      </c>
      <c r="F195" s="10">
        <f>32.215 * CHOOSE(CONTROL!$C$9, $D$9, 100%, $F$9) + CHOOSE(CONTROL!$C$27, 0.0021, 0)</f>
        <v>32.217100000000002</v>
      </c>
      <c r="G195" s="10">
        <f>32.4863 * CHOOSE(CONTROL!$C$9, $D$9, 100%, $F$9) + CHOOSE(CONTROL!$C$27, 0.0021, 0)</f>
        <v>32.488399999999999</v>
      </c>
      <c r="H195" s="10">
        <f>32.3516 * CHOOSE(CONTROL!$C$9, $D$9, 100%, $F$9) + CHOOSE(CONTROL!$C$27, 0.0021, 0)</f>
        <v>32.353699999999996</v>
      </c>
      <c r="I195" s="10">
        <f>32.3516 * CHOOSE(CONTROL!$C$9, $D$9, 100%, $F$9) + CHOOSE(CONTROL!$C$27, 0.0021, 0)</f>
        <v>32.353699999999996</v>
      </c>
      <c r="J195" s="10">
        <f>32.3516 * CHOOSE(CONTROL!$C$9, $D$9, 100%, $F$9) + CHOOSE(CONTROL!$C$27, 0.0021, 0)</f>
        <v>32.353699999999996</v>
      </c>
      <c r="K195" s="10">
        <f>32.3516 * CHOOSE(CONTROL!$C$9, $D$9, 100%, $F$9) + CHOOSE(CONTROL!$C$27, 0.0021, 0)</f>
        <v>32.353699999999996</v>
      </c>
      <c r="L195" s="10"/>
    </row>
    <row r="196" spans="1:12" ht="15" x14ac:dyDescent="0.2">
      <c r="A196" s="16">
        <v>47239</v>
      </c>
      <c r="B196" s="10">
        <f>33.4242 * CHOOSE(CONTROL!$C$9, $D$9, 100%, $F$9) + CHOOSE(CONTROL!$C$27, 0.0021, 0)</f>
        <v>33.426299999999998</v>
      </c>
      <c r="C196" s="10">
        <f>32.992 * CHOOSE(CONTROL!$C$9, $D$9, 100%, $F$9) + CHOOSE(CONTROL!$C$27, 0.0021, 0)</f>
        <v>32.994099999999996</v>
      </c>
      <c r="D196" s="10">
        <f>32.992 * CHOOSE(CONTROL!$C$9, $D$9, 100%, $F$9) + CHOOSE(CONTROL!$C$27, 0.0021, 0)</f>
        <v>32.994099999999996</v>
      </c>
      <c r="E196" s="10">
        <f>32.8553 * CHOOSE(CONTROL!$C$9, $D$9, 100%, $F$9) + CHOOSE(CONTROL!$C$27, 0.0021, 0)</f>
        <v>32.857399999999998</v>
      </c>
      <c r="F196" s="10">
        <f>32.8553 * CHOOSE(CONTROL!$C$9, $D$9, 100%, $F$9) + CHOOSE(CONTROL!$C$27, 0.0021, 0)</f>
        <v>32.857399999999998</v>
      </c>
      <c r="G196" s="10">
        <f>33.1267 * CHOOSE(CONTROL!$C$9, $D$9, 100%, $F$9) + CHOOSE(CONTROL!$C$27, 0.0021, 0)</f>
        <v>33.128799999999998</v>
      </c>
      <c r="H196" s="10">
        <f>32.992 * CHOOSE(CONTROL!$C$9, $D$9, 100%, $F$9) + CHOOSE(CONTROL!$C$27, 0.0021, 0)</f>
        <v>32.994099999999996</v>
      </c>
      <c r="I196" s="10">
        <f>32.992 * CHOOSE(CONTROL!$C$9, $D$9, 100%, $F$9) + CHOOSE(CONTROL!$C$27, 0.0021, 0)</f>
        <v>32.994099999999996</v>
      </c>
      <c r="J196" s="10">
        <f>32.992 * CHOOSE(CONTROL!$C$9, $D$9, 100%, $F$9) + CHOOSE(CONTROL!$C$27, 0.0021, 0)</f>
        <v>32.994099999999996</v>
      </c>
      <c r="K196" s="10">
        <f>32.992 * CHOOSE(CONTROL!$C$9, $D$9, 100%, $F$9) + CHOOSE(CONTROL!$C$27, 0.0021, 0)</f>
        <v>32.994099999999996</v>
      </c>
      <c r="L196" s="10"/>
    </row>
    <row r="197" spans="1:12" ht="15" x14ac:dyDescent="0.2">
      <c r="A197" s="16">
        <v>47270</v>
      </c>
      <c r="B197" s="10">
        <f>33.8077 * CHOOSE(CONTROL!$C$9, $D$9, 100%, $F$9) + CHOOSE(CONTROL!$C$27, 0.0021, 0)</f>
        <v>33.809799999999996</v>
      </c>
      <c r="C197" s="10">
        <f>33.3755 * CHOOSE(CONTROL!$C$9, $D$9, 100%, $F$9) + CHOOSE(CONTROL!$C$27, 0.0021, 0)</f>
        <v>33.377600000000001</v>
      </c>
      <c r="D197" s="10">
        <f>33.3755 * CHOOSE(CONTROL!$C$9, $D$9, 100%, $F$9) + CHOOSE(CONTROL!$C$27, 0.0021, 0)</f>
        <v>33.377600000000001</v>
      </c>
      <c r="E197" s="10">
        <f>33.2388 * CHOOSE(CONTROL!$C$9, $D$9, 100%, $F$9) + CHOOSE(CONTROL!$C$27, 0.0021, 0)</f>
        <v>33.240899999999996</v>
      </c>
      <c r="F197" s="10">
        <f>33.2388 * CHOOSE(CONTROL!$C$9, $D$9, 100%, $F$9) + CHOOSE(CONTROL!$C$27, 0.0021, 0)</f>
        <v>33.240899999999996</v>
      </c>
      <c r="G197" s="10">
        <f>33.5102 * CHOOSE(CONTROL!$C$9, $D$9, 100%, $F$9) + CHOOSE(CONTROL!$C$27, 0.0021, 0)</f>
        <v>33.512299999999996</v>
      </c>
      <c r="H197" s="10">
        <f>33.3755 * CHOOSE(CONTROL!$C$9, $D$9, 100%, $F$9) + CHOOSE(CONTROL!$C$27, 0.0021, 0)</f>
        <v>33.377600000000001</v>
      </c>
      <c r="I197" s="10">
        <f>33.3755 * CHOOSE(CONTROL!$C$9, $D$9, 100%, $F$9) + CHOOSE(CONTROL!$C$27, 0.0021, 0)</f>
        <v>33.377600000000001</v>
      </c>
      <c r="J197" s="10">
        <f>33.3755 * CHOOSE(CONTROL!$C$9, $D$9, 100%, $F$9) + CHOOSE(CONTROL!$C$27, 0.0021, 0)</f>
        <v>33.377600000000001</v>
      </c>
      <c r="K197" s="10">
        <f>33.3755 * CHOOSE(CONTROL!$C$9, $D$9, 100%, $F$9) + CHOOSE(CONTROL!$C$27, 0.0021, 0)</f>
        <v>33.377600000000001</v>
      </c>
      <c r="L197" s="10"/>
    </row>
    <row r="198" spans="1:12" ht="15" x14ac:dyDescent="0.2">
      <c r="A198" s="16">
        <v>47300</v>
      </c>
      <c r="B198" s="10">
        <f>34.4404 * CHOOSE(CONTROL!$C$9, $D$9, 100%, $F$9) + CHOOSE(CONTROL!$C$27, 0.0021, 0)</f>
        <v>34.442499999999995</v>
      </c>
      <c r="C198" s="10">
        <f>34.0082 * CHOOSE(CONTROL!$C$9, $D$9, 100%, $F$9) + CHOOSE(CONTROL!$C$27, 0.0021, 0)</f>
        <v>34.010300000000001</v>
      </c>
      <c r="D198" s="10">
        <f>34.0082 * CHOOSE(CONTROL!$C$9, $D$9, 100%, $F$9) + CHOOSE(CONTROL!$C$27, 0.0021, 0)</f>
        <v>34.010300000000001</v>
      </c>
      <c r="E198" s="10">
        <f>33.8715 * CHOOSE(CONTROL!$C$9, $D$9, 100%, $F$9) + CHOOSE(CONTROL!$C$27, 0.0021, 0)</f>
        <v>33.873599999999996</v>
      </c>
      <c r="F198" s="10">
        <f>33.8715 * CHOOSE(CONTROL!$C$9, $D$9, 100%, $F$9) + CHOOSE(CONTROL!$C$27, 0.0021, 0)</f>
        <v>33.873599999999996</v>
      </c>
      <c r="G198" s="10">
        <f>34.1429 * CHOOSE(CONTROL!$C$9, $D$9, 100%, $F$9) + CHOOSE(CONTROL!$C$27, 0.0021, 0)</f>
        <v>34.144999999999996</v>
      </c>
      <c r="H198" s="10">
        <f>34.0082 * CHOOSE(CONTROL!$C$9, $D$9, 100%, $F$9) + CHOOSE(CONTROL!$C$27, 0.0021, 0)</f>
        <v>34.010300000000001</v>
      </c>
      <c r="I198" s="10">
        <f>34.0082 * CHOOSE(CONTROL!$C$9, $D$9, 100%, $F$9) + CHOOSE(CONTROL!$C$27, 0.0021, 0)</f>
        <v>34.010300000000001</v>
      </c>
      <c r="J198" s="10">
        <f>34.0082 * CHOOSE(CONTROL!$C$9, $D$9, 100%, $F$9) + CHOOSE(CONTROL!$C$27, 0.0021, 0)</f>
        <v>34.010300000000001</v>
      </c>
      <c r="K198" s="10">
        <f>34.0082 * CHOOSE(CONTROL!$C$9, $D$9, 100%, $F$9) + CHOOSE(CONTROL!$C$27, 0.0021, 0)</f>
        <v>34.010300000000001</v>
      </c>
      <c r="L198" s="10"/>
    </row>
    <row r="199" spans="1:12" ht="15" x14ac:dyDescent="0.2">
      <c r="A199" s="16">
        <v>47331</v>
      </c>
      <c r="B199" s="10">
        <f>34.6336 * CHOOSE(CONTROL!$C$9, $D$9, 100%, $F$9) + CHOOSE(CONTROL!$C$27, 0.0021, 0)</f>
        <v>34.6357</v>
      </c>
      <c r="C199" s="10">
        <f>34.2013 * CHOOSE(CONTROL!$C$9, $D$9, 100%, $F$9) + CHOOSE(CONTROL!$C$27, 0.0021, 0)</f>
        <v>34.203400000000002</v>
      </c>
      <c r="D199" s="10">
        <f>34.2013 * CHOOSE(CONTROL!$C$9, $D$9, 100%, $F$9) + CHOOSE(CONTROL!$C$27, 0.0021, 0)</f>
        <v>34.203400000000002</v>
      </c>
      <c r="E199" s="10">
        <f>34.0646 * CHOOSE(CONTROL!$C$9, $D$9, 100%, $F$9) + CHOOSE(CONTROL!$C$27, 0.0021, 0)</f>
        <v>34.066699999999997</v>
      </c>
      <c r="F199" s="10">
        <f>34.0646 * CHOOSE(CONTROL!$C$9, $D$9, 100%, $F$9) + CHOOSE(CONTROL!$C$27, 0.0021, 0)</f>
        <v>34.066699999999997</v>
      </c>
      <c r="G199" s="10">
        <f>34.336 * CHOOSE(CONTROL!$C$9, $D$9, 100%, $F$9) + CHOOSE(CONTROL!$C$27, 0.0021, 0)</f>
        <v>34.338099999999997</v>
      </c>
      <c r="H199" s="10">
        <f>34.2013 * CHOOSE(CONTROL!$C$9, $D$9, 100%, $F$9) + CHOOSE(CONTROL!$C$27, 0.0021, 0)</f>
        <v>34.203400000000002</v>
      </c>
      <c r="I199" s="10">
        <f>34.2013 * CHOOSE(CONTROL!$C$9, $D$9, 100%, $F$9) + CHOOSE(CONTROL!$C$27, 0.0021, 0)</f>
        <v>34.203400000000002</v>
      </c>
      <c r="J199" s="10">
        <f>34.2013 * CHOOSE(CONTROL!$C$9, $D$9, 100%, $F$9) + CHOOSE(CONTROL!$C$27, 0.0021, 0)</f>
        <v>34.203400000000002</v>
      </c>
      <c r="K199" s="10">
        <f>34.2013 * CHOOSE(CONTROL!$C$9, $D$9, 100%, $F$9) + CHOOSE(CONTROL!$C$27, 0.0021, 0)</f>
        <v>34.203400000000002</v>
      </c>
      <c r="L199" s="10"/>
    </row>
    <row r="200" spans="1:12" ht="15" x14ac:dyDescent="0.2">
      <c r="A200" s="16">
        <v>47362</v>
      </c>
      <c r="B200" s="10">
        <f>35.2912 * CHOOSE(CONTROL!$C$9, $D$9, 100%, $F$9) + CHOOSE(CONTROL!$C$27, 0.0021, 0)</f>
        <v>35.293300000000002</v>
      </c>
      <c r="C200" s="10">
        <f>34.859 * CHOOSE(CONTROL!$C$9, $D$9, 100%, $F$9) + CHOOSE(CONTROL!$C$27, 0.0021, 0)</f>
        <v>34.8611</v>
      </c>
      <c r="D200" s="10">
        <f>34.859 * CHOOSE(CONTROL!$C$9, $D$9, 100%, $F$9) + CHOOSE(CONTROL!$C$27, 0.0021, 0)</f>
        <v>34.8611</v>
      </c>
      <c r="E200" s="10">
        <f>34.7223 * CHOOSE(CONTROL!$C$9, $D$9, 100%, $F$9) + CHOOSE(CONTROL!$C$27, 0.0021, 0)</f>
        <v>34.724399999999996</v>
      </c>
      <c r="F200" s="10">
        <f>34.7223 * CHOOSE(CONTROL!$C$9, $D$9, 100%, $F$9) + CHOOSE(CONTROL!$C$27, 0.0021, 0)</f>
        <v>34.724399999999996</v>
      </c>
      <c r="G200" s="10">
        <f>34.9937 * CHOOSE(CONTROL!$C$9, $D$9, 100%, $F$9) + CHOOSE(CONTROL!$C$27, 0.0021, 0)</f>
        <v>34.995799999999996</v>
      </c>
      <c r="H200" s="10">
        <f>34.859 * CHOOSE(CONTROL!$C$9, $D$9, 100%, $F$9) + CHOOSE(CONTROL!$C$27, 0.0021, 0)</f>
        <v>34.8611</v>
      </c>
      <c r="I200" s="10">
        <f>34.859 * CHOOSE(CONTROL!$C$9, $D$9, 100%, $F$9) + CHOOSE(CONTROL!$C$27, 0.0021, 0)</f>
        <v>34.8611</v>
      </c>
      <c r="J200" s="10">
        <f>34.859 * CHOOSE(CONTROL!$C$9, $D$9, 100%, $F$9) + CHOOSE(CONTROL!$C$27, 0.0021, 0)</f>
        <v>34.8611</v>
      </c>
      <c r="K200" s="10">
        <f>34.859 * CHOOSE(CONTROL!$C$9, $D$9, 100%, $F$9) + CHOOSE(CONTROL!$C$27, 0.0021, 0)</f>
        <v>34.8611</v>
      </c>
      <c r="L200" s="10"/>
    </row>
    <row r="201" spans="1:12" ht="15" x14ac:dyDescent="0.2">
      <c r="A201" s="16">
        <v>47392</v>
      </c>
      <c r="B201" s="10">
        <f>36.1237 * CHOOSE(CONTROL!$C$9, $D$9, 100%, $F$9) + CHOOSE(CONTROL!$C$27, 0.0021, 0)</f>
        <v>36.125799999999998</v>
      </c>
      <c r="C201" s="10">
        <f>35.6914 * CHOOSE(CONTROL!$C$9, $D$9, 100%, $F$9) + CHOOSE(CONTROL!$C$27, 0.0021, 0)</f>
        <v>35.6935</v>
      </c>
      <c r="D201" s="10">
        <f>35.6914 * CHOOSE(CONTROL!$C$9, $D$9, 100%, $F$9) + CHOOSE(CONTROL!$C$27, 0.0021, 0)</f>
        <v>35.6935</v>
      </c>
      <c r="E201" s="10">
        <f>35.5548 * CHOOSE(CONTROL!$C$9, $D$9, 100%, $F$9) + CHOOSE(CONTROL!$C$27, 0.0021, 0)</f>
        <v>35.556899999999999</v>
      </c>
      <c r="F201" s="10">
        <f>35.5548 * CHOOSE(CONTROL!$C$9, $D$9, 100%, $F$9) + CHOOSE(CONTROL!$C$27, 0.0021, 0)</f>
        <v>35.556899999999999</v>
      </c>
      <c r="G201" s="10">
        <f>35.8262 * CHOOSE(CONTROL!$C$9, $D$9, 100%, $F$9) + CHOOSE(CONTROL!$C$27, 0.0021, 0)</f>
        <v>35.828299999999999</v>
      </c>
      <c r="H201" s="10">
        <f>35.6914 * CHOOSE(CONTROL!$C$9, $D$9, 100%, $F$9) + CHOOSE(CONTROL!$C$27, 0.0021, 0)</f>
        <v>35.6935</v>
      </c>
      <c r="I201" s="10">
        <f>35.6914 * CHOOSE(CONTROL!$C$9, $D$9, 100%, $F$9) + CHOOSE(CONTROL!$C$27, 0.0021, 0)</f>
        <v>35.6935</v>
      </c>
      <c r="J201" s="10">
        <f>35.6914 * CHOOSE(CONTROL!$C$9, $D$9, 100%, $F$9) + CHOOSE(CONTROL!$C$27, 0.0021, 0)</f>
        <v>35.6935</v>
      </c>
      <c r="K201" s="10">
        <f>35.6914 * CHOOSE(CONTROL!$C$9, $D$9, 100%, $F$9) + CHOOSE(CONTROL!$C$27, 0.0021, 0)</f>
        <v>35.6935</v>
      </c>
      <c r="L201" s="10"/>
    </row>
    <row r="202" spans="1:12" ht="15" x14ac:dyDescent="0.2">
      <c r="A202" s="16">
        <v>47423</v>
      </c>
      <c r="B202" s="10">
        <f>36.2018 * CHOOSE(CONTROL!$C$9, $D$9, 100%, $F$9) + CHOOSE(CONTROL!$C$27, 0.0021, 0)</f>
        <v>36.203899999999997</v>
      </c>
      <c r="C202" s="10">
        <f>35.7696 * CHOOSE(CONTROL!$C$9, $D$9, 100%, $F$9) + CHOOSE(CONTROL!$C$27, 0.0021, 0)</f>
        <v>35.771699999999996</v>
      </c>
      <c r="D202" s="10">
        <f>35.7696 * CHOOSE(CONTROL!$C$9, $D$9, 100%, $F$9) + CHOOSE(CONTROL!$C$27, 0.0021, 0)</f>
        <v>35.771699999999996</v>
      </c>
      <c r="E202" s="10">
        <f>35.6329 * CHOOSE(CONTROL!$C$9, $D$9, 100%, $F$9) + CHOOSE(CONTROL!$C$27, 0.0021, 0)</f>
        <v>35.634999999999998</v>
      </c>
      <c r="F202" s="10">
        <f>35.6329 * CHOOSE(CONTROL!$C$9, $D$9, 100%, $F$9) + CHOOSE(CONTROL!$C$27, 0.0021, 0)</f>
        <v>35.634999999999998</v>
      </c>
      <c r="G202" s="10">
        <f>35.9043 * CHOOSE(CONTROL!$C$9, $D$9, 100%, $F$9) + CHOOSE(CONTROL!$C$27, 0.0021, 0)</f>
        <v>35.906399999999998</v>
      </c>
      <c r="H202" s="10">
        <f>35.7696 * CHOOSE(CONTROL!$C$9, $D$9, 100%, $F$9) + CHOOSE(CONTROL!$C$27, 0.0021, 0)</f>
        <v>35.771699999999996</v>
      </c>
      <c r="I202" s="10">
        <f>35.7696 * CHOOSE(CONTROL!$C$9, $D$9, 100%, $F$9) + CHOOSE(CONTROL!$C$27, 0.0021, 0)</f>
        <v>35.771699999999996</v>
      </c>
      <c r="J202" s="10">
        <f>35.7696 * CHOOSE(CONTROL!$C$9, $D$9, 100%, $F$9) + CHOOSE(CONTROL!$C$27, 0.0021, 0)</f>
        <v>35.771699999999996</v>
      </c>
      <c r="K202" s="10">
        <f>35.7696 * CHOOSE(CONTROL!$C$9, $D$9, 100%, $F$9) + CHOOSE(CONTROL!$C$27, 0.0021, 0)</f>
        <v>35.771699999999996</v>
      </c>
      <c r="L202" s="10"/>
    </row>
    <row r="203" spans="1:12" ht="15" x14ac:dyDescent="0.2">
      <c r="A203" s="16">
        <v>47453</v>
      </c>
      <c r="B203" s="10">
        <f>35.537 * CHOOSE(CONTROL!$C$9, $D$9, 100%, $F$9) + CHOOSE(CONTROL!$C$27, 0.0021, 0)</f>
        <v>35.539099999999998</v>
      </c>
      <c r="C203" s="10">
        <f>35.1047 * CHOOSE(CONTROL!$C$9, $D$9, 100%, $F$9) + CHOOSE(CONTROL!$C$27, 0.0021, 0)</f>
        <v>35.1068</v>
      </c>
      <c r="D203" s="10">
        <f>35.1047 * CHOOSE(CONTROL!$C$9, $D$9, 100%, $F$9) + CHOOSE(CONTROL!$C$27, 0.0021, 0)</f>
        <v>35.1068</v>
      </c>
      <c r="E203" s="10">
        <f>34.968 * CHOOSE(CONTROL!$C$9, $D$9, 100%, $F$9) + CHOOSE(CONTROL!$C$27, 0.0021, 0)</f>
        <v>34.970100000000002</v>
      </c>
      <c r="F203" s="10">
        <f>34.968 * CHOOSE(CONTROL!$C$9, $D$9, 100%, $F$9) + CHOOSE(CONTROL!$C$27, 0.0021, 0)</f>
        <v>34.970100000000002</v>
      </c>
      <c r="G203" s="10">
        <f>35.2394 * CHOOSE(CONTROL!$C$9, $D$9, 100%, $F$9) + CHOOSE(CONTROL!$C$27, 0.0021, 0)</f>
        <v>35.241500000000002</v>
      </c>
      <c r="H203" s="10">
        <f>35.1047 * CHOOSE(CONTROL!$C$9, $D$9, 100%, $F$9) + CHOOSE(CONTROL!$C$27, 0.0021, 0)</f>
        <v>35.1068</v>
      </c>
      <c r="I203" s="10">
        <f>35.1047 * CHOOSE(CONTROL!$C$9, $D$9, 100%, $F$9) + CHOOSE(CONTROL!$C$27, 0.0021, 0)</f>
        <v>35.1068</v>
      </c>
      <c r="J203" s="10">
        <f>35.1047 * CHOOSE(CONTROL!$C$9, $D$9, 100%, $F$9) + CHOOSE(CONTROL!$C$27, 0.0021, 0)</f>
        <v>35.1068</v>
      </c>
      <c r="K203" s="10">
        <f>35.1047 * CHOOSE(CONTROL!$C$9, $D$9, 100%, $F$9) + CHOOSE(CONTROL!$C$27, 0.0021, 0)</f>
        <v>35.1068</v>
      </c>
      <c r="L203" s="10"/>
    </row>
    <row r="204" spans="1:12" ht="15" x14ac:dyDescent="0.2">
      <c r="A204" s="16">
        <v>47484</v>
      </c>
      <c r="B204" s="10">
        <f>35.6568 * CHOOSE(CONTROL!$C$9, $D$9, 100%, $F$9) + CHOOSE(CONTROL!$C$27, 0.0021, 0)</f>
        <v>35.658899999999996</v>
      </c>
      <c r="C204" s="10">
        <f>35.2245 * CHOOSE(CONTROL!$C$9, $D$9, 100%, $F$9) + CHOOSE(CONTROL!$C$27, 0.0021, 0)</f>
        <v>35.226599999999998</v>
      </c>
      <c r="D204" s="10">
        <f>35.2245 * CHOOSE(CONTROL!$C$9, $D$9, 100%, $F$9) + CHOOSE(CONTROL!$C$27, 0.0021, 0)</f>
        <v>35.226599999999998</v>
      </c>
      <c r="E204" s="10">
        <f>35.0879 * CHOOSE(CONTROL!$C$9, $D$9, 100%, $F$9) + CHOOSE(CONTROL!$C$27, 0.0021, 0)</f>
        <v>35.089999999999996</v>
      </c>
      <c r="F204" s="10">
        <f>35.0879 * CHOOSE(CONTROL!$C$9, $D$9, 100%, $F$9) + CHOOSE(CONTROL!$C$27, 0.0021, 0)</f>
        <v>35.089999999999996</v>
      </c>
      <c r="G204" s="10">
        <f>35.3593 * CHOOSE(CONTROL!$C$9, $D$9, 100%, $F$9) + CHOOSE(CONTROL!$C$27, 0.0021, 0)</f>
        <v>35.361399999999996</v>
      </c>
      <c r="H204" s="10">
        <f>35.2245 * CHOOSE(CONTROL!$C$9, $D$9, 100%, $F$9) + CHOOSE(CONTROL!$C$27, 0.0021, 0)</f>
        <v>35.226599999999998</v>
      </c>
      <c r="I204" s="10">
        <f>35.2245 * CHOOSE(CONTROL!$C$9, $D$9, 100%, $F$9) + CHOOSE(CONTROL!$C$27, 0.0021, 0)</f>
        <v>35.226599999999998</v>
      </c>
      <c r="J204" s="10">
        <f>35.2245 * CHOOSE(CONTROL!$C$9, $D$9, 100%, $F$9) + CHOOSE(CONTROL!$C$27, 0.0021, 0)</f>
        <v>35.226599999999998</v>
      </c>
      <c r="K204" s="10">
        <f>35.2245 * CHOOSE(CONTROL!$C$9, $D$9, 100%, $F$9) + CHOOSE(CONTROL!$C$27, 0.0021, 0)</f>
        <v>35.226599999999998</v>
      </c>
      <c r="L204" s="10"/>
    </row>
    <row r="205" spans="1:12" ht="15" x14ac:dyDescent="0.2">
      <c r="A205" s="16">
        <v>47515</v>
      </c>
      <c r="B205" s="10">
        <f>34.7131 * CHOOSE(CONTROL!$C$9, $D$9, 100%, $F$9) + CHOOSE(CONTROL!$C$27, 0.0021, 0)</f>
        <v>34.715199999999996</v>
      </c>
      <c r="C205" s="10">
        <f>34.2808 * CHOOSE(CONTROL!$C$9, $D$9, 100%, $F$9) + CHOOSE(CONTROL!$C$27, 0.0021, 0)</f>
        <v>34.282899999999998</v>
      </c>
      <c r="D205" s="10">
        <f>34.2808 * CHOOSE(CONTROL!$C$9, $D$9, 100%, $F$9) + CHOOSE(CONTROL!$C$27, 0.0021, 0)</f>
        <v>34.282899999999998</v>
      </c>
      <c r="E205" s="10">
        <f>34.1442 * CHOOSE(CONTROL!$C$9, $D$9, 100%, $F$9) + CHOOSE(CONTROL!$C$27, 0.0021, 0)</f>
        <v>34.146299999999997</v>
      </c>
      <c r="F205" s="10">
        <f>34.1442 * CHOOSE(CONTROL!$C$9, $D$9, 100%, $F$9) + CHOOSE(CONTROL!$C$27, 0.0021, 0)</f>
        <v>34.146299999999997</v>
      </c>
      <c r="G205" s="10">
        <f>34.4155 * CHOOSE(CONTROL!$C$9, $D$9, 100%, $F$9) + CHOOSE(CONTROL!$C$27, 0.0021, 0)</f>
        <v>34.4176</v>
      </c>
      <c r="H205" s="10">
        <f>34.2808 * CHOOSE(CONTROL!$C$9, $D$9, 100%, $F$9) + CHOOSE(CONTROL!$C$27, 0.0021, 0)</f>
        <v>34.282899999999998</v>
      </c>
      <c r="I205" s="10">
        <f>34.2808 * CHOOSE(CONTROL!$C$9, $D$9, 100%, $F$9) + CHOOSE(CONTROL!$C$27, 0.0021, 0)</f>
        <v>34.282899999999998</v>
      </c>
      <c r="J205" s="10">
        <f>34.2808 * CHOOSE(CONTROL!$C$9, $D$9, 100%, $F$9) + CHOOSE(CONTROL!$C$27, 0.0021, 0)</f>
        <v>34.282899999999998</v>
      </c>
      <c r="K205" s="10">
        <f>34.2808 * CHOOSE(CONTROL!$C$9, $D$9, 100%, $F$9) + CHOOSE(CONTROL!$C$27, 0.0021, 0)</f>
        <v>34.282899999999998</v>
      </c>
      <c r="L205" s="10"/>
    </row>
    <row r="206" spans="1:12" ht="15" x14ac:dyDescent="0.2">
      <c r="A206" s="16">
        <v>47543</v>
      </c>
      <c r="B206" s="10">
        <f>34.3235 * CHOOSE(CONTROL!$C$9, $D$9, 100%, $F$9) + CHOOSE(CONTROL!$C$27, 0.0021, 0)</f>
        <v>34.325600000000001</v>
      </c>
      <c r="C206" s="10">
        <f>33.8912 * CHOOSE(CONTROL!$C$9, $D$9, 100%, $F$9) + CHOOSE(CONTROL!$C$27, 0.0021, 0)</f>
        <v>33.893299999999996</v>
      </c>
      <c r="D206" s="10">
        <f>33.8912 * CHOOSE(CONTROL!$C$9, $D$9, 100%, $F$9) + CHOOSE(CONTROL!$C$27, 0.0021, 0)</f>
        <v>33.893299999999996</v>
      </c>
      <c r="E206" s="10">
        <f>33.7546 * CHOOSE(CONTROL!$C$9, $D$9, 100%, $F$9) + CHOOSE(CONTROL!$C$27, 0.0021, 0)</f>
        <v>33.756700000000002</v>
      </c>
      <c r="F206" s="10">
        <f>33.7546 * CHOOSE(CONTROL!$C$9, $D$9, 100%, $F$9) + CHOOSE(CONTROL!$C$27, 0.0021, 0)</f>
        <v>33.756700000000002</v>
      </c>
      <c r="G206" s="10">
        <f>34.026 * CHOOSE(CONTROL!$C$9, $D$9, 100%, $F$9) + CHOOSE(CONTROL!$C$27, 0.0021, 0)</f>
        <v>34.028100000000002</v>
      </c>
      <c r="H206" s="10">
        <f>33.8912 * CHOOSE(CONTROL!$C$9, $D$9, 100%, $F$9) + CHOOSE(CONTROL!$C$27, 0.0021, 0)</f>
        <v>33.893299999999996</v>
      </c>
      <c r="I206" s="10">
        <f>33.8912 * CHOOSE(CONTROL!$C$9, $D$9, 100%, $F$9) + CHOOSE(CONTROL!$C$27, 0.0021, 0)</f>
        <v>33.893299999999996</v>
      </c>
      <c r="J206" s="10">
        <f>33.8912 * CHOOSE(CONTROL!$C$9, $D$9, 100%, $F$9) + CHOOSE(CONTROL!$C$27, 0.0021, 0)</f>
        <v>33.893299999999996</v>
      </c>
      <c r="K206" s="10">
        <f>33.8912 * CHOOSE(CONTROL!$C$9, $D$9, 100%, $F$9) + CHOOSE(CONTROL!$C$27, 0.0021, 0)</f>
        <v>33.893299999999996</v>
      </c>
      <c r="L206" s="10"/>
    </row>
    <row r="207" spans="1:12" ht="15" x14ac:dyDescent="0.2">
      <c r="A207" s="16">
        <v>47574</v>
      </c>
      <c r="B207" s="10">
        <f>33.8583 * CHOOSE(CONTROL!$C$9, $D$9, 100%, $F$9) + CHOOSE(CONTROL!$C$27, 0.0021, 0)</f>
        <v>33.860399999999998</v>
      </c>
      <c r="C207" s="10">
        <f>33.4261 * CHOOSE(CONTROL!$C$9, $D$9, 100%, $F$9) + CHOOSE(CONTROL!$C$27, 0.0021, 0)</f>
        <v>33.428199999999997</v>
      </c>
      <c r="D207" s="10">
        <f>33.4261 * CHOOSE(CONTROL!$C$9, $D$9, 100%, $F$9) + CHOOSE(CONTROL!$C$27, 0.0021, 0)</f>
        <v>33.428199999999997</v>
      </c>
      <c r="E207" s="10">
        <f>33.2894 * CHOOSE(CONTROL!$C$9, $D$9, 100%, $F$9) + CHOOSE(CONTROL!$C$27, 0.0021, 0)</f>
        <v>33.291499999999999</v>
      </c>
      <c r="F207" s="10">
        <f>33.2894 * CHOOSE(CONTROL!$C$9, $D$9, 100%, $F$9) + CHOOSE(CONTROL!$C$27, 0.0021, 0)</f>
        <v>33.291499999999999</v>
      </c>
      <c r="G207" s="10">
        <f>33.5608 * CHOOSE(CONTROL!$C$9, $D$9, 100%, $F$9) + CHOOSE(CONTROL!$C$27, 0.0021, 0)</f>
        <v>33.562899999999999</v>
      </c>
      <c r="H207" s="10">
        <f>33.4261 * CHOOSE(CONTROL!$C$9, $D$9, 100%, $F$9) + CHOOSE(CONTROL!$C$27, 0.0021, 0)</f>
        <v>33.428199999999997</v>
      </c>
      <c r="I207" s="10">
        <f>33.4261 * CHOOSE(CONTROL!$C$9, $D$9, 100%, $F$9) + CHOOSE(CONTROL!$C$27, 0.0021, 0)</f>
        <v>33.428199999999997</v>
      </c>
      <c r="J207" s="10">
        <f>33.4261 * CHOOSE(CONTROL!$C$9, $D$9, 100%, $F$9) + CHOOSE(CONTROL!$C$27, 0.0021, 0)</f>
        <v>33.428199999999997</v>
      </c>
      <c r="K207" s="10">
        <f>33.4261 * CHOOSE(CONTROL!$C$9, $D$9, 100%, $F$9) + CHOOSE(CONTROL!$C$27, 0.0021, 0)</f>
        <v>33.428199999999997</v>
      </c>
      <c r="L207" s="10"/>
    </row>
    <row r="208" spans="1:12" ht="15" x14ac:dyDescent="0.2">
      <c r="A208" s="16">
        <v>47604</v>
      </c>
      <c r="B208" s="10">
        <f>34.5212 * CHOOSE(CONTROL!$C$9, $D$9, 100%, $F$9) + CHOOSE(CONTROL!$C$27, 0.0021, 0)</f>
        <v>34.523299999999999</v>
      </c>
      <c r="C208" s="10">
        <f>34.089 * CHOOSE(CONTROL!$C$9, $D$9, 100%, $F$9) + CHOOSE(CONTROL!$C$27, 0.0021, 0)</f>
        <v>34.091099999999997</v>
      </c>
      <c r="D208" s="10">
        <f>34.089 * CHOOSE(CONTROL!$C$9, $D$9, 100%, $F$9) + CHOOSE(CONTROL!$C$27, 0.0021, 0)</f>
        <v>34.091099999999997</v>
      </c>
      <c r="E208" s="10">
        <f>33.9523 * CHOOSE(CONTROL!$C$9, $D$9, 100%, $F$9) + CHOOSE(CONTROL!$C$27, 0.0021, 0)</f>
        <v>33.9544</v>
      </c>
      <c r="F208" s="10">
        <f>33.9523 * CHOOSE(CONTROL!$C$9, $D$9, 100%, $F$9) + CHOOSE(CONTROL!$C$27, 0.0021, 0)</f>
        <v>33.9544</v>
      </c>
      <c r="G208" s="10">
        <f>34.2237 * CHOOSE(CONTROL!$C$9, $D$9, 100%, $F$9) + CHOOSE(CONTROL!$C$27, 0.0021, 0)</f>
        <v>34.2258</v>
      </c>
      <c r="H208" s="10">
        <f>34.089 * CHOOSE(CONTROL!$C$9, $D$9, 100%, $F$9) + CHOOSE(CONTROL!$C$27, 0.0021, 0)</f>
        <v>34.091099999999997</v>
      </c>
      <c r="I208" s="10">
        <f>34.089 * CHOOSE(CONTROL!$C$9, $D$9, 100%, $F$9) + CHOOSE(CONTROL!$C$27, 0.0021, 0)</f>
        <v>34.091099999999997</v>
      </c>
      <c r="J208" s="10">
        <f>34.089 * CHOOSE(CONTROL!$C$9, $D$9, 100%, $F$9) + CHOOSE(CONTROL!$C$27, 0.0021, 0)</f>
        <v>34.091099999999997</v>
      </c>
      <c r="K208" s="10">
        <f>34.089 * CHOOSE(CONTROL!$C$9, $D$9, 100%, $F$9) + CHOOSE(CONTROL!$C$27, 0.0021, 0)</f>
        <v>34.091099999999997</v>
      </c>
      <c r="L208" s="10"/>
    </row>
    <row r="209" spans="1:12" ht="15" x14ac:dyDescent="0.2">
      <c r="A209" s="16">
        <v>47635</v>
      </c>
      <c r="B209" s="10">
        <f>34.9183 * CHOOSE(CONTROL!$C$9, $D$9, 100%, $F$9) + CHOOSE(CONTROL!$C$27, 0.0021, 0)</f>
        <v>34.920400000000001</v>
      </c>
      <c r="C209" s="10">
        <f>34.486 * CHOOSE(CONTROL!$C$9, $D$9, 100%, $F$9) + CHOOSE(CONTROL!$C$27, 0.0021, 0)</f>
        <v>34.488099999999996</v>
      </c>
      <c r="D209" s="10">
        <f>34.486 * CHOOSE(CONTROL!$C$9, $D$9, 100%, $F$9) + CHOOSE(CONTROL!$C$27, 0.0021, 0)</f>
        <v>34.488099999999996</v>
      </c>
      <c r="E209" s="10">
        <f>34.3494 * CHOOSE(CONTROL!$C$9, $D$9, 100%, $F$9) + CHOOSE(CONTROL!$C$27, 0.0021, 0)</f>
        <v>34.351500000000001</v>
      </c>
      <c r="F209" s="10">
        <f>34.3494 * CHOOSE(CONTROL!$C$9, $D$9, 100%, $F$9) + CHOOSE(CONTROL!$C$27, 0.0021, 0)</f>
        <v>34.351500000000001</v>
      </c>
      <c r="G209" s="10">
        <f>34.6208 * CHOOSE(CONTROL!$C$9, $D$9, 100%, $F$9) + CHOOSE(CONTROL!$C$27, 0.0021, 0)</f>
        <v>34.622900000000001</v>
      </c>
      <c r="H209" s="10">
        <f>34.486 * CHOOSE(CONTROL!$C$9, $D$9, 100%, $F$9) + CHOOSE(CONTROL!$C$27, 0.0021, 0)</f>
        <v>34.488099999999996</v>
      </c>
      <c r="I209" s="10">
        <f>34.486 * CHOOSE(CONTROL!$C$9, $D$9, 100%, $F$9) + CHOOSE(CONTROL!$C$27, 0.0021, 0)</f>
        <v>34.488099999999996</v>
      </c>
      <c r="J209" s="10">
        <f>34.486 * CHOOSE(CONTROL!$C$9, $D$9, 100%, $F$9) + CHOOSE(CONTROL!$C$27, 0.0021, 0)</f>
        <v>34.488099999999996</v>
      </c>
      <c r="K209" s="10">
        <f>34.486 * CHOOSE(CONTROL!$C$9, $D$9, 100%, $F$9) + CHOOSE(CONTROL!$C$27, 0.0021, 0)</f>
        <v>34.488099999999996</v>
      </c>
      <c r="L209" s="10"/>
    </row>
    <row r="210" spans="1:12" ht="15" x14ac:dyDescent="0.2">
      <c r="A210" s="16">
        <v>47665</v>
      </c>
      <c r="B210" s="10">
        <f>35.5733 * CHOOSE(CONTROL!$C$9, $D$9, 100%, $F$9) + CHOOSE(CONTROL!$C$27, 0.0021, 0)</f>
        <v>35.575400000000002</v>
      </c>
      <c r="C210" s="10">
        <f>35.141 * CHOOSE(CONTROL!$C$9, $D$9, 100%, $F$9) + CHOOSE(CONTROL!$C$27, 0.0021, 0)</f>
        <v>35.143099999999997</v>
      </c>
      <c r="D210" s="10">
        <f>35.141 * CHOOSE(CONTROL!$C$9, $D$9, 100%, $F$9) + CHOOSE(CONTROL!$C$27, 0.0021, 0)</f>
        <v>35.143099999999997</v>
      </c>
      <c r="E210" s="10">
        <f>35.0044 * CHOOSE(CONTROL!$C$9, $D$9, 100%, $F$9) + CHOOSE(CONTROL!$C$27, 0.0021, 0)</f>
        <v>35.006499999999996</v>
      </c>
      <c r="F210" s="10">
        <f>35.0044 * CHOOSE(CONTROL!$C$9, $D$9, 100%, $F$9) + CHOOSE(CONTROL!$C$27, 0.0021, 0)</f>
        <v>35.006499999999996</v>
      </c>
      <c r="G210" s="10">
        <f>35.2757 * CHOOSE(CONTROL!$C$9, $D$9, 100%, $F$9) + CHOOSE(CONTROL!$C$27, 0.0021, 0)</f>
        <v>35.277799999999999</v>
      </c>
      <c r="H210" s="10">
        <f>35.141 * CHOOSE(CONTROL!$C$9, $D$9, 100%, $F$9) + CHOOSE(CONTROL!$C$27, 0.0021, 0)</f>
        <v>35.143099999999997</v>
      </c>
      <c r="I210" s="10">
        <f>35.141 * CHOOSE(CONTROL!$C$9, $D$9, 100%, $F$9) + CHOOSE(CONTROL!$C$27, 0.0021, 0)</f>
        <v>35.143099999999997</v>
      </c>
      <c r="J210" s="10">
        <f>35.141 * CHOOSE(CONTROL!$C$9, $D$9, 100%, $F$9) + CHOOSE(CONTROL!$C$27, 0.0021, 0)</f>
        <v>35.143099999999997</v>
      </c>
      <c r="K210" s="10">
        <f>35.141 * CHOOSE(CONTROL!$C$9, $D$9, 100%, $F$9) + CHOOSE(CONTROL!$C$27, 0.0021, 0)</f>
        <v>35.143099999999997</v>
      </c>
      <c r="L210" s="10"/>
    </row>
    <row r="211" spans="1:12" ht="15" x14ac:dyDescent="0.2">
      <c r="A211" s="16">
        <v>47696</v>
      </c>
      <c r="B211" s="10">
        <f>35.7732 * CHOOSE(CONTROL!$C$9, $D$9, 100%, $F$9) + CHOOSE(CONTROL!$C$27, 0.0021, 0)</f>
        <v>35.775300000000001</v>
      </c>
      <c r="C211" s="10">
        <f>35.341 * CHOOSE(CONTROL!$C$9, $D$9, 100%, $F$9) + CHOOSE(CONTROL!$C$27, 0.0021, 0)</f>
        <v>35.3431</v>
      </c>
      <c r="D211" s="10">
        <f>35.341 * CHOOSE(CONTROL!$C$9, $D$9, 100%, $F$9) + CHOOSE(CONTROL!$C$27, 0.0021, 0)</f>
        <v>35.3431</v>
      </c>
      <c r="E211" s="10">
        <f>35.2043 * CHOOSE(CONTROL!$C$9, $D$9, 100%, $F$9) + CHOOSE(CONTROL!$C$27, 0.0021, 0)</f>
        <v>35.206400000000002</v>
      </c>
      <c r="F211" s="10">
        <f>35.2043 * CHOOSE(CONTROL!$C$9, $D$9, 100%, $F$9) + CHOOSE(CONTROL!$C$27, 0.0021, 0)</f>
        <v>35.206400000000002</v>
      </c>
      <c r="G211" s="10">
        <f>35.4757 * CHOOSE(CONTROL!$C$9, $D$9, 100%, $F$9) + CHOOSE(CONTROL!$C$27, 0.0021, 0)</f>
        <v>35.477800000000002</v>
      </c>
      <c r="H211" s="10">
        <f>35.341 * CHOOSE(CONTROL!$C$9, $D$9, 100%, $F$9) + CHOOSE(CONTROL!$C$27, 0.0021, 0)</f>
        <v>35.3431</v>
      </c>
      <c r="I211" s="10">
        <f>35.341 * CHOOSE(CONTROL!$C$9, $D$9, 100%, $F$9) + CHOOSE(CONTROL!$C$27, 0.0021, 0)</f>
        <v>35.3431</v>
      </c>
      <c r="J211" s="10">
        <f>35.341 * CHOOSE(CONTROL!$C$9, $D$9, 100%, $F$9) + CHOOSE(CONTROL!$C$27, 0.0021, 0)</f>
        <v>35.3431</v>
      </c>
      <c r="K211" s="10">
        <f>35.341 * CHOOSE(CONTROL!$C$9, $D$9, 100%, $F$9) + CHOOSE(CONTROL!$C$27, 0.0021, 0)</f>
        <v>35.3431</v>
      </c>
      <c r="L211" s="10"/>
    </row>
    <row r="212" spans="1:12" ht="15" x14ac:dyDescent="0.2">
      <c r="A212" s="16">
        <v>47727</v>
      </c>
      <c r="B212" s="10">
        <f>36.454 * CHOOSE(CONTROL!$C$9, $D$9, 100%, $F$9) + CHOOSE(CONTROL!$C$27, 0.0021, 0)</f>
        <v>36.456099999999999</v>
      </c>
      <c r="C212" s="10">
        <f>36.0218 * CHOOSE(CONTROL!$C$9, $D$9, 100%, $F$9) + CHOOSE(CONTROL!$C$27, 0.0021, 0)</f>
        <v>36.023899999999998</v>
      </c>
      <c r="D212" s="10">
        <f>36.0218 * CHOOSE(CONTROL!$C$9, $D$9, 100%, $F$9) + CHOOSE(CONTROL!$C$27, 0.0021, 0)</f>
        <v>36.023899999999998</v>
      </c>
      <c r="E212" s="10">
        <f>35.8851 * CHOOSE(CONTROL!$C$9, $D$9, 100%, $F$9) + CHOOSE(CONTROL!$C$27, 0.0021, 0)</f>
        <v>35.8872</v>
      </c>
      <c r="F212" s="10">
        <f>35.8851 * CHOOSE(CONTROL!$C$9, $D$9, 100%, $F$9) + CHOOSE(CONTROL!$C$27, 0.0021, 0)</f>
        <v>35.8872</v>
      </c>
      <c r="G212" s="10">
        <f>36.1565 * CHOOSE(CONTROL!$C$9, $D$9, 100%, $F$9) + CHOOSE(CONTROL!$C$27, 0.0021, 0)</f>
        <v>36.1586</v>
      </c>
      <c r="H212" s="10">
        <f>36.0218 * CHOOSE(CONTROL!$C$9, $D$9, 100%, $F$9) + CHOOSE(CONTROL!$C$27, 0.0021, 0)</f>
        <v>36.023899999999998</v>
      </c>
      <c r="I212" s="10">
        <f>36.0218 * CHOOSE(CONTROL!$C$9, $D$9, 100%, $F$9) + CHOOSE(CONTROL!$C$27, 0.0021, 0)</f>
        <v>36.023899999999998</v>
      </c>
      <c r="J212" s="10">
        <f>36.0218 * CHOOSE(CONTROL!$C$9, $D$9, 100%, $F$9) + CHOOSE(CONTROL!$C$27, 0.0021, 0)</f>
        <v>36.023899999999998</v>
      </c>
      <c r="K212" s="10">
        <f>36.0218 * CHOOSE(CONTROL!$C$9, $D$9, 100%, $F$9) + CHOOSE(CONTROL!$C$27, 0.0021, 0)</f>
        <v>36.023899999999998</v>
      </c>
      <c r="L212" s="10"/>
    </row>
    <row r="213" spans="1:12" ht="15" x14ac:dyDescent="0.2">
      <c r="A213" s="16">
        <v>47757</v>
      </c>
      <c r="B213" s="10">
        <f>37.3158 * CHOOSE(CONTROL!$C$9, $D$9, 100%, $F$9) + CHOOSE(CONTROL!$C$27, 0.0021, 0)</f>
        <v>37.317900000000002</v>
      </c>
      <c r="C213" s="10">
        <f>36.8836 * CHOOSE(CONTROL!$C$9, $D$9, 100%, $F$9) + CHOOSE(CONTROL!$C$27, 0.0021, 0)</f>
        <v>36.8857</v>
      </c>
      <c r="D213" s="10">
        <f>36.8836 * CHOOSE(CONTROL!$C$9, $D$9, 100%, $F$9) + CHOOSE(CONTROL!$C$27, 0.0021, 0)</f>
        <v>36.8857</v>
      </c>
      <c r="E213" s="10">
        <f>36.7469 * CHOOSE(CONTROL!$C$9, $D$9, 100%, $F$9) + CHOOSE(CONTROL!$C$27, 0.0021, 0)</f>
        <v>36.748999999999995</v>
      </c>
      <c r="F213" s="10">
        <f>36.7469 * CHOOSE(CONTROL!$C$9, $D$9, 100%, $F$9) + CHOOSE(CONTROL!$C$27, 0.0021, 0)</f>
        <v>36.748999999999995</v>
      </c>
      <c r="G213" s="10">
        <f>37.0183 * CHOOSE(CONTROL!$C$9, $D$9, 100%, $F$9) + CHOOSE(CONTROL!$C$27, 0.0021, 0)</f>
        <v>37.020400000000002</v>
      </c>
      <c r="H213" s="10">
        <f>36.8836 * CHOOSE(CONTROL!$C$9, $D$9, 100%, $F$9) + CHOOSE(CONTROL!$C$27, 0.0021, 0)</f>
        <v>36.8857</v>
      </c>
      <c r="I213" s="10">
        <f>36.8836 * CHOOSE(CONTROL!$C$9, $D$9, 100%, $F$9) + CHOOSE(CONTROL!$C$27, 0.0021, 0)</f>
        <v>36.8857</v>
      </c>
      <c r="J213" s="10">
        <f>36.8836 * CHOOSE(CONTROL!$C$9, $D$9, 100%, $F$9) + CHOOSE(CONTROL!$C$27, 0.0021, 0)</f>
        <v>36.8857</v>
      </c>
      <c r="K213" s="10">
        <f>36.8836 * CHOOSE(CONTROL!$C$9, $D$9, 100%, $F$9) + CHOOSE(CONTROL!$C$27, 0.0021, 0)</f>
        <v>36.8857</v>
      </c>
      <c r="L213" s="10"/>
    </row>
    <row r="214" spans="1:12" ht="15" x14ac:dyDescent="0.2">
      <c r="A214" s="16">
        <v>47788</v>
      </c>
      <c r="B214" s="10">
        <f>37.3968 * CHOOSE(CONTROL!$C$9, $D$9, 100%, $F$9) + CHOOSE(CONTROL!$C$27, 0.0021, 0)</f>
        <v>37.398899999999998</v>
      </c>
      <c r="C214" s="10">
        <f>36.9645 * CHOOSE(CONTROL!$C$9, $D$9, 100%, $F$9) + CHOOSE(CONTROL!$C$27, 0.0021, 0)</f>
        <v>36.9666</v>
      </c>
      <c r="D214" s="10">
        <f>36.9645 * CHOOSE(CONTROL!$C$9, $D$9, 100%, $F$9) + CHOOSE(CONTROL!$C$27, 0.0021, 0)</f>
        <v>36.9666</v>
      </c>
      <c r="E214" s="10">
        <f>36.8278 * CHOOSE(CONTROL!$C$9, $D$9, 100%, $F$9) + CHOOSE(CONTROL!$C$27, 0.0021, 0)</f>
        <v>36.829900000000002</v>
      </c>
      <c r="F214" s="10">
        <f>36.8278 * CHOOSE(CONTROL!$C$9, $D$9, 100%, $F$9) + CHOOSE(CONTROL!$C$27, 0.0021, 0)</f>
        <v>36.829900000000002</v>
      </c>
      <c r="G214" s="10">
        <f>37.0992 * CHOOSE(CONTROL!$C$9, $D$9, 100%, $F$9) + CHOOSE(CONTROL!$C$27, 0.0021, 0)</f>
        <v>37.101300000000002</v>
      </c>
      <c r="H214" s="10">
        <f>36.9645 * CHOOSE(CONTROL!$C$9, $D$9, 100%, $F$9) + CHOOSE(CONTROL!$C$27, 0.0021, 0)</f>
        <v>36.9666</v>
      </c>
      <c r="I214" s="10">
        <f>36.9645 * CHOOSE(CONTROL!$C$9, $D$9, 100%, $F$9) + CHOOSE(CONTROL!$C$27, 0.0021, 0)</f>
        <v>36.9666</v>
      </c>
      <c r="J214" s="10">
        <f>36.9645 * CHOOSE(CONTROL!$C$9, $D$9, 100%, $F$9) + CHOOSE(CONTROL!$C$27, 0.0021, 0)</f>
        <v>36.9666</v>
      </c>
      <c r="K214" s="10">
        <f>36.9645 * CHOOSE(CONTROL!$C$9, $D$9, 100%, $F$9) + CHOOSE(CONTROL!$C$27, 0.0021, 0)</f>
        <v>36.9666</v>
      </c>
      <c r="L214" s="10"/>
    </row>
    <row r="215" spans="1:12" ht="15" x14ac:dyDescent="0.2">
      <c r="A215" s="16">
        <v>47818</v>
      </c>
      <c r="B215" s="10">
        <f>36.7084 * CHOOSE(CONTROL!$C$9, $D$9, 100%, $F$9) + CHOOSE(CONTROL!$C$27, 0.0021, 0)</f>
        <v>36.710499999999996</v>
      </c>
      <c r="C215" s="10">
        <f>36.2762 * CHOOSE(CONTROL!$C$9, $D$9, 100%, $F$9) + CHOOSE(CONTROL!$C$27, 0.0021, 0)</f>
        <v>36.278300000000002</v>
      </c>
      <c r="D215" s="10">
        <f>36.2762 * CHOOSE(CONTROL!$C$9, $D$9, 100%, $F$9) + CHOOSE(CONTROL!$C$27, 0.0021, 0)</f>
        <v>36.278300000000002</v>
      </c>
      <c r="E215" s="10">
        <f>36.1395 * CHOOSE(CONTROL!$C$9, $D$9, 100%, $F$9) + CHOOSE(CONTROL!$C$27, 0.0021, 0)</f>
        <v>36.141599999999997</v>
      </c>
      <c r="F215" s="10">
        <f>36.1395 * CHOOSE(CONTROL!$C$9, $D$9, 100%, $F$9) + CHOOSE(CONTROL!$C$27, 0.0021, 0)</f>
        <v>36.141599999999997</v>
      </c>
      <c r="G215" s="10">
        <f>36.4109 * CHOOSE(CONTROL!$C$9, $D$9, 100%, $F$9) + CHOOSE(CONTROL!$C$27, 0.0021, 0)</f>
        <v>36.412999999999997</v>
      </c>
      <c r="H215" s="10">
        <f>36.2762 * CHOOSE(CONTROL!$C$9, $D$9, 100%, $F$9) + CHOOSE(CONTROL!$C$27, 0.0021, 0)</f>
        <v>36.278300000000002</v>
      </c>
      <c r="I215" s="10">
        <f>36.2762 * CHOOSE(CONTROL!$C$9, $D$9, 100%, $F$9) + CHOOSE(CONTROL!$C$27, 0.0021, 0)</f>
        <v>36.278300000000002</v>
      </c>
      <c r="J215" s="10">
        <f>36.2762 * CHOOSE(CONTROL!$C$9, $D$9, 100%, $F$9) + CHOOSE(CONTROL!$C$27, 0.0021, 0)</f>
        <v>36.278300000000002</v>
      </c>
      <c r="K215" s="10">
        <f>36.2762 * CHOOSE(CONTROL!$C$9, $D$9, 100%, $F$9) + CHOOSE(CONTROL!$C$27, 0.0021, 0)</f>
        <v>36.278300000000002</v>
      </c>
      <c r="L215" s="10"/>
    </row>
    <row r="216" spans="1:12" ht="15" x14ac:dyDescent="0.2">
      <c r="A216" s="16">
        <v>47849</v>
      </c>
      <c r="B216" s="10">
        <f>36.1814 * CHOOSE(CONTROL!$C$9, $D$9, 100%, $F$9) + CHOOSE(CONTROL!$C$27, 0.0021, 0)</f>
        <v>36.183499999999995</v>
      </c>
      <c r="C216" s="10">
        <f>35.7492 * CHOOSE(CONTROL!$C$9, $D$9, 100%, $F$9) + CHOOSE(CONTROL!$C$27, 0.0021, 0)</f>
        <v>35.751300000000001</v>
      </c>
      <c r="D216" s="10">
        <f>35.7492 * CHOOSE(CONTROL!$C$9, $D$9, 100%, $F$9) + CHOOSE(CONTROL!$C$27, 0.0021, 0)</f>
        <v>35.751300000000001</v>
      </c>
      <c r="E216" s="10">
        <f>35.6125 * CHOOSE(CONTROL!$C$9, $D$9, 100%, $F$9) + CHOOSE(CONTROL!$C$27, 0.0021, 0)</f>
        <v>35.614599999999996</v>
      </c>
      <c r="F216" s="10">
        <f>35.6125 * CHOOSE(CONTROL!$C$9, $D$9, 100%, $F$9) + CHOOSE(CONTROL!$C$27, 0.0021, 0)</f>
        <v>35.614599999999996</v>
      </c>
      <c r="G216" s="10">
        <f>35.8839 * CHOOSE(CONTROL!$C$9, $D$9, 100%, $F$9) + CHOOSE(CONTROL!$C$27, 0.0021, 0)</f>
        <v>35.885999999999996</v>
      </c>
      <c r="H216" s="10">
        <f>35.7492 * CHOOSE(CONTROL!$C$9, $D$9, 100%, $F$9) + CHOOSE(CONTROL!$C$27, 0.0021, 0)</f>
        <v>35.751300000000001</v>
      </c>
      <c r="I216" s="10">
        <f>35.7492 * CHOOSE(CONTROL!$C$9, $D$9, 100%, $F$9) + CHOOSE(CONTROL!$C$27, 0.0021, 0)</f>
        <v>35.751300000000001</v>
      </c>
      <c r="J216" s="10">
        <f>35.7492 * CHOOSE(CONTROL!$C$9, $D$9, 100%, $F$9) + CHOOSE(CONTROL!$C$27, 0.0021, 0)</f>
        <v>35.751300000000001</v>
      </c>
      <c r="K216" s="10">
        <f>35.7492 * CHOOSE(CONTROL!$C$9, $D$9, 100%, $F$9) + CHOOSE(CONTROL!$C$27, 0.0021, 0)</f>
        <v>35.751300000000001</v>
      </c>
      <c r="L216" s="10"/>
    </row>
    <row r="217" spans="1:12" ht="15" x14ac:dyDescent="0.2">
      <c r="A217" s="16">
        <v>47880</v>
      </c>
      <c r="B217" s="10">
        <f>35.2229 * CHOOSE(CONTROL!$C$9, $D$9, 100%, $F$9) + CHOOSE(CONTROL!$C$27, 0.0021, 0)</f>
        <v>35.225000000000001</v>
      </c>
      <c r="C217" s="10">
        <f>34.7906 * CHOOSE(CONTROL!$C$9, $D$9, 100%, $F$9) + CHOOSE(CONTROL!$C$27, 0.0021, 0)</f>
        <v>34.792699999999996</v>
      </c>
      <c r="D217" s="10">
        <f>34.7906 * CHOOSE(CONTROL!$C$9, $D$9, 100%, $F$9) + CHOOSE(CONTROL!$C$27, 0.0021, 0)</f>
        <v>34.792699999999996</v>
      </c>
      <c r="E217" s="10">
        <f>34.654 * CHOOSE(CONTROL!$C$9, $D$9, 100%, $F$9) + CHOOSE(CONTROL!$C$27, 0.0021, 0)</f>
        <v>34.656100000000002</v>
      </c>
      <c r="F217" s="10">
        <f>34.654 * CHOOSE(CONTROL!$C$9, $D$9, 100%, $F$9) + CHOOSE(CONTROL!$C$27, 0.0021, 0)</f>
        <v>34.656100000000002</v>
      </c>
      <c r="G217" s="10">
        <f>34.9253 * CHOOSE(CONTROL!$C$9, $D$9, 100%, $F$9) + CHOOSE(CONTROL!$C$27, 0.0021, 0)</f>
        <v>34.927399999999999</v>
      </c>
      <c r="H217" s="10">
        <f>34.7906 * CHOOSE(CONTROL!$C$9, $D$9, 100%, $F$9) + CHOOSE(CONTROL!$C$27, 0.0021, 0)</f>
        <v>34.792699999999996</v>
      </c>
      <c r="I217" s="10">
        <f>34.7906 * CHOOSE(CONTROL!$C$9, $D$9, 100%, $F$9) + CHOOSE(CONTROL!$C$27, 0.0021, 0)</f>
        <v>34.792699999999996</v>
      </c>
      <c r="J217" s="10">
        <f>34.7906 * CHOOSE(CONTROL!$C$9, $D$9, 100%, $F$9) + CHOOSE(CONTROL!$C$27, 0.0021, 0)</f>
        <v>34.792699999999996</v>
      </c>
      <c r="K217" s="10">
        <f>34.7906 * CHOOSE(CONTROL!$C$9, $D$9, 100%, $F$9) + CHOOSE(CONTROL!$C$27, 0.0021, 0)</f>
        <v>34.792699999999996</v>
      </c>
      <c r="L217" s="10"/>
    </row>
    <row r="218" spans="1:12" ht="15" x14ac:dyDescent="0.2">
      <c r="A218" s="16">
        <v>47908</v>
      </c>
      <c r="B218" s="10">
        <f>34.8272 * CHOOSE(CONTROL!$C$9, $D$9, 100%, $F$9) + CHOOSE(CONTROL!$C$27, 0.0021, 0)</f>
        <v>34.829299999999996</v>
      </c>
      <c r="C218" s="10">
        <f>34.3949 * CHOOSE(CONTROL!$C$9, $D$9, 100%, $F$9) + CHOOSE(CONTROL!$C$27, 0.0021, 0)</f>
        <v>34.396999999999998</v>
      </c>
      <c r="D218" s="10">
        <f>34.3949 * CHOOSE(CONTROL!$C$9, $D$9, 100%, $F$9) + CHOOSE(CONTROL!$C$27, 0.0021, 0)</f>
        <v>34.396999999999998</v>
      </c>
      <c r="E218" s="10">
        <f>34.2583 * CHOOSE(CONTROL!$C$9, $D$9, 100%, $F$9) + CHOOSE(CONTROL!$C$27, 0.0021, 0)</f>
        <v>34.260399999999997</v>
      </c>
      <c r="F218" s="10">
        <f>34.2583 * CHOOSE(CONTROL!$C$9, $D$9, 100%, $F$9) + CHOOSE(CONTROL!$C$27, 0.0021, 0)</f>
        <v>34.260399999999997</v>
      </c>
      <c r="G218" s="10">
        <f>34.5297 * CHOOSE(CONTROL!$C$9, $D$9, 100%, $F$9) + CHOOSE(CONTROL!$C$27, 0.0021, 0)</f>
        <v>34.531799999999997</v>
      </c>
      <c r="H218" s="10">
        <f>34.3949 * CHOOSE(CONTROL!$C$9, $D$9, 100%, $F$9) + CHOOSE(CONTROL!$C$27, 0.0021, 0)</f>
        <v>34.396999999999998</v>
      </c>
      <c r="I218" s="10">
        <f>34.3949 * CHOOSE(CONTROL!$C$9, $D$9, 100%, $F$9) + CHOOSE(CONTROL!$C$27, 0.0021, 0)</f>
        <v>34.396999999999998</v>
      </c>
      <c r="J218" s="10">
        <f>34.3949 * CHOOSE(CONTROL!$C$9, $D$9, 100%, $F$9) + CHOOSE(CONTROL!$C$27, 0.0021, 0)</f>
        <v>34.396999999999998</v>
      </c>
      <c r="K218" s="10">
        <f>34.3949 * CHOOSE(CONTROL!$C$9, $D$9, 100%, $F$9) + CHOOSE(CONTROL!$C$27, 0.0021, 0)</f>
        <v>34.396999999999998</v>
      </c>
      <c r="L218" s="10"/>
    </row>
    <row r="219" spans="1:12" ht="15" x14ac:dyDescent="0.2">
      <c r="A219" s="16">
        <v>47939</v>
      </c>
      <c r="B219" s="10">
        <f>34.3547 * CHOOSE(CONTROL!$C$9, $D$9, 100%, $F$9) + CHOOSE(CONTROL!$C$27, 0.0021, 0)</f>
        <v>34.3568</v>
      </c>
      <c r="C219" s="10">
        <f>33.9225 * CHOOSE(CONTROL!$C$9, $D$9, 100%, $F$9) + CHOOSE(CONTROL!$C$27, 0.0021, 0)</f>
        <v>33.924599999999998</v>
      </c>
      <c r="D219" s="10">
        <f>33.9225 * CHOOSE(CONTROL!$C$9, $D$9, 100%, $F$9) + CHOOSE(CONTROL!$C$27, 0.0021, 0)</f>
        <v>33.924599999999998</v>
      </c>
      <c r="E219" s="10">
        <f>33.7858 * CHOOSE(CONTROL!$C$9, $D$9, 100%, $F$9) + CHOOSE(CONTROL!$C$27, 0.0021, 0)</f>
        <v>33.7879</v>
      </c>
      <c r="F219" s="10">
        <f>33.7858 * CHOOSE(CONTROL!$C$9, $D$9, 100%, $F$9) + CHOOSE(CONTROL!$C$27, 0.0021, 0)</f>
        <v>33.7879</v>
      </c>
      <c r="G219" s="10">
        <f>34.0572 * CHOOSE(CONTROL!$C$9, $D$9, 100%, $F$9) + CHOOSE(CONTROL!$C$27, 0.0021, 0)</f>
        <v>34.0593</v>
      </c>
      <c r="H219" s="10">
        <f>33.9225 * CHOOSE(CONTROL!$C$9, $D$9, 100%, $F$9) + CHOOSE(CONTROL!$C$27, 0.0021, 0)</f>
        <v>33.924599999999998</v>
      </c>
      <c r="I219" s="10">
        <f>33.9225 * CHOOSE(CONTROL!$C$9, $D$9, 100%, $F$9) + CHOOSE(CONTROL!$C$27, 0.0021, 0)</f>
        <v>33.924599999999998</v>
      </c>
      <c r="J219" s="10">
        <f>33.9225 * CHOOSE(CONTROL!$C$9, $D$9, 100%, $F$9) + CHOOSE(CONTROL!$C$27, 0.0021, 0)</f>
        <v>33.924599999999998</v>
      </c>
      <c r="K219" s="10">
        <f>33.9225 * CHOOSE(CONTROL!$C$9, $D$9, 100%, $F$9) + CHOOSE(CONTROL!$C$27, 0.0021, 0)</f>
        <v>33.924599999999998</v>
      </c>
      <c r="L219" s="10"/>
    </row>
    <row r="220" spans="1:12" ht="15" x14ac:dyDescent="0.2">
      <c r="A220" s="16">
        <v>47969</v>
      </c>
      <c r="B220" s="10">
        <f>35.028 * CHOOSE(CONTROL!$C$9, $D$9, 100%, $F$9) + CHOOSE(CONTROL!$C$27, 0.0021, 0)</f>
        <v>35.030099999999997</v>
      </c>
      <c r="C220" s="10">
        <f>34.5958 * CHOOSE(CONTROL!$C$9, $D$9, 100%, $F$9) + CHOOSE(CONTROL!$C$27, 0.0021, 0)</f>
        <v>34.597899999999996</v>
      </c>
      <c r="D220" s="10">
        <f>34.5958 * CHOOSE(CONTROL!$C$9, $D$9, 100%, $F$9) + CHOOSE(CONTROL!$C$27, 0.0021, 0)</f>
        <v>34.597899999999996</v>
      </c>
      <c r="E220" s="10">
        <f>34.4591 * CHOOSE(CONTROL!$C$9, $D$9, 100%, $F$9) + CHOOSE(CONTROL!$C$27, 0.0021, 0)</f>
        <v>34.461199999999998</v>
      </c>
      <c r="F220" s="10">
        <f>34.4591 * CHOOSE(CONTROL!$C$9, $D$9, 100%, $F$9) + CHOOSE(CONTROL!$C$27, 0.0021, 0)</f>
        <v>34.461199999999998</v>
      </c>
      <c r="G220" s="10">
        <f>34.7305 * CHOOSE(CONTROL!$C$9, $D$9, 100%, $F$9) + CHOOSE(CONTROL!$C$27, 0.0021, 0)</f>
        <v>34.732599999999998</v>
      </c>
      <c r="H220" s="10">
        <f>34.5958 * CHOOSE(CONTROL!$C$9, $D$9, 100%, $F$9) + CHOOSE(CONTROL!$C$27, 0.0021, 0)</f>
        <v>34.597899999999996</v>
      </c>
      <c r="I220" s="10">
        <f>34.5958 * CHOOSE(CONTROL!$C$9, $D$9, 100%, $F$9) + CHOOSE(CONTROL!$C$27, 0.0021, 0)</f>
        <v>34.597899999999996</v>
      </c>
      <c r="J220" s="10">
        <f>34.5958 * CHOOSE(CONTROL!$C$9, $D$9, 100%, $F$9) + CHOOSE(CONTROL!$C$27, 0.0021, 0)</f>
        <v>34.597899999999996</v>
      </c>
      <c r="K220" s="10">
        <f>34.5958 * CHOOSE(CONTROL!$C$9, $D$9, 100%, $F$9) + CHOOSE(CONTROL!$C$27, 0.0021, 0)</f>
        <v>34.597899999999996</v>
      </c>
      <c r="L220" s="10"/>
    </row>
    <row r="221" spans="1:12" ht="15" x14ac:dyDescent="0.2">
      <c r="A221" s="16">
        <v>48000</v>
      </c>
      <c r="B221" s="10">
        <f>35.4313 * CHOOSE(CONTROL!$C$9, $D$9, 100%, $F$9) + CHOOSE(CONTROL!$C$27, 0.0021, 0)</f>
        <v>35.433399999999999</v>
      </c>
      <c r="C221" s="10">
        <f>34.9991 * CHOOSE(CONTROL!$C$9, $D$9, 100%, $F$9) + CHOOSE(CONTROL!$C$27, 0.0021, 0)</f>
        <v>35.001199999999997</v>
      </c>
      <c r="D221" s="10">
        <f>34.9991 * CHOOSE(CONTROL!$C$9, $D$9, 100%, $F$9) + CHOOSE(CONTROL!$C$27, 0.0021, 0)</f>
        <v>35.001199999999997</v>
      </c>
      <c r="E221" s="10">
        <f>34.8624 * CHOOSE(CONTROL!$C$9, $D$9, 100%, $F$9) + CHOOSE(CONTROL!$C$27, 0.0021, 0)</f>
        <v>34.8645</v>
      </c>
      <c r="F221" s="10">
        <f>34.8624 * CHOOSE(CONTROL!$C$9, $D$9, 100%, $F$9) + CHOOSE(CONTROL!$C$27, 0.0021, 0)</f>
        <v>34.8645</v>
      </c>
      <c r="G221" s="10">
        <f>35.1338 * CHOOSE(CONTROL!$C$9, $D$9, 100%, $F$9) + CHOOSE(CONTROL!$C$27, 0.0021, 0)</f>
        <v>35.135899999999999</v>
      </c>
      <c r="H221" s="10">
        <f>34.9991 * CHOOSE(CONTROL!$C$9, $D$9, 100%, $F$9) + CHOOSE(CONTROL!$C$27, 0.0021, 0)</f>
        <v>35.001199999999997</v>
      </c>
      <c r="I221" s="10">
        <f>34.9991 * CHOOSE(CONTROL!$C$9, $D$9, 100%, $F$9) + CHOOSE(CONTROL!$C$27, 0.0021, 0)</f>
        <v>35.001199999999997</v>
      </c>
      <c r="J221" s="10">
        <f>34.9991 * CHOOSE(CONTROL!$C$9, $D$9, 100%, $F$9) + CHOOSE(CONTROL!$C$27, 0.0021, 0)</f>
        <v>35.001199999999997</v>
      </c>
      <c r="K221" s="10">
        <f>34.9991 * CHOOSE(CONTROL!$C$9, $D$9, 100%, $F$9) + CHOOSE(CONTROL!$C$27, 0.0021, 0)</f>
        <v>35.001199999999997</v>
      </c>
      <c r="L221" s="10"/>
    </row>
    <row r="222" spans="1:12" ht="15" x14ac:dyDescent="0.2">
      <c r="A222" s="16">
        <v>48030</v>
      </c>
      <c r="B222" s="10">
        <f>36.0966 * CHOOSE(CONTROL!$C$9, $D$9, 100%, $F$9) + CHOOSE(CONTROL!$C$27, 0.0021, 0)</f>
        <v>36.098700000000001</v>
      </c>
      <c r="C222" s="10">
        <f>35.6644 * CHOOSE(CONTROL!$C$9, $D$9, 100%, $F$9) + CHOOSE(CONTROL!$C$27, 0.0021, 0)</f>
        <v>35.666499999999999</v>
      </c>
      <c r="D222" s="10">
        <f>35.6644 * CHOOSE(CONTROL!$C$9, $D$9, 100%, $F$9) + CHOOSE(CONTROL!$C$27, 0.0021, 0)</f>
        <v>35.666499999999999</v>
      </c>
      <c r="E222" s="10">
        <f>35.5277 * CHOOSE(CONTROL!$C$9, $D$9, 100%, $F$9) + CHOOSE(CONTROL!$C$27, 0.0021, 0)</f>
        <v>35.529800000000002</v>
      </c>
      <c r="F222" s="10">
        <f>35.5277 * CHOOSE(CONTROL!$C$9, $D$9, 100%, $F$9) + CHOOSE(CONTROL!$C$27, 0.0021, 0)</f>
        <v>35.529800000000002</v>
      </c>
      <c r="G222" s="10">
        <f>35.7991 * CHOOSE(CONTROL!$C$9, $D$9, 100%, $F$9) + CHOOSE(CONTROL!$C$27, 0.0021, 0)</f>
        <v>35.801200000000001</v>
      </c>
      <c r="H222" s="10">
        <f>35.6644 * CHOOSE(CONTROL!$C$9, $D$9, 100%, $F$9) + CHOOSE(CONTROL!$C$27, 0.0021, 0)</f>
        <v>35.666499999999999</v>
      </c>
      <c r="I222" s="10">
        <f>35.6644 * CHOOSE(CONTROL!$C$9, $D$9, 100%, $F$9) + CHOOSE(CONTROL!$C$27, 0.0021, 0)</f>
        <v>35.666499999999999</v>
      </c>
      <c r="J222" s="10">
        <f>35.6644 * CHOOSE(CONTROL!$C$9, $D$9, 100%, $F$9) + CHOOSE(CONTROL!$C$27, 0.0021, 0)</f>
        <v>35.666499999999999</v>
      </c>
      <c r="K222" s="10">
        <f>35.6644 * CHOOSE(CONTROL!$C$9, $D$9, 100%, $F$9) + CHOOSE(CONTROL!$C$27, 0.0021, 0)</f>
        <v>35.666499999999999</v>
      </c>
      <c r="L222" s="10"/>
    </row>
    <row r="223" spans="1:12" ht="15" x14ac:dyDescent="0.2">
      <c r="A223" s="16">
        <v>48061</v>
      </c>
      <c r="B223" s="10">
        <f>36.2997 * CHOOSE(CONTROL!$C$9, $D$9, 100%, $F$9) + CHOOSE(CONTROL!$C$27, 0.0021, 0)</f>
        <v>36.3018</v>
      </c>
      <c r="C223" s="10">
        <f>35.8674 * CHOOSE(CONTROL!$C$9, $D$9, 100%, $F$9) + CHOOSE(CONTROL!$C$27, 0.0021, 0)</f>
        <v>35.869500000000002</v>
      </c>
      <c r="D223" s="10">
        <f>35.8674 * CHOOSE(CONTROL!$C$9, $D$9, 100%, $F$9) + CHOOSE(CONTROL!$C$27, 0.0021, 0)</f>
        <v>35.869500000000002</v>
      </c>
      <c r="E223" s="10">
        <f>35.7308 * CHOOSE(CONTROL!$C$9, $D$9, 100%, $F$9) + CHOOSE(CONTROL!$C$27, 0.0021, 0)</f>
        <v>35.732900000000001</v>
      </c>
      <c r="F223" s="10">
        <f>35.7308 * CHOOSE(CONTROL!$C$9, $D$9, 100%, $F$9) + CHOOSE(CONTROL!$C$27, 0.0021, 0)</f>
        <v>35.732900000000001</v>
      </c>
      <c r="G223" s="10">
        <f>36.0022 * CHOOSE(CONTROL!$C$9, $D$9, 100%, $F$9) + CHOOSE(CONTROL!$C$27, 0.0021, 0)</f>
        <v>36.004300000000001</v>
      </c>
      <c r="H223" s="10">
        <f>35.8674 * CHOOSE(CONTROL!$C$9, $D$9, 100%, $F$9) + CHOOSE(CONTROL!$C$27, 0.0021, 0)</f>
        <v>35.869500000000002</v>
      </c>
      <c r="I223" s="10">
        <f>35.8674 * CHOOSE(CONTROL!$C$9, $D$9, 100%, $F$9) + CHOOSE(CONTROL!$C$27, 0.0021, 0)</f>
        <v>35.869500000000002</v>
      </c>
      <c r="J223" s="10">
        <f>35.8674 * CHOOSE(CONTROL!$C$9, $D$9, 100%, $F$9) + CHOOSE(CONTROL!$C$27, 0.0021, 0)</f>
        <v>35.869500000000002</v>
      </c>
      <c r="K223" s="10">
        <f>35.8674 * CHOOSE(CONTROL!$C$9, $D$9, 100%, $F$9) + CHOOSE(CONTROL!$C$27, 0.0021, 0)</f>
        <v>35.869500000000002</v>
      </c>
      <c r="L223" s="10"/>
    </row>
    <row r="224" spans="1:12" ht="15" x14ac:dyDescent="0.2">
      <c r="A224" s="16">
        <v>48092</v>
      </c>
      <c r="B224" s="10">
        <f>36.9912 * CHOOSE(CONTROL!$C$9, $D$9, 100%, $F$9) + CHOOSE(CONTROL!$C$27, 0.0021, 0)</f>
        <v>36.993299999999998</v>
      </c>
      <c r="C224" s="10">
        <f>36.559 * CHOOSE(CONTROL!$C$9, $D$9, 100%, $F$9) + CHOOSE(CONTROL!$C$27, 0.0021, 0)</f>
        <v>36.561099999999996</v>
      </c>
      <c r="D224" s="10">
        <f>36.559 * CHOOSE(CONTROL!$C$9, $D$9, 100%, $F$9) + CHOOSE(CONTROL!$C$27, 0.0021, 0)</f>
        <v>36.561099999999996</v>
      </c>
      <c r="E224" s="10">
        <f>36.4223 * CHOOSE(CONTROL!$C$9, $D$9, 100%, $F$9) + CHOOSE(CONTROL!$C$27, 0.0021, 0)</f>
        <v>36.424399999999999</v>
      </c>
      <c r="F224" s="10">
        <f>36.4223 * CHOOSE(CONTROL!$C$9, $D$9, 100%, $F$9) + CHOOSE(CONTROL!$C$27, 0.0021, 0)</f>
        <v>36.424399999999999</v>
      </c>
      <c r="G224" s="10">
        <f>36.6937 * CHOOSE(CONTROL!$C$9, $D$9, 100%, $F$9) + CHOOSE(CONTROL!$C$27, 0.0021, 0)</f>
        <v>36.695799999999998</v>
      </c>
      <c r="H224" s="10">
        <f>36.559 * CHOOSE(CONTROL!$C$9, $D$9, 100%, $F$9) + CHOOSE(CONTROL!$C$27, 0.0021, 0)</f>
        <v>36.561099999999996</v>
      </c>
      <c r="I224" s="10">
        <f>36.559 * CHOOSE(CONTROL!$C$9, $D$9, 100%, $F$9) + CHOOSE(CONTROL!$C$27, 0.0021, 0)</f>
        <v>36.561099999999996</v>
      </c>
      <c r="J224" s="10">
        <f>36.559 * CHOOSE(CONTROL!$C$9, $D$9, 100%, $F$9) + CHOOSE(CONTROL!$C$27, 0.0021, 0)</f>
        <v>36.561099999999996</v>
      </c>
      <c r="K224" s="10">
        <f>36.559 * CHOOSE(CONTROL!$C$9, $D$9, 100%, $F$9) + CHOOSE(CONTROL!$C$27, 0.0021, 0)</f>
        <v>36.561099999999996</v>
      </c>
      <c r="L224" s="10"/>
    </row>
    <row r="225" spans="1:12" ht="15" x14ac:dyDescent="0.2">
      <c r="A225" s="16">
        <v>48122</v>
      </c>
      <c r="B225" s="10">
        <f>37.8666 * CHOOSE(CONTROL!$C$9, $D$9, 100%, $F$9) + CHOOSE(CONTROL!$C$27, 0.0021, 0)</f>
        <v>37.868699999999997</v>
      </c>
      <c r="C225" s="10">
        <f>37.4343 * CHOOSE(CONTROL!$C$9, $D$9, 100%, $F$9) + CHOOSE(CONTROL!$C$27, 0.0021, 0)</f>
        <v>37.436399999999999</v>
      </c>
      <c r="D225" s="10">
        <f>37.4343 * CHOOSE(CONTROL!$C$9, $D$9, 100%, $F$9) + CHOOSE(CONTROL!$C$27, 0.0021, 0)</f>
        <v>37.436399999999999</v>
      </c>
      <c r="E225" s="10">
        <f>37.2977 * CHOOSE(CONTROL!$C$9, $D$9, 100%, $F$9) + CHOOSE(CONTROL!$C$27, 0.0021, 0)</f>
        <v>37.299799999999998</v>
      </c>
      <c r="F225" s="10">
        <f>37.2977 * CHOOSE(CONTROL!$C$9, $D$9, 100%, $F$9) + CHOOSE(CONTROL!$C$27, 0.0021, 0)</f>
        <v>37.299799999999998</v>
      </c>
      <c r="G225" s="10">
        <f>37.5691 * CHOOSE(CONTROL!$C$9, $D$9, 100%, $F$9) + CHOOSE(CONTROL!$C$27, 0.0021, 0)</f>
        <v>37.571199999999997</v>
      </c>
      <c r="H225" s="10">
        <f>37.4343 * CHOOSE(CONTROL!$C$9, $D$9, 100%, $F$9) + CHOOSE(CONTROL!$C$27, 0.0021, 0)</f>
        <v>37.436399999999999</v>
      </c>
      <c r="I225" s="10">
        <f>37.4343 * CHOOSE(CONTROL!$C$9, $D$9, 100%, $F$9) + CHOOSE(CONTROL!$C$27, 0.0021, 0)</f>
        <v>37.436399999999999</v>
      </c>
      <c r="J225" s="10">
        <f>37.4343 * CHOOSE(CONTROL!$C$9, $D$9, 100%, $F$9) + CHOOSE(CONTROL!$C$27, 0.0021, 0)</f>
        <v>37.436399999999999</v>
      </c>
      <c r="K225" s="10">
        <f>37.4343 * CHOOSE(CONTROL!$C$9, $D$9, 100%, $F$9) + CHOOSE(CONTROL!$C$27, 0.0021, 0)</f>
        <v>37.436399999999999</v>
      </c>
      <c r="L225" s="10"/>
    </row>
    <row r="226" spans="1:12" ht="15" x14ac:dyDescent="0.2">
      <c r="A226" s="16">
        <v>48153</v>
      </c>
      <c r="B226" s="10">
        <f>37.9488 * CHOOSE(CONTROL!$C$9, $D$9, 100%, $F$9) + CHOOSE(CONTROL!$C$27, 0.0021, 0)</f>
        <v>37.950899999999997</v>
      </c>
      <c r="C226" s="10">
        <f>37.5165 * CHOOSE(CONTROL!$C$9, $D$9, 100%, $F$9) + CHOOSE(CONTROL!$C$27, 0.0021, 0)</f>
        <v>37.518599999999999</v>
      </c>
      <c r="D226" s="10">
        <f>37.5165 * CHOOSE(CONTROL!$C$9, $D$9, 100%, $F$9) + CHOOSE(CONTROL!$C$27, 0.0021, 0)</f>
        <v>37.518599999999999</v>
      </c>
      <c r="E226" s="10">
        <f>37.3799 * CHOOSE(CONTROL!$C$9, $D$9, 100%, $F$9) + CHOOSE(CONTROL!$C$27, 0.0021, 0)</f>
        <v>37.381999999999998</v>
      </c>
      <c r="F226" s="10">
        <f>37.3799 * CHOOSE(CONTROL!$C$9, $D$9, 100%, $F$9) + CHOOSE(CONTROL!$C$27, 0.0021, 0)</f>
        <v>37.381999999999998</v>
      </c>
      <c r="G226" s="10">
        <f>37.6512 * CHOOSE(CONTROL!$C$9, $D$9, 100%, $F$9) + CHOOSE(CONTROL!$C$27, 0.0021, 0)</f>
        <v>37.653300000000002</v>
      </c>
      <c r="H226" s="10">
        <f>37.5165 * CHOOSE(CONTROL!$C$9, $D$9, 100%, $F$9) + CHOOSE(CONTROL!$C$27, 0.0021, 0)</f>
        <v>37.518599999999999</v>
      </c>
      <c r="I226" s="10">
        <f>37.5165 * CHOOSE(CONTROL!$C$9, $D$9, 100%, $F$9) + CHOOSE(CONTROL!$C$27, 0.0021, 0)</f>
        <v>37.518599999999999</v>
      </c>
      <c r="J226" s="10">
        <f>37.5165 * CHOOSE(CONTROL!$C$9, $D$9, 100%, $F$9) + CHOOSE(CONTROL!$C$27, 0.0021, 0)</f>
        <v>37.518599999999999</v>
      </c>
      <c r="K226" s="10">
        <f>37.5165 * CHOOSE(CONTROL!$C$9, $D$9, 100%, $F$9) + CHOOSE(CONTROL!$C$27, 0.0021, 0)</f>
        <v>37.518599999999999</v>
      </c>
      <c r="L226" s="10"/>
    </row>
    <row r="227" spans="1:12" ht="15" x14ac:dyDescent="0.2">
      <c r="A227" s="16">
        <v>48183</v>
      </c>
      <c r="B227" s="10">
        <f>37.2496 * CHOOSE(CONTROL!$C$9, $D$9, 100%, $F$9) + CHOOSE(CONTROL!$C$27, 0.0021, 0)</f>
        <v>37.2517</v>
      </c>
      <c r="C227" s="10">
        <f>36.8174 * CHOOSE(CONTROL!$C$9, $D$9, 100%, $F$9) + CHOOSE(CONTROL!$C$27, 0.0021, 0)</f>
        <v>36.819499999999998</v>
      </c>
      <c r="D227" s="10">
        <f>36.8174 * CHOOSE(CONTROL!$C$9, $D$9, 100%, $F$9) + CHOOSE(CONTROL!$C$27, 0.0021, 0)</f>
        <v>36.819499999999998</v>
      </c>
      <c r="E227" s="10">
        <f>36.6807 * CHOOSE(CONTROL!$C$9, $D$9, 100%, $F$9) + CHOOSE(CONTROL!$C$27, 0.0021, 0)</f>
        <v>36.6828</v>
      </c>
      <c r="F227" s="10">
        <f>36.6807 * CHOOSE(CONTROL!$C$9, $D$9, 100%, $F$9) + CHOOSE(CONTROL!$C$27, 0.0021, 0)</f>
        <v>36.6828</v>
      </c>
      <c r="G227" s="10">
        <f>36.9521 * CHOOSE(CONTROL!$C$9, $D$9, 100%, $F$9) + CHOOSE(CONTROL!$C$27, 0.0021, 0)</f>
        <v>36.9542</v>
      </c>
      <c r="H227" s="10">
        <f>36.8174 * CHOOSE(CONTROL!$C$9, $D$9, 100%, $F$9) + CHOOSE(CONTROL!$C$27, 0.0021, 0)</f>
        <v>36.819499999999998</v>
      </c>
      <c r="I227" s="10">
        <f>36.8174 * CHOOSE(CONTROL!$C$9, $D$9, 100%, $F$9) + CHOOSE(CONTROL!$C$27, 0.0021, 0)</f>
        <v>36.819499999999998</v>
      </c>
      <c r="J227" s="10">
        <f>36.8174 * CHOOSE(CONTROL!$C$9, $D$9, 100%, $F$9) + CHOOSE(CONTROL!$C$27, 0.0021, 0)</f>
        <v>36.819499999999998</v>
      </c>
      <c r="K227" s="10">
        <f>36.8174 * CHOOSE(CONTROL!$C$9, $D$9, 100%, $F$9) + CHOOSE(CONTROL!$C$27, 0.0021, 0)</f>
        <v>36.819499999999998</v>
      </c>
      <c r="L227" s="10"/>
    </row>
    <row r="228" spans="1:12" ht="15" x14ac:dyDescent="0.2">
      <c r="A228" s="16">
        <v>48214</v>
      </c>
      <c r="B228" s="10">
        <f>36.7143 * CHOOSE(CONTROL!$C$9, $D$9, 100%, $F$9) + CHOOSE(CONTROL!$C$27, 0.0021, 0)</f>
        <v>36.7164</v>
      </c>
      <c r="C228" s="10">
        <f>36.2821 * CHOOSE(CONTROL!$C$9, $D$9, 100%, $F$9) + CHOOSE(CONTROL!$C$27, 0.0021, 0)</f>
        <v>36.284199999999998</v>
      </c>
      <c r="D228" s="10">
        <f>36.2821 * CHOOSE(CONTROL!$C$9, $D$9, 100%, $F$9) + CHOOSE(CONTROL!$C$27, 0.0021, 0)</f>
        <v>36.284199999999998</v>
      </c>
      <c r="E228" s="10">
        <f>36.1454 * CHOOSE(CONTROL!$C$9, $D$9, 100%, $F$9) + CHOOSE(CONTROL!$C$27, 0.0021, 0)</f>
        <v>36.147500000000001</v>
      </c>
      <c r="F228" s="10">
        <f>36.1454 * CHOOSE(CONTROL!$C$9, $D$9, 100%, $F$9) + CHOOSE(CONTROL!$C$27, 0.0021, 0)</f>
        <v>36.147500000000001</v>
      </c>
      <c r="G228" s="10">
        <f>36.4168 * CHOOSE(CONTROL!$C$9, $D$9, 100%, $F$9) + CHOOSE(CONTROL!$C$27, 0.0021, 0)</f>
        <v>36.418900000000001</v>
      </c>
      <c r="H228" s="10">
        <f>36.2821 * CHOOSE(CONTROL!$C$9, $D$9, 100%, $F$9) + CHOOSE(CONTROL!$C$27, 0.0021, 0)</f>
        <v>36.284199999999998</v>
      </c>
      <c r="I228" s="10">
        <f>36.2821 * CHOOSE(CONTROL!$C$9, $D$9, 100%, $F$9) + CHOOSE(CONTROL!$C$27, 0.0021, 0)</f>
        <v>36.284199999999998</v>
      </c>
      <c r="J228" s="10">
        <f>36.2821 * CHOOSE(CONTROL!$C$9, $D$9, 100%, $F$9) + CHOOSE(CONTROL!$C$27, 0.0021, 0)</f>
        <v>36.284199999999998</v>
      </c>
      <c r="K228" s="10">
        <f>36.2821 * CHOOSE(CONTROL!$C$9, $D$9, 100%, $F$9) + CHOOSE(CONTROL!$C$27, 0.0021, 0)</f>
        <v>36.284199999999998</v>
      </c>
      <c r="L228" s="10"/>
    </row>
    <row r="229" spans="1:12" ht="15" x14ac:dyDescent="0.2">
      <c r="A229" s="16">
        <v>48245</v>
      </c>
      <c r="B229" s="10">
        <f>35.7407 * CHOOSE(CONTROL!$C$9, $D$9, 100%, $F$9) + CHOOSE(CONTROL!$C$27, 0.0021, 0)</f>
        <v>35.742799999999995</v>
      </c>
      <c r="C229" s="10">
        <f>35.3085 * CHOOSE(CONTROL!$C$9, $D$9, 100%, $F$9) + CHOOSE(CONTROL!$C$27, 0.0021, 0)</f>
        <v>35.310600000000001</v>
      </c>
      <c r="D229" s="10">
        <f>35.3085 * CHOOSE(CONTROL!$C$9, $D$9, 100%, $F$9) + CHOOSE(CONTROL!$C$27, 0.0021, 0)</f>
        <v>35.310600000000001</v>
      </c>
      <c r="E229" s="10">
        <f>35.1718 * CHOOSE(CONTROL!$C$9, $D$9, 100%, $F$9) + CHOOSE(CONTROL!$C$27, 0.0021, 0)</f>
        <v>35.173899999999996</v>
      </c>
      <c r="F229" s="10">
        <f>35.1718 * CHOOSE(CONTROL!$C$9, $D$9, 100%, $F$9) + CHOOSE(CONTROL!$C$27, 0.0021, 0)</f>
        <v>35.173899999999996</v>
      </c>
      <c r="G229" s="10">
        <f>35.4432 * CHOOSE(CONTROL!$C$9, $D$9, 100%, $F$9) + CHOOSE(CONTROL!$C$27, 0.0021, 0)</f>
        <v>35.445299999999996</v>
      </c>
      <c r="H229" s="10">
        <f>35.3085 * CHOOSE(CONTROL!$C$9, $D$9, 100%, $F$9) + CHOOSE(CONTROL!$C$27, 0.0021, 0)</f>
        <v>35.310600000000001</v>
      </c>
      <c r="I229" s="10">
        <f>35.3085 * CHOOSE(CONTROL!$C$9, $D$9, 100%, $F$9) + CHOOSE(CONTROL!$C$27, 0.0021, 0)</f>
        <v>35.310600000000001</v>
      </c>
      <c r="J229" s="10">
        <f>35.3085 * CHOOSE(CONTROL!$C$9, $D$9, 100%, $F$9) + CHOOSE(CONTROL!$C$27, 0.0021, 0)</f>
        <v>35.310600000000001</v>
      </c>
      <c r="K229" s="10">
        <f>35.3085 * CHOOSE(CONTROL!$C$9, $D$9, 100%, $F$9) + CHOOSE(CONTROL!$C$27, 0.0021, 0)</f>
        <v>35.310600000000001</v>
      </c>
      <c r="L229" s="10"/>
    </row>
    <row r="230" spans="1:12" ht="15" x14ac:dyDescent="0.2">
      <c r="A230" s="16">
        <v>48274</v>
      </c>
      <c r="B230" s="10">
        <f>35.3388 * CHOOSE(CONTROL!$C$9, $D$9, 100%, $F$9) + CHOOSE(CONTROL!$C$27, 0.0021, 0)</f>
        <v>35.340899999999998</v>
      </c>
      <c r="C230" s="10">
        <f>34.9065 * CHOOSE(CONTROL!$C$9, $D$9, 100%, $F$9) + CHOOSE(CONTROL!$C$27, 0.0021, 0)</f>
        <v>34.9086</v>
      </c>
      <c r="D230" s="10">
        <f>34.9065 * CHOOSE(CONTROL!$C$9, $D$9, 100%, $F$9) + CHOOSE(CONTROL!$C$27, 0.0021, 0)</f>
        <v>34.9086</v>
      </c>
      <c r="E230" s="10">
        <f>34.7699 * CHOOSE(CONTROL!$C$9, $D$9, 100%, $F$9) + CHOOSE(CONTROL!$C$27, 0.0021, 0)</f>
        <v>34.771999999999998</v>
      </c>
      <c r="F230" s="10">
        <f>34.7699 * CHOOSE(CONTROL!$C$9, $D$9, 100%, $F$9) + CHOOSE(CONTROL!$C$27, 0.0021, 0)</f>
        <v>34.771999999999998</v>
      </c>
      <c r="G230" s="10">
        <f>35.0413 * CHOOSE(CONTROL!$C$9, $D$9, 100%, $F$9) + CHOOSE(CONTROL!$C$27, 0.0021, 0)</f>
        <v>35.043399999999998</v>
      </c>
      <c r="H230" s="10">
        <f>34.9065 * CHOOSE(CONTROL!$C$9, $D$9, 100%, $F$9) + CHOOSE(CONTROL!$C$27, 0.0021, 0)</f>
        <v>34.9086</v>
      </c>
      <c r="I230" s="10">
        <f>34.9065 * CHOOSE(CONTROL!$C$9, $D$9, 100%, $F$9) + CHOOSE(CONTROL!$C$27, 0.0021, 0)</f>
        <v>34.9086</v>
      </c>
      <c r="J230" s="10">
        <f>34.9065 * CHOOSE(CONTROL!$C$9, $D$9, 100%, $F$9) + CHOOSE(CONTROL!$C$27, 0.0021, 0)</f>
        <v>34.9086</v>
      </c>
      <c r="K230" s="10">
        <f>34.9065 * CHOOSE(CONTROL!$C$9, $D$9, 100%, $F$9) + CHOOSE(CONTROL!$C$27, 0.0021, 0)</f>
        <v>34.9086</v>
      </c>
      <c r="L230" s="10"/>
    </row>
    <row r="231" spans="1:12" ht="15" x14ac:dyDescent="0.2">
      <c r="A231" s="16">
        <v>48305</v>
      </c>
      <c r="B231" s="10">
        <f>34.8589 * CHOOSE(CONTROL!$C$9, $D$9, 100%, $F$9) + CHOOSE(CONTROL!$C$27, 0.0021, 0)</f>
        <v>34.860999999999997</v>
      </c>
      <c r="C231" s="10">
        <f>34.4266 * CHOOSE(CONTROL!$C$9, $D$9, 100%, $F$9) + CHOOSE(CONTROL!$C$27, 0.0021, 0)</f>
        <v>34.428699999999999</v>
      </c>
      <c r="D231" s="10">
        <f>34.4266 * CHOOSE(CONTROL!$C$9, $D$9, 100%, $F$9) + CHOOSE(CONTROL!$C$27, 0.0021, 0)</f>
        <v>34.428699999999999</v>
      </c>
      <c r="E231" s="10">
        <f>34.29 * CHOOSE(CONTROL!$C$9, $D$9, 100%, $F$9) + CHOOSE(CONTROL!$C$27, 0.0021, 0)</f>
        <v>34.292099999999998</v>
      </c>
      <c r="F231" s="10">
        <f>34.29 * CHOOSE(CONTROL!$C$9, $D$9, 100%, $F$9) + CHOOSE(CONTROL!$C$27, 0.0021, 0)</f>
        <v>34.292099999999998</v>
      </c>
      <c r="G231" s="10">
        <f>34.5614 * CHOOSE(CONTROL!$C$9, $D$9, 100%, $F$9) + CHOOSE(CONTROL!$C$27, 0.0021, 0)</f>
        <v>34.563499999999998</v>
      </c>
      <c r="H231" s="10">
        <f>34.4266 * CHOOSE(CONTROL!$C$9, $D$9, 100%, $F$9) + CHOOSE(CONTROL!$C$27, 0.0021, 0)</f>
        <v>34.428699999999999</v>
      </c>
      <c r="I231" s="10">
        <f>34.4266 * CHOOSE(CONTROL!$C$9, $D$9, 100%, $F$9) + CHOOSE(CONTROL!$C$27, 0.0021, 0)</f>
        <v>34.428699999999999</v>
      </c>
      <c r="J231" s="10">
        <f>34.4266 * CHOOSE(CONTROL!$C$9, $D$9, 100%, $F$9) + CHOOSE(CONTROL!$C$27, 0.0021, 0)</f>
        <v>34.428699999999999</v>
      </c>
      <c r="K231" s="10">
        <f>34.4266 * CHOOSE(CONTROL!$C$9, $D$9, 100%, $F$9) + CHOOSE(CONTROL!$C$27, 0.0021, 0)</f>
        <v>34.428699999999999</v>
      </c>
      <c r="L231" s="10"/>
    </row>
    <row r="232" spans="1:12" ht="15" x14ac:dyDescent="0.2">
      <c r="A232" s="16">
        <v>48335</v>
      </c>
      <c r="B232" s="10">
        <f>35.5428 * CHOOSE(CONTROL!$C$9, $D$9, 100%, $F$9) + CHOOSE(CONTROL!$C$27, 0.0021, 0)</f>
        <v>35.544899999999998</v>
      </c>
      <c r="C232" s="10">
        <f>35.1106 * CHOOSE(CONTROL!$C$9, $D$9, 100%, $F$9) + CHOOSE(CONTROL!$C$27, 0.0021, 0)</f>
        <v>35.112699999999997</v>
      </c>
      <c r="D232" s="10">
        <f>35.1106 * CHOOSE(CONTROL!$C$9, $D$9, 100%, $F$9) + CHOOSE(CONTROL!$C$27, 0.0021, 0)</f>
        <v>35.112699999999997</v>
      </c>
      <c r="E232" s="10">
        <f>34.9739 * CHOOSE(CONTROL!$C$9, $D$9, 100%, $F$9) + CHOOSE(CONTROL!$C$27, 0.0021, 0)</f>
        <v>34.975999999999999</v>
      </c>
      <c r="F232" s="10">
        <f>34.9739 * CHOOSE(CONTROL!$C$9, $D$9, 100%, $F$9) + CHOOSE(CONTROL!$C$27, 0.0021, 0)</f>
        <v>34.975999999999999</v>
      </c>
      <c r="G232" s="10">
        <f>35.2453 * CHOOSE(CONTROL!$C$9, $D$9, 100%, $F$9) + CHOOSE(CONTROL!$C$27, 0.0021, 0)</f>
        <v>35.247399999999999</v>
      </c>
      <c r="H232" s="10">
        <f>35.1106 * CHOOSE(CONTROL!$C$9, $D$9, 100%, $F$9) + CHOOSE(CONTROL!$C$27, 0.0021, 0)</f>
        <v>35.112699999999997</v>
      </c>
      <c r="I232" s="10">
        <f>35.1106 * CHOOSE(CONTROL!$C$9, $D$9, 100%, $F$9) + CHOOSE(CONTROL!$C$27, 0.0021, 0)</f>
        <v>35.112699999999997</v>
      </c>
      <c r="J232" s="10">
        <f>35.1106 * CHOOSE(CONTROL!$C$9, $D$9, 100%, $F$9) + CHOOSE(CONTROL!$C$27, 0.0021, 0)</f>
        <v>35.112699999999997</v>
      </c>
      <c r="K232" s="10">
        <f>35.1106 * CHOOSE(CONTROL!$C$9, $D$9, 100%, $F$9) + CHOOSE(CONTROL!$C$27, 0.0021, 0)</f>
        <v>35.112699999999997</v>
      </c>
      <c r="L232" s="10"/>
    </row>
    <row r="233" spans="1:12" ht="15" x14ac:dyDescent="0.2">
      <c r="A233" s="16">
        <v>48366</v>
      </c>
      <c r="B233" s="10">
        <f>35.9524 * CHOOSE(CONTROL!$C$9, $D$9, 100%, $F$9) + CHOOSE(CONTROL!$C$27, 0.0021, 0)</f>
        <v>35.954499999999996</v>
      </c>
      <c r="C233" s="10">
        <f>35.5202 * CHOOSE(CONTROL!$C$9, $D$9, 100%, $F$9) + CHOOSE(CONTROL!$C$27, 0.0021, 0)</f>
        <v>35.522300000000001</v>
      </c>
      <c r="D233" s="10">
        <f>35.5202 * CHOOSE(CONTROL!$C$9, $D$9, 100%, $F$9) + CHOOSE(CONTROL!$C$27, 0.0021, 0)</f>
        <v>35.522300000000001</v>
      </c>
      <c r="E233" s="10">
        <f>35.3835 * CHOOSE(CONTROL!$C$9, $D$9, 100%, $F$9) + CHOOSE(CONTROL!$C$27, 0.0021, 0)</f>
        <v>35.385599999999997</v>
      </c>
      <c r="F233" s="10">
        <f>35.3835 * CHOOSE(CONTROL!$C$9, $D$9, 100%, $F$9) + CHOOSE(CONTROL!$C$27, 0.0021, 0)</f>
        <v>35.385599999999997</v>
      </c>
      <c r="G233" s="10">
        <f>35.6549 * CHOOSE(CONTROL!$C$9, $D$9, 100%, $F$9) + CHOOSE(CONTROL!$C$27, 0.0021, 0)</f>
        <v>35.656999999999996</v>
      </c>
      <c r="H233" s="10">
        <f>35.5202 * CHOOSE(CONTROL!$C$9, $D$9, 100%, $F$9) + CHOOSE(CONTROL!$C$27, 0.0021, 0)</f>
        <v>35.522300000000001</v>
      </c>
      <c r="I233" s="10">
        <f>35.5202 * CHOOSE(CONTROL!$C$9, $D$9, 100%, $F$9) + CHOOSE(CONTROL!$C$27, 0.0021, 0)</f>
        <v>35.522300000000001</v>
      </c>
      <c r="J233" s="10">
        <f>35.5202 * CHOOSE(CONTROL!$C$9, $D$9, 100%, $F$9) + CHOOSE(CONTROL!$C$27, 0.0021, 0)</f>
        <v>35.522300000000001</v>
      </c>
      <c r="K233" s="10">
        <f>35.5202 * CHOOSE(CONTROL!$C$9, $D$9, 100%, $F$9) + CHOOSE(CONTROL!$C$27, 0.0021, 0)</f>
        <v>35.522300000000001</v>
      </c>
      <c r="L233" s="10"/>
    </row>
    <row r="234" spans="1:12" ht="15" x14ac:dyDescent="0.2">
      <c r="A234" s="16">
        <v>48396</v>
      </c>
      <c r="B234" s="10">
        <f>36.6282 * CHOOSE(CONTROL!$C$9, $D$9, 100%, $F$9) + CHOOSE(CONTROL!$C$27, 0.0021, 0)</f>
        <v>36.630299999999998</v>
      </c>
      <c r="C234" s="10">
        <f>36.1959 * CHOOSE(CONTROL!$C$9, $D$9, 100%, $F$9) + CHOOSE(CONTROL!$C$27, 0.0021, 0)</f>
        <v>36.198</v>
      </c>
      <c r="D234" s="10">
        <f>36.1959 * CHOOSE(CONTROL!$C$9, $D$9, 100%, $F$9) + CHOOSE(CONTROL!$C$27, 0.0021, 0)</f>
        <v>36.198</v>
      </c>
      <c r="E234" s="10">
        <f>36.0593 * CHOOSE(CONTROL!$C$9, $D$9, 100%, $F$9) + CHOOSE(CONTROL!$C$27, 0.0021, 0)</f>
        <v>36.061399999999999</v>
      </c>
      <c r="F234" s="10">
        <f>36.0593 * CHOOSE(CONTROL!$C$9, $D$9, 100%, $F$9) + CHOOSE(CONTROL!$C$27, 0.0021, 0)</f>
        <v>36.061399999999999</v>
      </c>
      <c r="G234" s="10">
        <f>36.3307 * CHOOSE(CONTROL!$C$9, $D$9, 100%, $F$9) + CHOOSE(CONTROL!$C$27, 0.0021, 0)</f>
        <v>36.332799999999999</v>
      </c>
      <c r="H234" s="10">
        <f>36.1959 * CHOOSE(CONTROL!$C$9, $D$9, 100%, $F$9) + CHOOSE(CONTROL!$C$27, 0.0021, 0)</f>
        <v>36.198</v>
      </c>
      <c r="I234" s="10">
        <f>36.1959 * CHOOSE(CONTROL!$C$9, $D$9, 100%, $F$9) + CHOOSE(CONTROL!$C$27, 0.0021, 0)</f>
        <v>36.198</v>
      </c>
      <c r="J234" s="10">
        <f>36.1959 * CHOOSE(CONTROL!$C$9, $D$9, 100%, $F$9) + CHOOSE(CONTROL!$C$27, 0.0021, 0)</f>
        <v>36.198</v>
      </c>
      <c r="K234" s="10">
        <f>36.1959 * CHOOSE(CONTROL!$C$9, $D$9, 100%, $F$9) + CHOOSE(CONTROL!$C$27, 0.0021, 0)</f>
        <v>36.198</v>
      </c>
      <c r="L234" s="10"/>
    </row>
    <row r="235" spans="1:12" ht="15" x14ac:dyDescent="0.2">
      <c r="A235" s="16">
        <v>48427</v>
      </c>
      <c r="B235" s="10">
        <f>36.8344 * CHOOSE(CONTROL!$C$9, $D$9, 100%, $F$9) + CHOOSE(CONTROL!$C$27, 0.0021, 0)</f>
        <v>36.836500000000001</v>
      </c>
      <c r="C235" s="10">
        <f>36.4022 * CHOOSE(CONTROL!$C$9, $D$9, 100%, $F$9) + CHOOSE(CONTROL!$C$27, 0.0021, 0)</f>
        <v>36.404299999999999</v>
      </c>
      <c r="D235" s="10">
        <f>36.4022 * CHOOSE(CONTROL!$C$9, $D$9, 100%, $F$9) + CHOOSE(CONTROL!$C$27, 0.0021, 0)</f>
        <v>36.404299999999999</v>
      </c>
      <c r="E235" s="10">
        <f>36.2655 * CHOOSE(CONTROL!$C$9, $D$9, 100%, $F$9) + CHOOSE(CONTROL!$C$27, 0.0021, 0)</f>
        <v>36.267600000000002</v>
      </c>
      <c r="F235" s="10">
        <f>36.2655 * CHOOSE(CONTROL!$C$9, $D$9, 100%, $F$9) + CHOOSE(CONTROL!$C$27, 0.0021, 0)</f>
        <v>36.267600000000002</v>
      </c>
      <c r="G235" s="10">
        <f>36.5369 * CHOOSE(CONTROL!$C$9, $D$9, 100%, $F$9) + CHOOSE(CONTROL!$C$27, 0.0021, 0)</f>
        <v>36.539000000000001</v>
      </c>
      <c r="H235" s="10">
        <f>36.4022 * CHOOSE(CONTROL!$C$9, $D$9, 100%, $F$9) + CHOOSE(CONTROL!$C$27, 0.0021, 0)</f>
        <v>36.404299999999999</v>
      </c>
      <c r="I235" s="10">
        <f>36.4022 * CHOOSE(CONTROL!$C$9, $D$9, 100%, $F$9) + CHOOSE(CONTROL!$C$27, 0.0021, 0)</f>
        <v>36.404299999999999</v>
      </c>
      <c r="J235" s="10">
        <f>36.4022 * CHOOSE(CONTROL!$C$9, $D$9, 100%, $F$9) + CHOOSE(CONTROL!$C$27, 0.0021, 0)</f>
        <v>36.404299999999999</v>
      </c>
      <c r="K235" s="10">
        <f>36.4022 * CHOOSE(CONTROL!$C$9, $D$9, 100%, $F$9) + CHOOSE(CONTROL!$C$27, 0.0021, 0)</f>
        <v>36.404299999999999</v>
      </c>
      <c r="L235" s="10"/>
    </row>
    <row r="236" spans="1:12" ht="15" x14ac:dyDescent="0.2">
      <c r="A236" s="16">
        <v>48458</v>
      </c>
      <c r="B236" s="10">
        <f>37.5369 * CHOOSE(CONTROL!$C$9, $D$9, 100%, $F$9) + CHOOSE(CONTROL!$C$27, 0.0021, 0)</f>
        <v>37.539000000000001</v>
      </c>
      <c r="C236" s="10">
        <f>37.1046 * CHOOSE(CONTROL!$C$9, $D$9, 100%, $F$9) + CHOOSE(CONTROL!$C$27, 0.0021, 0)</f>
        <v>37.106699999999996</v>
      </c>
      <c r="D236" s="10">
        <f>37.1046 * CHOOSE(CONTROL!$C$9, $D$9, 100%, $F$9) + CHOOSE(CONTROL!$C$27, 0.0021, 0)</f>
        <v>37.106699999999996</v>
      </c>
      <c r="E236" s="10">
        <f>36.968 * CHOOSE(CONTROL!$C$9, $D$9, 100%, $F$9) + CHOOSE(CONTROL!$C$27, 0.0021, 0)</f>
        <v>36.970100000000002</v>
      </c>
      <c r="F236" s="10">
        <f>36.968 * CHOOSE(CONTROL!$C$9, $D$9, 100%, $F$9) + CHOOSE(CONTROL!$C$27, 0.0021, 0)</f>
        <v>36.970100000000002</v>
      </c>
      <c r="G236" s="10">
        <f>37.2393 * CHOOSE(CONTROL!$C$9, $D$9, 100%, $F$9) + CHOOSE(CONTROL!$C$27, 0.0021, 0)</f>
        <v>37.241399999999999</v>
      </c>
      <c r="H236" s="10">
        <f>37.1046 * CHOOSE(CONTROL!$C$9, $D$9, 100%, $F$9) + CHOOSE(CONTROL!$C$27, 0.0021, 0)</f>
        <v>37.106699999999996</v>
      </c>
      <c r="I236" s="10">
        <f>37.1046 * CHOOSE(CONTROL!$C$9, $D$9, 100%, $F$9) + CHOOSE(CONTROL!$C$27, 0.0021, 0)</f>
        <v>37.106699999999996</v>
      </c>
      <c r="J236" s="10">
        <f>37.1046 * CHOOSE(CONTROL!$C$9, $D$9, 100%, $F$9) + CHOOSE(CONTROL!$C$27, 0.0021, 0)</f>
        <v>37.106699999999996</v>
      </c>
      <c r="K236" s="10">
        <f>37.1046 * CHOOSE(CONTROL!$C$9, $D$9, 100%, $F$9) + CHOOSE(CONTROL!$C$27, 0.0021, 0)</f>
        <v>37.106699999999996</v>
      </c>
      <c r="L236" s="10"/>
    </row>
    <row r="237" spans="1:12" ht="15" x14ac:dyDescent="0.2">
      <c r="A237" s="16">
        <v>48488</v>
      </c>
      <c r="B237" s="10">
        <f>38.426 * CHOOSE(CONTROL!$C$9, $D$9, 100%, $F$9) + CHOOSE(CONTROL!$C$27, 0.0021, 0)</f>
        <v>38.428100000000001</v>
      </c>
      <c r="C237" s="10">
        <f>37.9937 * CHOOSE(CONTROL!$C$9, $D$9, 100%, $F$9) + CHOOSE(CONTROL!$C$27, 0.0021, 0)</f>
        <v>37.995799999999996</v>
      </c>
      <c r="D237" s="10">
        <f>37.9937 * CHOOSE(CONTROL!$C$9, $D$9, 100%, $F$9) + CHOOSE(CONTROL!$C$27, 0.0021, 0)</f>
        <v>37.995799999999996</v>
      </c>
      <c r="E237" s="10">
        <f>37.8571 * CHOOSE(CONTROL!$C$9, $D$9, 100%, $F$9) + CHOOSE(CONTROL!$C$27, 0.0021, 0)</f>
        <v>37.859200000000001</v>
      </c>
      <c r="F237" s="10">
        <f>37.8571 * CHOOSE(CONTROL!$C$9, $D$9, 100%, $F$9) + CHOOSE(CONTROL!$C$27, 0.0021, 0)</f>
        <v>37.859200000000001</v>
      </c>
      <c r="G237" s="10">
        <f>38.1285 * CHOOSE(CONTROL!$C$9, $D$9, 100%, $F$9) + CHOOSE(CONTROL!$C$27, 0.0021, 0)</f>
        <v>38.130600000000001</v>
      </c>
      <c r="H237" s="10">
        <f>37.9937 * CHOOSE(CONTROL!$C$9, $D$9, 100%, $F$9) + CHOOSE(CONTROL!$C$27, 0.0021, 0)</f>
        <v>37.995799999999996</v>
      </c>
      <c r="I237" s="10">
        <f>37.9937 * CHOOSE(CONTROL!$C$9, $D$9, 100%, $F$9) + CHOOSE(CONTROL!$C$27, 0.0021, 0)</f>
        <v>37.995799999999996</v>
      </c>
      <c r="J237" s="10">
        <f>37.9937 * CHOOSE(CONTROL!$C$9, $D$9, 100%, $F$9) + CHOOSE(CONTROL!$C$27, 0.0021, 0)</f>
        <v>37.995799999999996</v>
      </c>
      <c r="K237" s="10">
        <f>37.9937 * CHOOSE(CONTROL!$C$9, $D$9, 100%, $F$9) + CHOOSE(CONTROL!$C$27, 0.0021, 0)</f>
        <v>37.995799999999996</v>
      </c>
      <c r="L237" s="10"/>
    </row>
    <row r="238" spans="1:12" ht="15" x14ac:dyDescent="0.2">
      <c r="A238" s="16">
        <v>48519</v>
      </c>
      <c r="B238" s="10">
        <f>38.5095 * CHOOSE(CONTROL!$C$9, $D$9, 100%, $F$9) + CHOOSE(CONTROL!$C$27, 0.0021, 0)</f>
        <v>38.511600000000001</v>
      </c>
      <c r="C238" s="10">
        <f>38.0772 * CHOOSE(CONTROL!$C$9, $D$9, 100%, $F$9) + CHOOSE(CONTROL!$C$27, 0.0021, 0)</f>
        <v>38.079299999999996</v>
      </c>
      <c r="D238" s="10">
        <f>38.0772 * CHOOSE(CONTROL!$C$9, $D$9, 100%, $F$9) + CHOOSE(CONTROL!$C$27, 0.0021, 0)</f>
        <v>38.079299999999996</v>
      </c>
      <c r="E238" s="10">
        <f>37.9406 * CHOOSE(CONTROL!$C$9, $D$9, 100%, $F$9) + CHOOSE(CONTROL!$C$27, 0.0021, 0)</f>
        <v>37.942700000000002</v>
      </c>
      <c r="F238" s="10">
        <f>37.9406 * CHOOSE(CONTROL!$C$9, $D$9, 100%, $F$9) + CHOOSE(CONTROL!$C$27, 0.0021, 0)</f>
        <v>37.942700000000002</v>
      </c>
      <c r="G238" s="10">
        <f>38.2119 * CHOOSE(CONTROL!$C$9, $D$9, 100%, $F$9) + CHOOSE(CONTROL!$C$27, 0.0021, 0)</f>
        <v>38.213999999999999</v>
      </c>
      <c r="H238" s="10">
        <f>38.0772 * CHOOSE(CONTROL!$C$9, $D$9, 100%, $F$9) + CHOOSE(CONTROL!$C$27, 0.0021, 0)</f>
        <v>38.079299999999996</v>
      </c>
      <c r="I238" s="10">
        <f>38.0772 * CHOOSE(CONTROL!$C$9, $D$9, 100%, $F$9) + CHOOSE(CONTROL!$C$27, 0.0021, 0)</f>
        <v>38.079299999999996</v>
      </c>
      <c r="J238" s="10">
        <f>38.0772 * CHOOSE(CONTROL!$C$9, $D$9, 100%, $F$9) + CHOOSE(CONTROL!$C$27, 0.0021, 0)</f>
        <v>38.079299999999996</v>
      </c>
      <c r="K238" s="10">
        <f>38.0772 * CHOOSE(CONTROL!$C$9, $D$9, 100%, $F$9) + CHOOSE(CONTROL!$C$27, 0.0021, 0)</f>
        <v>38.079299999999996</v>
      </c>
      <c r="L238" s="10"/>
    </row>
    <row r="239" spans="1:12" ht="15" x14ac:dyDescent="0.2">
      <c r="A239" s="16">
        <v>48549</v>
      </c>
      <c r="B239" s="10">
        <f>37.7993 * CHOOSE(CONTROL!$C$9, $D$9, 100%, $F$9) + CHOOSE(CONTROL!$C$27, 0.0021, 0)</f>
        <v>37.801400000000001</v>
      </c>
      <c r="C239" s="10">
        <f>37.3671 * CHOOSE(CONTROL!$C$9, $D$9, 100%, $F$9) + CHOOSE(CONTROL!$C$27, 0.0021, 0)</f>
        <v>37.369199999999999</v>
      </c>
      <c r="D239" s="10">
        <f>37.3671 * CHOOSE(CONTROL!$C$9, $D$9, 100%, $F$9) + CHOOSE(CONTROL!$C$27, 0.0021, 0)</f>
        <v>37.369199999999999</v>
      </c>
      <c r="E239" s="10">
        <f>37.2304 * CHOOSE(CONTROL!$C$9, $D$9, 100%, $F$9) + CHOOSE(CONTROL!$C$27, 0.0021, 0)</f>
        <v>37.232500000000002</v>
      </c>
      <c r="F239" s="10">
        <f>37.2304 * CHOOSE(CONTROL!$C$9, $D$9, 100%, $F$9) + CHOOSE(CONTROL!$C$27, 0.0021, 0)</f>
        <v>37.232500000000002</v>
      </c>
      <c r="G239" s="10">
        <f>37.5018 * CHOOSE(CONTROL!$C$9, $D$9, 100%, $F$9) + CHOOSE(CONTROL!$C$27, 0.0021, 0)</f>
        <v>37.503900000000002</v>
      </c>
      <c r="H239" s="10">
        <f>37.3671 * CHOOSE(CONTROL!$C$9, $D$9, 100%, $F$9) + CHOOSE(CONTROL!$C$27, 0.0021, 0)</f>
        <v>37.369199999999999</v>
      </c>
      <c r="I239" s="10">
        <f>37.3671 * CHOOSE(CONTROL!$C$9, $D$9, 100%, $F$9) + CHOOSE(CONTROL!$C$27, 0.0021, 0)</f>
        <v>37.369199999999999</v>
      </c>
      <c r="J239" s="10">
        <f>37.3671 * CHOOSE(CONTROL!$C$9, $D$9, 100%, $F$9) + CHOOSE(CONTROL!$C$27, 0.0021, 0)</f>
        <v>37.369199999999999</v>
      </c>
      <c r="K239" s="10">
        <f>37.3671 * CHOOSE(CONTROL!$C$9, $D$9, 100%, $F$9) + CHOOSE(CONTROL!$C$27, 0.0021, 0)</f>
        <v>37.369199999999999</v>
      </c>
      <c r="L239" s="10"/>
    </row>
    <row r="240" spans="1:12" ht="15" x14ac:dyDescent="0.2">
      <c r="A240" s="16">
        <v>48580</v>
      </c>
      <c r="B240" s="10">
        <f>37.2556 * CHOOSE(CONTROL!$C$9, $D$9, 100%, $F$9) + CHOOSE(CONTROL!$C$27, 0.0021, 0)</f>
        <v>37.2577</v>
      </c>
      <c r="C240" s="10">
        <f>36.8234 * CHOOSE(CONTROL!$C$9, $D$9, 100%, $F$9) + CHOOSE(CONTROL!$C$27, 0.0021, 0)</f>
        <v>36.825499999999998</v>
      </c>
      <c r="D240" s="10">
        <f>36.8234 * CHOOSE(CONTROL!$C$9, $D$9, 100%, $F$9) + CHOOSE(CONTROL!$C$27, 0.0021, 0)</f>
        <v>36.825499999999998</v>
      </c>
      <c r="E240" s="10">
        <f>36.6867 * CHOOSE(CONTROL!$C$9, $D$9, 100%, $F$9) + CHOOSE(CONTROL!$C$27, 0.0021, 0)</f>
        <v>36.688800000000001</v>
      </c>
      <c r="F240" s="10">
        <f>36.6867 * CHOOSE(CONTROL!$C$9, $D$9, 100%, $F$9) + CHOOSE(CONTROL!$C$27, 0.0021, 0)</f>
        <v>36.688800000000001</v>
      </c>
      <c r="G240" s="10">
        <f>36.9581 * CHOOSE(CONTROL!$C$9, $D$9, 100%, $F$9) + CHOOSE(CONTROL!$C$27, 0.0021, 0)</f>
        <v>36.9602</v>
      </c>
      <c r="H240" s="10">
        <f>36.8234 * CHOOSE(CONTROL!$C$9, $D$9, 100%, $F$9) + CHOOSE(CONTROL!$C$27, 0.0021, 0)</f>
        <v>36.825499999999998</v>
      </c>
      <c r="I240" s="10">
        <f>36.8234 * CHOOSE(CONTROL!$C$9, $D$9, 100%, $F$9) + CHOOSE(CONTROL!$C$27, 0.0021, 0)</f>
        <v>36.825499999999998</v>
      </c>
      <c r="J240" s="10">
        <f>36.8234 * CHOOSE(CONTROL!$C$9, $D$9, 100%, $F$9) + CHOOSE(CONTROL!$C$27, 0.0021, 0)</f>
        <v>36.825499999999998</v>
      </c>
      <c r="K240" s="10">
        <f>36.8234 * CHOOSE(CONTROL!$C$9, $D$9, 100%, $F$9) + CHOOSE(CONTROL!$C$27, 0.0021, 0)</f>
        <v>36.825499999999998</v>
      </c>
      <c r="L240" s="10"/>
    </row>
    <row r="241" spans="1:12" ht="15" x14ac:dyDescent="0.2">
      <c r="A241" s="16">
        <v>48611</v>
      </c>
      <c r="B241" s="10">
        <f>36.2667 * CHOOSE(CONTROL!$C$9, $D$9, 100%, $F$9) + CHOOSE(CONTROL!$C$27, 0.0021, 0)</f>
        <v>36.268799999999999</v>
      </c>
      <c r="C241" s="10">
        <f>35.8344 * CHOOSE(CONTROL!$C$9, $D$9, 100%, $F$9) + CHOOSE(CONTROL!$C$27, 0.0021, 0)</f>
        <v>35.836500000000001</v>
      </c>
      <c r="D241" s="10">
        <f>35.8344 * CHOOSE(CONTROL!$C$9, $D$9, 100%, $F$9) + CHOOSE(CONTROL!$C$27, 0.0021, 0)</f>
        <v>35.836500000000001</v>
      </c>
      <c r="E241" s="10">
        <f>35.6978 * CHOOSE(CONTROL!$C$9, $D$9, 100%, $F$9) + CHOOSE(CONTROL!$C$27, 0.0021, 0)</f>
        <v>35.6999</v>
      </c>
      <c r="F241" s="10">
        <f>35.6978 * CHOOSE(CONTROL!$C$9, $D$9, 100%, $F$9) + CHOOSE(CONTROL!$C$27, 0.0021, 0)</f>
        <v>35.6999</v>
      </c>
      <c r="G241" s="10">
        <f>35.9691 * CHOOSE(CONTROL!$C$9, $D$9, 100%, $F$9) + CHOOSE(CONTROL!$C$27, 0.0021, 0)</f>
        <v>35.971199999999996</v>
      </c>
      <c r="H241" s="10">
        <f>35.8344 * CHOOSE(CONTROL!$C$9, $D$9, 100%, $F$9) + CHOOSE(CONTROL!$C$27, 0.0021, 0)</f>
        <v>35.836500000000001</v>
      </c>
      <c r="I241" s="10">
        <f>35.8344 * CHOOSE(CONTROL!$C$9, $D$9, 100%, $F$9) + CHOOSE(CONTROL!$C$27, 0.0021, 0)</f>
        <v>35.836500000000001</v>
      </c>
      <c r="J241" s="10">
        <f>35.8344 * CHOOSE(CONTROL!$C$9, $D$9, 100%, $F$9) + CHOOSE(CONTROL!$C$27, 0.0021, 0)</f>
        <v>35.836500000000001</v>
      </c>
      <c r="K241" s="10">
        <f>35.8344 * CHOOSE(CONTROL!$C$9, $D$9, 100%, $F$9) + CHOOSE(CONTROL!$C$27, 0.0021, 0)</f>
        <v>35.836500000000001</v>
      </c>
      <c r="L241" s="10"/>
    </row>
    <row r="242" spans="1:12" ht="15" x14ac:dyDescent="0.2">
      <c r="A242" s="16">
        <v>48639</v>
      </c>
      <c r="B242" s="10">
        <f>35.8584 * CHOOSE(CONTROL!$C$9, $D$9, 100%, $F$9) + CHOOSE(CONTROL!$C$27, 0.0021, 0)</f>
        <v>35.860500000000002</v>
      </c>
      <c r="C242" s="10">
        <f>35.4262 * CHOOSE(CONTROL!$C$9, $D$9, 100%, $F$9) + CHOOSE(CONTROL!$C$27, 0.0021, 0)</f>
        <v>35.4283</v>
      </c>
      <c r="D242" s="10">
        <f>35.4262 * CHOOSE(CONTROL!$C$9, $D$9, 100%, $F$9) + CHOOSE(CONTROL!$C$27, 0.0021, 0)</f>
        <v>35.4283</v>
      </c>
      <c r="E242" s="10">
        <f>35.2895 * CHOOSE(CONTROL!$C$9, $D$9, 100%, $F$9) + CHOOSE(CONTROL!$C$27, 0.0021, 0)</f>
        <v>35.291599999999995</v>
      </c>
      <c r="F242" s="10">
        <f>35.2895 * CHOOSE(CONTROL!$C$9, $D$9, 100%, $F$9) + CHOOSE(CONTROL!$C$27, 0.0021, 0)</f>
        <v>35.291599999999995</v>
      </c>
      <c r="G242" s="10">
        <f>35.5609 * CHOOSE(CONTROL!$C$9, $D$9, 100%, $F$9) + CHOOSE(CONTROL!$C$27, 0.0021, 0)</f>
        <v>35.562999999999995</v>
      </c>
      <c r="H242" s="10">
        <f>35.4262 * CHOOSE(CONTROL!$C$9, $D$9, 100%, $F$9) + CHOOSE(CONTROL!$C$27, 0.0021, 0)</f>
        <v>35.4283</v>
      </c>
      <c r="I242" s="10">
        <f>35.4262 * CHOOSE(CONTROL!$C$9, $D$9, 100%, $F$9) + CHOOSE(CONTROL!$C$27, 0.0021, 0)</f>
        <v>35.4283</v>
      </c>
      <c r="J242" s="10">
        <f>35.4262 * CHOOSE(CONTROL!$C$9, $D$9, 100%, $F$9) + CHOOSE(CONTROL!$C$27, 0.0021, 0)</f>
        <v>35.4283</v>
      </c>
      <c r="K242" s="10">
        <f>35.4262 * CHOOSE(CONTROL!$C$9, $D$9, 100%, $F$9) + CHOOSE(CONTROL!$C$27, 0.0021, 0)</f>
        <v>35.4283</v>
      </c>
      <c r="L242" s="10"/>
    </row>
    <row r="243" spans="1:12" ht="15" x14ac:dyDescent="0.2">
      <c r="A243" s="16">
        <v>48670</v>
      </c>
      <c r="B243" s="10">
        <f>35.371 * CHOOSE(CONTROL!$C$9, $D$9, 100%, $F$9) + CHOOSE(CONTROL!$C$27, 0.0021, 0)</f>
        <v>35.373100000000001</v>
      </c>
      <c r="C243" s="10">
        <f>34.9388 * CHOOSE(CONTROL!$C$9, $D$9, 100%, $F$9) + CHOOSE(CONTROL!$C$27, 0.0021, 0)</f>
        <v>34.940899999999999</v>
      </c>
      <c r="D243" s="10">
        <f>34.9388 * CHOOSE(CONTROL!$C$9, $D$9, 100%, $F$9) + CHOOSE(CONTROL!$C$27, 0.0021, 0)</f>
        <v>34.940899999999999</v>
      </c>
      <c r="E243" s="10">
        <f>34.8021 * CHOOSE(CONTROL!$C$9, $D$9, 100%, $F$9) + CHOOSE(CONTROL!$C$27, 0.0021, 0)</f>
        <v>34.804200000000002</v>
      </c>
      <c r="F243" s="10">
        <f>34.8021 * CHOOSE(CONTROL!$C$9, $D$9, 100%, $F$9) + CHOOSE(CONTROL!$C$27, 0.0021, 0)</f>
        <v>34.804200000000002</v>
      </c>
      <c r="G243" s="10">
        <f>35.0735 * CHOOSE(CONTROL!$C$9, $D$9, 100%, $F$9) + CHOOSE(CONTROL!$C$27, 0.0021, 0)</f>
        <v>35.075600000000001</v>
      </c>
      <c r="H243" s="10">
        <f>34.9388 * CHOOSE(CONTROL!$C$9, $D$9, 100%, $F$9) + CHOOSE(CONTROL!$C$27, 0.0021, 0)</f>
        <v>34.940899999999999</v>
      </c>
      <c r="I243" s="10">
        <f>34.9388 * CHOOSE(CONTROL!$C$9, $D$9, 100%, $F$9) + CHOOSE(CONTROL!$C$27, 0.0021, 0)</f>
        <v>34.940899999999999</v>
      </c>
      <c r="J243" s="10">
        <f>34.9388 * CHOOSE(CONTROL!$C$9, $D$9, 100%, $F$9) + CHOOSE(CONTROL!$C$27, 0.0021, 0)</f>
        <v>34.940899999999999</v>
      </c>
      <c r="K243" s="10">
        <f>34.9388 * CHOOSE(CONTROL!$C$9, $D$9, 100%, $F$9) + CHOOSE(CONTROL!$C$27, 0.0021, 0)</f>
        <v>34.940899999999999</v>
      </c>
      <c r="L243" s="10"/>
    </row>
    <row r="244" spans="1:12" ht="15" x14ac:dyDescent="0.2">
      <c r="A244" s="16">
        <v>48700</v>
      </c>
      <c r="B244" s="10">
        <f>36.0657 * CHOOSE(CONTROL!$C$9, $D$9, 100%, $F$9) + CHOOSE(CONTROL!$C$27, 0.0021, 0)</f>
        <v>36.067799999999998</v>
      </c>
      <c r="C244" s="10">
        <f>35.6334 * CHOOSE(CONTROL!$C$9, $D$9, 100%, $F$9) + CHOOSE(CONTROL!$C$27, 0.0021, 0)</f>
        <v>35.6355</v>
      </c>
      <c r="D244" s="10">
        <f>35.6334 * CHOOSE(CONTROL!$C$9, $D$9, 100%, $F$9) + CHOOSE(CONTROL!$C$27, 0.0021, 0)</f>
        <v>35.6355</v>
      </c>
      <c r="E244" s="10">
        <f>35.4968 * CHOOSE(CONTROL!$C$9, $D$9, 100%, $F$9) + CHOOSE(CONTROL!$C$27, 0.0021, 0)</f>
        <v>35.498899999999999</v>
      </c>
      <c r="F244" s="10">
        <f>35.4968 * CHOOSE(CONTROL!$C$9, $D$9, 100%, $F$9) + CHOOSE(CONTROL!$C$27, 0.0021, 0)</f>
        <v>35.498899999999999</v>
      </c>
      <c r="G244" s="10">
        <f>35.7681 * CHOOSE(CONTROL!$C$9, $D$9, 100%, $F$9) + CHOOSE(CONTROL!$C$27, 0.0021, 0)</f>
        <v>35.770199999999996</v>
      </c>
      <c r="H244" s="10">
        <f>35.6334 * CHOOSE(CONTROL!$C$9, $D$9, 100%, $F$9) + CHOOSE(CONTROL!$C$27, 0.0021, 0)</f>
        <v>35.6355</v>
      </c>
      <c r="I244" s="10">
        <f>35.6334 * CHOOSE(CONTROL!$C$9, $D$9, 100%, $F$9) + CHOOSE(CONTROL!$C$27, 0.0021, 0)</f>
        <v>35.6355</v>
      </c>
      <c r="J244" s="10">
        <f>35.6334 * CHOOSE(CONTROL!$C$9, $D$9, 100%, $F$9) + CHOOSE(CONTROL!$C$27, 0.0021, 0)</f>
        <v>35.6355</v>
      </c>
      <c r="K244" s="10">
        <f>35.6334 * CHOOSE(CONTROL!$C$9, $D$9, 100%, $F$9) + CHOOSE(CONTROL!$C$27, 0.0021, 0)</f>
        <v>35.6355</v>
      </c>
      <c r="L244" s="10"/>
    </row>
    <row r="245" spans="1:12" ht="15" x14ac:dyDescent="0.2">
      <c r="A245" s="16">
        <v>48731</v>
      </c>
      <c r="B245" s="10">
        <f>36.4817 * CHOOSE(CONTROL!$C$9, $D$9, 100%, $F$9) + CHOOSE(CONTROL!$C$27, 0.0021, 0)</f>
        <v>36.483799999999995</v>
      </c>
      <c r="C245" s="10">
        <f>36.0495 * CHOOSE(CONTROL!$C$9, $D$9, 100%, $F$9) + CHOOSE(CONTROL!$C$27, 0.0021, 0)</f>
        <v>36.051600000000001</v>
      </c>
      <c r="D245" s="10">
        <f>36.0495 * CHOOSE(CONTROL!$C$9, $D$9, 100%, $F$9) + CHOOSE(CONTROL!$C$27, 0.0021, 0)</f>
        <v>36.051600000000001</v>
      </c>
      <c r="E245" s="10">
        <f>35.9128 * CHOOSE(CONTROL!$C$9, $D$9, 100%, $F$9) + CHOOSE(CONTROL!$C$27, 0.0021, 0)</f>
        <v>35.914899999999996</v>
      </c>
      <c r="F245" s="10">
        <f>35.9128 * CHOOSE(CONTROL!$C$9, $D$9, 100%, $F$9) + CHOOSE(CONTROL!$C$27, 0.0021, 0)</f>
        <v>35.914899999999996</v>
      </c>
      <c r="G245" s="10">
        <f>36.1842 * CHOOSE(CONTROL!$C$9, $D$9, 100%, $F$9) + CHOOSE(CONTROL!$C$27, 0.0021, 0)</f>
        <v>36.186299999999996</v>
      </c>
      <c r="H245" s="10">
        <f>36.0495 * CHOOSE(CONTROL!$C$9, $D$9, 100%, $F$9) + CHOOSE(CONTROL!$C$27, 0.0021, 0)</f>
        <v>36.051600000000001</v>
      </c>
      <c r="I245" s="10">
        <f>36.0495 * CHOOSE(CONTROL!$C$9, $D$9, 100%, $F$9) + CHOOSE(CONTROL!$C$27, 0.0021, 0)</f>
        <v>36.051600000000001</v>
      </c>
      <c r="J245" s="10">
        <f>36.0495 * CHOOSE(CONTROL!$C$9, $D$9, 100%, $F$9) + CHOOSE(CONTROL!$C$27, 0.0021, 0)</f>
        <v>36.051600000000001</v>
      </c>
      <c r="K245" s="10">
        <f>36.0495 * CHOOSE(CONTROL!$C$9, $D$9, 100%, $F$9) + CHOOSE(CONTROL!$C$27, 0.0021, 0)</f>
        <v>36.051600000000001</v>
      </c>
      <c r="L245" s="10"/>
    </row>
    <row r="246" spans="1:12" ht="15" x14ac:dyDescent="0.2">
      <c r="A246" s="16">
        <v>48761</v>
      </c>
      <c r="B246" s="10">
        <f>37.1681 * CHOOSE(CONTROL!$C$9, $D$9, 100%, $F$9) + CHOOSE(CONTROL!$C$27, 0.0021, 0)</f>
        <v>37.170200000000001</v>
      </c>
      <c r="C246" s="10">
        <f>36.7359 * CHOOSE(CONTROL!$C$9, $D$9, 100%, $F$9) + CHOOSE(CONTROL!$C$27, 0.0021, 0)</f>
        <v>36.738</v>
      </c>
      <c r="D246" s="10">
        <f>36.7359 * CHOOSE(CONTROL!$C$9, $D$9, 100%, $F$9) + CHOOSE(CONTROL!$C$27, 0.0021, 0)</f>
        <v>36.738</v>
      </c>
      <c r="E246" s="10">
        <f>36.5992 * CHOOSE(CONTROL!$C$9, $D$9, 100%, $F$9) + CHOOSE(CONTROL!$C$27, 0.0021, 0)</f>
        <v>36.601300000000002</v>
      </c>
      <c r="F246" s="10">
        <f>36.5992 * CHOOSE(CONTROL!$C$9, $D$9, 100%, $F$9) + CHOOSE(CONTROL!$C$27, 0.0021, 0)</f>
        <v>36.601300000000002</v>
      </c>
      <c r="G246" s="10">
        <f>36.8706 * CHOOSE(CONTROL!$C$9, $D$9, 100%, $F$9) + CHOOSE(CONTROL!$C$27, 0.0021, 0)</f>
        <v>36.872700000000002</v>
      </c>
      <c r="H246" s="10">
        <f>36.7359 * CHOOSE(CONTROL!$C$9, $D$9, 100%, $F$9) + CHOOSE(CONTROL!$C$27, 0.0021, 0)</f>
        <v>36.738</v>
      </c>
      <c r="I246" s="10">
        <f>36.7359 * CHOOSE(CONTROL!$C$9, $D$9, 100%, $F$9) + CHOOSE(CONTROL!$C$27, 0.0021, 0)</f>
        <v>36.738</v>
      </c>
      <c r="J246" s="10">
        <f>36.7359 * CHOOSE(CONTROL!$C$9, $D$9, 100%, $F$9) + CHOOSE(CONTROL!$C$27, 0.0021, 0)</f>
        <v>36.738</v>
      </c>
      <c r="K246" s="10">
        <f>36.7359 * CHOOSE(CONTROL!$C$9, $D$9, 100%, $F$9) + CHOOSE(CONTROL!$C$27, 0.0021, 0)</f>
        <v>36.738</v>
      </c>
      <c r="L246" s="10"/>
    </row>
    <row r="247" spans="1:12" ht="15" x14ac:dyDescent="0.2">
      <c r="A247" s="16">
        <v>48792</v>
      </c>
      <c r="B247" s="10">
        <f>37.3776 * CHOOSE(CONTROL!$C$9, $D$9, 100%, $F$9) + CHOOSE(CONTROL!$C$27, 0.0021, 0)</f>
        <v>37.3797</v>
      </c>
      <c r="C247" s="10">
        <f>36.9454 * CHOOSE(CONTROL!$C$9, $D$9, 100%, $F$9) + CHOOSE(CONTROL!$C$27, 0.0021, 0)</f>
        <v>36.947499999999998</v>
      </c>
      <c r="D247" s="10">
        <f>36.9454 * CHOOSE(CONTROL!$C$9, $D$9, 100%, $F$9) + CHOOSE(CONTROL!$C$27, 0.0021, 0)</f>
        <v>36.947499999999998</v>
      </c>
      <c r="E247" s="10">
        <f>36.8087 * CHOOSE(CONTROL!$C$9, $D$9, 100%, $F$9) + CHOOSE(CONTROL!$C$27, 0.0021, 0)</f>
        <v>36.8108</v>
      </c>
      <c r="F247" s="10">
        <f>36.8087 * CHOOSE(CONTROL!$C$9, $D$9, 100%, $F$9) + CHOOSE(CONTROL!$C$27, 0.0021, 0)</f>
        <v>36.8108</v>
      </c>
      <c r="G247" s="10">
        <f>37.0801 * CHOOSE(CONTROL!$C$9, $D$9, 100%, $F$9) + CHOOSE(CONTROL!$C$27, 0.0021, 0)</f>
        <v>37.0822</v>
      </c>
      <c r="H247" s="10">
        <f>36.9454 * CHOOSE(CONTROL!$C$9, $D$9, 100%, $F$9) + CHOOSE(CONTROL!$C$27, 0.0021, 0)</f>
        <v>36.947499999999998</v>
      </c>
      <c r="I247" s="10">
        <f>36.9454 * CHOOSE(CONTROL!$C$9, $D$9, 100%, $F$9) + CHOOSE(CONTROL!$C$27, 0.0021, 0)</f>
        <v>36.947499999999998</v>
      </c>
      <c r="J247" s="10">
        <f>36.9454 * CHOOSE(CONTROL!$C$9, $D$9, 100%, $F$9) + CHOOSE(CONTROL!$C$27, 0.0021, 0)</f>
        <v>36.947499999999998</v>
      </c>
      <c r="K247" s="10">
        <f>36.9454 * CHOOSE(CONTROL!$C$9, $D$9, 100%, $F$9) + CHOOSE(CONTROL!$C$27, 0.0021, 0)</f>
        <v>36.947499999999998</v>
      </c>
      <c r="L247" s="10"/>
    </row>
    <row r="248" spans="1:12" ht="15" x14ac:dyDescent="0.2">
      <c r="A248" s="16">
        <v>48823</v>
      </c>
      <c r="B248" s="10">
        <f>38.0911 * CHOOSE(CONTROL!$C$9, $D$9, 100%, $F$9) + CHOOSE(CONTROL!$C$27, 0.0021, 0)</f>
        <v>38.093199999999996</v>
      </c>
      <c r="C248" s="10">
        <f>37.6588 * CHOOSE(CONTROL!$C$9, $D$9, 100%, $F$9) + CHOOSE(CONTROL!$C$27, 0.0021, 0)</f>
        <v>37.660899999999998</v>
      </c>
      <c r="D248" s="10">
        <f>37.6588 * CHOOSE(CONTROL!$C$9, $D$9, 100%, $F$9) + CHOOSE(CONTROL!$C$27, 0.0021, 0)</f>
        <v>37.660899999999998</v>
      </c>
      <c r="E248" s="10">
        <f>37.5222 * CHOOSE(CONTROL!$C$9, $D$9, 100%, $F$9) + CHOOSE(CONTROL!$C$27, 0.0021, 0)</f>
        <v>37.524299999999997</v>
      </c>
      <c r="F248" s="10">
        <f>37.5222 * CHOOSE(CONTROL!$C$9, $D$9, 100%, $F$9) + CHOOSE(CONTROL!$C$27, 0.0021, 0)</f>
        <v>37.524299999999997</v>
      </c>
      <c r="G248" s="10">
        <f>37.7935 * CHOOSE(CONTROL!$C$9, $D$9, 100%, $F$9) + CHOOSE(CONTROL!$C$27, 0.0021, 0)</f>
        <v>37.7956</v>
      </c>
      <c r="H248" s="10">
        <f>37.6588 * CHOOSE(CONTROL!$C$9, $D$9, 100%, $F$9) + CHOOSE(CONTROL!$C$27, 0.0021, 0)</f>
        <v>37.660899999999998</v>
      </c>
      <c r="I248" s="10">
        <f>37.6588 * CHOOSE(CONTROL!$C$9, $D$9, 100%, $F$9) + CHOOSE(CONTROL!$C$27, 0.0021, 0)</f>
        <v>37.660899999999998</v>
      </c>
      <c r="J248" s="10">
        <f>37.6588 * CHOOSE(CONTROL!$C$9, $D$9, 100%, $F$9) + CHOOSE(CONTROL!$C$27, 0.0021, 0)</f>
        <v>37.660899999999998</v>
      </c>
      <c r="K248" s="10">
        <f>37.6588 * CHOOSE(CONTROL!$C$9, $D$9, 100%, $F$9) + CHOOSE(CONTROL!$C$27, 0.0021, 0)</f>
        <v>37.660899999999998</v>
      </c>
      <c r="L248" s="10"/>
    </row>
    <row r="249" spans="1:12" ht="15" x14ac:dyDescent="0.2">
      <c r="A249" s="16">
        <v>48853</v>
      </c>
      <c r="B249" s="10">
        <f>38.9942 * CHOOSE(CONTROL!$C$9, $D$9, 100%, $F$9) + CHOOSE(CONTROL!$C$27, 0.0021, 0)</f>
        <v>38.996299999999998</v>
      </c>
      <c r="C249" s="10">
        <f>38.5619 * CHOOSE(CONTROL!$C$9, $D$9, 100%, $F$9) + CHOOSE(CONTROL!$C$27, 0.0021, 0)</f>
        <v>38.564</v>
      </c>
      <c r="D249" s="10">
        <f>38.5619 * CHOOSE(CONTROL!$C$9, $D$9, 100%, $F$9) + CHOOSE(CONTROL!$C$27, 0.0021, 0)</f>
        <v>38.564</v>
      </c>
      <c r="E249" s="10">
        <f>38.4253 * CHOOSE(CONTROL!$C$9, $D$9, 100%, $F$9) + CHOOSE(CONTROL!$C$27, 0.0021, 0)</f>
        <v>38.427399999999999</v>
      </c>
      <c r="F249" s="10">
        <f>38.4253 * CHOOSE(CONTROL!$C$9, $D$9, 100%, $F$9) + CHOOSE(CONTROL!$C$27, 0.0021, 0)</f>
        <v>38.427399999999999</v>
      </c>
      <c r="G249" s="10">
        <f>38.6967 * CHOOSE(CONTROL!$C$9, $D$9, 100%, $F$9) + CHOOSE(CONTROL!$C$27, 0.0021, 0)</f>
        <v>38.698799999999999</v>
      </c>
      <c r="H249" s="10">
        <f>38.5619 * CHOOSE(CONTROL!$C$9, $D$9, 100%, $F$9) + CHOOSE(CONTROL!$C$27, 0.0021, 0)</f>
        <v>38.564</v>
      </c>
      <c r="I249" s="10">
        <f>38.5619 * CHOOSE(CONTROL!$C$9, $D$9, 100%, $F$9) + CHOOSE(CONTROL!$C$27, 0.0021, 0)</f>
        <v>38.564</v>
      </c>
      <c r="J249" s="10">
        <f>38.5619 * CHOOSE(CONTROL!$C$9, $D$9, 100%, $F$9) + CHOOSE(CONTROL!$C$27, 0.0021, 0)</f>
        <v>38.564</v>
      </c>
      <c r="K249" s="10">
        <f>38.5619 * CHOOSE(CONTROL!$C$9, $D$9, 100%, $F$9) + CHOOSE(CONTROL!$C$27, 0.0021, 0)</f>
        <v>38.564</v>
      </c>
      <c r="L249" s="10"/>
    </row>
    <row r="250" spans="1:12" ht="15" x14ac:dyDescent="0.2">
      <c r="A250" s="16">
        <v>48884</v>
      </c>
      <c r="B250" s="10">
        <f>39.079 * CHOOSE(CONTROL!$C$9, $D$9, 100%, $F$9) + CHOOSE(CONTROL!$C$27, 0.0021, 0)</f>
        <v>39.081099999999999</v>
      </c>
      <c r="C250" s="10">
        <f>38.6467 * CHOOSE(CONTROL!$C$9, $D$9, 100%, $F$9) + CHOOSE(CONTROL!$C$27, 0.0021, 0)</f>
        <v>38.648800000000001</v>
      </c>
      <c r="D250" s="10">
        <f>38.6467 * CHOOSE(CONTROL!$C$9, $D$9, 100%, $F$9) + CHOOSE(CONTROL!$C$27, 0.0021, 0)</f>
        <v>38.648800000000001</v>
      </c>
      <c r="E250" s="10">
        <f>38.5101 * CHOOSE(CONTROL!$C$9, $D$9, 100%, $F$9) + CHOOSE(CONTROL!$C$27, 0.0021, 0)</f>
        <v>38.5122</v>
      </c>
      <c r="F250" s="10">
        <f>38.5101 * CHOOSE(CONTROL!$C$9, $D$9, 100%, $F$9) + CHOOSE(CONTROL!$C$27, 0.0021, 0)</f>
        <v>38.5122</v>
      </c>
      <c r="G250" s="10">
        <f>38.7814 * CHOOSE(CONTROL!$C$9, $D$9, 100%, $F$9) + CHOOSE(CONTROL!$C$27, 0.0021, 0)</f>
        <v>38.783499999999997</v>
      </c>
      <c r="H250" s="10">
        <f>38.6467 * CHOOSE(CONTROL!$C$9, $D$9, 100%, $F$9) + CHOOSE(CONTROL!$C$27, 0.0021, 0)</f>
        <v>38.648800000000001</v>
      </c>
      <c r="I250" s="10">
        <f>38.6467 * CHOOSE(CONTROL!$C$9, $D$9, 100%, $F$9) + CHOOSE(CONTROL!$C$27, 0.0021, 0)</f>
        <v>38.648800000000001</v>
      </c>
      <c r="J250" s="10">
        <f>38.6467 * CHOOSE(CONTROL!$C$9, $D$9, 100%, $F$9) + CHOOSE(CONTROL!$C$27, 0.0021, 0)</f>
        <v>38.648800000000001</v>
      </c>
      <c r="K250" s="10">
        <f>38.6467 * CHOOSE(CONTROL!$C$9, $D$9, 100%, $F$9) + CHOOSE(CONTROL!$C$27, 0.0021, 0)</f>
        <v>38.648800000000001</v>
      </c>
      <c r="L250" s="10"/>
    </row>
    <row r="251" spans="1:12" ht="15" x14ac:dyDescent="0.2">
      <c r="A251" s="16">
        <v>48914</v>
      </c>
      <c r="B251" s="10">
        <f>38.3577 * CHOOSE(CONTROL!$C$9, $D$9, 100%, $F$9) + CHOOSE(CONTROL!$C$27, 0.0021, 0)</f>
        <v>38.3598</v>
      </c>
      <c r="C251" s="10">
        <f>37.9254 * CHOOSE(CONTROL!$C$9, $D$9, 100%, $F$9) + CHOOSE(CONTROL!$C$27, 0.0021, 0)</f>
        <v>37.927500000000002</v>
      </c>
      <c r="D251" s="10">
        <f>37.9254 * CHOOSE(CONTROL!$C$9, $D$9, 100%, $F$9) + CHOOSE(CONTROL!$C$27, 0.0021, 0)</f>
        <v>37.927500000000002</v>
      </c>
      <c r="E251" s="10">
        <f>37.7888 * CHOOSE(CONTROL!$C$9, $D$9, 100%, $F$9) + CHOOSE(CONTROL!$C$27, 0.0021, 0)</f>
        <v>37.790900000000001</v>
      </c>
      <c r="F251" s="10">
        <f>37.7888 * CHOOSE(CONTROL!$C$9, $D$9, 100%, $F$9) + CHOOSE(CONTROL!$C$27, 0.0021, 0)</f>
        <v>37.790900000000001</v>
      </c>
      <c r="G251" s="10">
        <f>38.0601 * CHOOSE(CONTROL!$C$9, $D$9, 100%, $F$9) + CHOOSE(CONTROL!$C$27, 0.0021, 0)</f>
        <v>38.062199999999997</v>
      </c>
      <c r="H251" s="10">
        <f>37.9254 * CHOOSE(CONTROL!$C$9, $D$9, 100%, $F$9) + CHOOSE(CONTROL!$C$27, 0.0021, 0)</f>
        <v>37.927500000000002</v>
      </c>
      <c r="I251" s="10">
        <f>37.9254 * CHOOSE(CONTROL!$C$9, $D$9, 100%, $F$9) + CHOOSE(CONTROL!$C$27, 0.0021, 0)</f>
        <v>37.927500000000002</v>
      </c>
      <c r="J251" s="10">
        <f>37.9254 * CHOOSE(CONTROL!$C$9, $D$9, 100%, $F$9) + CHOOSE(CONTROL!$C$27, 0.0021, 0)</f>
        <v>37.927500000000002</v>
      </c>
      <c r="K251" s="10">
        <f>37.9254 * CHOOSE(CONTROL!$C$9, $D$9, 100%, $F$9) + CHOOSE(CONTROL!$C$27, 0.0021, 0)</f>
        <v>37.927500000000002</v>
      </c>
      <c r="L251" s="10"/>
    </row>
    <row r="252" spans="1:12" ht="15" x14ac:dyDescent="0.2">
      <c r="A252" s="16">
        <v>48945</v>
      </c>
      <c r="B252" s="10">
        <f>37.8054 * CHOOSE(CONTROL!$C$9, $D$9, 100%, $F$9) + CHOOSE(CONTROL!$C$27, 0.0021, 0)</f>
        <v>37.807499999999997</v>
      </c>
      <c r="C252" s="10">
        <f>37.3732 * CHOOSE(CONTROL!$C$9, $D$9, 100%, $F$9) + CHOOSE(CONTROL!$C$27, 0.0021, 0)</f>
        <v>37.375299999999996</v>
      </c>
      <c r="D252" s="10">
        <f>37.3732 * CHOOSE(CONTROL!$C$9, $D$9, 100%, $F$9) + CHOOSE(CONTROL!$C$27, 0.0021, 0)</f>
        <v>37.375299999999996</v>
      </c>
      <c r="E252" s="10">
        <f>37.2365 * CHOOSE(CONTROL!$C$9, $D$9, 100%, $F$9) + CHOOSE(CONTROL!$C$27, 0.0021, 0)</f>
        <v>37.238599999999998</v>
      </c>
      <c r="F252" s="10">
        <f>37.2365 * CHOOSE(CONTROL!$C$9, $D$9, 100%, $F$9) + CHOOSE(CONTROL!$C$27, 0.0021, 0)</f>
        <v>37.238599999999998</v>
      </c>
      <c r="G252" s="10">
        <f>37.5079 * CHOOSE(CONTROL!$C$9, $D$9, 100%, $F$9) + CHOOSE(CONTROL!$C$27, 0.0021, 0)</f>
        <v>37.51</v>
      </c>
      <c r="H252" s="10">
        <f>37.3732 * CHOOSE(CONTROL!$C$9, $D$9, 100%, $F$9) + CHOOSE(CONTROL!$C$27, 0.0021, 0)</f>
        <v>37.375299999999996</v>
      </c>
      <c r="I252" s="10">
        <f>37.3732 * CHOOSE(CONTROL!$C$9, $D$9, 100%, $F$9) + CHOOSE(CONTROL!$C$27, 0.0021, 0)</f>
        <v>37.375299999999996</v>
      </c>
      <c r="J252" s="10">
        <f>37.3732 * CHOOSE(CONTROL!$C$9, $D$9, 100%, $F$9) + CHOOSE(CONTROL!$C$27, 0.0021, 0)</f>
        <v>37.375299999999996</v>
      </c>
      <c r="K252" s="10">
        <f>37.3732 * CHOOSE(CONTROL!$C$9, $D$9, 100%, $F$9) + CHOOSE(CONTROL!$C$27, 0.0021, 0)</f>
        <v>37.375299999999996</v>
      </c>
      <c r="L252" s="10"/>
    </row>
    <row r="253" spans="1:12" ht="15" x14ac:dyDescent="0.2">
      <c r="A253" s="16">
        <v>48976</v>
      </c>
      <c r="B253" s="10">
        <f>36.8009 * CHOOSE(CONTROL!$C$9, $D$9, 100%, $F$9) + CHOOSE(CONTROL!$C$27, 0.0021, 0)</f>
        <v>36.802999999999997</v>
      </c>
      <c r="C253" s="10">
        <f>36.3687 * CHOOSE(CONTROL!$C$9, $D$9, 100%, $F$9) + CHOOSE(CONTROL!$C$27, 0.0021, 0)</f>
        <v>36.370799999999996</v>
      </c>
      <c r="D253" s="10">
        <f>36.3687 * CHOOSE(CONTROL!$C$9, $D$9, 100%, $F$9) + CHOOSE(CONTROL!$C$27, 0.0021, 0)</f>
        <v>36.370799999999996</v>
      </c>
      <c r="E253" s="10">
        <f>36.232 * CHOOSE(CONTROL!$C$9, $D$9, 100%, $F$9) + CHOOSE(CONTROL!$C$27, 0.0021, 0)</f>
        <v>36.234099999999998</v>
      </c>
      <c r="F253" s="10">
        <f>36.232 * CHOOSE(CONTROL!$C$9, $D$9, 100%, $F$9) + CHOOSE(CONTROL!$C$27, 0.0021, 0)</f>
        <v>36.234099999999998</v>
      </c>
      <c r="G253" s="10">
        <f>36.5034 * CHOOSE(CONTROL!$C$9, $D$9, 100%, $F$9) + CHOOSE(CONTROL!$C$27, 0.0021, 0)</f>
        <v>36.505499999999998</v>
      </c>
      <c r="H253" s="10">
        <f>36.3687 * CHOOSE(CONTROL!$C$9, $D$9, 100%, $F$9) + CHOOSE(CONTROL!$C$27, 0.0021, 0)</f>
        <v>36.370799999999996</v>
      </c>
      <c r="I253" s="10">
        <f>36.3687 * CHOOSE(CONTROL!$C$9, $D$9, 100%, $F$9) + CHOOSE(CONTROL!$C$27, 0.0021, 0)</f>
        <v>36.370799999999996</v>
      </c>
      <c r="J253" s="10">
        <f>36.3687 * CHOOSE(CONTROL!$C$9, $D$9, 100%, $F$9) + CHOOSE(CONTROL!$C$27, 0.0021, 0)</f>
        <v>36.370799999999996</v>
      </c>
      <c r="K253" s="10">
        <f>36.3687 * CHOOSE(CONTROL!$C$9, $D$9, 100%, $F$9) + CHOOSE(CONTROL!$C$27, 0.0021, 0)</f>
        <v>36.370799999999996</v>
      </c>
      <c r="L253" s="10"/>
    </row>
    <row r="254" spans="1:12" ht="15" x14ac:dyDescent="0.2">
      <c r="A254" s="16">
        <v>49004</v>
      </c>
      <c r="B254" s="10">
        <f>36.3863 * CHOOSE(CONTROL!$C$9, $D$9, 100%, $F$9) + CHOOSE(CONTROL!$C$27, 0.0021, 0)</f>
        <v>36.388399999999997</v>
      </c>
      <c r="C254" s="10">
        <f>35.954 * CHOOSE(CONTROL!$C$9, $D$9, 100%, $F$9) + CHOOSE(CONTROL!$C$27, 0.0021, 0)</f>
        <v>35.956099999999999</v>
      </c>
      <c r="D254" s="10">
        <f>35.954 * CHOOSE(CONTROL!$C$9, $D$9, 100%, $F$9) + CHOOSE(CONTROL!$C$27, 0.0021, 0)</f>
        <v>35.956099999999999</v>
      </c>
      <c r="E254" s="10">
        <f>35.8174 * CHOOSE(CONTROL!$C$9, $D$9, 100%, $F$9) + CHOOSE(CONTROL!$C$27, 0.0021, 0)</f>
        <v>35.819499999999998</v>
      </c>
      <c r="F254" s="10">
        <f>35.8174 * CHOOSE(CONTROL!$C$9, $D$9, 100%, $F$9) + CHOOSE(CONTROL!$C$27, 0.0021, 0)</f>
        <v>35.819499999999998</v>
      </c>
      <c r="G254" s="10">
        <f>36.0887 * CHOOSE(CONTROL!$C$9, $D$9, 100%, $F$9) + CHOOSE(CONTROL!$C$27, 0.0021, 0)</f>
        <v>36.090800000000002</v>
      </c>
      <c r="H254" s="10">
        <f>35.954 * CHOOSE(CONTROL!$C$9, $D$9, 100%, $F$9) + CHOOSE(CONTROL!$C$27, 0.0021, 0)</f>
        <v>35.956099999999999</v>
      </c>
      <c r="I254" s="10">
        <f>35.954 * CHOOSE(CONTROL!$C$9, $D$9, 100%, $F$9) + CHOOSE(CONTROL!$C$27, 0.0021, 0)</f>
        <v>35.956099999999999</v>
      </c>
      <c r="J254" s="10">
        <f>35.954 * CHOOSE(CONTROL!$C$9, $D$9, 100%, $F$9) + CHOOSE(CONTROL!$C$27, 0.0021, 0)</f>
        <v>35.956099999999999</v>
      </c>
      <c r="K254" s="10">
        <f>35.954 * CHOOSE(CONTROL!$C$9, $D$9, 100%, $F$9) + CHOOSE(CONTROL!$C$27, 0.0021, 0)</f>
        <v>35.956099999999999</v>
      </c>
      <c r="L254" s="10"/>
    </row>
    <row r="255" spans="1:12" ht="15" x14ac:dyDescent="0.2">
      <c r="A255" s="16">
        <v>49035</v>
      </c>
      <c r="B255" s="10">
        <f>35.8912 * CHOOSE(CONTROL!$C$9, $D$9, 100%, $F$9) + CHOOSE(CONTROL!$C$27, 0.0021, 0)</f>
        <v>35.893299999999996</v>
      </c>
      <c r="C255" s="10">
        <f>35.4589 * CHOOSE(CONTROL!$C$9, $D$9, 100%, $F$9) + CHOOSE(CONTROL!$C$27, 0.0021, 0)</f>
        <v>35.460999999999999</v>
      </c>
      <c r="D255" s="10">
        <f>35.4589 * CHOOSE(CONTROL!$C$9, $D$9, 100%, $F$9) + CHOOSE(CONTROL!$C$27, 0.0021, 0)</f>
        <v>35.460999999999999</v>
      </c>
      <c r="E255" s="10">
        <f>35.3223 * CHOOSE(CONTROL!$C$9, $D$9, 100%, $F$9) + CHOOSE(CONTROL!$C$27, 0.0021, 0)</f>
        <v>35.324399999999997</v>
      </c>
      <c r="F255" s="10">
        <f>35.3223 * CHOOSE(CONTROL!$C$9, $D$9, 100%, $F$9) + CHOOSE(CONTROL!$C$27, 0.0021, 0)</f>
        <v>35.324399999999997</v>
      </c>
      <c r="G255" s="10">
        <f>35.5936 * CHOOSE(CONTROL!$C$9, $D$9, 100%, $F$9) + CHOOSE(CONTROL!$C$27, 0.0021, 0)</f>
        <v>35.595700000000001</v>
      </c>
      <c r="H255" s="10">
        <f>35.4589 * CHOOSE(CONTROL!$C$9, $D$9, 100%, $F$9) + CHOOSE(CONTROL!$C$27, 0.0021, 0)</f>
        <v>35.460999999999999</v>
      </c>
      <c r="I255" s="10">
        <f>35.4589 * CHOOSE(CONTROL!$C$9, $D$9, 100%, $F$9) + CHOOSE(CONTROL!$C$27, 0.0021, 0)</f>
        <v>35.460999999999999</v>
      </c>
      <c r="J255" s="10">
        <f>35.4589 * CHOOSE(CONTROL!$C$9, $D$9, 100%, $F$9) + CHOOSE(CONTROL!$C$27, 0.0021, 0)</f>
        <v>35.460999999999999</v>
      </c>
      <c r="K255" s="10">
        <f>35.4589 * CHOOSE(CONTROL!$C$9, $D$9, 100%, $F$9) + CHOOSE(CONTROL!$C$27, 0.0021, 0)</f>
        <v>35.460999999999999</v>
      </c>
      <c r="L255" s="10"/>
    </row>
    <row r="256" spans="1:12" ht="15" x14ac:dyDescent="0.2">
      <c r="A256" s="16">
        <v>49065</v>
      </c>
      <c r="B256" s="10">
        <f>36.5967 * CHOOSE(CONTROL!$C$9, $D$9, 100%, $F$9) + CHOOSE(CONTROL!$C$27, 0.0021, 0)</f>
        <v>36.598799999999997</v>
      </c>
      <c r="C256" s="10">
        <f>36.1645 * CHOOSE(CONTROL!$C$9, $D$9, 100%, $F$9) + CHOOSE(CONTROL!$C$27, 0.0021, 0)</f>
        <v>36.166599999999995</v>
      </c>
      <c r="D256" s="10">
        <f>36.1645 * CHOOSE(CONTROL!$C$9, $D$9, 100%, $F$9) + CHOOSE(CONTROL!$C$27, 0.0021, 0)</f>
        <v>36.166599999999995</v>
      </c>
      <c r="E256" s="10">
        <f>36.0278 * CHOOSE(CONTROL!$C$9, $D$9, 100%, $F$9) + CHOOSE(CONTROL!$C$27, 0.0021, 0)</f>
        <v>36.029899999999998</v>
      </c>
      <c r="F256" s="10">
        <f>36.0278 * CHOOSE(CONTROL!$C$9, $D$9, 100%, $F$9) + CHOOSE(CONTROL!$C$27, 0.0021, 0)</f>
        <v>36.029899999999998</v>
      </c>
      <c r="G256" s="10">
        <f>36.2992 * CHOOSE(CONTROL!$C$9, $D$9, 100%, $F$9) + CHOOSE(CONTROL!$C$27, 0.0021, 0)</f>
        <v>36.301299999999998</v>
      </c>
      <c r="H256" s="10">
        <f>36.1645 * CHOOSE(CONTROL!$C$9, $D$9, 100%, $F$9) + CHOOSE(CONTROL!$C$27, 0.0021, 0)</f>
        <v>36.166599999999995</v>
      </c>
      <c r="I256" s="10">
        <f>36.1645 * CHOOSE(CONTROL!$C$9, $D$9, 100%, $F$9) + CHOOSE(CONTROL!$C$27, 0.0021, 0)</f>
        <v>36.166599999999995</v>
      </c>
      <c r="J256" s="10">
        <f>36.1645 * CHOOSE(CONTROL!$C$9, $D$9, 100%, $F$9) + CHOOSE(CONTROL!$C$27, 0.0021, 0)</f>
        <v>36.166599999999995</v>
      </c>
      <c r="K256" s="10">
        <f>36.1645 * CHOOSE(CONTROL!$C$9, $D$9, 100%, $F$9) + CHOOSE(CONTROL!$C$27, 0.0021, 0)</f>
        <v>36.166599999999995</v>
      </c>
      <c r="L256" s="10"/>
    </row>
    <row r="257" spans="1:12" ht="15" x14ac:dyDescent="0.2">
      <c r="A257" s="16">
        <v>49096</v>
      </c>
      <c r="B257" s="10">
        <f>37.0194 * CHOOSE(CONTROL!$C$9, $D$9, 100%, $F$9) + CHOOSE(CONTROL!$C$27, 0.0021, 0)</f>
        <v>37.021499999999996</v>
      </c>
      <c r="C257" s="10">
        <f>36.5871 * CHOOSE(CONTROL!$C$9, $D$9, 100%, $F$9) + CHOOSE(CONTROL!$C$27, 0.0021, 0)</f>
        <v>36.589199999999998</v>
      </c>
      <c r="D257" s="10">
        <f>36.5871 * CHOOSE(CONTROL!$C$9, $D$9, 100%, $F$9) + CHOOSE(CONTROL!$C$27, 0.0021, 0)</f>
        <v>36.589199999999998</v>
      </c>
      <c r="E257" s="10">
        <f>36.4505 * CHOOSE(CONTROL!$C$9, $D$9, 100%, $F$9) + CHOOSE(CONTROL!$C$27, 0.0021, 0)</f>
        <v>36.452599999999997</v>
      </c>
      <c r="F257" s="10">
        <f>36.4505 * CHOOSE(CONTROL!$C$9, $D$9, 100%, $F$9) + CHOOSE(CONTROL!$C$27, 0.0021, 0)</f>
        <v>36.452599999999997</v>
      </c>
      <c r="G257" s="10">
        <f>36.7218 * CHOOSE(CONTROL!$C$9, $D$9, 100%, $F$9) + CHOOSE(CONTROL!$C$27, 0.0021, 0)</f>
        <v>36.7239</v>
      </c>
      <c r="H257" s="10">
        <f>36.5871 * CHOOSE(CONTROL!$C$9, $D$9, 100%, $F$9) + CHOOSE(CONTROL!$C$27, 0.0021, 0)</f>
        <v>36.589199999999998</v>
      </c>
      <c r="I257" s="10">
        <f>36.5871 * CHOOSE(CONTROL!$C$9, $D$9, 100%, $F$9) + CHOOSE(CONTROL!$C$27, 0.0021, 0)</f>
        <v>36.589199999999998</v>
      </c>
      <c r="J257" s="10">
        <f>36.5871 * CHOOSE(CONTROL!$C$9, $D$9, 100%, $F$9) + CHOOSE(CONTROL!$C$27, 0.0021, 0)</f>
        <v>36.589199999999998</v>
      </c>
      <c r="K257" s="10">
        <f>36.5871 * CHOOSE(CONTROL!$C$9, $D$9, 100%, $F$9) + CHOOSE(CONTROL!$C$27, 0.0021, 0)</f>
        <v>36.589199999999998</v>
      </c>
      <c r="L257" s="10"/>
    </row>
    <row r="258" spans="1:12" ht="15" x14ac:dyDescent="0.2">
      <c r="A258" s="16">
        <v>49126</v>
      </c>
      <c r="B258" s="10">
        <f>37.7165 * CHOOSE(CONTROL!$C$9, $D$9, 100%, $F$9) + CHOOSE(CONTROL!$C$27, 0.0021, 0)</f>
        <v>37.718600000000002</v>
      </c>
      <c r="C258" s="10">
        <f>37.2843 * CHOOSE(CONTROL!$C$9, $D$9, 100%, $F$9) + CHOOSE(CONTROL!$C$27, 0.0021, 0)</f>
        <v>37.2864</v>
      </c>
      <c r="D258" s="10">
        <f>37.2843 * CHOOSE(CONTROL!$C$9, $D$9, 100%, $F$9) + CHOOSE(CONTROL!$C$27, 0.0021, 0)</f>
        <v>37.2864</v>
      </c>
      <c r="E258" s="10">
        <f>37.1476 * CHOOSE(CONTROL!$C$9, $D$9, 100%, $F$9) + CHOOSE(CONTROL!$C$27, 0.0021, 0)</f>
        <v>37.149699999999996</v>
      </c>
      <c r="F258" s="10">
        <f>37.1476 * CHOOSE(CONTROL!$C$9, $D$9, 100%, $F$9) + CHOOSE(CONTROL!$C$27, 0.0021, 0)</f>
        <v>37.149699999999996</v>
      </c>
      <c r="G258" s="10">
        <f>37.419 * CHOOSE(CONTROL!$C$9, $D$9, 100%, $F$9) + CHOOSE(CONTROL!$C$27, 0.0021, 0)</f>
        <v>37.421099999999996</v>
      </c>
      <c r="H258" s="10">
        <f>37.2843 * CHOOSE(CONTROL!$C$9, $D$9, 100%, $F$9) + CHOOSE(CONTROL!$C$27, 0.0021, 0)</f>
        <v>37.2864</v>
      </c>
      <c r="I258" s="10">
        <f>37.2843 * CHOOSE(CONTROL!$C$9, $D$9, 100%, $F$9) + CHOOSE(CONTROL!$C$27, 0.0021, 0)</f>
        <v>37.2864</v>
      </c>
      <c r="J258" s="10">
        <f>37.2843 * CHOOSE(CONTROL!$C$9, $D$9, 100%, $F$9) + CHOOSE(CONTROL!$C$27, 0.0021, 0)</f>
        <v>37.2864</v>
      </c>
      <c r="K258" s="10">
        <f>37.2843 * CHOOSE(CONTROL!$C$9, $D$9, 100%, $F$9) + CHOOSE(CONTROL!$C$27, 0.0021, 0)</f>
        <v>37.2864</v>
      </c>
      <c r="L258" s="10"/>
    </row>
    <row r="259" spans="1:12" ht="15" x14ac:dyDescent="0.2">
      <c r="A259" s="16">
        <v>49157</v>
      </c>
      <c r="B259" s="10">
        <f>37.9293 * CHOOSE(CONTROL!$C$9, $D$9, 100%, $F$9) + CHOOSE(CONTROL!$C$27, 0.0021, 0)</f>
        <v>37.931399999999996</v>
      </c>
      <c r="C259" s="10">
        <f>37.4971 * CHOOSE(CONTROL!$C$9, $D$9, 100%, $F$9) + CHOOSE(CONTROL!$C$27, 0.0021, 0)</f>
        <v>37.499200000000002</v>
      </c>
      <c r="D259" s="10">
        <f>37.4971 * CHOOSE(CONTROL!$C$9, $D$9, 100%, $F$9) + CHOOSE(CONTROL!$C$27, 0.0021, 0)</f>
        <v>37.499200000000002</v>
      </c>
      <c r="E259" s="10">
        <f>37.3604 * CHOOSE(CONTROL!$C$9, $D$9, 100%, $F$9) + CHOOSE(CONTROL!$C$27, 0.0021, 0)</f>
        <v>37.362499999999997</v>
      </c>
      <c r="F259" s="10">
        <f>37.3604 * CHOOSE(CONTROL!$C$9, $D$9, 100%, $F$9) + CHOOSE(CONTROL!$C$27, 0.0021, 0)</f>
        <v>37.362499999999997</v>
      </c>
      <c r="G259" s="10">
        <f>37.6318 * CHOOSE(CONTROL!$C$9, $D$9, 100%, $F$9) + CHOOSE(CONTROL!$C$27, 0.0021, 0)</f>
        <v>37.633899999999997</v>
      </c>
      <c r="H259" s="10">
        <f>37.4971 * CHOOSE(CONTROL!$C$9, $D$9, 100%, $F$9) + CHOOSE(CONTROL!$C$27, 0.0021, 0)</f>
        <v>37.499200000000002</v>
      </c>
      <c r="I259" s="10">
        <f>37.4971 * CHOOSE(CONTROL!$C$9, $D$9, 100%, $F$9) + CHOOSE(CONTROL!$C$27, 0.0021, 0)</f>
        <v>37.499200000000002</v>
      </c>
      <c r="J259" s="10">
        <f>37.4971 * CHOOSE(CONTROL!$C$9, $D$9, 100%, $F$9) + CHOOSE(CONTROL!$C$27, 0.0021, 0)</f>
        <v>37.499200000000002</v>
      </c>
      <c r="K259" s="10">
        <f>37.4971 * CHOOSE(CONTROL!$C$9, $D$9, 100%, $F$9) + CHOOSE(CONTROL!$C$27, 0.0021, 0)</f>
        <v>37.499200000000002</v>
      </c>
      <c r="L259" s="10"/>
    </row>
    <row r="260" spans="1:12" ht="15" x14ac:dyDescent="0.2">
      <c r="A260" s="16">
        <v>49188</v>
      </c>
      <c r="B260" s="10">
        <f>38.654 * CHOOSE(CONTROL!$C$9, $D$9, 100%, $F$9) + CHOOSE(CONTROL!$C$27, 0.0021, 0)</f>
        <v>38.656100000000002</v>
      </c>
      <c r="C260" s="10">
        <f>38.2218 * CHOOSE(CONTROL!$C$9, $D$9, 100%, $F$9) + CHOOSE(CONTROL!$C$27, 0.0021, 0)</f>
        <v>38.2239</v>
      </c>
      <c r="D260" s="10">
        <f>38.2218 * CHOOSE(CONTROL!$C$9, $D$9, 100%, $F$9) + CHOOSE(CONTROL!$C$27, 0.0021, 0)</f>
        <v>38.2239</v>
      </c>
      <c r="E260" s="10">
        <f>38.0851 * CHOOSE(CONTROL!$C$9, $D$9, 100%, $F$9) + CHOOSE(CONTROL!$C$27, 0.0021, 0)</f>
        <v>38.087199999999996</v>
      </c>
      <c r="F260" s="10">
        <f>38.0851 * CHOOSE(CONTROL!$C$9, $D$9, 100%, $F$9) + CHOOSE(CONTROL!$C$27, 0.0021, 0)</f>
        <v>38.087199999999996</v>
      </c>
      <c r="G260" s="10">
        <f>38.3565 * CHOOSE(CONTROL!$C$9, $D$9, 100%, $F$9) + CHOOSE(CONTROL!$C$27, 0.0021, 0)</f>
        <v>38.358599999999996</v>
      </c>
      <c r="H260" s="10">
        <f>38.2218 * CHOOSE(CONTROL!$C$9, $D$9, 100%, $F$9) + CHOOSE(CONTROL!$C$27, 0.0021, 0)</f>
        <v>38.2239</v>
      </c>
      <c r="I260" s="10">
        <f>38.2218 * CHOOSE(CONTROL!$C$9, $D$9, 100%, $F$9) + CHOOSE(CONTROL!$C$27, 0.0021, 0)</f>
        <v>38.2239</v>
      </c>
      <c r="J260" s="10">
        <f>38.2218 * CHOOSE(CONTROL!$C$9, $D$9, 100%, $F$9) + CHOOSE(CONTROL!$C$27, 0.0021, 0)</f>
        <v>38.2239</v>
      </c>
      <c r="K260" s="10">
        <f>38.2218 * CHOOSE(CONTROL!$C$9, $D$9, 100%, $F$9) + CHOOSE(CONTROL!$C$27, 0.0021, 0)</f>
        <v>38.2239</v>
      </c>
      <c r="L260" s="10"/>
    </row>
    <row r="261" spans="1:12" ht="15" x14ac:dyDescent="0.2">
      <c r="A261" s="16">
        <v>49218</v>
      </c>
      <c r="B261" s="10">
        <f>39.5713 * CHOOSE(CONTROL!$C$9, $D$9, 100%, $F$9) + CHOOSE(CONTROL!$C$27, 0.0021, 0)</f>
        <v>39.573399999999999</v>
      </c>
      <c r="C261" s="10">
        <f>39.1391 * CHOOSE(CONTROL!$C$9, $D$9, 100%, $F$9) + CHOOSE(CONTROL!$C$27, 0.0021, 0)</f>
        <v>39.141199999999998</v>
      </c>
      <c r="D261" s="10">
        <f>39.1391 * CHOOSE(CONTROL!$C$9, $D$9, 100%, $F$9) + CHOOSE(CONTROL!$C$27, 0.0021, 0)</f>
        <v>39.141199999999998</v>
      </c>
      <c r="E261" s="10">
        <f>39.0024 * CHOOSE(CONTROL!$C$9, $D$9, 100%, $F$9) + CHOOSE(CONTROL!$C$27, 0.0021, 0)</f>
        <v>39.0045</v>
      </c>
      <c r="F261" s="10">
        <f>39.0024 * CHOOSE(CONTROL!$C$9, $D$9, 100%, $F$9) + CHOOSE(CONTROL!$C$27, 0.0021, 0)</f>
        <v>39.0045</v>
      </c>
      <c r="G261" s="10">
        <f>39.2738 * CHOOSE(CONTROL!$C$9, $D$9, 100%, $F$9) + CHOOSE(CONTROL!$C$27, 0.0021, 0)</f>
        <v>39.2759</v>
      </c>
      <c r="H261" s="10">
        <f>39.1391 * CHOOSE(CONTROL!$C$9, $D$9, 100%, $F$9) + CHOOSE(CONTROL!$C$27, 0.0021, 0)</f>
        <v>39.141199999999998</v>
      </c>
      <c r="I261" s="10">
        <f>39.1391 * CHOOSE(CONTROL!$C$9, $D$9, 100%, $F$9) + CHOOSE(CONTROL!$C$27, 0.0021, 0)</f>
        <v>39.141199999999998</v>
      </c>
      <c r="J261" s="10">
        <f>39.1391 * CHOOSE(CONTROL!$C$9, $D$9, 100%, $F$9) + CHOOSE(CONTROL!$C$27, 0.0021, 0)</f>
        <v>39.141199999999998</v>
      </c>
      <c r="K261" s="10">
        <f>39.1391 * CHOOSE(CONTROL!$C$9, $D$9, 100%, $F$9) + CHOOSE(CONTROL!$C$27, 0.0021, 0)</f>
        <v>39.141199999999998</v>
      </c>
      <c r="L261" s="10"/>
    </row>
    <row r="262" spans="1:12" ht="15" x14ac:dyDescent="0.2">
      <c r="A262" s="16">
        <v>49249</v>
      </c>
      <c r="B262" s="10">
        <f>39.6574 * CHOOSE(CONTROL!$C$9, $D$9, 100%, $F$9) + CHOOSE(CONTROL!$C$27, 0.0021, 0)</f>
        <v>39.659500000000001</v>
      </c>
      <c r="C262" s="10">
        <f>39.2252 * CHOOSE(CONTROL!$C$9, $D$9, 100%, $F$9) + CHOOSE(CONTROL!$C$27, 0.0021, 0)</f>
        <v>39.2273</v>
      </c>
      <c r="D262" s="10">
        <f>39.2252 * CHOOSE(CONTROL!$C$9, $D$9, 100%, $F$9) + CHOOSE(CONTROL!$C$27, 0.0021, 0)</f>
        <v>39.2273</v>
      </c>
      <c r="E262" s="10">
        <f>39.0885 * CHOOSE(CONTROL!$C$9, $D$9, 100%, $F$9) + CHOOSE(CONTROL!$C$27, 0.0021, 0)</f>
        <v>39.090600000000002</v>
      </c>
      <c r="F262" s="10">
        <f>39.0885 * CHOOSE(CONTROL!$C$9, $D$9, 100%, $F$9) + CHOOSE(CONTROL!$C$27, 0.0021, 0)</f>
        <v>39.090600000000002</v>
      </c>
      <c r="G262" s="10">
        <f>39.3599 * CHOOSE(CONTROL!$C$9, $D$9, 100%, $F$9) + CHOOSE(CONTROL!$C$27, 0.0021, 0)</f>
        <v>39.362000000000002</v>
      </c>
      <c r="H262" s="10">
        <f>39.2252 * CHOOSE(CONTROL!$C$9, $D$9, 100%, $F$9) + CHOOSE(CONTROL!$C$27, 0.0021, 0)</f>
        <v>39.2273</v>
      </c>
      <c r="I262" s="10">
        <f>39.2252 * CHOOSE(CONTROL!$C$9, $D$9, 100%, $F$9) + CHOOSE(CONTROL!$C$27, 0.0021, 0)</f>
        <v>39.2273</v>
      </c>
      <c r="J262" s="10">
        <f>39.2252 * CHOOSE(CONTROL!$C$9, $D$9, 100%, $F$9) + CHOOSE(CONTROL!$C$27, 0.0021, 0)</f>
        <v>39.2273</v>
      </c>
      <c r="K262" s="10">
        <f>39.2252 * CHOOSE(CONTROL!$C$9, $D$9, 100%, $F$9) + CHOOSE(CONTROL!$C$27, 0.0021, 0)</f>
        <v>39.2273</v>
      </c>
      <c r="L262" s="10"/>
    </row>
    <row r="263" spans="1:12" ht="15" x14ac:dyDescent="0.2">
      <c r="A263" s="16">
        <v>49279</v>
      </c>
      <c r="B263" s="10">
        <f>38.9248 * CHOOSE(CONTROL!$C$9, $D$9, 100%, $F$9) + CHOOSE(CONTROL!$C$27, 0.0021, 0)</f>
        <v>38.926899999999996</v>
      </c>
      <c r="C263" s="10">
        <f>38.4926 * CHOOSE(CONTROL!$C$9, $D$9, 100%, $F$9) + CHOOSE(CONTROL!$C$27, 0.0021, 0)</f>
        <v>38.494700000000002</v>
      </c>
      <c r="D263" s="10">
        <f>38.4926 * CHOOSE(CONTROL!$C$9, $D$9, 100%, $F$9) + CHOOSE(CONTROL!$C$27, 0.0021, 0)</f>
        <v>38.494700000000002</v>
      </c>
      <c r="E263" s="10">
        <f>38.3559 * CHOOSE(CONTROL!$C$9, $D$9, 100%, $F$9) + CHOOSE(CONTROL!$C$27, 0.0021, 0)</f>
        <v>38.357999999999997</v>
      </c>
      <c r="F263" s="10">
        <f>38.3559 * CHOOSE(CONTROL!$C$9, $D$9, 100%, $F$9) + CHOOSE(CONTROL!$C$27, 0.0021, 0)</f>
        <v>38.357999999999997</v>
      </c>
      <c r="G263" s="10">
        <f>38.6273 * CHOOSE(CONTROL!$C$9, $D$9, 100%, $F$9) + CHOOSE(CONTROL!$C$27, 0.0021, 0)</f>
        <v>38.629399999999997</v>
      </c>
      <c r="H263" s="10">
        <f>38.4926 * CHOOSE(CONTROL!$C$9, $D$9, 100%, $F$9) + CHOOSE(CONTROL!$C$27, 0.0021, 0)</f>
        <v>38.494700000000002</v>
      </c>
      <c r="I263" s="10">
        <f>38.4926 * CHOOSE(CONTROL!$C$9, $D$9, 100%, $F$9) + CHOOSE(CONTROL!$C$27, 0.0021, 0)</f>
        <v>38.494700000000002</v>
      </c>
      <c r="J263" s="10">
        <f>38.4926 * CHOOSE(CONTROL!$C$9, $D$9, 100%, $F$9) + CHOOSE(CONTROL!$C$27, 0.0021, 0)</f>
        <v>38.494700000000002</v>
      </c>
      <c r="K263" s="10">
        <f>38.4926 * CHOOSE(CONTROL!$C$9, $D$9, 100%, $F$9) + CHOOSE(CONTROL!$C$27, 0.0021, 0)</f>
        <v>38.494700000000002</v>
      </c>
      <c r="L263" s="10"/>
    </row>
    <row r="264" spans="1:12" ht="15" x14ac:dyDescent="0.2">
      <c r="A264" s="16">
        <v>49310</v>
      </c>
      <c r="B264" s="10">
        <f>38.3639 * CHOOSE(CONTROL!$C$9, $D$9, 100%, $F$9) + CHOOSE(CONTROL!$C$27, 0.0021, 0)</f>
        <v>38.366</v>
      </c>
      <c r="C264" s="10">
        <f>37.9316 * CHOOSE(CONTROL!$C$9, $D$9, 100%, $F$9) + CHOOSE(CONTROL!$C$27, 0.0021, 0)</f>
        <v>37.933700000000002</v>
      </c>
      <c r="D264" s="10">
        <f>37.9316 * CHOOSE(CONTROL!$C$9, $D$9, 100%, $F$9) + CHOOSE(CONTROL!$C$27, 0.0021, 0)</f>
        <v>37.933700000000002</v>
      </c>
      <c r="E264" s="10">
        <f>37.795 * CHOOSE(CONTROL!$C$9, $D$9, 100%, $F$9) + CHOOSE(CONTROL!$C$27, 0.0021, 0)</f>
        <v>37.7971</v>
      </c>
      <c r="F264" s="10">
        <f>37.795 * CHOOSE(CONTROL!$C$9, $D$9, 100%, $F$9) + CHOOSE(CONTROL!$C$27, 0.0021, 0)</f>
        <v>37.7971</v>
      </c>
      <c r="G264" s="10">
        <f>38.0663 * CHOOSE(CONTROL!$C$9, $D$9, 100%, $F$9) + CHOOSE(CONTROL!$C$27, 0.0021, 0)</f>
        <v>38.068399999999997</v>
      </c>
      <c r="H264" s="10">
        <f>37.9316 * CHOOSE(CONTROL!$C$9, $D$9, 100%, $F$9) + CHOOSE(CONTROL!$C$27, 0.0021, 0)</f>
        <v>37.933700000000002</v>
      </c>
      <c r="I264" s="10">
        <f>37.9316 * CHOOSE(CONTROL!$C$9, $D$9, 100%, $F$9) + CHOOSE(CONTROL!$C$27, 0.0021, 0)</f>
        <v>37.933700000000002</v>
      </c>
      <c r="J264" s="10">
        <f>37.9316 * CHOOSE(CONTROL!$C$9, $D$9, 100%, $F$9) + CHOOSE(CONTROL!$C$27, 0.0021, 0)</f>
        <v>37.933700000000002</v>
      </c>
      <c r="K264" s="10">
        <f>37.9316 * CHOOSE(CONTROL!$C$9, $D$9, 100%, $F$9) + CHOOSE(CONTROL!$C$27, 0.0021, 0)</f>
        <v>37.933700000000002</v>
      </c>
      <c r="L264" s="10"/>
    </row>
    <row r="265" spans="1:12" ht="15" x14ac:dyDescent="0.2">
      <c r="A265" s="16">
        <v>49341</v>
      </c>
      <c r="B265" s="10">
        <f>37.3436 * CHOOSE(CONTROL!$C$9, $D$9, 100%, $F$9) + CHOOSE(CONTROL!$C$27, 0.0021, 0)</f>
        <v>37.345700000000001</v>
      </c>
      <c r="C265" s="10">
        <f>36.9113 * CHOOSE(CONTROL!$C$9, $D$9, 100%, $F$9) + CHOOSE(CONTROL!$C$27, 0.0021, 0)</f>
        <v>36.913399999999996</v>
      </c>
      <c r="D265" s="10">
        <f>36.9113 * CHOOSE(CONTROL!$C$9, $D$9, 100%, $F$9) + CHOOSE(CONTROL!$C$27, 0.0021, 0)</f>
        <v>36.913399999999996</v>
      </c>
      <c r="E265" s="10">
        <f>36.7747 * CHOOSE(CONTROL!$C$9, $D$9, 100%, $F$9) + CHOOSE(CONTROL!$C$27, 0.0021, 0)</f>
        <v>36.776800000000001</v>
      </c>
      <c r="F265" s="10">
        <f>36.7747 * CHOOSE(CONTROL!$C$9, $D$9, 100%, $F$9) + CHOOSE(CONTROL!$C$27, 0.0021, 0)</f>
        <v>36.776800000000001</v>
      </c>
      <c r="G265" s="10">
        <f>37.046 * CHOOSE(CONTROL!$C$9, $D$9, 100%, $F$9) + CHOOSE(CONTROL!$C$27, 0.0021, 0)</f>
        <v>37.048099999999998</v>
      </c>
      <c r="H265" s="10">
        <f>36.9113 * CHOOSE(CONTROL!$C$9, $D$9, 100%, $F$9) + CHOOSE(CONTROL!$C$27, 0.0021, 0)</f>
        <v>36.913399999999996</v>
      </c>
      <c r="I265" s="10">
        <f>36.9113 * CHOOSE(CONTROL!$C$9, $D$9, 100%, $F$9) + CHOOSE(CONTROL!$C$27, 0.0021, 0)</f>
        <v>36.913399999999996</v>
      </c>
      <c r="J265" s="10">
        <f>36.9113 * CHOOSE(CONTROL!$C$9, $D$9, 100%, $F$9) + CHOOSE(CONTROL!$C$27, 0.0021, 0)</f>
        <v>36.913399999999996</v>
      </c>
      <c r="K265" s="10">
        <f>36.9113 * CHOOSE(CONTROL!$C$9, $D$9, 100%, $F$9) + CHOOSE(CONTROL!$C$27, 0.0021, 0)</f>
        <v>36.913399999999996</v>
      </c>
      <c r="L265" s="10"/>
    </row>
    <row r="266" spans="1:12" ht="15" x14ac:dyDescent="0.2">
      <c r="A266" s="16">
        <v>49369</v>
      </c>
      <c r="B266" s="10">
        <f>36.9224 * CHOOSE(CONTROL!$C$9, $D$9, 100%, $F$9) + CHOOSE(CONTROL!$C$27, 0.0021, 0)</f>
        <v>36.924500000000002</v>
      </c>
      <c r="C266" s="10">
        <f>36.4901 * CHOOSE(CONTROL!$C$9, $D$9, 100%, $F$9) + CHOOSE(CONTROL!$C$27, 0.0021, 0)</f>
        <v>36.492199999999997</v>
      </c>
      <c r="D266" s="10">
        <f>36.4901 * CHOOSE(CONTROL!$C$9, $D$9, 100%, $F$9) + CHOOSE(CONTROL!$C$27, 0.0021, 0)</f>
        <v>36.492199999999997</v>
      </c>
      <c r="E266" s="10">
        <f>36.3535 * CHOOSE(CONTROL!$C$9, $D$9, 100%, $F$9) + CHOOSE(CONTROL!$C$27, 0.0021, 0)</f>
        <v>36.355599999999995</v>
      </c>
      <c r="F266" s="10">
        <f>36.3535 * CHOOSE(CONTROL!$C$9, $D$9, 100%, $F$9) + CHOOSE(CONTROL!$C$27, 0.0021, 0)</f>
        <v>36.355599999999995</v>
      </c>
      <c r="G266" s="10">
        <f>36.6249 * CHOOSE(CONTROL!$C$9, $D$9, 100%, $F$9) + CHOOSE(CONTROL!$C$27, 0.0021, 0)</f>
        <v>36.626999999999995</v>
      </c>
      <c r="H266" s="10">
        <f>36.4901 * CHOOSE(CONTROL!$C$9, $D$9, 100%, $F$9) + CHOOSE(CONTROL!$C$27, 0.0021, 0)</f>
        <v>36.492199999999997</v>
      </c>
      <c r="I266" s="10">
        <f>36.4901 * CHOOSE(CONTROL!$C$9, $D$9, 100%, $F$9) + CHOOSE(CONTROL!$C$27, 0.0021, 0)</f>
        <v>36.492199999999997</v>
      </c>
      <c r="J266" s="10">
        <f>36.4901 * CHOOSE(CONTROL!$C$9, $D$9, 100%, $F$9) + CHOOSE(CONTROL!$C$27, 0.0021, 0)</f>
        <v>36.492199999999997</v>
      </c>
      <c r="K266" s="10">
        <f>36.4901 * CHOOSE(CONTROL!$C$9, $D$9, 100%, $F$9) + CHOOSE(CONTROL!$C$27, 0.0021, 0)</f>
        <v>36.492199999999997</v>
      </c>
      <c r="L266" s="10"/>
    </row>
    <row r="267" spans="1:12" ht="15" x14ac:dyDescent="0.2">
      <c r="A267" s="16">
        <v>49400</v>
      </c>
      <c r="B267" s="10">
        <f>36.4195 * CHOOSE(CONTROL!$C$9, $D$9, 100%, $F$9) + CHOOSE(CONTROL!$C$27, 0.0021, 0)</f>
        <v>36.421599999999998</v>
      </c>
      <c r="C267" s="10">
        <f>35.9872 * CHOOSE(CONTROL!$C$9, $D$9, 100%, $F$9) + CHOOSE(CONTROL!$C$27, 0.0021, 0)</f>
        <v>35.9893</v>
      </c>
      <c r="D267" s="10">
        <f>35.9872 * CHOOSE(CONTROL!$C$9, $D$9, 100%, $F$9) + CHOOSE(CONTROL!$C$27, 0.0021, 0)</f>
        <v>35.9893</v>
      </c>
      <c r="E267" s="10">
        <f>35.8506 * CHOOSE(CONTROL!$C$9, $D$9, 100%, $F$9) + CHOOSE(CONTROL!$C$27, 0.0021, 0)</f>
        <v>35.852699999999999</v>
      </c>
      <c r="F267" s="10">
        <f>35.8506 * CHOOSE(CONTROL!$C$9, $D$9, 100%, $F$9) + CHOOSE(CONTROL!$C$27, 0.0021, 0)</f>
        <v>35.852699999999999</v>
      </c>
      <c r="G267" s="10">
        <f>36.122 * CHOOSE(CONTROL!$C$9, $D$9, 100%, $F$9) + CHOOSE(CONTROL!$C$27, 0.0021, 0)</f>
        <v>36.124099999999999</v>
      </c>
      <c r="H267" s="10">
        <f>35.9872 * CHOOSE(CONTROL!$C$9, $D$9, 100%, $F$9) + CHOOSE(CONTROL!$C$27, 0.0021, 0)</f>
        <v>35.9893</v>
      </c>
      <c r="I267" s="10">
        <f>35.9872 * CHOOSE(CONTROL!$C$9, $D$9, 100%, $F$9) + CHOOSE(CONTROL!$C$27, 0.0021, 0)</f>
        <v>35.9893</v>
      </c>
      <c r="J267" s="10">
        <f>35.9872 * CHOOSE(CONTROL!$C$9, $D$9, 100%, $F$9) + CHOOSE(CONTROL!$C$27, 0.0021, 0)</f>
        <v>35.9893</v>
      </c>
      <c r="K267" s="10">
        <f>35.9872 * CHOOSE(CONTROL!$C$9, $D$9, 100%, $F$9) + CHOOSE(CONTROL!$C$27, 0.0021, 0)</f>
        <v>35.9893</v>
      </c>
      <c r="L267" s="10"/>
    </row>
    <row r="268" spans="1:12" ht="15" x14ac:dyDescent="0.2">
      <c r="A268" s="16">
        <v>49430</v>
      </c>
      <c r="B268" s="10">
        <f>37.1362 * CHOOSE(CONTROL!$C$9, $D$9, 100%, $F$9) + CHOOSE(CONTROL!$C$27, 0.0021, 0)</f>
        <v>37.138300000000001</v>
      </c>
      <c r="C268" s="10">
        <f>36.7039 * CHOOSE(CONTROL!$C$9, $D$9, 100%, $F$9) + CHOOSE(CONTROL!$C$27, 0.0021, 0)</f>
        <v>36.705999999999996</v>
      </c>
      <c r="D268" s="10">
        <f>36.7039 * CHOOSE(CONTROL!$C$9, $D$9, 100%, $F$9) + CHOOSE(CONTROL!$C$27, 0.0021, 0)</f>
        <v>36.705999999999996</v>
      </c>
      <c r="E268" s="10">
        <f>36.5673 * CHOOSE(CONTROL!$C$9, $D$9, 100%, $F$9) + CHOOSE(CONTROL!$C$27, 0.0021, 0)</f>
        <v>36.569400000000002</v>
      </c>
      <c r="F268" s="10">
        <f>36.5673 * CHOOSE(CONTROL!$C$9, $D$9, 100%, $F$9) + CHOOSE(CONTROL!$C$27, 0.0021, 0)</f>
        <v>36.569400000000002</v>
      </c>
      <c r="G268" s="10">
        <f>36.8387 * CHOOSE(CONTROL!$C$9, $D$9, 100%, $F$9) + CHOOSE(CONTROL!$C$27, 0.0021, 0)</f>
        <v>36.840800000000002</v>
      </c>
      <c r="H268" s="10">
        <f>36.7039 * CHOOSE(CONTROL!$C$9, $D$9, 100%, $F$9) + CHOOSE(CONTROL!$C$27, 0.0021, 0)</f>
        <v>36.705999999999996</v>
      </c>
      <c r="I268" s="10">
        <f>36.7039 * CHOOSE(CONTROL!$C$9, $D$9, 100%, $F$9) + CHOOSE(CONTROL!$C$27, 0.0021, 0)</f>
        <v>36.705999999999996</v>
      </c>
      <c r="J268" s="10">
        <f>36.7039 * CHOOSE(CONTROL!$C$9, $D$9, 100%, $F$9) + CHOOSE(CONTROL!$C$27, 0.0021, 0)</f>
        <v>36.705999999999996</v>
      </c>
      <c r="K268" s="10">
        <f>36.7039 * CHOOSE(CONTROL!$C$9, $D$9, 100%, $F$9) + CHOOSE(CONTROL!$C$27, 0.0021, 0)</f>
        <v>36.705999999999996</v>
      </c>
      <c r="L268" s="10"/>
    </row>
    <row r="269" spans="1:12" ht="15" x14ac:dyDescent="0.2">
      <c r="A269" s="15">
        <v>49461</v>
      </c>
      <c r="B269" s="10">
        <f>37.5654 * CHOOSE(CONTROL!$C$9, $D$9, 100%, $F$9) + CHOOSE(CONTROL!$C$27, 0.0021, 0)</f>
        <v>37.567499999999995</v>
      </c>
      <c r="C269" s="10">
        <f>37.1332 * CHOOSE(CONTROL!$C$9, $D$9, 100%, $F$9) + CHOOSE(CONTROL!$C$27, 0.0021, 0)</f>
        <v>37.135300000000001</v>
      </c>
      <c r="D269" s="10">
        <f>37.1332 * CHOOSE(CONTROL!$C$9, $D$9, 100%, $F$9) + CHOOSE(CONTROL!$C$27, 0.0021, 0)</f>
        <v>37.135300000000001</v>
      </c>
      <c r="E269" s="10">
        <f>36.9965 * CHOOSE(CONTROL!$C$9, $D$9, 100%, $F$9) + CHOOSE(CONTROL!$C$27, 0.0021, 0)</f>
        <v>36.998599999999996</v>
      </c>
      <c r="F269" s="10">
        <f>36.9965 * CHOOSE(CONTROL!$C$9, $D$9, 100%, $F$9) + CHOOSE(CONTROL!$C$27, 0.0021, 0)</f>
        <v>36.998599999999996</v>
      </c>
      <c r="G269" s="10">
        <f>37.2679 * CHOOSE(CONTROL!$C$9, $D$9, 100%, $F$9) + CHOOSE(CONTROL!$C$27, 0.0021, 0)</f>
        <v>37.269999999999996</v>
      </c>
      <c r="H269" s="10">
        <f>37.1332 * CHOOSE(CONTROL!$C$9, $D$9, 100%, $F$9) + CHOOSE(CONTROL!$C$27, 0.0021, 0)</f>
        <v>37.135300000000001</v>
      </c>
      <c r="I269" s="10">
        <f>37.1332 * CHOOSE(CONTROL!$C$9, $D$9, 100%, $F$9) + CHOOSE(CONTROL!$C$27, 0.0021, 0)</f>
        <v>37.135300000000001</v>
      </c>
      <c r="J269" s="10">
        <f>37.1332 * CHOOSE(CONTROL!$C$9, $D$9, 100%, $F$9) + CHOOSE(CONTROL!$C$27, 0.0021, 0)</f>
        <v>37.135300000000001</v>
      </c>
      <c r="K269" s="10">
        <f>37.1332 * CHOOSE(CONTROL!$C$9, $D$9, 100%, $F$9) + CHOOSE(CONTROL!$C$27, 0.0021, 0)</f>
        <v>37.135300000000001</v>
      </c>
      <c r="L269" s="10"/>
    </row>
    <row r="270" spans="1:12" ht="15" x14ac:dyDescent="0.2">
      <c r="A270" s="15">
        <v>49491</v>
      </c>
      <c r="B270" s="10">
        <f>38.2736 * CHOOSE(CONTROL!$C$9, $D$9, 100%, $F$9) + CHOOSE(CONTROL!$C$27, 0.0021, 0)</f>
        <v>38.275700000000001</v>
      </c>
      <c r="C270" s="10">
        <f>37.8413 * CHOOSE(CONTROL!$C$9, $D$9, 100%, $F$9) + CHOOSE(CONTROL!$C$27, 0.0021, 0)</f>
        <v>37.843399999999995</v>
      </c>
      <c r="D270" s="10">
        <f>37.8413 * CHOOSE(CONTROL!$C$9, $D$9, 100%, $F$9) + CHOOSE(CONTROL!$C$27, 0.0021, 0)</f>
        <v>37.843399999999995</v>
      </c>
      <c r="E270" s="10">
        <f>37.7047 * CHOOSE(CONTROL!$C$9, $D$9, 100%, $F$9) + CHOOSE(CONTROL!$C$27, 0.0021, 0)</f>
        <v>37.706800000000001</v>
      </c>
      <c r="F270" s="10">
        <f>37.7047 * CHOOSE(CONTROL!$C$9, $D$9, 100%, $F$9) + CHOOSE(CONTROL!$C$27, 0.0021, 0)</f>
        <v>37.706800000000001</v>
      </c>
      <c r="G270" s="10">
        <f>37.976 * CHOOSE(CONTROL!$C$9, $D$9, 100%, $F$9) + CHOOSE(CONTROL!$C$27, 0.0021, 0)</f>
        <v>37.978099999999998</v>
      </c>
      <c r="H270" s="10">
        <f>37.8413 * CHOOSE(CONTROL!$C$9, $D$9, 100%, $F$9) + CHOOSE(CONTROL!$C$27, 0.0021, 0)</f>
        <v>37.843399999999995</v>
      </c>
      <c r="I270" s="10">
        <f>37.8413 * CHOOSE(CONTROL!$C$9, $D$9, 100%, $F$9) + CHOOSE(CONTROL!$C$27, 0.0021, 0)</f>
        <v>37.843399999999995</v>
      </c>
      <c r="J270" s="10">
        <f>37.8413 * CHOOSE(CONTROL!$C$9, $D$9, 100%, $F$9) + CHOOSE(CONTROL!$C$27, 0.0021, 0)</f>
        <v>37.843399999999995</v>
      </c>
      <c r="K270" s="10">
        <f>37.8413 * CHOOSE(CONTROL!$C$9, $D$9, 100%, $F$9) + CHOOSE(CONTROL!$C$27, 0.0021, 0)</f>
        <v>37.843399999999995</v>
      </c>
      <c r="L270" s="10"/>
    </row>
    <row r="271" spans="1:12" ht="15" x14ac:dyDescent="0.2">
      <c r="A271" s="15">
        <v>49522</v>
      </c>
      <c r="B271" s="10">
        <f>38.4897 * CHOOSE(CONTROL!$C$9, $D$9, 100%, $F$9) + CHOOSE(CONTROL!$C$27, 0.0021, 0)</f>
        <v>38.491799999999998</v>
      </c>
      <c r="C271" s="10">
        <f>38.0575 * CHOOSE(CONTROL!$C$9, $D$9, 100%, $F$9) + CHOOSE(CONTROL!$C$27, 0.0021, 0)</f>
        <v>38.059599999999996</v>
      </c>
      <c r="D271" s="10">
        <f>38.0575 * CHOOSE(CONTROL!$C$9, $D$9, 100%, $F$9) + CHOOSE(CONTROL!$C$27, 0.0021, 0)</f>
        <v>38.059599999999996</v>
      </c>
      <c r="E271" s="10">
        <f>37.9208 * CHOOSE(CONTROL!$C$9, $D$9, 100%, $F$9) + CHOOSE(CONTROL!$C$27, 0.0021, 0)</f>
        <v>37.922899999999998</v>
      </c>
      <c r="F271" s="10">
        <f>37.9208 * CHOOSE(CONTROL!$C$9, $D$9, 100%, $F$9) + CHOOSE(CONTROL!$C$27, 0.0021, 0)</f>
        <v>37.922899999999998</v>
      </c>
      <c r="G271" s="10">
        <f>38.1922 * CHOOSE(CONTROL!$C$9, $D$9, 100%, $F$9) + CHOOSE(CONTROL!$C$27, 0.0021, 0)</f>
        <v>38.194299999999998</v>
      </c>
      <c r="H271" s="10">
        <f>38.0575 * CHOOSE(CONTROL!$C$9, $D$9, 100%, $F$9) + CHOOSE(CONTROL!$C$27, 0.0021, 0)</f>
        <v>38.059599999999996</v>
      </c>
      <c r="I271" s="10">
        <f>38.0575 * CHOOSE(CONTROL!$C$9, $D$9, 100%, $F$9) + CHOOSE(CONTROL!$C$27, 0.0021, 0)</f>
        <v>38.059599999999996</v>
      </c>
      <c r="J271" s="10">
        <f>38.0575 * CHOOSE(CONTROL!$C$9, $D$9, 100%, $F$9) + CHOOSE(CONTROL!$C$27, 0.0021, 0)</f>
        <v>38.059599999999996</v>
      </c>
      <c r="K271" s="10">
        <f>38.0575 * CHOOSE(CONTROL!$C$9, $D$9, 100%, $F$9) + CHOOSE(CONTROL!$C$27, 0.0021, 0)</f>
        <v>38.059599999999996</v>
      </c>
      <c r="L271" s="10"/>
    </row>
    <row r="272" spans="1:12" ht="15" x14ac:dyDescent="0.2">
      <c r="A272" s="15">
        <v>49553</v>
      </c>
      <c r="B272" s="10">
        <f>39.2258 * CHOOSE(CONTROL!$C$9, $D$9, 100%, $F$9) + CHOOSE(CONTROL!$C$27, 0.0021, 0)</f>
        <v>39.227899999999998</v>
      </c>
      <c r="C272" s="10">
        <f>38.7935 * CHOOSE(CONTROL!$C$9, $D$9, 100%, $F$9) + CHOOSE(CONTROL!$C$27, 0.0021, 0)</f>
        <v>38.7956</v>
      </c>
      <c r="D272" s="10">
        <f>38.7935 * CHOOSE(CONTROL!$C$9, $D$9, 100%, $F$9) + CHOOSE(CONTROL!$C$27, 0.0021, 0)</f>
        <v>38.7956</v>
      </c>
      <c r="E272" s="10">
        <f>38.6569 * CHOOSE(CONTROL!$C$9, $D$9, 100%, $F$9) + CHOOSE(CONTROL!$C$27, 0.0021, 0)</f>
        <v>38.658999999999999</v>
      </c>
      <c r="F272" s="10">
        <f>38.6569 * CHOOSE(CONTROL!$C$9, $D$9, 100%, $F$9) + CHOOSE(CONTROL!$C$27, 0.0021, 0)</f>
        <v>38.658999999999999</v>
      </c>
      <c r="G272" s="10">
        <f>38.9283 * CHOOSE(CONTROL!$C$9, $D$9, 100%, $F$9) + CHOOSE(CONTROL!$C$27, 0.0021, 0)</f>
        <v>38.930399999999999</v>
      </c>
      <c r="H272" s="10">
        <f>38.7935 * CHOOSE(CONTROL!$C$9, $D$9, 100%, $F$9) + CHOOSE(CONTROL!$C$27, 0.0021, 0)</f>
        <v>38.7956</v>
      </c>
      <c r="I272" s="10">
        <f>38.7935 * CHOOSE(CONTROL!$C$9, $D$9, 100%, $F$9) + CHOOSE(CONTROL!$C$27, 0.0021, 0)</f>
        <v>38.7956</v>
      </c>
      <c r="J272" s="10">
        <f>38.7935 * CHOOSE(CONTROL!$C$9, $D$9, 100%, $F$9) + CHOOSE(CONTROL!$C$27, 0.0021, 0)</f>
        <v>38.7956</v>
      </c>
      <c r="K272" s="10">
        <f>38.7935 * CHOOSE(CONTROL!$C$9, $D$9, 100%, $F$9) + CHOOSE(CONTROL!$C$27, 0.0021, 0)</f>
        <v>38.7956</v>
      </c>
      <c r="L272" s="10"/>
    </row>
    <row r="273" spans="1:12" ht="15" x14ac:dyDescent="0.2">
      <c r="A273" s="15">
        <v>49583</v>
      </c>
      <c r="B273" s="10">
        <f>40.1575 * CHOOSE(CONTROL!$C$9, $D$9, 100%, $F$9) + CHOOSE(CONTROL!$C$27, 0.0021, 0)</f>
        <v>40.159599999999998</v>
      </c>
      <c r="C273" s="10">
        <f>39.7253 * CHOOSE(CONTROL!$C$9, $D$9, 100%, $F$9) + CHOOSE(CONTROL!$C$27, 0.0021, 0)</f>
        <v>39.727399999999996</v>
      </c>
      <c r="D273" s="10">
        <f>39.7253 * CHOOSE(CONTROL!$C$9, $D$9, 100%, $F$9) + CHOOSE(CONTROL!$C$27, 0.0021, 0)</f>
        <v>39.727399999999996</v>
      </c>
      <c r="E273" s="10">
        <f>39.5886 * CHOOSE(CONTROL!$C$9, $D$9, 100%, $F$9) + CHOOSE(CONTROL!$C$27, 0.0021, 0)</f>
        <v>39.590699999999998</v>
      </c>
      <c r="F273" s="10">
        <f>39.5886 * CHOOSE(CONTROL!$C$9, $D$9, 100%, $F$9) + CHOOSE(CONTROL!$C$27, 0.0021, 0)</f>
        <v>39.590699999999998</v>
      </c>
      <c r="G273" s="10">
        <f>39.86 * CHOOSE(CONTROL!$C$9, $D$9, 100%, $F$9) + CHOOSE(CONTROL!$C$27, 0.0021, 0)</f>
        <v>39.862099999999998</v>
      </c>
      <c r="H273" s="10">
        <f>39.7253 * CHOOSE(CONTROL!$C$9, $D$9, 100%, $F$9) + CHOOSE(CONTROL!$C$27, 0.0021, 0)</f>
        <v>39.727399999999996</v>
      </c>
      <c r="I273" s="10">
        <f>39.7253 * CHOOSE(CONTROL!$C$9, $D$9, 100%, $F$9) + CHOOSE(CONTROL!$C$27, 0.0021, 0)</f>
        <v>39.727399999999996</v>
      </c>
      <c r="J273" s="10">
        <f>39.7253 * CHOOSE(CONTROL!$C$9, $D$9, 100%, $F$9) + CHOOSE(CONTROL!$C$27, 0.0021, 0)</f>
        <v>39.727399999999996</v>
      </c>
      <c r="K273" s="10">
        <f>39.7253 * CHOOSE(CONTROL!$C$9, $D$9, 100%, $F$9) + CHOOSE(CONTROL!$C$27, 0.0021, 0)</f>
        <v>39.727399999999996</v>
      </c>
      <c r="L273" s="10"/>
    </row>
    <row r="274" spans="1:12" ht="15" x14ac:dyDescent="0.2">
      <c r="A274" s="15">
        <v>49614</v>
      </c>
      <c r="B274" s="10">
        <f>40.245 * CHOOSE(CONTROL!$C$9, $D$9, 100%, $F$9) + CHOOSE(CONTROL!$C$27, 0.0021, 0)</f>
        <v>40.247099999999996</v>
      </c>
      <c r="C274" s="10">
        <f>39.8128 * CHOOSE(CONTROL!$C$9, $D$9, 100%, $F$9) + CHOOSE(CONTROL!$C$27, 0.0021, 0)</f>
        <v>39.814900000000002</v>
      </c>
      <c r="D274" s="10">
        <f>39.8128 * CHOOSE(CONTROL!$C$9, $D$9, 100%, $F$9) + CHOOSE(CONTROL!$C$27, 0.0021, 0)</f>
        <v>39.814900000000002</v>
      </c>
      <c r="E274" s="10">
        <f>39.6761 * CHOOSE(CONTROL!$C$9, $D$9, 100%, $F$9) + CHOOSE(CONTROL!$C$27, 0.0021, 0)</f>
        <v>39.678199999999997</v>
      </c>
      <c r="F274" s="10">
        <f>39.6761 * CHOOSE(CONTROL!$C$9, $D$9, 100%, $F$9) + CHOOSE(CONTROL!$C$27, 0.0021, 0)</f>
        <v>39.678199999999997</v>
      </c>
      <c r="G274" s="10">
        <f>39.9475 * CHOOSE(CONTROL!$C$9, $D$9, 100%, $F$9) + CHOOSE(CONTROL!$C$27, 0.0021, 0)</f>
        <v>39.949599999999997</v>
      </c>
      <c r="H274" s="10">
        <f>39.8128 * CHOOSE(CONTROL!$C$9, $D$9, 100%, $F$9) + CHOOSE(CONTROL!$C$27, 0.0021, 0)</f>
        <v>39.814900000000002</v>
      </c>
      <c r="I274" s="10">
        <f>39.8128 * CHOOSE(CONTROL!$C$9, $D$9, 100%, $F$9) + CHOOSE(CONTROL!$C$27, 0.0021, 0)</f>
        <v>39.814900000000002</v>
      </c>
      <c r="J274" s="10">
        <f>39.8128 * CHOOSE(CONTROL!$C$9, $D$9, 100%, $F$9) + CHOOSE(CONTROL!$C$27, 0.0021, 0)</f>
        <v>39.814900000000002</v>
      </c>
      <c r="K274" s="10">
        <f>39.8128 * CHOOSE(CONTROL!$C$9, $D$9, 100%, $F$9) + CHOOSE(CONTROL!$C$27, 0.0021, 0)</f>
        <v>39.814900000000002</v>
      </c>
      <c r="L274" s="10"/>
    </row>
    <row r="275" spans="1:12" ht="15" x14ac:dyDescent="0.2">
      <c r="A275" s="15">
        <v>49644</v>
      </c>
      <c r="B275" s="10">
        <f>39.5008 * CHOOSE(CONTROL!$C$9, $D$9, 100%, $F$9) + CHOOSE(CONTROL!$C$27, 0.0021, 0)</f>
        <v>39.502899999999997</v>
      </c>
      <c r="C275" s="10">
        <f>39.0686 * CHOOSE(CONTROL!$C$9, $D$9, 100%, $F$9) + CHOOSE(CONTROL!$C$27, 0.0021, 0)</f>
        <v>39.070700000000002</v>
      </c>
      <c r="D275" s="10">
        <f>39.0686 * CHOOSE(CONTROL!$C$9, $D$9, 100%, $F$9) + CHOOSE(CONTROL!$C$27, 0.0021, 0)</f>
        <v>39.070700000000002</v>
      </c>
      <c r="E275" s="10">
        <f>38.9319 * CHOOSE(CONTROL!$C$9, $D$9, 100%, $F$9) + CHOOSE(CONTROL!$C$27, 0.0021, 0)</f>
        <v>38.933999999999997</v>
      </c>
      <c r="F275" s="10">
        <f>38.9319 * CHOOSE(CONTROL!$C$9, $D$9, 100%, $F$9) + CHOOSE(CONTROL!$C$27, 0.0021, 0)</f>
        <v>38.933999999999997</v>
      </c>
      <c r="G275" s="10">
        <f>39.2033 * CHOOSE(CONTROL!$C$9, $D$9, 100%, $F$9) + CHOOSE(CONTROL!$C$27, 0.0021, 0)</f>
        <v>39.205399999999997</v>
      </c>
      <c r="H275" s="10">
        <f>39.0686 * CHOOSE(CONTROL!$C$9, $D$9, 100%, $F$9) + CHOOSE(CONTROL!$C$27, 0.0021, 0)</f>
        <v>39.070700000000002</v>
      </c>
      <c r="I275" s="10">
        <f>39.0686 * CHOOSE(CONTROL!$C$9, $D$9, 100%, $F$9) + CHOOSE(CONTROL!$C$27, 0.0021, 0)</f>
        <v>39.070700000000002</v>
      </c>
      <c r="J275" s="10">
        <f>39.0686 * CHOOSE(CONTROL!$C$9, $D$9, 100%, $F$9) + CHOOSE(CONTROL!$C$27, 0.0021, 0)</f>
        <v>39.070700000000002</v>
      </c>
      <c r="K275" s="10">
        <f>39.0686 * CHOOSE(CONTROL!$C$9, $D$9, 100%, $F$9) + CHOOSE(CONTROL!$C$27, 0.0021, 0)</f>
        <v>39.070700000000002</v>
      </c>
      <c r="L275" s="10"/>
    </row>
    <row r="276" spans="1:12" ht="15" x14ac:dyDescent="0.2">
      <c r="A276" s="15">
        <v>49675</v>
      </c>
      <c r="B276" s="10">
        <f>38.9311 * CHOOSE(CONTROL!$C$9, $D$9, 100%, $F$9) + CHOOSE(CONTROL!$C$27, 0.0021, 0)</f>
        <v>38.933199999999999</v>
      </c>
      <c r="C276" s="10">
        <f>38.4988 * CHOOSE(CONTROL!$C$9, $D$9, 100%, $F$9) + CHOOSE(CONTROL!$C$27, 0.0021, 0)</f>
        <v>38.500900000000001</v>
      </c>
      <c r="D276" s="10">
        <f>38.4988 * CHOOSE(CONTROL!$C$9, $D$9, 100%, $F$9) + CHOOSE(CONTROL!$C$27, 0.0021, 0)</f>
        <v>38.500900000000001</v>
      </c>
      <c r="E276" s="10">
        <f>38.3622 * CHOOSE(CONTROL!$C$9, $D$9, 100%, $F$9) + CHOOSE(CONTROL!$C$27, 0.0021, 0)</f>
        <v>38.3643</v>
      </c>
      <c r="F276" s="10">
        <f>38.3622 * CHOOSE(CONTROL!$C$9, $D$9, 100%, $F$9) + CHOOSE(CONTROL!$C$27, 0.0021, 0)</f>
        <v>38.3643</v>
      </c>
      <c r="G276" s="10">
        <f>38.6336 * CHOOSE(CONTROL!$C$9, $D$9, 100%, $F$9) + CHOOSE(CONTROL!$C$27, 0.0021, 0)</f>
        <v>38.6357</v>
      </c>
      <c r="H276" s="10">
        <f>38.4988 * CHOOSE(CONTROL!$C$9, $D$9, 100%, $F$9) + CHOOSE(CONTROL!$C$27, 0.0021, 0)</f>
        <v>38.500900000000001</v>
      </c>
      <c r="I276" s="10">
        <f>38.4988 * CHOOSE(CONTROL!$C$9, $D$9, 100%, $F$9) + CHOOSE(CONTROL!$C$27, 0.0021, 0)</f>
        <v>38.500900000000001</v>
      </c>
      <c r="J276" s="10">
        <f>38.4988 * CHOOSE(CONTROL!$C$9, $D$9, 100%, $F$9) + CHOOSE(CONTROL!$C$27, 0.0021, 0)</f>
        <v>38.500900000000001</v>
      </c>
      <c r="K276" s="10">
        <f>38.4988 * CHOOSE(CONTROL!$C$9, $D$9, 100%, $F$9) + CHOOSE(CONTROL!$C$27, 0.0021, 0)</f>
        <v>38.500900000000001</v>
      </c>
      <c r="L276" s="10"/>
    </row>
    <row r="277" spans="1:12" ht="15" x14ac:dyDescent="0.2">
      <c r="A277" s="15">
        <v>49706</v>
      </c>
      <c r="B277" s="10">
        <f>37.8947 * CHOOSE(CONTROL!$C$9, $D$9, 100%, $F$9) + CHOOSE(CONTROL!$C$27, 0.0021, 0)</f>
        <v>37.896799999999999</v>
      </c>
      <c r="C277" s="10">
        <f>37.4625 * CHOOSE(CONTROL!$C$9, $D$9, 100%, $F$9) + CHOOSE(CONTROL!$C$27, 0.0021, 0)</f>
        <v>37.464599999999997</v>
      </c>
      <c r="D277" s="10">
        <f>37.4625 * CHOOSE(CONTROL!$C$9, $D$9, 100%, $F$9) + CHOOSE(CONTROL!$C$27, 0.0021, 0)</f>
        <v>37.464599999999997</v>
      </c>
      <c r="E277" s="10">
        <f>37.3258 * CHOOSE(CONTROL!$C$9, $D$9, 100%, $F$9) + CHOOSE(CONTROL!$C$27, 0.0021, 0)</f>
        <v>37.3279</v>
      </c>
      <c r="F277" s="10">
        <f>37.3258 * CHOOSE(CONTROL!$C$9, $D$9, 100%, $F$9) + CHOOSE(CONTROL!$C$27, 0.0021, 0)</f>
        <v>37.3279</v>
      </c>
      <c r="G277" s="10">
        <f>37.5972 * CHOOSE(CONTROL!$C$9, $D$9, 100%, $F$9) + CHOOSE(CONTROL!$C$27, 0.0021, 0)</f>
        <v>37.599299999999999</v>
      </c>
      <c r="H277" s="10">
        <f>37.4625 * CHOOSE(CONTROL!$C$9, $D$9, 100%, $F$9) + CHOOSE(CONTROL!$C$27, 0.0021, 0)</f>
        <v>37.464599999999997</v>
      </c>
      <c r="I277" s="10">
        <f>37.4625 * CHOOSE(CONTROL!$C$9, $D$9, 100%, $F$9) + CHOOSE(CONTROL!$C$27, 0.0021, 0)</f>
        <v>37.464599999999997</v>
      </c>
      <c r="J277" s="10">
        <f>37.4625 * CHOOSE(CONTROL!$C$9, $D$9, 100%, $F$9) + CHOOSE(CONTROL!$C$27, 0.0021, 0)</f>
        <v>37.464599999999997</v>
      </c>
      <c r="K277" s="10">
        <f>37.4625 * CHOOSE(CONTROL!$C$9, $D$9, 100%, $F$9) + CHOOSE(CONTROL!$C$27, 0.0021, 0)</f>
        <v>37.464599999999997</v>
      </c>
      <c r="L277" s="10"/>
    </row>
    <row r="278" spans="1:12" ht="15" x14ac:dyDescent="0.2">
      <c r="A278" s="15">
        <v>49735</v>
      </c>
      <c r="B278" s="10">
        <f>37.4669 * CHOOSE(CONTROL!$C$9, $D$9, 100%, $F$9) + CHOOSE(CONTROL!$C$27, 0.0021, 0)</f>
        <v>37.469000000000001</v>
      </c>
      <c r="C278" s="10">
        <f>37.0347 * CHOOSE(CONTROL!$C$9, $D$9, 100%, $F$9) + CHOOSE(CONTROL!$C$27, 0.0021, 0)</f>
        <v>37.036799999999999</v>
      </c>
      <c r="D278" s="10">
        <f>37.0347 * CHOOSE(CONTROL!$C$9, $D$9, 100%, $F$9) + CHOOSE(CONTROL!$C$27, 0.0021, 0)</f>
        <v>37.036799999999999</v>
      </c>
      <c r="E278" s="10">
        <f>36.898 * CHOOSE(CONTROL!$C$9, $D$9, 100%, $F$9) + CHOOSE(CONTROL!$C$27, 0.0021, 0)</f>
        <v>36.900100000000002</v>
      </c>
      <c r="F278" s="10">
        <f>36.898 * CHOOSE(CONTROL!$C$9, $D$9, 100%, $F$9) + CHOOSE(CONTROL!$C$27, 0.0021, 0)</f>
        <v>36.900100000000002</v>
      </c>
      <c r="G278" s="10">
        <f>37.1694 * CHOOSE(CONTROL!$C$9, $D$9, 100%, $F$9) + CHOOSE(CONTROL!$C$27, 0.0021, 0)</f>
        <v>37.171500000000002</v>
      </c>
      <c r="H278" s="10">
        <f>37.0347 * CHOOSE(CONTROL!$C$9, $D$9, 100%, $F$9) + CHOOSE(CONTROL!$C$27, 0.0021, 0)</f>
        <v>37.036799999999999</v>
      </c>
      <c r="I278" s="10">
        <f>37.0347 * CHOOSE(CONTROL!$C$9, $D$9, 100%, $F$9) + CHOOSE(CONTROL!$C$27, 0.0021, 0)</f>
        <v>37.036799999999999</v>
      </c>
      <c r="J278" s="10">
        <f>37.0347 * CHOOSE(CONTROL!$C$9, $D$9, 100%, $F$9) + CHOOSE(CONTROL!$C$27, 0.0021, 0)</f>
        <v>37.036799999999999</v>
      </c>
      <c r="K278" s="10">
        <f>37.0347 * CHOOSE(CONTROL!$C$9, $D$9, 100%, $F$9) + CHOOSE(CONTROL!$C$27, 0.0021, 0)</f>
        <v>37.036799999999999</v>
      </c>
      <c r="L278" s="10"/>
    </row>
    <row r="279" spans="1:12" ht="15" x14ac:dyDescent="0.2">
      <c r="A279" s="15">
        <v>49766</v>
      </c>
      <c r="B279" s="10">
        <f>36.9561 * CHOOSE(CONTROL!$C$9, $D$9, 100%, $F$9) + CHOOSE(CONTROL!$C$27, 0.0021, 0)</f>
        <v>36.958199999999998</v>
      </c>
      <c r="C279" s="10">
        <f>36.5239 * CHOOSE(CONTROL!$C$9, $D$9, 100%, $F$9) + CHOOSE(CONTROL!$C$27, 0.0021, 0)</f>
        <v>36.525999999999996</v>
      </c>
      <c r="D279" s="10">
        <f>36.5239 * CHOOSE(CONTROL!$C$9, $D$9, 100%, $F$9) + CHOOSE(CONTROL!$C$27, 0.0021, 0)</f>
        <v>36.525999999999996</v>
      </c>
      <c r="E279" s="10">
        <f>36.3872 * CHOOSE(CONTROL!$C$9, $D$9, 100%, $F$9) + CHOOSE(CONTROL!$C$27, 0.0021, 0)</f>
        <v>36.389299999999999</v>
      </c>
      <c r="F279" s="10">
        <f>36.3872 * CHOOSE(CONTROL!$C$9, $D$9, 100%, $F$9) + CHOOSE(CONTROL!$C$27, 0.0021, 0)</f>
        <v>36.389299999999999</v>
      </c>
      <c r="G279" s="10">
        <f>36.6586 * CHOOSE(CONTROL!$C$9, $D$9, 100%, $F$9) + CHOOSE(CONTROL!$C$27, 0.0021, 0)</f>
        <v>36.660699999999999</v>
      </c>
      <c r="H279" s="10">
        <f>36.5239 * CHOOSE(CONTROL!$C$9, $D$9, 100%, $F$9) + CHOOSE(CONTROL!$C$27, 0.0021, 0)</f>
        <v>36.525999999999996</v>
      </c>
      <c r="I279" s="10">
        <f>36.5239 * CHOOSE(CONTROL!$C$9, $D$9, 100%, $F$9) + CHOOSE(CONTROL!$C$27, 0.0021, 0)</f>
        <v>36.525999999999996</v>
      </c>
      <c r="J279" s="10">
        <f>36.5239 * CHOOSE(CONTROL!$C$9, $D$9, 100%, $F$9) + CHOOSE(CONTROL!$C$27, 0.0021, 0)</f>
        <v>36.525999999999996</v>
      </c>
      <c r="K279" s="10">
        <f>36.5239 * CHOOSE(CONTROL!$C$9, $D$9, 100%, $F$9) + CHOOSE(CONTROL!$C$27, 0.0021, 0)</f>
        <v>36.525999999999996</v>
      </c>
      <c r="L279" s="10"/>
    </row>
    <row r="280" spans="1:12" ht="15" x14ac:dyDescent="0.2">
      <c r="A280" s="15">
        <v>49796</v>
      </c>
      <c r="B280" s="10">
        <f>37.6841 * CHOOSE(CONTROL!$C$9, $D$9, 100%, $F$9) + CHOOSE(CONTROL!$C$27, 0.0021, 0)</f>
        <v>37.686199999999999</v>
      </c>
      <c r="C280" s="10">
        <f>37.2519 * CHOOSE(CONTROL!$C$9, $D$9, 100%, $F$9) + CHOOSE(CONTROL!$C$27, 0.0021, 0)</f>
        <v>37.253999999999998</v>
      </c>
      <c r="D280" s="10">
        <f>37.2519 * CHOOSE(CONTROL!$C$9, $D$9, 100%, $F$9) + CHOOSE(CONTROL!$C$27, 0.0021, 0)</f>
        <v>37.253999999999998</v>
      </c>
      <c r="E280" s="10">
        <f>37.1152 * CHOOSE(CONTROL!$C$9, $D$9, 100%, $F$9) + CHOOSE(CONTROL!$C$27, 0.0021, 0)</f>
        <v>37.1173</v>
      </c>
      <c r="F280" s="10">
        <f>37.1152 * CHOOSE(CONTROL!$C$9, $D$9, 100%, $F$9) + CHOOSE(CONTROL!$C$27, 0.0021, 0)</f>
        <v>37.1173</v>
      </c>
      <c r="G280" s="10">
        <f>37.3866 * CHOOSE(CONTROL!$C$9, $D$9, 100%, $F$9) + CHOOSE(CONTROL!$C$27, 0.0021, 0)</f>
        <v>37.3887</v>
      </c>
      <c r="H280" s="10">
        <f>37.2519 * CHOOSE(CONTROL!$C$9, $D$9, 100%, $F$9) + CHOOSE(CONTROL!$C$27, 0.0021, 0)</f>
        <v>37.253999999999998</v>
      </c>
      <c r="I280" s="10">
        <f>37.2519 * CHOOSE(CONTROL!$C$9, $D$9, 100%, $F$9) + CHOOSE(CONTROL!$C$27, 0.0021, 0)</f>
        <v>37.253999999999998</v>
      </c>
      <c r="J280" s="10">
        <f>37.2519 * CHOOSE(CONTROL!$C$9, $D$9, 100%, $F$9) + CHOOSE(CONTROL!$C$27, 0.0021, 0)</f>
        <v>37.253999999999998</v>
      </c>
      <c r="K280" s="10">
        <f>37.2519 * CHOOSE(CONTROL!$C$9, $D$9, 100%, $F$9) + CHOOSE(CONTROL!$C$27, 0.0021, 0)</f>
        <v>37.253999999999998</v>
      </c>
      <c r="L280" s="10"/>
    </row>
    <row r="281" spans="1:12" ht="15" x14ac:dyDescent="0.2">
      <c r="A281" s="15">
        <v>49827</v>
      </c>
      <c r="B281" s="10">
        <f>38.1201 * CHOOSE(CONTROL!$C$9, $D$9, 100%, $F$9) + CHOOSE(CONTROL!$C$27, 0.0021, 0)</f>
        <v>38.122199999999999</v>
      </c>
      <c r="C281" s="10">
        <f>37.6879 * CHOOSE(CONTROL!$C$9, $D$9, 100%, $F$9) + CHOOSE(CONTROL!$C$27, 0.0021, 0)</f>
        <v>37.69</v>
      </c>
      <c r="D281" s="10">
        <f>37.6879 * CHOOSE(CONTROL!$C$9, $D$9, 100%, $F$9) + CHOOSE(CONTROL!$C$27, 0.0021, 0)</f>
        <v>37.69</v>
      </c>
      <c r="E281" s="10">
        <f>37.5512 * CHOOSE(CONTROL!$C$9, $D$9, 100%, $F$9) + CHOOSE(CONTROL!$C$27, 0.0021, 0)</f>
        <v>37.5533</v>
      </c>
      <c r="F281" s="10">
        <f>37.5512 * CHOOSE(CONTROL!$C$9, $D$9, 100%, $F$9) + CHOOSE(CONTROL!$C$27, 0.0021, 0)</f>
        <v>37.5533</v>
      </c>
      <c r="G281" s="10">
        <f>37.8226 * CHOOSE(CONTROL!$C$9, $D$9, 100%, $F$9) + CHOOSE(CONTROL!$C$27, 0.0021, 0)</f>
        <v>37.8247</v>
      </c>
      <c r="H281" s="10">
        <f>37.6879 * CHOOSE(CONTROL!$C$9, $D$9, 100%, $F$9) + CHOOSE(CONTROL!$C$27, 0.0021, 0)</f>
        <v>37.69</v>
      </c>
      <c r="I281" s="10">
        <f>37.6879 * CHOOSE(CONTROL!$C$9, $D$9, 100%, $F$9) + CHOOSE(CONTROL!$C$27, 0.0021, 0)</f>
        <v>37.69</v>
      </c>
      <c r="J281" s="10">
        <f>37.6879 * CHOOSE(CONTROL!$C$9, $D$9, 100%, $F$9) + CHOOSE(CONTROL!$C$27, 0.0021, 0)</f>
        <v>37.69</v>
      </c>
      <c r="K281" s="10">
        <f>37.6879 * CHOOSE(CONTROL!$C$9, $D$9, 100%, $F$9) + CHOOSE(CONTROL!$C$27, 0.0021, 0)</f>
        <v>37.69</v>
      </c>
      <c r="L281" s="10"/>
    </row>
    <row r="282" spans="1:12" ht="15" x14ac:dyDescent="0.2">
      <c r="A282" s="15">
        <v>49857</v>
      </c>
      <c r="B282" s="10">
        <f>38.8394 * CHOOSE(CONTROL!$C$9, $D$9, 100%, $F$9) + CHOOSE(CONTROL!$C$27, 0.0021, 0)</f>
        <v>38.841499999999996</v>
      </c>
      <c r="C282" s="10">
        <f>38.4071 * CHOOSE(CONTROL!$C$9, $D$9, 100%, $F$9) + CHOOSE(CONTROL!$C$27, 0.0021, 0)</f>
        <v>38.409199999999998</v>
      </c>
      <c r="D282" s="10">
        <f>38.4071 * CHOOSE(CONTROL!$C$9, $D$9, 100%, $F$9) + CHOOSE(CONTROL!$C$27, 0.0021, 0)</f>
        <v>38.409199999999998</v>
      </c>
      <c r="E282" s="10">
        <f>38.2705 * CHOOSE(CONTROL!$C$9, $D$9, 100%, $F$9) + CHOOSE(CONTROL!$C$27, 0.0021, 0)</f>
        <v>38.272599999999997</v>
      </c>
      <c r="F282" s="10">
        <f>38.2705 * CHOOSE(CONTROL!$C$9, $D$9, 100%, $F$9) + CHOOSE(CONTROL!$C$27, 0.0021, 0)</f>
        <v>38.272599999999997</v>
      </c>
      <c r="G282" s="10">
        <f>38.5419 * CHOOSE(CONTROL!$C$9, $D$9, 100%, $F$9) + CHOOSE(CONTROL!$C$27, 0.0021, 0)</f>
        <v>38.543999999999997</v>
      </c>
      <c r="H282" s="10">
        <f>38.4071 * CHOOSE(CONTROL!$C$9, $D$9, 100%, $F$9) + CHOOSE(CONTROL!$C$27, 0.0021, 0)</f>
        <v>38.409199999999998</v>
      </c>
      <c r="I282" s="10">
        <f>38.4071 * CHOOSE(CONTROL!$C$9, $D$9, 100%, $F$9) + CHOOSE(CONTROL!$C$27, 0.0021, 0)</f>
        <v>38.409199999999998</v>
      </c>
      <c r="J282" s="10">
        <f>38.4071 * CHOOSE(CONTROL!$C$9, $D$9, 100%, $F$9) + CHOOSE(CONTROL!$C$27, 0.0021, 0)</f>
        <v>38.409199999999998</v>
      </c>
      <c r="K282" s="10">
        <f>38.4071 * CHOOSE(CONTROL!$C$9, $D$9, 100%, $F$9) + CHOOSE(CONTROL!$C$27, 0.0021, 0)</f>
        <v>38.409199999999998</v>
      </c>
      <c r="L282" s="10"/>
    </row>
    <row r="283" spans="1:12" ht="15" x14ac:dyDescent="0.2">
      <c r="A283" s="15">
        <v>49888</v>
      </c>
      <c r="B283" s="10">
        <f>39.0589 * CHOOSE(CONTROL!$C$9, $D$9, 100%, $F$9) + CHOOSE(CONTROL!$C$27, 0.0021, 0)</f>
        <v>39.061</v>
      </c>
      <c r="C283" s="10">
        <f>38.6267 * CHOOSE(CONTROL!$C$9, $D$9, 100%, $F$9) + CHOOSE(CONTROL!$C$27, 0.0021, 0)</f>
        <v>38.628799999999998</v>
      </c>
      <c r="D283" s="10">
        <f>38.6267 * CHOOSE(CONTROL!$C$9, $D$9, 100%, $F$9) + CHOOSE(CONTROL!$C$27, 0.0021, 0)</f>
        <v>38.628799999999998</v>
      </c>
      <c r="E283" s="10">
        <f>38.49 * CHOOSE(CONTROL!$C$9, $D$9, 100%, $F$9) + CHOOSE(CONTROL!$C$27, 0.0021, 0)</f>
        <v>38.492100000000001</v>
      </c>
      <c r="F283" s="10">
        <f>38.49 * CHOOSE(CONTROL!$C$9, $D$9, 100%, $F$9) + CHOOSE(CONTROL!$C$27, 0.0021, 0)</f>
        <v>38.492100000000001</v>
      </c>
      <c r="G283" s="10">
        <f>38.7614 * CHOOSE(CONTROL!$C$9, $D$9, 100%, $F$9) + CHOOSE(CONTROL!$C$27, 0.0021, 0)</f>
        <v>38.763500000000001</v>
      </c>
      <c r="H283" s="10">
        <f>38.6267 * CHOOSE(CONTROL!$C$9, $D$9, 100%, $F$9) + CHOOSE(CONTROL!$C$27, 0.0021, 0)</f>
        <v>38.628799999999998</v>
      </c>
      <c r="I283" s="10">
        <f>38.6267 * CHOOSE(CONTROL!$C$9, $D$9, 100%, $F$9) + CHOOSE(CONTROL!$C$27, 0.0021, 0)</f>
        <v>38.628799999999998</v>
      </c>
      <c r="J283" s="10">
        <f>38.6267 * CHOOSE(CONTROL!$C$9, $D$9, 100%, $F$9) + CHOOSE(CONTROL!$C$27, 0.0021, 0)</f>
        <v>38.628799999999998</v>
      </c>
      <c r="K283" s="10">
        <f>38.6267 * CHOOSE(CONTROL!$C$9, $D$9, 100%, $F$9) + CHOOSE(CONTROL!$C$27, 0.0021, 0)</f>
        <v>38.628799999999998</v>
      </c>
      <c r="L283" s="10"/>
    </row>
    <row r="284" spans="1:12" ht="15" x14ac:dyDescent="0.2">
      <c r="A284" s="15">
        <v>49919</v>
      </c>
      <c r="B284" s="10">
        <f>39.8066 * CHOOSE(CONTROL!$C$9, $D$9, 100%, $F$9) + CHOOSE(CONTROL!$C$27, 0.0021, 0)</f>
        <v>39.808700000000002</v>
      </c>
      <c r="C284" s="10">
        <f>39.3743 * CHOOSE(CONTROL!$C$9, $D$9, 100%, $F$9) + CHOOSE(CONTROL!$C$27, 0.0021, 0)</f>
        <v>39.376399999999997</v>
      </c>
      <c r="D284" s="10">
        <f>39.3743 * CHOOSE(CONTROL!$C$9, $D$9, 100%, $F$9) + CHOOSE(CONTROL!$C$27, 0.0021, 0)</f>
        <v>39.376399999999997</v>
      </c>
      <c r="E284" s="10">
        <f>39.2377 * CHOOSE(CONTROL!$C$9, $D$9, 100%, $F$9) + CHOOSE(CONTROL!$C$27, 0.0021, 0)</f>
        <v>39.239799999999995</v>
      </c>
      <c r="F284" s="10">
        <f>39.2377 * CHOOSE(CONTROL!$C$9, $D$9, 100%, $F$9) + CHOOSE(CONTROL!$C$27, 0.0021, 0)</f>
        <v>39.239799999999995</v>
      </c>
      <c r="G284" s="10">
        <f>39.509 * CHOOSE(CONTROL!$C$9, $D$9, 100%, $F$9) + CHOOSE(CONTROL!$C$27, 0.0021, 0)</f>
        <v>39.511099999999999</v>
      </c>
      <c r="H284" s="10">
        <f>39.3743 * CHOOSE(CONTROL!$C$9, $D$9, 100%, $F$9) + CHOOSE(CONTROL!$C$27, 0.0021, 0)</f>
        <v>39.376399999999997</v>
      </c>
      <c r="I284" s="10">
        <f>39.3743 * CHOOSE(CONTROL!$C$9, $D$9, 100%, $F$9) + CHOOSE(CONTROL!$C$27, 0.0021, 0)</f>
        <v>39.376399999999997</v>
      </c>
      <c r="J284" s="10">
        <f>39.3743 * CHOOSE(CONTROL!$C$9, $D$9, 100%, $F$9) + CHOOSE(CONTROL!$C$27, 0.0021, 0)</f>
        <v>39.376399999999997</v>
      </c>
      <c r="K284" s="10">
        <f>39.3743 * CHOOSE(CONTROL!$C$9, $D$9, 100%, $F$9) + CHOOSE(CONTROL!$C$27, 0.0021, 0)</f>
        <v>39.376399999999997</v>
      </c>
      <c r="L284" s="10"/>
    </row>
    <row r="285" spans="1:12" ht="15" x14ac:dyDescent="0.2">
      <c r="A285" s="15">
        <v>49949</v>
      </c>
      <c r="B285" s="10">
        <f>40.753 * CHOOSE(CONTROL!$C$9, $D$9, 100%, $F$9) + CHOOSE(CONTROL!$C$27, 0.0021, 0)</f>
        <v>40.755099999999999</v>
      </c>
      <c r="C285" s="10">
        <f>40.3207 * CHOOSE(CONTROL!$C$9, $D$9, 100%, $F$9) + CHOOSE(CONTROL!$C$27, 0.0021, 0)</f>
        <v>40.322800000000001</v>
      </c>
      <c r="D285" s="10">
        <f>40.3207 * CHOOSE(CONTROL!$C$9, $D$9, 100%, $F$9) + CHOOSE(CONTROL!$C$27, 0.0021, 0)</f>
        <v>40.322800000000001</v>
      </c>
      <c r="E285" s="10">
        <f>40.1841 * CHOOSE(CONTROL!$C$9, $D$9, 100%, $F$9) + CHOOSE(CONTROL!$C$27, 0.0021, 0)</f>
        <v>40.186199999999999</v>
      </c>
      <c r="F285" s="10">
        <f>40.1841 * CHOOSE(CONTROL!$C$9, $D$9, 100%, $F$9) + CHOOSE(CONTROL!$C$27, 0.0021, 0)</f>
        <v>40.186199999999999</v>
      </c>
      <c r="G285" s="10">
        <f>40.4554 * CHOOSE(CONTROL!$C$9, $D$9, 100%, $F$9) + CHOOSE(CONTROL!$C$27, 0.0021, 0)</f>
        <v>40.457499999999996</v>
      </c>
      <c r="H285" s="10">
        <f>40.3207 * CHOOSE(CONTROL!$C$9, $D$9, 100%, $F$9) + CHOOSE(CONTROL!$C$27, 0.0021, 0)</f>
        <v>40.322800000000001</v>
      </c>
      <c r="I285" s="10">
        <f>40.3207 * CHOOSE(CONTROL!$C$9, $D$9, 100%, $F$9) + CHOOSE(CONTROL!$C$27, 0.0021, 0)</f>
        <v>40.322800000000001</v>
      </c>
      <c r="J285" s="10">
        <f>40.3207 * CHOOSE(CONTROL!$C$9, $D$9, 100%, $F$9) + CHOOSE(CONTROL!$C$27, 0.0021, 0)</f>
        <v>40.322800000000001</v>
      </c>
      <c r="K285" s="10">
        <f>40.3207 * CHOOSE(CONTROL!$C$9, $D$9, 100%, $F$9) + CHOOSE(CONTROL!$C$27, 0.0021, 0)</f>
        <v>40.322800000000001</v>
      </c>
      <c r="L285" s="10"/>
    </row>
    <row r="286" spans="1:12" ht="15" x14ac:dyDescent="0.2">
      <c r="A286" s="15">
        <v>49980</v>
      </c>
      <c r="B286" s="10">
        <f>40.8418 * CHOOSE(CONTROL!$C$9, $D$9, 100%, $F$9) + CHOOSE(CONTROL!$C$27, 0.0021, 0)</f>
        <v>40.843899999999998</v>
      </c>
      <c r="C286" s="10">
        <f>40.4096 * CHOOSE(CONTROL!$C$9, $D$9, 100%, $F$9) + CHOOSE(CONTROL!$C$27, 0.0021, 0)</f>
        <v>40.411699999999996</v>
      </c>
      <c r="D286" s="10">
        <f>40.4096 * CHOOSE(CONTROL!$C$9, $D$9, 100%, $F$9) + CHOOSE(CONTROL!$C$27, 0.0021, 0)</f>
        <v>40.411699999999996</v>
      </c>
      <c r="E286" s="10">
        <f>40.2729 * CHOOSE(CONTROL!$C$9, $D$9, 100%, $F$9) + CHOOSE(CONTROL!$C$27, 0.0021, 0)</f>
        <v>40.274999999999999</v>
      </c>
      <c r="F286" s="10">
        <f>40.2729 * CHOOSE(CONTROL!$C$9, $D$9, 100%, $F$9) + CHOOSE(CONTROL!$C$27, 0.0021, 0)</f>
        <v>40.274999999999999</v>
      </c>
      <c r="G286" s="10">
        <f>40.5443 * CHOOSE(CONTROL!$C$9, $D$9, 100%, $F$9) + CHOOSE(CONTROL!$C$27, 0.0021, 0)</f>
        <v>40.546399999999998</v>
      </c>
      <c r="H286" s="10">
        <f>40.4096 * CHOOSE(CONTROL!$C$9, $D$9, 100%, $F$9) + CHOOSE(CONTROL!$C$27, 0.0021, 0)</f>
        <v>40.411699999999996</v>
      </c>
      <c r="I286" s="10">
        <f>40.4096 * CHOOSE(CONTROL!$C$9, $D$9, 100%, $F$9) + CHOOSE(CONTROL!$C$27, 0.0021, 0)</f>
        <v>40.411699999999996</v>
      </c>
      <c r="J286" s="10">
        <f>40.4096 * CHOOSE(CONTROL!$C$9, $D$9, 100%, $F$9) + CHOOSE(CONTROL!$C$27, 0.0021, 0)</f>
        <v>40.411699999999996</v>
      </c>
      <c r="K286" s="10">
        <f>40.4096 * CHOOSE(CONTROL!$C$9, $D$9, 100%, $F$9) + CHOOSE(CONTROL!$C$27, 0.0021, 0)</f>
        <v>40.411699999999996</v>
      </c>
      <c r="L286" s="10"/>
    </row>
    <row r="287" spans="1:12" ht="15" x14ac:dyDescent="0.2">
      <c r="A287" s="15">
        <v>50010</v>
      </c>
      <c r="B287" s="10">
        <f>40.0859 * CHOOSE(CONTROL!$C$9, $D$9, 100%, $F$9) + CHOOSE(CONTROL!$C$27, 0.0021, 0)</f>
        <v>40.088000000000001</v>
      </c>
      <c r="C287" s="10">
        <f>39.6537 * CHOOSE(CONTROL!$C$9, $D$9, 100%, $F$9) + CHOOSE(CONTROL!$C$27, 0.0021, 0)</f>
        <v>39.655799999999999</v>
      </c>
      <c r="D287" s="10">
        <f>39.6537 * CHOOSE(CONTROL!$C$9, $D$9, 100%, $F$9) + CHOOSE(CONTROL!$C$27, 0.0021, 0)</f>
        <v>39.655799999999999</v>
      </c>
      <c r="E287" s="10">
        <f>39.517 * CHOOSE(CONTROL!$C$9, $D$9, 100%, $F$9) + CHOOSE(CONTROL!$C$27, 0.0021, 0)</f>
        <v>39.519100000000002</v>
      </c>
      <c r="F287" s="10">
        <f>39.517 * CHOOSE(CONTROL!$C$9, $D$9, 100%, $F$9) + CHOOSE(CONTROL!$C$27, 0.0021, 0)</f>
        <v>39.519100000000002</v>
      </c>
      <c r="G287" s="10">
        <f>39.7884 * CHOOSE(CONTROL!$C$9, $D$9, 100%, $F$9) + CHOOSE(CONTROL!$C$27, 0.0021, 0)</f>
        <v>39.790500000000002</v>
      </c>
      <c r="H287" s="10">
        <f>39.6537 * CHOOSE(CONTROL!$C$9, $D$9, 100%, $F$9) + CHOOSE(CONTROL!$C$27, 0.0021, 0)</f>
        <v>39.655799999999999</v>
      </c>
      <c r="I287" s="10">
        <f>39.6537 * CHOOSE(CONTROL!$C$9, $D$9, 100%, $F$9) + CHOOSE(CONTROL!$C$27, 0.0021, 0)</f>
        <v>39.655799999999999</v>
      </c>
      <c r="J287" s="10">
        <f>39.6537 * CHOOSE(CONTROL!$C$9, $D$9, 100%, $F$9) + CHOOSE(CONTROL!$C$27, 0.0021, 0)</f>
        <v>39.655799999999999</v>
      </c>
      <c r="K287" s="10">
        <f>39.6537 * CHOOSE(CONTROL!$C$9, $D$9, 100%, $F$9) + CHOOSE(CONTROL!$C$27, 0.0021, 0)</f>
        <v>39.655799999999999</v>
      </c>
      <c r="L287" s="10"/>
    </row>
    <row r="288" spans="1:12" ht="15" x14ac:dyDescent="0.2">
      <c r="A288" s="15">
        <v>50041</v>
      </c>
      <c r="B288" s="10">
        <f>39.5072 * CHOOSE(CONTROL!$C$9, $D$9, 100%, $F$9) + CHOOSE(CONTROL!$C$27, 0.0021, 0)</f>
        <v>39.509299999999996</v>
      </c>
      <c r="C288" s="10">
        <f>39.075 * CHOOSE(CONTROL!$C$9, $D$9, 100%, $F$9) + CHOOSE(CONTROL!$C$27, 0.0021, 0)</f>
        <v>39.077100000000002</v>
      </c>
      <c r="D288" s="10">
        <f>39.075 * CHOOSE(CONTROL!$C$9, $D$9, 100%, $F$9) + CHOOSE(CONTROL!$C$27, 0.0021, 0)</f>
        <v>39.077100000000002</v>
      </c>
      <c r="E288" s="10">
        <f>38.9383 * CHOOSE(CONTROL!$C$9, $D$9, 100%, $F$9) + CHOOSE(CONTROL!$C$27, 0.0021, 0)</f>
        <v>38.940399999999997</v>
      </c>
      <c r="F288" s="10">
        <f>38.9383 * CHOOSE(CONTROL!$C$9, $D$9, 100%, $F$9) + CHOOSE(CONTROL!$C$27, 0.0021, 0)</f>
        <v>38.940399999999997</v>
      </c>
      <c r="G288" s="10">
        <f>39.2097 * CHOOSE(CONTROL!$C$9, $D$9, 100%, $F$9) + CHOOSE(CONTROL!$C$27, 0.0021, 0)</f>
        <v>39.211799999999997</v>
      </c>
      <c r="H288" s="10">
        <f>39.075 * CHOOSE(CONTROL!$C$9, $D$9, 100%, $F$9) + CHOOSE(CONTROL!$C$27, 0.0021, 0)</f>
        <v>39.077100000000002</v>
      </c>
      <c r="I288" s="10">
        <f>39.075 * CHOOSE(CONTROL!$C$9, $D$9, 100%, $F$9) + CHOOSE(CONTROL!$C$27, 0.0021, 0)</f>
        <v>39.077100000000002</v>
      </c>
      <c r="J288" s="10">
        <f>39.075 * CHOOSE(CONTROL!$C$9, $D$9, 100%, $F$9) + CHOOSE(CONTROL!$C$27, 0.0021, 0)</f>
        <v>39.077100000000002</v>
      </c>
      <c r="K288" s="10">
        <f>39.075 * CHOOSE(CONTROL!$C$9, $D$9, 100%, $F$9) + CHOOSE(CONTROL!$C$27, 0.0021, 0)</f>
        <v>39.077100000000002</v>
      </c>
      <c r="L288" s="10"/>
    </row>
    <row r="289" spans="1:12" ht="15" x14ac:dyDescent="0.2">
      <c r="A289" s="15">
        <v>50072</v>
      </c>
      <c r="B289" s="10">
        <f>38.4546 * CHOOSE(CONTROL!$C$9, $D$9, 100%, $F$9) + CHOOSE(CONTROL!$C$27, 0.0021, 0)</f>
        <v>38.456699999999998</v>
      </c>
      <c r="C289" s="10">
        <f>38.0223 * CHOOSE(CONTROL!$C$9, $D$9, 100%, $F$9) + CHOOSE(CONTROL!$C$27, 0.0021, 0)</f>
        <v>38.0244</v>
      </c>
      <c r="D289" s="10">
        <f>38.0223 * CHOOSE(CONTROL!$C$9, $D$9, 100%, $F$9) + CHOOSE(CONTROL!$C$27, 0.0021, 0)</f>
        <v>38.0244</v>
      </c>
      <c r="E289" s="10">
        <f>37.8857 * CHOOSE(CONTROL!$C$9, $D$9, 100%, $F$9) + CHOOSE(CONTROL!$C$27, 0.0021, 0)</f>
        <v>37.887799999999999</v>
      </c>
      <c r="F289" s="10">
        <f>37.8857 * CHOOSE(CONTROL!$C$9, $D$9, 100%, $F$9) + CHOOSE(CONTROL!$C$27, 0.0021, 0)</f>
        <v>37.887799999999999</v>
      </c>
      <c r="G289" s="10">
        <f>38.1571 * CHOOSE(CONTROL!$C$9, $D$9, 100%, $F$9) + CHOOSE(CONTROL!$C$27, 0.0021, 0)</f>
        <v>38.159199999999998</v>
      </c>
      <c r="H289" s="10">
        <f>38.0223 * CHOOSE(CONTROL!$C$9, $D$9, 100%, $F$9) + CHOOSE(CONTROL!$C$27, 0.0021, 0)</f>
        <v>38.0244</v>
      </c>
      <c r="I289" s="10">
        <f>38.0223 * CHOOSE(CONTROL!$C$9, $D$9, 100%, $F$9) + CHOOSE(CONTROL!$C$27, 0.0021, 0)</f>
        <v>38.0244</v>
      </c>
      <c r="J289" s="10">
        <f>38.0223 * CHOOSE(CONTROL!$C$9, $D$9, 100%, $F$9) + CHOOSE(CONTROL!$C$27, 0.0021, 0)</f>
        <v>38.0244</v>
      </c>
      <c r="K289" s="10">
        <f>38.0223 * CHOOSE(CONTROL!$C$9, $D$9, 100%, $F$9) + CHOOSE(CONTROL!$C$27, 0.0021, 0)</f>
        <v>38.0244</v>
      </c>
      <c r="L289" s="10"/>
    </row>
    <row r="290" spans="1:12" ht="15" x14ac:dyDescent="0.2">
      <c r="A290" s="15">
        <v>50100</v>
      </c>
      <c r="B290" s="10">
        <f>38.0201 * CHOOSE(CONTROL!$C$9, $D$9, 100%, $F$9) + CHOOSE(CONTROL!$C$27, 0.0021, 0)</f>
        <v>38.022199999999998</v>
      </c>
      <c r="C290" s="10">
        <f>37.5878 * CHOOSE(CONTROL!$C$9, $D$9, 100%, $F$9) + CHOOSE(CONTROL!$C$27, 0.0021, 0)</f>
        <v>37.5899</v>
      </c>
      <c r="D290" s="10">
        <f>37.5878 * CHOOSE(CONTROL!$C$9, $D$9, 100%, $F$9) + CHOOSE(CONTROL!$C$27, 0.0021, 0)</f>
        <v>37.5899</v>
      </c>
      <c r="E290" s="10">
        <f>37.4512 * CHOOSE(CONTROL!$C$9, $D$9, 100%, $F$9) + CHOOSE(CONTROL!$C$27, 0.0021, 0)</f>
        <v>37.453299999999999</v>
      </c>
      <c r="F290" s="10">
        <f>37.4512 * CHOOSE(CONTROL!$C$9, $D$9, 100%, $F$9) + CHOOSE(CONTROL!$C$27, 0.0021, 0)</f>
        <v>37.453299999999999</v>
      </c>
      <c r="G290" s="10">
        <f>37.7225 * CHOOSE(CONTROL!$C$9, $D$9, 100%, $F$9) + CHOOSE(CONTROL!$C$27, 0.0021, 0)</f>
        <v>37.724599999999995</v>
      </c>
      <c r="H290" s="10">
        <f>37.5878 * CHOOSE(CONTROL!$C$9, $D$9, 100%, $F$9) + CHOOSE(CONTROL!$C$27, 0.0021, 0)</f>
        <v>37.5899</v>
      </c>
      <c r="I290" s="10">
        <f>37.5878 * CHOOSE(CONTROL!$C$9, $D$9, 100%, $F$9) + CHOOSE(CONTROL!$C$27, 0.0021, 0)</f>
        <v>37.5899</v>
      </c>
      <c r="J290" s="10">
        <f>37.5878 * CHOOSE(CONTROL!$C$9, $D$9, 100%, $F$9) + CHOOSE(CONTROL!$C$27, 0.0021, 0)</f>
        <v>37.5899</v>
      </c>
      <c r="K290" s="10">
        <f>37.5878 * CHOOSE(CONTROL!$C$9, $D$9, 100%, $F$9) + CHOOSE(CONTROL!$C$27, 0.0021, 0)</f>
        <v>37.5899</v>
      </c>
      <c r="L290" s="10"/>
    </row>
    <row r="291" spans="1:12" ht="15" x14ac:dyDescent="0.2">
      <c r="A291" s="15">
        <v>50131</v>
      </c>
      <c r="B291" s="10">
        <f>37.5012 * CHOOSE(CONTROL!$C$9, $D$9, 100%, $F$9) + CHOOSE(CONTROL!$C$27, 0.0021, 0)</f>
        <v>37.503299999999996</v>
      </c>
      <c r="C291" s="10">
        <f>37.069 * CHOOSE(CONTROL!$C$9, $D$9, 100%, $F$9) + CHOOSE(CONTROL!$C$27, 0.0021, 0)</f>
        <v>37.071100000000001</v>
      </c>
      <c r="D291" s="10">
        <f>37.069 * CHOOSE(CONTROL!$C$9, $D$9, 100%, $F$9) + CHOOSE(CONTROL!$C$27, 0.0021, 0)</f>
        <v>37.071100000000001</v>
      </c>
      <c r="E291" s="10">
        <f>36.9323 * CHOOSE(CONTROL!$C$9, $D$9, 100%, $F$9) + CHOOSE(CONTROL!$C$27, 0.0021, 0)</f>
        <v>36.934399999999997</v>
      </c>
      <c r="F291" s="10">
        <f>36.9323 * CHOOSE(CONTROL!$C$9, $D$9, 100%, $F$9) + CHOOSE(CONTROL!$C$27, 0.0021, 0)</f>
        <v>36.934399999999997</v>
      </c>
      <c r="G291" s="10">
        <f>37.2037 * CHOOSE(CONTROL!$C$9, $D$9, 100%, $F$9) + CHOOSE(CONTROL!$C$27, 0.0021, 0)</f>
        <v>37.205799999999996</v>
      </c>
      <c r="H291" s="10">
        <f>37.069 * CHOOSE(CONTROL!$C$9, $D$9, 100%, $F$9) + CHOOSE(CONTROL!$C$27, 0.0021, 0)</f>
        <v>37.071100000000001</v>
      </c>
      <c r="I291" s="10">
        <f>37.069 * CHOOSE(CONTROL!$C$9, $D$9, 100%, $F$9) + CHOOSE(CONTROL!$C$27, 0.0021, 0)</f>
        <v>37.071100000000001</v>
      </c>
      <c r="J291" s="10">
        <f>37.069 * CHOOSE(CONTROL!$C$9, $D$9, 100%, $F$9) + CHOOSE(CONTROL!$C$27, 0.0021, 0)</f>
        <v>37.071100000000001</v>
      </c>
      <c r="K291" s="10">
        <f>37.069 * CHOOSE(CONTROL!$C$9, $D$9, 100%, $F$9) + CHOOSE(CONTROL!$C$27, 0.0021, 0)</f>
        <v>37.071100000000001</v>
      </c>
      <c r="L291" s="10"/>
    </row>
    <row r="292" spans="1:12" ht="15" x14ac:dyDescent="0.2">
      <c r="A292" s="15">
        <v>50161</v>
      </c>
      <c r="B292" s="10">
        <f>38.2406 * CHOOSE(CONTROL!$C$9, $D$9, 100%, $F$9) + CHOOSE(CONTROL!$C$27, 0.0021, 0)</f>
        <v>38.242699999999999</v>
      </c>
      <c r="C292" s="10">
        <f>37.8084 * CHOOSE(CONTROL!$C$9, $D$9, 100%, $F$9) + CHOOSE(CONTROL!$C$27, 0.0021, 0)</f>
        <v>37.810499999999998</v>
      </c>
      <c r="D292" s="10">
        <f>37.8084 * CHOOSE(CONTROL!$C$9, $D$9, 100%, $F$9) + CHOOSE(CONTROL!$C$27, 0.0021, 0)</f>
        <v>37.810499999999998</v>
      </c>
      <c r="E292" s="10">
        <f>37.6717 * CHOOSE(CONTROL!$C$9, $D$9, 100%, $F$9) + CHOOSE(CONTROL!$C$27, 0.0021, 0)</f>
        <v>37.6738</v>
      </c>
      <c r="F292" s="10">
        <f>37.6717 * CHOOSE(CONTROL!$C$9, $D$9, 100%, $F$9) + CHOOSE(CONTROL!$C$27, 0.0021, 0)</f>
        <v>37.6738</v>
      </c>
      <c r="G292" s="10">
        <f>37.9431 * CHOOSE(CONTROL!$C$9, $D$9, 100%, $F$9) + CHOOSE(CONTROL!$C$27, 0.0021, 0)</f>
        <v>37.9452</v>
      </c>
      <c r="H292" s="10">
        <f>37.8084 * CHOOSE(CONTROL!$C$9, $D$9, 100%, $F$9) + CHOOSE(CONTROL!$C$27, 0.0021, 0)</f>
        <v>37.810499999999998</v>
      </c>
      <c r="I292" s="10">
        <f>37.8084 * CHOOSE(CONTROL!$C$9, $D$9, 100%, $F$9) + CHOOSE(CONTROL!$C$27, 0.0021, 0)</f>
        <v>37.810499999999998</v>
      </c>
      <c r="J292" s="10">
        <f>37.8084 * CHOOSE(CONTROL!$C$9, $D$9, 100%, $F$9) + CHOOSE(CONTROL!$C$27, 0.0021, 0)</f>
        <v>37.810499999999998</v>
      </c>
      <c r="K292" s="10">
        <f>37.8084 * CHOOSE(CONTROL!$C$9, $D$9, 100%, $F$9) + CHOOSE(CONTROL!$C$27, 0.0021, 0)</f>
        <v>37.810499999999998</v>
      </c>
      <c r="L292" s="10"/>
    </row>
    <row r="293" spans="1:12" ht="15" x14ac:dyDescent="0.2">
      <c r="A293" s="15">
        <v>50192</v>
      </c>
      <c r="B293" s="10">
        <f>38.6835 * CHOOSE(CONTROL!$C$9, $D$9, 100%, $F$9) + CHOOSE(CONTROL!$C$27, 0.0021, 0)</f>
        <v>38.685600000000001</v>
      </c>
      <c r="C293" s="10">
        <f>38.2513 * CHOOSE(CONTROL!$C$9, $D$9, 100%, $F$9) + CHOOSE(CONTROL!$C$27, 0.0021, 0)</f>
        <v>38.253399999999999</v>
      </c>
      <c r="D293" s="10">
        <f>38.2513 * CHOOSE(CONTROL!$C$9, $D$9, 100%, $F$9) + CHOOSE(CONTROL!$C$27, 0.0021, 0)</f>
        <v>38.253399999999999</v>
      </c>
      <c r="E293" s="10">
        <f>38.1146 * CHOOSE(CONTROL!$C$9, $D$9, 100%, $F$9) + CHOOSE(CONTROL!$C$27, 0.0021, 0)</f>
        <v>38.116700000000002</v>
      </c>
      <c r="F293" s="10">
        <f>38.1146 * CHOOSE(CONTROL!$C$9, $D$9, 100%, $F$9) + CHOOSE(CONTROL!$C$27, 0.0021, 0)</f>
        <v>38.116700000000002</v>
      </c>
      <c r="G293" s="10">
        <f>38.386 * CHOOSE(CONTROL!$C$9, $D$9, 100%, $F$9) + CHOOSE(CONTROL!$C$27, 0.0021, 0)</f>
        <v>38.388100000000001</v>
      </c>
      <c r="H293" s="10">
        <f>38.2513 * CHOOSE(CONTROL!$C$9, $D$9, 100%, $F$9) + CHOOSE(CONTROL!$C$27, 0.0021, 0)</f>
        <v>38.253399999999999</v>
      </c>
      <c r="I293" s="10">
        <f>38.2513 * CHOOSE(CONTROL!$C$9, $D$9, 100%, $F$9) + CHOOSE(CONTROL!$C$27, 0.0021, 0)</f>
        <v>38.253399999999999</v>
      </c>
      <c r="J293" s="10">
        <f>38.2513 * CHOOSE(CONTROL!$C$9, $D$9, 100%, $F$9) + CHOOSE(CONTROL!$C$27, 0.0021, 0)</f>
        <v>38.253399999999999</v>
      </c>
      <c r="K293" s="10">
        <f>38.2513 * CHOOSE(CONTROL!$C$9, $D$9, 100%, $F$9) + CHOOSE(CONTROL!$C$27, 0.0021, 0)</f>
        <v>38.253399999999999</v>
      </c>
      <c r="L293" s="10"/>
    </row>
    <row r="294" spans="1:12" ht="15" x14ac:dyDescent="0.2">
      <c r="A294" s="15">
        <v>50222</v>
      </c>
      <c r="B294" s="10">
        <f>39.4141 * CHOOSE(CONTROL!$C$9, $D$9, 100%, $F$9) + CHOOSE(CONTROL!$C$27, 0.0021, 0)</f>
        <v>39.416199999999996</v>
      </c>
      <c r="C294" s="10">
        <f>38.9818 * CHOOSE(CONTROL!$C$9, $D$9, 100%, $F$9) + CHOOSE(CONTROL!$C$27, 0.0021, 0)</f>
        <v>38.983899999999998</v>
      </c>
      <c r="D294" s="10">
        <f>38.9818 * CHOOSE(CONTROL!$C$9, $D$9, 100%, $F$9) + CHOOSE(CONTROL!$C$27, 0.0021, 0)</f>
        <v>38.983899999999998</v>
      </c>
      <c r="E294" s="10">
        <f>38.8452 * CHOOSE(CONTROL!$C$9, $D$9, 100%, $F$9) + CHOOSE(CONTROL!$C$27, 0.0021, 0)</f>
        <v>38.847299999999997</v>
      </c>
      <c r="F294" s="10">
        <f>38.8452 * CHOOSE(CONTROL!$C$9, $D$9, 100%, $F$9) + CHOOSE(CONTROL!$C$27, 0.0021, 0)</f>
        <v>38.847299999999997</v>
      </c>
      <c r="G294" s="10">
        <f>39.1165 * CHOOSE(CONTROL!$C$9, $D$9, 100%, $F$9) + CHOOSE(CONTROL!$C$27, 0.0021, 0)</f>
        <v>39.118600000000001</v>
      </c>
      <c r="H294" s="10">
        <f>38.9818 * CHOOSE(CONTROL!$C$9, $D$9, 100%, $F$9) + CHOOSE(CONTROL!$C$27, 0.0021, 0)</f>
        <v>38.983899999999998</v>
      </c>
      <c r="I294" s="10">
        <f>38.9818 * CHOOSE(CONTROL!$C$9, $D$9, 100%, $F$9) + CHOOSE(CONTROL!$C$27, 0.0021, 0)</f>
        <v>38.983899999999998</v>
      </c>
      <c r="J294" s="10">
        <f>38.9818 * CHOOSE(CONTROL!$C$9, $D$9, 100%, $F$9) + CHOOSE(CONTROL!$C$27, 0.0021, 0)</f>
        <v>38.983899999999998</v>
      </c>
      <c r="K294" s="10">
        <f>38.9818 * CHOOSE(CONTROL!$C$9, $D$9, 100%, $F$9) + CHOOSE(CONTROL!$C$27, 0.0021, 0)</f>
        <v>38.983899999999998</v>
      </c>
      <c r="L294" s="10"/>
    </row>
    <row r="295" spans="1:12" ht="15" x14ac:dyDescent="0.2">
      <c r="A295" s="15">
        <v>50253</v>
      </c>
      <c r="B295" s="10">
        <f>39.6371 * CHOOSE(CONTROL!$C$9, $D$9, 100%, $F$9) + CHOOSE(CONTROL!$C$27, 0.0021, 0)</f>
        <v>39.639199999999995</v>
      </c>
      <c r="C295" s="10">
        <f>39.2048 * CHOOSE(CONTROL!$C$9, $D$9, 100%, $F$9) + CHOOSE(CONTROL!$C$27, 0.0021, 0)</f>
        <v>39.206899999999997</v>
      </c>
      <c r="D295" s="10">
        <f>39.2048 * CHOOSE(CONTROL!$C$9, $D$9, 100%, $F$9) + CHOOSE(CONTROL!$C$27, 0.0021, 0)</f>
        <v>39.206899999999997</v>
      </c>
      <c r="E295" s="10">
        <f>39.0682 * CHOOSE(CONTROL!$C$9, $D$9, 100%, $F$9) + CHOOSE(CONTROL!$C$27, 0.0021, 0)</f>
        <v>39.070299999999996</v>
      </c>
      <c r="F295" s="10">
        <f>39.0682 * CHOOSE(CONTROL!$C$9, $D$9, 100%, $F$9) + CHOOSE(CONTROL!$C$27, 0.0021, 0)</f>
        <v>39.070299999999996</v>
      </c>
      <c r="G295" s="10">
        <f>39.3395 * CHOOSE(CONTROL!$C$9, $D$9, 100%, $F$9) + CHOOSE(CONTROL!$C$27, 0.0021, 0)</f>
        <v>39.3416</v>
      </c>
      <c r="H295" s="10">
        <f>39.2048 * CHOOSE(CONTROL!$C$9, $D$9, 100%, $F$9) + CHOOSE(CONTROL!$C$27, 0.0021, 0)</f>
        <v>39.206899999999997</v>
      </c>
      <c r="I295" s="10">
        <f>39.2048 * CHOOSE(CONTROL!$C$9, $D$9, 100%, $F$9) + CHOOSE(CONTROL!$C$27, 0.0021, 0)</f>
        <v>39.206899999999997</v>
      </c>
      <c r="J295" s="10">
        <f>39.2048 * CHOOSE(CONTROL!$C$9, $D$9, 100%, $F$9) + CHOOSE(CONTROL!$C$27, 0.0021, 0)</f>
        <v>39.206899999999997</v>
      </c>
      <c r="K295" s="10">
        <f>39.2048 * CHOOSE(CONTROL!$C$9, $D$9, 100%, $F$9) + CHOOSE(CONTROL!$C$27, 0.0021, 0)</f>
        <v>39.206899999999997</v>
      </c>
      <c r="L295" s="10"/>
    </row>
    <row r="296" spans="1:12" ht="15" x14ac:dyDescent="0.2">
      <c r="A296" s="15">
        <v>50284</v>
      </c>
      <c r="B296" s="10">
        <f>40.3965 * CHOOSE(CONTROL!$C$9, $D$9, 100%, $F$9) + CHOOSE(CONTROL!$C$27, 0.0021, 0)</f>
        <v>40.398600000000002</v>
      </c>
      <c r="C296" s="10">
        <f>39.9642 * CHOOSE(CONTROL!$C$9, $D$9, 100%, $F$9) + CHOOSE(CONTROL!$C$27, 0.0021, 0)</f>
        <v>39.966299999999997</v>
      </c>
      <c r="D296" s="10">
        <f>39.9642 * CHOOSE(CONTROL!$C$9, $D$9, 100%, $F$9) + CHOOSE(CONTROL!$C$27, 0.0021, 0)</f>
        <v>39.966299999999997</v>
      </c>
      <c r="E296" s="10">
        <f>39.8276 * CHOOSE(CONTROL!$C$9, $D$9, 100%, $F$9) + CHOOSE(CONTROL!$C$27, 0.0021, 0)</f>
        <v>39.829699999999995</v>
      </c>
      <c r="F296" s="10">
        <f>39.8276 * CHOOSE(CONTROL!$C$9, $D$9, 100%, $F$9) + CHOOSE(CONTROL!$C$27, 0.0021, 0)</f>
        <v>39.829699999999995</v>
      </c>
      <c r="G296" s="10">
        <f>40.0989 * CHOOSE(CONTROL!$C$9, $D$9, 100%, $F$9) + CHOOSE(CONTROL!$C$27, 0.0021, 0)</f>
        <v>40.100999999999999</v>
      </c>
      <c r="H296" s="10">
        <f>39.9642 * CHOOSE(CONTROL!$C$9, $D$9, 100%, $F$9) + CHOOSE(CONTROL!$C$27, 0.0021, 0)</f>
        <v>39.966299999999997</v>
      </c>
      <c r="I296" s="10">
        <f>39.9642 * CHOOSE(CONTROL!$C$9, $D$9, 100%, $F$9) + CHOOSE(CONTROL!$C$27, 0.0021, 0)</f>
        <v>39.966299999999997</v>
      </c>
      <c r="J296" s="10">
        <f>39.9642 * CHOOSE(CONTROL!$C$9, $D$9, 100%, $F$9) + CHOOSE(CONTROL!$C$27, 0.0021, 0)</f>
        <v>39.966299999999997</v>
      </c>
      <c r="K296" s="10">
        <f>39.9642 * CHOOSE(CONTROL!$C$9, $D$9, 100%, $F$9) + CHOOSE(CONTROL!$C$27, 0.0021, 0)</f>
        <v>39.966299999999997</v>
      </c>
      <c r="L296" s="10"/>
    </row>
    <row r="297" spans="1:12" ht="15" x14ac:dyDescent="0.2">
      <c r="A297" s="15">
        <v>50314</v>
      </c>
      <c r="B297" s="10">
        <f>41.3578 * CHOOSE(CONTROL!$C$9, $D$9, 100%, $F$9) + CHOOSE(CONTROL!$C$27, 0.0021, 0)</f>
        <v>41.359899999999996</v>
      </c>
      <c r="C297" s="10">
        <f>40.9255 * CHOOSE(CONTROL!$C$9, $D$9, 100%, $F$9) + CHOOSE(CONTROL!$C$27, 0.0021, 0)</f>
        <v>40.927599999999998</v>
      </c>
      <c r="D297" s="10">
        <f>40.9255 * CHOOSE(CONTROL!$C$9, $D$9, 100%, $F$9) + CHOOSE(CONTROL!$C$27, 0.0021, 0)</f>
        <v>40.927599999999998</v>
      </c>
      <c r="E297" s="10">
        <f>40.7888 * CHOOSE(CONTROL!$C$9, $D$9, 100%, $F$9) + CHOOSE(CONTROL!$C$27, 0.0021, 0)</f>
        <v>40.790900000000001</v>
      </c>
      <c r="F297" s="10">
        <f>40.7888 * CHOOSE(CONTROL!$C$9, $D$9, 100%, $F$9) + CHOOSE(CONTROL!$C$27, 0.0021, 0)</f>
        <v>40.790900000000001</v>
      </c>
      <c r="G297" s="10">
        <f>41.0602 * CHOOSE(CONTROL!$C$9, $D$9, 100%, $F$9) + CHOOSE(CONTROL!$C$27, 0.0021, 0)</f>
        <v>41.0623</v>
      </c>
      <c r="H297" s="10">
        <f>40.9255 * CHOOSE(CONTROL!$C$9, $D$9, 100%, $F$9) + CHOOSE(CONTROL!$C$27, 0.0021, 0)</f>
        <v>40.927599999999998</v>
      </c>
      <c r="I297" s="10">
        <f>40.9255 * CHOOSE(CONTROL!$C$9, $D$9, 100%, $F$9) + CHOOSE(CONTROL!$C$27, 0.0021, 0)</f>
        <v>40.927599999999998</v>
      </c>
      <c r="J297" s="10">
        <f>40.9255 * CHOOSE(CONTROL!$C$9, $D$9, 100%, $F$9) + CHOOSE(CONTROL!$C$27, 0.0021, 0)</f>
        <v>40.927599999999998</v>
      </c>
      <c r="K297" s="10">
        <f>40.9255 * CHOOSE(CONTROL!$C$9, $D$9, 100%, $F$9) + CHOOSE(CONTROL!$C$27, 0.0021, 0)</f>
        <v>40.927599999999998</v>
      </c>
      <c r="L297" s="10"/>
    </row>
    <row r="298" spans="1:12" ht="15" x14ac:dyDescent="0.2">
      <c r="A298" s="15">
        <v>50345</v>
      </c>
      <c r="B298" s="10">
        <f>41.448 * CHOOSE(CONTROL!$C$9, $D$9, 100%, $F$9) + CHOOSE(CONTROL!$C$27, 0.0021, 0)</f>
        <v>41.450099999999999</v>
      </c>
      <c r="C298" s="10">
        <f>41.0157 * CHOOSE(CONTROL!$C$9, $D$9, 100%, $F$9) + CHOOSE(CONTROL!$C$27, 0.0021, 0)</f>
        <v>41.017800000000001</v>
      </c>
      <c r="D298" s="10">
        <f>41.0157 * CHOOSE(CONTROL!$C$9, $D$9, 100%, $F$9) + CHOOSE(CONTROL!$C$27, 0.0021, 0)</f>
        <v>41.017800000000001</v>
      </c>
      <c r="E298" s="10">
        <f>40.8791 * CHOOSE(CONTROL!$C$9, $D$9, 100%, $F$9) + CHOOSE(CONTROL!$C$27, 0.0021, 0)</f>
        <v>40.8812</v>
      </c>
      <c r="F298" s="10">
        <f>40.8791 * CHOOSE(CONTROL!$C$9, $D$9, 100%, $F$9) + CHOOSE(CONTROL!$C$27, 0.0021, 0)</f>
        <v>40.8812</v>
      </c>
      <c r="G298" s="10">
        <f>41.1505 * CHOOSE(CONTROL!$C$9, $D$9, 100%, $F$9) + CHOOSE(CONTROL!$C$27, 0.0021, 0)</f>
        <v>41.1526</v>
      </c>
      <c r="H298" s="10">
        <f>41.0157 * CHOOSE(CONTROL!$C$9, $D$9, 100%, $F$9) + CHOOSE(CONTROL!$C$27, 0.0021, 0)</f>
        <v>41.017800000000001</v>
      </c>
      <c r="I298" s="10">
        <f>41.0157 * CHOOSE(CONTROL!$C$9, $D$9, 100%, $F$9) + CHOOSE(CONTROL!$C$27, 0.0021, 0)</f>
        <v>41.017800000000001</v>
      </c>
      <c r="J298" s="10">
        <f>41.0157 * CHOOSE(CONTROL!$C$9, $D$9, 100%, $F$9) + CHOOSE(CONTROL!$C$27, 0.0021, 0)</f>
        <v>41.017800000000001</v>
      </c>
      <c r="K298" s="10">
        <f>41.0157 * CHOOSE(CONTROL!$C$9, $D$9, 100%, $F$9) + CHOOSE(CONTROL!$C$27, 0.0021, 0)</f>
        <v>41.017800000000001</v>
      </c>
      <c r="L298" s="10"/>
    </row>
    <row r="299" spans="1:12" ht="15" x14ac:dyDescent="0.2">
      <c r="A299" s="15">
        <v>50375</v>
      </c>
      <c r="B299" s="10">
        <f>40.6802 * CHOOSE(CONTROL!$C$9, $D$9, 100%, $F$9) + CHOOSE(CONTROL!$C$27, 0.0021, 0)</f>
        <v>40.682299999999998</v>
      </c>
      <c r="C299" s="10">
        <f>40.248 * CHOOSE(CONTROL!$C$9, $D$9, 100%, $F$9) + CHOOSE(CONTROL!$C$27, 0.0021, 0)</f>
        <v>40.250099999999996</v>
      </c>
      <c r="D299" s="10">
        <f>40.248 * CHOOSE(CONTROL!$C$9, $D$9, 100%, $F$9) + CHOOSE(CONTROL!$C$27, 0.0021, 0)</f>
        <v>40.250099999999996</v>
      </c>
      <c r="E299" s="10">
        <f>40.1113 * CHOOSE(CONTROL!$C$9, $D$9, 100%, $F$9) + CHOOSE(CONTROL!$C$27, 0.0021, 0)</f>
        <v>40.113399999999999</v>
      </c>
      <c r="F299" s="10">
        <f>40.1113 * CHOOSE(CONTROL!$C$9, $D$9, 100%, $F$9) + CHOOSE(CONTROL!$C$27, 0.0021, 0)</f>
        <v>40.113399999999999</v>
      </c>
      <c r="G299" s="10">
        <f>40.3827 * CHOOSE(CONTROL!$C$9, $D$9, 100%, $F$9) + CHOOSE(CONTROL!$C$27, 0.0021, 0)</f>
        <v>40.384799999999998</v>
      </c>
      <c r="H299" s="10">
        <f>40.248 * CHOOSE(CONTROL!$C$9, $D$9, 100%, $F$9) + CHOOSE(CONTROL!$C$27, 0.0021, 0)</f>
        <v>40.250099999999996</v>
      </c>
      <c r="I299" s="10">
        <f>40.248 * CHOOSE(CONTROL!$C$9, $D$9, 100%, $F$9) + CHOOSE(CONTROL!$C$27, 0.0021, 0)</f>
        <v>40.250099999999996</v>
      </c>
      <c r="J299" s="10">
        <f>40.248 * CHOOSE(CONTROL!$C$9, $D$9, 100%, $F$9) + CHOOSE(CONTROL!$C$27, 0.0021, 0)</f>
        <v>40.250099999999996</v>
      </c>
      <c r="K299" s="10">
        <f>40.248 * CHOOSE(CONTROL!$C$9, $D$9, 100%, $F$9) + CHOOSE(CONTROL!$C$27, 0.0021, 0)</f>
        <v>40.250099999999996</v>
      </c>
      <c r="L299" s="10"/>
    </row>
    <row r="300" spans="1:12" ht="15.75" x14ac:dyDescent="0.25">
      <c r="A300" s="14">
        <v>50436</v>
      </c>
      <c r="B300" s="10">
        <f>40.0924 * CHOOSE(CONTROL!$C$9, $D$9, 100%, $F$9) + CHOOSE(CONTROL!$C$27, 0.0021, 0)</f>
        <v>40.094499999999996</v>
      </c>
      <c r="C300" s="10">
        <f>39.6602 * CHOOSE(CONTROL!$C$9, $D$9, 100%, $F$9) + CHOOSE(CONTROL!$C$27, 0.0021, 0)</f>
        <v>39.662300000000002</v>
      </c>
      <c r="D300" s="10">
        <f>39.6602 * CHOOSE(CONTROL!$C$9, $D$9, 100%, $F$9) + CHOOSE(CONTROL!$C$27, 0.0021, 0)</f>
        <v>39.662300000000002</v>
      </c>
      <c r="E300" s="10">
        <f>39.5235 * CHOOSE(CONTROL!$C$9, $D$9, 100%, $F$9) + CHOOSE(CONTROL!$C$27, 0.0021, 0)</f>
        <v>39.525599999999997</v>
      </c>
      <c r="F300" s="10">
        <f>39.5235 * CHOOSE(CONTROL!$C$9, $D$9, 100%, $F$9) + CHOOSE(CONTROL!$C$27, 0.0021, 0)</f>
        <v>39.525599999999997</v>
      </c>
      <c r="G300" s="10">
        <f>39.7949 * CHOOSE(CONTROL!$C$9, $D$9, 100%, $F$9) + CHOOSE(CONTROL!$C$27, 0.0021, 0)</f>
        <v>39.796999999999997</v>
      </c>
      <c r="H300" s="10">
        <f>39.6602 * CHOOSE(CONTROL!$C$9, $D$9, 100%, $F$9) + CHOOSE(CONTROL!$C$27, 0.0021, 0)</f>
        <v>39.662300000000002</v>
      </c>
      <c r="I300" s="10">
        <f>39.6602 * CHOOSE(CONTROL!$C$9, $D$9, 100%, $F$9) + CHOOSE(CONTROL!$C$27, 0.0021, 0)</f>
        <v>39.662300000000002</v>
      </c>
      <c r="J300" s="10">
        <f>39.6602 * CHOOSE(CONTROL!$C$9, $D$9, 100%, $F$9) + CHOOSE(CONTROL!$C$27, 0.0021, 0)</f>
        <v>39.662300000000002</v>
      </c>
      <c r="K300" s="10">
        <f>39.6602 * CHOOSE(CONTROL!$C$9, $D$9, 100%, $F$9) + CHOOSE(CONTROL!$C$27, 0.0021, 0)</f>
        <v>39.662300000000002</v>
      </c>
      <c r="L300" s="10"/>
    </row>
    <row r="301" spans="1:12" ht="15.75" x14ac:dyDescent="0.25">
      <c r="A301" s="14">
        <v>50464</v>
      </c>
      <c r="B301" s="10">
        <f>39.0232 * CHOOSE(CONTROL!$C$9, $D$9, 100%, $F$9) + CHOOSE(CONTROL!$C$27, 0.0021, 0)</f>
        <v>39.025300000000001</v>
      </c>
      <c r="C301" s="10">
        <f>38.591 * CHOOSE(CONTROL!$C$9, $D$9, 100%, $F$9) + CHOOSE(CONTROL!$C$27, 0.0021, 0)</f>
        <v>38.5931</v>
      </c>
      <c r="D301" s="10">
        <f>38.591 * CHOOSE(CONTROL!$C$9, $D$9, 100%, $F$9) + CHOOSE(CONTROL!$C$27, 0.0021, 0)</f>
        <v>38.5931</v>
      </c>
      <c r="E301" s="10">
        <f>38.4543 * CHOOSE(CONTROL!$C$9, $D$9, 100%, $F$9) + CHOOSE(CONTROL!$C$27, 0.0021, 0)</f>
        <v>38.456400000000002</v>
      </c>
      <c r="F301" s="10">
        <f>38.4543 * CHOOSE(CONTROL!$C$9, $D$9, 100%, $F$9) + CHOOSE(CONTROL!$C$27, 0.0021, 0)</f>
        <v>38.456400000000002</v>
      </c>
      <c r="G301" s="10">
        <f>38.7257 * CHOOSE(CONTROL!$C$9, $D$9, 100%, $F$9) + CHOOSE(CONTROL!$C$27, 0.0021, 0)</f>
        <v>38.727800000000002</v>
      </c>
      <c r="H301" s="10">
        <f>38.591 * CHOOSE(CONTROL!$C$9, $D$9, 100%, $F$9) + CHOOSE(CONTROL!$C$27, 0.0021, 0)</f>
        <v>38.5931</v>
      </c>
      <c r="I301" s="10">
        <f>38.591 * CHOOSE(CONTROL!$C$9, $D$9, 100%, $F$9) + CHOOSE(CONTROL!$C$27, 0.0021, 0)</f>
        <v>38.5931</v>
      </c>
      <c r="J301" s="10">
        <f>38.591 * CHOOSE(CONTROL!$C$9, $D$9, 100%, $F$9) + CHOOSE(CONTROL!$C$27, 0.0021, 0)</f>
        <v>38.5931</v>
      </c>
      <c r="K301" s="10">
        <f>38.591 * CHOOSE(CONTROL!$C$9, $D$9, 100%, $F$9) + CHOOSE(CONTROL!$C$27, 0.0021, 0)</f>
        <v>38.5931</v>
      </c>
      <c r="L301" s="10"/>
    </row>
    <row r="302" spans="1:12" ht="15.75" x14ac:dyDescent="0.25">
      <c r="A302" s="14">
        <v>50495</v>
      </c>
      <c r="B302" s="10">
        <f>38.5819 * CHOOSE(CONTROL!$C$9, $D$9, 100%, $F$9) + CHOOSE(CONTROL!$C$27, 0.0021, 0)</f>
        <v>38.583999999999996</v>
      </c>
      <c r="C302" s="10">
        <f>38.1496 * CHOOSE(CONTROL!$C$9, $D$9, 100%, $F$9) + CHOOSE(CONTROL!$C$27, 0.0021, 0)</f>
        <v>38.151699999999998</v>
      </c>
      <c r="D302" s="10">
        <f>38.1496 * CHOOSE(CONTROL!$C$9, $D$9, 100%, $F$9) + CHOOSE(CONTROL!$C$27, 0.0021, 0)</f>
        <v>38.151699999999998</v>
      </c>
      <c r="E302" s="10">
        <f>38.013 * CHOOSE(CONTROL!$C$9, $D$9, 100%, $F$9) + CHOOSE(CONTROL!$C$27, 0.0021, 0)</f>
        <v>38.015099999999997</v>
      </c>
      <c r="F302" s="10">
        <f>38.013 * CHOOSE(CONTROL!$C$9, $D$9, 100%, $F$9) + CHOOSE(CONTROL!$C$27, 0.0021, 0)</f>
        <v>38.015099999999997</v>
      </c>
      <c r="G302" s="10">
        <f>38.2843 * CHOOSE(CONTROL!$C$9, $D$9, 100%, $F$9) + CHOOSE(CONTROL!$C$27, 0.0021, 0)</f>
        <v>38.2864</v>
      </c>
      <c r="H302" s="10">
        <f>38.1496 * CHOOSE(CONTROL!$C$9, $D$9, 100%, $F$9) + CHOOSE(CONTROL!$C$27, 0.0021, 0)</f>
        <v>38.151699999999998</v>
      </c>
      <c r="I302" s="10">
        <f>38.1496 * CHOOSE(CONTROL!$C$9, $D$9, 100%, $F$9) + CHOOSE(CONTROL!$C$27, 0.0021, 0)</f>
        <v>38.151699999999998</v>
      </c>
      <c r="J302" s="10">
        <f>38.1496 * CHOOSE(CONTROL!$C$9, $D$9, 100%, $F$9) + CHOOSE(CONTROL!$C$27, 0.0021, 0)</f>
        <v>38.151699999999998</v>
      </c>
      <c r="K302" s="10">
        <f>38.1496 * CHOOSE(CONTROL!$C$9, $D$9, 100%, $F$9) + CHOOSE(CONTROL!$C$27, 0.0021, 0)</f>
        <v>38.151699999999998</v>
      </c>
      <c r="L302" s="10"/>
    </row>
    <row r="303" spans="1:12" ht="15.75" x14ac:dyDescent="0.25">
      <c r="A303" s="14">
        <v>50525</v>
      </c>
      <c r="B303" s="10">
        <f>38.0549 * CHOOSE(CONTROL!$C$9, $D$9, 100%, $F$9) + CHOOSE(CONTROL!$C$27, 0.0021, 0)</f>
        <v>38.057000000000002</v>
      </c>
      <c r="C303" s="10">
        <f>37.6226 * CHOOSE(CONTROL!$C$9, $D$9, 100%, $F$9) + CHOOSE(CONTROL!$C$27, 0.0021, 0)</f>
        <v>37.624699999999997</v>
      </c>
      <c r="D303" s="10">
        <f>37.6226 * CHOOSE(CONTROL!$C$9, $D$9, 100%, $F$9) + CHOOSE(CONTROL!$C$27, 0.0021, 0)</f>
        <v>37.624699999999997</v>
      </c>
      <c r="E303" s="10">
        <f>37.486 * CHOOSE(CONTROL!$C$9, $D$9, 100%, $F$9) + CHOOSE(CONTROL!$C$27, 0.0021, 0)</f>
        <v>37.488099999999996</v>
      </c>
      <c r="F303" s="10">
        <f>37.486 * CHOOSE(CONTROL!$C$9, $D$9, 100%, $F$9) + CHOOSE(CONTROL!$C$27, 0.0021, 0)</f>
        <v>37.488099999999996</v>
      </c>
      <c r="G303" s="10">
        <f>37.7574 * CHOOSE(CONTROL!$C$9, $D$9, 100%, $F$9) + CHOOSE(CONTROL!$C$27, 0.0021, 0)</f>
        <v>37.759499999999996</v>
      </c>
      <c r="H303" s="10">
        <f>37.6226 * CHOOSE(CONTROL!$C$9, $D$9, 100%, $F$9) + CHOOSE(CONTROL!$C$27, 0.0021, 0)</f>
        <v>37.624699999999997</v>
      </c>
      <c r="I303" s="10">
        <f>37.6226 * CHOOSE(CONTROL!$C$9, $D$9, 100%, $F$9) + CHOOSE(CONTROL!$C$27, 0.0021, 0)</f>
        <v>37.624699999999997</v>
      </c>
      <c r="J303" s="10">
        <f>37.6226 * CHOOSE(CONTROL!$C$9, $D$9, 100%, $F$9) + CHOOSE(CONTROL!$C$27, 0.0021, 0)</f>
        <v>37.624699999999997</v>
      </c>
      <c r="K303" s="10">
        <f>37.6226 * CHOOSE(CONTROL!$C$9, $D$9, 100%, $F$9) + CHOOSE(CONTROL!$C$27, 0.0021, 0)</f>
        <v>37.624699999999997</v>
      </c>
      <c r="L303" s="10"/>
    </row>
    <row r="304" spans="1:12" ht="15.75" x14ac:dyDescent="0.25">
      <c r="A304" s="14">
        <v>50556</v>
      </c>
      <c r="B304" s="10">
        <f>38.8059 * CHOOSE(CONTROL!$C$9, $D$9, 100%, $F$9) + CHOOSE(CONTROL!$C$27, 0.0021, 0)</f>
        <v>38.808</v>
      </c>
      <c r="C304" s="10">
        <f>38.3737 * CHOOSE(CONTROL!$C$9, $D$9, 100%, $F$9) + CHOOSE(CONTROL!$C$27, 0.0021, 0)</f>
        <v>38.375799999999998</v>
      </c>
      <c r="D304" s="10">
        <f>38.3737 * CHOOSE(CONTROL!$C$9, $D$9, 100%, $F$9) + CHOOSE(CONTROL!$C$27, 0.0021, 0)</f>
        <v>38.375799999999998</v>
      </c>
      <c r="E304" s="10">
        <f>38.237 * CHOOSE(CONTROL!$C$9, $D$9, 100%, $F$9) + CHOOSE(CONTROL!$C$27, 0.0021, 0)</f>
        <v>38.239100000000001</v>
      </c>
      <c r="F304" s="10">
        <f>38.237 * CHOOSE(CONTROL!$C$9, $D$9, 100%, $F$9) + CHOOSE(CONTROL!$C$27, 0.0021, 0)</f>
        <v>38.239100000000001</v>
      </c>
      <c r="G304" s="10">
        <f>38.5084 * CHOOSE(CONTROL!$C$9, $D$9, 100%, $F$9) + CHOOSE(CONTROL!$C$27, 0.0021, 0)</f>
        <v>38.5105</v>
      </c>
      <c r="H304" s="10">
        <f>38.3737 * CHOOSE(CONTROL!$C$9, $D$9, 100%, $F$9) + CHOOSE(CONTROL!$C$27, 0.0021, 0)</f>
        <v>38.375799999999998</v>
      </c>
      <c r="I304" s="10">
        <f>38.3737 * CHOOSE(CONTROL!$C$9, $D$9, 100%, $F$9) + CHOOSE(CONTROL!$C$27, 0.0021, 0)</f>
        <v>38.375799999999998</v>
      </c>
      <c r="J304" s="10">
        <f>38.3737 * CHOOSE(CONTROL!$C$9, $D$9, 100%, $F$9) + CHOOSE(CONTROL!$C$27, 0.0021, 0)</f>
        <v>38.375799999999998</v>
      </c>
      <c r="K304" s="10">
        <f>38.3737 * CHOOSE(CONTROL!$C$9, $D$9, 100%, $F$9) + CHOOSE(CONTROL!$C$27, 0.0021, 0)</f>
        <v>38.375799999999998</v>
      </c>
      <c r="L304" s="10"/>
    </row>
    <row r="305" spans="1:12" ht="15.75" x14ac:dyDescent="0.25">
      <c r="A305" s="14">
        <v>50586</v>
      </c>
      <c r="B305" s="10">
        <f>39.2558 * CHOOSE(CONTROL!$C$9, $D$9, 100%, $F$9) + CHOOSE(CONTROL!$C$27, 0.0021, 0)</f>
        <v>39.257899999999999</v>
      </c>
      <c r="C305" s="10">
        <f>38.8235 * CHOOSE(CONTROL!$C$9, $D$9, 100%, $F$9) + CHOOSE(CONTROL!$C$27, 0.0021, 0)</f>
        <v>38.825600000000001</v>
      </c>
      <c r="D305" s="10">
        <f>38.8235 * CHOOSE(CONTROL!$C$9, $D$9, 100%, $F$9) + CHOOSE(CONTROL!$C$27, 0.0021, 0)</f>
        <v>38.825600000000001</v>
      </c>
      <c r="E305" s="10">
        <f>38.6868 * CHOOSE(CONTROL!$C$9, $D$9, 100%, $F$9) + CHOOSE(CONTROL!$C$27, 0.0021, 0)</f>
        <v>38.688899999999997</v>
      </c>
      <c r="F305" s="10">
        <f>38.6868 * CHOOSE(CONTROL!$C$9, $D$9, 100%, $F$9) + CHOOSE(CONTROL!$C$27, 0.0021, 0)</f>
        <v>38.688899999999997</v>
      </c>
      <c r="G305" s="10">
        <f>38.9582 * CHOOSE(CONTROL!$C$9, $D$9, 100%, $F$9) + CHOOSE(CONTROL!$C$27, 0.0021, 0)</f>
        <v>38.960299999999997</v>
      </c>
      <c r="H305" s="10">
        <f>38.8235 * CHOOSE(CONTROL!$C$9, $D$9, 100%, $F$9) + CHOOSE(CONTROL!$C$27, 0.0021, 0)</f>
        <v>38.825600000000001</v>
      </c>
      <c r="I305" s="10">
        <f>38.8235 * CHOOSE(CONTROL!$C$9, $D$9, 100%, $F$9) + CHOOSE(CONTROL!$C$27, 0.0021, 0)</f>
        <v>38.825600000000001</v>
      </c>
      <c r="J305" s="10">
        <f>38.8235 * CHOOSE(CONTROL!$C$9, $D$9, 100%, $F$9) + CHOOSE(CONTROL!$C$27, 0.0021, 0)</f>
        <v>38.825600000000001</v>
      </c>
      <c r="K305" s="10">
        <f>38.8235 * CHOOSE(CONTROL!$C$9, $D$9, 100%, $F$9) + CHOOSE(CONTROL!$C$27, 0.0021, 0)</f>
        <v>38.825600000000001</v>
      </c>
      <c r="L305" s="10"/>
    </row>
    <row r="306" spans="1:12" ht="15.75" x14ac:dyDescent="0.25">
      <c r="A306" s="14">
        <v>50617</v>
      </c>
      <c r="B306" s="10">
        <f>39.9978 * CHOOSE(CONTROL!$C$9, $D$9, 100%, $F$9) + CHOOSE(CONTROL!$C$27, 0.0021, 0)</f>
        <v>39.999899999999997</v>
      </c>
      <c r="C306" s="10">
        <f>39.5656 * CHOOSE(CONTROL!$C$9, $D$9, 100%, $F$9) + CHOOSE(CONTROL!$C$27, 0.0021, 0)</f>
        <v>39.567700000000002</v>
      </c>
      <c r="D306" s="10">
        <f>39.5656 * CHOOSE(CONTROL!$C$9, $D$9, 100%, $F$9) + CHOOSE(CONTROL!$C$27, 0.0021, 0)</f>
        <v>39.567700000000002</v>
      </c>
      <c r="E306" s="10">
        <f>39.4289 * CHOOSE(CONTROL!$C$9, $D$9, 100%, $F$9) + CHOOSE(CONTROL!$C$27, 0.0021, 0)</f>
        <v>39.430999999999997</v>
      </c>
      <c r="F306" s="10">
        <f>39.4289 * CHOOSE(CONTROL!$C$9, $D$9, 100%, $F$9) + CHOOSE(CONTROL!$C$27, 0.0021, 0)</f>
        <v>39.430999999999997</v>
      </c>
      <c r="G306" s="10">
        <f>39.7003 * CHOOSE(CONTROL!$C$9, $D$9, 100%, $F$9) + CHOOSE(CONTROL!$C$27, 0.0021, 0)</f>
        <v>39.702399999999997</v>
      </c>
      <c r="H306" s="10">
        <f>39.5656 * CHOOSE(CONTROL!$C$9, $D$9, 100%, $F$9) + CHOOSE(CONTROL!$C$27, 0.0021, 0)</f>
        <v>39.567700000000002</v>
      </c>
      <c r="I306" s="10">
        <f>39.5656 * CHOOSE(CONTROL!$C$9, $D$9, 100%, $F$9) + CHOOSE(CONTROL!$C$27, 0.0021, 0)</f>
        <v>39.567700000000002</v>
      </c>
      <c r="J306" s="10">
        <f>39.5656 * CHOOSE(CONTROL!$C$9, $D$9, 100%, $F$9) + CHOOSE(CONTROL!$C$27, 0.0021, 0)</f>
        <v>39.567700000000002</v>
      </c>
      <c r="K306" s="10">
        <f>39.5656 * CHOOSE(CONTROL!$C$9, $D$9, 100%, $F$9) + CHOOSE(CONTROL!$C$27, 0.0021, 0)</f>
        <v>39.567700000000002</v>
      </c>
      <c r="L306" s="10"/>
    </row>
    <row r="307" spans="1:12" ht="15.75" x14ac:dyDescent="0.25">
      <c r="A307" s="14">
        <v>50648</v>
      </c>
      <c r="B307" s="10">
        <f>40.2243 * CHOOSE(CONTROL!$C$9, $D$9, 100%, $F$9) + CHOOSE(CONTROL!$C$27, 0.0021, 0)</f>
        <v>40.226399999999998</v>
      </c>
      <c r="C307" s="10">
        <f>39.7921 * CHOOSE(CONTROL!$C$9, $D$9, 100%, $F$9) + CHOOSE(CONTROL!$C$27, 0.0021, 0)</f>
        <v>39.794199999999996</v>
      </c>
      <c r="D307" s="10">
        <f>39.7921 * CHOOSE(CONTROL!$C$9, $D$9, 100%, $F$9) + CHOOSE(CONTROL!$C$27, 0.0021, 0)</f>
        <v>39.794199999999996</v>
      </c>
      <c r="E307" s="10">
        <f>39.6554 * CHOOSE(CONTROL!$C$9, $D$9, 100%, $F$9) + CHOOSE(CONTROL!$C$27, 0.0021, 0)</f>
        <v>39.657499999999999</v>
      </c>
      <c r="F307" s="10">
        <f>39.6554 * CHOOSE(CONTROL!$C$9, $D$9, 100%, $F$9) + CHOOSE(CONTROL!$C$27, 0.0021, 0)</f>
        <v>39.657499999999999</v>
      </c>
      <c r="G307" s="10">
        <f>39.9268 * CHOOSE(CONTROL!$C$9, $D$9, 100%, $F$9) + CHOOSE(CONTROL!$C$27, 0.0021, 0)</f>
        <v>39.928899999999999</v>
      </c>
      <c r="H307" s="10">
        <f>39.7921 * CHOOSE(CONTROL!$C$9, $D$9, 100%, $F$9) + CHOOSE(CONTROL!$C$27, 0.0021, 0)</f>
        <v>39.794199999999996</v>
      </c>
      <c r="I307" s="10">
        <f>39.7921 * CHOOSE(CONTROL!$C$9, $D$9, 100%, $F$9) + CHOOSE(CONTROL!$C$27, 0.0021, 0)</f>
        <v>39.794199999999996</v>
      </c>
      <c r="J307" s="10">
        <f>39.7921 * CHOOSE(CONTROL!$C$9, $D$9, 100%, $F$9) + CHOOSE(CONTROL!$C$27, 0.0021, 0)</f>
        <v>39.794199999999996</v>
      </c>
      <c r="K307" s="10">
        <f>39.7921 * CHOOSE(CONTROL!$C$9, $D$9, 100%, $F$9) + CHOOSE(CONTROL!$C$27, 0.0021, 0)</f>
        <v>39.794199999999996</v>
      </c>
      <c r="L307" s="10"/>
    </row>
    <row r="308" spans="1:12" ht="15.75" x14ac:dyDescent="0.25">
      <c r="A308" s="14">
        <v>50678</v>
      </c>
      <c r="B308" s="10">
        <f>40.9957 * CHOOSE(CONTROL!$C$9, $D$9, 100%, $F$9) + CHOOSE(CONTROL!$C$27, 0.0021, 0)</f>
        <v>40.997799999999998</v>
      </c>
      <c r="C308" s="10">
        <f>40.5634 * CHOOSE(CONTROL!$C$9, $D$9, 100%, $F$9) + CHOOSE(CONTROL!$C$27, 0.0021, 0)</f>
        <v>40.5655</v>
      </c>
      <c r="D308" s="10">
        <f>40.5634 * CHOOSE(CONTROL!$C$9, $D$9, 100%, $F$9) + CHOOSE(CONTROL!$C$27, 0.0021, 0)</f>
        <v>40.5655</v>
      </c>
      <c r="E308" s="10">
        <f>40.4268 * CHOOSE(CONTROL!$C$9, $D$9, 100%, $F$9) + CHOOSE(CONTROL!$C$27, 0.0021, 0)</f>
        <v>40.428899999999999</v>
      </c>
      <c r="F308" s="10">
        <f>40.4268 * CHOOSE(CONTROL!$C$9, $D$9, 100%, $F$9) + CHOOSE(CONTROL!$C$27, 0.0021, 0)</f>
        <v>40.428899999999999</v>
      </c>
      <c r="G308" s="10">
        <f>40.6981 * CHOOSE(CONTROL!$C$9, $D$9, 100%, $F$9) + CHOOSE(CONTROL!$C$27, 0.0021, 0)</f>
        <v>40.700199999999995</v>
      </c>
      <c r="H308" s="10">
        <f>40.5634 * CHOOSE(CONTROL!$C$9, $D$9, 100%, $F$9) + CHOOSE(CONTROL!$C$27, 0.0021, 0)</f>
        <v>40.5655</v>
      </c>
      <c r="I308" s="10">
        <f>40.5634 * CHOOSE(CONTROL!$C$9, $D$9, 100%, $F$9) + CHOOSE(CONTROL!$C$27, 0.0021, 0)</f>
        <v>40.5655</v>
      </c>
      <c r="J308" s="10">
        <f>40.5634 * CHOOSE(CONTROL!$C$9, $D$9, 100%, $F$9) + CHOOSE(CONTROL!$C$27, 0.0021, 0)</f>
        <v>40.5655</v>
      </c>
      <c r="K308" s="10">
        <f>40.5634 * CHOOSE(CONTROL!$C$9, $D$9, 100%, $F$9) + CHOOSE(CONTROL!$C$27, 0.0021, 0)</f>
        <v>40.5655</v>
      </c>
      <c r="L308" s="10"/>
    </row>
    <row r="309" spans="1:12" ht="15.75" x14ac:dyDescent="0.25">
      <c r="A309" s="14">
        <v>50709</v>
      </c>
      <c r="B309" s="10">
        <f>41.9721 * CHOOSE(CONTROL!$C$9, $D$9, 100%, $F$9) + CHOOSE(CONTROL!$C$27, 0.0021, 0)</f>
        <v>41.974199999999996</v>
      </c>
      <c r="C309" s="10">
        <f>41.5398 * CHOOSE(CONTROL!$C$9, $D$9, 100%, $F$9) + CHOOSE(CONTROL!$C$27, 0.0021, 0)</f>
        <v>41.541899999999998</v>
      </c>
      <c r="D309" s="10">
        <f>41.5398 * CHOOSE(CONTROL!$C$9, $D$9, 100%, $F$9) + CHOOSE(CONTROL!$C$27, 0.0021, 0)</f>
        <v>41.541899999999998</v>
      </c>
      <c r="E309" s="10">
        <f>41.4031 * CHOOSE(CONTROL!$C$9, $D$9, 100%, $F$9) + CHOOSE(CONTROL!$C$27, 0.0021, 0)</f>
        <v>41.405200000000001</v>
      </c>
      <c r="F309" s="10">
        <f>41.4031 * CHOOSE(CONTROL!$C$9, $D$9, 100%, $F$9) + CHOOSE(CONTROL!$C$27, 0.0021, 0)</f>
        <v>41.405200000000001</v>
      </c>
      <c r="G309" s="10">
        <f>41.6745 * CHOOSE(CONTROL!$C$9, $D$9, 100%, $F$9) + CHOOSE(CONTROL!$C$27, 0.0021, 0)</f>
        <v>41.676600000000001</v>
      </c>
      <c r="H309" s="10">
        <f>41.5398 * CHOOSE(CONTROL!$C$9, $D$9, 100%, $F$9) + CHOOSE(CONTROL!$C$27, 0.0021, 0)</f>
        <v>41.541899999999998</v>
      </c>
      <c r="I309" s="10">
        <f>41.5398 * CHOOSE(CONTROL!$C$9, $D$9, 100%, $F$9) + CHOOSE(CONTROL!$C$27, 0.0021, 0)</f>
        <v>41.541899999999998</v>
      </c>
      <c r="J309" s="10">
        <f>41.5398 * CHOOSE(CONTROL!$C$9, $D$9, 100%, $F$9) + CHOOSE(CONTROL!$C$27, 0.0021, 0)</f>
        <v>41.541899999999998</v>
      </c>
      <c r="K309" s="10">
        <f>41.5398 * CHOOSE(CONTROL!$C$9, $D$9, 100%, $F$9) + CHOOSE(CONTROL!$C$27, 0.0021, 0)</f>
        <v>41.541899999999998</v>
      </c>
      <c r="L309" s="10"/>
    </row>
    <row r="310" spans="1:12" ht="15.75" x14ac:dyDescent="0.25">
      <c r="A310" s="14">
        <v>50739</v>
      </c>
      <c r="B310" s="10">
        <f>42.0637 * CHOOSE(CONTROL!$C$9, $D$9, 100%, $F$9) + CHOOSE(CONTROL!$C$27, 0.0021, 0)</f>
        <v>42.065799999999996</v>
      </c>
      <c r="C310" s="10">
        <f>41.6315 * CHOOSE(CONTROL!$C$9, $D$9, 100%, $F$9) + CHOOSE(CONTROL!$C$27, 0.0021, 0)</f>
        <v>41.633600000000001</v>
      </c>
      <c r="D310" s="10">
        <f>41.6315 * CHOOSE(CONTROL!$C$9, $D$9, 100%, $F$9) + CHOOSE(CONTROL!$C$27, 0.0021, 0)</f>
        <v>41.633600000000001</v>
      </c>
      <c r="E310" s="10">
        <f>41.4948 * CHOOSE(CONTROL!$C$9, $D$9, 100%, $F$9) + CHOOSE(CONTROL!$C$27, 0.0021, 0)</f>
        <v>41.496899999999997</v>
      </c>
      <c r="F310" s="10">
        <f>41.4948 * CHOOSE(CONTROL!$C$9, $D$9, 100%, $F$9) + CHOOSE(CONTROL!$C$27, 0.0021, 0)</f>
        <v>41.496899999999997</v>
      </c>
      <c r="G310" s="10">
        <f>41.7662 * CHOOSE(CONTROL!$C$9, $D$9, 100%, $F$9) + CHOOSE(CONTROL!$C$27, 0.0021, 0)</f>
        <v>41.768299999999996</v>
      </c>
      <c r="H310" s="10">
        <f>41.6315 * CHOOSE(CONTROL!$C$9, $D$9, 100%, $F$9) + CHOOSE(CONTROL!$C$27, 0.0021, 0)</f>
        <v>41.633600000000001</v>
      </c>
      <c r="I310" s="10">
        <f>41.6315 * CHOOSE(CONTROL!$C$9, $D$9, 100%, $F$9) + CHOOSE(CONTROL!$C$27, 0.0021, 0)</f>
        <v>41.633600000000001</v>
      </c>
      <c r="J310" s="10">
        <f>41.6315 * CHOOSE(CONTROL!$C$9, $D$9, 100%, $F$9) + CHOOSE(CONTROL!$C$27, 0.0021, 0)</f>
        <v>41.633600000000001</v>
      </c>
      <c r="K310" s="10">
        <f>41.6315 * CHOOSE(CONTROL!$C$9, $D$9, 100%, $F$9) + CHOOSE(CONTROL!$C$27, 0.0021, 0)</f>
        <v>41.633600000000001</v>
      </c>
      <c r="L310" s="10"/>
    </row>
    <row r="311" spans="1:12" ht="15.75" x14ac:dyDescent="0.25">
      <c r="A311" s="14">
        <v>50770</v>
      </c>
      <c r="B311" s="10">
        <f>41.2839 * CHOOSE(CONTROL!$C$9, $D$9, 100%, $F$9) + CHOOSE(CONTROL!$C$27, 0.0021, 0)</f>
        <v>41.286000000000001</v>
      </c>
      <c r="C311" s="10">
        <f>40.8516 * CHOOSE(CONTROL!$C$9, $D$9, 100%, $F$9) + CHOOSE(CONTROL!$C$27, 0.0021, 0)</f>
        <v>40.853699999999996</v>
      </c>
      <c r="D311" s="10">
        <f>40.8516 * CHOOSE(CONTROL!$C$9, $D$9, 100%, $F$9) + CHOOSE(CONTROL!$C$27, 0.0021, 0)</f>
        <v>40.853699999999996</v>
      </c>
      <c r="E311" s="10">
        <f>40.715 * CHOOSE(CONTROL!$C$9, $D$9, 100%, $F$9) + CHOOSE(CONTROL!$C$27, 0.0021, 0)</f>
        <v>40.717100000000002</v>
      </c>
      <c r="F311" s="10">
        <f>40.715 * CHOOSE(CONTROL!$C$9, $D$9, 100%, $F$9) + CHOOSE(CONTROL!$C$27, 0.0021, 0)</f>
        <v>40.717100000000002</v>
      </c>
      <c r="G311" s="10">
        <f>40.9864 * CHOOSE(CONTROL!$C$9, $D$9, 100%, $F$9) + CHOOSE(CONTROL!$C$27, 0.0021, 0)</f>
        <v>40.988500000000002</v>
      </c>
      <c r="H311" s="10">
        <f>40.8516 * CHOOSE(CONTROL!$C$9, $D$9, 100%, $F$9) + CHOOSE(CONTROL!$C$27, 0.0021, 0)</f>
        <v>40.853699999999996</v>
      </c>
      <c r="I311" s="10">
        <f>40.8516 * CHOOSE(CONTROL!$C$9, $D$9, 100%, $F$9) + CHOOSE(CONTROL!$C$27, 0.0021, 0)</f>
        <v>40.853699999999996</v>
      </c>
      <c r="J311" s="10">
        <f>40.8516 * CHOOSE(CONTROL!$C$9, $D$9, 100%, $F$9) + CHOOSE(CONTROL!$C$27, 0.0021, 0)</f>
        <v>40.853699999999996</v>
      </c>
      <c r="K311" s="10">
        <f>40.8516 * CHOOSE(CONTROL!$C$9, $D$9, 100%, $F$9) + CHOOSE(CONTROL!$C$27, 0.0021, 0)</f>
        <v>40.853699999999996</v>
      </c>
      <c r="L311" s="10"/>
    </row>
    <row r="312" spans="1:12" ht="15.75" x14ac:dyDescent="0.25">
      <c r="A312" s="14">
        <v>50801</v>
      </c>
      <c r="B312" s="10">
        <f>40.6868 * CHOOSE(CONTROL!$C$9, $D$9, 100%, $F$9) + CHOOSE(CONTROL!$C$27, 0.0021, 0)</f>
        <v>40.688899999999997</v>
      </c>
      <c r="C312" s="10">
        <f>40.2546 * CHOOSE(CONTROL!$C$9, $D$9, 100%, $F$9) + CHOOSE(CONTROL!$C$27, 0.0021, 0)</f>
        <v>40.256700000000002</v>
      </c>
      <c r="D312" s="10">
        <f>40.2546 * CHOOSE(CONTROL!$C$9, $D$9, 100%, $F$9) + CHOOSE(CONTROL!$C$27, 0.0021, 0)</f>
        <v>40.256700000000002</v>
      </c>
      <c r="E312" s="10">
        <f>40.1179 * CHOOSE(CONTROL!$C$9, $D$9, 100%, $F$9) + CHOOSE(CONTROL!$C$27, 0.0021, 0)</f>
        <v>40.119999999999997</v>
      </c>
      <c r="F312" s="10">
        <f>40.1179 * CHOOSE(CONTROL!$C$9, $D$9, 100%, $F$9) + CHOOSE(CONTROL!$C$27, 0.0021, 0)</f>
        <v>40.119999999999997</v>
      </c>
      <c r="G312" s="10">
        <f>40.3893 * CHOOSE(CONTROL!$C$9, $D$9, 100%, $F$9) + CHOOSE(CONTROL!$C$27, 0.0021, 0)</f>
        <v>40.391399999999997</v>
      </c>
      <c r="H312" s="10">
        <f>40.2546 * CHOOSE(CONTROL!$C$9, $D$9, 100%, $F$9) + CHOOSE(CONTROL!$C$27, 0.0021, 0)</f>
        <v>40.256700000000002</v>
      </c>
      <c r="I312" s="10">
        <f>40.2546 * CHOOSE(CONTROL!$C$9, $D$9, 100%, $F$9) + CHOOSE(CONTROL!$C$27, 0.0021, 0)</f>
        <v>40.256700000000002</v>
      </c>
      <c r="J312" s="10">
        <f>40.2546 * CHOOSE(CONTROL!$C$9, $D$9, 100%, $F$9) + CHOOSE(CONTROL!$C$27, 0.0021, 0)</f>
        <v>40.256700000000002</v>
      </c>
      <c r="K312" s="10">
        <f>40.2546 * CHOOSE(CONTROL!$C$9, $D$9, 100%, $F$9) + CHOOSE(CONTROL!$C$27, 0.0021, 0)</f>
        <v>40.256700000000002</v>
      </c>
      <c r="L312" s="10"/>
    </row>
    <row r="313" spans="1:12" ht="15.75" x14ac:dyDescent="0.25">
      <c r="A313" s="14">
        <v>50829</v>
      </c>
      <c r="B313" s="10">
        <f>39.6008 * CHOOSE(CONTROL!$C$9, $D$9, 100%, $F$9) + CHOOSE(CONTROL!$C$27, 0.0021, 0)</f>
        <v>39.602899999999998</v>
      </c>
      <c r="C313" s="10">
        <f>39.1686 * CHOOSE(CONTROL!$C$9, $D$9, 100%, $F$9) + CHOOSE(CONTROL!$C$27, 0.0021, 0)</f>
        <v>39.170699999999997</v>
      </c>
      <c r="D313" s="10">
        <f>39.1686 * CHOOSE(CONTROL!$C$9, $D$9, 100%, $F$9) + CHOOSE(CONTROL!$C$27, 0.0021, 0)</f>
        <v>39.170699999999997</v>
      </c>
      <c r="E313" s="10">
        <f>39.0319 * CHOOSE(CONTROL!$C$9, $D$9, 100%, $F$9) + CHOOSE(CONTROL!$C$27, 0.0021, 0)</f>
        <v>39.033999999999999</v>
      </c>
      <c r="F313" s="10">
        <f>39.0319 * CHOOSE(CONTROL!$C$9, $D$9, 100%, $F$9) + CHOOSE(CONTROL!$C$27, 0.0021, 0)</f>
        <v>39.033999999999999</v>
      </c>
      <c r="G313" s="10">
        <f>39.3033 * CHOOSE(CONTROL!$C$9, $D$9, 100%, $F$9) + CHOOSE(CONTROL!$C$27, 0.0021, 0)</f>
        <v>39.305399999999999</v>
      </c>
      <c r="H313" s="10">
        <f>39.1686 * CHOOSE(CONTROL!$C$9, $D$9, 100%, $F$9) + CHOOSE(CONTROL!$C$27, 0.0021, 0)</f>
        <v>39.170699999999997</v>
      </c>
      <c r="I313" s="10">
        <f>39.1686 * CHOOSE(CONTROL!$C$9, $D$9, 100%, $F$9) + CHOOSE(CONTROL!$C$27, 0.0021, 0)</f>
        <v>39.170699999999997</v>
      </c>
      <c r="J313" s="10">
        <f>39.1686 * CHOOSE(CONTROL!$C$9, $D$9, 100%, $F$9) + CHOOSE(CONTROL!$C$27, 0.0021, 0)</f>
        <v>39.170699999999997</v>
      </c>
      <c r="K313" s="10">
        <f>39.1686 * CHOOSE(CONTROL!$C$9, $D$9, 100%, $F$9) + CHOOSE(CONTROL!$C$27, 0.0021, 0)</f>
        <v>39.170699999999997</v>
      </c>
      <c r="L313" s="10"/>
    </row>
    <row r="314" spans="1:12" ht="15.75" x14ac:dyDescent="0.25">
      <c r="A314" s="14">
        <v>50860</v>
      </c>
      <c r="B314" s="10">
        <f>39.1525 * CHOOSE(CONTROL!$C$9, $D$9, 100%, $F$9) + CHOOSE(CONTROL!$C$27, 0.0021, 0)</f>
        <v>39.154600000000002</v>
      </c>
      <c r="C314" s="10">
        <f>38.7203 * CHOOSE(CONTROL!$C$9, $D$9, 100%, $F$9) + CHOOSE(CONTROL!$C$27, 0.0021, 0)</f>
        <v>38.7224</v>
      </c>
      <c r="D314" s="10">
        <f>38.7203 * CHOOSE(CONTROL!$C$9, $D$9, 100%, $F$9) + CHOOSE(CONTROL!$C$27, 0.0021, 0)</f>
        <v>38.7224</v>
      </c>
      <c r="E314" s="10">
        <f>38.5836 * CHOOSE(CONTROL!$C$9, $D$9, 100%, $F$9) + CHOOSE(CONTROL!$C$27, 0.0021, 0)</f>
        <v>38.585699999999996</v>
      </c>
      <c r="F314" s="10">
        <f>38.5836 * CHOOSE(CONTROL!$C$9, $D$9, 100%, $F$9) + CHOOSE(CONTROL!$C$27, 0.0021, 0)</f>
        <v>38.585699999999996</v>
      </c>
      <c r="G314" s="10">
        <f>38.855 * CHOOSE(CONTROL!$C$9, $D$9, 100%, $F$9) + CHOOSE(CONTROL!$C$27, 0.0021, 0)</f>
        <v>38.857099999999996</v>
      </c>
      <c r="H314" s="10">
        <f>38.7203 * CHOOSE(CONTROL!$C$9, $D$9, 100%, $F$9) + CHOOSE(CONTROL!$C$27, 0.0021, 0)</f>
        <v>38.7224</v>
      </c>
      <c r="I314" s="10">
        <f>38.7203 * CHOOSE(CONTROL!$C$9, $D$9, 100%, $F$9) + CHOOSE(CONTROL!$C$27, 0.0021, 0)</f>
        <v>38.7224</v>
      </c>
      <c r="J314" s="10">
        <f>38.7203 * CHOOSE(CONTROL!$C$9, $D$9, 100%, $F$9) + CHOOSE(CONTROL!$C$27, 0.0021, 0)</f>
        <v>38.7224</v>
      </c>
      <c r="K314" s="10">
        <f>38.7203 * CHOOSE(CONTROL!$C$9, $D$9, 100%, $F$9) + CHOOSE(CONTROL!$C$27, 0.0021, 0)</f>
        <v>38.7224</v>
      </c>
      <c r="L314" s="10"/>
    </row>
    <row r="315" spans="1:12" ht="15.75" x14ac:dyDescent="0.25">
      <c r="A315" s="14">
        <v>50890</v>
      </c>
      <c r="B315" s="10">
        <f>38.6172 * CHOOSE(CONTROL!$C$9, $D$9, 100%, $F$9) + CHOOSE(CONTROL!$C$27, 0.0021, 0)</f>
        <v>38.619299999999996</v>
      </c>
      <c r="C315" s="10">
        <f>38.185 * CHOOSE(CONTROL!$C$9, $D$9, 100%, $F$9) + CHOOSE(CONTROL!$C$27, 0.0021, 0)</f>
        <v>38.187100000000001</v>
      </c>
      <c r="D315" s="10">
        <f>38.185 * CHOOSE(CONTROL!$C$9, $D$9, 100%, $F$9) + CHOOSE(CONTROL!$C$27, 0.0021, 0)</f>
        <v>38.187100000000001</v>
      </c>
      <c r="E315" s="10">
        <f>38.0483 * CHOOSE(CONTROL!$C$9, $D$9, 100%, $F$9) + CHOOSE(CONTROL!$C$27, 0.0021, 0)</f>
        <v>38.050399999999996</v>
      </c>
      <c r="F315" s="10">
        <f>38.0483 * CHOOSE(CONTROL!$C$9, $D$9, 100%, $F$9) + CHOOSE(CONTROL!$C$27, 0.0021, 0)</f>
        <v>38.050399999999996</v>
      </c>
      <c r="G315" s="10">
        <f>38.3197 * CHOOSE(CONTROL!$C$9, $D$9, 100%, $F$9) + CHOOSE(CONTROL!$C$27, 0.0021, 0)</f>
        <v>38.321799999999996</v>
      </c>
      <c r="H315" s="10">
        <f>38.185 * CHOOSE(CONTROL!$C$9, $D$9, 100%, $F$9) + CHOOSE(CONTROL!$C$27, 0.0021, 0)</f>
        <v>38.187100000000001</v>
      </c>
      <c r="I315" s="10">
        <f>38.185 * CHOOSE(CONTROL!$C$9, $D$9, 100%, $F$9) + CHOOSE(CONTROL!$C$27, 0.0021, 0)</f>
        <v>38.187100000000001</v>
      </c>
      <c r="J315" s="10">
        <f>38.185 * CHOOSE(CONTROL!$C$9, $D$9, 100%, $F$9) + CHOOSE(CONTROL!$C$27, 0.0021, 0)</f>
        <v>38.187100000000001</v>
      </c>
      <c r="K315" s="10">
        <f>38.185 * CHOOSE(CONTROL!$C$9, $D$9, 100%, $F$9) + CHOOSE(CONTROL!$C$27, 0.0021, 0)</f>
        <v>38.187100000000001</v>
      </c>
      <c r="L315" s="10"/>
    </row>
    <row r="316" spans="1:12" ht="15.75" x14ac:dyDescent="0.25">
      <c r="A316" s="14">
        <v>50921</v>
      </c>
      <c r="B316" s="10">
        <f>39.3801 * CHOOSE(CONTROL!$C$9, $D$9, 100%, $F$9) + CHOOSE(CONTROL!$C$27, 0.0021, 0)</f>
        <v>39.382199999999997</v>
      </c>
      <c r="C316" s="10">
        <f>38.9478 * CHOOSE(CONTROL!$C$9, $D$9, 100%, $F$9) + CHOOSE(CONTROL!$C$27, 0.0021, 0)</f>
        <v>38.9499</v>
      </c>
      <c r="D316" s="10">
        <f>38.9478 * CHOOSE(CONTROL!$C$9, $D$9, 100%, $F$9) + CHOOSE(CONTROL!$C$27, 0.0021, 0)</f>
        <v>38.9499</v>
      </c>
      <c r="E316" s="10">
        <f>38.8112 * CHOOSE(CONTROL!$C$9, $D$9, 100%, $F$9) + CHOOSE(CONTROL!$C$27, 0.0021, 0)</f>
        <v>38.813299999999998</v>
      </c>
      <c r="F316" s="10">
        <f>38.8112 * CHOOSE(CONTROL!$C$9, $D$9, 100%, $F$9) + CHOOSE(CONTROL!$C$27, 0.0021, 0)</f>
        <v>38.813299999999998</v>
      </c>
      <c r="G316" s="10">
        <f>39.0826 * CHOOSE(CONTROL!$C$9, $D$9, 100%, $F$9) + CHOOSE(CONTROL!$C$27, 0.0021, 0)</f>
        <v>39.084699999999998</v>
      </c>
      <c r="H316" s="10">
        <f>38.9478 * CHOOSE(CONTROL!$C$9, $D$9, 100%, $F$9) + CHOOSE(CONTROL!$C$27, 0.0021, 0)</f>
        <v>38.9499</v>
      </c>
      <c r="I316" s="10">
        <f>38.9478 * CHOOSE(CONTROL!$C$9, $D$9, 100%, $F$9) + CHOOSE(CONTROL!$C$27, 0.0021, 0)</f>
        <v>38.9499</v>
      </c>
      <c r="J316" s="10">
        <f>38.9478 * CHOOSE(CONTROL!$C$9, $D$9, 100%, $F$9) + CHOOSE(CONTROL!$C$27, 0.0021, 0)</f>
        <v>38.9499</v>
      </c>
      <c r="K316" s="10">
        <f>38.9478 * CHOOSE(CONTROL!$C$9, $D$9, 100%, $F$9) + CHOOSE(CONTROL!$C$27, 0.0021, 0)</f>
        <v>38.9499</v>
      </c>
      <c r="L316" s="10"/>
    </row>
    <row r="317" spans="1:12" ht="15.75" x14ac:dyDescent="0.25">
      <c r="A317" s="14">
        <v>50951</v>
      </c>
      <c r="B317" s="10">
        <f>39.837 * CHOOSE(CONTROL!$C$9, $D$9, 100%, $F$9) + CHOOSE(CONTROL!$C$27, 0.0021, 0)</f>
        <v>39.839100000000002</v>
      </c>
      <c r="C317" s="10">
        <f>39.4048 * CHOOSE(CONTROL!$C$9, $D$9, 100%, $F$9) + CHOOSE(CONTROL!$C$27, 0.0021, 0)</f>
        <v>39.4069</v>
      </c>
      <c r="D317" s="10">
        <f>39.4048 * CHOOSE(CONTROL!$C$9, $D$9, 100%, $F$9) + CHOOSE(CONTROL!$C$27, 0.0021, 0)</f>
        <v>39.4069</v>
      </c>
      <c r="E317" s="10">
        <f>39.2681 * CHOOSE(CONTROL!$C$9, $D$9, 100%, $F$9) + CHOOSE(CONTROL!$C$27, 0.0021, 0)</f>
        <v>39.270199999999996</v>
      </c>
      <c r="F317" s="10">
        <f>39.2681 * CHOOSE(CONTROL!$C$9, $D$9, 100%, $F$9) + CHOOSE(CONTROL!$C$27, 0.0021, 0)</f>
        <v>39.270199999999996</v>
      </c>
      <c r="G317" s="10">
        <f>39.5395 * CHOOSE(CONTROL!$C$9, $D$9, 100%, $F$9) + CHOOSE(CONTROL!$C$27, 0.0021, 0)</f>
        <v>39.541599999999995</v>
      </c>
      <c r="H317" s="10">
        <f>39.4048 * CHOOSE(CONTROL!$C$9, $D$9, 100%, $F$9) + CHOOSE(CONTROL!$C$27, 0.0021, 0)</f>
        <v>39.4069</v>
      </c>
      <c r="I317" s="10">
        <f>39.4048 * CHOOSE(CONTROL!$C$9, $D$9, 100%, $F$9) + CHOOSE(CONTROL!$C$27, 0.0021, 0)</f>
        <v>39.4069</v>
      </c>
      <c r="J317" s="10">
        <f>39.4048 * CHOOSE(CONTROL!$C$9, $D$9, 100%, $F$9) + CHOOSE(CONTROL!$C$27, 0.0021, 0)</f>
        <v>39.4069</v>
      </c>
      <c r="K317" s="10">
        <f>39.4048 * CHOOSE(CONTROL!$C$9, $D$9, 100%, $F$9) + CHOOSE(CONTROL!$C$27, 0.0021, 0)</f>
        <v>39.4069</v>
      </c>
      <c r="L317" s="10"/>
    </row>
    <row r="318" spans="1:12" ht="15.75" x14ac:dyDescent="0.25">
      <c r="A318" s="14">
        <v>50982</v>
      </c>
      <c r="B318" s="10">
        <f>40.5907 * CHOOSE(CONTROL!$C$9, $D$9, 100%, $F$9) + CHOOSE(CONTROL!$C$27, 0.0021, 0)</f>
        <v>40.592799999999997</v>
      </c>
      <c r="C318" s="10">
        <f>40.1585 * CHOOSE(CONTROL!$C$9, $D$9, 100%, $F$9) + CHOOSE(CONTROL!$C$27, 0.0021, 0)</f>
        <v>40.160599999999995</v>
      </c>
      <c r="D318" s="10">
        <f>40.1585 * CHOOSE(CONTROL!$C$9, $D$9, 100%, $F$9) + CHOOSE(CONTROL!$C$27, 0.0021, 0)</f>
        <v>40.160599999999995</v>
      </c>
      <c r="E318" s="10">
        <f>40.0218 * CHOOSE(CONTROL!$C$9, $D$9, 100%, $F$9) + CHOOSE(CONTROL!$C$27, 0.0021, 0)</f>
        <v>40.023899999999998</v>
      </c>
      <c r="F318" s="10">
        <f>40.0218 * CHOOSE(CONTROL!$C$9, $D$9, 100%, $F$9) + CHOOSE(CONTROL!$C$27, 0.0021, 0)</f>
        <v>40.023899999999998</v>
      </c>
      <c r="G318" s="10">
        <f>40.2932 * CHOOSE(CONTROL!$C$9, $D$9, 100%, $F$9) + CHOOSE(CONTROL!$C$27, 0.0021, 0)</f>
        <v>40.295299999999997</v>
      </c>
      <c r="H318" s="10">
        <f>40.1585 * CHOOSE(CONTROL!$C$9, $D$9, 100%, $F$9) + CHOOSE(CONTROL!$C$27, 0.0021, 0)</f>
        <v>40.160599999999995</v>
      </c>
      <c r="I318" s="10">
        <f>40.1585 * CHOOSE(CONTROL!$C$9, $D$9, 100%, $F$9) + CHOOSE(CONTROL!$C$27, 0.0021, 0)</f>
        <v>40.160599999999995</v>
      </c>
      <c r="J318" s="10">
        <f>40.1585 * CHOOSE(CONTROL!$C$9, $D$9, 100%, $F$9) + CHOOSE(CONTROL!$C$27, 0.0021, 0)</f>
        <v>40.160599999999995</v>
      </c>
      <c r="K318" s="10">
        <f>40.1585 * CHOOSE(CONTROL!$C$9, $D$9, 100%, $F$9) + CHOOSE(CONTROL!$C$27, 0.0021, 0)</f>
        <v>40.160599999999995</v>
      </c>
      <c r="L318" s="10"/>
    </row>
    <row r="319" spans="1:12" ht="15.75" x14ac:dyDescent="0.25">
      <c r="A319" s="14">
        <v>51013</v>
      </c>
      <c r="B319" s="10">
        <f>40.8208 * CHOOSE(CONTROL!$C$9, $D$9, 100%, $F$9) + CHOOSE(CONTROL!$C$27, 0.0021, 0)</f>
        <v>40.822899999999997</v>
      </c>
      <c r="C319" s="10">
        <f>40.3885 * CHOOSE(CONTROL!$C$9, $D$9, 100%, $F$9) + CHOOSE(CONTROL!$C$27, 0.0021, 0)</f>
        <v>40.390599999999999</v>
      </c>
      <c r="D319" s="10">
        <f>40.3885 * CHOOSE(CONTROL!$C$9, $D$9, 100%, $F$9) + CHOOSE(CONTROL!$C$27, 0.0021, 0)</f>
        <v>40.390599999999999</v>
      </c>
      <c r="E319" s="10">
        <f>40.2519 * CHOOSE(CONTROL!$C$9, $D$9, 100%, $F$9) + CHOOSE(CONTROL!$C$27, 0.0021, 0)</f>
        <v>40.253999999999998</v>
      </c>
      <c r="F319" s="10">
        <f>40.2519 * CHOOSE(CONTROL!$C$9, $D$9, 100%, $F$9) + CHOOSE(CONTROL!$C$27, 0.0021, 0)</f>
        <v>40.253999999999998</v>
      </c>
      <c r="G319" s="10">
        <f>40.5233 * CHOOSE(CONTROL!$C$9, $D$9, 100%, $F$9) + CHOOSE(CONTROL!$C$27, 0.0021, 0)</f>
        <v>40.525399999999998</v>
      </c>
      <c r="H319" s="10">
        <f>40.3885 * CHOOSE(CONTROL!$C$9, $D$9, 100%, $F$9) + CHOOSE(CONTROL!$C$27, 0.0021, 0)</f>
        <v>40.390599999999999</v>
      </c>
      <c r="I319" s="10">
        <f>40.3885 * CHOOSE(CONTROL!$C$9, $D$9, 100%, $F$9) + CHOOSE(CONTROL!$C$27, 0.0021, 0)</f>
        <v>40.390599999999999</v>
      </c>
      <c r="J319" s="10">
        <f>40.3885 * CHOOSE(CONTROL!$C$9, $D$9, 100%, $F$9) + CHOOSE(CONTROL!$C$27, 0.0021, 0)</f>
        <v>40.390599999999999</v>
      </c>
      <c r="K319" s="10">
        <f>40.3885 * CHOOSE(CONTROL!$C$9, $D$9, 100%, $F$9) + CHOOSE(CONTROL!$C$27, 0.0021, 0)</f>
        <v>40.390599999999999</v>
      </c>
      <c r="L319" s="10"/>
    </row>
    <row r="320" spans="1:12" ht="15.75" x14ac:dyDescent="0.25">
      <c r="A320" s="14">
        <v>51043</v>
      </c>
      <c r="B320" s="10">
        <f>41.6043 * CHOOSE(CONTROL!$C$9, $D$9, 100%, $F$9) + CHOOSE(CONTROL!$C$27, 0.0021, 0)</f>
        <v>41.606400000000001</v>
      </c>
      <c r="C320" s="10">
        <f>41.172 * CHOOSE(CONTROL!$C$9, $D$9, 100%, $F$9) + CHOOSE(CONTROL!$C$27, 0.0021, 0)</f>
        <v>41.174099999999996</v>
      </c>
      <c r="D320" s="10">
        <f>41.172 * CHOOSE(CONTROL!$C$9, $D$9, 100%, $F$9) + CHOOSE(CONTROL!$C$27, 0.0021, 0)</f>
        <v>41.174099999999996</v>
      </c>
      <c r="E320" s="10">
        <f>41.0354 * CHOOSE(CONTROL!$C$9, $D$9, 100%, $F$9) + CHOOSE(CONTROL!$C$27, 0.0021, 0)</f>
        <v>41.037500000000001</v>
      </c>
      <c r="F320" s="10">
        <f>41.0354 * CHOOSE(CONTROL!$C$9, $D$9, 100%, $F$9) + CHOOSE(CONTROL!$C$27, 0.0021, 0)</f>
        <v>41.037500000000001</v>
      </c>
      <c r="G320" s="10">
        <f>41.3067 * CHOOSE(CONTROL!$C$9, $D$9, 100%, $F$9) + CHOOSE(CONTROL!$C$27, 0.0021, 0)</f>
        <v>41.308799999999998</v>
      </c>
      <c r="H320" s="10">
        <f>41.172 * CHOOSE(CONTROL!$C$9, $D$9, 100%, $F$9) + CHOOSE(CONTROL!$C$27, 0.0021, 0)</f>
        <v>41.174099999999996</v>
      </c>
      <c r="I320" s="10">
        <f>41.172 * CHOOSE(CONTROL!$C$9, $D$9, 100%, $F$9) + CHOOSE(CONTROL!$C$27, 0.0021, 0)</f>
        <v>41.174099999999996</v>
      </c>
      <c r="J320" s="10">
        <f>41.172 * CHOOSE(CONTROL!$C$9, $D$9, 100%, $F$9) + CHOOSE(CONTROL!$C$27, 0.0021, 0)</f>
        <v>41.174099999999996</v>
      </c>
      <c r="K320" s="10">
        <f>41.172 * CHOOSE(CONTROL!$C$9, $D$9, 100%, $F$9) + CHOOSE(CONTROL!$C$27, 0.0021, 0)</f>
        <v>41.174099999999996</v>
      </c>
      <c r="L320" s="10"/>
    </row>
    <row r="321" spans="1:12" ht="15.75" x14ac:dyDescent="0.25">
      <c r="A321" s="14">
        <v>51074</v>
      </c>
      <c r="B321" s="10">
        <f>42.596 * CHOOSE(CONTROL!$C$9, $D$9, 100%, $F$9) + CHOOSE(CONTROL!$C$27, 0.0021, 0)</f>
        <v>42.598099999999995</v>
      </c>
      <c r="C321" s="10">
        <f>42.1638 * CHOOSE(CONTROL!$C$9, $D$9, 100%, $F$9) + CHOOSE(CONTROL!$C$27, 0.0021, 0)</f>
        <v>42.165900000000001</v>
      </c>
      <c r="D321" s="10">
        <f>42.1638 * CHOOSE(CONTROL!$C$9, $D$9, 100%, $F$9) + CHOOSE(CONTROL!$C$27, 0.0021, 0)</f>
        <v>42.165900000000001</v>
      </c>
      <c r="E321" s="10">
        <f>42.0271 * CHOOSE(CONTROL!$C$9, $D$9, 100%, $F$9) + CHOOSE(CONTROL!$C$27, 0.0021, 0)</f>
        <v>42.029199999999996</v>
      </c>
      <c r="F321" s="10">
        <f>42.0271 * CHOOSE(CONTROL!$C$9, $D$9, 100%, $F$9) + CHOOSE(CONTROL!$C$27, 0.0021, 0)</f>
        <v>42.029199999999996</v>
      </c>
      <c r="G321" s="10">
        <f>42.2985 * CHOOSE(CONTROL!$C$9, $D$9, 100%, $F$9) + CHOOSE(CONTROL!$C$27, 0.0021, 0)</f>
        <v>42.300599999999996</v>
      </c>
      <c r="H321" s="10">
        <f>42.1638 * CHOOSE(CONTROL!$C$9, $D$9, 100%, $F$9) + CHOOSE(CONTROL!$C$27, 0.0021, 0)</f>
        <v>42.165900000000001</v>
      </c>
      <c r="I321" s="10">
        <f>42.1638 * CHOOSE(CONTROL!$C$9, $D$9, 100%, $F$9) + CHOOSE(CONTROL!$C$27, 0.0021, 0)</f>
        <v>42.165900000000001</v>
      </c>
      <c r="J321" s="10">
        <f>42.1638 * CHOOSE(CONTROL!$C$9, $D$9, 100%, $F$9) + CHOOSE(CONTROL!$C$27, 0.0021, 0)</f>
        <v>42.165900000000001</v>
      </c>
      <c r="K321" s="10">
        <f>42.1638 * CHOOSE(CONTROL!$C$9, $D$9, 100%, $F$9) + CHOOSE(CONTROL!$C$27, 0.0021, 0)</f>
        <v>42.165900000000001</v>
      </c>
      <c r="L321" s="10"/>
    </row>
    <row r="322" spans="1:12" ht="15.75" x14ac:dyDescent="0.25">
      <c r="A322" s="14">
        <v>51104</v>
      </c>
      <c r="B322" s="10">
        <f>42.6891 * CHOOSE(CONTROL!$C$9, $D$9, 100%, $F$9) + CHOOSE(CONTROL!$C$27, 0.0021, 0)</f>
        <v>42.691200000000002</v>
      </c>
      <c r="C322" s="10">
        <f>42.2569 * CHOOSE(CONTROL!$C$9, $D$9, 100%, $F$9) + CHOOSE(CONTROL!$C$27, 0.0021, 0)</f>
        <v>42.259</v>
      </c>
      <c r="D322" s="10">
        <f>42.2569 * CHOOSE(CONTROL!$C$9, $D$9, 100%, $F$9) + CHOOSE(CONTROL!$C$27, 0.0021, 0)</f>
        <v>42.259</v>
      </c>
      <c r="E322" s="10">
        <f>42.1202 * CHOOSE(CONTROL!$C$9, $D$9, 100%, $F$9) + CHOOSE(CONTROL!$C$27, 0.0021, 0)</f>
        <v>42.122299999999996</v>
      </c>
      <c r="F322" s="10">
        <f>42.1202 * CHOOSE(CONTROL!$C$9, $D$9, 100%, $F$9) + CHOOSE(CONTROL!$C$27, 0.0021, 0)</f>
        <v>42.122299999999996</v>
      </c>
      <c r="G322" s="10">
        <f>42.3916 * CHOOSE(CONTROL!$C$9, $D$9, 100%, $F$9) + CHOOSE(CONTROL!$C$27, 0.0021, 0)</f>
        <v>42.393699999999995</v>
      </c>
      <c r="H322" s="10">
        <f>42.2569 * CHOOSE(CONTROL!$C$9, $D$9, 100%, $F$9) + CHOOSE(CONTROL!$C$27, 0.0021, 0)</f>
        <v>42.259</v>
      </c>
      <c r="I322" s="10">
        <f>42.2569 * CHOOSE(CONTROL!$C$9, $D$9, 100%, $F$9) + CHOOSE(CONTROL!$C$27, 0.0021, 0)</f>
        <v>42.259</v>
      </c>
      <c r="J322" s="10">
        <f>42.2569 * CHOOSE(CONTROL!$C$9, $D$9, 100%, $F$9) + CHOOSE(CONTROL!$C$27, 0.0021, 0)</f>
        <v>42.259</v>
      </c>
      <c r="K322" s="10">
        <f>42.2569 * CHOOSE(CONTROL!$C$9, $D$9, 100%, $F$9) + CHOOSE(CONTROL!$C$27, 0.0021, 0)</f>
        <v>42.259</v>
      </c>
      <c r="L322" s="10"/>
    </row>
    <row r="323" spans="1:12" ht="15.75" x14ac:dyDescent="0.25">
      <c r="A323" s="14">
        <v>51135</v>
      </c>
      <c r="B323" s="10">
        <f>41.897 * CHOOSE(CONTROL!$C$9, $D$9, 100%, $F$9) + CHOOSE(CONTROL!$C$27, 0.0021, 0)</f>
        <v>41.899099999999997</v>
      </c>
      <c r="C323" s="10">
        <f>41.4648 * CHOOSE(CONTROL!$C$9, $D$9, 100%, $F$9) + CHOOSE(CONTROL!$C$27, 0.0021, 0)</f>
        <v>41.466899999999995</v>
      </c>
      <c r="D323" s="10">
        <f>41.4648 * CHOOSE(CONTROL!$C$9, $D$9, 100%, $F$9) + CHOOSE(CONTROL!$C$27, 0.0021, 0)</f>
        <v>41.466899999999995</v>
      </c>
      <c r="E323" s="10">
        <f>41.3281 * CHOOSE(CONTROL!$C$9, $D$9, 100%, $F$9) + CHOOSE(CONTROL!$C$27, 0.0021, 0)</f>
        <v>41.330199999999998</v>
      </c>
      <c r="F323" s="10">
        <f>41.3281 * CHOOSE(CONTROL!$C$9, $D$9, 100%, $F$9) + CHOOSE(CONTROL!$C$27, 0.0021, 0)</f>
        <v>41.330199999999998</v>
      </c>
      <c r="G323" s="10">
        <f>41.5995 * CHOOSE(CONTROL!$C$9, $D$9, 100%, $F$9) + CHOOSE(CONTROL!$C$27, 0.0021, 0)</f>
        <v>41.601599999999998</v>
      </c>
      <c r="H323" s="10">
        <f>41.4648 * CHOOSE(CONTROL!$C$9, $D$9, 100%, $F$9) + CHOOSE(CONTROL!$C$27, 0.0021, 0)</f>
        <v>41.466899999999995</v>
      </c>
      <c r="I323" s="10">
        <f>41.4648 * CHOOSE(CONTROL!$C$9, $D$9, 100%, $F$9) + CHOOSE(CONTROL!$C$27, 0.0021, 0)</f>
        <v>41.466899999999995</v>
      </c>
      <c r="J323" s="10">
        <f>41.4648 * CHOOSE(CONTROL!$C$9, $D$9, 100%, $F$9) + CHOOSE(CONTROL!$C$27, 0.0021, 0)</f>
        <v>41.466899999999995</v>
      </c>
      <c r="K323" s="10">
        <f>41.4648 * CHOOSE(CONTROL!$C$9, $D$9, 100%, $F$9) + CHOOSE(CONTROL!$C$27, 0.0021, 0)</f>
        <v>41.466899999999995</v>
      </c>
      <c r="L323" s="10"/>
    </row>
    <row r="324" spans="1:12" ht="15.75" x14ac:dyDescent="0.25">
      <c r="A324" s="14">
        <v>51166</v>
      </c>
      <c r="B324" s="10">
        <f>41.2906 * CHOOSE(CONTROL!$C$9, $D$9, 100%, $F$9) + CHOOSE(CONTROL!$C$27, 0.0021, 0)</f>
        <v>41.292699999999996</v>
      </c>
      <c r="C324" s="10">
        <f>40.8583 * CHOOSE(CONTROL!$C$9, $D$9, 100%, $F$9) + CHOOSE(CONTROL!$C$27, 0.0021, 0)</f>
        <v>40.860399999999998</v>
      </c>
      <c r="D324" s="10">
        <f>40.8583 * CHOOSE(CONTROL!$C$9, $D$9, 100%, $F$9) + CHOOSE(CONTROL!$C$27, 0.0021, 0)</f>
        <v>40.860399999999998</v>
      </c>
      <c r="E324" s="10">
        <f>40.7217 * CHOOSE(CONTROL!$C$9, $D$9, 100%, $F$9) + CHOOSE(CONTROL!$C$27, 0.0021, 0)</f>
        <v>40.723799999999997</v>
      </c>
      <c r="F324" s="10">
        <f>40.7217 * CHOOSE(CONTROL!$C$9, $D$9, 100%, $F$9) + CHOOSE(CONTROL!$C$27, 0.0021, 0)</f>
        <v>40.723799999999997</v>
      </c>
      <c r="G324" s="10">
        <f>40.9931 * CHOOSE(CONTROL!$C$9, $D$9, 100%, $F$9) + CHOOSE(CONTROL!$C$27, 0.0021, 0)</f>
        <v>40.995199999999997</v>
      </c>
      <c r="H324" s="10">
        <f>40.8583 * CHOOSE(CONTROL!$C$9, $D$9, 100%, $F$9) + CHOOSE(CONTROL!$C$27, 0.0021, 0)</f>
        <v>40.860399999999998</v>
      </c>
      <c r="I324" s="10">
        <f>40.8583 * CHOOSE(CONTROL!$C$9, $D$9, 100%, $F$9) + CHOOSE(CONTROL!$C$27, 0.0021, 0)</f>
        <v>40.860399999999998</v>
      </c>
      <c r="J324" s="10">
        <f>40.8583 * CHOOSE(CONTROL!$C$9, $D$9, 100%, $F$9) + CHOOSE(CONTROL!$C$27, 0.0021, 0)</f>
        <v>40.860399999999998</v>
      </c>
      <c r="K324" s="10">
        <f>40.8583 * CHOOSE(CONTROL!$C$9, $D$9, 100%, $F$9) + CHOOSE(CONTROL!$C$27, 0.0021, 0)</f>
        <v>40.860399999999998</v>
      </c>
      <c r="L324" s="10"/>
    </row>
    <row r="325" spans="1:12" ht="15.75" x14ac:dyDescent="0.25">
      <c r="A325" s="14">
        <v>51194</v>
      </c>
      <c r="B325" s="10">
        <f>40.1875 * CHOOSE(CONTROL!$C$9, $D$9, 100%, $F$9) + CHOOSE(CONTROL!$C$27, 0.0021, 0)</f>
        <v>40.189599999999999</v>
      </c>
      <c r="C325" s="10">
        <f>39.7553 * CHOOSE(CONTROL!$C$9, $D$9, 100%, $F$9) + CHOOSE(CONTROL!$C$27, 0.0021, 0)</f>
        <v>39.757399999999997</v>
      </c>
      <c r="D325" s="10">
        <f>39.7553 * CHOOSE(CONTROL!$C$9, $D$9, 100%, $F$9) + CHOOSE(CONTROL!$C$27, 0.0021, 0)</f>
        <v>39.757399999999997</v>
      </c>
      <c r="E325" s="10">
        <f>39.6186 * CHOOSE(CONTROL!$C$9, $D$9, 100%, $F$9) + CHOOSE(CONTROL!$C$27, 0.0021, 0)</f>
        <v>39.620699999999999</v>
      </c>
      <c r="F325" s="10">
        <f>39.6186 * CHOOSE(CONTROL!$C$9, $D$9, 100%, $F$9) + CHOOSE(CONTROL!$C$27, 0.0021, 0)</f>
        <v>39.620699999999999</v>
      </c>
      <c r="G325" s="10">
        <f>39.89 * CHOOSE(CONTROL!$C$9, $D$9, 100%, $F$9) + CHOOSE(CONTROL!$C$27, 0.0021, 0)</f>
        <v>39.892099999999999</v>
      </c>
      <c r="H325" s="10">
        <f>39.7553 * CHOOSE(CONTROL!$C$9, $D$9, 100%, $F$9) + CHOOSE(CONTROL!$C$27, 0.0021, 0)</f>
        <v>39.757399999999997</v>
      </c>
      <c r="I325" s="10">
        <f>39.7553 * CHOOSE(CONTROL!$C$9, $D$9, 100%, $F$9) + CHOOSE(CONTROL!$C$27, 0.0021, 0)</f>
        <v>39.757399999999997</v>
      </c>
      <c r="J325" s="10">
        <f>39.7553 * CHOOSE(CONTROL!$C$9, $D$9, 100%, $F$9) + CHOOSE(CONTROL!$C$27, 0.0021, 0)</f>
        <v>39.757399999999997</v>
      </c>
      <c r="K325" s="10">
        <f>39.7553 * CHOOSE(CONTROL!$C$9, $D$9, 100%, $F$9) + CHOOSE(CONTROL!$C$27, 0.0021, 0)</f>
        <v>39.757399999999997</v>
      </c>
      <c r="L325" s="10"/>
    </row>
    <row r="326" spans="1:12" ht="15.75" x14ac:dyDescent="0.25">
      <c r="A326" s="14">
        <v>51226</v>
      </c>
      <c r="B326" s="10">
        <f>39.7322 * CHOOSE(CONTROL!$C$9, $D$9, 100%, $F$9) + CHOOSE(CONTROL!$C$27, 0.0021, 0)</f>
        <v>39.734299999999998</v>
      </c>
      <c r="C326" s="10">
        <f>39.2999 * CHOOSE(CONTROL!$C$9, $D$9, 100%, $F$9) + CHOOSE(CONTROL!$C$27, 0.0021, 0)</f>
        <v>39.302</v>
      </c>
      <c r="D326" s="10">
        <f>39.2999 * CHOOSE(CONTROL!$C$9, $D$9, 100%, $F$9) + CHOOSE(CONTROL!$C$27, 0.0021, 0)</f>
        <v>39.302</v>
      </c>
      <c r="E326" s="10">
        <f>39.1632 * CHOOSE(CONTROL!$C$9, $D$9, 100%, $F$9) + CHOOSE(CONTROL!$C$27, 0.0021, 0)</f>
        <v>39.165300000000002</v>
      </c>
      <c r="F326" s="10">
        <f>39.1632 * CHOOSE(CONTROL!$C$9, $D$9, 100%, $F$9) + CHOOSE(CONTROL!$C$27, 0.0021, 0)</f>
        <v>39.165300000000002</v>
      </c>
      <c r="G326" s="10">
        <f>39.4346 * CHOOSE(CONTROL!$C$9, $D$9, 100%, $F$9) + CHOOSE(CONTROL!$C$27, 0.0021, 0)</f>
        <v>39.436700000000002</v>
      </c>
      <c r="H326" s="10">
        <f>39.2999 * CHOOSE(CONTROL!$C$9, $D$9, 100%, $F$9) + CHOOSE(CONTROL!$C$27, 0.0021, 0)</f>
        <v>39.302</v>
      </c>
      <c r="I326" s="10">
        <f>39.2999 * CHOOSE(CONTROL!$C$9, $D$9, 100%, $F$9) + CHOOSE(CONTROL!$C$27, 0.0021, 0)</f>
        <v>39.302</v>
      </c>
      <c r="J326" s="10">
        <f>39.2999 * CHOOSE(CONTROL!$C$9, $D$9, 100%, $F$9) + CHOOSE(CONTROL!$C$27, 0.0021, 0)</f>
        <v>39.302</v>
      </c>
      <c r="K326" s="10">
        <f>39.2999 * CHOOSE(CONTROL!$C$9, $D$9, 100%, $F$9) + CHOOSE(CONTROL!$C$27, 0.0021, 0)</f>
        <v>39.302</v>
      </c>
      <c r="L326" s="10"/>
    </row>
    <row r="327" spans="1:12" ht="15.75" x14ac:dyDescent="0.25">
      <c r="A327" s="14">
        <v>51256</v>
      </c>
      <c r="B327" s="10">
        <f>39.1885 * CHOOSE(CONTROL!$C$9, $D$9, 100%, $F$9) + CHOOSE(CONTROL!$C$27, 0.0021, 0)</f>
        <v>39.190599999999996</v>
      </c>
      <c r="C327" s="10">
        <f>38.7562 * CHOOSE(CONTROL!$C$9, $D$9, 100%, $F$9) + CHOOSE(CONTROL!$C$27, 0.0021, 0)</f>
        <v>38.758299999999998</v>
      </c>
      <c r="D327" s="10">
        <f>38.7562 * CHOOSE(CONTROL!$C$9, $D$9, 100%, $F$9) + CHOOSE(CONTROL!$C$27, 0.0021, 0)</f>
        <v>38.758299999999998</v>
      </c>
      <c r="E327" s="10">
        <f>38.6195 * CHOOSE(CONTROL!$C$9, $D$9, 100%, $F$9) + CHOOSE(CONTROL!$C$27, 0.0021, 0)</f>
        <v>38.621600000000001</v>
      </c>
      <c r="F327" s="10">
        <f>38.6195 * CHOOSE(CONTROL!$C$9, $D$9, 100%, $F$9) + CHOOSE(CONTROL!$C$27, 0.0021, 0)</f>
        <v>38.621600000000001</v>
      </c>
      <c r="G327" s="10">
        <f>38.8909 * CHOOSE(CONTROL!$C$9, $D$9, 100%, $F$9) + CHOOSE(CONTROL!$C$27, 0.0021, 0)</f>
        <v>38.893000000000001</v>
      </c>
      <c r="H327" s="10">
        <f>38.7562 * CHOOSE(CONTROL!$C$9, $D$9, 100%, $F$9) + CHOOSE(CONTROL!$C$27, 0.0021, 0)</f>
        <v>38.758299999999998</v>
      </c>
      <c r="I327" s="10">
        <f>38.7562 * CHOOSE(CONTROL!$C$9, $D$9, 100%, $F$9) + CHOOSE(CONTROL!$C$27, 0.0021, 0)</f>
        <v>38.758299999999998</v>
      </c>
      <c r="J327" s="10">
        <f>38.7562 * CHOOSE(CONTROL!$C$9, $D$9, 100%, $F$9) + CHOOSE(CONTROL!$C$27, 0.0021, 0)</f>
        <v>38.758299999999998</v>
      </c>
      <c r="K327" s="10">
        <f>38.7562 * CHOOSE(CONTROL!$C$9, $D$9, 100%, $F$9) + CHOOSE(CONTROL!$C$27, 0.0021, 0)</f>
        <v>38.758299999999998</v>
      </c>
      <c r="L327" s="10"/>
    </row>
    <row r="328" spans="1:12" ht="15.75" x14ac:dyDescent="0.25">
      <c r="A328" s="14">
        <v>51287</v>
      </c>
      <c r="B328" s="10">
        <f>39.9633 * CHOOSE(CONTROL!$C$9, $D$9, 100%, $F$9) + CHOOSE(CONTROL!$C$27, 0.0021, 0)</f>
        <v>39.965399999999995</v>
      </c>
      <c r="C328" s="10">
        <f>39.531 * CHOOSE(CONTROL!$C$9, $D$9, 100%, $F$9) + CHOOSE(CONTROL!$C$27, 0.0021, 0)</f>
        <v>39.533099999999997</v>
      </c>
      <c r="D328" s="10">
        <f>39.531 * CHOOSE(CONTROL!$C$9, $D$9, 100%, $F$9) + CHOOSE(CONTROL!$C$27, 0.0021, 0)</f>
        <v>39.533099999999997</v>
      </c>
      <c r="E328" s="10">
        <f>39.3944 * CHOOSE(CONTROL!$C$9, $D$9, 100%, $F$9) + CHOOSE(CONTROL!$C$27, 0.0021, 0)</f>
        <v>39.396499999999996</v>
      </c>
      <c r="F328" s="10">
        <f>39.3944 * CHOOSE(CONTROL!$C$9, $D$9, 100%, $F$9) + CHOOSE(CONTROL!$C$27, 0.0021, 0)</f>
        <v>39.396499999999996</v>
      </c>
      <c r="G328" s="10">
        <f>39.6658 * CHOOSE(CONTROL!$C$9, $D$9, 100%, $F$9) + CHOOSE(CONTROL!$C$27, 0.0021, 0)</f>
        <v>39.667899999999996</v>
      </c>
      <c r="H328" s="10">
        <f>39.531 * CHOOSE(CONTROL!$C$9, $D$9, 100%, $F$9) + CHOOSE(CONTROL!$C$27, 0.0021, 0)</f>
        <v>39.533099999999997</v>
      </c>
      <c r="I328" s="10">
        <f>39.531 * CHOOSE(CONTROL!$C$9, $D$9, 100%, $F$9) + CHOOSE(CONTROL!$C$27, 0.0021, 0)</f>
        <v>39.533099999999997</v>
      </c>
      <c r="J328" s="10">
        <f>39.531 * CHOOSE(CONTROL!$C$9, $D$9, 100%, $F$9) + CHOOSE(CONTROL!$C$27, 0.0021, 0)</f>
        <v>39.533099999999997</v>
      </c>
      <c r="K328" s="10">
        <f>39.531 * CHOOSE(CONTROL!$C$9, $D$9, 100%, $F$9) + CHOOSE(CONTROL!$C$27, 0.0021, 0)</f>
        <v>39.533099999999997</v>
      </c>
      <c r="L328" s="10"/>
    </row>
    <row r="329" spans="1:12" ht="15.75" x14ac:dyDescent="0.25">
      <c r="A329" s="14">
        <v>51317</v>
      </c>
      <c r="B329" s="10">
        <f>40.4274 * CHOOSE(CONTROL!$C$9, $D$9, 100%, $F$9) + CHOOSE(CONTROL!$C$27, 0.0021, 0)</f>
        <v>40.429499999999997</v>
      </c>
      <c r="C329" s="10">
        <f>39.9951 * CHOOSE(CONTROL!$C$9, $D$9, 100%, $F$9) + CHOOSE(CONTROL!$C$27, 0.0021, 0)</f>
        <v>39.997199999999999</v>
      </c>
      <c r="D329" s="10">
        <f>39.9951 * CHOOSE(CONTROL!$C$9, $D$9, 100%, $F$9) + CHOOSE(CONTROL!$C$27, 0.0021, 0)</f>
        <v>39.997199999999999</v>
      </c>
      <c r="E329" s="10">
        <f>39.8585 * CHOOSE(CONTROL!$C$9, $D$9, 100%, $F$9) + CHOOSE(CONTROL!$C$27, 0.0021, 0)</f>
        <v>39.860599999999998</v>
      </c>
      <c r="F329" s="10">
        <f>39.8585 * CHOOSE(CONTROL!$C$9, $D$9, 100%, $F$9) + CHOOSE(CONTROL!$C$27, 0.0021, 0)</f>
        <v>39.860599999999998</v>
      </c>
      <c r="G329" s="10">
        <f>40.1299 * CHOOSE(CONTROL!$C$9, $D$9, 100%, $F$9) + CHOOSE(CONTROL!$C$27, 0.0021, 0)</f>
        <v>40.131999999999998</v>
      </c>
      <c r="H329" s="10">
        <f>39.9951 * CHOOSE(CONTROL!$C$9, $D$9, 100%, $F$9) + CHOOSE(CONTROL!$C$27, 0.0021, 0)</f>
        <v>39.997199999999999</v>
      </c>
      <c r="I329" s="10">
        <f>39.9951 * CHOOSE(CONTROL!$C$9, $D$9, 100%, $F$9) + CHOOSE(CONTROL!$C$27, 0.0021, 0)</f>
        <v>39.997199999999999</v>
      </c>
      <c r="J329" s="10">
        <f>39.9951 * CHOOSE(CONTROL!$C$9, $D$9, 100%, $F$9) + CHOOSE(CONTROL!$C$27, 0.0021, 0)</f>
        <v>39.997199999999999</v>
      </c>
      <c r="K329" s="10">
        <f>39.9951 * CHOOSE(CONTROL!$C$9, $D$9, 100%, $F$9) + CHOOSE(CONTROL!$C$27, 0.0021, 0)</f>
        <v>39.997199999999999</v>
      </c>
      <c r="L329" s="10"/>
    </row>
    <row r="330" spans="1:12" ht="15.75" x14ac:dyDescent="0.25">
      <c r="A330" s="14">
        <v>51348</v>
      </c>
      <c r="B330" s="10">
        <f>41.193 * CHOOSE(CONTROL!$C$9, $D$9, 100%, $F$9) + CHOOSE(CONTROL!$C$27, 0.0021, 0)</f>
        <v>41.195099999999996</v>
      </c>
      <c r="C330" s="10">
        <f>40.7607 * CHOOSE(CONTROL!$C$9, $D$9, 100%, $F$9) + CHOOSE(CONTROL!$C$27, 0.0021, 0)</f>
        <v>40.762799999999999</v>
      </c>
      <c r="D330" s="10">
        <f>40.7607 * CHOOSE(CONTROL!$C$9, $D$9, 100%, $F$9) + CHOOSE(CONTROL!$C$27, 0.0021, 0)</f>
        <v>40.762799999999999</v>
      </c>
      <c r="E330" s="10">
        <f>40.6241 * CHOOSE(CONTROL!$C$9, $D$9, 100%, $F$9) + CHOOSE(CONTROL!$C$27, 0.0021, 0)</f>
        <v>40.626199999999997</v>
      </c>
      <c r="F330" s="10">
        <f>40.6241 * CHOOSE(CONTROL!$C$9, $D$9, 100%, $F$9) + CHOOSE(CONTROL!$C$27, 0.0021, 0)</f>
        <v>40.626199999999997</v>
      </c>
      <c r="G330" s="10">
        <f>40.8954 * CHOOSE(CONTROL!$C$9, $D$9, 100%, $F$9) + CHOOSE(CONTROL!$C$27, 0.0021, 0)</f>
        <v>40.897500000000001</v>
      </c>
      <c r="H330" s="10">
        <f>40.7607 * CHOOSE(CONTROL!$C$9, $D$9, 100%, $F$9) + CHOOSE(CONTROL!$C$27, 0.0021, 0)</f>
        <v>40.762799999999999</v>
      </c>
      <c r="I330" s="10">
        <f>40.7607 * CHOOSE(CONTROL!$C$9, $D$9, 100%, $F$9) + CHOOSE(CONTROL!$C$27, 0.0021, 0)</f>
        <v>40.762799999999999</v>
      </c>
      <c r="J330" s="10">
        <f>40.7607 * CHOOSE(CONTROL!$C$9, $D$9, 100%, $F$9) + CHOOSE(CONTROL!$C$27, 0.0021, 0)</f>
        <v>40.762799999999999</v>
      </c>
      <c r="K330" s="10">
        <f>40.7607 * CHOOSE(CONTROL!$C$9, $D$9, 100%, $F$9) + CHOOSE(CONTROL!$C$27, 0.0021, 0)</f>
        <v>40.762799999999999</v>
      </c>
      <c r="L330" s="10"/>
    </row>
    <row r="331" spans="1:12" ht="15.75" x14ac:dyDescent="0.25">
      <c r="A331" s="14">
        <v>51379</v>
      </c>
      <c r="B331" s="10">
        <f>41.4267 * CHOOSE(CONTROL!$C$9, $D$9, 100%, $F$9) + CHOOSE(CONTROL!$C$27, 0.0021, 0)</f>
        <v>41.428799999999995</v>
      </c>
      <c r="C331" s="10">
        <f>40.9944 * CHOOSE(CONTROL!$C$9, $D$9, 100%, $F$9) + CHOOSE(CONTROL!$C$27, 0.0021, 0)</f>
        <v>40.996499999999997</v>
      </c>
      <c r="D331" s="10">
        <f>40.9944 * CHOOSE(CONTROL!$C$9, $D$9, 100%, $F$9) + CHOOSE(CONTROL!$C$27, 0.0021, 0)</f>
        <v>40.996499999999997</v>
      </c>
      <c r="E331" s="10">
        <f>40.8577 * CHOOSE(CONTROL!$C$9, $D$9, 100%, $F$9) + CHOOSE(CONTROL!$C$27, 0.0021, 0)</f>
        <v>40.8598</v>
      </c>
      <c r="F331" s="10">
        <f>40.8577 * CHOOSE(CONTROL!$C$9, $D$9, 100%, $F$9) + CHOOSE(CONTROL!$C$27, 0.0021, 0)</f>
        <v>40.8598</v>
      </c>
      <c r="G331" s="10">
        <f>41.1291 * CHOOSE(CONTROL!$C$9, $D$9, 100%, $F$9) + CHOOSE(CONTROL!$C$27, 0.0021, 0)</f>
        <v>41.1312</v>
      </c>
      <c r="H331" s="10">
        <f>40.9944 * CHOOSE(CONTROL!$C$9, $D$9, 100%, $F$9) + CHOOSE(CONTROL!$C$27, 0.0021, 0)</f>
        <v>40.996499999999997</v>
      </c>
      <c r="I331" s="10">
        <f>40.9944 * CHOOSE(CONTROL!$C$9, $D$9, 100%, $F$9) + CHOOSE(CONTROL!$C$27, 0.0021, 0)</f>
        <v>40.996499999999997</v>
      </c>
      <c r="J331" s="10">
        <f>40.9944 * CHOOSE(CONTROL!$C$9, $D$9, 100%, $F$9) + CHOOSE(CONTROL!$C$27, 0.0021, 0)</f>
        <v>40.996499999999997</v>
      </c>
      <c r="K331" s="10">
        <f>40.9944 * CHOOSE(CONTROL!$C$9, $D$9, 100%, $F$9) + CHOOSE(CONTROL!$C$27, 0.0021, 0)</f>
        <v>40.996499999999997</v>
      </c>
      <c r="L331" s="10"/>
    </row>
    <row r="332" spans="1:12" ht="15.75" x14ac:dyDescent="0.25">
      <c r="A332" s="14">
        <v>51409</v>
      </c>
      <c r="B332" s="10">
        <f>42.2224 * CHOOSE(CONTROL!$C$9, $D$9, 100%, $F$9) + CHOOSE(CONTROL!$C$27, 0.0021, 0)</f>
        <v>42.224499999999999</v>
      </c>
      <c r="C332" s="10">
        <f>41.7902 * CHOOSE(CONTROL!$C$9, $D$9, 100%, $F$9) + CHOOSE(CONTROL!$C$27, 0.0021, 0)</f>
        <v>41.792299999999997</v>
      </c>
      <c r="D332" s="10">
        <f>41.7902 * CHOOSE(CONTROL!$C$9, $D$9, 100%, $F$9) + CHOOSE(CONTROL!$C$27, 0.0021, 0)</f>
        <v>41.792299999999997</v>
      </c>
      <c r="E332" s="10">
        <f>41.6535 * CHOOSE(CONTROL!$C$9, $D$9, 100%, $F$9) + CHOOSE(CONTROL!$C$27, 0.0021, 0)</f>
        <v>41.6556</v>
      </c>
      <c r="F332" s="10">
        <f>41.6535 * CHOOSE(CONTROL!$C$9, $D$9, 100%, $F$9) + CHOOSE(CONTROL!$C$27, 0.0021, 0)</f>
        <v>41.6556</v>
      </c>
      <c r="G332" s="10">
        <f>41.9249 * CHOOSE(CONTROL!$C$9, $D$9, 100%, $F$9) + CHOOSE(CONTROL!$C$27, 0.0021, 0)</f>
        <v>41.927</v>
      </c>
      <c r="H332" s="10">
        <f>41.7902 * CHOOSE(CONTROL!$C$9, $D$9, 100%, $F$9) + CHOOSE(CONTROL!$C$27, 0.0021, 0)</f>
        <v>41.792299999999997</v>
      </c>
      <c r="I332" s="10">
        <f>41.7902 * CHOOSE(CONTROL!$C$9, $D$9, 100%, $F$9) + CHOOSE(CONTROL!$C$27, 0.0021, 0)</f>
        <v>41.792299999999997</v>
      </c>
      <c r="J332" s="10">
        <f>41.7902 * CHOOSE(CONTROL!$C$9, $D$9, 100%, $F$9) + CHOOSE(CONTROL!$C$27, 0.0021, 0)</f>
        <v>41.792299999999997</v>
      </c>
      <c r="K332" s="10">
        <f>41.7902 * CHOOSE(CONTROL!$C$9, $D$9, 100%, $F$9) + CHOOSE(CONTROL!$C$27, 0.0021, 0)</f>
        <v>41.792299999999997</v>
      </c>
      <c r="L332" s="10"/>
    </row>
    <row r="333" spans="1:12" ht="15.75" x14ac:dyDescent="0.25">
      <c r="A333" s="14">
        <v>51440</v>
      </c>
      <c r="B333" s="10">
        <f>43.2298 * CHOOSE(CONTROL!$C$9, $D$9, 100%, $F$9) + CHOOSE(CONTROL!$C$27, 0.0021, 0)</f>
        <v>43.231899999999996</v>
      </c>
      <c r="C333" s="10">
        <f>42.7975 * CHOOSE(CONTROL!$C$9, $D$9, 100%, $F$9) + CHOOSE(CONTROL!$C$27, 0.0021, 0)</f>
        <v>42.799599999999998</v>
      </c>
      <c r="D333" s="10">
        <f>42.7975 * CHOOSE(CONTROL!$C$9, $D$9, 100%, $F$9) + CHOOSE(CONTROL!$C$27, 0.0021, 0)</f>
        <v>42.799599999999998</v>
      </c>
      <c r="E333" s="10">
        <f>42.6609 * CHOOSE(CONTROL!$C$9, $D$9, 100%, $F$9) + CHOOSE(CONTROL!$C$27, 0.0021, 0)</f>
        <v>42.662999999999997</v>
      </c>
      <c r="F333" s="10">
        <f>42.6609 * CHOOSE(CONTROL!$C$9, $D$9, 100%, $F$9) + CHOOSE(CONTROL!$C$27, 0.0021, 0)</f>
        <v>42.662999999999997</v>
      </c>
      <c r="G333" s="10">
        <f>42.9323 * CHOOSE(CONTROL!$C$9, $D$9, 100%, $F$9) + CHOOSE(CONTROL!$C$27, 0.0021, 0)</f>
        <v>42.934399999999997</v>
      </c>
      <c r="H333" s="10">
        <f>42.7975 * CHOOSE(CONTROL!$C$9, $D$9, 100%, $F$9) + CHOOSE(CONTROL!$C$27, 0.0021, 0)</f>
        <v>42.799599999999998</v>
      </c>
      <c r="I333" s="10">
        <f>42.7975 * CHOOSE(CONTROL!$C$9, $D$9, 100%, $F$9) + CHOOSE(CONTROL!$C$27, 0.0021, 0)</f>
        <v>42.799599999999998</v>
      </c>
      <c r="J333" s="10">
        <f>42.7975 * CHOOSE(CONTROL!$C$9, $D$9, 100%, $F$9) + CHOOSE(CONTROL!$C$27, 0.0021, 0)</f>
        <v>42.799599999999998</v>
      </c>
      <c r="K333" s="10">
        <f>42.7975 * CHOOSE(CONTROL!$C$9, $D$9, 100%, $F$9) + CHOOSE(CONTROL!$C$27, 0.0021, 0)</f>
        <v>42.799599999999998</v>
      </c>
      <c r="L333" s="10"/>
    </row>
    <row r="334" spans="1:12" ht="15.75" x14ac:dyDescent="0.25">
      <c r="A334" s="14">
        <v>51470</v>
      </c>
      <c r="B334" s="10">
        <f>43.3244 * CHOOSE(CONTROL!$C$9, $D$9, 100%, $F$9) + CHOOSE(CONTROL!$C$27, 0.0021, 0)</f>
        <v>43.326499999999996</v>
      </c>
      <c r="C334" s="10">
        <f>42.8921 * CHOOSE(CONTROL!$C$9, $D$9, 100%, $F$9) + CHOOSE(CONTROL!$C$27, 0.0021, 0)</f>
        <v>42.894199999999998</v>
      </c>
      <c r="D334" s="10">
        <f>42.8921 * CHOOSE(CONTROL!$C$9, $D$9, 100%, $F$9) + CHOOSE(CONTROL!$C$27, 0.0021, 0)</f>
        <v>42.894199999999998</v>
      </c>
      <c r="E334" s="10">
        <f>42.7554 * CHOOSE(CONTROL!$C$9, $D$9, 100%, $F$9) + CHOOSE(CONTROL!$C$27, 0.0021, 0)</f>
        <v>42.7575</v>
      </c>
      <c r="F334" s="10">
        <f>42.7554 * CHOOSE(CONTROL!$C$9, $D$9, 100%, $F$9) + CHOOSE(CONTROL!$C$27, 0.0021, 0)</f>
        <v>42.7575</v>
      </c>
      <c r="G334" s="10">
        <f>43.0268 * CHOOSE(CONTROL!$C$9, $D$9, 100%, $F$9) + CHOOSE(CONTROL!$C$27, 0.0021, 0)</f>
        <v>43.0289</v>
      </c>
      <c r="H334" s="10">
        <f>42.8921 * CHOOSE(CONTROL!$C$9, $D$9, 100%, $F$9) + CHOOSE(CONTROL!$C$27, 0.0021, 0)</f>
        <v>42.894199999999998</v>
      </c>
      <c r="I334" s="10">
        <f>42.8921 * CHOOSE(CONTROL!$C$9, $D$9, 100%, $F$9) + CHOOSE(CONTROL!$C$27, 0.0021, 0)</f>
        <v>42.894199999999998</v>
      </c>
      <c r="J334" s="10">
        <f>42.8921 * CHOOSE(CONTROL!$C$9, $D$9, 100%, $F$9) + CHOOSE(CONTROL!$C$27, 0.0021, 0)</f>
        <v>42.894199999999998</v>
      </c>
      <c r="K334" s="10">
        <f>42.8921 * CHOOSE(CONTROL!$C$9, $D$9, 100%, $F$9) + CHOOSE(CONTROL!$C$27, 0.0021, 0)</f>
        <v>42.894199999999998</v>
      </c>
      <c r="L334" s="10"/>
    </row>
    <row r="335" spans="1:12" ht="15.75" x14ac:dyDescent="0.25">
      <c r="A335" s="14">
        <v>51501</v>
      </c>
      <c r="B335" s="10">
        <f>42.5198 * CHOOSE(CONTROL!$C$9, $D$9, 100%, $F$9) + CHOOSE(CONTROL!$C$27, 0.0021, 0)</f>
        <v>42.521899999999995</v>
      </c>
      <c r="C335" s="10">
        <f>42.0876 * CHOOSE(CONTROL!$C$9, $D$9, 100%, $F$9) + CHOOSE(CONTROL!$C$27, 0.0021, 0)</f>
        <v>42.089700000000001</v>
      </c>
      <c r="D335" s="10">
        <f>42.0876 * CHOOSE(CONTROL!$C$9, $D$9, 100%, $F$9) + CHOOSE(CONTROL!$C$27, 0.0021, 0)</f>
        <v>42.089700000000001</v>
      </c>
      <c r="E335" s="10">
        <f>41.9509 * CHOOSE(CONTROL!$C$9, $D$9, 100%, $F$9) + CHOOSE(CONTROL!$C$27, 0.0021, 0)</f>
        <v>41.952999999999996</v>
      </c>
      <c r="F335" s="10">
        <f>41.9509 * CHOOSE(CONTROL!$C$9, $D$9, 100%, $F$9) + CHOOSE(CONTROL!$C$27, 0.0021, 0)</f>
        <v>41.952999999999996</v>
      </c>
      <c r="G335" s="10">
        <f>42.2223 * CHOOSE(CONTROL!$C$9, $D$9, 100%, $F$9) + CHOOSE(CONTROL!$C$27, 0.0021, 0)</f>
        <v>42.224399999999996</v>
      </c>
      <c r="H335" s="10">
        <f>42.0876 * CHOOSE(CONTROL!$C$9, $D$9, 100%, $F$9) + CHOOSE(CONTROL!$C$27, 0.0021, 0)</f>
        <v>42.089700000000001</v>
      </c>
      <c r="I335" s="10">
        <f>42.0876 * CHOOSE(CONTROL!$C$9, $D$9, 100%, $F$9) + CHOOSE(CONTROL!$C$27, 0.0021, 0)</f>
        <v>42.089700000000001</v>
      </c>
      <c r="J335" s="10">
        <f>42.0876 * CHOOSE(CONTROL!$C$9, $D$9, 100%, $F$9) + CHOOSE(CONTROL!$C$27, 0.0021, 0)</f>
        <v>42.089700000000001</v>
      </c>
      <c r="K335" s="10">
        <f>42.0876 * CHOOSE(CONTROL!$C$9, $D$9, 100%, $F$9) + CHOOSE(CONTROL!$C$27, 0.0021, 0)</f>
        <v>42.089700000000001</v>
      </c>
      <c r="L335" s="10"/>
    </row>
    <row r="336" spans="1:12" ht="15.75" x14ac:dyDescent="0.25">
      <c r="A336" s="14">
        <v>51532</v>
      </c>
      <c r="B336" s="10">
        <f>41.9038 * CHOOSE(CONTROL!$C$9, $D$9, 100%, $F$9) + CHOOSE(CONTROL!$C$27, 0.0021, 0)</f>
        <v>41.905899999999995</v>
      </c>
      <c r="C336" s="10">
        <f>41.4716 * CHOOSE(CONTROL!$C$9, $D$9, 100%, $F$9) + CHOOSE(CONTROL!$C$27, 0.0021, 0)</f>
        <v>41.473700000000001</v>
      </c>
      <c r="D336" s="10">
        <f>41.4716 * CHOOSE(CONTROL!$C$9, $D$9, 100%, $F$9) + CHOOSE(CONTROL!$C$27, 0.0021, 0)</f>
        <v>41.473700000000001</v>
      </c>
      <c r="E336" s="10">
        <f>41.3349 * CHOOSE(CONTROL!$C$9, $D$9, 100%, $F$9) + CHOOSE(CONTROL!$C$27, 0.0021, 0)</f>
        <v>41.336999999999996</v>
      </c>
      <c r="F336" s="10">
        <f>41.3349 * CHOOSE(CONTROL!$C$9, $D$9, 100%, $F$9) + CHOOSE(CONTROL!$C$27, 0.0021, 0)</f>
        <v>41.336999999999996</v>
      </c>
      <c r="G336" s="10">
        <f>41.6063 * CHOOSE(CONTROL!$C$9, $D$9, 100%, $F$9) + CHOOSE(CONTROL!$C$27, 0.0021, 0)</f>
        <v>41.608399999999996</v>
      </c>
      <c r="H336" s="10">
        <f>41.4716 * CHOOSE(CONTROL!$C$9, $D$9, 100%, $F$9) + CHOOSE(CONTROL!$C$27, 0.0021, 0)</f>
        <v>41.473700000000001</v>
      </c>
      <c r="I336" s="10">
        <f>41.4716 * CHOOSE(CONTROL!$C$9, $D$9, 100%, $F$9) + CHOOSE(CONTROL!$C$27, 0.0021, 0)</f>
        <v>41.473700000000001</v>
      </c>
      <c r="J336" s="10">
        <f>41.4716 * CHOOSE(CONTROL!$C$9, $D$9, 100%, $F$9) + CHOOSE(CONTROL!$C$27, 0.0021, 0)</f>
        <v>41.473700000000001</v>
      </c>
      <c r="K336" s="10">
        <f>41.4716 * CHOOSE(CONTROL!$C$9, $D$9, 100%, $F$9) + CHOOSE(CONTROL!$C$27, 0.0021, 0)</f>
        <v>41.473700000000001</v>
      </c>
      <c r="L336" s="10"/>
    </row>
    <row r="337" spans="1:12" ht="15.75" x14ac:dyDescent="0.25">
      <c r="A337" s="14">
        <v>51560</v>
      </c>
      <c r="B337" s="10">
        <f>40.7834 * CHOOSE(CONTROL!$C$9, $D$9, 100%, $F$9) + CHOOSE(CONTROL!$C$27, 0.0021, 0)</f>
        <v>40.785499999999999</v>
      </c>
      <c r="C337" s="10">
        <f>40.3512 * CHOOSE(CONTROL!$C$9, $D$9, 100%, $F$9) + CHOOSE(CONTROL!$C$27, 0.0021, 0)</f>
        <v>40.353299999999997</v>
      </c>
      <c r="D337" s="10">
        <f>40.3512 * CHOOSE(CONTROL!$C$9, $D$9, 100%, $F$9) + CHOOSE(CONTROL!$C$27, 0.0021, 0)</f>
        <v>40.353299999999997</v>
      </c>
      <c r="E337" s="10">
        <f>40.2145 * CHOOSE(CONTROL!$C$9, $D$9, 100%, $F$9) + CHOOSE(CONTROL!$C$27, 0.0021, 0)</f>
        <v>40.2166</v>
      </c>
      <c r="F337" s="10">
        <f>40.2145 * CHOOSE(CONTROL!$C$9, $D$9, 100%, $F$9) + CHOOSE(CONTROL!$C$27, 0.0021, 0)</f>
        <v>40.2166</v>
      </c>
      <c r="G337" s="10">
        <f>40.4859 * CHOOSE(CONTROL!$C$9, $D$9, 100%, $F$9) + CHOOSE(CONTROL!$C$27, 0.0021, 0)</f>
        <v>40.488</v>
      </c>
      <c r="H337" s="10">
        <f>40.3512 * CHOOSE(CONTROL!$C$9, $D$9, 100%, $F$9) + CHOOSE(CONTROL!$C$27, 0.0021, 0)</f>
        <v>40.353299999999997</v>
      </c>
      <c r="I337" s="10">
        <f>40.3512 * CHOOSE(CONTROL!$C$9, $D$9, 100%, $F$9) + CHOOSE(CONTROL!$C$27, 0.0021, 0)</f>
        <v>40.353299999999997</v>
      </c>
      <c r="J337" s="10">
        <f>40.3512 * CHOOSE(CONTROL!$C$9, $D$9, 100%, $F$9) + CHOOSE(CONTROL!$C$27, 0.0021, 0)</f>
        <v>40.353299999999997</v>
      </c>
      <c r="K337" s="10">
        <f>40.3512 * CHOOSE(CONTROL!$C$9, $D$9, 100%, $F$9) + CHOOSE(CONTROL!$C$27, 0.0021, 0)</f>
        <v>40.353299999999997</v>
      </c>
      <c r="L337" s="10"/>
    </row>
    <row r="338" spans="1:12" ht="15.75" x14ac:dyDescent="0.25">
      <c r="A338" s="14">
        <v>51591</v>
      </c>
      <c r="B338" s="10">
        <f>40.3209 * CHOOSE(CONTROL!$C$9, $D$9, 100%, $F$9) + CHOOSE(CONTROL!$C$27, 0.0021, 0)</f>
        <v>40.323</v>
      </c>
      <c r="C338" s="10">
        <f>39.8886 * CHOOSE(CONTROL!$C$9, $D$9, 100%, $F$9) + CHOOSE(CONTROL!$C$27, 0.0021, 0)</f>
        <v>39.890699999999995</v>
      </c>
      <c r="D338" s="10">
        <f>39.8886 * CHOOSE(CONTROL!$C$9, $D$9, 100%, $F$9) + CHOOSE(CONTROL!$C$27, 0.0021, 0)</f>
        <v>39.890699999999995</v>
      </c>
      <c r="E338" s="10">
        <f>39.752 * CHOOSE(CONTROL!$C$9, $D$9, 100%, $F$9) + CHOOSE(CONTROL!$C$27, 0.0021, 0)</f>
        <v>39.754100000000001</v>
      </c>
      <c r="F338" s="10">
        <f>39.752 * CHOOSE(CONTROL!$C$9, $D$9, 100%, $F$9) + CHOOSE(CONTROL!$C$27, 0.0021, 0)</f>
        <v>39.754100000000001</v>
      </c>
      <c r="G338" s="10">
        <f>40.0234 * CHOOSE(CONTROL!$C$9, $D$9, 100%, $F$9) + CHOOSE(CONTROL!$C$27, 0.0021, 0)</f>
        <v>40.025500000000001</v>
      </c>
      <c r="H338" s="10">
        <f>39.8886 * CHOOSE(CONTROL!$C$9, $D$9, 100%, $F$9) + CHOOSE(CONTROL!$C$27, 0.0021, 0)</f>
        <v>39.890699999999995</v>
      </c>
      <c r="I338" s="10">
        <f>39.8886 * CHOOSE(CONTROL!$C$9, $D$9, 100%, $F$9) + CHOOSE(CONTROL!$C$27, 0.0021, 0)</f>
        <v>39.890699999999995</v>
      </c>
      <c r="J338" s="10">
        <f>39.8886 * CHOOSE(CONTROL!$C$9, $D$9, 100%, $F$9) + CHOOSE(CONTROL!$C$27, 0.0021, 0)</f>
        <v>39.890699999999995</v>
      </c>
      <c r="K338" s="10">
        <f>39.8886 * CHOOSE(CONTROL!$C$9, $D$9, 100%, $F$9) + CHOOSE(CONTROL!$C$27, 0.0021, 0)</f>
        <v>39.890699999999995</v>
      </c>
      <c r="L338" s="10"/>
    </row>
    <row r="339" spans="1:12" ht="15.75" x14ac:dyDescent="0.25">
      <c r="A339" s="14">
        <v>51621</v>
      </c>
      <c r="B339" s="10">
        <f>39.7686 * CHOOSE(CONTROL!$C$9, $D$9, 100%, $F$9) + CHOOSE(CONTROL!$C$27, 0.0021, 0)</f>
        <v>39.770699999999998</v>
      </c>
      <c r="C339" s="10">
        <f>39.3364 * CHOOSE(CONTROL!$C$9, $D$9, 100%, $F$9) + CHOOSE(CONTROL!$C$27, 0.0021, 0)</f>
        <v>39.338499999999996</v>
      </c>
      <c r="D339" s="10">
        <f>39.3364 * CHOOSE(CONTROL!$C$9, $D$9, 100%, $F$9) + CHOOSE(CONTROL!$C$27, 0.0021, 0)</f>
        <v>39.338499999999996</v>
      </c>
      <c r="E339" s="10">
        <f>39.1997 * CHOOSE(CONTROL!$C$9, $D$9, 100%, $F$9) + CHOOSE(CONTROL!$C$27, 0.0021, 0)</f>
        <v>39.201799999999999</v>
      </c>
      <c r="F339" s="10">
        <f>39.1997 * CHOOSE(CONTROL!$C$9, $D$9, 100%, $F$9) + CHOOSE(CONTROL!$C$27, 0.0021, 0)</f>
        <v>39.201799999999999</v>
      </c>
      <c r="G339" s="10">
        <f>39.4711 * CHOOSE(CONTROL!$C$9, $D$9, 100%, $F$9) + CHOOSE(CONTROL!$C$27, 0.0021, 0)</f>
        <v>39.473199999999999</v>
      </c>
      <c r="H339" s="10">
        <f>39.3364 * CHOOSE(CONTROL!$C$9, $D$9, 100%, $F$9) + CHOOSE(CONTROL!$C$27, 0.0021, 0)</f>
        <v>39.338499999999996</v>
      </c>
      <c r="I339" s="10">
        <f>39.3364 * CHOOSE(CONTROL!$C$9, $D$9, 100%, $F$9) + CHOOSE(CONTROL!$C$27, 0.0021, 0)</f>
        <v>39.338499999999996</v>
      </c>
      <c r="J339" s="10">
        <f>39.3364 * CHOOSE(CONTROL!$C$9, $D$9, 100%, $F$9) + CHOOSE(CONTROL!$C$27, 0.0021, 0)</f>
        <v>39.338499999999996</v>
      </c>
      <c r="K339" s="10">
        <f>39.3364 * CHOOSE(CONTROL!$C$9, $D$9, 100%, $F$9) + CHOOSE(CONTROL!$C$27, 0.0021, 0)</f>
        <v>39.338499999999996</v>
      </c>
      <c r="L339" s="10"/>
    </row>
    <row r="340" spans="1:12" ht="15.75" x14ac:dyDescent="0.25">
      <c r="A340" s="14">
        <v>51652</v>
      </c>
      <c r="B340" s="10">
        <f>40.5557 * CHOOSE(CONTROL!$C$9, $D$9, 100%, $F$9) + CHOOSE(CONTROL!$C$27, 0.0021, 0)</f>
        <v>40.5578</v>
      </c>
      <c r="C340" s="10">
        <f>40.1234 * CHOOSE(CONTROL!$C$9, $D$9, 100%, $F$9) + CHOOSE(CONTROL!$C$27, 0.0021, 0)</f>
        <v>40.125499999999995</v>
      </c>
      <c r="D340" s="10">
        <f>40.1234 * CHOOSE(CONTROL!$C$9, $D$9, 100%, $F$9) + CHOOSE(CONTROL!$C$27, 0.0021, 0)</f>
        <v>40.125499999999995</v>
      </c>
      <c r="E340" s="10">
        <f>39.9868 * CHOOSE(CONTROL!$C$9, $D$9, 100%, $F$9) + CHOOSE(CONTROL!$C$27, 0.0021, 0)</f>
        <v>39.988900000000001</v>
      </c>
      <c r="F340" s="10">
        <f>39.9868 * CHOOSE(CONTROL!$C$9, $D$9, 100%, $F$9) + CHOOSE(CONTROL!$C$27, 0.0021, 0)</f>
        <v>39.988900000000001</v>
      </c>
      <c r="G340" s="10">
        <f>40.2581 * CHOOSE(CONTROL!$C$9, $D$9, 100%, $F$9) + CHOOSE(CONTROL!$C$27, 0.0021, 0)</f>
        <v>40.260199999999998</v>
      </c>
      <c r="H340" s="10">
        <f>40.1234 * CHOOSE(CONTROL!$C$9, $D$9, 100%, $F$9) + CHOOSE(CONTROL!$C$27, 0.0021, 0)</f>
        <v>40.125499999999995</v>
      </c>
      <c r="I340" s="10">
        <f>40.1234 * CHOOSE(CONTROL!$C$9, $D$9, 100%, $F$9) + CHOOSE(CONTROL!$C$27, 0.0021, 0)</f>
        <v>40.125499999999995</v>
      </c>
      <c r="J340" s="10">
        <f>40.1234 * CHOOSE(CONTROL!$C$9, $D$9, 100%, $F$9) + CHOOSE(CONTROL!$C$27, 0.0021, 0)</f>
        <v>40.125499999999995</v>
      </c>
      <c r="K340" s="10">
        <f>40.1234 * CHOOSE(CONTROL!$C$9, $D$9, 100%, $F$9) + CHOOSE(CONTROL!$C$27, 0.0021, 0)</f>
        <v>40.125499999999995</v>
      </c>
      <c r="L340" s="10"/>
    </row>
    <row r="341" spans="1:12" ht="15.75" x14ac:dyDescent="0.25">
      <c r="A341" s="14">
        <v>51682</v>
      </c>
      <c r="B341" s="10">
        <f>41.0271 * CHOOSE(CONTROL!$C$9, $D$9, 100%, $F$9) + CHOOSE(CONTROL!$C$27, 0.0021, 0)</f>
        <v>41.029199999999996</v>
      </c>
      <c r="C341" s="10">
        <f>40.5948 * CHOOSE(CONTROL!$C$9, $D$9, 100%, $F$9) + CHOOSE(CONTROL!$C$27, 0.0021, 0)</f>
        <v>40.596899999999998</v>
      </c>
      <c r="D341" s="10">
        <f>40.5948 * CHOOSE(CONTROL!$C$9, $D$9, 100%, $F$9) + CHOOSE(CONTROL!$C$27, 0.0021, 0)</f>
        <v>40.596899999999998</v>
      </c>
      <c r="E341" s="10">
        <f>40.4581 * CHOOSE(CONTROL!$C$9, $D$9, 100%, $F$9) + CHOOSE(CONTROL!$C$27, 0.0021, 0)</f>
        <v>40.4602</v>
      </c>
      <c r="F341" s="10">
        <f>40.4581 * CHOOSE(CONTROL!$C$9, $D$9, 100%, $F$9) + CHOOSE(CONTROL!$C$27, 0.0021, 0)</f>
        <v>40.4602</v>
      </c>
      <c r="G341" s="10">
        <f>40.7295 * CHOOSE(CONTROL!$C$9, $D$9, 100%, $F$9) + CHOOSE(CONTROL!$C$27, 0.0021, 0)</f>
        <v>40.7316</v>
      </c>
      <c r="H341" s="10">
        <f>40.5948 * CHOOSE(CONTROL!$C$9, $D$9, 100%, $F$9) + CHOOSE(CONTROL!$C$27, 0.0021, 0)</f>
        <v>40.596899999999998</v>
      </c>
      <c r="I341" s="10">
        <f>40.5948 * CHOOSE(CONTROL!$C$9, $D$9, 100%, $F$9) + CHOOSE(CONTROL!$C$27, 0.0021, 0)</f>
        <v>40.596899999999998</v>
      </c>
      <c r="J341" s="10">
        <f>40.5948 * CHOOSE(CONTROL!$C$9, $D$9, 100%, $F$9) + CHOOSE(CONTROL!$C$27, 0.0021, 0)</f>
        <v>40.596899999999998</v>
      </c>
      <c r="K341" s="10">
        <f>40.5948 * CHOOSE(CONTROL!$C$9, $D$9, 100%, $F$9) + CHOOSE(CONTROL!$C$27, 0.0021, 0)</f>
        <v>40.596899999999998</v>
      </c>
      <c r="L341" s="10"/>
    </row>
    <row r="342" spans="1:12" ht="15.75" x14ac:dyDescent="0.25">
      <c r="A342" s="14">
        <v>51713</v>
      </c>
      <c r="B342" s="10">
        <f>41.8047 * CHOOSE(CONTROL!$C$9, $D$9, 100%, $F$9) + CHOOSE(CONTROL!$C$27, 0.0021, 0)</f>
        <v>41.806799999999996</v>
      </c>
      <c r="C342" s="10">
        <f>41.3724 * CHOOSE(CONTROL!$C$9, $D$9, 100%, $F$9) + CHOOSE(CONTROL!$C$27, 0.0021, 0)</f>
        <v>41.374499999999998</v>
      </c>
      <c r="D342" s="10">
        <f>41.3724 * CHOOSE(CONTROL!$C$9, $D$9, 100%, $F$9) + CHOOSE(CONTROL!$C$27, 0.0021, 0)</f>
        <v>41.374499999999998</v>
      </c>
      <c r="E342" s="10">
        <f>41.2358 * CHOOSE(CONTROL!$C$9, $D$9, 100%, $F$9) + CHOOSE(CONTROL!$C$27, 0.0021, 0)</f>
        <v>41.237899999999996</v>
      </c>
      <c r="F342" s="10">
        <f>41.2358 * CHOOSE(CONTROL!$C$9, $D$9, 100%, $F$9) + CHOOSE(CONTROL!$C$27, 0.0021, 0)</f>
        <v>41.237899999999996</v>
      </c>
      <c r="G342" s="10">
        <f>41.5071 * CHOOSE(CONTROL!$C$9, $D$9, 100%, $F$9) + CHOOSE(CONTROL!$C$27, 0.0021, 0)</f>
        <v>41.5092</v>
      </c>
      <c r="H342" s="10">
        <f>41.3724 * CHOOSE(CONTROL!$C$9, $D$9, 100%, $F$9) + CHOOSE(CONTROL!$C$27, 0.0021, 0)</f>
        <v>41.374499999999998</v>
      </c>
      <c r="I342" s="10">
        <f>41.3724 * CHOOSE(CONTROL!$C$9, $D$9, 100%, $F$9) + CHOOSE(CONTROL!$C$27, 0.0021, 0)</f>
        <v>41.374499999999998</v>
      </c>
      <c r="J342" s="10">
        <f>41.3724 * CHOOSE(CONTROL!$C$9, $D$9, 100%, $F$9) + CHOOSE(CONTROL!$C$27, 0.0021, 0)</f>
        <v>41.374499999999998</v>
      </c>
      <c r="K342" s="10">
        <f>41.3724 * CHOOSE(CONTROL!$C$9, $D$9, 100%, $F$9) + CHOOSE(CONTROL!$C$27, 0.0021, 0)</f>
        <v>41.374499999999998</v>
      </c>
      <c r="L342" s="10"/>
    </row>
    <row r="343" spans="1:12" ht="15.75" x14ac:dyDescent="0.25">
      <c r="A343" s="14">
        <v>51744</v>
      </c>
      <c r="B343" s="10">
        <f>42.042 * CHOOSE(CONTROL!$C$9, $D$9, 100%, $F$9) + CHOOSE(CONTROL!$C$27, 0.0021, 0)</f>
        <v>42.0441</v>
      </c>
      <c r="C343" s="10">
        <f>41.6098 * CHOOSE(CONTROL!$C$9, $D$9, 100%, $F$9) + CHOOSE(CONTROL!$C$27, 0.0021, 0)</f>
        <v>41.611899999999999</v>
      </c>
      <c r="D343" s="10">
        <f>41.6098 * CHOOSE(CONTROL!$C$9, $D$9, 100%, $F$9) + CHOOSE(CONTROL!$C$27, 0.0021, 0)</f>
        <v>41.611899999999999</v>
      </c>
      <c r="E343" s="10">
        <f>41.4731 * CHOOSE(CONTROL!$C$9, $D$9, 100%, $F$9) + CHOOSE(CONTROL!$C$27, 0.0021, 0)</f>
        <v>41.475200000000001</v>
      </c>
      <c r="F343" s="10">
        <f>41.4731 * CHOOSE(CONTROL!$C$9, $D$9, 100%, $F$9) + CHOOSE(CONTROL!$C$27, 0.0021, 0)</f>
        <v>41.475200000000001</v>
      </c>
      <c r="G343" s="10">
        <f>41.7445 * CHOOSE(CONTROL!$C$9, $D$9, 100%, $F$9) + CHOOSE(CONTROL!$C$27, 0.0021, 0)</f>
        <v>41.746600000000001</v>
      </c>
      <c r="H343" s="10">
        <f>41.6098 * CHOOSE(CONTROL!$C$9, $D$9, 100%, $F$9) + CHOOSE(CONTROL!$C$27, 0.0021, 0)</f>
        <v>41.611899999999999</v>
      </c>
      <c r="I343" s="10">
        <f>41.6098 * CHOOSE(CONTROL!$C$9, $D$9, 100%, $F$9) + CHOOSE(CONTROL!$C$27, 0.0021, 0)</f>
        <v>41.611899999999999</v>
      </c>
      <c r="J343" s="10">
        <f>41.6098 * CHOOSE(CONTROL!$C$9, $D$9, 100%, $F$9) + CHOOSE(CONTROL!$C$27, 0.0021, 0)</f>
        <v>41.611899999999999</v>
      </c>
      <c r="K343" s="10">
        <f>41.6098 * CHOOSE(CONTROL!$C$9, $D$9, 100%, $F$9) + CHOOSE(CONTROL!$C$27, 0.0021, 0)</f>
        <v>41.611899999999999</v>
      </c>
      <c r="L343" s="10"/>
    </row>
    <row r="344" spans="1:12" ht="15.75" x14ac:dyDescent="0.25">
      <c r="A344" s="14">
        <v>51774</v>
      </c>
      <c r="B344" s="10">
        <f>42.8503 * CHOOSE(CONTROL!$C$9, $D$9, 100%, $F$9) + CHOOSE(CONTROL!$C$27, 0.0021, 0)</f>
        <v>42.852399999999996</v>
      </c>
      <c r="C344" s="10">
        <f>42.4181 * CHOOSE(CONTROL!$C$9, $D$9, 100%, $F$9) + CHOOSE(CONTROL!$C$27, 0.0021, 0)</f>
        <v>42.420200000000001</v>
      </c>
      <c r="D344" s="10">
        <f>42.4181 * CHOOSE(CONTROL!$C$9, $D$9, 100%, $F$9) + CHOOSE(CONTROL!$C$27, 0.0021, 0)</f>
        <v>42.420200000000001</v>
      </c>
      <c r="E344" s="10">
        <f>42.2814 * CHOOSE(CONTROL!$C$9, $D$9, 100%, $F$9) + CHOOSE(CONTROL!$C$27, 0.0021, 0)</f>
        <v>42.283499999999997</v>
      </c>
      <c r="F344" s="10">
        <f>42.2814 * CHOOSE(CONTROL!$C$9, $D$9, 100%, $F$9) + CHOOSE(CONTROL!$C$27, 0.0021, 0)</f>
        <v>42.283499999999997</v>
      </c>
      <c r="G344" s="10">
        <f>42.5528 * CHOOSE(CONTROL!$C$9, $D$9, 100%, $F$9) + CHOOSE(CONTROL!$C$27, 0.0021, 0)</f>
        <v>42.554899999999996</v>
      </c>
      <c r="H344" s="10">
        <f>42.4181 * CHOOSE(CONTROL!$C$9, $D$9, 100%, $F$9) + CHOOSE(CONTROL!$C$27, 0.0021, 0)</f>
        <v>42.420200000000001</v>
      </c>
      <c r="I344" s="10">
        <f>42.4181 * CHOOSE(CONTROL!$C$9, $D$9, 100%, $F$9) + CHOOSE(CONTROL!$C$27, 0.0021, 0)</f>
        <v>42.420200000000001</v>
      </c>
      <c r="J344" s="10">
        <f>42.4181 * CHOOSE(CONTROL!$C$9, $D$9, 100%, $F$9) + CHOOSE(CONTROL!$C$27, 0.0021, 0)</f>
        <v>42.420200000000001</v>
      </c>
      <c r="K344" s="10">
        <f>42.4181 * CHOOSE(CONTROL!$C$9, $D$9, 100%, $F$9) + CHOOSE(CONTROL!$C$27, 0.0021, 0)</f>
        <v>42.420200000000001</v>
      </c>
      <c r="L344" s="10"/>
    </row>
    <row r="345" spans="1:12" ht="15.75" x14ac:dyDescent="0.25">
      <c r="A345" s="14">
        <v>51805</v>
      </c>
      <c r="B345" s="10">
        <f>43.8735 * CHOOSE(CONTROL!$C$9, $D$9, 100%, $F$9) + CHOOSE(CONTROL!$C$27, 0.0021, 0)</f>
        <v>43.875599999999999</v>
      </c>
      <c r="C345" s="10">
        <f>43.4413 * CHOOSE(CONTROL!$C$9, $D$9, 100%, $F$9) + CHOOSE(CONTROL!$C$27, 0.0021, 0)</f>
        <v>43.443399999999997</v>
      </c>
      <c r="D345" s="10">
        <f>43.4413 * CHOOSE(CONTROL!$C$9, $D$9, 100%, $F$9) + CHOOSE(CONTROL!$C$27, 0.0021, 0)</f>
        <v>43.443399999999997</v>
      </c>
      <c r="E345" s="10">
        <f>43.3046 * CHOOSE(CONTROL!$C$9, $D$9, 100%, $F$9) + CHOOSE(CONTROL!$C$27, 0.0021, 0)</f>
        <v>43.306699999999999</v>
      </c>
      <c r="F345" s="10">
        <f>43.3046 * CHOOSE(CONTROL!$C$9, $D$9, 100%, $F$9) + CHOOSE(CONTROL!$C$27, 0.0021, 0)</f>
        <v>43.306699999999999</v>
      </c>
      <c r="G345" s="10">
        <f>43.576 * CHOOSE(CONTROL!$C$9, $D$9, 100%, $F$9) + CHOOSE(CONTROL!$C$27, 0.0021, 0)</f>
        <v>43.578099999999999</v>
      </c>
      <c r="H345" s="10">
        <f>43.4413 * CHOOSE(CONTROL!$C$9, $D$9, 100%, $F$9) + CHOOSE(CONTROL!$C$27, 0.0021, 0)</f>
        <v>43.443399999999997</v>
      </c>
      <c r="I345" s="10">
        <f>43.4413 * CHOOSE(CONTROL!$C$9, $D$9, 100%, $F$9) + CHOOSE(CONTROL!$C$27, 0.0021, 0)</f>
        <v>43.443399999999997</v>
      </c>
      <c r="J345" s="10">
        <f>43.4413 * CHOOSE(CONTROL!$C$9, $D$9, 100%, $F$9) + CHOOSE(CONTROL!$C$27, 0.0021, 0)</f>
        <v>43.443399999999997</v>
      </c>
      <c r="K345" s="10">
        <f>43.4413 * CHOOSE(CONTROL!$C$9, $D$9, 100%, $F$9) + CHOOSE(CONTROL!$C$27, 0.0021, 0)</f>
        <v>43.443399999999997</v>
      </c>
      <c r="L345" s="10"/>
    </row>
    <row r="346" spans="1:12" ht="15.75" x14ac:dyDescent="0.25">
      <c r="A346" s="14">
        <v>51835</v>
      </c>
      <c r="B346" s="10">
        <f>43.9696 * CHOOSE(CONTROL!$C$9, $D$9, 100%, $F$9) + CHOOSE(CONTROL!$C$27, 0.0021, 0)</f>
        <v>43.971699999999998</v>
      </c>
      <c r="C346" s="10">
        <f>43.5373 * CHOOSE(CONTROL!$C$9, $D$9, 100%, $F$9) + CHOOSE(CONTROL!$C$27, 0.0021, 0)</f>
        <v>43.539400000000001</v>
      </c>
      <c r="D346" s="10">
        <f>43.5373 * CHOOSE(CONTROL!$C$9, $D$9, 100%, $F$9) + CHOOSE(CONTROL!$C$27, 0.0021, 0)</f>
        <v>43.539400000000001</v>
      </c>
      <c r="E346" s="10">
        <f>43.4007 * CHOOSE(CONTROL!$C$9, $D$9, 100%, $F$9) + CHOOSE(CONTROL!$C$27, 0.0021, 0)</f>
        <v>43.402799999999999</v>
      </c>
      <c r="F346" s="10">
        <f>43.4007 * CHOOSE(CONTROL!$C$9, $D$9, 100%, $F$9) + CHOOSE(CONTROL!$C$27, 0.0021, 0)</f>
        <v>43.402799999999999</v>
      </c>
      <c r="G346" s="10">
        <f>43.672 * CHOOSE(CONTROL!$C$9, $D$9, 100%, $F$9) + CHOOSE(CONTROL!$C$27, 0.0021, 0)</f>
        <v>43.674099999999996</v>
      </c>
      <c r="H346" s="10">
        <f>43.5373 * CHOOSE(CONTROL!$C$9, $D$9, 100%, $F$9) + CHOOSE(CONTROL!$C$27, 0.0021, 0)</f>
        <v>43.539400000000001</v>
      </c>
      <c r="I346" s="10">
        <f>43.5373 * CHOOSE(CONTROL!$C$9, $D$9, 100%, $F$9) + CHOOSE(CONTROL!$C$27, 0.0021, 0)</f>
        <v>43.539400000000001</v>
      </c>
      <c r="J346" s="10">
        <f>43.5373 * CHOOSE(CONTROL!$C$9, $D$9, 100%, $F$9) + CHOOSE(CONTROL!$C$27, 0.0021, 0)</f>
        <v>43.539400000000001</v>
      </c>
      <c r="K346" s="10">
        <f>43.5373 * CHOOSE(CONTROL!$C$9, $D$9, 100%, $F$9) + CHOOSE(CONTROL!$C$27, 0.0021, 0)</f>
        <v>43.539400000000001</v>
      </c>
      <c r="L346" s="10"/>
    </row>
    <row r="347" spans="1:12" ht="15.75" x14ac:dyDescent="0.25">
      <c r="A347" s="14">
        <v>51866</v>
      </c>
      <c r="B347" s="10">
        <f>43.1524 * CHOOSE(CONTROL!$C$9, $D$9, 100%, $F$9) + CHOOSE(CONTROL!$C$27, 0.0021, 0)</f>
        <v>43.154499999999999</v>
      </c>
      <c r="C347" s="10">
        <f>42.7201 * CHOOSE(CONTROL!$C$9, $D$9, 100%, $F$9) + CHOOSE(CONTROL!$C$27, 0.0021, 0)</f>
        <v>42.722200000000001</v>
      </c>
      <c r="D347" s="10">
        <f>42.7201 * CHOOSE(CONTROL!$C$9, $D$9, 100%, $F$9) + CHOOSE(CONTROL!$C$27, 0.0021, 0)</f>
        <v>42.722200000000001</v>
      </c>
      <c r="E347" s="10">
        <f>42.5835 * CHOOSE(CONTROL!$C$9, $D$9, 100%, $F$9) + CHOOSE(CONTROL!$C$27, 0.0021, 0)</f>
        <v>42.585599999999999</v>
      </c>
      <c r="F347" s="10">
        <f>42.5835 * CHOOSE(CONTROL!$C$9, $D$9, 100%, $F$9) + CHOOSE(CONTROL!$C$27, 0.0021, 0)</f>
        <v>42.585599999999999</v>
      </c>
      <c r="G347" s="10">
        <f>42.8549 * CHOOSE(CONTROL!$C$9, $D$9, 100%, $F$9) + CHOOSE(CONTROL!$C$27, 0.0021, 0)</f>
        <v>42.856999999999999</v>
      </c>
      <c r="H347" s="10">
        <f>42.7201 * CHOOSE(CONTROL!$C$9, $D$9, 100%, $F$9) + CHOOSE(CONTROL!$C$27, 0.0021, 0)</f>
        <v>42.722200000000001</v>
      </c>
      <c r="I347" s="10">
        <f>42.7201 * CHOOSE(CONTROL!$C$9, $D$9, 100%, $F$9) + CHOOSE(CONTROL!$C$27, 0.0021, 0)</f>
        <v>42.722200000000001</v>
      </c>
      <c r="J347" s="10">
        <f>42.7201 * CHOOSE(CONTROL!$C$9, $D$9, 100%, $F$9) + CHOOSE(CONTROL!$C$27, 0.0021, 0)</f>
        <v>42.722200000000001</v>
      </c>
      <c r="K347" s="10">
        <f>42.7201 * CHOOSE(CONTROL!$C$9, $D$9, 100%, $F$9) + CHOOSE(CONTROL!$C$27, 0.0021, 0)</f>
        <v>42.722200000000001</v>
      </c>
      <c r="L347" s="10"/>
    </row>
    <row r="348" spans="1:12" ht="15.75" x14ac:dyDescent="0.25">
      <c r="A348" s="14">
        <v>51897</v>
      </c>
      <c r="B348" s="10">
        <f>42.5267 * CHOOSE(CONTROL!$C$9, $D$9, 100%, $F$9) + CHOOSE(CONTROL!$C$27, 0.0021, 0)</f>
        <v>42.528799999999997</v>
      </c>
      <c r="C348" s="10">
        <f>42.0945 * CHOOSE(CONTROL!$C$9, $D$9, 100%, $F$9) + CHOOSE(CONTROL!$C$27, 0.0021, 0)</f>
        <v>42.096599999999995</v>
      </c>
      <c r="D348" s="10">
        <f>42.0945 * CHOOSE(CONTROL!$C$9, $D$9, 100%, $F$9) + CHOOSE(CONTROL!$C$27, 0.0021, 0)</f>
        <v>42.096599999999995</v>
      </c>
      <c r="E348" s="10">
        <f>41.9578 * CHOOSE(CONTROL!$C$9, $D$9, 100%, $F$9) + CHOOSE(CONTROL!$C$27, 0.0021, 0)</f>
        <v>41.959899999999998</v>
      </c>
      <c r="F348" s="10">
        <f>41.9578 * CHOOSE(CONTROL!$C$9, $D$9, 100%, $F$9) + CHOOSE(CONTROL!$C$27, 0.0021, 0)</f>
        <v>41.959899999999998</v>
      </c>
      <c r="G348" s="10">
        <f>42.2292 * CHOOSE(CONTROL!$C$9, $D$9, 100%, $F$9) + CHOOSE(CONTROL!$C$27, 0.0021, 0)</f>
        <v>42.231299999999997</v>
      </c>
      <c r="H348" s="10">
        <f>42.0945 * CHOOSE(CONTROL!$C$9, $D$9, 100%, $F$9) + CHOOSE(CONTROL!$C$27, 0.0021, 0)</f>
        <v>42.096599999999995</v>
      </c>
      <c r="I348" s="10">
        <f>42.0945 * CHOOSE(CONTROL!$C$9, $D$9, 100%, $F$9) + CHOOSE(CONTROL!$C$27, 0.0021, 0)</f>
        <v>42.096599999999995</v>
      </c>
      <c r="J348" s="10">
        <f>42.0945 * CHOOSE(CONTROL!$C$9, $D$9, 100%, $F$9) + CHOOSE(CONTROL!$C$27, 0.0021, 0)</f>
        <v>42.096599999999995</v>
      </c>
      <c r="K348" s="10">
        <f>42.0945 * CHOOSE(CONTROL!$C$9, $D$9, 100%, $F$9) + CHOOSE(CONTROL!$C$27, 0.0021, 0)</f>
        <v>42.096599999999995</v>
      </c>
      <c r="L348" s="10"/>
    </row>
    <row r="349" spans="1:12" ht="15.75" x14ac:dyDescent="0.25">
      <c r="A349" s="14">
        <v>51925</v>
      </c>
      <c r="B349" s="10">
        <f>41.3887 * CHOOSE(CONTROL!$C$9, $D$9, 100%, $F$9) + CHOOSE(CONTROL!$C$27, 0.0021, 0)</f>
        <v>41.390799999999999</v>
      </c>
      <c r="C349" s="10">
        <f>40.9564 * CHOOSE(CONTROL!$C$9, $D$9, 100%, $F$9) + CHOOSE(CONTROL!$C$27, 0.0021, 0)</f>
        <v>40.958500000000001</v>
      </c>
      <c r="D349" s="10">
        <f>40.9564 * CHOOSE(CONTROL!$C$9, $D$9, 100%, $F$9) + CHOOSE(CONTROL!$C$27, 0.0021, 0)</f>
        <v>40.958500000000001</v>
      </c>
      <c r="E349" s="10">
        <f>40.8198 * CHOOSE(CONTROL!$C$9, $D$9, 100%, $F$9) + CHOOSE(CONTROL!$C$27, 0.0021, 0)</f>
        <v>40.821899999999999</v>
      </c>
      <c r="F349" s="10">
        <f>40.8198 * CHOOSE(CONTROL!$C$9, $D$9, 100%, $F$9) + CHOOSE(CONTROL!$C$27, 0.0021, 0)</f>
        <v>40.821899999999999</v>
      </c>
      <c r="G349" s="10">
        <f>41.0911 * CHOOSE(CONTROL!$C$9, $D$9, 100%, $F$9) + CHOOSE(CONTROL!$C$27, 0.0021, 0)</f>
        <v>41.093199999999996</v>
      </c>
      <c r="H349" s="10">
        <f>40.9564 * CHOOSE(CONTROL!$C$9, $D$9, 100%, $F$9) + CHOOSE(CONTROL!$C$27, 0.0021, 0)</f>
        <v>40.958500000000001</v>
      </c>
      <c r="I349" s="10">
        <f>40.9564 * CHOOSE(CONTROL!$C$9, $D$9, 100%, $F$9) + CHOOSE(CONTROL!$C$27, 0.0021, 0)</f>
        <v>40.958500000000001</v>
      </c>
      <c r="J349" s="10">
        <f>40.9564 * CHOOSE(CONTROL!$C$9, $D$9, 100%, $F$9) + CHOOSE(CONTROL!$C$27, 0.0021, 0)</f>
        <v>40.958500000000001</v>
      </c>
      <c r="K349" s="10">
        <f>40.9564 * CHOOSE(CONTROL!$C$9, $D$9, 100%, $F$9) + CHOOSE(CONTROL!$C$27, 0.0021, 0)</f>
        <v>40.958500000000001</v>
      </c>
      <c r="L349" s="10"/>
    </row>
    <row r="350" spans="1:12" ht="15.75" x14ac:dyDescent="0.25">
      <c r="A350" s="14">
        <v>51956</v>
      </c>
      <c r="B350" s="10">
        <f>40.9189 * CHOOSE(CONTROL!$C$9, $D$9, 100%, $F$9) + CHOOSE(CONTROL!$C$27, 0.0021, 0)</f>
        <v>40.920999999999999</v>
      </c>
      <c r="C350" s="10">
        <f>40.4866 * CHOOSE(CONTROL!$C$9, $D$9, 100%, $F$9) + CHOOSE(CONTROL!$C$27, 0.0021, 0)</f>
        <v>40.488700000000001</v>
      </c>
      <c r="D350" s="10">
        <f>40.4866 * CHOOSE(CONTROL!$C$9, $D$9, 100%, $F$9) + CHOOSE(CONTROL!$C$27, 0.0021, 0)</f>
        <v>40.488700000000001</v>
      </c>
      <c r="E350" s="10">
        <f>40.35 * CHOOSE(CONTROL!$C$9, $D$9, 100%, $F$9) + CHOOSE(CONTROL!$C$27, 0.0021, 0)</f>
        <v>40.3521</v>
      </c>
      <c r="F350" s="10">
        <f>40.35 * CHOOSE(CONTROL!$C$9, $D$9, 100%, $F$9) + CHOOSE(CONTROL!$C$27, 0.0021, 0)</f>
        <v>40.3521</v>
      </c>
      <c r="G350" s="10">
        <f>40.6214 * CHOOSE(CONTROL!$C$9, $D$9, 100%, $F$9) + CHOOSE(CONTROL!$C$27, 0.0021, 0)</f>
        <v>40.6235</v>
      </c>
      <c r="H350" s="10">
        <f>40.4866 * CHOOSE(CONTROL!$C$9, $D$9, 100%, $F$9) + CHOOSE(CONTROL!$C$27, 0.0021, 0)</f>
        <v>40.488700000000001</v>
      </c>
      <c r="I350" s="10">
        <f>40.4866 * CHOOSE(CONTROL!$C$9, $D$9, 100%, $F$9) + CHOOSE(CONTROL!$C$27, 0.0021, 0)</f>
        <v>40.488700000000001</v>
      </c>
      <c r="J350" s="10">
        <f>40.4866 * CHOOSE(CONTROL!$C$9, $D$9, 100%, $F$9) + CHOOSE(CONTROL!$C$27, 0.0021, 0)</f>
        <v>40.488700000000001</v>
      </c>
      <c r="K350" s="10">
        <f>40.4866 * CHOOSE(CONTROL!$C$9, $D$9, 100%, $F$9) + CHOOSE(CONTROL!$C$27, 0.0021, 0)</f>
        <v>40.488700000000001</v>
      </c>
      <c r="L350" s="10"/>
    </row>
    <row r="351" spans="1:12" ht="15.75" x14ac:dyDescent="0.25">
      <c r="A351" s="14">
        <v>51986</v>
      </c>
      <c r="B351" s="10">
        <f>40.358 * CHOOSE(CONTROL!$C$9, $D$9, 100%, $F$9) + CHOOSE(CONTROL!$C$27, 0.0021, 0)</f>
        <v>40.360099999999996</v>
      </c>
      <c r="C351" s="10">
        <f>39.9257 * CHOOSE(CONTROL!$C$9, $D$9, 100%, $F$9) + CHOOSE(CONTROL!$C$27, 0.0021, 0)</f>
        <v>39.927799999999998</v>
      </c>
      <c r="D351" s="10">
        <f>39.9257 * CHOOSE(CONTROL!$C$9, $D$9, 100%, $F$9) + CHOOSE(CONTROL!$C$27, 0.0021, 0)</f>
        <v>39.927799999999998</v>
      </c>
      <c r="E351" s="10">
        <f>39.789 * CHOOSE(CONTROL!$C$9, $D$9, 100%, $F$9) + CHOOSE(CONTROL!$C$27, 0.0021, 0)</f>
        <v>39.7911</v>
      </c>
      <c r="F351" s="10">
        <f>39.789 * CHOOSE(CONTROL!$C$9, $D$9, 100%, $F$9) + CHOOSE(CONTROL!$C$27, 0.0021, 0)</f>
        <v>39.7911</v>
      </c>
      <c r="G351" s="10">
        <f>40.0604 * CHOOSE(CONTROL!$C$9, $D$9, 100%, $F$9) + CHOOSE(CONTROL!$C$27, 0.0021, 0)</f>
        <v>40.0625</v>
      </c>
      <c r="H351" s="10">
        <f>39.9257 * CHOOSE(CONTROL!$C$9, $D$9, 100%, $F$9) + CHOOSE(CONTROL!$C$27, 0.0021, 0)</f>
        <v>39.927799999999998</v>
      </c>
      <c r="I351" s="10">
        <f>39.9257 * CHOOSE(CONTROL!$C$9, $D$9, 100%, $F$9) + CHOOSE(CONTROL!$C$27, 0.0021, 0)</f>
        <v>39.927799999999998</v>
      </c>
      <c r="J351" s="10">
        <f>39.9257 * CHOOSE(CONTROL!$C$9, $D$9, 100%, $F$9) + CHOOSE(CONTROL!$C$27, 0.0021, 0)</f>
        <v>39.927799999999998</v>
      </c>
      <c r="K351" s="10">
        <f>39.9257 * CHOOSE(CONTROL!$C$9, $D$9, 100%, $F$9) + CHOOSE(CONTROL!$C$27, 0.0021, 0)</f>
        <v>39.927799999999998</v>
      </c>
      <c r="L351" s="10"/>
    </row>
    <row r="352" spans="1:12" ht="15.75" x14ac:dyDescent="0.25">
      <c r="A352" s="14">
        <v>52017</v>
      </c>
      <c r="B352" s="10">
        <f>41.1574 * CHOOSE(CONTROL!$C$9, $D$9, 100%, $F$9) + CHOOSE(CONTROL!$C$27, 0.0021, 0)</f>
        <v>41.159500000000001</v>
      </c>
      <c r="C352" s="10">
        <f>40.7251 * CHOOSE(CONTROL!$C$9, $D$9, 100%, $F$9) + CHOOSE(CONTROL!$C$27, 0.0021, 0)</f>
        <v>40.727199999999996</v>
      </c>
      <c r="D352" s="10">
        <f>40.7251 * CHOOSE(CONTROL!$C$9, $D$9, 100%, $F$9) + CHOOSE(CONTROL!$C$27, 0.0021, 0)</f>
        <v>40.727199999999996</v>
      </c>
      <c r="E352" s="10">
        <f>40.5884 * CHOOSE(CONTROL!$C$9, $D$9, 100%, $F$9) + CHOOSE(CONTROL!$C$27, 0.0021, 0)</f>
        <v>40.590499999999999</v>
      </c>
      <c r="F352" s="10">
        <f>40.5884 * CHOOSE(CONTROL!$C$9, $D$9, 100%, $F$9) + CHOOSE(CONTROL!$C$27, 0.0021, 0)</f>
        <v>40.590499999999999</v>
      </c>
      <c r="G352" s="10">
        <f>40.8598 * CHOOSE(CONTROL!$C$9, $D$9, 100%, $F$9) + CHOOSE(CONTROL!$C$27, 0.0021, 0)</f>
        <v>40.861899999999999</v>
      </c>
      <c r="H352" s="10">
        <f>40.7251 * CHOOSE(CONTROL!$C$9, $D$9, 100%, $F$9) + CHOOSE(CONTROL!$C$27, 0.0021, 0)</f>
        <v>40.727199999999996</v>
      </c>
      <c r="I352" s="10">
        <f>40.7251 * CHOOSE(CONTROL!$C$9, $D$9, 100%, $F$9) + CHOOSE(CONTROL!$C$27, 0.0021, 0)</f>
        <v>40.727199999999996</v>
      </c>
      <c r="J352" s="10">
        <f>40.7251 * CHOOSE(CONTROL!$C$9, $D$9, 100%, $F$9) + CHOOSE(CONTROL!$C$27, 0.0021, 0)</f>
        <v>40.727199999999996</v>
      </c>
      <c r="K352" s="10">
        <f>40.7251 * CHOOSE(CONTROL!$C$9, $D$9, 100%, $F$9) + CHOOSE(CONTROL!$C$27, 0.0021, 0)</f>
        <v>40.727199999999996</v>
      </c>
      <c r="L352" s="10"/>
    </row>
    <row r="353" spans="1:12" ht="15.75" x14ac:dyDescent="0.25">
      <c r="A353" s="14">
        <v>52047</v>
      </c>
      <c r="B353" s="10">
        <f>41.6362 * CHOOSE(CONTROL!$C$9, $D$9, 100%, $F$9) + CHOOSE(CONTROL!$C$27, 0.0021, 0)</f>
        <v>41.638300000000001</v>
      </c>
      <c r="C353" s="10">
        <f>41.2039 * CHOOSE(CONTROL!$C$9, $D$9, 100%, $F$9) + CHOOSE(CONTROL!$C$27, 0.0021, 0)</f>
        <v>41.205999999999996</v>
      </c>
      <c r="D353" s="10">
        <f>41.2039 * CHOOSE(CONTROL!$C$9, $D$9, 100%, $F$9) + CHOOSE(CONTROL!$C$27, 0.0021, 0)</f>
        <v>41.205999999999996</v>
      </c>
      <c r="E353" s="10">
        <f>41.0673 * CHOOSE(CONTROL!$C$9, $D$9, 100%, $F$9) + CHOOSE(CONTROL!$C$27, 0.0021, 0)</f>
        <v>41.069400000000002</v>
      </c>
      <c r="F353" s="10">
        <f>41.0673 * CHOOSE(CONTROL!$C$9, $D$9, 100%, $F$9) + CHOOSE(CONTROL!$C$27, 0.0021, 0)</f>
        <v>41.069400000000002</v>
      </c>
      <c r="G353" s="10">
        <f>41.3386 * CHOOSE(CONTROL!$C$9, $D$9, 100%, $F$9) + CHOOSE(CONTROL!$C$27, 0.0021, 0)</f>
        <v>41.340699999999998</v>
      </c>
      <c r="H353" s="10">
        <f>41.2039 * CHOOSE(CONTROL!$C$9, $D$9, 100%, $F$9) + CHOOSE(CONTROL!$C$27, 0.0021, 0)</f>
        <v>41.205999999999996</v>
      </c>
      <c r="I353" s="10">
        <f>41.2039 * CHOOSE(CONTROL!$C$9, $D$9, 100%, $F$9) + CHOOSE(CONTROL!$C$27, 0.0021, 0)</f>
        <v>41.205999999999996</v>
      </c>
      <c r="J353" s="10">
        <f>41.2039 * CHOOSE(CONTROL!$C$9, $D$9, 100%, $F$9) + CHOOSE(CONTROL!$C$27, 0.0021, 0)</f>
        <v>41.205999999999996</v>
      </c>
      <c r="K353" s="10">
        <f>41.2039 * CHOOSE(CONTROL!$C$9, $D$9, 100%, $F$9) + CHOOSE(CONTROL!$C$27, 0.0021, 0)</f>
        <v>41.205999999999996</v>
      </c>
      <c r="L353" s="10"/>
    </row>
    <row r="354" spans="1:12" ht="15.75" x14ac:dyDescent="0.25">
      <c r="A354" s="14">
        <v>52078</v>
      </c>
      <c r="B354" s="10">
        <f>42.426 * CHOOSE(CONTROL!$C$9, $D$9, 100%, $F$9) + CHOOSE(CONTROL!$C$27, 0.0021, 0)</f>
        <v>42.428100000000001</v>
      </c>
      <c r="C354" s="10">
        <f>41.9938 * CHOOSE(CONTROL!$C$9, $D$9, 100%, $F$9) + CHOOSE(CONTROL!$C$27, 0.0021, 0)</f>
        <v>41.995899999999999</v>
      </c>
      <c r="D354" s="10">
        <f>41.9938 * CHOOSE(CONTROL!$C$9, $D$9, 100%, $F$9) + CHOOSE(CONTROL!$C$27, 0.0021, 0)</f>
        <v>41.995899999999999</v>
      </c>
      <c r="E354" s="10">
        <f>41.8571 * CHOOSE(CONTROL!$C$9, $D$9, 100%, $F$9) + CHOOSE(CONTROL!$C$27, 0.0021, 0)</f>
        <v>41.859200000000001</v>
      </c>
      <c r="F354" s="10">
        <f>41.8571 * CHOOSE(CONTROL!$C$9, $D$9, 100%, $F$9) + CHOOSE(CONTROL!$C$27, 0.0021, 0)</f>
        <v>41.859200000000001</v>
      </c>
      <c r="G354" s="10">
        <f>42.1285 * CHOOSE(CONTROL!$C$9, $D$9, 100%, $F$9) + CHOOSE(CONTROL!$C$27, 0.0021, 0)</f>
        <v>42.130600000000001</v>
      </c>
      <c r="H354" s="10">
        <f>41.9938 * CHOOSE(CONTROL!$C$9, $D$9, 100%, $F$9) + CHOOSE(CONTROL!$C$27, 0.0021, 0)</f>
        <v>41.995899999999999</v>
      </c>
      <c r="I354" s="10">
        <f>41.9938 * CHOOSE(CONTROL!$C$9, $D$9, 100%, $F$9) + CHOOSE(CONTROL!$C$27, 0.0021, 0)</f>
        <v>41.995899999999999</v>
      </c>
      <c r="J354" s="10">
        <f>41.9938 * CHOOSE(CONTROL!$C$9, $D$9, 100%, $F$9) + CHOOSE(CONTROL!$C$27, 0.0021, 0)</f>
        <v>41.995899999999999</v>
      </c>
      <c r="K354" s="10">
        <f>41.9938 * CHOOSE(CONTROL!$C$9, $D$9, 100%, $F$9) + CHOOSE(CONTROL!$C$27, 0.0021, 0)</f>
        <v>41.995899999999999</v>
      </c>
      <c r="L354" s="10"/>
    </row>
    <row r="355" spans="1:12" ht="15.75" x14ac:dyDescent="0.25">
      <c r="A355" s="14">
        <v>52109</v>
      </c>
      <c r="B355" s="10">
        <f>42.6671 * CHOOSE(CONTROL!$C$9, $D$9, 100%, $F$9) + CHOOSE(CONTROL!$C$27, 0.0021, 0)</f>
        <v>42.669199999999996</v>
      </c>
      <c r="C355" s="10">
        <f>42.2348 * CHOOSE(CONTROL!$C$9, $D$9, 100%, $F$9) + CHOOSE(CONTROL!$C$27, 0.0021, 0)</f>
        <v>42.236899999999999</v>
      </c>
      <c r="D355" s="10">
        <f>42.2348 * CHOOSE(CONTROL!$C$9, $D$9, 100%, $F$9) + CHOOSE(CONTROL!$C$27, 0.0021, 0)</f>
        <v>42.236899999999999</v>
      </c>
      <c r="E355" s="10">
        <f>42.0982 * CHOOSE(CONTROL!$C$9, $D$9, 100%, $F$9) + CHOOSE(CONTROL!$C$27, 0.0021, 0)</f>
        <v>42.100299999999997</v>
      </c>
      <c r="F355" s="10">
        <f>42.0982 * CHOOSE(CONTROL!$C$9, $D$9, 100%, $F$9) + CHOOSE(CONTROL!$C$27, 0.0021, 0)</f>
        <v>42.100299999999997</v>
      </c>
      <c r="G355" s="10">
        <f>42.3696 * CHOOSE(CONTROL!$C$9, $D$9, 100%, $F$9) + CHOOSE(CONTROL!$C$27, 0.0021, 0)</f>
        <v>42.371699999999997</v>
      </c>
      <c r="H355" s="10">
        <f>42.2348 * CHOOSE(CONTROL!$C$9, $D$9, 100%, $F$9) + CHOOSE(CONTROL!$C$27, 0.0021, 0)</f>
        <v>42.236899999999999</v>
      </c>
      <c r="I355" s="10">
        <f>42.2348 * CHOOSE(CONTROL!$C$9, $D$9, 100%, $F$9) + CHOOSE(CONTROL!$C$27, 0.0021, 0)</f>
        <v>42.236899999999999</v>
      </c>
      <c r="J355" s="10">
        <f>42.2348 * CHOOSE(CONTROL!$C$9, $D$9, 100%, $F$9) + CHOOSE(CONTROL!$C$27, 0.0021, 0)</f>
        <v>42.236899999999999</v>
      </c>
      <c r="K355" s="10">
        <f>42.2348 * CHOOSE(CONTROL!$C$9, $D$9, 100%, $F$9) + CHOOSE(CONTROL!$C$27, 0.0021, 0)</f>
        <v>42.236899999999999</v>
      </c>
      <c r="L355" s="10"/>
    </row>
    <row r="356" spans="1:12" ht="15.75" x14ac:dyDescent="0.25">
      <c r="A356" s="14">
        <v>52139</v>
      </c>
      <c r="B356" s="10">
        <f>43.4881 * CHOOSE(CONTROL!$C$9, $D$9, 100%, $F$9) + CHOOSE(CONTROL!$C$27, 0.0021, 0)</f>
        <v>43.490200000000002</v>
      </c>
      <c r="C356" s="10">
        <f>43.0559 * CHOOSE(CONTROL!$C$9, $D$9, 100%, $F$9) + CHOOSE(CONTROL!$C$27, 0.0021, 0)</f>
        <v>43.058</v>
      </c>
      <c r="D356" s="10">
        <f>43.0559 * CHOOSE(CONTROL!$C$9, $D$9, 100%, $F$9) + CHOOSE(CONTROL!$C$27, 0.0021, 0)</f>
        <v>43.058</v>
      </c>
      <c r="E356" s="10">
        <f>42.9192 * CHOOSE(CONTROL!$C$9, $D$9, 100%, $F$9) + CHOOSE(CONTROL!$C$27, 0.0021, 0)</f>
        <v>42.921299999999995</v>
      </c>
      <c r="F356" s="10">
        <f>42.9192 * CHOOSE(CONTROL!$C$9, $D$9, 100%, $F$9) + CHOOSE(CONTROL!$C$27, 0.0021, 0)</f>
        <v>42.921299999999995</v>
      </c>
      <c r="G356" s="10">
        <f>43.1906 * CHOOSE(CONTROL!$C$9, $D$9, 100%, $F$9) + CHOOSE(CONTROL!$C$27, 0.0021, 0)</f>
        <v>43.192700000000002</v>
      </c>
      <c r="H356" s="10">
        <f>43.0559 * CHOOSE(CONTROL!$C$9, $D$9, 100%, $F$9) + CHOOSE(CONTROL!$C$27, 0.0021, 0)</f>
        <v>43.058</v>
      </c>
      <c r="I356" s="10">
        <f>43.0559 * CHOOSE(CONTROL!$C$9, $D$9, 100%, $F$9) + CHOOSE(CONTROL!$C$27, 0.0021, 0)</f>
        <v>43.058</v>
      </c>
      <c r="J356" s="10">
        <f>43.0559 * CHOOSE(CONTROL!$C$9, $D$9, 100%, $F$9) + CHOOSE(CONTROL!$C$27, 0.0021, 0)</f>
        <v>43.058</v>
      </c>
      <c r="K356" s="10">
        <f>43.0559 * CHOOSE(CONTROL!$C$9, $D$9, 100%, $F$9) + CHOOSE(CONTROL!$C$27, 0.0021, 0)</f>
        <v>43.058</v>
      </c>
      <c r="L356" s="10"/>
    </row>
    <row r="357" spans="1:12" ht="15.75" x14ac:dyDescent="0.25">
      <c r="A357" s="14">
        <v>52170</v>
      </c>
      <c r="B357" s="10">
        <f>44.5274 * CHOOSE(CONTROL!$C$9, $D$9, 100%, $F$9) + CHOOSE(CONTROL!$C$27, 0.0021, 0)</f>
        <v>44.529499999999999</v>
      </c>
      <c r="C357" s="10">
        <f>44.0951 * CHOOSE(CONTROL!$C$9, $D$9, 100%, $F$9) + CHOOSE(CONTROL!$C$27, 0.0021, 0)</f>
        <v>44.097200000000001</v>
      </c>
      <c r="D357" s="10">
        <f>44.0951 * CHOOSE(CONTROL!$C$9, $D$9, 100%, $F$9) + CHOOSE(CONTROL!$C$27, 0.0021, 0)</f>
        <v>44.097200000000001</v>
      </c>
      <c r="E357" s="10">
        <f>43.9585 * CHOOSE(CONTROL!$C$9, $D$9, 100%, $F$9) + CHOOSE(CONTROL!$C$27, 0.0021, 0)</f>
        <v>43.960599999999999</v>
      </c>
      <c r="F357" s="10">
        <f>43.9585 * CHOOSE(CONTROL!$C$9, $D$9, 100%, $F$9) + CHOOSE(CONTROL!$C$27, 0.0021, 0)</f>
        <v>43.960599999999999</v>
      </c>
      <c r="G357" s="10">
        <f>44.2299 * CHOOSE(CONTROL!$C$9, $D$9, 100%, $F$9) + CHOOSE(CONTROL!$C$27, 0.0021, 0)</f>
        <v>44.231999999999999</v>
      </c>
      <c r="H357" s="10">
        <f>44.0951 * CHOOSE(CONTROL!$C$9, $D$9, 100%, $F$9) + CHOOSE(CONTROL!$C$27, 0.0021, 0)</f>
        <v>44.097200000000001</v>
      </c>
      <c r="I357" s="10">
        <f>44.0951 * CHOOSE(CONTROL!$C$9, $D$9, 100%, $F$9) + CHOOSE(CONTROL!$C$27, 0.0021, 0)</f>
        <v>44.097200000000001</v>
      </c>
      <c r="J357" s="10">
        <f>44.0951 * CHOOSE(CONTROL!$C$9, $D$9, 100%, $F$9) + CHOOSE(CONTROL!$C$27, 0.0021, 0)</f>
        <v>44.097200000000001</v>
      </c>
      <c r="K357" s="10">
        <f>44.0951 * CHOOSE(CONTROL!$C$9, $D$9, 100%, $F$9) + CHOOSE(CONTROL!$C$27, 0.0021, 0)</f>
        <v>44.097200000000001</v>
      </c>
      <c r="L357" s="10"/>
    </row>
    <row r="358" spans="1:12" ht="15.75" x14ac:dyDescent="0.25">
      <c r="A358" s="14">
        <v>52200</v>
      </c>
      <c r="B358" s="10">
        <f>44.6249 * CHOOSE(CONTROL!$C$9, $D$9, 100%, $F$9) + CHOOSE(CONTROL!$C$27, 0.0021, 0)</f>
        <v>44.626999999999995</v>
      </c>
      <c r="C358" s="10">
        <f>44.1927 * CHOOSE(CONTROL!$C$9, $D$9, 100%, $F$9) + CHOOSE(CONTROL!$C$27, 0.0021, 0)</f>
        <v>44.194800000000001</v>
      </c>
      <c r="D358" s="10">
        <f>44.1927 * CHOOSE(CONTROL!$C$9, $D$9, 100%, $F$9) + CHOOSE(CONTROL!$C$27, 0.0021, 0)</f>
        <v>44.194800000000001</v>
      </c>
      <c r="E358" s="10">
        <f>44.056 * CHOOSE(CONTROL!$C$9, $D$9, 100%, $F$9) + CHOOSE(CONTROL!$C$27, 0.0021, 0)</f>
        <v>44.058099999999996</v>
      </c>
      <c r="F358" s="10">
        <f>44.056 * CHOOSE(CONTROL!$C$9, $D$9, 100%, $F$9) + CHOOSE(CONTROL!$C$27, 0.0021, 0)</f>
        <v>44.058099999999996</v>
      </c>
      <c r="G358" s="10">
        <f>44.3274 * CHOOSE(CONTROL!$C$9, $D$9, 100%, $F$9) + CHOOSE(CONTROL!$C$27, 0.0021, 0)</f>
        <v>44.329499999999996</v>
      </c>
      <c r="H358" s="10">
        <f>44.1927 * CHOOSE(CONTROL!$C$9, $D$9, 100%, $F$9) + CHOOSE(CONTROL!$C$27, 0.0021, 0)</f>
        <v>44.194800000000001</v>
      </c>
      <c r="I358" s="10">
        <f>44.1927 * CHOOSE(CONTROL!$C$9, $D$9, 100%, $F$9) + CHOOSE(CONTROL!$C$27, 0.0021, 0)</f>
        <v>44.194800000000001</v>
      </c>
      <c r="J358" s="10">
        <f>44.1927 * CHOOSE(CONTROL!$C$9, $D$9, 100%, $F$9) + CHOOSE(CONTROL!$C$27, 0.0021, 0)</f>
        <v>44.194800000000001</v>
      </c>
      <c r="K358" s="10">
        <f>44.1927 * CHOOSE(CONTROL!$C$9, $D$9, 100%, $F$9) + CHOOSE(CONTROL!$C$27, 0.0021, 0)</f>
        <v>44.194800000000001</v>
      </c>
      <c r="L358" s="10"/>
    </row>
    <row r="359" spans="1:12" ht="15.75" x14ac:dyDescent="0.25">
      <c r="A359" s="14">
        <v>52231</v>
      </c>
      <c r="B359" s="10">
        <f>43.7949 * CHOOSE(CONTROL!$C$9, $D$9, 100%, $F$9) + CHOOSE(CONTROL!$C$27, 0.0021, 0)</f>
        <v>43.796999999999997</v>
      </c>
      <c r="C359" s="10">
        <f>43.3627 * CHOOSE(CONTROL!$C$9, $D$9, 100%, $F$9) + CHOOSE(CONTROL!$C$27, 0.0021, 0)</f>
        <v>43.364799999999995</v>
      </c>
      <c r="D359" s="10">
        <f>43.3627 * CHOOSE(CONTROL!$C$9, $D$9, 100%, $F$9) + CHOOSE(CONTROL!$C$27, 0.0021, 0)</f>
        <v>43.364799999999995</v>
      </c>
      <c r="E359" s="10">
        <f>43.226 * CHOOSE(CONTROL!$C$9, $D$9, 100%, $F$9) + CHOOSE(CONTROL!$C$27, 0.0021, 0)</f>
        <v>43.228099999999998</v>
      </c>
      <c r="F359" s="10">
        <f>43.226 * CHOOSE(CONTROL!$C$9, $D$9, 100%, $F$9) + CHOOSE(CONTROL!$C$27, 0.0021, 0)</f>
        <v>43.228099999999998</v>
      </c>
      <c r="G359" s="10">
        <f>43.4974 * CHOOSE(CONTROL!$C$9, $D$9, 100%, $F$9) + CHOOSE(CONTROL!$C$27, 0.0021, 0)</f>
        <v>43.499499999999998</v>
      </c>
      <c r="H359" s="10">
        <f>43.3627 * CHOOSE(CONTROL!$C$9, $D$9, 100%, $F$9) + CHOOSE(CONTROL!$C$27, 0.0021, 0)</f>
        <v>43.364799999999995</v>
      </c>
      <c r="I359" s="10">
        <f>43.3627 * CHOOSE(CONTROL!$C$9, $D$9, 100%, $F$9) + CHOOSE(CONTROL!$C$27, 0.0021, 0)</f>
        <v>43.364799999999995</v>
      </c>
      <c r="J359" s="10">
        <f>43.3627 * CHOOSE(CONTROL!$C$9, $D$9, 100%, $F$9) + CHOOSE(CONTROL!$C$27, 0.0021, 0)</f>
        <v>43.364799999999995</v>
      </c>
      <c r="K359" s="10">
        <f>43.3627 * CHOOSE(CONTROL!$C$9, $D$9, 100%, $F$9) + CHOOSE(CONTROL!$C$27, 0.0021, 0)</f>
        <v>43.364799999999995</v>
      </c>
      <c r="L359" s="10"/>
    </row>
    <row r="360" spans="1:12" ht="15.75" x14ac:dyDescent="0.25">
      <c r="A360" s="14">
        <v>52262</v>
      </c>
      <c r="B360" s="10">
        <f>43.1594 * CHOOSE(CONTROL!$C$9, $D$9, 100%, $F$9) + CHOOSE(CONTROL!$C$27, 0.0021, 0)</f>
        <v>43.161499999999997</v>
      </c>
      <c r="C360" s="10">
        <f>42.7272 * CHOOSE(CONTROL!$C$9, $D$9, 100%, $F$9) + CHOOSE(CONTROL!$C$27, 0.0021, 0)</f>
        <v>42.729300000000002</v>
      </c>
      <c r="D360" s="10">
        <f>42.7272 * CHOOSE(CONTROL!$C$9, $D$9, 100%, $F$9) + CHOOSE(CONTROL!$C$27, 0.0021, 0)</f>
        <v>42.729300000000002</v>
      </c>
      <c r="E360" s="10">
        <f>42.5905 * CHOOSE(CONTROL!$C$9, $D$9, 100%, $F$9) + CHOOSE(CONTROL!$C$27, 0.0021, 0)</f>
        <v>42.592599999999997</v>
      </c>
      <c r="F360" s="10">
        <f>42.5905 * CHOOSE(CONTROL!$C$9, $D$9, 100%, $F$9) + CHOOSE(CONTROL!$C$27, 0.0021, 0)</f>
        <v>42.592599999999997</v>
      </c>
      <c r="G360" s="10">
        <f>42.8619 * CHOOSE(CONTROL!$C$9, $D$9, 100%, $F$9) + CHOOSE(CONTROL!$C$27, 0.0021, 0)</f>
        <v>42.863999999999997</v>
      </c>
      <c r="H360" s="10">
        <f>42.7272 * CHOOSE(CONTROL!$C$9, $D$9, 100%, $F$9) + CHOOSE(CONTROL!$C$27, 0.0021, 0)</f>
        <v>42.729300000000002</v>
      </c>
      <c r="I360" s="10">
        <f>42.7272 * CHOOSE(CONTROL!$C$9, $D$9, 100%, $F$9) + CHOOSE(CONTROL!$C$27, 0.0021, 0)</f>
        <v>42.729300000000002</v>
      </c>
      <c r="J360" s="10">
        <f>42.7272 * CHOOSE(CONTROL!$C$9, $D$9, 100%, $F$9) + CHOOSE(CONTROL!$C$27, 0.0021, 0)</f>
        <v>42.729300000000002</v>
      </c>
      <c r="K360" s="10">
        <f>42.7272 * CHOOSE(CONTROL!$C$9, $D$9, 100%, $F$9) + CHOOSE(CONTROL!$C$27, 0.0021, 0)</f>
        <v>42.729300000000002</v>
      </c>
      <c r="L360" s="10"/>
    </row>
    <row r="361" spans="1:12" ht="15.75" x14ac:dyDescent="0.25">
      <c r="A361" s="14">
        <v>52290</v>
      </c>
      <c r="B361" s="10">
        <f>42.0035 * CHOOSE(CONTROL!$C$9, $D$9, 100%, $F$9) + CHOOSE(CONTROL!$C$27, 0.0021, 0)</f>
        <v>42.005600000000001</v>
      </c>
      <c r="C361" s="10">
        <f>41.5712 * CHOOSE(CONTROL!$C$9, $D$9, 100%, $F$9) + CHOOSE(CONTROL!$C$27, 0.0021, 0)</f>
        <v>41.573299999999996</v>
      </c>
      <c r="D361" s="10">
        <f>41.5712 * CHOOSE(CONTROL!$C$9, $D$9, 100%, $F$9) + CHOOSE(CONTROL!$C$27, 0.0021, 0)</f>
        <v>41.573299999999996</v>
      </c>
      <c r="E361" s="10">
        <f>41.4346 * CHOOSE(CONTROL!$C$9, $D$9, 100%, $F$9) + CHOOSE(CONTROL!$C$27, 0.0021, 0)</f>
        <v>41.436700000000002</v>
      </c>
      <c r="F361" s="10">
        <f>41.4346 * CHOOSE(CONTROL!$C$9, $D$9, 100%, $F$9) + CHOOSE(CONTROL!$C$27, 0.0021, 0)</f>
        <v>41.436700000000002</v>
      </c>
      <c r="G361" s="10">
        <f>41.7059 * CHOOSE(CONTROL!$C$9, $D$9, 100%, $F$9) + CHOOSE(CONTROL!$C$27, 0.0021, 0)</f>
        <v>41.707999999999998</v>
      </c>
      <c r="H361" s="10">
        <f>41.5712 * CHOOSE(CONTROL!$C$9, $D$9, 100%, $F$9) + CHOOSE(CONTROL!$C$27, 0.0021, 0)</f>
        <v>41.573299999999996</v>
      </c>
      <c r="I361" s="10">
        <f>41.5712 * CHOOSE(CONTROL!$C$9, $D$9, 100%, $F$9) + CHOOSE(CONTROL!$C$27, 0.0021, 0)</f>
        <v>41.573299999999996</v>
      </c>
      <c r="J361" s="10">
        <f>41.5712 * CHOOSE(CONTROL!$C$9, $D$9, 100%, $F$9) + CHOOSE(CONTROL!$C$27, 0.0021, 0)</f>
        <v>41.573299999999996</v>
      </c>
      <c r="K361" s="10">
        <f>41.5712 * CHOOSE(CONTROL!$C$9, $D$9, 100%, $F$9) + CHOOSE(CONTROL!$C$27, 0.0021, 0)</f>
        <v>41.573299999999996</v>
      </c>
      <c r="L361" s="10"/>
    </row>
    <row r="362" spans="1:12" ht="15.75" x14ac:dyDescent="0.25">
      <c r="A362" s="14">
        <v>52321</v>
      </c>
      <c r="B362" s="10">
        <f>41.5263 * CHOOSE(CONTROL!$C$9, $D$9, 100%, $F$9) + CHOOSE(CONTROL!$C$27, 0.0021, 0)</f>
        <v>41.528399999999998</v>
      </c>
      <c r="C362" s="10">
        <f>41.094 * CHOOSE(CONTROL!$C$9, $D$9, 100%, $F$9) + CHOOSE(CONTROL!$C$27, 0.0021, 0)</f>
        <v>41.0961</v>
      </c>
      <c r="D362" s="10">
        <f>41.094 * CHOOSE(CONTROL!$C$9, $D$9, 100%, $F$9) + CHOOSE(CONTROL!$C$27, 0.0021, 0)</f>
        <v>41.0961</v>
      </c>
      <c r="E362" s="10">
        <f>40.9574 * CHOOSE(CONTROL!$C$9, $D$9, 100%, $F$9) + CHOOSE(CONTROL!$C$27, 0.0021, 0)</f>
        <v>40.959499999999998</v>
      </c>
      <c r="F362" s="10">
        <f>40.9574 * CHOOSE(CONTROL!$C$9, $D$9, 100%, $F$9) + CHOOSE(CONTROL!$C$27, 0.0021, 0)</f>
        <v>40.959499999999998</v>
      </c>
      <c r="G362" s="10">
        <f>41.2288 * CHOOSE(CONTROL!$C$9, $D$9, 100%, $F$9) + CHOOSE(CONTROL!$C$27, 0.0021, 0)</f>
        <v>41.230899999999998</v>
      </c>
      <c r="H362" s="10">
        <f>41.094 * CHOOSE(CONTROL!$C$9, $D$9, 100%, $F$9) + CHOOSE(CONTROL!$C$27, 0.0021, 0)</f>
        <v>41.0961</v>
      </c>
      <c r="I362" s="10">
        <f>41.094 * CHOOSE(CONTROL!$C$9, $D$9, 100%, $F$9) + CHOOSE(CONTROL!$C$27, 0.0021, 0)</f>
        <v>41.0961</v>
      </c>
      <c r="J362" s="10">
        <f>41.094 * CHOOSE(CONTROL!$C$9, $D$9, 100%, $F$9) + CHOOSE(CONTROL!$C$27, 0.0021, 0)</f>
        <v>41.0961</v>
      </c>
      <c r="K362" s="10">
        <f>41.094 * CHOOSE(CONTROL!$C$9, $D$9, 100%, $F$9) + CHOOSE(CONTROL!$C$27, 0.0021, 0)</f>
        <v>41.0961</v>
      </c>
      <c r="L362" s="10"/>
    </row>
    <row r="363" spans="1:12" ht="15.75" x14ac:dyDescent="0.25">
      <c r="A363" s="14">
        <v>52351</v>
      </c>
      <c r="B363" s="10">
        <f>40.9565 * CHOOSE(CONTROL!$C$9, $D$9, 100%, $F$9) + CHOOSE(CONTROL!$C$27, 0.0021, 0)</f>
        <v>40.958599999999997</v>
      </c>
      <c r="C363" s="10">
        <f>40.5243 * CHOOSE(CONTROL!$C$9, $D$9, 100%, $F$9) + CHOOSE(CONTROL!$C$27, 0.0021, 0)</f>
        <v>40.526399999999995</v>
      </c>
      <c r="D363" s="10">
        <f>40.5243 * CHOOSE(CONTROL!$C$9, $D$9, 100%, $F$9) + CHOOSE(CONTROL!$C$27, 0.0021, 0)</f>
        <v>40.526399999999995</v>
      </c>
      <c r="E363" s="10">
        <f>40.3876 * CHOOSE(CONTROL!$C$9, $D$9, 100%, $F$9) + CHOOSE(CONTROL!$C$27, 0.0021, 0)</f>
        <v>40.389699999999998</v>
      </c>
      <c r="F363" s="10">
        <f>40.3876 * CHOOSE(CONTROL!$C$9, $D$9, 100%, $F$9) + CHOOSE(CONTROL!$C$27, 0.0021, 0)</f>
        <v>40.389699999999998</v>
      </c>
      <c r="G363" s="10">
        <f>40.659 * CHOOSE(CONTROL!$C$9, $D$9, 100%, $F$9) + CHOOSE(CONTROL!$C$27, 0.0021, 0)</f>
        <v>40.661099999999998</v>
      </c>
      <c r="H363" s="10">
        <f>40.5243 * CHOOSE(CONTROL!$C$9, $D$9, 100%, $F$9) + CHOOSE(CONTROL!$C$27, 0.0021, 0)</f>
        <v>40.526399999999995</v>
      </c>
      <c r="I363" s="10">
        <f>40.5243 * CHOOSE(CONTROL!$C$9, $D$9, 100%, $F$9) + CHOOSE(CONTROL!$C$27, 0.0021, 0)</f>
        <v>40.526399999999995</v>
      </c>
      <c r="J363" s="10">
        <f>40.5243 * CHOOSE(CONTROL!$C$9, $D$9, 100%, $F$9) + CHOOSE(CONTROL!$C$27, 0.0021, 0)</f>
        <v>40.526399999999995</v>
      </c>
      <c r="K363" s="10">
        <f>40.5243 * CHOOSE(CONTROL!$C$9, $D$9, 100%, $F$9) + CHOOSE(CONTROL!$C$27, 0.0021, 0)</f>
        <v>40.526399999999995</v>
      </c>
      <c r="L363" s="10"/>
    </row>
    <row r="364" spans="1:12" ht="15.75" x14ac:dyDescent="0.25">
      <c r="A364" s="14">
        <v>52382</v>
      </c>
      <c r="B364" s="10">
        <f>41.7685 * CHOOSE(CONTROL!$C$9, $D$9, 100%, $F$9) + CHOOSE(CONTROL!$C$27, 0.0021, 0)</f>
        <v>41.770600000000002</v>
      </c>
      <c r="C364" s="10">
        <f>41.3363 * CHOOSE(CONTROL!$C$9, $D$9, 100%, $F$9) + CHOOSE(CONTROL!$C$27, 0.0021, 0)</f>
        <v>41.3384</v>
      </c>
      <c r="D364" s="10">
        <f>41.3363 * CHOOSE(CONTROL!$C$9, $D$9, 100%, $F$9) + CHOOSE(CONTROL!$C$27, 0.0021, 0)</f>
        <v>41.3384</v>
      </c>
      <c r="E364" s="10">
        <f>41.1996 * CHOOSE(CONTROL!$C$9, $D$9, 100%, $F$9) + CHOOSE(CONTROL!$C$27, 0.0021, 0)</f>
        <v>41.201699999999995</v>
      </c>
      <c r="F364" s="10">
        <f>41.1996 * CHOOSE(CONTROL!$C$9, $D$9, 100%, $F$9) + CHOOSE(CONTROL!$C$27, 0.0021, 0)</f>
        <v>41.201699999999995</v>
      </c>
      <c r="G364" s="10">
        <f>41.471 * CHOOSE(CONTROL!$C$9, $D$9, 100%, $F$9) + CHOOSE(CONTROL!$C$27, 0.0021, 0)</f>
        <v>41.473099999999995</v>
      </c>
      <c r="H364" s="10">
        <f>41.3363 * CHOOSE(CONTROL!$C$9, $D$9, 100%, $F$9) + CHOOSE(CONTROL!$C$27, 0.0021, 0)</f>
        <v>41.3384</v>
      </c>
      <c r="I364" s="10">
        <f>41.3363 * CHOOSE(CONTROL!$C$9, $D$9, 100%, $F$9) + CHOOSE(CONTROL!$C$27, 0.0021, 0)</f>
        <v>41.3384</v>
      </c>
      <c r="J364" s="10">
        <f>41.3363 * CHOOSE(CONTROL!$C$9, $D$9, 100%, $F$9) + CHOOSE(CONTROL!$C$27, 0.0021, 0)</f>
        <v>41.3384</v>
      </c>
      <c r="K364" s="10">
        <f>41.3363 * CHOOSE(CONTROL!$C$9, $D$9, 100%, $F$9) + CHOOSE(CONTROL!$C$27, 0.0021, 0)</f>
        <v>41.3384</v>
      </c>
      <c r="L364" s="10"/>
    </row>
    <row r="365" spans="1:12" ht="15.75" x14ac:dyDescent="0.25">
      <c r="A365" s="14">
        <v>52412</v>
      </c>
      <c r="B365" s="10">
        <f>42.2548 * CHOOSE(CONTROL!$C$9, $D$9, 100%, $F$9) + CHOOSE(CONTROL!$C$27, 0.0021, 0)</f>
        <v>42.256900000000002</v>
      </c>
      <c r="C365" s="10">
        <f>41.8226 * CHOOSE(CONTROL!$C$9, $D$9, 100%, $F$9) + CHOOSE(CONTROL!$C$27, 0.0021, 0)</f>
        <v>41.8247</v>
      </c>
      <c r="D365" s="10">
        <f>41.8226 * CHOOSE(CONTROL!$C$9, $D$9, 100%, $F$9) + CHOOSE(CONTROL!$C$27, 0.0021, 0)</f>
        <v>41.8247</v>
      </c>
      <c r="E365" s="10">
        <f>41.6859 * CHOOSE(CONTROL!$C$9, $D$9, 100%, $F$9) + CHOOSE(CONTROL!$C$27, 0.0021, 0)</f>
        <v>41.687999999999995</v>
      </c>
      <c r="F365" s="10">
        <f>41.6859 * CHOOSE(CONTROL!$C$9, $D$9, 100%, $F$9) + CHOOSE(CONTROL!$C$27, 0.0021, 0)</f>
        <v>41.687999999999995</v>
      </c>
      <c r="G365" s="10">
        <f>41.9573 * CHOOSE(CONTROL!$C$9, $D$9, 100%, $F$9) + CHOOSE(CONTROL!$C$27, 0.0021, 0)</f>
        <v>41.959399999999995</v>
      </c>
      <c r="H365" s="10">
        <f>41.8226 * CHOOSE(CONTROL!$C$9, $D$9, 100%, $F$9) + CHOOSE(CONTROL!$C$27, 0.0021, 0)</f>
        <v>41.8247</v>
      </c>
      <c r="I365" s="10">
        <f>41.8226 * CHOOSE(CONTROL!$C$9, $D$9, 100%, $F$9) + CHOOSE(CONTROL!$C$27, 0.0021, 0)</f>
        <v>41.8247</v>
      </c>
      <c r="J365" s="10">
        <f>41.8226 * CHOOSE(CONTROL!$C$9, $D$9, 100%, $F$9) + CHOOSE(CONTROL!$C$27, 0.0021, 0)</f>
        <v>41.8247</v>
      </c>
      <c r="K365" s="10">
        <f>41.8226 * CHOOSE(CONTROL!$C$9, $D$9, 100%, $F$9) + CHOOSE(CONTROL!$C$27, 0.0021, 0)</f>
        <v>41.8247</v>
      </c>
      <c r="L365" s="10"/>
    </row>
    <row r="366" spans="1:12" ht="15.75" x14ac:dyDescent="0.25">
      <c r="A366" s="14">
        <v>52443</v>
      </c>
      <c r="B366" s="10">
        <f>43.0571 * CHOOSE(CONTROL!$C$9, $D$9, 100%, $F$9) + CHOOSE(CONTROL!$C$27, 0.0021, 0)</f>
        <v>43.059199999999997</v>
      </c>
      <c r="C366" s="10">
        <f>42.6249 * CHOOSE(CONTROL!$C$9, $D$9, 100%, $F$9) + CHOOSE(CONTROL!$C$27, 0.0021, 0)</f>
        <v>42.626999999999995</v>
      </c>
      <c r="D366" s="10">
        <f>42.6249 * CHOOSE(CONTROL!$C$9, $D$9, 100%, $F$9) + CHOOSE(CONTROL!$C$27, 0.0021, 0)</f>
        <v>42.626999999999995</v>
      </c>
      <c r="E366" s="10">
        <f>42.4882 * CHOOSE(CONTROL!$C$9, $D$9, 100%, $F$9) + CHOOSE(CONTROL!$C$27, 0.0021, 0)</f>
        <v>42.490299999999998</v>
      </c>
      <c r="F366" s="10">
        <f>42.4882 * CHOOSE(CONTROL!$C$9, $D$9, 100%, $F$9) + CHOOSE(CONTROL!$C$27, 0.0021, 0)</f>
        <v>42.490299999999998</v>
      </c>
      <c r="G366" s="10">
        <f>42.7596 * CHOOSE(CONTROL!$C$9, $D$9, 100%, $F$9) + CHOOSE(CONTROL!$C$27, 0.0021, 0)</f>
        <v>42.761699999999998</v>
      </c>
      <c r="H366" s="10">
        <f>42.6249 * CHOOSE(CONTROL!$C$9, $D$9, 100%, $F$9) + CHOOSE(CONTROL!$C$27, 0.0021, 0)</f>
        <v>42.626999999999995</v>
      </c>
      <c r="I366" s="10">
        <f>42.6249 * CHOOSE(CONTROL!$C$9, $D$9, 100%, $F$9) + CHOOSE(CONTROL!$C$27, 0.0021, 0)</f>
        <v>42.626999999999995</v>
      </c>
      <c r="J366" s="10">
        <f>42.6249 * CHOOSE(CONTROL!$C$9, $D$9, 100%, $F$9) + CHOOSE(CONTROL!$C$27, 0.0021, 0)</f>
        <v>42.626999999999995</v>
      </c>
      <c r="K366" s="10">
        <f>42.6249 * CHOOSE(CONTROL!$C$9, $D$9, 100%, $F$9) + CHOOSE(CONTROL!$C$27, 0.0021, 0)</f>
        <v>42.626999999999995</v>
      </c>
      <c r="L366" s="10"/>
    </row>
    <row r="367" spans="1:12" ht="15.75" x14ac:dyDescent="0.25">
      <c r="A367" s="14">
        <v>52474</v>
      </c>
      <c r="B367" s="10">
        <f>43.302 * CHOOSE(CONTROL!$C$9, $D$9, 100%, $F$9) + CHOOSE(CONTROL!$C$27, 0.0021, 0)</f>
        <v>43.304099999999998</v>
      </c>
      <c r="C367" s="10">
        <f>42.8697 * CHOOSE(CONTROL!$C$9, $D$9, 100%, $F$9) + CHOOSE(CONTROL!$C$27, 0.0021, 0)</f>
        <v>42.8718</v>
      </c>
      <c r="D367" s="10">
        <f>42.8697 * CHOOSE(CONTROL!$C$9, $D$9, 100%, $F$9) + CHOOSE(CONTROL!$C$27, 0.0021, 0)</f>
        <v>42.8718</v>
      </c>
      <c r="E367" s="10">
        <f>42.7331 * CHOOSE(CONTROL!$C$9, $D$9, 100%, $F$9) + CHOOSE(CONTROL!$C$27, 0.0021, 0)</f>
        <v>42.735199999999999</v>
      </c>
      <c r="F367" s="10">
        <f>42.7331 * CHOOSE(CONTROL!$C$9, $D$9, 100%, $F$9) + CHOOSE(CONTROL!$C$27, 0.0021, 0)</f>
        <v>42.735199999999999</v>
      </c>
      <c r="G367" s="10">
        <f>43.0045 * CHOOSE(CONTROL!$C$9, $D$9, 100%, $F$9) + CHOOSE(CONTROL!$C$27, 0.0021, 0)</f>
        <v>43.006599999999999</v>
      </c>
      <c r="H367" s="10">
        <f>42.8697 * CHOOSE(CONTROL!$C$9, $D$9, 100%, $F$9) + CHOOSE(CONTROL!$C$27, 0.0021, 0)</f>
        <v>42.8718</v>
      </c>
      <c r="I367" s="10">
        <f>42.8697 * CHOOSE(CONTROL!$C$9, $D$9, 100%, $F$9) + CHOOSE(CONTROL!$C$27, 0.0021, 0)</f>
        <v>42.8718</v>
      </c>
      <c r="J367" s="10">
        <f>42.8697 * CHOOSE(CONTROL!$C$9, $D$9, 100%, $F$9) + CHOOSE(CONTROL!$C$27, 0.0021, 0)</f>
        <v>42.8718</v>
      </c>
      <c r="K367" s="10">
        <f>42.8697 * CHOOSE(CONTROL!$C$9, $D$9, 100%, $F$9) + CHOOSE(CONTROL!$C$27, 0.0021, 0)</f>
        <v>42.8718</v>
      </c>
      <c r="L367" s="10"/>
    </row>
    <row r="368" spans="1:12" ht="15.75" x14ac:dyDescent="0.25">
      <c r="A368" s="14">
        <v>52504</v>
      </c>
      <c r="B368" s="10">
        <f>44.1359 * CHOOSE(CONTROL!$C$9, $D$9, 100%, $F$9) + CHOOSE(CONTROL!$C$27, 0.0021, 0)</f>
        <v>44.137999999999998</v>
      </c>
      <c r="C368" s="10">
        <f>43.7037 * CHOOSE(CONTROL!$C$9, $D$9, 100%, $F$9) + CHOOSE(CONTROL!$C$27, 0.0021, 0)</f>
        <v>43.705799999999996</v>
      </c>
      <c r="D368" s="10">
        <f>43.7037 * CHOOSE(CONTROL!$C$9, $D$9, 100%, $F$9) + CHOOSE(CONTROL!$C$27, 0.0021, 0)</f>
        <v>43.705799999999996</v>
      </c>
      <c r="E368" s="10">
        <f>43.567 * CHOOSE(CONTROL!$C$9, $D$9, 100%, $F$9) + CHOOSE(CONTROL!$C$27, 0.0021, 0)</f>
        <v>43.569099999999999</v>
      </c>
      <c r="F368" s="10">
        <f>43.567 * CHOOSE(CONTROL!$C$9, $D$9, 100%, $F$9) + CHOOSE(CONTROL!$C$27, 0.0021, 0)</f>
        <v>43.569099999999999</v>
      </c>
      <c r="G368" s="10">
        <f>43.8384 * CHOOSE(CONTROL!$C$9, $D$9, 100%, $F$9) + CHOOSE(CONTROL!$C$27, 0.0021, 0)</f>
        <v>43.840499999999999</v>
      </c>
      <c r="H368" s="10">
        <f>43.7037 * CHOOSE(CONTROL!$C$9, $D$9, 100%, $F$9) + CHOOSE(CONTROL!$C$27, 0.0021, 0)</f>
        <v>43.705799999999996</v>
      </c>
      <c r="I368" s="10">
        <f>43.7037 * CHOOSE(CONTROL!$C$9, $D$9, 100%, $F$9) + CHOOSE(CONTROL!$C$27, 0.0021, 0)</f>
        <v>43.705799999999996</v>
      </c>
      <c r="J368" s="10">
        <f>43.7037 * CHOOSE(CONTROL!$C$9, $D$9, 100%, $F$9) + CHOOSE(CONTROL!$C$27, 0.0021, 0)</f>
        <v>43.705799999999996</v>
      </c>
      <c r="K368" s="10">
        <f>43.7037 * CHOOSE(CONTROL!$C$9, $D$9, 100%, $F$9) + CHOOSE(CONTROL!$C$27, 0.0021, 0)</f>
        <v>43.705799999999996</v>
      </c>
      <c r="L368" s="10"/>
    </row>
    <row r="369" spans="1:12" ht="15.75" x14ac:dyDescent="0.25">
      <c r="A369" s="14">
        <v>52535</v>
      </c>
      <c r="B369" s="10">
        <f>45.1915 * CHOOSE(CONTROL!$C$9, $D$9, 100%, $F$9) + CHOOSE(CONTROL!$C$27, 0.0021, 0)</f>
        <v>45.193599999999996</v>
      </c>
      <c r="C369" s="10">
        <f>44.7593 * CHOOSE(CONTROL!$C$9, $D$9, 100%, $F$9) + CHOOSE(CONTROL!$C$27, 0.0021, 0)</f>
        <v>44.761400000000002</v>
      </c>
      <c r="D369" s="10">
        <f>44.7593 * CHOOSE(CONTROL!$C$9, $D$9, 100%, $F$9) + CHOOSE(CONTROL!$C$27, 0.0021, 0)</f>
        <v>44.761400000000002</v>
      </c>
      <c r="E369" s="10">
        <f>44.6226 * CHOOSE(CONTROL!$C$9, $D$9, 100%, $F$9) + CHOOSE(CONTROL!$C$27, 0.0021, 0)</f>
        <v>44.624699999999997</v>
      </c>
      <c r="F369" s="10">
        <f>44.6226 * CHOOSE(CONTROL!$C$9, $D$9, 100%, $F$9) + CHOOSE(CONTROL!$C$27, 0.0021, 0)</f>
        <v>44.624699999999997</v>
      </c>
      <c r="G369" s="10">
        <f>44.894 * CHOOSE(CONTROL!$C$9, $D$9, 100%, $F$9) + CHOOSE(CONTROL!$C$27, 0.0021, 0)</f>
        <v>44.896099999999997</v>
      </c>
      <c r="H369" s="10">
        <f>44.7593 * CHOOSE(CONTROL!$C$9, $D$9, 100%, $F$9) + CHOOSE(CONTROL!$C$27, 0.0021, 0)</f>
        <v>44.761400000000002</v>
      </c>
      <c r="I369" s="10">
        <f>44.7593 * CHOOSE(CONTROL!$C$9, $D$9, 100%, $F$9) + CHOOSE(CONTROL!$C$27, 0.0021, 0)</f>
        <v>44.761400000000002</v>
      </c>
      <c r="J369" s="10">
        <f>44.7593 * CHOOSE(CONTROL!$C$9, $D$9, 100%, $F$9) + CHOOSE(CONTROL!$C$27, 0.0021, 0)</f>
        <v>44.761400000000002</v>
      </c>
      <c r="K369" s="10">
        <f>44.7593 * CHOOSE(CONTROL!$C$9, $D$9, 100%, $F$9) + CHOOSE(CONTROL!$C$27, 0.0021, 0)</f>
        <v>44.761400000000002</v>
      </c>
      <c r="L369" s="10"/>
    </row>
    <row r="370" spans="1:12" ht="15.75" x14ac:dyDescent="0.25">
      <c r="A370" s="14">
        <v>52565</v>
      </c>
      <c r="B370" s="10">
        <f>45.2906 * CHOOSE(CONTROL!$C$9, $D$9, 100%, $F$9) + CHOOSE(CONTROL!$C$27, 0.0021, 0)</f>
        <v>45.292699999999996</v>
      </c>
      <c r="C370" s="10">
        <f>44.8584 * CHOOSE(CONTROL!$C$9, $D$9, 100%, $F$9) + CHOOSE(CONTROL!$C$27, 0.0021, 0)</f>
        <v>44.860500000000002</v>
      </c>
      <c r="D370" s="10">
        <f>44.8584 * CHOOSE(CONTROL!$C$9, $D$9, 100%, $F$9) + CHOOSE(CONTROL!$C$27, 0.0021, 0)</f>
        <v>44.860500000000002</v>
      </c>
      <c r="E370" s="10">
        <f>44.7217 * CHOOSE(CONTROL!$C$9, $D$9, 100%, $F$9) + CHOOSE(CONTROL!$C$27, 0.0021, 0)</f>
        <v>44.723799999999997</v>
      </c>
      <c r="F370" s="10">
        <f>44.7217 * CHOOSE(CONTROL!$C$9, $D$9, 100%, $F$9) + CHOOSE(CONTROL!$C$27, 0.0021, 0)</f>
        <v>44.723799999999997</v>
      </c>
      <c r="G370" s="10">
        <f>44.9931 * CHOOSE(CONTROL!$C$9, $D$9, 100%, $F$9) + CHOOSE(CONTROL!$C$27, 0.0021, 0)</f>
        <v>44.995199999999997</v>
      </c>
      <c r="H370" s="10">
        <f>44.8584 * CHOOSE(CONTROL!$C$9, $D$9, 100%, $F$9) + CHOOSE(CONTROL!$C$27, 0.0021, 0)</f>
        <v>44.860500000000002</v>
      </c>
      <c r="I370" s="10">
        <f>44.8584 * CHOOSE(CONTROL!$C$9, $D$9, 100%, $F$9) + CHOOSE(CONTROL!$C$27, 0.0021, 0)</f>
        <v>44.860500000000002</v>
      </c>
      <c r="J370" s="10">
        <f>44.8584 * CHOOSE(CONTROL!$C$9, $D$9, 100%, $F$9) + CHOOSE(CONTROL!$C$27, 0.0021, 0)</f>
        <v>44.860500000000002</v>
      </c>
      <c r="K370" s="10">
        <f>44.8584 * CHOOSE(CONTROL!$C$9, $D$9, 100%, $F$9) + CHOOSE(CONTROL!$C$27, 0.0021, 0)</f>
        <v>44.860500000000002</v>
      </c>
      <c r="L370" s="10"/>
    </row>
    <row r="371" spans="1:12" ht="15.75" x14ac:dyDescent="0.25">
      <c r="A371" s="14">
        <v>52596</v>
      </c>
      <c r="B371" s="10">
        <f>44.4475 * CHOOSE(CONTROL!$C$9, $D$9, 100%, $F$9) + CHOOSE(CONTROL!$C$27, 0.0021, 0)</f>
        <v>44.449599999999997</v>
      </c>
      <c r="C371" s="10">
        <f>44.0153 * CHOOSE(CONTROL!$C$9, $D$9, 100%, $F$9) + CHOOSE(CONTROL!$C$27, 0.0021, 0)</f>
        <v>44.017400000000002</v>
      </c>
      <c r="D371" s="10">
        <f>44.0153 * CHOOSE(CONTROL!$C$9, $D$9, 100%, $F$9) + CHOOSE(CONTROL!$C$27, 0.0021, 0)</f>
        <v>44.017400000000002</v>
      </c>
      <c r="E371" s="10">
        <f>43.8786 * CHOOSE(CONTROL!$C$9, $D$9, 100%, $F$9) + CHOOSE(CONTROL!$C$27, 0.0021, 0)</f>
        <v>43.880699999999997</v>
      </c>
      <c r="F371" s="10">
        <f>43.8786 * CHOOSE(CONTROL!$C$9, $D$9, 100%, $F$9) + CHOOSE(CONTROL!$C$27, 0.0021, 0)</f>
        <v>43.880699999999997</v>
      </c>
      <c r="G371" s="10">
        <f>44.15 * CHOOSE(CONTROL!$C$9, $D$9, 100%, $F$9) + CHOOSE(CONTROL!$C$27, 0.0021, 0)</f>
        <v>44.152099999999997</v>
      </c>
      <c r="H371" s="10">
        <f>44.0153 * CHOOSE(CONTROL!$C$9, $D$9, 100%, $F$9) + CHOOSE(CONTROL!$C$27, 0.0021, 0)</f>
        <v>44.017400000000002</v>
      </c>
      <c r="I371" s="10">
        <f>44.0153 * CHOOSE(CONTROL!$C$9, $D$9, 100%, $F$9) + CHOOSE(CONTROL!$C$27, 0.0021, 0)</f>
        <v>44.017400000000002</v>
      </c>
      <c r="J371" s="10">
        <f>44.0153 * CHOOSE(CONTROL!$C$9, $D$9, 100%, $F$9) + CHOOSE(CONTROL!$C$27, 0.0021, 0)</f>
        <v>44.017400000000002</v>
      </c>
      <c r="K371" s="10">
        <f>44.0153 * CHOOSE(CONTROL!$C$9, $D$9, 100%, $F$9) + CHOOSE(CONTROL!$C$27, 0.0021, 0)</f>
        <v>44.017400000000002</v>
      </c>
      <c r="L371" s="10"/>
    </row>
    <row r="372" spans="1:12" ht="15.75" x14ac:dyDescent="0.25">
      <c r="A372" s="14">
        <v>52627</v>
      </c>
      <c r="B372" s="10">
        <f>43.802 * CHOOSE(CONTROL!$C$9, $D$9, 100%, $F$9) + CHOOSE(CONTROL!$C$27, 0.0021, 0)</f>
        <v>43.804099999999998</v>
      </c>
      <c r="C372" s="10">
        <f>43.3698 * CHOOSE(CONTROL!$C$9, $D$9, 100%, $F$9) + CHOOSE(CONTROL!$C$27, 0.0021, 0)</f>
        <v>43.371899999999997</v>
      </c>
      <c r="D372" s="10">
        <f>43.3698 * CHOOSE(CONTROL!$C$9, $D$9, 100%, $F$9) + CHOOSE(CONTROL!$C$27, 0.0021, 0)</f>
        <v>43.371899999999997</v>
      </c>
      <c r="E372" s="10">
        <f>43.2331 * CHOOSE(CONTROL!$C$9, $D$9, 100%, $F$9) + CHOOSE(CONTROL!$C$27, 0.0021, 0)</f>
        <v>43.235199999999999</v>
      </c>
      <c r="F372" s="10">
        <f>43.2331 * CHOOSE(CONTROL!$C$9, $D$9, 100%, $F$9) + CHOOSE(CONTROL!$C$27, 0.0021, 0)</f>
        <v>43.235199999999999</v>
      </c>
      <c r="G372" s="10">
        <f>43.5045 * CHOOSE(CONTROL!$C$9, $D$9, 100%, $F$9) + CHOOSE(CONTROL!$C$27, 0.0021, 0)</f>
        <v>43.506599999999999</v>
      </c>
      <c r="H372" s="10">
        <f>43.3698 * CHOOSE(CONTROL!$C$9, $D$9, 100%, $F$9) + CHOOSE(CONTROL!$C$27, 0.0021, 0)</f>
        <v>43.371899999999997</v>
      </c>
      <c r="I372" s="10">
        <f>43.3698 * CHOOSE(CONTROL!$C$9, $D$9, 100%, $F$9) + CHOOSE(CONTROL!$C$27, 0.0021, 0)</f>
        <v>43.371899999999997</v>
      </c>
      <c r="J372" s="10">
        <f>43.3698 * CHOOSE(CONTROL!$C$9, $D$9, 100%, $F$9) + CHOOSE(CONTROL!$C$27, 0.0021, 0)</f>
        <v>43.371899999999997</v>
      </c>
      <c r="K372" s="10">
        <f>43.3698 * CHOOSE(CONTROL!$C$9, $D$9, 100%, $F$9) + CHOOSE(CONTROL!$C$27, 0.0021, 0)</f>
        <v>43.371899999999997</v>
      </c>
      <c r="L372" s="10"/>
    </row>
    <row r="373" spans="1:12" ht="15.75" x14ac:dyDescent="0.25">
      <c r="A373" s="14">
        <v>52655</v>
      </c>
      <c r="B373" s="10">
        <f>42.6279 * CHOOSE(CONTROL!$C$9, $D$9, 100%, $F$9) + CHOOSE(CONTROL!$C$27, 0.0021, 0)</f>
        <v>42.629999999999995</v>
      </c>
      <c r="C373" s="10">
        <f>42.1957 * CHOOSE(CONTROL!$C$9, $D$9, 100%, $F$9) + CHOOSE(CONTROL!$C$27, 0.0021, 0)</f>
        <v>42.197800000000001</v>
      </c>
      <c r="D373" s="10">
        <f>42.1957 * CHOOSE(CONTROL!$C$9, $D$9, 100%, $F$9) + CHOOSE(CONTROL!$C$27, 0.0021, 0)</f>
        <v>42.197800000000001</v>
      </c>
      <c r="E373" s="10">
        <f>42.059 * CHOOSE(CONTROL!$C$9, $D$9, 100%, $F$9) + CHOOSE(CONTROL!$C$27, 0.0021, 0)</f>
        <v>42.061099999999996</v>
      </c>
      <c r="F373" s="10">
        <f>42.059 * CHOOSE(CONTROL!$C$9, $D$9, 100%, $F$9) + CHOOSE(CONTROL!$C$27, 0.0021, 0)</f>
        <v>42.061099999999996</v>
      </c>
      <c r="G373" s="10">
        <f>42.3304 * CHOOSE(CONTROL!$C$9, $D$9, 100%, $F$9) + CHOOSE(CONTROL!$C$27, 0.0021, 0)</f>
        <v>42.332499999999996</v>
      </c>
      <c r="H373" s="10">
        <f>42.1957 * CHOOSE(CONTROL!$C$9, $D$9, 100%, $F$9) + CHOOSE(CONTROL!$C$27, 0.0021, 0)</f>
        <v>42.197800000000001</v>
      </c>
      <c r="I373" s="10">
        <f>42.1957 * CHOOSE(CONTROL!$C$9, $D$9, 100%, $F$9) + CHOOSE(CONTROL!$C$27, 0.0021, 0)</f>
        <v>42.197800000000001</v>
      </c>
      <c r="J373" s="10">
        <f>42.1957 * CHOOSE(CONTROL!$C$9, $D$9, 100%, $F$9) + CHOOSE(CONTROL!$C$27, 0.0021, 0)</f>
        <v>42.197800000000001</v>
      </c>
      <c r="K373" s="10">
        <f>42.1957 * CHOOSE(CONTROL!$C$9, $D$9, 100%, $F$9) + CHOOSE(CONTROL!$C$27, 0.0021, 0)</f>
        <v>42.197800000000001</v>
      </c>
      <c r="L373" s="10"/>
    </row>
    <row r="374" spans="1:12" ht="15.75" x14ac:dyDescent="0.25">
      <c r="A374" s="14">
        <v>52687</v>
      </c>
      <c r="B374" s="10">
        <f>42.1432 * CHOOSE(CONTROL!$C$9, $D$9, 100%, $F$9) + CHOOSE(CONTROL!$C$27, 0.0021, 0)</f>
        <v>42.145299999999999</v>
      </c>
      <c r="C374" s="10">
        <f>41.711 * CHOOSE(CONTROL!$C$9, $D$9, 100%, $F$9) + CHOOSE(CONTROL!$C$27, 0.0021, 0)</f>
        <v>41.713099999999997</v>
      </c>
      <c r="D374" s="10">
        <f>41.711 * CHOOSE(CONTROL!$C$9, $D$9, 100%, $F$9) + CHOOSE(CONTROL!$C$27, 0.0021, 0)</f>
        <v>41.713099999999997</v>
      </c>
      <c r="E374" s="10">
        <f>41.5743 * CHOOSE(CONTROL!$C$9, $D$9, 100%, $F$9) + CHOOSE(CONTROL!$C$27, 0.0021, 0)</f>
        <v>41.5764</v>
      </c>
      <c r="F374" s="10">
        <f>41.5743 * CHOOSE(CONTROL!$C$9, $D$9, 100%, $F$9) + CHOOSE(CONTROL!$C$27, 0.0021, 0)</f>
        <v>41.5764</v>
      </c>
      <c r="G374" s="10">
        <f>41.8457 * CHOOSE(CONTROL!$C$9, $D$9, 100%, $F$9) + CHOOSE(CONTROL!$C$27, 0.0021, 0)</f>
        <v>41.847799999999999</v>
      </c>
      <c r="H374" s="10">
        <f>41.711 * CHOOSE(CONTROL!$C$9, $D$9, 100%, $F$9) + CHOOSE(CONTROL!$C$27, 0.0021, 0)</f>
        <v>41.713099999999997</v>
      </c>
      <c r="I374" s="10">
        <f>41.711 * CHOOSE(CONTROL!$C$9, $D$9, 100%, $F$9) + CHOOSE(CONTROL!$C$27, 0.0021, 0)</f>
        <v>41.713099999999997</v>
      </c>
      <c r="J374" s="10">
        <f>41.711 * CHOOSE(CONTROL!$C$9, $D$9, 100%, $F$9) + CHOOSE(CONTROL!$C$27, 0.0021, 0)</f>
        <v>41.713099999999997</v>
      </c>
      <c r="K374" s="10">
        <f>41.711 * CHOOSE(CONTROL!$C$9, $D$9, 100%, $F$9) + CHOOSE(CONTROL!$C$27, 0.0021, 0)</f>
        <v>41.713099999999997</v>
      </c>
      <c r="L374" s="10"/>
    </row>
    <row r="375" spans="1:12" ht="15.75" x14ac:dyDescent="0.25">
      <c r="A375" s="14">
        <v>52717</v>
      </c>
      <c r="B375" s="10">
        <f>41.5645 * CHOOSE(CONTROL!$C$9, $D$9, 100%, $F$9) + CHOOSE(CONTROL!$C$27, 0.0021, 0)</f>
        <v>41.566600000000001</v>
      </c>
      <c r="C375" s="10">
        <f>41.1323 * CHOOSE(CONTROL!$C$9, $D$9, 100%, $F$9) + CHOOSE(CONTROL!$C$27, 0.0021, 0)</f>
        <v>41.134399999999999</v>
      </c>
      <c r="D375" s="10">
        <f>41.1323 * CHOOSE(CONTROL!$C$9, $D$9, 100%, $F$9) + CHOOSE(CONTROL!$C$27, 0.0021, 0)</f>
        <v>41.134399999999999</v>
      </c>
      <c r="E375" s="10">
        <f>40.9956 * CHOOSE(CONTROL!$C$9, $D$9, 100%, $F$9) + CHOOSE(CONTROL!$C$27, 0.0021, 0)</f>
        <v>40.997700000000002</v>
      </c>
      <c r="F375" s="10">
        <f>40.9956 * CHOOSE(CONTROL!$C$9, $D$9, 100%, $F$9) + CHOOSE(CONTROL!$C$27, 0.0021, 0)</f>
        <v>40.997700000000002</v>
      </c>
      <c r="G375" s="10">
        <f>41.267 * CHOOSE(CONTROL!$C$9, $D$9, 100%, $F$9) + CHOOSE(CONTROL!$C$27, 0.0021, 0)</f>
        <v>41.269100000000002</v>
      </c>
      <c r="H375" s="10">
        <f>41.1323 * CHOOSE(CONTROL!$C$9, $D$9, 100%, $F$9) + CHOOSE(CONTROL!$C$27, 0.0021, 0)</f>
        <v>41.134399999999999</v>
      </c>
      <c r="I375" s="10">
        <f>41.1323 * CHOOSE(CONTROL!$C$9, $D$9, 100%, $F$9) + CHOOSE(CONTROL!$C$27, 0.0021, 0)</f>
        <v>41.134399999999999</v>
      </c>
      <c r="J375" s="10">
        <f>41.1323 * CHOOSE(CONTROL!$C$9, $D$9, 100%, $F$9) + CHOOSE(CONTROL!$C$27, 0.0021, 0)</f>
        <v>41.134399999999999</v>
      </c>
      <c r="K375" s="10">
        <f>41.1323 * CHOOSE(CONTROL!$C$9, $D$9, 100%, $F$9) + CHOOSE(CONTROL!$C$27, 0.0021, 0)</f>
        <v>41.134399999999999</v>
      </c>
      <c r="L375" s="10"/>
    </row>
    <row r="376" spans="1:12" ht="15.75" x14ac:dyDescent="0.25">
      <c r="A376" s="14">
        <v>52748</v>
      </c>
      <c r="B376" s="10">
        <f>42.3893 * CHOOSE(CONTROL!$C$9, $D$9, 100%, $F$9) + CHOOSE(CONTROL!$C$27, 0.0021, 0)</f>
        <v>42.391399999999997</v>
      </c>
      <c r="C376" s="10">
        <f>41.957 * CHOOSE(CONTROL!$C$9, $D$9, 100%, $F$9) + CHOOSE(CONTROL!$C$27, 0.0021, 0)</f>
        <v>41.959099999999999</v>
      </c>
      <c r="D376" s="10">
        <f>41.957 * CHOOSE(CONTROL!$C$9, $D$9, 100%, $F$9) + CHOOSE(CONTROL!$C$27, 0.0021, 0)</f>
        <v>41.959099999999999</v>
      </c>
      <c r="E376" s="10">
        <f>41.8204 * CHOOSE(CONTROL!$C$9, $D$9, 100%, $F$9) + CHOOSE(CONTROL!$C$27, 0.0021, 0)</f>
        <v>41.822499999999998</v>
      </c>
      <c r="F376" s="10">
        <f>41.8204 * CHOOSE(CONTROL!$C$9, $D$9, 100%, $F$9) + CHOOSE(CONTROL!$C$27, 0.0021, 0)</f>
        <v>41.822499999999998</v>
      </c>
      <c r="G376" s="10">
        <f>42.0917 * CHOOSE(CONTROL!$C$9, $D$9, 100%, $F$9) + CHOOSE(CONTROL!$C$27, 0.0021, 0)</f>
        <v>42.093800000000002</v>
      </c>
      <c r="H376" s="10">
        <f>41.957 * CHOOSE(CONTROL!$C$9, $D$9, 100%, $F$9) + CHOOSE(CONTROL!$C$27, 0.0021, 0)</f>
        <v>41.959099999999999</v>
      </c>
      <c r="I376" s="10">
        <f>41.957 * CHOOSE(CONTROL!$C$9, $D$9, 100%, $F$9) + CHOOSE(CONTROL!$C$27, 0.0021, 0)</f>
        <v>41.959099999999999</v>
      </c>
      <c r="J376" s="10">
        <f>41.957 * CHOOSE(CONTROL!$C$9, $D$9, 100%, $F$9) + CHOOSE(CONTROL!$C$27, 0.0021, 0)</f>
        <v>41.959099999999999</v>
      </c>
      <c r="K376" s="10">
        <f>41.957 * CHOOSE(CONTROL!$C$9, $D$9, 100%, $F$9) + CHOOSE(CONTROL!$C$27, 0.0021, 0)</f>
        <v>41.959099999999999</v>
      </c>
      <c r="L376" s="10"/>
    </row>
    <row r="377" spans="1:12" ht="15.75" x14ac:dyDescent="0.25">
      <c r="A377" s="14">
        <v>52778</v>
      </c>
      <c r="B377" s="10">
        <f>42.8832 * CHOOSE(CONTROL!$C$9, $D$9, 100%, $F$9) + CHOOSE(CONTROL!$C$27, 0.0021, 0)</f>
        <v>42.885300000000001</v>
      </c>
      <c r="C377" s="10">
        <f>42.451 * CHOOSE(CONTROL!$C$9, $D$9, 100%, $F$9) + CHOOSE(CONTROL!$C$27, 0.0021, 0)</f>
        <v>42.453099999999999</v>
      </c>
      <c r="D377" s="10">
        <f>42.451 * CHOOSE(CONTROL!$C$9, $D$9, 100%, $F$9) + CHOOSE(CONTROL!$C$27, 0.0021, 0)</f>
        <v>42.453099999999999</v>
      </c>
      <c r="E377" s="10">
        <f>42.3143 * CHOOSE(CONTROL!$C$9, $D$9, 100%, $F$9) + CHOOSE(CONTROL!$C$27, 0.0021, 0)</f>
        <v>42.316400000000002</v>
      </c>
      <c r="F377" s="10">
        <f>42.3143 * CHOOSE(CONTROL!$C$9, $D$9, 100%, $F$9) + CHOOSE(CONTROL!$C$27, 0.0021, 0)</f>
        <v>42.316400000000002</v>
      </c>
      <c r="G377" s="10">
        <f>42.5857 * CHOOSE(CONTROL!$C$9, $D$9, 100%, $F$9) + CHOOSE(CONTROL!$C$27, 0.0021, 0)</f>
        <v>42.587800000000001</v>
      </c>
      <c r="H377" s="10">
        <f>42.451 * CHOOSE(CONTROL!$C$9, $D$9, 100%, $F$9) + CHOOSE(CONTROL!$C$27, 0.0021, 0)</f>
        <v>42.453099999999999</v>
      </c>
      <c r="I377" s="10">
        <f>42.451 * CHOOSE(CONTROL!$C$9, $D$9, 100%, $F$9) + CHOOSE(CONTROL!$C$27, 0.0021, 0)</f>
        <v>42.453099999999999</v>
      </c>
      <c r="J377" s="10">
        <f>42.451 * CHOOSE(CONTROL!$C$9, $D$9, 100%, $F$9) + CHOOSE(CONTROL!$C$27, 0.0021, 0)</f>
        <v>42.453099999999999</v>
      </c>
      <c r="K377" s="10">
        <f>42.451 * CHOOSE(CONTROL!$C$9, $D$9, 100%, $F$9) + CHOOSE(CONTROL!$C$27, 0.0021, 0)</f>
        <v>42.453099999999999</v>
      </c>
      <c r="L377" s="10"/>
    </row>
    <row r="378" spans="1:12" ht="15.75" x14ac:dyDescent="0.25">
      <c r="A378" s="14">
        <v>52809</v>
      </c>
      <c r="B378" s="10">
        <f>43.6981 * CHOOSE(CONTROL!$C$9, $D$9, 100%, $F$9) + CHOOSE(CONTROL!$C$27, 0.0021, 0)</f>
        <v>43.700199999999995</v>
      </c>
      <c r="C378" s="10">
        <f>43.2659 * CHOOSE(CONTROL!$C$9, $D$9, 100%, $F$9) + CHOOSE(CONTROL!$C$27, 0.0021, 0)</f>
        <v>43.268000000000001</v>
      </c>
      <c r="D378" s="10">
        <f>43.2659 * CHOOSE(CONTROL!$C$9, $D$9, 100%, $F$9) + CHOOSE(CONTROL!$C$27, 0.0021, 0)</f>
        <v>43.268000000000001</v>
      </c>
      <c r="E378" s="10">
        <f>43.1292 * CHOOSE(CONTROL!$C$9, $D$9, 100%, $F$9) + CHOOSE(CONTROL!$C$27, 0.0021, 0)</f>
        <v>43.131299999999996</v>
      </c>
      <c r="F378" s="10">
        <f>43.1292 * CHOOSE(CONTROL!$C$9, $D$9, 100%, $F$9) + CHOOSE(CONTROL!$C$27, 0.0021, 0)</f>
        <v>43.131299999999996</v>
      </c>
      <c r="G378" s="10">
        <f>43.4006 * CHOOSE(CONTROL!$C$9, $D$9, 100%, $F$9) + CHOOSE(CONTROL!$C$27, 0.0021, 0)</f>
        <v>43.402699999999996</v>
      </c>
      <c r="H378" s="10">
        <f>43.2659 * CHOOSE(CONTROL!$C$9, $D$9, 100%, $F$9) + CHOOSE(CONTROL!$C$27, 0.0021, 0)</f>
        <v>43.268000000000001</v>
      </c>
      <c r="I378" s="10">
        <f>43.2659 * CHOOSE(CONTROL!$C$9, $D$9, 100%, $F$9) + CHOOSE(CONTROL!$C$27, 0.0021, 0)</f>
        <v>43.268000000000001</v>
      </c>
      <c r="J378" s="10">
        <f>43.2659 * CHOOSE(CONTROL!$C$9, $D$9, 100%, $F$9) + CHOOSE(CONTROL!$C$27, 0.0021, 0)</f>
        <v>43.268000000000001</v>
      </c>
      <c r="K378" s="10">
        <f>43.2659 * CHOOSE(CONTROL!$C$9, $D$9, 100%, $F$9) + CHOOSE(CONTROL!$C$27, 0.0021, 0)</f>
        <v>43.268000000000001</v>
      </c>
      <c r="L378" s="10"/>
    </row>
    <row r="379" spans="1:12" ht="15.75" x14ac:dyDescent="0.25">
      <c r="A379" s="14">
        <v>52840</v>
      </c>
      <c r="B379" s="10">
        <f>43.9469 * CHOOSE(CONTROL!$C$9, $D$9, 100%, $F$9) + CHOOSE(CONTROL!$C$27, 0.0021, 0)</f>
        <v>43.948999999999998</v>
      </c>
      <c r="C379" s="10">
        <f>43.5146 * CHOOSE(CONTROL!$C$9, $D$9, 100%, $F$9) + CHOOSE(CONTROL!$C$27, 0.0021, 0)</f>
        <v>43.5167</v>
      </c>
      <c r="D379" s="10">
        <f>43.5146 * CHOOSE(CONTROL!$C$9, $D$9, 100%, $F$9) + CHOOSE(CONTROL!$C$27, 0.0021, 0)</f>
        <v>43.5167</v>
      </c>
      <c r="E379" s="10">
        <f>43.378 * CHOOSE(CONTROL!$C$9, $D$9, 100%, $F$9) + CHOOSE(CONTROL!$C$27, 0.0021, 0)</f>
        <v>43.380099999999999</v>
      </c>
      <c r="F379" s="10">
        <f>43.378 * CHOOSE(CONTROL!$C$9, $D$9, 100%, $F$9) + CHOOSE(CONTROL!$C$27, 0.0021, 0)</f>
        <v>43.380099999999999</v>
      </c>
      <c r="G379" s="10">
        <f>43.6493 * CHOOSE(CONTROL!$C$9, $D$9, 100%, $F$9) + CHOOSE(CONTROL!$C$27, 0.0021, 0)</f>
        <v>43.651399999999995</v>
      </c>
      <c r="H379" s="10">
        <f>43.5146 * CHOOSE(CONTROL!$C$9, $D$9, 100%, $F$9) + CHOOSE(CONTROL!$C$27, 0.0021, 0)</f>
        <v>43.5167</v>
      </c>
      <c r="I379" s="10">
        <f>43.5146 * CHOOSE(CONTROL!$C$9, $D$9, 100%, $F$9) + CHOOSE(CONTROL!$C$27, 0.0021, 0)</f>
        <v>43.5167</v>
      </c>
      <c r="J379" s="10">
        <f>43.5146 * CHOOSE(CONTROL!$C$9, $D$9, 100%, $F$9) + CHOOSE(CONTROL!$C$27, 0.0021, 0)</f>
        <v>43.5167</v>
      </c>
      <c r="K379" s="10">
        <f>43.5146 * CHOOSE(CONTROL!$C$9, $D$9, 100%, $F$9) + CHOOSE(CONTROL!$C$27, 0.0021, 0)</f>
        <v>43.5167</v>
      </c>
      <c r="L379" s="10"/>
    </row>
    <row r="380" spans="1:12" ht="15.75" x14ac:dyDescent="0.25">
      <c r="A380" s="14">
        <v>52870</v>
      </c>
      <c r="B380" s="10">
        <f>44.7939 * CHOOSE(CONTROL!$C$9, $D$9, 100%, $F$9) + CHOOSE(CONTROL!$C$27, 0.0021, 0)</f>
        <v>44.795999999999999</v>
      </c>
      <c r="C380" s="10">
        <f>44.3617 * CHOOSE(CONTROL!$C$9, $D$9, 100%, $F$9) + CHOOSE(CONTROL!$C$27, 0.0021, 0)</f>
        <v>44.363799999999998</v>
      </c>
      <c r="D380" s="10">
        <f>44.3617 * CHOOSE(CONTROL!$C$9, $D$9, 100%, $F$9) + CHOOSE(CONTROL!$C$27, 0.0021, 0)</f>
        <v>44.363799999999998</v>
      </c>
      <c r="E380" s="10">
        <f>44.225 * CHOOSE(CONTROL!$C$9, $D$9, 100%, $F$9) + CHOOSE(CONTROL!$C$27, 0.0021, 0)</f>
        <v>44.2271</v>
      </c>
      <c r="F380" s="10">
        <f>44.225 * CHOOSE(CONTROL!$C$9, $D$9, 100%, $F$9) + CHOOSE(CONTROL!$C$27, 0.0021, 0)</f>
        <v>44.2271</v>
      </c>
      <c r="G380" s="10">
        <f>44.4964 * CHOOSE(CONTROL!$C$9, $D$9, 100%, $F$9) + CHOOSE(CONTROL!$C$27, 0.0021, 0)</f>
        <v>44.4985</v>
      </c>
      <c r="H380" s="10">
        <f>44.3617 * CHOOSE(CONTROL!$C$9, $D$9, 100%, $F$9) + CHOOSE(CONTROL!$C$27, 0.0021, 0)</f>
        <v>44.363799999999998</v>
      </c>
      <c r="I380" s="10">
        <f>44.3617 * CHOOSE(CONTROL!$C$9, $D$9, 100%, $F$9) + CHOOSE(CONTROL!$C$27, 0.0021, 0)</f>
        <v>44.363799999999998</v>
      </c>
      <c r="J380" s="10">
        <f>44.3617 * CHOOSE(CONTROL!$C$9, $D$9, 100%, $F$9) + CHOOSE(CONTROL!$C$27, 0.0021, 0)</f>
        <v>44.363799999999998</v>
      </c>
      <c r="K380" s="10">
        <f>44.3617 * CHOOSE(CONTROL!$C$9, $D$9, 100%, $F$9) + CHOOSE(CONTROL!$C$27, 0.0021, 0)</f>
        <v>44.363799999999998</v>
      </c>
      <c r="L380" s="10"/>
    </row>
    <row r="381" spans="1:12" ht="15.75" x14ac:dyDescent="0.25">
      <c r="A381" s="14">
        <v>52901</v>
      </c>
      <c r="B381" s="10">
        <f>45.8661 * CHOOSE(CONTROL!$C$9, $D$9, 100%, $F$9) + CHOOSE(CONTROL!$C$27, 0.0021, 0)</f>
        <v>45.868200000000002</v>
      </c>
      <c r="C381" s="10">
        <f>45.4339 * CHOOSE(CONTROL!$C$9, $D$9, 100%, $F$9) + CHOOSE(CONTROL!$C$27, 0.0021, 0)</f>
        <v>45.436</v>
      </c>
      <c r="D381" s="10">
        <f>45.4339 * CHOOSE(CONTROL!$C$9, $D$9, 100%, $F$9) + CHOOSE(CONTROL!$C$27, 0.0021, 0)</f>
        <v>45.436</v>
      </c>
      <c r="E381" s="10">
        <f>45.2972 * CHOOSE(CONTROL!$C$9, $D$9, 100%, $F$9) + CHOOSE(CONTROL!$C$27, 0.0021, 0)</f>
        <v>45.299299999999995</v>
      </c>
      <c r="F381" s="10">
        <f>45.2972 * CHOOSE(CONTROL!$C$9, $D$9, 100%, $F$9) + CHOOSE(CONTROL!$C$27, 0.0021, 0)</f>
        <v>45.299299999999995</v>
      </c>
      <c r="G381" s="10">
        <f>45.5686 * CHOOSE(CONTROL!$C$9, $D$9, 100%, $F$9) + CHOOSE(CONTROL!$C$27, 0.0021, 0)</f>
        <v>45.570700000000002</v>
      </c>
      <c r="H381" s="10">
        <f>45.4339 * CHOOSE(CONTROL!$C$9, $D$9, 100%, $F$9) + CHOOSE(CONTROL!$C$27, 0.0021, 0)</f>
        <v>45.436</v>
      </c>
      <c r="I381" s="10">
        <f>45.4339 * CHOOSE(CONTROL!$C$9, $D$9, 100%, $F$9) + CHOOSE(CONTROL!$C$27, 0.0021, 0)</f>
        <v>45.436</v>
      </c>
      <c r="J381" s="10">
        <f>45.4339 * CHOOSE(CONTROL!$C$9, $D$9, 100%, $F$9) + CHOOSE(CONTROL!$C$27, 0.0021, 0)</f>
        <v>45.436</v>
      </c>
      <c r="K381" s="10">
        <f>45.4339 * CHOOSE(CONTROL!$C$9, $D$9, 100%, $F$9) + CHOOSE(CONTROL!$C$27, 0.0021, 0)</f>
        <v>45.436</v>
      </c>
      <c r="L381" s="10"/>
    </row>
    <row r="382" spans="1:12" ht="15.75" x14ac:dyDescent="0.25">
      <c r="A382" s="14">
        <v>52931</v>
      </c>
      <c r="B382" s="10">
        <f>45.9668 * CHOOSE(CONTROL!$C$9, $D$9, 100%, $F$9) + CHOOSE(CONTROL!$C$27, 0.0021, 0)</f>
        <v>45.968899999999998</v>
      </c>
      <c r="C382" s="10">
        <f>45.5345 * CHOOSE(CONTROL!$C$9, $D$9, 100%, $F$9) + CHOOSE(CONTROL!$C$27, 0.0021, 0)</f>
        <v>45.5366</v>
      </c>
      <c r="D382" s="10">
        <f>45.5345 * CHOOSE(CONTROL!$C$9, $D$9, 100%, $F$9) + CHOOSE(CONTROL!$C$27, 0.0021, 0)</f>
        <v>45.5366</v>
      </c>
      <c r="E382" s="10">
        <f>45.3979 * CHOOSE(CONTROL!$C$9, $D$9, 100%, $F$9) + CHOOSE(CONTROL!$C$27, 0.0021, 0)</f>
        <v>45.4</v>
      </c>
      <c r="F382" s="10">
        <f>45.3979 * CHOOSE(CONTROL!$C$9, $D$9, 100%, $F$9) + CHOOSE(CONTROL!$C$27, 0.0021, 0)</f>
        <v>45.4</v>
      </c>
      <c r="G382" s="10">
        <f>45.6692 * CHOOSE(CONTROL!$C$9, $D$9, 100%, $F$9) + CHOOSE(CONTROL!$C$27, 0.0021, 0)</f>
        <v>45.671299999999995</v>
      </c>
      <c r="H382" s="10">
        <f>45.5345 * CHOOSE(CONTROL!$C$9, $D$9, 100%, $F$9) + CHOOSE(CONTROL!$C$27, 0.0021, 0)</f>
        <v>45.5366</v>
      </c>
      <c r="I382" s="10">
        <f>45.5345 * CHOOSE(CONTROL!$C$9, $D$9, 100%, $F$9) + CHOOSE(CONTROL!$C$27, 0.0021, 0)</f>
        <v>45.5366</v>
      </c>
      <c r="J382" s="10">
        <f>45.5345 * CHOOSE(CONTROL!$C$9, $D$9, 100%, $F$9) + CHOOSE(CONTROL!$C$27, 0.0021, 0)</f>
        <v>45.5366</v>
      </c>
      <c r="K382" s="10">
        <f>45.5345 * CHOOSE(CONTROL!$C$9, $D$9, 100%, $F$9) + CHOOSE(CONTROL!$C$27, 0.0021, 0)</f>
        <v>45.5366</v>
      </c>
      <c r="L382" s="10"/>
    </row>
    <row r="383" spans="1:12" ht="15.75" x14ac:dyDescent="0.25">
      <c r="A383" s="14">
        <v>52962</v>
      </c>
      <c r="B383" s="10">
        <f>45.1104 * CHOOSE(CONTROL!$C$9, $D$9, 100%, $F$9) + CHOOSE(CONTROL!$C$27, 0.0021, 0)</f>
        <v>45.112499999999997</v>
      </c>
      <c r="C383" s="10">
        <f>44.6782 * CHOOSE(CONTROL!$C$9, $D$9, 100%, $F$9) + CHOOSE(CONTROL!$C$27, 0.0021, 0)</f>
        <v>44.680299999999995</v>
      </c>
      <c r="D383" s="10">
        <f>44.6782 * CHOOSE(CONTROL!$C$9, $D$9, 100%, $F$9) + CHOOSE(CONTROL!$C$27, 0.0021, 0)</f>
        <v>44.680299999999995</v>
      </c>
      <c r="E383" s="10">
        <f>44.5415 * CHOOSE(CONTROL!$C$9, $D$9, 100%, $F$9) + CHOOSE(CONTROL!$C$27, 0.0021, 0)</f>
        <v>44.543599999999998</v>
      </c>
      <c r="F383" s="10">
        <f>44.5415 * CHOOSE(CONTROL!$C$9, $D$9, 100%, $F$9) + CHOOSE(CONTROL!$C$27, 0.0021, 0)</f>
        <v>44.543599999999998</v>
      </c>
      <c r="G383" s="10">
        <f>44.8129 * CHOOSE(CONTROL!$C$9, $D$9, 100%, $F$9) + CHOOSE(CONTROL!$C$27, 0.0021, 0)</f>
        <v>44.814999999999998</v>
      </c>
      <c r="H383" s="10">
        <f>44.6782 * CHOOSE(CONTROL!$C$9, $D$9, 100%, $F$9) + CHOOSE(CONTROL!$C$27, 0.0021, 0)</f>
        <v>44.680299999999995</v>
      </c>
      <c r="I383" s="10">
        <f>44.6782 * CHOOSE(CONTROL!$C$9, $D$9, 100%, $F$9) + CHOOSE(CONTROL!$C$27, 0.0021, 0)</f>
        <v>44.680299999999995</v>
      </c>
      <c r="J383" s="10">
        <f>44.6782 * CHOOSE(CONTROL!$C$9, $D$9, 100%, $F$9) + CHOOSE(CONTROL!$C$27, 0.0021, 0)</f>
        <v>44.680299999999995</v>
      </c>
      <c r="K383" s="10">
        <f>44.6782 * CHOOSE(CONTROL!$C$9, $D$9, 100%, $F$9) + CHOOSE(CONTROL!$C$27, 0.0021, 0)</f>
        <v>44.680299999999995</v>
      </c>
      <c r="L383" s="10"/>
    </row>
    <row r="384" spans="1:12" ht="15.75" x14ac:dyDescent="0.25">
      <c r="A384" s="14">
        <v>52993</v>
      </c>
      <c r="B384" s="10">
        <f>44.4548 * CHOOSE(CONTROL!$C$9, $D$9, 100%, $F$9) + CHOOSE(CONTROL!$C$27, 0.0021, 0)</f>
        <v>44.456899999999997</v>
      </c>
      <c r="C384" s="10">
        <f>44.0225 * CHOOSE(CONTROL!$C$9, $D$9, 100%, $F$9) + CHOOSE(CONTROL!$C$27, 0.0021, 0)</f>
        <v>44.0246</v>
      </c>
      <c r="D384" s="10">
        <f>44.0225 * CHOOSE(CONTROL!$C$9, $D$9, 100%, $F$9) + CHOOSE(CONTROL!$C$27, 0.0021, 0)</f>
        <v>44.0246</v>
      </c>
      <c r="E384" s="10">
        <f>43.8859 * CHOOSE(CONTROL!$C$9, $D$9, 100%, $F$9) + CHOOSE(CONTROL!$C$27, 0.0021, 0)</f>
        <v>43.887999999999998</v>
      </c>
      <c r="F384" s="10">
        <f>43.8859 * CHOOSE(CONTROL!$C$9, $D$9, 100%, $F$9) + CHOOSE(CONTROL!$C$27, 0.0021, 0)</f>
        <v>43.887999999999998</v>
      </c>
      <c r="G384" s="10">
        <f>44.1572 * CHOOSE(CONTROL!$C$9, $D$9, 100%, $F$9) + CHOOSE(CONTROL!$C$27, 0.0021, 0)</f>
        <v>44.159300000000002</v>
      </c>
      <c r="H384" s="10">
        <f>44.0225 * CHOOSE(CONTROL!$C$9, $D$9, 100%, $F$9) + CHOOSE(CONTROL!$C$27, 0.0021, 0)</f>
        <v>44.0246</v>
      </c>
      <c r="I384" s="10">
        <f>44.0225 * CHOOSE(CONTROL!$C$9, $D$9, 100%, $F$9) + CHOOSE(CONTROL!$C$27, 0.0021, 0)</f>
        <v>44.0246</v>
      </c>
      <c r="J384" s="10">
        <f>44.0225 * CHOOSE(CONTROL!$C$9, $D$9, 100%, $F$9) + CHOOSE(CONTROL!$C$27, 0.0021, 0)</f>
        <v>44.0246</v>
      </c>
      <c r="K384" s="10">
        <f>44.0225 * CHOOSE(CONTROL!$C$9, $D$9, 100%, $F$9) + CHOOSE(CONTROL!$C$27, 0.0021, 0)</f>
        <v>44.0246</v>
      </c>
      <c r="L384" s="10"/>
    </row>
    <row r="385" spans="1:12" ht="15.75" x14ac:dyDescent="0.25">
      <c r="A385" s="14">
        <v>53021</v>
      </c>
      <c r="B385" s="10">
        <f>43.2622 * CHOOSE(CONTROL!$C$9, $D$9, 100%, $F$9) + CHOOSE(CONTROL!$C$27, 0.0021, 0)</f>
        <v>43.264299999999999</v>
      </c>
      <c r="C385" s="10">
        <f>42.8299 * CHOOSE(CONTROL!$C$9, $D$9, 100%, $F$9) + CHOOSE(CONTROL!$C$27, 0.0021, 0)</f>
        <v>42.832000000000001</v>
      </c>
      <c r="D385" s="10">
        <f>42.8299 * CHOOSE(CONTROL!$C$9, $D$9, 100%, $F$9) + CHOOSE(CONTROL!$C$27, 0.0021, 0)</f>
        <v>42.832000000000001</v>
      </c>
      <c r="E385" s="10">
        <f>42.6933 * CHOOSE(CONTROL!$C$9, $D$9, 100%, $F$9) + CHOOSE(CONTROL!$C$27, 0.0021, 0)</f>
        <v>42.695399999999999</v>
      </c>
      <c r="F385" s="10">
        <f>42.6933 * CHOOSE(CONTROL!$C$9, $D$9, 100%, $F$9) + CHOOSE(CONTROL!$C$27, 0.0021, 0)</f>
        <v>42.695399999999999</v>
      </c>
      <c r="G385" s="10">
        <f>42.9647 * CHOOSE(CONTROL!$C$9, $D$9, 100%, $F$9) + CHOOSE(CONTROL!$C$27, 0.0021, 0)</f>
        <v>42.966799999999999</v>
      </c>
      <c r="H385" s="10">
        <f>42.8299 * CHOOSE(CONTROL!$C$9, $D$9, 100%, $F$9) + CHOOSE(CONTROL!$C$27, 0.0021, 0)</f>
        <v>42.832000000000001</v>
      </c>
      <c r="I385" s="10">
        <f>42.8299 * CHOOSE(CONTROL!$C$9, $D$9, 100%, $F$9) + CHOOSE(CONTROL!$C$27, 0.0021, 0)</f>
        <v>42.832000000000001</v>
      </c>
      <c r="J385" s="10">
        <f>42.8299 * CHOOSE(CONTROL!$C$9, $D$9, 100%, $F$9) + CHOOSE(CONTROL!$C$27, 0.0021, 0)</f>
        <v>42.832000000000001</v>
      </c>
      <c r="K385" s="10">
        <f>42.8299 * CHOOSE(CONTROL!$C$9, $D$9, 100%, $F$9) + CHOOSE(CONTROL!$C$27, 0.0021, 0)</f>
        <v>42.832000000000001</v>
      </c>
      <c r="L385" s="10"/>
    </row>
    <row r="386" spans="1:12" ht="15.75" x14ac:dyDescent="0.25">
      <c r="A386" s="14">
        <v>53052</v>
      </c>
      <c r="B386" s="10">
        <f>42.7699 * CHOOSE(CONTROL!$C$9, $D$9, 100%, $F$9) + CHOOSE(CONTROL!$C$27, 0.0021, 0)</f>
        <v>42.771999999999998</v>
      </c>
      <c r="C386" s="10">
        <f>42.3376 * CHOOSE(CONTROL!$C$9, $D$9, 100%, $F$9) + CHOOSE(CONTROL!$C$27, 0.0021, 0)</f>
        <v>42.339700000000001</v>
      </c>
      <c r="D386" s="10">
        <f>42.3376 * CHOOSE(CONTROL!$C$9, $D$9, 100%, $F$9) + CHOOSE(CONTROL!$C$27, 0.0021, 0)</f>
        <v>42.339700000000001</v>
      </c>
      <c r="E386" s="10">
        <f>42.201 * CHOOSE(CONTROL!$C$9, $D$9, 100%, $F$9) + CHOOSE(CONTROL!$C$27, 0.0021, 0)</f>
        <v>42.203099999999999</v>
      </c>
      <c r="F386" s="10">
        <f>42.201 * CHOOSE(CONTROL!$C$9, $D$9, 100%, $F$9) + CHOOSE(CONTROL!$C$27, 0.0021, 0)</f>
        <v>42.203099999999999</v>
      </c>
      <c r="G386" s="10">
        <f>42.4724 * CHOOSE(CONTROL!$C$9, $D$9, 100%, $F$9) + CHOOSE(CONTROL!$C$27, 0.0021, 0)</f>
        <v>42.474499999999999</v>
      </c>
      <c r="H386" s="10">
        <f>42.3376 * CHOOSE(CONTROL!$C$9, $D$9, 100%, $F$9) + CHOOSE(CONTROL!$C$27, 0.0021, 0)</f>
        <v>42.339700000000001</v>
      </c>
      <c r="I386" s="10">
        <f>42.3376 * CHOOSE(CONTROL!$C$9, $D$9, 100%, $F$9) + CHOOSE(CONTROL!$C$27, 0.0021, 0)</f>
        <v>42.339700000000001</v>
      </c>
      <c r="J386" s="10">
        <f>42.3376 * CHOOSE(CONTROL!$C$9, $D$9, 100%, $F$9) + CHOOSE(CONTROL!$C$27, 0.0021, 0)</f>
        <v>42.339700000000001</v>
      </c>
      <c r="K386" s="10">
        <f>42.3376 * CHOOSE(CONTROL!$C$9, $D$9, 100%, $F$9) + CHOOSE(CONTROL!$C$27, 0.0021, 0)</f>
        <v>42.339700000000001</v>
      </c>
      <c r="L386" s="10"/>
    </row>
    <row r="387" spans="1:12" ht="15.75" x14ac:dyDescent="0.25">
      <c r="A387" s="14">
        <v>53082</v>
      </c>
      <c r="B387" s="10">
        <f>42.1821 * CHOOSE(CONTROL!$C$9, $D$9, 100%, $F$9) + CHOOSE(CONTROL!$C$27, 0.0021, 0)</f>
        <v>42.184199999999997</v>
      </c>
      <c r="C387" s="10">
        <f>41.7498 * CHOOSE(CONTROL!$C$9, $D$9, 100%, $F$9) + CHOOSE(CONTROL!$C$27, 0.0021, 0)</f>
        <v>41.751899999999999</v>
      </c>
      <c r="D387" s="10">
        <f>41.7498 * CHOOSE(CONTROL!$C$9, $D$9, 100%, $F$9) + CHOOSE(CONTROL!$C$27, 0.0021, 0)</f>
        <v>41.751899999999999</v>
      </c>
      <c r="E387" s="10">
        <f>41.6132 * CHOOSE(CONTROL!$C$9, $D$9, 100%, $F$9) + CHOOSE(CONTROL!$C$27, 0.0021, 0)</f>
        <v>41.615299999999998</v>
      </c>
      <c r="F387" s="10">
        <f>41.6132 * CHOOSE(CONTROL!$C$9, $D$9, 100%, $F$9) + CHOOSE(CONTROL!$C$27, 0.0021, 0)</f>
        <v>41.615299999999998</v>
      </c>
      <c r="G387" s="10">
        <f>41.8845 * CHOOSE(CONTROL!$C$9, $D$9, 100%, $F$9) + CHOOSE(CONTROL!$C$27, 0.0021, 0)</f>
        <v>41.886600000000001</v>
      </c>
      <c r="H387" s="10">
        <f>41.7498 * CHOOSE(CONTROL!$C$9, $D$9, 100%, $F$9) + CHOOSE(CONTROL!$C$27, 0.0021, 0)</f>
        <v>41.751899999999999</v>
      </c>
      <c r="I387" s="10">
        <f>41.7498 * CHOOSE(CONTROL!$C$9, $D$9, 100%, $F$9) + CHOOSE(CONTROL!$C$27, 0.0021, 0)</f>
        <v>41.751899999999999</v>
      </c>
      <c r="J387" s="10">
        <f>41.7498 * CHOOSE(CONTROL!$C$9, $D$9, 100%, $F$9) + CHOOSE(CONTROL!$C$27, 0.0021, 0)</f>
        <v>41.751899999999999</v>
      </c>
      <c r="K387" s="10">
        <f>41.7498 * CHOOSE(CONTROL!$C$9, $D$9, 100%, $F$9) + CHOOSE(CONTROL!$C$27, 0.0021, 0)</f>
        <v>41.751899999999999</v>
      </c>
      <c r="L387" s="10"/>
    </row>
    <row r="388" spans="1:12" ht="15.75" x14ac:dyDescent="0.25">
      <c r="A388" s="14">
        <v>53113</v>
      </c>
      <c r="B388" s="10">
        <f>43.0198 * CHOOSE(CONTROL!$C$9, $D$9, 100%, $F$9) + CHOOSE(CONTROL!$C$27, 0.0021, 0)</f>
        <v>43.021899999999995</v>
      </c>
      <c r="C388" s="10">
        <f>42.5875 * CHOOSE(CONTROL!$C$9, $D$9, 100%, $F$9) + CHOOSE(CONTROL!$C$27, 0.0021, 0)</f>
        <v>42.589599999999997</v>
      </c>
      <c r="D388" s="10">
        <f>42.5875 * CHOOSE(CONTROL!$C$9, $D$9, 100%, $F$9) + CHOOSE(CONTROL!$C$27, 0.0021, 0)</f>
        <v>42.589599999999997</v>
      </c>
      <c r="E388" s="10">
        <f>42.4509 * CHOOSE(CONTROL!$C$9, $D$9, 100%, $F$9) + CHOOSE(CONTROL!$C$27, 0.0021, 0)</f>
        <v>42.452999999999996</v>
      </c>
      <c r="F388" s="10">
        <f>42.4509 * CHOOSE(CONTROL!$C$9, $D$9, 100%, $F$9) + CHOOSE(CONTROL!$C$27, 0.0021, 0)</f>
        <v>42.452999999999996</v>
      </c>
      <c r="G388" s="10">
        <f>42.7222 * CHOOSE(CONTROL!$C$9, $D$9, 100%, $F$9) + CHOOSE(CONTROL!$C$27, 0.0021, 0)</f>
        <v>42.724299999999999</v>
      </c>
      <c r="H388" s="10">
        <f>42.5875 * CHOOSE(CONTROL!$C$9, $D$9, 100%, $F$9) + CHOOSE(CONTROL!$C$27, 0.0021, 0)</f>
        <v>42.589599999999997</v>
      </c>
      <c r="I388" s="10">
        <f>42.5875 * CHOOSE(CONTROL!$C$9, $D$9, 100%, $F$9) + CHOOSE(CONTROL!$C$27, 0.0021, 0)</f>
        <v>42.589599999999997</v>
      </c>
      <c r="J388" s="10">
        <f>42.5875 * CHOOSE(CONTROL!$C$9, $D$9, 100%, $F$9) + CHOOSE(CONTROL!$C$27, 0.0021, 0)</f>
        <v>42.589599999999997</v>
      </c>
      <c r="K388" s="10">
        <f>42.5875 * CHOOSE(CONTROL!$C$9, $D$9, 100%, $F$9) + CHOOSE(CONTROL!$C$27, 0.0021, 0)</f>
        <v>42.589599999999997</v>
      </c>
      <c r="L388" s="10"/>
    </row>
    <row r="389" spans="1:12" ht="15.75" x14ac:dyDescent="0.25">
      <c r="A389" s="14">
        <v>53143</v>
      </c>
      <c r="B389" s="10">
        <f>43.5215 * CHOOSE(CONTROL!$C$9, $D$9, 100%, $F$9) + CHOOSE(CONTROL!$C$27, 0.0021, 0)</f>
        <v>43.523600000000002</v>
      </c>
      <c r="C389" s="10">
        <f>43.0893 * CHOOSE(CONTROL!$C$9, $D$9, 100%, $F$9) + CHOOSE(CONTROL!$C$27, 0.0021, 0)</f>
        <v>43.0914</v>
      </c>
      <c r="D389" s="10">
        <f>43.0893 * CHOOSE(CONTROL!$C$9, $D$9, 100%, $F$9) + CHOOSE(CONTROL!$C$27, 0.0021, 0)</f>
        <v>43.0914</v>
      </c>
      <c r="E389" s="10">
        <f>42.9526 * CHOOSE(CONTROL!$C$9, $D$9, 100%, $F$9) + CHOOSE(CONTROL!$C$27, 0.0021, 0)</f>
        <v>42.954699999999995</v>
      </c>
      <c r="F389" s="10">
        <f>42.9526 * CHOOSE(CONTROL!$C$9, $D$9, 100%, $F$9) + CHOOSE(CONTROL!$C$27, 0.0021, 0)</f>
        <v>42.954699999999995</v>
      </c>
      <c r="G389" s="10">
        <f>43.224 * CHOOSE(CONTROL!$C$9, $D$9, 100%, $F$9) + CHOOSE(CONTROL!$C$27, 0.0021, 0)</f>
        <v>43.226099999999995</v>
      </c>
      <c r="H389" s="10">
        <f>43.0893 * CHOOSE(CONTROL!$C$9, $D$9, 100%, $F$9) + CHOOSE(CONTROL!$C$27, 0.0021, 0)</f>
        <v>43.0914</v>
      </c>
      <c r="I389" s="10">
        <f>43.0893 * CHOOSE(CONTROL!$C$9, $D$9, 100%, $F$9) + CHOOSE(CONTROL!$C$27, 0.0021, 0)</f>
        <v>43.0914</v>
      </c>
      <c r="J389" s="10">
        <f>43.0893 * CHOOSE(CONTROL!$C$9, $D$9, 100%, $F$9) + CHOOSE(CONTROL!$C$27, 0.0021, 0)</f>
        <v>43.0914</v>
      </c>
      <c r="K389" s="10">
        <f>43.0893 * CHOOSE(CONTROL!$C$9, $D$9, 100%, $F$9) + CHOOSE(CONTROL!$C$27, 0.0021, 0)</f>
        <v>43.0914</v>
      </c>
      <c r="L389" s="10"/>
    </row>
    <row r="390" spans="1:12" ht="15.75" x14ac:dyDescent="0.25">
      <c r="A390" s="14">
        <v>53174</v>
      </c>
      <c r="B390" s="10">
        <f>44.3492 * CHOOSE(CONTROL!$C$9, $D$9, 100%, $F$9) + CHOOSE(CONTROL!$C$27, 0.0021, 0)</f>
        <v>44.351300000000002</v>
      </c>
      <c r="C390" s="10">
        <f>43.917 * CHOOSE(CONTROL!$C$9, $D$9, 100%, $F$9) + CHOOSE(CONTROL!$C$27, 0.0021, 0)</f>
        <v>43.9191</v>
      </c>
      <c r="D390" s="10">
        <f>43.917 * CHOOSE(CONTROL!$C$9, $D$9, 100%, $F$9) + CHOOSE(CONTROL!$C$27, 0.0021, 0)</f>
        <v>43.9191</v>
      </c>
      <c r="E390" s="10">
        <f>43.7803 * CHOOSE(CONTROL!$C$9, $D$9, 100%, $F$9) + CHOOSE(CONTROL!$C$27, 0.0021, 0)</f>
        <v>43.782399999999996</v>
      </c>
      <c r="F390" s="10">
        <f>43.7803 * CHOOSE(CONTROL!$C$9, $D$9, 100%, $F$9) + CHOOSE(CONTROL!$C$27, 0.0021, 0)</f>
        <v>43.782399999999996</v>
      </c>
      <c r="G390" s="10">
        <f>44.0517 * CHOOSE(CONTROL!$C$9, $D$9, 100%, $F$9) + CHOOSE(CONTROL!$C$27, 0.0021, 0)</f>
        <v>44.053799999999995</v>
      </c>
      <c r="H390" s="10">
        <f>43.917 * CHOOSE(CONTROL!$C$9, $D$9, 100%, $F$9) + CHOOSE(CONTROL!$C$27, 0.0021, 0)</f>
        <v>43.9191</v>
      </c>
      <c r="I390" s="10">
        <f>43.917 * CHOOSE(CONTROL!$C$9, $D$9, 100%, $F$9) + CHOOSE(CONTROL!$C$27, 0.0021, 0)</f>
        <v>43.9191</v>
      </c>
      <c r="J390" s="10">
        <f>43.917 * CHOOSE(CONTROL!$C$9, $D$9, 100%, $F$9) + CHOOSE(CONTROL!$C$27, 0.0021, 0)</f>
        <v>43.9191</v>
      </c>
      <c r="K390" s="10">
        <f>43.917 * CHOOSE(CONTROL!$C$9, $D$9, 100%, $F$9) + CHOOSE(CONTROL!$C$27, 0.0021, 0)</f>
        <v>43.9191</v>
      </c>
      <c r="L390" s="10"/>
    </row>
    <row r="391" spans="1:12" ht="15.75" x14ac:dyDescent="0.25">
      <c r="A391" s="14">
        <v>53205</v>
      </c>
      <c r="B391" s="10">
        <f>44.6019 * CHOOSE(CONTROL!$C$9, $D$9, 100%, $F$9) + CHOOSE(CONTROL!$C$27, 0.0021, 0)</f>
        <v>44.603999999999999</v>
      </c>
      <c r="C391" s="10">
        <f>44.1696 * CHOOSE(CONTROL!$C$9, $D$9, 100%, $F$9) + CHOOSE(CONTROL!$C$27, 0.0021, 0)</f>
        <v>44.171700000000001</v>
      </c>
      <c r="D391" s="10">
        <f>44.1696 * CHOOSE(CONTROL!$C$9, $D$9, 100%, $F$9) + CHOOSE(CONTROL!$C$27, 0.0021, 0)</f>
        <v>44.171700000000001</v>
      </c>
      <c r="E391" s="10">
        <f>44.033 * CHOOSE(CONTROL!$C$9, $D$9, 100%, $F$9) + CHOOSE(CONTROL!$C$27, 0.0021, 0)</f>
        <v>44.0351</v>
      </c>
      <c r="F391" s="10">
        <f>44.033 * CHOOSE(CONTROL!$C$9, $D$9, 100%, $F$9) + CHOOSE(CONTROL!$C$27, 0.0021, 0)</f>
        <v>44.0351</v>
      </c>
      <c r="G391" s="10">
        <f>44.3043 * CHOOSE(CONTROL!$C$9, $D$9, 100%, $F$9) + CHOOSE(CONTROL!$C$27, 0.0021, 0)</f>
        <v>44.306399999999996</v>
      </c>
      <c r="H391" s="10">
        <f>44.1696 * CHOOSE(CONTROL!$C$9, $D$9, 100%, $F$9) + CHOOSE(CONTROL!$C$27, 0.0021, 0)</f>
        <v>44.171700000000001</v>
      </c>
      <c r="I391" s="10">
        <f>44.1696 * CHOOSE(CONTROL!$C$9, $D$9, 100%, $F$9) + CHOOSE(CONTROL!$C$27, 0.0021, 0)</f>
        <v>44.171700000000001</v>
      </c>
      <c r="J391" s="10">
        <f>44.1696 * CHOOSE(CONTROL!$C$9, $D$9, 100%, $F$9) + CHOOSE(CONTROL!$C$27, 0.0021, 0)</f>
        <v>44.171700000000001</v>
      </c>
      <c r="K391" s="10">
        <f>44.1696 * CHOOSE(CONTROL!$C$9, $D$9, 100%, $F$9) + CHOOSE(CONTROL!$C$27, 0.0021, 0)</f>
        <v>44.171700000000001</v>
      </c>
      <c r="L391" s="10"/>
    </row>
    <row r="392" spans="1:12" ht="15.75" x14ac:dyDescent="0.25">
      <c r="A392" s="14">
        <v>53235</v>
      </c>
      <c r="B392" s="10">
        <f>45.4622 * CHOOSE(CONTROL!$C$9, $D$9, 100%, $F$9) + CHOOSE(CONTROL!$C$27, 0.0021, 0)</f>
        <v>45.464300000000001</v>
      </c>
      <c r="C392" s="10">
        <f>45.03 * CHOOSE(CONTROL!$C$9, $D$9, 100%, $F$9) + CHOOSE(CONTROL!$C$27, 0.0021, 0)</f>
        <v>45.0321</v>
      </c>
      <c r="D392" s="10">
        <f>45.03 * CHOOSE(CONTROL!$C$9, $D$9, 100%, $F$9) + CHOOSE(CONTROL!$C$27, 0.0021, 0)</f>
        <v>45.0321</v>
      </c>
      <c r="E392" s="10">
        <f>44.8933 * CHOOSE(CONTROL!$C$9, $D$9, 100%, $F$9) + CHOOSE(CONTROL!$C$27, 0.0021, 0)</f>
        <v>44.895400000000002</v>
      </c>
      <c r="F392" s="10">
        <f>44.8933 * CHOOSE(CONTROL!$C$9, $D$9, 100%, $F$9) + CHOOSE(CONTROL!$C$27, 0.0021, 0)</f>
        <v>44.895400000000002</v>
      </c>
      <c r="G392" s="10">
        <f>45.1647 * CHOOSE(CONTROL!$C$9, $D$9, 100%, $F$9) + CHOOSE(CONTROL!$C$27, 0.0021, 0)</f>
        <v>45.166800000000002</v>
      </c>
      <c r="H392" s="10">
        <f>45.03 * CHOOSE(CONTROL!$C$9, $D$9, 100%, $F$9) + CHOOSE(CONTROL!$C$27, 0.0021, 0)</f>
        <v>45.0321</v>
      </c>
      <c r="I392" s="10">
        <f>45.03 * CHOOSE(CONTROL!$C$9, $D$9, 100%, $F$9) + CHOOSE(CONTROL!$C$27, 0.0021, 0)</f>
        <v>45.0321</v>
      </c>
      <c r="J392" s="10">
        <f>45.03 * CHOOSE(CONTROL!$C$9, $D$9, 100%, $F$9) + CHOOSE(CONTROL!$C$27, 0.0021, 0)</f>
        <v>45.0321</v>
      </c>
      <c r="K392" s="10">
        <f>45.03 * CHOOSE(CONTROL!$C$9, $D$9, 100%, $F$9) + CHOOSE(CONTROL!$C$27, 0.0021, 0)</f>
        <v>45.0321</v>
      </c>
      <c r="L392" s="10"/>
    </row>
    <row r="393" spans="1:12" ht="15.75" x14ac:dyDescent="0.25">
      <c r="A393" s="14">
        <v>53266</v>
      </c>
      <c r="B393" s="10">
        <f>46.5513 * CHOOSE(CONTROL!$C$9, $D$9, 100%, $F$9) + CHOOSE(CONTROL!$C$27, 0.0021, 0)</f>
        <v>46.553399999999996</v>
      </c>
      <c r="C393" s="10">
        <f>46.1191 * CHOOSE(CONTROL!$C$9, $D$9, 100%, $F$9) + CHOOSE(CONTROL!$C$27, 0.0021, 0)</f>
        <v>46.121200000000002</v>
      </c>
      <c r="D393" s="10">
        <f>46.1191 * CHOOSE(CONTROL!$C$9, $D$9, 100%, $F$9) + CHOOSE(CONTROL!$C$27, 0.0021, 0)</f>
        <v>46.121200000000002</v>
      </c>
      <c r="E393" s="10">
        <f>45.9824 * CHOOSE(CONTROL!$C$9, $D$9, 100%, $F$9) + CHOOSE(CONTROL!$C$27, 0.0021, 0)</f>
        <v>45.984499999999997</v>
      </c>
      <c r="F393" s="10">
        <f>45.9824 * CHOOSE(CONTROL!$C$9, $D$9, 100%, $F$9) + CHOOSE(CONTROL!$C$27, 0.0021, 0)</f>
        <v>45.984499999999997</v>
      </c>
      <c r="G393" s="10">
        <f>46.2538 * CHOOSE(CONTROL!$C$9, $D$9, 100%, $F$9) + CHOOSE(CONTROL!$C$27, 0.0021, 0)</f>
        <v>46.255899999999997</v>
      </c>
      <c r="H393" s="10">
        <f>46.1191 * CHOOSE(CONTROL!$C$9, $D$9, 100%, $F$9) + CHOOSE(CONTROL!$C$27, 0.0021, 0)</f>
        <v>46.121200000000002</v>
      </c>
      <c r="I393" s="10">
        <f>46.1191 * CHOOSE(CONTROL!$C$9, $D$9, 100%, $F$9) + CHOOSE(CONTROL!$C$27, 0.0021, 0)</f>
        <v>46.121200000000002</v>
      </c>
      <c r="J393" s="10">
        <f>46.1191 * CHOOSE(CONTROL!$C$9, $D$9, 100%, $F$9) + CHOOSE(CONTROL!$C$27, 0.0021, 0)</f>
        <v>46.121200000000002</v>
      </c>
      <c r="K393" s="10">
        <f>46.1191 * CHOOSE(CONTROL!$C$9, $D$9, 100%, $F$9) + CHOOSE(CONTROL!$C$27, 0.0021, 0)</f>
        <v>46.121200000000002</v>
      </c>
      <c r="L393" s="10"/>
    </row>
    <row r="394" spans="1:12" ht="15.75" x14ac:dyDescent="0.25">
      <c r="A394" s="14">
        <v>53296</v>
      </c>
      <c r="B394" s="10">
        <f>46.6535 * CHOOSE(CONTROL!$C$9, $D$9, 100%, $F$9) + CHOOSE(CONTROL!$C$27, 0.0021, 0)</f>
        <v>46.6556</v>
      </c>
      <c r="C394" s="10">
        <f>46.2213 * CHOOSE(CONTROL!$C$9, $D$9, 100%, $F$9) + CHOOSE(CONTROL!$C$27, 0.0021, 0)</f>
        <v>46.223399999999998</v>
      </c>
      <c r="D394" s="10">
        <f>46.2213 * CHOOSE(CONTROL!$C$9, $D$9, 100%, $F$9) + CHOOSE(CONTROL!$C$27, 0.0021, 0)</f>
        <v>46.223399999999998</v>
      </c>
      <c r="E394" s="10">
        <f>46.0846 * CHOOSE(CONTROL!$C$9, $D$9, 100%, $F$9) + CHOOSE(CONTROL!$C$27, 0.0021, 0)</f>
        <v>46.0867</v>
      </c>
      <c r="F394" s="10">
        <f>46.0846 * CHOOSE(CONTROL!$C$9, $D$9, 100%, $F$9) + CHOOSE(CONTROL!$C$27, 0.0021, 0)</f>
        <v>46.0867</v>
      </c>
      <c r="G394" s="10">
        <f>46.356 * CHOOSE(CONTROL!$C$9, $D$9, 100%, $F$9) + CHOOSE(CONTROL!$C$27, 0.0021, 0)</f>
        <v>46.3581</v>
      </c>
      <c r="H394" s="10">
        <f>46.2213 * CHOOSE(CONTROL!$C$9, $D$9, 100%, $F$9) + CHOOSE(CONTROL!$C$27, 0.0021, 0)</f>
        <v>46.223399999999998</v>
      </c>
      <c r="I394" s="10">
        <f>46.2213 * CHOOSE(CONTROL!$C$9, $D$9, 100%, $F$9) + CHOOSE(CONTROL!$C$27, 0.0021, 0)</f>
        <v>46.223399999999998</v>
      </c>
      <c r="J394" s="10">
        <f>46.2213 * CHOOSE(CONTROL!$C$9, $D$9, 100%, $F$9) + CHOOSE(CONTROL!$C$27, 0.0021, 0)</f>
        <v>46.223399999999998</v>
      </c>
      <c r="K394" s="10">
        <f>46.2213 * CHOOSE(CONTROL!$C$9, $D$9, 100%, $F$9) + CHOOSE(CONTROL!$C$27, 0.0021, 0)</f>
        <v>46.223399999999998</v>
      </c>
      <c r="L394" s="10"/>
    </row>
    <row r="395" spans="1:12" ht="15.75" x14ac:dyDescent="0.25">
      <c r="A395" s="14">
        <v>53327</v>
      </c>
      <c r="B395" s="10">
        <f>45.7837 * CHOOSE(CONTROL!$C$9, $D$9, 100%, $F$9) + CHOOSE(CONTROL!$C$27, 0.0021, 0)</f>
        <v>45.785800000000002</v>
      </c>
      <c r="C395" s="10">
        <f>45.3515 * CHOOSE(CONTROL!$C$9, $D$9, 100%, $F$9) + CHOOSE(CONTROL!$C$27, 0.0021, 0)</f>
        <v>45.3536</v>
      </c>
      <c r="D395" s="10">
        <f>45.3515 * CHOOSE(CONTROL!$C$9, $D$9, 100%, $F$9) + CHOOSE(CONTROL!$C$27, 0.0021, 0)</f>
        <v>45.3536</v>
      </c>
      <c r="E395" s="10">
        <f>45.2148 * CHOOSE(CONTROL!$C$9, $D$9, 100%, $F$9) + CHOOSE(CONTROL!$C$27, 0.0021, 0)</f>
        <v>45.216899999999995</v>
      </c>
      <c r="F395" s="10">
        <f>45.2148 * CHOOSE(CONTROL!$C$9, $D$9, 100%, $F$9) + CHOOSE(CONTROL!$C$27, 0.0021, 0)</f>
        <v>45.216899999999995</v>
      </c>
      <c r="G395" s="10">
        <f>45.4862 * CHOOSE(CONTROL!$C$9, $D$9, 100%, $F$9) + CHOOSE(CONTROL!$C$27, 0.0021, 0)</f>
        <v>45.488299999999995</v>
      </c>
      <c r="H395" s="10">
        <f>45.3515 * CHOOSE(CONTROL!$C$9, $D$9, 100%, $F$9) + CHOOSE(CONTROL!$C$27, 0.0021, 0)</f>
        <v>45.3536</v>
      </c>
      <c r="I395" s="10">
        <f>45.3515 * CHOOSE(CONTROL!$C$9, $D$9, 100%, $F$9) + CHOOSE(CONTROL!$C$27, 0.0021, 0)</f>
        <v>45.3536</v>
      </c>
      <c r="J395" s="10">
        <f>45.3515 * CHOOSE(CONTROL!$C$9, $D$9, 100%, $F$9) + CHOOSE(CONTROL!$C$27, 0.0021, 0)</f>
        <v>45.3536</v>
      </c>
      <c r="K395" s="10">
        <f>45.3515 * CHOOSE(CONTROL!$C$9, $D$9, 100%, $F$9) + CHOOSE(CONTROL!$C$27, 0.0021, 0)</f>
        <v>45.3536</v>
      </c>
      <c r="L395" s="10"/>
    </row>
    <row r="396" spans="1:12" ht="15.75" x14ac:dyDescent="0.25">
      <c r="A396" s="14">
        <v>53358</v>
      </c>
      <c r="B396" s="10">
        <f>45.1178 * CHOOSE(CONTROL!$C$9, $D$9, 100%, $F$9) + CHOOSE(CONTROL!$C$27, 0.0021, 0)</f>
        <v>45.119900000000001</v>
      </c>
      <c r="C396" s="10">
        <f>44.6855 * CHOOSE(CONTROL!$C$9, $D$9, 100%, $F$9) + CHOOSE(CONTROL!$C$27, 0.0021, 0)</f>
        <v>44.687599999999996</v>
      </c>
      <c r="D396" s="10">
        <f>44.6855 * CHOOSE(CONTROL!$C$9, $D$9, 100%, $F$9) + CHOOSE(CONTROL!$C$27, 0.0021, 0)</f>
        <v>44.687599999999996</v>
      </c>
      <c r="E396" s="10">
        <f>44.5489 * CHOOSE(CONTROL!$C$9, $D$9, 100%, $F$9) + CHOOSE(CONTROL!$C$27, 0.0021, 0)</f>
        <v>44.551000000000002</v>
      </c>
      <c r="F396" s="10">
        <f>44.5489 * CHOOSE(CONTROL!$C$9, $D$9, 100%, $F$9) + CHOOSE(CONTROL!$C$27, 0.0021, 0)</f>
        <v>44.551000000000002</v>
      </c>
      <c r="G396" s="10">
        <f>44.8202 * CHOOSE(CONTROL!$C$9, $D$9, 100%, $F$9) + CHOOSE(CONTROL!$C$27, 0.0021, 0)</f>
        <v>44.822299999999998</v>
      </c>
      <c r="H396" s="10">
        <f>44.6855 * CHOOSE(CONTROL!$C$9, $D$9, 100%, $F$9) + CHOOSE(CONTROL!$C$27, 0.0021, 0)</f>
        <v>44.687599999999996</v>
      </c>
      <c r="I396" s="10">
        <f>44.6855 * CHOOSE(CONTROL!$C$9, $D$9, 100%, $F$9) + CHOOSE(CONTROL!$C$27, 0.0021, 0)</f>
        <v>44.687599999999996</v>
      </c>
      <c r="J396" s="10">
        <f>44.6855 * CHOOSE(CONTROL!$C$9, $D$9, 100%, $F$9) + CHOOSE(CONTROL!$C$27, 0.0021, 0)</f>
        <v>44.687599999999996</v>
      </c>
      <c r="K396" s="10">
        <f>44.6855 * CHOOSE(CONTROL!$C$9, $D$9, 100%, $F$9) + CHOOSE(CONTROL!$C$27, 0.0021, 0)</f>
        <v>44.687599999999996</v>
      </c>
      <c r="L396" s="10"/>
    </row>
    <row r="397" spans="1:12" ht="15.75" x14ac:dyDescent="0.25">
      <c r="A397" s="14">
        <v>53386</v>
      </c>
      <c r="B397" s="10">
        <f>43.9064 * CHOOSE(CONTROL!$C$9, $D$9, 100%, $F$9) + CHOOSE(CONTROL!$C$27, 0.0021, 0)</f>
        <v>43.908499999999997</v>
      </c>
      <c r="C397" s="10">
        <f>43.4742 * CHOOSE(CONTROL!$C$9, $D$9, 100%, $F$9) + CHOOSE(CONTROL!$C$27, 0.0021, 0)</f>
        <v>43.476300000000002</v>
      </c>
      <c r="D397" s="10">
        <f>43.4742 * CHOOSE(CONTROL!$C$9, $D$9, 100%, $F$9) + CHOOSE(CONTROL!$C$27, 0.0021, 0)</f>
        <v>43.476300000000002</v>
      </c>
      <c r="E397" s="10">
        <f>43.3375 * CHOOSE(CONTROL!$C$9, $D$9, 100%, $F$9) + CHOOSE(CONTROL!$C$27, 0.0021, 0)</f>
        <v>43.339599999999997</v>
      </c>
      <c r="F397" s="10">
        <f>43.3375 * CHOOSE(CONTROL!$C$9, $D$9, 100%, $F$9) + CHOOSE(CONTROL!$C$27, 0.0021, 0)</f>
        <v>43.339599999999997</v>
      </c>
      <c r="G397" s="10">
        <f>43.6089 * CHOOSE(CONTROL!$C$9, $D$9, 100%, $F$9) + CHOOSE(CONTROL!$C$27, 0.0021, 0)</f>
        <v>43.610999999999997</v>
      </c>
      <c r="H397" s="10">
        <f>43.4742 * CHOOSE(CONTROL!$C$9, $D$9, 100%, $F$9) + CHOOSE(CONTROL!$C$27, 0.0021, 0)</f>
        <v>43.476300000000002</v>
      </c>
      <c r="I397" s="10">
        <f>43.4742 * CHOOSE(CONTROL!$C$9, $D$9, 100%, $F$9) + CHOOSE(CONTROL!$C$27, 0.0021, 0)</f>
        <v>43.476300000000002</v>
      </c>
      <c r="J397" s="10">
        <f>43.4742 * CHOOSE(CONTROL!$C$9, $D$9, 100%, $F$9) + CHOOSE(CONTROL!$C$27, 0.0021, 0)</f>
        <v>43.476300000000002</v>
      </c>
      <c r="K397" s="10">
        <f>43.4742 * CHOOSE(CONTROL!$C$9, $D$9, 100%, $F$9) + CHOOSE(CONTROL!$C$27, 0.0021, 0)</f>
        <v>43.476300000000002</v>
      </c>
      <c r="L397" s="10"/>
    </row>
    <row r="398" spans="1:12" ht="15.75" x14ac:dyDescent="0.25">
      <c r="A398" s="14">
        <v>53417</v>
      </c>
      <c r="B398" s="10">
        <f>43.4064 * CHOOSE(CONTROL!$C$9, $D$9, 100%, $F$9) + CHOOSE(CONTROL!$C$27, 0.0021, 0)</f>
        <v>43.408499999999997</v>
      </c>
      <c r="C398" s="10">
        <f>42.9741 * CHOOSE(CONTROL!$C$9, $D$9, 100%, $F$9) + CHOOSE(CONTROL!$C$27, 0.0021, 0)</f>
        <v>42.976199999999999</v>
      </c>
      <c r="D398" s="10">
        <f>42.9741 * CHOOSE(CONTROL!$C$9, $D$9, 100%, $F$9) + CHOOSE(CONTROL!$C$27, 0.0021, 0)</f>
        <v>42.976199999999999</v>
      </c>
      <c r="E398" s="10">
        <f>42.8375 * CHOOSE(CONTROL!$C$9, $D$9, 100%, $F$9) + CHOOSE(CONTROL!$C$27, 0.0021, 0)</f>
        <v>42.839599999999997</v>
      </c>
      <c r="F398" s="10">
        <f>42.8375 * CHOOSE(CONTROL!$C$9, $D$9, 100%, $F$9) + CHOOSE(CONTROL!$C$27, 0.0021, 0)</f>
        <v>42.839599999999997</v>
      </c>
      <c r="G398" s="10">
        <f>43.1089 * CHOOSE(CONTROL!$C$9, $D$9, 100%, $F$9) + CHOOSE(CONTROL!$C$27, 0.0021, 0)</f>
        <v>43.110999999999997</v>
      </c>
      <c r="H398" s="10">
        <f>42.9741 * CHOOSE(CONTROL!$C$9, $D$9, 100%, $F$9) + CHOOSE(CONTROL!$C$27, 0.0021, 0)</f>
        <v>42.976199999999999</v>
      </c>
      <c r="I398" s="10">
        <f>42.9741 * CHOOSE(CONTROL!$C$9, $D$9, 100%, $F$9) + CHOOSE(CONTROL!$C$27, 0.0021, 0)</f>
        <v>42.976199999999999</v>
      </c>
      <c r="J398" s="10">
        <f>42.9741 * CHOOSE(CONTROL!$C$9, $D$9, 100%, $F$9) + CHOOSE(CONTROL!$C$27, 0.0021, 0)</f>
        <v>42.976199999999999</v>
      </c>
      <c r="K398" s="10">
        <f>42.9741 * CHOOSE(CONTROL!$C$9, $D$9, 100%, $F$9) + CHOOSE(CONTROL!$C$27, 0.0021, 0)</f>
        <v>42.976199999999999</v>
      </c>
      <c r="L398" s="10"/>
    </row>
    <row r="399" spans="1:12" ht="15.75" x14ac:dyDescent="0.25">
      <c r="A399" s="14">
        <v>53447</v>
      </c>
      <c r="B399" s="10">
        <f>42.8093 * CHOOSE(CONTROL!$C$9, $D$9, 100%, $F$9) + CHOOSE(CONTROL!$C$27, 0.0021, 0)</f>
        <v>42.811399999999999</v>
      </c>
      <c r="C399" s="10">
        <f>42.3771 * CHOOSE(CONTROL!$C$9, $D$9, 100%, $F$9) + CHOOSE(CONTROL!$C$27, 0.0021, 0)</f>
        <v>42.379199999999997</v>
      </c>
      <c r="D399" s="10">
        <f>42.3771 * CHOOSE(CONTROL!$C$9, $D$9, 100%, $F$9) + CHOOSE(CONTROL!$C$27, 0.0021, 0)</f>
        <v>42.379199999999997</v>
      </c>
      <c r="E399" s="10">
        <f>42.2404 * CHOOSE(CONTROL!$C$9, $D$9, 100%, $F$9) + CHOOSE(CONTROL!$C$27, 0.0021, 0)</f>
        <v>42.2425</v>
      </c>
      <c r="F399" s="10">
        <f>42.2404 * CHOOSE(CONTROL!$C$9, $D$9, 100%, $F$9) + CHOOSE(CONTROL!$C$27, 0.0021, 0)</f>
        <v>42.2425</v>
      </c>
      <c r="G399" s="10">
        <f>42.5118 * CHOOSE(CONTROL!$C$9, $D$9, 100%, $F$9) + CHOOSE(CONTROL!$C$27, 0.0021, 0)</f>
        <v>42.5139</v>
      </c>
      <c r="H399" s="10">
        <f>42.3771 * CHOOSE(CONTROL!$C$9, $D$9, 100%, $F$9) + CHOOSE(CONTROL!$C$27, 0.0021, 0)</f>
        <v>42.379199999999997</v>
      </c>
      <c r="I399" s="10">
        <f>42.3771 * CHOOSE(CONTROL!$C$9, $D$9, 100%, $F$9) + CHOOSE(CONTROL!$C$27, 0.0021, 0)</f>
        <v>42.379199999999997</v>
      </c>
      <c r="J399" s="10">
        <f>42.3771 * CHOOSE(CONTROL!$C$9, $D$9, 100%, $F$9) + CHOOSE(CONTROL!$C$27, 0.0021, 0)</f>
        <v>42.379199999999997</v>
      </c>
      <c r="K399" s="10">
        <f>42.3771 * CHOOSE(CONTROL!$C$9, $D$9, 100%, $F$9) + CHOOSE(CONTROL!$C$27, 0.0021, 0)</f>
        <v>42.379199999999997</v>
      </c>
      <c r="L399" s="10"/>
    </row>
    <row r="400" spans="1:12" ht="15.75" x14ac:dyDescent="0.25">
      <c r="A400" s="14">
        <v>53478</v>
      </c>
      <c r="B400" s="10">
        <f>43.6602 * CHOOSE(CONTROL!$C$9, $D$9, 100%, $F$9) + CHOOSE(CONTROL!$C$27, 0.0021, 0)</f>
        <v>43.662300000000002</v>
      </c>
      <c r="C400" s="10">
        <f>43.228 * CHOOSE(CONTROL!$C$9, $D$9, 100%, $F$9) + CHOOSE(CONTROL!$C$27, 0.0021, 0)</f>
        <v>43.2301</v>
      </c>
      <c r="D400" s="10">
        <f>43.228 * CHOOSE(CONTROL!$C$9, $D$9, 100%, $F$9) + CHOOSE(CONTROL!$C$27, 0.0021, 0)</f>
        <v>43.2301</v>
      </c>
      <c r="E400" s="10">
        <f>43.0913 * CHOOSE(CONTROL!$C$9, $D$9, 100%, $F$9) + CHOOSE(CONTROL!$C$27, 0.0021, 0)</f>
        <v>43.093399999999995</v>
      </c>
      <c r="F400" s="10">
        <f>43.0913 * CHOOSE(CONTROL!$C$9, $D$9, 100%, $F$9) + CHOOSE(CONTROL!$C$27, 0.0021, 0)</f>
        <v>43.093399999999995</v>
      </c>
      <c r="G400" s="10">
        <f>43.3627 * CHOOSE(CONTROL!$C$9, $D$9, 100%, $F$9) + CHOOSE(CONTROL!$C$27, 0.0021, 0)</f>
        <v>43.364799999999995</v>
      </c>
      <c r="H400" s="10">
        <f>43.228 * CHOOSE(CONTROL!$C$9, $D$9, 100%, $F$9) + CHOOSE(CONTROL!$C$27, 0.0021, 0)</f>
        <v>43.2301</v>
      </c>
      <c r="I400" s="10">
        <f>43.228 * CHOOSE(CONTROL!$C$9, $D$9, 100%, $F$9) + CHOOSE(CONTROL!$C$27, 0.0021, 0)</f>
        <v>43.2301</v>
      </c>
      <c r="J400" s="10">
        <f>43.228 * CHOOSE(CONTROL!$C$9, $D$9, 100%, $F$9) + CHOOSE(CONTROL!$C$27, 0.0021, 0)</f>
        <v>43.2301</v>
      </c>
      <c r="K400" s="10">
        <f>43.228 * CHOOSE(CONTROL!$C$9, $D$9, 100%, $F$9) + CHOOSE(CONTROL!$C$27, 0.0021, 0)</f>
        <v>43.2301</v>
      </c>
      <c r="L400" s="10"/>
    </row>
    <row r="401" spans="1:12" ht="15.75" x14ac:dyDescent="0.25">
      <c r="A401" s="14">
        <v>53508</v>
      </c>
      <c r="B401" s="10">
        <f>44.1699 * CHOOSE(CONTROL!$C$9, $D$9, 100%, $F$9) + CHOOSE(CONTROL!$C$27, 0.0021, 0)</f>
        <v>44.171999999999997</v>
      </c>
      <c r="C401" s="10">
        <f>43.7376 * CHOOSE(CONTROL!$C$9, $D$9, 100%, $F$9) + CHOOSE(CONTROL!$C$27, 0.0021, 0)</f>
        <v>43.739699999999999</v>
      </c>
      <c r="D401" s="10">
        <f>43.7376 * CHOOSE(CONTROL!$C$9, $D$9, 100%, $F$9) + CHOOSE(CONTROL!$C$27, 0.0021, 0)</f>
        <v>43.739699999999999</v>
      </c>
      <c r="E401" s="10">
        <f>43.6009 * CHOOSE(CONTROL!$C$9, $D$9, 100%, $F$9) + CHOOSE(CONTROL!$C$27, 0.0021, 0)</f>
        <v>43.603000000000002</v>
      </c>
      <c r="F401" s="10">
        <f>43.6009 * CHOOSE(CONTROL!$C$9, $D$9, 100%, $F$9) + CHOOSE(CONTROL!$C$27, 0.0021, 0)</f>
        <v>43.603000000000002</v>
      </c>
      <c r="G401" s="10">
        <f>43.8723 * CHOOSE(CONTROL!$C$9, $D$9, 100%, $F$9) + CHOOSE(CONTROL!$C$27, 0.0021, 0)</f>
        <v>43.874400000000001</v>
      </c>
      <c r="H401" s="10">
        <f>43.7376 * CHOOSE(CONTROL!$C$9, $D$9, 100%, $F$9) + CHOOSE(CONTROL!$C$27, 0.0021, 0)</f>
        <v>43.739699999999999</v>
      </c>
      <c r="I401" s="10">
        <f>43.7376 * CHOOSE(CONTROL!$C$9, $D$9, 100%, $F$9) + CHOOSE(CONTROL!$C$27, 0.0021, 0)</f>
        <v>43.739699999999999</v>
      </c>
      <c r="J401" s="10">
        <f>43.7376 * CHOOSE(CONTROL!$C$9, $D$9, 100%, $F$9) + CHOOSE(CONTROL!$C$27, 0.0021, 0)</f>
        <v>43.739699999999999</v>
      </c>
      <c r="K401" s="10">
        <f>43.7376 * CHOOSE(CONTROL!$C$9, $D$9, 100%, $F$9) + CHOOSE(CONTROL!$C$27, 0.0021, 0)</f>
        <v>43.739699999999999</v>
      </c>
      <c r="L401" s="10"/>
    </row>
    <row r="402" spans="1:12" ht="15.75" x14ac:dyDescent="0.25">
      <c r="A402" s="14">
        <v>53539</v>
      </c>
      <c r="B402" s="10">
        <f>45.0106 * CHOOSE(CONTROL!$C$9, $D$9, 100%, $F$9) + CHOOSE(CONTROL!$C$27, 0.0021, 0)</f>
        <v>45.012699999999995</v>
      </c>
      <c r="C402" s="10">
        <f>44.5783 * CHOOSE(CONTROL!$C$9, $D$9, 100%, $F$9) + CHOOSE(CONTROL!$C$27, 0.0021, 0)</f>
        <v>44.580399999999997</v>
      </c>
      <c r="D402" s="10">
        <f>44.5783 * CHOOSE(CONTROL!$C$9, $D$9, 100%, $F$9) + CHOOSE(CONTROL!$C$27, 0.0021, 0)</f>
        <v>44.580399999999997</v>
      </c>
      <c r="E402" s="10">
        <f>44.4417 * CHOOSE(CONTROL!$C$9, $D$9, 100%, $F$9) + CHOOSE(CONTROL!$C$27, 0.0021, 0)</f>
        <v>44.443799999999996</v>
      </c>
      <c r="F402" s="10">
        <f>44.4417 * CHOOSE(CONTROL!$C$9, $D$9, 100%, $F$9) + CHOOSE(CONTROL!$C$27, 0.0021, 0)</f>
        <v>44.443799999999996</v>
      </c>
      <c r="G402" s="10">
        <f>44.713 * CHOOSE(CONTROL!$C$9, $D$9, 100%, $F$9) + CHOOSE(CONTROL!$C$27, 0.0021, 0)</f>
        <v>44.7151</v>
      </c>
      <c r="H402" s="10">
        <f>44.5783 * CHOOSE(CONTROL!$C$9, $D$9, 100%, $F$9) + CHOOSE(CONTROL!$C$27, 0.0021, 0)</f>
        <v>44.580399999999997</v>
      </c>
      <c r="I402" s="10">
        <f>44.5783 * CHOOSE(CONTROL!$C$9, $D$9, 100%, $F$9) + CHOOSE(CONTROL!$C$27, 0.0021, 0)</f>
        <v>44.580399999999997</v>
      </c>
      <c r="J402" s="10">
        <f>44.5783 * CHOOSE(CONTROL!$C$9, $D$9, 100%, $F$9) + CHOOSE(CONTROL!$C$27, 0.0021, 0)</f>
        <v>44.580399999999997</v>
      </c>
      <c r="K402" s="10">
        <f>44.5783 * CHOOSE(CONTROL!$C$9, $D$9, 100%, $F$9) + CHOOSE(CONTROL!$C$27, 0.0021, 0)</f>
        <v>44.580399999999997</v>
      </c>
      <c r="L402" s="10"/>
    </row>
    <row r="403" spans="1:12" ht="15.75" x14ac:dyDescent="0.25">
      <c r="A403" s="14">
        <v>53570</v>
      </c>
      <c r="B403" s="10">
        <f>45.2672 * CHOOSE(CONTROL!$C$9, $D$9, 100%, $F$9) + CHOOSE(CONTROL!$C$27, 0.0021, 0)</f>
        <v>45.269300000000001</v>
      </c>
      <c r="C403" s="10">
        <f>44.8349 * CHOOSE(CONTROL!$C$9, $D$9, 100%, $F$9) + CHOOSE(CONTROL!$C$27, 0.0021, 0)</f>
        <v>44.836999999999996</v>
      </c>
      <c r="D403" s="10">
        <f>44.8349 * CHOOSE(CONTROL!$C$9, $D$9, 100%, $F$9) + CHOOSE(CONTROL!$C$27, 0.0021, 0)</f>
        <v>44.836999999999996</v>
      </c>
      <c r="E403" s="10">
        <f>44.6983 * CHOOSE(CONTROL!$C$9, $D$9, 100%, $F$9) + CHOOSE(CONTROL!$C$27, 0.0021, 0)</f>
        <v>44.700400000000002</v>
      </c>
      <c r="F403" s="10">
        <f>44.6983 * CHOOSE(CONTROL!$C$9, $D$9, 100%, $F$9) + CHOOSE(CONTROL!$C$27, 0.0021, 0)</f>
        <v>44.700400000000002</v>
      </c>
      <c r="G403" s="10">
        <f>44.9697 * CHOOSE(CONTROL!$C$9, $D$9, 100%, $F$9) + CHOOSE(CONTROL!$C$27, 0.0021, 0)</f>
        <v>44.971800000000002</v>
      </c>
      <c r="H403" s="10">
        <f>44.8349 * CHOOSE(CONTROL!$C$9, $D$9, 100%, $F$9) + CHOOSE(CONTROL!$C$27, 0.0021, 0)</f>
        <v>44.836999999999996</v>
      </c>
      <c r="I403" s="10">
        <f>44.8349 * CHOOSE(CONTROL!$C$9, $D$9, 100%, $F$9) + CHOOSE(CONTROL!$C$27, 0.0021, 0)</f>
        <v>44.836999999999996</v>
      </c>
      <c r="J403" s="10">
        <f>44.8349 * CHOOSE(CONTROL!$C$9, $D$9, 100%, $F$9) + CHOOSE(CONTROL!$C$27, 0.0021, 0)</f>
        <v>44.836999999999996</v>
      </c>
      <c r="K403" s="10">
        <f>44.8349 * CHOOSE(CONTROL!$C$9, $D$9, 100%, $F$9) + CHOOSE(CONTROL!$C$27, 0.0021, 0)</f>
        <v>44.836999999999996</v>
      </c>
      <c r="L403" s="10"/>
    </row>
    <row r="404" spans="1:12" ht="15.75" x14ac:dyDescent="0.25">
      <c r="A404" s="14">
        <v>53600</v>
      </c>
      <c r="B404" s="10">
        <f>46.1411 * CHOOSE(CONTROL!$C$9, $D$9, 100%, $F$9) + CHOOSE(CONTROL!$C$27, 0.0021, 0)</f>
        <v>46.1432</v>
      </c>
      <c r="C404" s="10">
        <f>45.7088 * CHOOSE(CONTROL!$C$9, $D$9, 100%, $F$9) + CHOOSE(CONTROL!$C$27, 0.0021, 0)</f>
        <v>45.710899999999995</v>
      </c>
      <c r="D404" s="10">
        <f>45.7088 * CHOOSE(CONTROL!$C$9, $D$9, 100%, $F$9) + CHOOSE(CONTROL!$C$27, 0.0021, 0)</f>
        <v>45.710899999999995</v>
      </c>
      <c r="E404" s="10">
        <f>45.5722 * CHOOSE(CONTROL!$C$9, $D$9, 100%, $F$9) + CHOOSE(CONTROL!$C$27, 0.0021, 0)</f>
        <v>45.574300000000001</v>
      </c>
      <c r="F404" s="10">
        <f>45.5722 * CHOOSE(CONTROL!$C$9, $D$9, 100%, $F$9) + CHOOSE(CONTROL!$C$27, 0.0021, 0)</f>
        <v>45.574300000000001</v>
      </c>
      <c r="G404" s="10">
        <f>45.8435 * CHOOSE(CONTROL!$C$9, $D$9, 100%, $F$9) + CHOOSE(CONTROL!$C$27, 0.0021, 0)</f>
        <v>45.845599999999997</v>
      </c>
      <c r="H404" s="10">
        <f>45.7088 * CHOOSE(CONTROL!$C$9, $D$9, 100%, $F$9) + CHOOSE(CONTROL!$C$27, 0.0021, 0)</f>
        <v>45.710899999999995</v>
      </c>
      <c r="I404" s="10">
        <f>45.7088 * CHOOSE(CONTROL!$C$9, $D$9, 100%, $F$9) + CHOOSE(CONTROL!$C$27, 0.0021, 0)</f>
        <v>45.710899999999995</v>
      </c>
      <c r="J404" s="10">
        <f>45.7088 * CHOOSE(CONTROL!$C$9, $D$9, 100%, $F$9) + CHOOSE(CONTROL!$C$27, 0.0021, 0)</f>
        <v>45.710899999999995</v>
      </c>
      <c r="K404" s="10">
        <f>45.7088 * CHOOSE(CONTROL!$C$9, $D$9, 100%, $F$9) + CHOOSE(CONTROL!$C$27, 0.0021, 0)</f>
        <v>45.710899999999995</v>
      </c>
      <c r="L404" s="10"/>
    </row>
    <row r="405" spans="1:12" ht="15.75" x14ac:dyDescent="0.25">
      <c r="A405" s="14">
        <v>53631</v>
      </c>
      <c r="B405" s="10">
        <f>47.2473 * CHOOSE(CONTROL!$C$9, $D$9, 100%, $F$9) + CHOOSE(CONTROL!$C$27, 0.0021, 0)</f>
        <v>47.249400000000001</v>
      </c>
      <c r="C405" s="10">
        <f>46.815 * CHOOSE(CONTROL!$C$9, $D$9, 100%, $F$9) + CHOOSE(CONTROL!$C$27, 0.0021, 0)</f>
        <v>46.817099999999996</v>
      </c>
      <c r="D405" s="10">
        <f>46.815 * CHOOSE(CONTROL!$C$9, $D$9, 100%, $F$9) + CHOOSE(CONTROL!$C$27, 0.0021, 0)</f>
        <v>46.817099999999996</v>
      </c>
      <c r="E405" s="10">
        <f>46.6784 * CHOOSE(CONTROL!$C$9, $D$9, 100%, $F$9) + CHOOSE(CONTROL!$C$27, 0.0021, 0)</f>
        <v>46.680500000000002</v>
      </c>
      <c r="F405" s="10">
        <f>46.6784 * CHOOSE(CONTROL!$C$9, $D$9, 100%, $F$9) + CHOOSE(CONTROL!$C$27, 0.0021, 0)</f>
        <v>46.680500000000002</v>
      </c>
      <c r="G405" s="10">
        <f>46.9497 * CHOOSE(CONTROL!$C$9, $D$9, 100%, $F$9) + CHOOSE(CONTROL!$C$27, 0.0021, 0)</f>
        <v>46.951799999999999</v>
      </c>
      <c r="H405" s="10">
        <f>46.815 * CHOOSE(CONTROL!$C$9, $D$9, 100%, $F$9) + CHOOSE(CONTROL!$C$27, 0.0021, 0)</f>
        <v>46.817099999999996</v>
      </c>
      <c r="I405" s="10">
        <f>46.815 * CHOOSE(CONTROL!$C$9, $D$9, 100%, $F$9) + CHOOSE(CONTROL!$C$27, 0.0021, 0)</f>
        <v>46.817099999999996</v>
      </c>
      <c r="J405" s="10">
        <f>46.815 * CHOOSE(CONTROL!$C$9, $D$9, 100%, $F$9) + CHOOSE(CONTROL!$C$27, 0.0021, 0)</f>
        <v>46.817099999999996</v>
      </c>
      <c r="K405" s="10">
        <f>46.815 * CHOOSE(CONTROL!$C$9, $D$9, 100%, $F$9) + CHOOSE(CONTROL!$C$27, 0.0021, 0)</f>
        <v>46.817099999999996</v>
      </c>
      <c r="L405" s="10"/>
    </row>
    <row r="406" spans="1:12" ht="15.75" x14ac:dyDescent="0.25">
      <c r="A406" s="14">
        <v>53661</v>
      </c>
      <c r="B406" s="10">
        <f>47.3511 * CHOOSE(CONTROL!$C$9, $D$9, 100%, $F$9) + CHOOSE(CONTROL!$C$27, 0.0021, 0)</f>
        <v>47.353200000000001</v>
      </c>
      <c r="C406" s="10">
        <f>46.9189 * CHOOSE(CONTROL!$C$9, $D$9, 100%, $F$9) + CHOOSE(CONTROL!$C$27, 0.0021, 0)</f>
        <v>46.920999999999999</v>
      </c>
      <c r="D406" s="10">
        <f>46.9189 * CHOOSE(CONTROL!$C$9, $D$9, 100%, $F$9) + CHOOSE(CONTROL!$C$27, 0.0021, 0)</f>
        <v>46.920999999999999</v>
      </c>
      <c r="E406" s="10">
        <f>46.7822 * CHOOSE(CONTROL!$C$9, $D$9, 100%, $F$9) + CHOOSE(CONTROL!$C$27, 0.0021, 0)</f>
        <v>46.784300000000002</v>
      </c>
      <c r="F406" s="10">
        <f>46.7822 * CHOOSE(CONTROL!$C$9, $D$9, 100%, $F$9) + CHOOSE(CONTROL!$C$27, 0.0021, 0)</f>
        <v>46.784300000000002</v>
      </c>
      <c r="G406" s="10">
        <f>47.0536 * CHOOSE(CONTROL!$C$9, $D$9, 100%, $F$9) + CHOOSE(CONTROL!$C$27, 0.0021, 0)</f>
        <v>47.055700000000002</v>
      </c>
      <c r="H406" s="10">
        <f>46.9189 * CHOOSE(CONTROL!$C$9, $D$9, 100%, $F$9) + CHOOSE(CONTROL!$C$27, 0.0021, 0)</f>
        <v>46.920999999999999</v>
      </c>
      <c r="I406" s="10">
        <f>46.9189 * CHOOSE(CONTROL!$C$9, $D$9, 100%, $F$9) + CHOOSE(CONTROL!$C$27, 0.0021, 0)</f>
        <v>46.920999999999999</v>
      </c>
      <c r="J406" s="10">
        <f>46.9189 * CHOOSE(CONTROL!$C$9, $D$9, 100%, $F$9) + CHOOSE(CONTROL!$C$27, 0.0021, 0)</f>
        <v>46.920999999999999</v>
      </c>
      <c r="K406" s="10">
        <f>46.9189 * CHOOSE(CONTROL!$C$9, $D$9, 100%, $F$9) + CHOOSE(CONTROL!$C$27, 0.0021, 0)</f>
        <v>46.920999999999999</v>
      </c>
      <c r="L406" s="10"/>
    </row>
    <row r="407" spans="1:12" ht="15.75" x14ac:dyDescent="0.25">
      <c r="A407" s="14">
        <v>53692</v>
      </c>
      <c r="B407" s="10">
        <f>46.4676 * CHOOSE(CONTROL!$C$9, $D$9, 100%, $F$9) + CHOOSE(CONTROL!$C$27, 0.0021, 0)</f>
        <v>46.469699999999996</v>
      </c>
      <c r="C407" s="10">
        <f>46.0354 * CHOOSE(CONTROL!$C$9, $D$9, 100%, $F$9) + CHOOSE(CONTROL!$C$27, 0.0021, 0)</f>
        <v>46.037500000000001</v>
      </c>
      <c r="D407" s="10">
        <f>46.0354 * CHOOSE(CONTROL!$C$9, $D$9, 100%, $F$9) + CHOOSE(CONTROL!$C$27, 0.0021, 0)</f>
        <v>46.037500000000001</v>
      </c>
      <c r="E407" s="10">
        <f>45.8987 * CHOOSE(CONTROL!$C$9, $D$9, 100%, $F$9) + CHOOSE(CONTROL!$C$27, 0.0021, 0)</f>
        <v>45.900799999999997</v>
      </c>
      <c r="F407" s="10">
        <f>45.8987 * CHOOSE(CONTROL!$C$9, $D$9, 100%, $F$9) + CHOOSE(CONTROL!$C$27, 0.0021, 0)</f>
        <v>45.900799999999997</v>
      </c>
      <c r="G407" s="10">
        <f>46.1701 * CHOOSE(CONTROL!$C$9, $D$9, 100%, $F$9) + CHOOSE(CONTROL!$C$27, 0.0021, 0)</f>
        <v>46.172199999999997</v>
      </c>
      <c r="H407" s="10">
        <f>46.0354 * CHOOSE(CONTROL!$C$9, $D$9, 100%, $F$9) + CHOOSE(CONTROL!$C$27, 0.0021, 0)</f>
        <v>46.037500000000001</v>
      </c>
      <c r="I407" s="10">
        <f>46.0354 * CHOOSE(CONTROL!$C$9, $D$9, 100%, $F$9) + CHOOSE(CONTROL!$C$27, 0.0021, 0)</f>
        <v>46.037500000000001</v>
      </c>
      <c r="J407" s="10">
        <f>46.0354 * CHOOSE(CONTROL!$C$9, $D$9, 100%, $F$9) + CHOOSE(CONTROL!$C$27, 0.0021, 0)</f>
        <v>46.037500000000001</v>
      </c>
      <c r="K407" s="10">
        <f>46.0354 * CHOOSE(CONTROL!$C$9, $D$9, 100%, $F$9) + CHOOSE(CONTROL!$C$27, 0.0021, 0)</f>
        <v>46.037500000000001</v>
      </c>
      <c r="L407" s="10"/>
    </row>
    <row r="408" spans="1:12" ht="15.75" x14ac:dyDescent="0.25">
      <c r="A408" s="14">
        <v>53723</v>
      </c>
      <c r="B408" s="10">
        <f>45.7912 * CHOOSE(CONTROL!$C$9, $D$9, 100%, $F$9) + CHOOSE(CONTROL!$C$27, 0.0021, 0)</f>
        <v>45.793300000000002</v>
      </c>
      <c r="C408" s="10">
        <f>45.3589 * CHOOSE(CONTROL!$C$9, $D$9, 100%, $F$9) + CHOOSE(CONTROL!$C$27, 0.0021, 0)</f>
        <v>45.360999999999997</v>
      </c>
      <c r="D408" s="10">
        <f>45.3589 * CHOOSE(CONTROL!$C$9, $D$9, 100%, $F$9) + CHOOSE(CONTROL!$C$27, 0.0021, 0)</f>
        <v>45.360999999999997</v>
      </c>
      <c r="E408" s="10">
        <f>45.2223 * CHOOSE(CONTROL!$C$9, $D$9, 100%, $F$9) + CHOOSE(CONTROL!$C$27, 0.0021, 0)</f>
        <v>45.224399999999996</v>
      </c>
      <c r="F408" s="10">
        <f>45.2223 * CHOOSE(CONTROL!$C$9, $D$9, 100%, $F$9) + CHOOSE(CONTROL!$C$27, 0.0021, 0)</f>
        <v>45.224399999999996</v>
      </c>
      <c r="G408" s="10">
        <f>45.4937 * CHOOSE(CONTROL!$C$9, $D$9, 100%, $F$9) + CHOOSE(CONTROL!$C$27, 0.0021, 0)</f>
        <v>45.495799999999996</v>
      </c>
      <c r="H408" s="10">
        <f>45.3589 * CHOOSE(CONTROL!$C$9, $D$9, 100%, $F$9) + CHOOSE(CONTROL!$C$27, 0.0021, 0)</f>
        <v>45.360999999999997</v>
      </c>
      <c r="I408" s="10">
        <f>45.3589 * CHOOSE(CONTROL!$C$9, $D$9, 100%, $F$9) + CHOOSE(CONTROL!$C$27, 0.0021, 0)</f>
        <v>45.360999999999997</v>
      </c>
      <c r="J408" s="10">
        <f>45.3589 * CHOOSE(CONTROL!$C$9, $D$9, 100%, $F$9) + CHOOSE(CONTROL!$C$27, 0.0021, 0)</f>
        <v>45.360999999999997</v>
      </c>
      <c r="K408" s="10">
        <f>45.3589 * CHOOSE(CONTROL!$C$9, $D$9, 100%, $F$9) + CHOOSE(CONTROL!$C$27, 0.0021, 0)</f>
        <v>45.360999999999997</v>
      </c>
      <c r="L408" s="10"/>
    </row>
    <row r="409" spans="1:12" ht="15.75" x14ac:dyDescent="0.25">
      <c r="A409" s="14">
        <v>53751</v>
      </c>
      <c r="B409" s="10">
        <f>44.5608 * CHOOSE(CONTROL!$C$9, $D$9, 100%, $F$9) + CHOOSE(CONTROL!$C$27, 0.0021, 0)</f>
        <v>44.562899999999999</v>
      </c>
      <c r="C409" s="10">
        <f>44.1286 * CHOOSE(CONTROL!$C$9, $D$9, 100%, $F$9) + CHOOSE(CONTROL!$C$27, 0.0021, 0)</f>
        <v>44.130699999999997</v>
      </c>
      <c r="D409" s="10">
        <f>44.1286 * CHOOSE(CONTROL!$C$9, $D$9, 100%, $F$9) + CHOOSE(CONTROL!$C$27, 0.0021, 0)</f>
        <v>44.130699999999997</v>
      </c>
      <c r="E409" s="10">
        <f>43.9919 * CHOOSE(CONTROL!$C$9, $D$9, 100%, $F$9) + CHOOSE(CONTROL!$C$27, 0.0021, 0)</f>
        <v>43.994</v>
      </c>
      <c r="F409" s="10">
        <f>43.9919 * CHOOSE(CONTROL!$C$9, $D$9, 100%, $F$9) + CHOOSE(CONTROL!$C$27, 0.0021, 0)</f>
        <v>43.994</v>
      </c>
      <c r="G409" s="10">
        <f>44.2633 * CHOOSE(CONTROL!$C$9, $D$9, 100%, $F$9) + CHOOSE(CONTROL!$C$27, 0.0021, 0)</f>
        <v>44.2654</v>
      </c>
      <c r="H409" s="10">
        <f>44.1286 * CHOOSE(CONTROL!$C$9, $D$9, 100%, $F$9) + CHOOSE(CONTROL!$C$27, 0.0021, 0)</f>
        <v>44.130699999999997</v>
      </c>
      <c r="I409" s="10">
        <f>44.1286 * CHOOSE(CONTROL!$C$9, $D$9, 100%, $F$9) + CHOOSE(CONTROL!$C$27, 0.0021, 0)</f>
        <v>44.130699999999997</v>
      </c>
      <c r="J409" s="10">
        <f>44.1286 * CHOOSE(CONTROL!$C$9, $D$9, 100%, $F$9) + CHOOSE(CONTROL!$C$27, 0.0021, 0)</f>
        <v>44.130699999999997</v>
      </c>
      <c r="K409" s="10">
        <f>44.1286 * CHOOSE(CONTROL!$C$9, $D$9, 100%, $F$9) + CHOOSE(CONTROL!$C$27, 0.0021, 0)</f>
        <v>44.130699999999997</v>
      </c>
      <c r="L409" s="10"/>
    </row>
    <row r="410" spans="1:12" ht="15.75" x14ac:dyDescent="0.25">
      <c r="A410" s="14">
        <v>53782</v>
      </c>
      <c r="B410" s="10">
        <f>44.0529 * CHOOSE(CONTROL!$C$9, $D$9, 100%, $F$9) + CHOOSE(CONTROL!$C$27, 0.0021, 0)</f>
        <v>44.055</v>
      </c>
      <c r="C410" s="10">
        <f>43.6207 * CHOOSE(CONTROL!$C$9, $D$9, 100%, $F$9) + CHOOSE(CONTROL!$C$27, 0.0021, 0)</f>
        <v>43.622799999999998</v>
      </c>
      <c r="D410" s="10">
        <f>43.6207 * CHOOSE(CONTROL!$C$9, $D$9, 100%, $F$9) + CHOOSE(CONTROL!$C$27, 0.0021, 0)</f>
        <v>43.622799999999998</v>
      </c>
      <c r="E410" s="10">
        <f>43.484 * CHOOSE(CONTROL!$C$9, $D$9, 100%, $F$9) + CHOOSE(CONTROL!$C$27, 0.0021, 0)</f>
        <v>43.4861</v>
      </c>
      <c r="F410" s="10">
        <f>43.484 * CHOOSE(CONTROL!$C$9, $D$9, 100%, $F$9) + CHOOSE(CONTROL!$C$27, 0.0021, 0)</f>
        <v>43.4861</v>
      </c>
      <c r="G410" s="10">
        <f>43.7554 * CHOOSE(CONTROL!$C$9, $D$9, 100%, $F$9) + CHOOSE(CONTROL!$C$27, 0.0021, 0)</f>
        <v>43.7575</v>
      </c>
      <c r="H410" s="10">
        <f>43.6207 * CHOOSE(CONTROL!$C$9, $D$9, 100%, $F$9) + CHOOSE(CONTROL!$C$27, 0.0021, 0)</f>
        <v>43.622799999999998</v>
      </c>
      <c r="I410" s="10">
        <f>43.6207 * CHOOSE(CONTROL!$C$9, $D$9, 100%, $F$9) + CHOOSE(CONTROL!$C$27, 0.0021, 0)</f>
        <v>43.622799999999998</v>
      </c>
      <c r="J410" s="10">
        <f>43.6207 * CHOOSE(CONTROL!$C$9, $D$9, 100%, $F$9) + CHOOSE(CONTROL!$C$27, 0.0021, 0)</f>
        <v>43.622799999999998</v>
      </c>
      <c r="K410" s="10">
        <f>43.6207 * CHOOSE(CONTROL!$C$9, $D$9, 100%, $F$9) + CHOOSE(CONTROL!$C$27, 0.0021, 0)</f>
        <v>43.622799999999998</v>
      </c>
      <c r="L410" s="10"/>
    </row>
    <row r="411" spans="1:12" ht="15.75" x14ac:dyDescent="0.25">
      <c r="A411" s="14">
        <v>53812</v>
      </c>
      <c r="B411" s="10">
        <f>43.4465 * CHOOSE(CONTROL!$C$9, $D$9, 100%, $F$9) + CHOOSE(CONTROL!$C$27, 0.0021, 0)</f>
        <v>43.448599999999999</v>
      </c>
      <c r="C411" s="10">
        <f>43.0142 * CHOOSE(CONTROL!$C$9, $D$9, 100%, $F$9) + CHOOSE(CONTROL!$C$27, 0.0021, 0)</f>
        <v>43.016300000000001</v>
      </c>
      <c r="D411" s="10">
        <f>43.0142 * CHOOSE(CONTROL!$C$9, $D$9, 100%, $F$9) + CHOOSE(CONTROL!$C$27, 0.0021, 0)</f>
        <v>43.016300000000001</v>
      </c>
      <c r="E411" s="10">
        <f>42.8776 * CHOOSE(CONTROL!$C$9, $D$9, 100%, $F$9) + CHOOSE(CONTROL!$C$27, 0.0021, 0)</f>
        <v>42.8797</v>
      </c>
      <c r="F411" s="10">
        <f>42.8776 * CHOOSE(CONTROL!$C$9, $D$9, 100%, $F$9) + CHOOSE(CONTROL!$C$27, 0.0021, 0)</f>
        <v>42.8797</v>
      </c>
      <c r="G411" s="10">
        <f>43.1489 * CHOOSE(CONTROL!$C$9, $D$9, 100%, $F$9) + CHOOSE(CONTROL!$C$27, 0.0021, 0)</f>
        <v>43.150999999999996</v>
      </c>
      <c r="H411" s="10">
        <f>43.0142 * CHOOSE(CONTROL!$C$9, $D$9, 100%, $F$9) + CHOOSE(CONTROL!$C$27, 0.0021, 0)</f>
        <v>43.016300000000001</v>
      </c>
      <c r="I411" s="10">
        <f>43.0142 * CHOOSE(CONTROL!$C$9, $D$9, 100%, $F$9) + CHOOSE(CONTROL!$C$27, 0.0021, 0)</f>
        <v>43.016300000000001</v>
      </c>
      <c r="J411" s="10">
        <f>43.0142 * CHOOSE(CONTROL!$C$9, $D$9, 100%, $F$9) + CHOOSE(CONTROL!$C$27, 0.0021, 0)</f>
        <v>43.016300000000001</v>
      </c>
      <c r="K411" s="10">
        <f>43.0142 * CHOOSE(CONTROL!$C$9, $D$9, 100%, $F$9) + CHOOSE(CONTROL!$C$27, 0.0021, 0)</f>
        <v>43.016300000000001</v>
      </c>
      <c r="L411" s="10"/>
    </row>
    <row r="412" spans="1:12" ht="15.75" x14ac:dyDescent="0.25">
      <c r="A412" s="14">
        <v>53843</v>
      </c>
      <c r="B412" s="10">
        <f>44.3107 * CHOOSE(CONTROL!$C$9, $D$9, 100%, $F$9) + CHOOSE(CONTROL!$C$27, 0.0021, 0)</f>
        <v>44.312799999999996</v>
      </c>
      <c r="C412" s="10">
        <f>43.8785 * CHOOSE(CONTROL!$C$9, $D$9, 100%, $F$9) + CHOOSE(CONTROL!$C$27, 0.0021, 0)</f>
        <v>43.880600000000001</v>
      </c>
      <c r="D412" s="10">
        <f>43.8785 * CHOOSE(CONTROL!$C$9, $D$9, 100%, $F$9) + CHOOSE(CONTROL!$C$27, 0.0021, 0)</f>
        <v>43.880600000000001</v>
      </c>
      <c r="E412" s="10">
        <f>43.7418 * CHOOSE(CONTROL!$C$9, $D$9, 100%, $F$9) + CHOOSE(CONTROL!$C$27, 0.0021, 0)</f>
        <v>43.743899999999996</v>
      </c>
      <c r="F412" s="10">
        <f>43.7418 * CHOOSE(CONTROL!$C$9, $D$9, 100%, $F$9) + CHOOSE(CONTROL!$C$27, 0.0021, 0)</f>
        <v>43.743899999999996</v>
      </c>
      <c r="G412" s="10">
        <f>44.0132 * CHOOSE(CONTROL!$C$9, $D$9, 100%, $F$9) + CHOOSE(CONTROL!$C$27, 0.0021, 0)</f>
        <v>44.015299999999996</v>
      </c>
      <c r="H412" s="10">
        <f>43.8785 * CHOOSE(CONTROL!$C$9, $D$9, 100%, $F$9) + CHOOSE(CONTROL!$C$27, 0.0021, 0)</f>
        <v>43.880600000000001</v>
      </c>
      <c r="I412" s="10">
        <f>43.8785 * CHOOSE(CONTROL!$C$9, $D$9, 100%, $F$9) + CHOOSE(CONTROL!$C$27, 0.0021, 0)</f>
        <v>43.880600000000001</v>
      </c>
      <c r="J412" s="10">
        <f>43.8785 * CHOOSE(CONTROL!$C$9, $D$9, 100%, $F$9) + CHOOSE(CONTROL!$C$27, 0.0021, 0)</f>
        <v>43.880600000000001</v>
      </c>
      <c r="K412" s="10">
        <f>43.8785 * CHOOSE(CONTROL!$C$9, $D$9, 100%, $F$9) + CHOOSE(CONTROL!$C$27, 0.0021, 0)</f>
        <v>43.880600000000001</v>
      </c>
      <c r="L412" s="10"/>
    </row>
    <row r="413" spans="1:12" ht="15.75" x14ac:dyDescent="0.25">
      <c r="A413" s="14">
        <v>53873</v>
      </c>
      <c r="B413" s="10">
        <f>44.8284 * CHOOSE(CONTROL!$C$9, $D$9, 100%, $F$9) + CHOOSE(CONTROL!$C$27, 0.0021, 0)</f>
        <v>44.830500000000001</v>
      </c>
      <c r="C413" s="10">
        <f>44.3961 * CHOOSE(CONTROL!$C$9, $D$9, 100%, $F$9) + CHOOSE(CONTROL!$C$27, 0.0021, 0)</f>
        <v>44.398199999999996</v>
      </c>
      <c r="D413" s="10">
        <f>44.3961 * CHOOSE(CONTROL!$C$9, $D$9, 100%, $F$9) + CHOOSE(CONTROL!$C$27, 0.0021, 0)</f>
        <v>44.398199999999996</v>
      </c>
      <c r="E413" s="10">
        <f>44.2595 * CHOOSE(CONTROL!$C$9, $D$9, 100%, $F$9) + CHOOSE(CONTROL!$C$27, 0.0021, 0)</f>
        <v>44.261600000000001</v>
      </c>
      <c r="F413" s="10">
        <f>44.2595 * CHOOSE(CONTROL!$C$9, $D$9, 100%, $F$9) + CHOOSE(CONTROL!$C$27, 0.0021, 0)</f>
        <v>44.261600000000001</v>
      </c>
      <c r="G413" s="10">
        <f>44.5308 * CHOOSE(CONTROL!$C$9, $D$9, 100%, $F$9) + CHOOSE(CONTROL!$C$27, 0.0021, 0)</f>
        <v>44.532899999999998</v>
      </c>
      <c r="H413" s="10">
        <f>44.3961 * CHOOSE(CONTROL!$C$9, $D$9, 100%, $F$9) + CHOOSE(CONTROL!$C$27, 0.0021, 0)</f>
        <v>44.398199999999996</v>
      </c>
      <c r="I413" s="10">
        <f>44.3961 * CHOOSE(CONTROL!$C$9, $D$9, 100%, $F$9) + CHOOSE(CONTROL!$C$27, 0.0021, 0)</f>
        <v>44.398199999999996</v>
      </c>
      <c r="J413" s="10">
        <f>44.3961 * CHOOSE(CONTROL!$C$9, $D$9, 100%, $F$9) + CHOOSE(CONTROL!$C$27, 0.0021, 0)</f>
        <v>44.398199999999996</v>
      </c>
      <c r="K413" s="10">
        <f>44.3961 * CHOOSE(CONTROL!$C$9, $D$9, 100%, $F$9) + CHOOSE(CONTROL!$C$27, 0.0021, 0)</f>
        <v>44.398199999999996</v>
      </c>
      <c r="L413" s="10"/>
    </row>
    <row r="414" spans="1:12" ht="15.75" x14ac:dyDescent="0.25">
      <c r="A414" s="14">
        <v>53904</v>
      </c>
      <c r="B414" s="10">
        <f>45.6823 * CHOOSE(CONTROL!$C$9, $D$9, 100%, $F$9) + CHOOSE(CONTROL!$C$27, 0.0021, 0)</f>
        <v>45.684399999999997</v>
      </c>
      <c r="C414" s="10">
        <f>45.2501 * CHOOSE(CONTROL!$C$9, $D$9, 100%, $F$9) + CHOOSE(CONTROL!$C$27, 0.0021, 0)</f>
        <v>45.252200000000002</v>
      </c>
      <c r="D414" s="10">
        <f>45.2501 * CHOOSE(CONTROL!$C$9, $D$9, 100%, $F$9) + CHOOSE(CONTROL!$C$27, 0.0021, 0)</f>
        <v>45.252200000000002</v>
      </c>
      <c r="E414" s="10">
        <f>45.1134 * CHOOSE(CONTROL!$C$9, $D$9, 100%, $F$9) + CHOOSE(CONTROL!$C$27, 0.0021, 0)</f>
        <v>45.115499999999997</v>
      </c>
      <c r="F414" s="10">
        <f>45.1134 * CHOOSE(CONTROL!$C$9, $D$9, 100%, $F$9) + CHOOSE(CONTROL!$C$27, 0.0021, 0)</f>
        <v>45.115499999999997</v>
      </c>
      <c r="G414" s="10">
        <f>45.3848 * CHOOSE(CONTROL!$C$9, $D$9, 100%, $F$9) + CHOOSE(CONTROL!$C$27, 0.0021, 0)</f>
        <v>45.386899999999997</v>
      </c>
      <c r="H414" s="10">
        <f>45.2501 * CHOOSE(CONTROL!$C$9, $D$9, 100%, $F$9) + CHOOSE(CONTROL!$C$27, 0.0021, 0)</f>
        <v>45.252200000000002</v>
      </c>
      <c r="I414" s="10">
        <f>45.2501 * CHOOSE(CONTROL!$C$9, $D$9, 100%, $F$9) + CHOOSE(CONTROL!$C$27, 0.0021, 0)</f>
        <v>45.252200000000002</v>
      </c>
      <c r="J414" s="10">
        <f>45.2501 * CHOOSE(CONTROL!$C$9, $D$9, 100%, $F$9) + CHOOSE(CONTROL!$C$27, 0.0021, 0)</f>
        <v>45.252200000000002</v>
      </c>
      <c r="K414" s="10">
        <f>45.2501 * CHOOSE(CONTROL!$C$9, $D$9, 100%, $F$9) + CHOOSE(CONTROL!$C$27, 0.0021, 0)</f>
        <v>45.252200000000002</v>
      </c>
      <c r="L414" s="10"/>
    </row>
    <row r="415" spans="1:12" ht="15.75" x14ac:dyDescent="0.25">
      <c r="A415" s="14">
        <v>53935</v>
      </c>
      <c r="B415" s="10">
        <f>45.943 * CHOOSE(CONTROL!$C$9, $D$9, 100%, $F$9) + CHOOSE(CONTROL!$C$27, 0.0021, 0)</f>
        <v>45.945099999999996</v>
      </c>
      <c r="C415" s="10">
        <f>45.5107 * CHOOSE(CONTROL!$C$9, $D$9, 100%, $F$9) + CHOOSE(CONTROL!$C$27, 0.0021, 0)</f>
        <v>45.512799999999999</v>
      </c>
      <c r="D415" s="10">
        <f>45.5107 * CHOOSE(CONTROL!$C$9, $D$9, 100%, $F$9) + CHOOSE(CONTROL!$C$27, 0.0021, 0)</f>
        <v>45.512799999999999</v>
      </c>
      <c r="E415" s="10">
        <f>45.3741 * CHOOSE(CONTROL!$C$9, $D$9, 100%, $F$9) + CHOOSE(CONTROL!$C$27, 0.0021, 0)</f>
        <v>45.376199999999997</v>
      </c>
      <c r="F415" s="10">
        <f>45.3741 * CHOOSE(CONTROL!$C$9, $D$9, 100%, $F$9) + CHOOSE(CONTROL!$C$27, 0.0021, 0)</f>
        <v>45.376199999999997</v>
      </c>
      <c r="G415" s="10">
        <f>45.6454 * CHOOSE(CONTROL!$C$9, $D$9, 100%, $F$9) + CHOOSE(CONTROL!$C$27, 0.0021, 0)</f>
        <v>45.647500000000001</v>
      </c>
      <c r="H415" s="10">
        <f>45.5107 * CHOOSE(CONTROL!$C$9, $D$9, 100%, $F$9) + CHOOSE(CONTROL!$C$27, 0.0021, 0)</f>
        <v>45.512799999999999</v>
      </c>
      <c r="I415" s="10">
        <f>45.5107 * CHOOSE(CONTROL!$C$9, $D$9, 100%, $F$9) + CHOOSE(CONTROL!$C$27, 0.0021, 0)</f>
        <v>45.512799999999999</v>
      </c>
      <c r="J415" s="10">
        <f>45.5107 * CHOOSE(CONTROL!$C$9, $D$9, 100%, $F$9) + CHOOSE(CONTROL!$C$27, 0.0021, 0)</f>
        <v>45.512799999999999</v>
      </c>
      <c r="K415" s="10">
        <f>45.5107 * CHOOSE(CONTROL!$C$9, $D$9, 100%, $F$9) + CHOOSE(CONTROL!$C$27, 0.0021, 0)</f>
        <v>45.512799999999999</v>
      </c>
      <c r="L415" s="10"/>
    </row>
    <row r="416" spans="1:12" ht="15.75" x14ac:dyDescent="0.25">
      <c r="A416" s="14">
        <v>53965</v>
      </c>
      <c r="B416" s="10">
        <f>46.8306 * CHOOSE(CONTROL!$C$9, $D$9, 100%, $F$9) + CHOOSE(CONTROL!$C$27, 0.0021, 0)</f>
        <v>46.832699999999996</v>
      </c>
      <c r="C416" s="10">
        <f>46.3984 * CHOOSE(CONTROL!$C$9, $D$9, 100%, $F$9) + CHOOSE(CONTROL!$C$27, 0.0021, 0)</f>
        <v>46.400500000000001</v>
      </c>
      <c r="D416" s="10">
        <f>46.3984 * CHOOSE(CONTROL!$C$9, $D$9, 100%, $F$9) + CHOOSE(CONTROL!$C$27, 0.0021, 0)</f>
        <v>46.400500000000001</v>
      </c>
      <c r="E416" s="10">
        <f>46.2617 * CHOOSE(CONTROL!$C$9, $D$9, 100%, $F$9) + CHOOSE(CONTROL!$C$27, 0.0021, 0)</f>
        <v>46.263799999999996</v>
      </c>
      <c r="F416" s="10">
        <f>46.2617 * CHOOSE(CONTROL!$C$9, $D$9, 100%, $F$9) + CHOOSE(CONTROL!$C$27, 0.0021, 0)</f>
        <v>46.263799999999996</v>
      </c>
      <c r="G416" s="10">
        <f>46.5331 * CHOOSE(CONTROL!$C$9, $D$9, 100%, $F$9) + CHOOSE(CONTROL!$C$27, 0.0021, 0)</f>
        <v>46.535199999999996</v>
      </c>
      <c r="H416" s="10">
        <f>46.3984 * CHOOSE(CONTROL!$C$9, $D$9, 100%, $F$9) + CHOOSE(CONTROL!$C$27, 0.0021, 0)</f>
        <v>46.400500000000001</v>
      </c>
      <c r="I416" s="10">
        <f>46.3984 * CHOOSE(CONTROL!$C$9, $D$9, 100%, $F$9) + CHOOSE(CONTROL!$C$27, 0.0021, 0)</f>
        <v>46.400500000000001</v>
      </c>
      <c r="J416" s="10">
        <f>46.3984 * CHOOSE(CONTROL!$C$9, $D$9, 100%, $F$9) + CHOOSE(CONTROL!$C$27, 0.0021, 0)</f>
        <v>46.400500000000001</v>
      </c>
      <c r="K416" s="10">
        <f>46.3984 * CHOOSE(CONTROL!$C$9, $D$9, 100%, $F$9) + CHOOSE(CONTROL!$C$27, 0.0021, 0)</f>
        <v>46.400500000000001</v>
      </c>
      <c r="L416" s="10"/>
    </row>
    <row r="417" spans="1:12" ht="15.75" x14ac:dyDescent="0.25">
      <c r="A417" s="14">
        <v>53996</v>
      </c>
      <c r="B417" s="10">
        <f>47.9542 * CHOOSE(CONTROL!$C$9, $D$9, 100%, $F$9) + CHOOSE(CONTROL!$C$27, 0.0021, 0)</f>
        <v>47.956299999999999</v>
      </c>
      <c r="C417" s="10">
        <f>47.5219 * CHOOSE(CONTROL!$C$9, $D$9, 100%, $F$9) + CHOOSE(CONTROL!$C$27, 0.0021, 0)</f>
        <v>47.524000000000001</v>
      </c>
      <c r="D417" s="10">
        <f>47.5219 * CHOOSE(CONTROL!$C$9, $D$9, 100%, $F$9) + CHOOSE(CONTROL!$C$27, 0.0021, 0)</f>
        <v>47.524000000000001</v>
      </c>
      <c r="E417" s="10">
        <f>47.3853 * CHOOSE(CONTROL!$C$9, $D$9, 100%, $F$9) + CHOOSE(CONTROL!$C$27, 0.0021, 0)</f>
        <v>47.3874</v>
      </c>
      <c r="F417" s="10">
        <f>47.3853 * CHOOSE(CONTROL!$C$9, $D$9, 100%, $F$9) + CHOOSE(CONTROL!$C$27, 0.0021, 0)</f>
        <v>47.3874</v>
      </c>
      <c r="G417" s="10">
        <f>47.6567 * CHOOSE(CONTROL!$C$9, $D$9, 100%, $F$9) + CHOOSE(CONTROL!$C$27, 0.0021, 0)</f>
        <v>47.658799999999999</v>
      </c>
      <c r="H417" s="10">
        <f>47.5219 * CHOOSE(CONTROL!$C$9, $D$9, 100%, $F$9) + CHOOSE(CONTROL!$C$27, 0.0021, 0)</f>
        <v>47.524000000000001</v>
      </c>
      <c r="I417" s="10">
        <f>47.5219 * CHOOSE(CONTROL!$C$9, $D$9, 100%, $F$9) + CHOOSE(CONTROL!$C$27, 0.0021, 0)</f>
        <v>47.524000000000001</v>
      </c>
      <c r="J417" s="10">
        <f>47.5219 * CHOOSE(CONTROL!$C$9, $D$9, 100%, $F$9) + CHOOSE(CONTROL!$C$27, 0.0021, 0)</f>
        <v>47.524000000000001</v>
      </c>
      <c r="K417" s="10">
        <f>47.5219 * CHOOSE(CONTROL!$C$9, $D$9, 100%, $F$9) + CHOOSE(CONTROL!$C$27, 0.0021, 0)</f>
        <v>47.524000000000001</v>
      </c>
      <c r="L417" s="10"/>
    </row>
    <row r="418" spans="1:12" ht="15.75" x14ac:dyDescent="0.25">
      <c r="A418" s="14">
        <v>54026</v>
      </c>
      <c r="B418" s="10">
        <f>48.0597 * CHOOSE(CONTROL!$C$9, $D$9, 100%, $F$9) + CHOOSE(CONTROL!$C$27, 0.0021, 0)</f>
        <v>48.061799999999998</v>
      </c>
      <c r="C418" s="10">
        <f>47.6274 * CHOOSE(CONTROL!$C$9, $D$9, 100%, $F$9) + CHOOSE(CONTROL!$C$27, 0.0021, 0)</f>
        <v>47.6295</v>
      </c>
      <c r="D418" s="10">
        <f>47.6274 * CHOOSE(CONTROL!$C$9, $D$9, 100%, $F$9) + CHOOSE(CONTROL!$C$27, 0.0021, 0)</f>
        <v>47.6295</v>
      </c>
      <c r="E418" s="10">
        <f>47.4908 * CHOOSE(CONTROL!$C$9, $D$9, 100%, $F$9) + CHOOSE(CONTROL!$C$27, 0.0021, 0)</f>
        <v>47.492899999999999</v>
      </c>
      <c r="F418" s="10">
        <f>47.4908 * CHOOSE(CONTROL!$C$9, $D$9, 100%, $F$9) + CHOOSE(CONTROL!$C$27, 0.0021, 0)</f>
        <v>47.492899999999999</v>
      </c>
      <c r="G418" s="10">
        <f>47.7621 * CHOOSE(CONTROL!$C$9, $D$9, 100%, $F$9) + CHOOSE(CONTROL!$C$27, 0.0021, 0)</f>
        <v>47.764199999999995</v>
      </c>
      <c r="H418" s="10">
        <f>47.6274 * CHOOSE(CONTROL!$C$9, $D$9, 100%, $F$9) + CHOOSE(CONTROL!$C$27, 0.0021, 0)</f>
        <v>47.6295</v>
      </c>
      <c r="I418" s="10">
        <f>47.6274 * CHOOSE(CONTROL!$C$9, $D$9, 100%, $F$9) + CHOOSE(CONTROL!$C$27, 0.0021, 0)</f>
        <v>47.6295</v>
      </c>
      <c r="J418" s="10">
        <f>47.6274 * CHOOSE(CONTROL!$C$9, $D$9, 100%, $F$9) + CHOOSE(CONTROL!$C$27, 0.0021, 0)</f>
        <v>47.6295</v>
      </c>
      <c r="K418" s="10">
        <f>47.6274 * CHOOSE(CONTROL!$C$9, $D$9, 100%, $F$9) + CHOOSE(CONTROL!$C$27, 0.0021, 0)</f>
        <v>47.6295</v>
      </c>
      <c r="L418" s="10"/>
    </row>
    <row r="419" spans="1:12" ht="15.75" x14ac:dyDescent="0.25">
      <c r="A419" s="14">
        <v>54057</v>
      </c>
      <c r="B419" s="10">
        <f>47.1623 * CHOOSE(CONTROL!$C$9, $D$9, 100%, $F$9) + CHOOSE(CONTROL!$C$27, 0.0021, 0)</f>
        <v>47.164400000000001</v>
      </c>
      <c r="C419" s="10">
        <f>46.73 * CHOOSE(CONTROL!$C$9, $D$9, 100%, $F$9) + CHOOSE(CONTROL!$C$27, 0.0021, 0)</f>
        <v>46.732099999999996</v>
      </c>
      <c r="D419" s="10">
        <f>46.73 * CHOOSE(CONTROL!$C$9, $D$9, 100%, $F$9) + CHOOSE(CONTROL!$C$27, 0.0021, 0)</f>
        <v>46.732099999999996</v>
      </c>
      <c r="E419" s="10">
        <f>46.5934 * CHOOSE(CONTROL!$C$9, $D$9, 100%, $F$9) + CHOOSE(CONTROL!$C$27, 0.0021, 0)</f>
        <v>46.595500000000001</v>
      </c>
      <c r="F419" s="10">
        <f>46.5934 * CHOOSE(CONTROL!$C$9, $D$9, 100%, $F$9) + CHOOSE(CONTROL!$C$27, 0.0021, 0)</f>
        <v>46.595500000000001</v>
      </c>
      <c r="G419" s="10">
        <f>46.8647 * CHOOSE(CONTROL!$C$9, $D$9, 100%, $F$9) + CHOOSE(CONTROL!$C$27, 0.0021, 0)</f>
        <v>46.866799999999998</v>
      </c>
      <c r="H419" s="10">
        <f>46.73 * CHOOSE(CONTROL!$C$9, $D$9, 100%, $F$9) + CHOOSE(CONTROL!$C$27, 0.0021, 0)</f>
        <v>46.732099999999996</v>
      </c>
      <c r="I419" s="10">
        <f>46.73 * CHOOSE(CONTROL!$C$9, $D$9, 100%, $F$9) + CHOOSE(CONTROL!$C$27, 0.0021, 0)</f>
        <v>46.732099999999996</v>
      </c>
      <c r="J419" s="10">
        <f>46.73 * CHOOSE(CONTROL!$C$9, $D$9, 100%, $F$9) + CHOOSE(CONTROL!$C$27, 0.0021, 0)</f>
        <v>46.732099999999996</v>
      </c>
      <c r="K419" s="10">
        <f>46.73 * CHOOSE(CONTROL!$C$9, $D$9, 100%, $F$9) + CHOOSE(CONTROL!$C$27, 0.0021, 0)</f>
        <v>46.732099999999996</v>
      </c>
      <c r="L419" s="10"/>
    </row>
    <row r="420" spans="1:12" ht="15.75" x14ac:dyDescent="0.25">
      <c r="A420" s="14">
        <v>54088</v>
      </c>
      <c r="B420" s="10">
        <f>46.4752 * CHOOSE(CONTROL!$C$9, $D$9, 100%, $F$9) + CHOOSE(CONTROL!$C$27, 0.0021, 0)</f>
        <v>46.4773</v>
      </c>
      <c r="C420" s="10">
        <f>46.043 * CHOOSE(CONTROL!$C$9, $D$9, 100%, $F$9) + CHOOSE(CONTROL!$C$27, 0.0021, 0)</f>
        <v>46.045099999999998</v>
      </c>
      <c r="D420" s="10">
        <f>46.043 * CHOOSE(CONTROL!$C$9, $D$9, 100%, $F$9) + CHOOSE(CONTROL!$C$27, 0.0021, 0)</f>
        <v>46.045099999999998</v>
      </c>
      <c r="E420" s="10">
        <f>45.9063 * CHOOSE(CONTROL!$C$9, $D$9, 100%, $F$9) + CHOOSE(CONTROL!$C$27, 0.0021, 0)</f>
        <v>45.9084</v>
      </c>
      <c r="F420" s="10">
        <f>45.9063 * CHOOSE(CONTROL!$C$9, $D$9, 100%, $F$9) + CHOOSE(CONTROL!$C$27, 0.0021, 0)</f>
        <v>45.9084</v>
      </c>
      <c r="G420" s="10">
        <f>46.1777 * CHOOSE(CONTROL!$C$9, $D$9, 100%, $F$9) + CHOOSE(CONTROL!$C$27, 0.0021, 0)</f>
        <v>46.1798</v>
      </c>
      <c r="H420" s="10">
        <f>46.043 * CHOOSE(CONTROL!$C$9, $D$9, 100%, $F$9) + CHOOSE(CONTROL!$C$27, 0.0021, 0)</f>
        <v>46.045099999999998</v>
      </c>
      <c r="I420" s="10">
        <f>46.043 * CHOOSE(CONTROL!$C$9, $D$9, 100%, $F$9) + CHOOSE(CONTROL!$C$27, 0.0021, 0)</f>
        <v>46.045099999999998</v>
      </c>
      <c r="J420" s="10">
        <f>46.043 * CHOOSE(CONTROL!$C$9, $D$9, 100%, $F$9) + CHOOSE(CONTROL!$C$27, 0.0021, 0)</f>
        <v>46.045099999999998</v>
      </c>
      <c r="K420" s="10">
        <f>46.043 * CHOOSE(CONTROL!$C$9, $D$9, 100%, $F$9) + CHOOSE(CONTROL!$C$27, 0.0021, 0)</f>
        <v>46.045099999999998</v>
      </c>
      <c r="L420" s="10"/>
    </row>
    <row r="421" spans="1:12" ht="15.75" x14ac:dyDescent="0.25">
      <c r="A421" s="14">
        <v>54116</v>
      </c>
      <c r="B421" s="10">
        <f>45.2255 * CHOOSE(CONTROL!$C$9, $D$9, 100%, $F$9) + CHOOSE(CONTROL!$C$27, 0.0021, 0)</f>
        <v>45.227599999999995</v>
      </c>
      <c r="C421" s="10">
        <f>44.7932 * CHOOSE(CONTROL!$C$9, $D$9, 100%, $F$9) + CHOOSE(CONTROL!$C$27, 0.0021, 0)</f>
        <v>44.795299999999997</v>
      </c>
      <c r="D421" s="10">
        <f>44.7932 * CHOOSE(CONTROL!$C$9, $D$9, 100%, $F$9) + CHOOSE(CONTROL!$C$27, 0.0021, 0)</f>
        <v>44.795299999999997</v>
      </c>
      <c r="E421" s="10">
        <f>44.6566 * CHOOSE(CONTROL!$C$9, $D$9, 100%, $F$9) + CHOOSE(CONTROL!$C$27, 0.0021, 0)</f>
        <v>44.658699999999996</v>
      </c>
      <c r="F421" s="10">
        <f>44.6566 * CHOOSE(CONTROL!$C$9, $D$9, 100%, $F$9) + CHOOSE(CONTROL!$C$27, 0.0021, 0)</f>
        <v>44.658699999999996</v>
      </c>
      <c r="G421" s="10">
        <f>44.9279 * CHOOSE(CONTROL!$C$9, $D$9, 100%, $F$9) + CHOOSE(CONTROL!$C$27, 0.0021, 0)</f>
        <v>44.93</v>
      </c>
      <c r="H421" s="10">
        <f>44.7932 * CHOOSE(CONTROL!$C$9, $D$9, 100%, $F$9) + CHOOSE(CONTROL!$C$27, 0.0021, 0)</f>
        <v>44.795299999999997</v>
      </c>
      <c r="I421" s="10">
        <f>44.7932 * CHOOSE(CONTROL!$C$9, $D$9, 100%, $F$9) + CHOOSE(CONTROL!$C$27, 0.0021, 0)</f>
        <v>44.795299999999997</v>
      </c>
      <c r="J421" s="10">
        <f>44.7932 * CHOOSE(CONTROL!$C$9, $D$9, 100%, $F$9) + CHOOSE(CONTROL!$C$27, 0.0021, 0)</f>
        <v>44.795299999999997</v>
      </c>
      <c r="K421" s="10">
        <f>44.7932 * CHOOSE(CONTROL!$C$9, $D$9, 100%, $F$9) + CHOOSE(CONTROL!$C$27, 0.0021, 0)</f>
        <v>44.795299999999997</v>
      </c>
      <c r="L421" s="10"/>
    </row>
    <row r="422" spans="1:12" ht="15.75" x14ac:dyDescent="0.25">
      <c r="A422" s="14">
        <v>54148</v>
      </c>
      <c r="B422" s="10">
        <f>44.7096 * CHOOSE(CONTROL!$C$9, $D$9, 100%, $F$9) + CHOOSE(CONTROL!$C$27, 0.0021, 0)</f>
        <v>44.7117</v>
      </c>
      <c r="C422" s="10">
        <f>44.2773 * CHOOSE(CONTROL!$C$9, $D$9, 100%, $F$9) + CHOOSE(CONTROL!$C$27, 0.0021, 0)</f>
        <v>44.279399999999995</v>
      </c>
      <c r="D422" s="10">
        <f>44.2773 * CHOOSE(CONTROL!$C$9, $D$9, 100%, $F$9) + CHOOSE(CONTROL!$C$27, 0.0021, 0)</f>
        <v>44.279399999999995</v>
      </c>
      <c r="E422" s="10">
        <f>44.1407 * CHOOSE(CONTROL!$C$9, $D$9, 100%, $F$9) + CHOOSE(CONTROL!$C$27, 0.0021, 0)</f>
        <v>44.142800000000001</v>
      </c>
      <c r="F422" s="10">
        <f>44.1407 * CHOOSE(CONTROL!$C$9, $D$9, 100%, $F$9) + CHOOSE(CONTROL!$C$27, 0.0021, 0)</f>
        <v>44.142800000000001</v>
      </c>
      <c r="G422" s="10">
        <f>44.4121 * CHOOSE(CONTROL!$C$9, $D$9, 100%, $F$9) + CHOOSE(CONTROL!$C$27, 0.0021, 0)</f>
        <v>44.414200000000001</v>
      </c>
      <c r="H422" s="10">
        <f>44.2773 * CHOOSE(CONTROL!$C$9, $D$9, 100%, $F$9) + CHOOSE(CONTROL!$C$27, 0.0021, 0)</f>
        <v>44.279399999999995</v>
      </c>
      <c r="I422" s="10">
        <f>44.2773 * CHOOSE(CONTROL!$C$9, $D$9, 100%, $F$9) + CHOOSE(CONTROL!$C$27, 0.0021, 0)</f>
        <v>44.279399999999995</v>
      </c>
      <c r="J422" s="10">
        <f>44.2773 * CHOOSE(CONTROL!$C$9, $D$9, 100%, $F$9) + CHOOSE(CONTROL!$C$27, 0.0021, 0)</f>
        <v>44.279399999999995</v>
      </c>
      <c r="K422" s="10">
        <f>44.2773 * CHOOSE(CONTROL!$C$9, $D$9, 100%, $F$9) + CHOOSE(CONTROL!$C$27, 0.0021, 0)</f>
        <v>44.279399999999995</v>
      </c>
      <c r="L422" s="10"/>
    </row>
    <row r="423" spans="1:12" ht="15.75" x14ac:dyDescent="0.25">
      <c r="A423" s="14">
        <v>54178</v>
      </c>
      <c r="B423" s="10">
        <f>44.0936 * CHOOSE(CONTROL!$C$9, $D$9, 100%, $F$9) + CHOOSE(CONTROL!$C$27, 0.0021, 0)</f>
        <v>44.095700000000001</v>
      </c>
      <c r="C423" s="10">
        <f>43.6614 * CHOOSE(CONTROL!$C$9, $D$9, 100%, $F$9) + CHOOSE(CONTROL!$C$27, 0.0021, 0)</f>
        <v>43.663499999999999</v>
      </c>
      <c r="D423" s="10">
        <f>43.6614 * CHOOSE(CONTROL!$C$9, $D$9, 100%, $F$9) + CHOOSE(CONTROL!$C$27, 0.0021, 0)</f>
        <v>43.663499999999999</v>
      </c>
      <c r="E423" s="10">
        <f>43.5247 * CHOOSE(CONTROL!$C$9, $D$9, 100%, $F$9) + CHOOSE(CONTROL!$C$27, 0.0021, 0)</f>
        <v>43.526800000000001</v>
      </c>
      <c r="F423" s="10">
        <f>43.5247 * CHOOSE(CONTROL!$C$9, $D$9, 100%, $F$9) + CHOOSE(CONTROL!$C$27, 0.0021, 0)</f>
        <v>43.526800000000001</v>
      </c>
      <c r="G423" s="10">
        <f>43.7961 * CHOOSE(CONTROL!$C$9, $D$9, 100%, $F$9) + CHOOSE(CONTROL!$C$27, 0.0021, 0)</f>
        <v>43.798200000000001</v>
      </c>
      <c r="H423" s="10">
        <f>43.6614 * CHOOSE(CONTROL!$C$9, $D$9, 100%, $F$9) + CHOOSE(CONTROL!$C$27, 0.0021, 0)</f>
        <v>43.663499999999999</v>
      </c>
      <c r="I423" s="10">
        <f>43.6614 * CHOOSE(CONTROL!$C$9, $D$9, 100%, $F$9) + CHOOSE(CONTROL!$C$27, 0.0021, 0)</f>
        <v>43.663499999999999</v>
      </c>
      <c r="J423" s="10">
        <f>43.6614 * CHOOSE(CONTROL!$C$9, $D$9, 100%, $F$9) + CHOOSE(CONTROL!$C$27, 0.0021, 0)</f>
        <v>43.663499999999999</v>
      </c>
      <c r="K423" s="10">
        <f>43.6614 * CHOOSE(CONTROL!$C$9, $D$9, 100%, $F$9) + CHOOSE(CONTROL!$C$27, 0.0021, 0)</f>
        <v>43.663499999999999</v>
      </c>
      <c r="L423" s="10"/>
    </row>
    <row r="424" spans="1:12" ht="15.75" x14ac:dyDescent="0.25">
      <c r="A424" s="14">
        <v>54209</v>
      </c>
      <c r="B424" s="10">
        <f>44.9715 * CHOOSE(CONTROL!$C$9, $D$9, 100%, $F$9) + CHOOSE(CONTROL!$C$27, 0.0021, 0)</f>
        <v>44.973599999999998</v>
      </c>
      <c r="C424" s="10">
        <f>44.5392 * CHOOSE(CONTROL!$C$9, $D$9, 100%, $F$9) + CHOOSE(CONTROL!$C$27, 0.0021, 0)</f>
        <v>44.5413</v>
      </c>
      <c r="D424" s="10">
        <f>44.5392 * CHOOSE(CONTROL!$C$9, $D$9, 100%, $F$9) + CHOOSE(CONTROL!$C$27, 0.0021, 0)</f>
        <v>44.5413</v>
      </c>
      <c r="E424" s="10">
        <f>44.4026 * CHOOSE(CONTROL!$C$9, $D$9, 100%, $F$9) + CHOOSE(CONTROL!$C$27, 0.0021, 0)</f>
        <v>44.404699999999998</v>
      </c>
      <c r="F424" s="10">
        <f>44.4026 * CHOOSE(CONTROL!$C$9, $D$9, 100%, $F$9) + CHOOSE(CONTROL!$C$27, 0.0021, 0)</f>
        <v>44.404699999999998</v>
      </c>
      <c r="G424" s="10">
        <f>44.6739 * CHOOSE(CONTROL!$C$9, $D$9, 100%, $F$9) + CHOOSE(CONTROL!$C$27, 0.0021, 0)</f>
        <v>44.676000000000002</v>
      </c>
      <c r="H424" s="10">
        <f>44.5392 * CHOOSE(CONTROL!$C$9, $D$9, 100%, $F$9) + CHOOSE(CONTROL!$C$27, 0.0021, 0)</f>
        <v>44.5413</v>
      </c>
      <c r="I424" s="10">
        <f>44.5392 * CHOOSE(CONTROL!$C$9, $D$9, 100%, $F$9) + CHOOSE(CONTROL!$C$27, 0.0021, 0)</f>
        <v>44.5413</v>
      </c>
      <c r="J424" s="10">
        <f>44.5392 * CHOOSE(CONTROL!$C$9, $D$9, 100%, $F$9) + CHOOSE(CONTROL!$C$27, 0.0021, 0)</f>
        <v>44.5413</v>
      </c>
      <c r="K424" s="10">
        <f>44.5392 * CHOOSE(CONTROL!$C$9, $D$9, 100%, $F$9) + CHOOSE(CONTROL!$C$27, 0.0021, 0)</f>
        <v>44.5413</v>
      </c>
      <c r="L424" s="10"/>
    </row>
    <row r="425" spans="1:12" ht="15.75" x14ac:dyDescent="0.25">
      <c r="A425" s="14">
        <v>54239</v>
      </c>
      <c r="B425" s="10">
        <f>45.4973 * CHOOSE(CONTROL!$C$9, $D$9, 100%, $F$9) + CHOOSE(CONTROL!$C$27, 0.0021, 0)</f>
        <v>45.499400000000001</v>
      </c>
      <c r="C425" s="10">
        <f>45.065 * CHOOSE(CONTROL!$C$9, $D$9, 100%, $F$9) + CHOOSE(CONTROL!$C$27, 0.0021, 0)</f>
        <v>45.067099999999996</v>
      </c>
      <c r="D425" s="10">
        <f>45.065 * CHOOSE(CONTROL!$C$9, $D$9, 100%, $F$9) + CHOOSE(CONTROL!$C$27, 0.0021, 0)</f>
        <v>45.067099999999996</v>
      </c>
      <c r="E425" s="10">
        <f>44.9283 * CHOOSE(CONTROL!$C$9, $D$9, 100%, $F$9) + CHOOSE(CONTROL!$C$27, 0.0021, 0)</f>
        <v>44.930399999999999</v>
      </c>
      <c r="F425" s="10">
        <f>44.9283 * CHOOSE(CONTROL!$C$9, $D$9, 100%, $F$9) + CHOOSE(CONTROL!$C$27, 0.0021, 0)</f>
        <v>44.930399999999999</v>
      </c>
      <c r="G425" s="10">
        <f>45.1997 * CHOOSE(CONTROL!$C$9, $D$9, 100%, $F$9) + CHOOSE(CONTROL!$C$27, 0.0021, 0)</f>
        <v>45.201799999999999</v>
      </c>
      <c r="H425" s="10">
        <f>45.065 * CHOOSE(CONTROL!$C$9, $D$9, 100%, $F$9) + CHOOSE(CONTROL!$C$27, 0.0021, 0)</f>
        <v>45.067099999999996</v>
      </c>
      <c r="I425" s="10">
        <f>45.065 * CHOOSE(CONTROL!$C$9, $D$9, 100%, $F$9) + CHOOSE(CONTROL!$C$27, 0.0021, 0)</f>
        <v>45.067099999999996</v>
      </c>
      <c r="J425" s="10">
        <f>45.065 * CHOOSE(CONTROL!$C$9, $D$9, 100%, $F$9) + CHOOSE(CONTROL!$C$27, 0.0021, 0)</f>
        <v>45.067099999999996</v>
      </c>
      <c r="K425" s="10">
        <f>45.065 * CHOOSE(CONTROL!$C$9, $D$9, 100%, $F$9) + CHOOSE(CONTROL!$C$27, 0.0021, 0)</f>
        <v>45.067099999999996</v>
      </c>
      <c r="L425" s="10"/>
    </row>
    <row r="426" spans="1:12" ht="15.75" x14ac:dyDescent="0.25">
      <c r="A426" s="14">
        <v>54270</v>
      </c>
      <c r="B426" s="10">
        <f>46.3646 * CHOOSE(CONTROL!$C$9, $D$9, 100%, $F$9) + CHOOSE(CONTROL!$C$27, 0.0021, 0)</f>
        <v>46.366700000000002</v>
      </c>
      <c r="C426" s="10">
        <f>45.9324 * CHOOSE(CONTROL!$C$9, $D$9, 100%, $F$9) + CHOOSE(CONTROL!$C$27, 0.0021, 0)</f>
        <v>45.9345</v>
      </c>
      <c r="D426" s="10">
        <f>45.9324 * CHOOSE(CONTROL!$C$9, $D$9, 100%, $F$9) + CHOOSE(CONTROL!$C$27, 0.0021, 0)</f>
        <v>45.9345</v>
      </c>
      <c r="E426" s="10">
        <f>45.7957 * CHOOSE(CONTROL!$C$9, $D$9, 100%, $F$9) + CHOOSE(CONTROL!$C$27, 0.0021, 0)</f>
        <v>45.797799999999995</v>
      </c>
      <c r="F426" s="10">
        <f>45.7957 * CHOOSE(CONTROL!$C$9, $D$9, 100%, $F$9) + CHOOSE(CONTROL!$C$27, 0.0021, 0)</f>
        <v>45.797799999999995</v>
      </c>
      <c r="G426" s="10">
        <f>46.0671 * CHOOSE(CONTROL!$C$9, $D$9, 100%, $F$9) + CHOOSE(CONTROL!$C$27, 0.0021, 0)</f>
        <v>46.069200000000002</v>
      </c>
      <c r="H426" s="10">
        <f>45.9324 * CHOOSE(CONTROL!$C$9, $D$9, 100%, $F$9) + CHOOSE(CONTROL!$C$27, 0.0021, 0)</f>
        <v>45.9345</v>
      </c>
      <c r="I426" s="10">
        <f>45.9324 * CHOOSE(CONTROL!$C$9, $D$9, 100%, $F$9) + CHOOSE(CONTROL!$C$27, 0.0021, 0)</f>
        <v>45.9345</v>
      </c>
      <c r="J426" s="10">
        <f>45.9324 * CHOOSE(CONTROL!$C$9, $D$9, 100%, $F$9) + CHOOSE(CONTROL!$C$27, 0.0021, 0)</f>
        <v>45.9345</v>
      </c>
      <c r="K426" s="10">
        <f>45.9324 * CHOOSE(CONTROL!$C$9, $D$9, 100%, $F$9) + CHOOSE(CONTROL!$C$27, 0.0021, 0)</f>
        <v>45.9345</v>
      </c>
      <c r="L426" s="10"/>
    </row>
    <row r="427" spans="1:12" ht="15.75" x14ac:dyDescent="0.25">
      <c r="A427" s="14">
        <v>54301</v>
      </c>
      <c r="B427" s="10">
        <f>46.6294 * CHOOSE(CONTROL!$C$9, $D$9, 100%, $F$9) + CHOOSE(CONTROL!$C$27, 0.0021, 0)</f>
        <v>46.631499999999996</v>
      </c>
      <c r="C427" s="10">
        <f>46.1971 * CHOOSE(CONTROL!$C$9, $D$9, 100%, $F$9) + CHOOSE(CONTROL!$C$27, 0.0021, 0)</f>
        <v>46.199199999999998</v>
      </c>
      <c r="D427" s="10">
        <f>46.1971 * CHOOSE(CONTROL!$C$9, $D$9, 100%, $F$9) + CHOOSE(CONTROL!$C$27, 0.0021, 0)</f>
        <v>46.199199999999998</v>
      </c>
      <c r="E427" s="10">
        <f>46.0605 * CHOOSE(CONTROL!$C$9, $D$9, 100%, $F$9) + CHOOSE(CONTROL!$C$27, 0.0021, 0)</f>
        <v>46.062599999999996</v>
      </c>
      <c r="F427" s="10">
        <f>46.0605 * CHOOSE(CONTROL!$C$9, $D$9, 100%, $F$9) + CHOOSE(CONTROL!$C$27, 0.0021, 0)</f>
        <v>46.062599999999996</v>
      </c>
      <c r="G427" s="10">
        <f>46.3318 * CHOOSE(CONTROL!$C$9, $D$9, 100%, $F$9) + CHOOSE(CONTROL!$C$27, 0.0021, 0)</f>
        <v>46.3339</v>
      </c>
      <c r="H427" s="10">
        <f>46.1971 * CHOOSE(CONTROL!$C$9, $D$9, 100%, $F$9) + CHOOSE(CONTROL!$C$27, 0.0021, 0)</f>
        <v>46.199199999999998</v>
      </c>
      <c r="I427" s="10">
        <f>46.1971 * CHOOSE(CONTROL!$C$9, $D$9, 100%, $F$9) + CHOOSE(CONTROL!$C$27, 0.0021, 0)</f>
        <v>46.199199999999998</v>
      </c>
      <c r="J427" s="10">
        <f>46.1971 * CHOOSE(CONTROL!$C$9, $D$9, 100%, $F$9) + CHOOSE(CONTROL!$C$27, 0.0021, 0)</f>
        <v>46.199199999999998</v>
      </c>
      <c r="K427" s="10">
        <f>46.1971 * CHOOSE(CONTROL!$C$9, $D$9, 100%, $F$9) + CHOOSE(CONTROL!$C$27, 0.0021, 0)</f>
        <v>46.199199999999998</v>
      </c>
      <c r="L427" s="10"/>
    </row>
    <row r="428" spans="1:12" ht="15.75" x14ac:dyDescent="0.25">
      <c r="A428" s="14">
        <v>54331</v>
      </c>
      <c r="B428" s="10">
        <f>47.531 * CHOOSE(CONTROL!$C$9, $D$9, 100%, $F$9) + CHOOSE(CONTROL!$C$27, 0.0021, 0)</f>
        <v>47.533099999999997</v>
      </c>
      <c r="C428" s="10">
        <f>47.0987 * CHOOSE(CONTROL!$C$9, $D$9, 100%, $F$9) + CHOOSE(CONTROL!$C$27, 0.0021, 0)</f>
        <v>47.1008</v>
      </c>
      <c r="D428" s="10">
        <f>47.0987 * CHOOSE(CONTROL!$C$9, $D$9, 100%, $F$9) + CHOOSE(CONTROL!$C$27, 0.0021, 0)</f>
        <v>47.1008</v>
      </c>
      <c r="E428" s="10">
        <f>46.9621 * CHOOSE(CONTROL!$C$9, $D$9, 100%, $F$9) + CHOOSE(CONTROL!$C$27, 0.0021, 0)</f>
        <v>46.964199999999998</v>
      </c>
      <c r="F428" s="10">
        <f>46.9621 * CHOOSE(CONTROL!$C$9, $D$9, 100%, $F$9) + CHOOSE(CONTROL!$C$27, 0.0021, 0)</f>
        <v>46.964199999999998</v>
      </c>
      <c r="G428" s="10">
        <f>47.2334 * CHOOSE(CONTROL!$C$9, $D$9, 100%, $F$9) + CHOOSE(CONTROL!$C$27, 0.0021, 0)</f>
        <v>47.235500000000002</v>
      </c>
      <c r="H428" s="10">
        <f>47.0987 * CHOOSE(CONTROL!$C$9, $D$9, 100%, $F$9) + CHOOSE(CONTROL!$C$27, 0.0021, 0)</f>
        <v>47.1008</v>
      </c>
      <c r="I428" s="10">
        <f>47.0987 * CHOOSE(CONTROL!$C$9, $D$9, 100%, $F$9) + CHOOSE(CONTROL!$C$27, 0.0021, 0)</f>
        <v>47.1008</v>
      </c>
      <c r="J428" s="10">
        <f>47.0987 * CHOOSE(CONTROL!$C$9, $D$9, 100%, $F$9) + CHOOSE(CONTROL!$C$27, 0.0021, 0)</f>
        <v>47.1008</v>
      </c>
      <c r="K428" s="10">
        <f>47.0987 * CHOOSE(CONTROL!$C$9, $D$9, 100%, $F$9) + CHOOSE(CONTROL!$C$27, 0.0021, 0)</f>
        <v>47.1008</v>
      </c>
      <c r="L428" s="10"/>
    </row>
    <row r="429" spans="1:12" ht="15.75" x14ac:dyDescent="0.25">
      <c r="A429" s="14">
        <v>54362</v>
      </c>
      <c r="B429" s="10">
        <f>48.6722 * CHOOSE(CONTROL!$C$9, $D$9, 100%, $F$9) + CHOOSE(CONTROL!$C$27, 0.0021, 0)</f>
        <v>48.674299999999995</v>
      </c>
      <c r="C429" s="10">
        <f>48.24 * CHOOSE(CONTROL!$C$9, $D$9, 100%, $F$9) + CHOOSE(CONTROL!$C$27, 0.0021, 0)</f>
        <v>48.242100000000001</v>
      </c>
      <c r="D429" s="10">
        <f>48.24 * CHOOSE(CONTROL!$C$9, $D$9, 100%, $F$9) + CHOOSE(CONTROL!$C$27, 0.0021, 0)</f>
        <v>48.242100000000001</v>
      </c>
      <c r="E429" s="10">
        <f>48.1033 * CHOOSE(CONTROL!$C$9, $D$9, 100%, $F$9) + CHOOSE(CONTROL!$C$27, 0.0021, 0)</f>
        <v>48.105399999999996</v>
      </c>
      <c r="F429" s="10">
        <f>48.1033 * CHOOSE(CONTROL!$C$9, $D$9, 100%, $F$9) + CHOOSE(CONTROL!$C$27, 0.0021, 0)</f>
        <v>48.105399999999996</v>
      </c>
      <c r="G429" s="10">
        <f>48.3747 * CHOOSE(CONTROL!$C$9, $D$9, 100%, $F$9) + CHOOSE(CONTROL!$C$27, 0.0021, 0)</f>
        <v>48.376799999999996</v>
      </c>
      <c r="H429" s="10">
        <f>48.24 * CHOOSE(CONTROL!$C$9, $D$9, 100%, $F$9) + CHOOSE(CONTROL!$C$27, 0.0021, 0)</f>
        <v>48.242100000000001</v>
      </c>
      <c r="I429" s="10">
        <f>48.24 * CHOOSE(CONTROL!$C$9, $D$9, 100%, $F$9) + CHOOSE(CONTROL!$C$27, 0.0021, 0)</f>
        <v>48.242100000000001</v>
      </c>
      <c r="J429" s="10">
        <f>48.24 * CHOOSE(CONTROL!$C$9, $D$9, 100%, $F$9) + CHOOSE(CONTROL!$C$27, 0.0021, 0)</f>
        <v>48.242100000000001</v>
      </c>
      <c r="K429" s="10">
        <f>48.24 * CHOOSE(CONTROL!$C$9, $D$9, 100%, $F$9) + CHOOSE(CONTROL!$C$27, 0.0021, 0)</f>
        <v>48.242100000000001</v>
      </c>
      <c r="L429" s="10"/>
    </row>
    <row r="430" spans="1:12" ht="15.75" x14ac:dyDescent="0.25">
      <c r="A430" s="14">
        <v>54392</v>
      </c>
      <c r="B430" s="10">
        <f>48.7794 * CHOOSE(CONTROL!$C$9, $D$9, 100%, $F$9) + CHOOSE(CONTROL!$C$27, 0.0021, 0)</f>
        <v>48.781500000000001</v>
      </c>
      <c r="C430" s="10">
        <f>48.3471 * CHOOSE(CONTROL!$C$9, $D$9, 100%, $F$9) + CHOOSE(CONTROL!$C$27, 0.0021, 0)</f>
        <v>48.349199999999996</v>
      </c>
      <c r="D430" s="10">
        <f>48.3471 * CHOOSE(CONTROL!$C$9, $D$9, 100%, $F$9) + CHOOSE(CONTROL!$C$27, 0.0021, 0)</f>
        <v>48.349199999999996</v>
      </c>
      <c r="E430" s="10">
        <f>48.2105 * CHOOSE(CONTROL!$C$9, $D$9, 100%, $F$9) + CHOOSE(CONTROL!$C$27, 0.0021, 0)</f>
        <v>48.212600000000002</v>
      </c>
      <c r="F430" s="10">
        <f>48.2105 * CHOOSE(CONTROL!$C$9, $D$9, 100%, $F$9) + CHOOSE(CONTROL!$C$27, 0.0021, 0)</f>
        <v>48.212600000000002</v>
      </c>
      <c r="G430" s="10">
        <f>48.4818 * CHOOSE(CONTROL!$C$9, $D$9, 100%, $F$9) + CHOOSE(CONTROL!$C$27, 0.0021, 0)</f>
        <v>48.483899999999998</v>
      </c>
      <c r="H430" s="10">
        <f>48.3471 * CHOOSE(CONTROL!$C$9, $D$9, 100%, $F$9) + CHOOSE(CONTROL!$C$27, 0.0021, 0)</f>
        <v>48.349199999999996</v>
      </c>
      <c r="I430" s="10">
        <f>48.3471 * CHOOSE(CONTROL!$C$9, $D$9, 100%, $F$9) + CHOOSE(CONTROL!$C$27, 0.0021, 0)</f>
        <v>48.349199999999996</v>
      </c>
      <c r="J430" s="10">
        <f>48.3471 * CHOOSE(CONTROL!$C$9, $D$9, 100%, $F$9) + CHOOSE(CONTROL!$C$27, 0.0021, 0)</f>
        <v>48.349199999999996</v>
      </c>
      <c r="K430" s="10">
        <f>48.3471 * CHOOSE(CONTROL!$C$9, $D$9, 100%, $F$9) + CHOOSE(CONTROL!$C$27, 0.0021, 0)</f>
        <v>48.349199999999996</v>
      </c>
      <c r="L430" s="10"/>
    </row>
    <row r="431" spans="1:12" ht="15.75" x14ac:dyDescent="0.25">
      <c r="A431" s="14">
        <v>54423</v>
      </c>
      <c r="B431" s="10">
        <f>47.8679 * CHOOSE(CONTROL!$C$9, $D$9, 100%, $F$9) + CHOOSE(CONTROL!$C$27, 0.0021, 0)</f>
        <v>47.87</v>
      </c>
      <c r="C431" s="10">
        <f>47.4356 * CHOOSE(CONTROL!$C$9, $D$9, 100%, $F$9) + CHOOSE(CONTROL!$C$27, 0.0021, 0)</f>
        <v>47.4377</v>
      </c>
      <c r="D431" s="10">
        <f>47.4356 * CHOOSE(CONTROL!$C$9, $D$9, 100%, $F$9) + CHOOSE(CONTROL!$C$27, 0.0021, 0)</f>
        <v>47.4377</v>
      </c>
      <c r="E431" s="10">
        <f>47.2989 * CHOOSE(CONTROL!$C$9, $D$9, 100%, $F$9) + CHOOSE(CONTROL!$C$27, 0.0021, 0)</f>
        <v>47.301000000000002</v>
      </c>
      <c r="F431" s="10">
        <f>47.2989 * CHOOSE(CONTROL!$C$9, $D$9, 100%, $F$9) + CHOOSE(CONTROL!$C$27, 0.0021, 0)</f>
        <v>47.301000000000002</v>
      </c>
      <c r="G431" s="10">
        <f>47.5703 * CHOOSE(CONTROL!$C$9, $D$9, 100%, $F$9) + CHOOSE(CONTROL!$C$27, 0.0021, 0)</f>
        <v>47.572400000000002</v>
      </c>
      <c r="H431" s="10">
        <f>47.4356 * CHOOSE(CONTROL!$C$9, $D$9, 100%, $F$9) + CHOOSE(CONTROL!$C$27, 0.0021, 0)</f>
        <v>47.4377</v>
      </c>
      <c r="I431" s="10">
        <f>47.4356 * CHOOSE(CONTROL!$C$9, $D$9, 100%, $F$9) + CHOOSE(CONTROL!$C$27, 0.0021, 0)</f>
        <v>47.4377</v>
      </c>
      <c r="J431" s="10">
        <f>47.4356 * CHOOSE(CONTROL!$C$9, $D$9, 100%, $F$9) + CHOOSE(CONTROL!$C$27, 0.0021, 0)</f>
        <v>47.4377</v>
      </c>
      <c r="K431" s="10">
        <f>47.4356 * CHOOSE(CONTROL!$C$9, $D$9, 100%, $F$9) + CHOOSE(CONTROL!$C$27, 0.0021, 0)</f>
        <v>47.4377</v>
      </c>
      <c r="L431" s="10"/>
    </row>
    <row r="432" spans="1:12" ht="15.75" x14ac:dyDescent="0.25">
      <c r="A432" s="14">
        <v>54454</v>
      </c>
      <c r="B432" s="10">
        <f>47.17 * CHOOSE(CONTROL!$C$9, $D$9, 100%, $F$9) + CHOOSE(CONTROL!$C$27, 0.0021, 0)</f>
        <v>47.1721</v>
      </c>
      <c r="C432" s="10">
        <f>46.7377 * CHOOSE(CONTROL!$C$9, $D$9, 100%, $F$9) + CHOOSE(CONTROL!$C$27, 0.0021, 0)</f>
        <v>46.739799999999995</v>
      </c>
      <c r="D432" s="10">
        <f>46.7377 * CHOOSE(CONTROL!$C$9, $D$9, 100%, $F$9) + CHOOSE(CONTROL!$C$27, 0.0021, 0)</f>
        <v>46.739799999999995</v>
      </c>
      <c r="E432" s="10">
        <f>46.6011 * CHOOSE(CONTROL!$C$9, $D$9, 100%, $F$9) + CHOOSE(CONTROL!$C$27, 0.0021, 0)</f>
        <v>46.603200000000001</v>
      </c>
      <c r="F432" s="10">
        <f>46.6011 * CHOOSE(CONTROL!$C$9, $D$9, 100%, $F$9) + CHOOSE(CONTROL!$C$27, 0.0021, 0)</f>
        <v>46.603200000000001</v>
      </c>
      <c r="G432" s="10">
        <f>46.8725 * CHOOSE(CONTROL!$C$9, $D$9, 100%, $F$9) + CHOOSE(CONTROL!$C$27, 0.0021, 0)</f>
        <v>46.874600000000001</v>
      </c>
      <c r="H432" s="10">
        <f>46.7377 * CHOOSE(CONTROL!$C$9, $D$9, 100%, $F$9) + CHOOSE(CONTROL!$C$27, 0.0021, 0)</f>
        <v>46.739799999999995</v>
      </c>
      <c r="I432" s="10">
        <f>46.7377 * CHOOSE(CONTROL!$C$9, $D$9, 100%, $F$9) + CHOOSE(CONTROL!$C$27, 0.0021, 0)</f>
        <v>46.739799999999995</v>
      </c>
      <c r="J432" s="10">
        <f>46.7377 * CHOOSE(CONTROL!$C$9, $D$9, 100%, $F$9) + CHOOSE(CONTROL!$C$27, 0.0021, 0)</f>
        <v>46.739799999999995</v>
      </c>
      <c r="K432" s="10">
        <f>46.7377 * CHOOSE(CONTROL!$C$9, $D$9, 100%, $F$9) + CHOOSE(CONTROL!$C$27, 0.0021, 0)</f>
        <v>46.739799999999995</v>
      </c>
      <c r="L432" s="10"/>
    </row>
    <row r="433" spans="1:12" ht="15.75" x14ac:dyDescent="0.25">
      <c r="A433" s="14">
        <v>54482</v>
      </c>
      <c r="B433" s="10">
        <f>45.9006 * CHOOSE(CONTROL!$C$9, $D$9, 100%, $F$9) + CHOOSE(CONTROL!$C$27, 0.0021, 0)</f>
        <v>45.902699999999996</v>
      </c>
      <c r="C433" s="10">
        <f>45.4684 * CHOOSE(CONTROL!$C$9, $D$9, 100%, $F$9) + CHOOSE(CONTROL!$C$27, 0.0021, 0)</f>
        <v>45.470500000000001</v>
      </c>
      <c r="D433" s="10">
        <f>45.4684 * CHOOSE(CONTROL!$C$9, $D$9, 100%, $F$9) + CHOOSE(CONTROL!$C$27, 0.0021, 0)</f>
        <v>45.470500000000001</v>
      </c>
      <c r="E433" s="10">
        <f>45.3317 * CHOOSE(CONTROL!$C$9, $D$9, 100%, $F$9) + CHOOSE(CONTROL!$C$27, 0.0021, 0)</f>
        <v>45.333799999999997</v>
      </c>
      <c r="F433" s="10">
        <f>45.3317 * CHOOSE(CONTROL!$C$9, $D$9, 100%, $F$9) + CHOOSE(CONTROL!$C$27, 0.0021, 0)</f>
        <v>45.333799999999997</v>
      </c>
      <c r="G433" s="10">
        <f>45.6031 * CHOOSE(CONTROL!$C$9, $D$9, 100%, $F$9) + CHOOSE(CONTROL!$C$27, 0.0021, 0)</f>
        <v>45.605199999999996</v>
      </c>
      <c r="H433" s="10">
        <f>45.4684 * CHOOSE(CONTROL!$C$9, $D$9, 100%, $F$9) + CHOOSE(CONTROL!$C$27, 0.0021, 0)</f>
        <v>45.470500000000001</v>
      </c>
      <c r="I433" s="10">
        <f>45.4684 * CHOOSE(CONTROL!$C$9, $D$9, 100%, $F$9) + CHOOSE(CONTROL!$C$27, 0.0021, 0)</f>
        <v>45.470500000000001</v>
      </c>
      <c r="J433" s="10">
        <f>45.4684 * CHOOSE(CONTROL!$C$9, $D$9, 100%, $F$9) + CHOOSE(CONTROL!$C$27, 0.0021, 0)</f>
        <v>45.470500000000001</v>
      </c>
      <c r="K433" s="10">
        <f>45.4684 * CHOOSE(CONTROL!$C$9, $D$9, 100%, $F$9) + CHOOSE(CONTROL!$C$27, 0.0021, 0)</f>
        <v>45.470500000000001</v>
      </c>
      <c r="L433" s="10"/>
    </row>
    <row r="434" spans="1:12" ht="15.75" x14ac:dyDescent="0.25">
      <c r="A434" s="14">
        <v>54513</v>
      </c>
      <c r="B434" s="10">
        <f>45.3766 * CHOOSE(CONTROL!$C$9, $D$9, 100%, $F$9) + CHOOSE(CONTROL!$C$27, 0.0021, 0)</f>
        <v>45.378700000000002</v>
      </c>
      <c r="C434" s="10">
        <f>44.9444 * CHOOSE(CONTROL!$C$9, $D$9, 100%, $F$9) + CHOOSE(CONTROL!$C$27, 0.0021, 0)</f>
        <v>44.9465</v>
      </c>
      <c r="D434" s="10">
        <f>44.9444 * CHOOSE(CONTROL!$C$9, $D$9, 100%, $F$9) + CHOOSE(CONTROL!$C$27, 0.0021, 0)</f>
        <v>44.9465</v>
      </c>
      <c r="E434" s="10">
        <f>44.8077 * CHOOSE(CONTROL!$C$9, $D$9, 100%, $F$9) + CHOOSE(CONTROL!$C$27, 0.0021, 0)</f>
        <v>44.809799999999996</v>
      </c>
      <c r="F434" s="10">
        <f>44.8077 * CHOOSE(CONTROL!$C$9, $D$9, 100%, $F$9) + CHOOSE(CONTROL!$C$27, 0.0021, 0)</f>
        <v>44.809799999999996</v>
      </c>
      <c r="G434" s="10">
        <f>45.0791 * CHOOSE(CONTROL!$C$9, $D$9, 100%, $F$9) + CHOOSE(CONTROL!$C$27, 0.0021, 0)</f>
        <v>45.081199999999995</v>
      </c>
      <c r="H434" s="10">
        <f>44.9444 * CHOOSE(CONTROL!$C$9, $D$9, 100%, $F$9) + CHOOSE(CONTROL!$C$27, 0.0021, 0)</f>
        <v>44.9465</v>
      </c>
      <c r="I434" s="10">
        <f>44.9444 * CHOOSE(CONTROL!$C$9, $D$9, 100%, $F$9) + CHOOSE(CONTROL!$C$27, 0.0021, 0)</f>
        <v>44.9465</v>
      </c>
      <c r="J434" s="10">
        <f>44.9444 * CHOOSE(CONTROL!$C$9, $D$9, 100%, $F$9) + CHOOSE(CONTROL!$C$27, 0.0021, 0)</f>
        <v>44.9465</v>
      </c>
      <c r="K434" s="10">
        <f>44.9444 * CHOOSE(CONTROL!$C$9, $D$9, 100%, $F$9) + CHOOSE(CONTROL!$C$27, 0.0021, 0)</f>
        <v>44.9465</v>
      </c>
      <c r="L434" s="10"/>
    </row>
    <row r="435" spans="1:12" ht="15.75" x14ac:dyDescent="0.25">
      <c r="A435" s="14">
        <v>54543</v>
      </c>
      <c r="B435" s="10">
        <f>44.7509 * CHOOSE(CONTROL!$C$9, $D$9, 100%, $F$9) + CHOOSE(CONTROL!$C$27, 0.0021, 0)</f>
        <v>44.753</v>
      </c>
      <c r="C435" s="10">
        <f>44.3187 * CHOOSE(CONTROL!$C$9, $D$9, 100%, $F$9) + CHOOSE(CONTROL!$C$27, 0.0021, 0)</f>
        <v>44.320799999999998</v>
      </c>
      <c r="D435" s="10">
        <f>44.3187 * CHOOSE(CONTROL!$C$9, $D$9, 100%, $F$9) + CHOOSE(CONTROL!$C$27, 0.0021, 0)</f>
        <v>44.320799999999998</v>
      </c>
      <c r="E435" s="10">
        <f>44.182 * CHOOSE(CONTROL!$C$9, $D$9, 100%, $F$9) + CHOOSE(CONTROL!$C$27, 0.0021, 0)</f>
        <v>44.184100000000001</v>
      </c>
      <c r="F435" s="10">
        <f>44.182 * CHOOSE(CONTROL!$C$9, $D$9, 100%, $F$9) + CHOOSE(CONTROL!$C$27, 0.0021, 0)</f>
        <v>44.184100000000001</v>
      </c>
      <c r="G435" s="10">
        <f>44.4534 * CHOOSE(CONTROL!$C$9, $D$9, 100%, $F$9) + CHOOSE(CONTROL!$C$27, 0.0021, 0)</f>
        <v>44.455500000000001</v>
      </c>
      <c r="H435" s="10">
        <f>44.3187 * CHOOSE(CONTROL!$C$9, $D$9, 100%, $F$9) + CHOOSE(CONTROL!$C$27, 0.0021, 0)</f>
        <v>44.320799999999998</v>
      </c>
      <c r="I435" s="10">
        <f>44.3187 * CHOOSE(CONTROL!$C$9, $D$9, 100%, $F$9) + CHOOSE(CONTROL!$C$27, 0.0021, 0)</f>
        <v>44.320799999999998</v>
      </c>
      <c r="J435" s="10">
        <f>44.3187 * CHOOSE(CONTROL!$C$9, $D$9, 100%, $F$9) + CHOOSE(CONTROL!$C$27, 0.0021, 0)</f>
        <v>44.320799999999998</v>
      </c>
      <c r="K435" s="10">
        <f>44.3187 * CHOOSE(CONTROL!$C$9, $D$9, 100%, $F$9) + CHOOSE(CONTROL!$C$27, 0.0021, 0)</f>
        <v>44.320799999999998</v>
      </c>
      <c r="L435" s="10"/>
    </row>
    <row r="436" spans="1:12" ht="15.75" x14ac:dyDescent="0.25">
      <c r="A436" s="14">
        <v>54574</v>
      </c>
      <c r="B436" s="10">
        <f>45.6426 * CHOOSE(CONTROL!$C$9, $D$9, 100%, $F$9) + CHOOSE(CONTROL!$C$27, 0.0021, 0)</f>
        <v>45.6447</v>
      </c>
      <c r="C436" s="10">
        <f>45.2103 * CHOOSE(CONTROL!$C$9, $D$9, 100%, $F$9) + CHOOSE(CONTROL!$C$27, 0.0021, 0)</f>
        <v>45.212399999999995</v>
      </c>
      <c r="D436" s="10">
        <f>45.2103 * CHOOSE(CONTROL!$C$9, $D$9, 100%, $F$9) + CHOOSE(CONTROL!$C$27, 0.0021, 0)</f>
        <v>45.212399999999995</v>
      </c>
      <c r="E436" s="10">
        <f>45.0737 * CHOOSE(CONTROL!$C$9, $D$9, 100%, $F$9) + CHOOSE(CONTROL!$C$27, 0.0021, 0)</f>
        <v>45.075800000000001</v>
      </c>
      <c r="F436" s="10">
        <f>45.0737 * CHOOSE(CONTROL!$C$9, $D$9, 100%, $F$9) + CHOOSE(CONTROL!$C$27, 0.0021, 0)</f>
        <v>45.075800000000001</v>
      </c>
      <c r="G436" s="10">
        <f>45.3451 * CHOOSE(CONTROL!$C$9, $D$9, 100%, $F$9) + CHOOSE(CONTROL!$C$27, 0.0021, 0)</f>
        <v>45.347200000000001</v>
      </c>
      <c r="H436" s="10">
        <f>45.2103 * CHOOSE(CONTROL!$C$9, $D$9, 100%, $F$9) + CHOOSE(CONTROL!$C$27, 0.0021, 0)</f>
        <v>45.212399999999995</v>
      </c>
      <c r="I436" s="10">
        <f>45.2103 * CHOOSE(CONTROL!$C$9, $D$9, 100%, $F$9) + CHOOSE(CONTROL!$C$27, 0.0021, 0)</f>
        <v>45.212399999999995</v>
      </c>
      <c r="J436" s="10">
        <f>45.2103 * CHOOSE(CONTROL!$C$9, $D$9, 100%, $F$9) + CHOOSE(CONTROL!$C$27, 0.0021, 0)</f>
        <v>45.212399999999995</v>
      </c>
      <c r="K436" s="10">
        <f>45.2103 * CHOOSE(CONTROL!$C$9, $D$9, 100%, $F$9) + CHOOSE(CONTROL!$C$27, 0.0021, 0)</f>
        <v>45.212399999999995</v>
      </c>
      <c r="L436" s="10"/>
    </row>
    <row r="437" spans="1:12" ht="15.75" x14ac:dyDescent="0.25">
      <c r="A437" s="14">
        <v>54604</v>
      </c>
      <c r="B437" s="10">
        <f>46.1766 * CHOOSE(CONTROL!$C$9, $D$9, 100%, $F$9) + CHOOSE(CONTROL!$C$27, 0.0021, 0)</f>
        <v>46.178699999999999</v>
      </c>
      <c r="C437" s="10">
        <f>45.7444 * CHOOSE(CONTROL!$C$9, $D$9, 100%, $F$9) + CHOOSE(CONTROL!$C$27, 0.0021, 0)</f>
        <v>45.746499999999997</v>
      </c>
      <c r="D437" s="10">
        <f>45.7444 * CHOOSE(CONTROL!$C$9, $D$9, 100%, $F$9) + CHOOSE(CONTROL!$C$27, 0.0021, 0)</f>
        <v>45.746499999999997</v>
      </c>
      <c r="E437" s="10">
        <f>45.6077 * CHOOSE(CONTROL!$C$9, $D$9, 100%, $F$9) + CHOOSE(CONTROL!$C$27, 0.0021, 0)</f>
        <v>45.6098</v>
      </c>
      <c r="F437" s="10">
        <f>45.6077 * CHOOSE(CONTROL!$C$9, $D$9, 100%, $F$9) + CHOOSE(CONTROL!$C$27, 0.0021, 0)</f>
        <v>45.6098</v>
      </c>
      <c r="G437" s="10">
        <f>45.8791 * CHOOSE(CONTROL!$C$9, $D$9, 100%, $F$9) + CHOOSE(CONTROL!$C$27, 0.0021, 0)</f>
        <v>45.8812</v>
      </c>
      <c r="H437" s="10">
        <f>45.7444 * CHOOSE(CONTROL!$C$9, $D$9, 100%, $F$9) + CHOOSE(CONTROL!$C$27, 0.0021, 0)</f>
        <v>45.746499999999997</v>
      </c>
      <c r="I437" s="10">
        <f>45.7444 * CHOOSE(CONTROL!$C$9, $D$9, 100%, $F$9) + CHOOSE(CONTROL!$C$27, 0.0021, 0)</f>
        <v>45.746499999999997</v>
      </c>
      <c r="J437" s="10">
        <f>45.7444 * CHOOSE(CONTROL!$C$9, $D$9, 100%, $F$9) + CHOOSE(CONTROL!$C$27, 0.0021, 0)</f>
        <v>45.746499999999997</v>
      </c>
      <c r="K437" s="10">
        <f>45.7444 * CHOOSE(CONTROL!$C$9, $D$9, 100%, $F$9) + CHOOSE(CONTROL!$C$27, 0.0021, 0)</f>
        <v>45.746499999999997</v>
      </c>
      <c r="L437" s="10"/>
    </row>
    <row r="438" spans="1:12" ht="15.75" x14ac:dyDescent="0.25">
      <c r="A438" s="14">
        <v>54635</v>
      </c>
      <c r="B438" s="10">
        <f>47.0577 * CHOOSE(CONTROL!$C$9, $D$9, 100%, $F$9) + CHOOSE(CONTROL!$C$27, 0.0021, 0)</f>
        <v>47.059799999999996</v>
      </c>
      <c r="C438" s="10">
        <f>46.6254 * CHOOSE(CONTROL!$C$9, $D$9, 100%, $F$9) + CHOOSE(CONTROL!$C$27, 0.0021, 0)</f>
        <v>46.627499999999998</v>
      </c>
      <c r="D438" s="10">
        <f>46.6254 * CHOOSE(CONTROL!$C$9, $D$9, 100%, $F$9) + CHOOSE(CONTROL!$C$27, 0.0021, 0)</f>
        <v>46.627499999999998</v>
      </c>
      <c r="E438" s="10">
        <f>46.4887 * CHOOSE(CONTROL!$C$9, $D$9, 100%, $F$9) + CHOOSE(CONTROL!$C$27, 0.0021, 0)</f>
        <v>46.4908</v>
      </c>
      <c r="F438" s="10">
        <f>46.4887 * CHOOSE(CONTROL!$C$9, $D$9, 100%, $F$9) + CHOOSE(CONTROL!$C$27, 0.0021, 0)</f>
        <v>46.4908</v>
      </c>
      <c r="G438" s="10">
        <f>46.7601 * CHOOSE(CONTROL!$C$9, $D$9, 100%, $F$9) + CHOOSE(CONTROL!$C$27, 0.0021, 0)</f>
        <v>46.7622</v>
      </c>
      <c r="H438" s="10">
        <f>46.6254 * CHOOSE(CONTROL!$C$9, $D$9, 100%, $F$9) + CHOOSE(CONTROL!$C$27, 0.0021, 0)</f>
        <v>46.627499999999998</v>
      </c>
      <c r="I438" s="10">
        <f>46.6254 * CHOOSE(CONTROL!$C$9, $D$9, 100%, $F$9) + CHOOSE(CONTROL!$C$27, 0.0021, 0)</f>
        <v>46.627499999999998</v>
      </c>
      <c r="J438" s="10">
        <f>46.6254 * CHOOSE(CONTROL!$C$9, $D$9, 100%, $F$9) + CHOOSE(CONTROL!$C$27, 0.0021, 0)</f>
        <v>46.627499999999998</v>
      </c>
      <c r="K438" s="10">
        <f>46.6254 * CHOOSE(CONTROL!$C$9, $D$9, 100%, $F$9) + CHOOSE(CONTROL!$C$27, 0.0021, 0)</f>
        <v>46.627499999999998</v>
      </c>
      <c r="L438" s="10"/>
    </row>
    <row r="439" spans="1:12" ht="15.75" x14ac:dyDescent="0.25">
      <c r="A439" s="14">
        <v>54666</v>
      </c>
      <c r="B439" s="10">
        <f>47.3266 * CHOOSE(CONTROL!$C$9, $D$9, 100%, $F$9) + CHOOSE(CONTROL!$C$27, 0.0021, 0)</f>
        <v>47.328699999999998</v>
      </c>
      <c r="C439" s="10">
        <f>46.8943 * CHOOSE(CONTROL!$C$9, $D$9, 100%, $F$9) + CHOOSE(CONTROL!$C$27, 0.0021, 0)</f>
        <v>46.8964</v>
      </c>
      <c r="D439" s="10">
        <f>46.8943 * CHOOSE(CONTROL!$C$9, $D$9, 100%, $F$9) + CHOOSE(CONTROL!$C$27, 0.0021, 0)</f>
        <v>46.8964</v>
      </c>
      <c r="E439" s="10">
        <f>46.7577 * CHOOSE(CONTROL!$C$9, $D$9, 100%, $F$9) + CHOOSE(CONTROL!$C$27, 0.0021, 0)</f>
        <v>46.759799999999998</v>
      </c>
      <c r="F439" s="10">
        <f>46.7577 * CHOOSE(CONTROL!$C$9, $D$9, 100%, $F$9) + CHOOSE(CONTROL!$C$27, 0.0021, 0)</f>
        <v>46.759799999999998</v>
      </c>
      <c r="G439" s="10">
        <f>47.029 * CHOOSE(CONTROL!$C$9, $D$9, 100%, $F$9) + CHOOSE(CONTROL!$C$27, 0.0021, 0)</f>
        <v>47.031100000000002</v>
      </c>
      <c r="H439" s="10">
        <f>46.8943 * CHOOSE(CONTROL!$C$9, $D$9, 100%, $F$9) + CHOOSE(CONTROL!$C$27, 0.0021, 0)</f>
        <v>46.8964</v>
      </c>
      <c r="I439" s="10">
        <f>46.8943 * CHOOSE(CONTROL!$C$9, $D$9, 100%, $F$9) + CHOOSE(CONTROL!$C$27, 0.0021, 0)</f>
        <v>46.8964</v>
      </c>
      <c r="J439" s="10">
        <f>46.8943 * CHOOSE(CONTROL!$C$9, $D$9, 100%, $F$9) + CHOOSE(CONTROL!$C$27, 0.0021, 0)</f>
        <v>46.8964</v>
      </c>
      <c r="K439" s="10">
        <f>46.8943 * CHOOSE(CONTROL!$C$9, $D$9, 100%, $F$9) + CHOOSE(CONTROL!$C$27, 0.0021, 0)</f>
        <v>46.8964</v>
      </c>
      <c r="L439" s="10"/>
    </row>
    <row r="440" spans="1:12" ht="15.75" x14ac:dyDescent="0.25">
      <c r="A440" s="14">
        <v>54696</v>
      </c>
      <c r="B440" s="10">
        <f>48.2423 * CHOOSE(CONTROL!$C$9, $D$9, 100%, $F$9) + CHOOSE(CONTROL!$C$27, 0.0021, 0)</f>
        <v>48.244399999999999</v>
      </c>
      <c r="C440" s="10">
        <f>47.8101 * CHOOSE(CONTROL!$C$9, $D$9, 100%, $F$9) + CHOOSE(CONTROL!$C$27, 0.0021, 0)</f>
        <v>47.812199999999997</v>
      </c>
      <c r="D440" s="10">
        <f>47.8101 * CHOOSE(CONTROL!$C$9, $D$9, 100%, $F$9) + CHOOSE(CONTROL!$C$27, 0.0021, 0)</f>
        <v>47.812199999999997</v>
      </c>
      <c r="E440" s="10">
        <f>47.6734 * CHOOSE(CONTROL!$C$9, $D$9, 100%, $F$9) + CHOOSE(CONTROL!$C$27, 0.0021, 0)</f>
        <v>47.6755</v>
      </c>
      <c r="F440" s="10">
        <f>47.6734 * CHOOSE(CONTROL!$C$9, $D$9, 100%, $F$9) + CHOOSE(CONTROL!$C$27, 0.0021, 0)</f>
        <v>47.6755</v>
      </c>
      <c r="G440" s="10">
        <f>47.9448 * CHOOSE(CONTROL!$C$9, $D$9, 100%, $F$9) + CHOOSE(CONTROL!$C$27, 0.0021, 0)</f>
        <v>47.946899999999999</v>
      </c>
      <c r="H440" s="10">
        <f>47.8101 * CHOOSE(CONTROL!$C$9, $D$9, 100%, $F$9) + CHOOSE(CONTROL!$C$27, 0.0021, 0)</f>
        <v>47.812199999999997</v>
      </c>
      <c r="I440" s="10">
        <f>47.8101 * CHOOSE(CONTROL!$C$9, $D$9, 100%, $F$9) + CHOOSE(CONTROL!$C$27, 0.0021, 0)</f>
        <v>47.812199999999997</v>
      </c>
      <c r="J440" s="10">
        <f>47.8101 * CHOOSE(CONTROL!$C$9, $D$9, 100%, $F$9) + CHOOSE(CONTROL!$C$27, 0.0021, 0)</f>
        <v>47.812199999999997</v>
      </c>
      <c r="K440" s="10">
        <f>47.8101 * CHOOSE(CONTROL!$C$9, $D$9, 100%, $F$9) + CHOOSE(CONTROL!$C$27, 0.0021, 0)</f>
        <v>47.812199999999997</v>
      </c>
      <c r="L440" s="10"/>
    </row>
    <row r="441" spans="1:12" ht="15.75" x14ac:dyDescent="0.25">
      <c r="A441" s="14">
        <v>54727</v>
      </c>
      <c r="B441" s="10">
        <f>49.4015 * CHOOSE(CONTROL!$C$9, $D$9, 100%, $F$9) + CHOOSE(CONTROL!$C$27, 0.0021, 0)</f>
        <v>49.403599999999997</v>
      </c>
      <c r="C441" s="10">
        <f>48.9693 * CHOOSE(CONTROL!$C$9, $D$9, 100%, $F$9) + CHOOSE(CONTROL!$C$27, 0.0021, 0)</f>
        <v>48.971399999999996</v>
      </c>
      <c r="D441" s="10">
        <f>48.9693 * CHOOSE(CONTROL!$C$9, $D$9, 100%, $F$9) + CHOOSE(CONTROL!$C$27, 0.0021, 0)</f>
        <v>48.971399999999996</v>
      </c>
      <c r="E441" s="10">
        <f>48.8326 * CHOOSE(CONTROL!$C$9, $D$9, 100%, $F$9) + CHOOSE(CONTROL!$C$27, 0.0021, 0)</f>
        <v>48.834699999999998</v>
      </c>
      <c r="F441" s="10">
        <f>48.8326 * CHOOSE(CONTROL!$C$9, $D$9, 100%, $F$9) + CHOOSE(CONTROL!$C$27, 0.0021, 0)</f>
        <v>48.834699999999998</v>
      </c>
      <c r="G441" s="10">
        <f>49.104 * CHOOSE(CONTROL!$C$9, $D$9, 100%, $F$9) + CHOOSE(CONTROL!$C$27, 0.0021, 0)</f>
        <v>49.106099999999998</v>
      </c>
      <c r="H441" s="10">
        <f>48.9693 * CHOOSE(CONTROL!$C$9, $D$9, 100%, $F$9) + CHOOSE(CONTROL!$C$27, 0.0021, 0)</f>
        <v>48.971399999999996</v>
      </c>
      <c r="I441" s="10">
        <f>48.9693 * CHOOSE(CONTROL!$C$9, $D$9, 100%, $F$9) + CHOOSE(CONTROL!$C$27, 0.0021, 0)</f>
        <v>48.971399999999996</v>
      </c>
      <c r="J441" s="10">
        <f>48.9693 * CHOOSE(CONTROL!$C$9, $D$9, 100%, $F$9) + CHOOSE(CONTROL!$C$27, 0.0021, 0)</f>
        <v>48.971399999999996</v>
      </c>
      <c r="K441" s="10">
        <f>48.9693 * CHOOSE(CONTROL!$C$9, $D$9, 100%, $F$9) + CHOOSE(CONTROL!$C$27, 0.0021, 0)</f>
        <v>48.971399999999996</v>
      </c>
      <c r="L441" s="10"/>
    </row>
    <row r="442" spans="1:12" ht="15.75" x14ac:dyDescent="0.25">
      <c r="A442" s="14">
        <v>54757</v>
      </c>
      <c r="B442" s="10">
        <f>49.5104 * CHOOSE(CONTROL!$C$9, $D$9, 100%, $F$9) + CHOOSE(CONTROL!$C$27, 0.0021, 0)</f>
        <v>49.512499999999996</v>
      </c>
      <c r="C442" s="10">
        <f>49.0781 * CHOOSE(CONTROL!$C$9, $D$9, 100%, $F$9) + CHOOSE(CONTROL!$C$27, 0.0021, 0)</f>
        <v>49.080199999999998</v>
      </c>
      <c r="D442" s="10">
        <f>49.0781 * CHOOSE(CONTROL!$C$9, $D$9, 100%, $F$9) + CHOOSE(CONTROL!$C$27, 0.0021, 0)</f>
        <v>49.080199999999998</v>
      </c>
      <c r="E442" s="10">
        <f>48.9415 * CHOOSE(CONTROL!$C$9, $D$9, 100%, $F$9) + CHOOSE(CONTROL!$C$27, 0.0021, 0)</f>
        <v>48.943599999999996</v>
      </c>
      <c r="F442" s="10">
        <f>48.9415 * CHOOSE(CONTROL!$C$9, $D$9, 100%, $F$9) + CHOOSE(CONTROL!$C$27, 0.0021, 0)</f>
        <v>48.943599999999996</v>
      </c>
      <c r="G442" s="10">
        <f>49.2128 * CHOOSE(CONTROL!$C$9, $D$9, 100%, $F$9) + CHOOSE(CONTROL!$C$27, 0.0021, 0)</f>
        <v>49.2149</v>
      </c>
      <c r="H442" s="10">
        <f>49.0781 * CHOOSE(CONTROL!$C$9, $D$9, 100%, $F$9) + CHOOSE(CONTROL!$C$27, 0.0021, 0)</f>
        <v>49.080199999999998</v>
      </c>
      <c r="I442" s="10">
        <f>49.0781 * CHOOSE(CONTROL!$C$9, $D$9, 100%, $F$9) + CHOOSE(CONTROL!$C$27, 0.0021, 0)</f>
        <v>49.080199999999998</v>
      </c>
      <c r="J442" s="10">
        <f>49.0781 * CHOOSE(CONTROL!$C$9, $D$9, 100%, $F$9) + CHOOSE(CONTROL!$C$27, 0.0021, 0)</f>
        <v>49.080199999999998</v>
      </c>
      <c r="K442" s="10">
        <f>49.0781 * CHOOSE(CONTROL!$C$9, $D$9, 100%, $F$9) + CHOOSE(CONTROL!$C$27, 0.0021, 0)</f>
        <v>49.080199999999998</v>
      </c>
      <c r="L442" s="10"/>
    </row>
    <row r="443" spans="1:12" ht="15.75" x14ac:dyDescent="0.25">
      <c r="A443" s="14">
        <v>54788</v>
      </c>
      <c r="B443" s="10">
        <f>48.5845 * CHOOSE(CONTROL!$C$9, $D$9, 100%, $F$9) + CHOOSE(CONTROL!$C$27, 0.0021, 0)</f>
        <v>48.586599999999997</v>
      </c>
      <c r="C443" s="10">
        <f>48.1523 * CHOOSE(CONTROL!$C$9, $D$9, 100%, $F$9) + CHOOSE(CONTROL!$C$27, 0.0021, 0)</f>
        <v>48.154399999999995</v>
      </c>
      <c r="D443" s="10">
        <f>48.1523 * CHOOSE(CONTROL!$C$9, $D$9, 100%, $F$9) + CHOOSE(CONTROL!$C$27, 0.0021, 0)</f>
        <v>48.154399999999995</v>
      </c>
      <c r="E443" s="10">
        <f>48.0156 * CHOOSE(CONTROL!$C$9, $D$9, 100%, $F$9) + CHOOSE(CONTROL!$C$27, 0.0021, 0)</f>
        <v>48.017699999999998</v>
      </c>
      <c r="F443" s="10">
        <f>48.0156 * CHOOSE(CONTROL!$C$9, $D$9, 100%, $F$9) + CHOOSE(CONTROL!$C$27, 0.0021, 0)</f>
        <v>48.017699999999998</v>
      </c>
      <c r="G443" s="10">
        <f>48.287 * CHOOSE(CONTROL!$C$9, $D$9, 100%, $F$9) + CHOOSE(CONTROL!$C$27, 0.0021, 0)</f>
        <v>48.289099999999998</v>
      </c>
      <c r="H443" s="10">
        <f>48.1523 * CHOOSE(CONTROL!$C$9, $D$9, 100%, $F$9) + CHOOSE(CONTROL!$C$27, 0.0021, 0)</f>
        <v>48.154399999999995</v>
      </c>
      <c r="I443" s="10">
        <f>48.1523 * CHOOSE(CONTROL!$C$9, $D$9, 100%, $F$9) + CHOOSE(CONTROL!$C$27, 0.0021, 0)</f>
        <v>48.154399999999995</v>
      </c>
      <c r="J443" s="10">
        <f>48.1523 * CHOOSE(CONTROL!$C$9, $D$9, 100%, $F$9) + CHOOSE(CONTROL!$C$27, 0.0021, 0)</f>
        <v>48.154399999999995</v>
      </c>
      <c r="K443" s="10">
        <f>48.1523 * CHOOSE(CONTROL!$C$9, $D$9, 100%, $F$9) + CHOOSE(CONTROL!$C$27, 0.0021, 0)</f>
        <v>48.154399999999995</v>
      </c>
      <c r="L443" s="10"/>
    </row>
    <row r="444" spans="1:12" ht="15.75" x14ac:dyDescent="0.25">
      <c r="A444" s="14">
        <v>54819</v>
      </c>
      <c r="B444" s="10">
        <f>47.8757 * CHOOSE(CONTROL!$C$9, $D$9, 100%, $F$9) + CHOOSE(CONTROL!$C$27, 0.0021, 0)</f>
        <v>47.877800000000001</v>
      </c>
      <c r="C444" s="10">
        <f>47.4434 * CHOOSE(CONTROL!$C$9, $D$9, 100%, $F$9) + CHOOSE(CONTROL!$C$27, 0.0021, 0)</f>
        <v>47.445499999999996</v>
      </c>
      <c r="D444" s="10">
        <f>47.4434 * CHOOSE(CONTROL!$C$9, $D$9, 100%, $F$9) + CHOOSE(CONTROL!$C$27, 0.0021, 0)</f>
        <v>47.445499999999996</v>
      </c>
      <c r="E444" s="10">
        <f>47.3068 * CHOOSE(CONTROL!$C$9, $D$9, 100%, $F$9) + CHOOSE(CONTROL!$C$27, 0.0021, 0)</f>
        <v>47.308900000000001</v>
      </c>
      <c r="F444" s="10">
        <f>47.3068 * CHOOSE(CONTROL!$C$9, $D$9, 100%, $F$9) + CHOOSE(CONTROL!$C$27, 0.0021, 0)</f>
        <v>47.308900000000001</v>
      </c>
      <c r="G444" s="10">
        <f>47.5781 * CHOOSE(CONTROL!$C$9, $D$9, 100%, $F$9) + CHOOSE(CONTROL!$C$27, 0.0021, 0)</f>
        <v>47.580199999999998</v>
      </c>
      <c r="H444" s="10">
        <f>47.4434 * CHOOSE(CONTROL!$C$9, $D$9, 100%, $F$9) + CHOOSE(CONTROL!$C$27, 0.0021, 0)</f>
        <v>47.445499999999996</v>
      </c>
      <c r="I444" s="10">
        <f>47.4434 * CHOOSE(CONTROL!$C$9, $D$9, 100%, $F$9) + CHOOSE(CONTROL!$C$27, 0.0021, 0)</f>
        <v>47.445499999999996</v>
      </c>
      <c r="J444" s="10">
        <f>47.4434 * CHOOSE(CONTROL!$C$9, $D$9, 100%, $F$9) + CHOOSE(CONTROL!$C$27, 0.0021, 0)</f>
        <v>47.445499999999996</v>
      </c>
      <c r="K444" s="10">
        <f>47.4434 * CHOOSE(CONTROL!$C$9, $D$9, 100%, $F$9) + CHOOSE(CONTROL!$C$27, 0.0021, 0)</f>
        <v>47.445499999999996</v>
      </c>
      <c r="L444" s="10"/>
    </row>
    <row r="445" spans="1:12" ht="15.75" x14ac:dyDescent="0.25">
      <c r="A445" s="14">
        <v>54847</v>
      </c>
      <c r="B445" s="10">
        <f>46.5863 * CHOOSE(CONTROL!$C$9, $D$9, 100%, $F$9) + CHOOSE(CONTROL!$C$27, 0.0021, 0)</f>
        <v>46.5884</v>
      </c>
      <c r="C445" s="10">
        <f>46.1541 * CHOOSE(CONTROL!$C$9, $D$9, 100%, $F$9) + CHOOSE(CONTROL!$C$27, 0.0021, 0)</f>
        <v>46.156199999999998</v>
      </c>
      <c r="D445" s="10">
        <f>46.1541 * CHOOSE(CONTROL!$C$9, $D$9, 100%, $F$9) + CHOOSE(CONTROL!$C$27, 0.0021, 0)</f>
        <v>46.156199999999998</v>
      </c>
      <c r="E445" s="10">
        <f>46.0174 * CHOOSE(CONTROL!$C$9, $D$9, 100%, $F$9) + CHOOSE(CONTROL!$C$27, 0.0021, 0)</f>
        <v>46.019500000000001</v>
      </c>
      <c r="F445" s="10">
        <f>46.0174 * CHOOSE(CONTROL!$C$9, $D$9, 100%, $F$9) + CHOOSE(CONTROL!$C$27, 0.0021, 0)</f>
        <v>46.019500000000001</v>
      </c>
      <c r="G445" s="10">
        <f>46.2888 * CHOOSE(CONTROL!$C$9, $D$9, 100%, $F$9) + CHOOSE(CONTROL!$C$27, 0.0021, 0)</f>
        <v>46.290900000000001</v>
      </c>
      <c r="H445" s="10">
        <f>46.1541 * CHOOSE(CONTROL!$C$9, $D$9, 100%, $F$9) + CHOOSE(CONTROL!$C$27, 0.0021, 0)</f>
        <v>46.156199999999998</v>
      </c>
      <c r="I445" s="10">
        <f>46.1541 * CHOOSE(CONTROL!$C$9, $D$9, 100%, $F$9) + CHOOSE(CONTROL!$C$27, 0.0021, 0)</f>
        <v>46.156199999999998</v>
      </c>
      <c r="J445" s="10">
        <f>46.1541 * CHOOSE(CONTROL!$C$9, $D$9, 100%, $F$9) + CHOOSE(CONTROL!$C$27, 0.0021, 0)</f>
        <v>46.156199999999998</v>
      </c>
      <c r="K445" s="10">
        <f>46.1541 * CHOOSE(CONTROL!$C$9, $D$9, 100%, $F$9) + CHOOSE(CONTROL!$C$27, 0.0021, 0)</f>
        <v>46.156199999999998</v>
      </c>
      <c r="L445" s="10"/>
    </row>
    <row r="446" spans="1:12" ht="15.75" x14ac:dyDescent="0.25">
      <c r="A446" s="14">
        <v>54878</v>
      </c>
      <c r="B446" s="10">
        <f>46.0541 * CHOOSE(CONTROL!$C$9, $D$9, 100%, $F$9) + CHOOSE(CONTROL!$C$27, 0.0021, 0)</f>
        <v>46.056199999999997</v>
      </c>
      <c r="C446" s="10">
        <f>45.6218 * CHOOSE(CONTROL!$C$9, $D$9, 100%, $F$9) + CHOOSE(CONTROL!$C$27, 0.0021, 0)</f>
        <v>45.623899999999999</v>
      </c>
      <c r="D446" s="10">
        <f>45.6218 * CHOOSE(CONTROL!$C$9, $D$9, 100%, $F$9) + CHOOSE(CONTROL!$C$27, 0.0021, 0)</f>
        <v>45.623899999999999</v>
      </c>
      <c r="E446" s="10">
        <f>45.4852 * CHOOSE(CONTROL!$C$9, $D$9, 100%, $F$9) + CHOOSE(CONTROL!$C$27, 0.0021, 0)</f>
        <v>45.487299999999998</v>
      </c>
      <c r="F446" s="10">
        <f>45.4852 * CHOOSE(CONTROL!$C$9, $D$9, 100%, $F$9) + CHOOSE(CONTROL!$C$27, 0.0021, 0)</f>
        <v>45.487299999999998</v>
      </c>
      <c r="G446" s="10">
        <f>45.7566 * CHOOSE(CONTROL!$C$9, $D$9, 100%, $F$9) + CHOOSE(CONTROL!$C$27, 0.0021, 0)</f>
        <v>45.758699999999997</v>
      </c>
      <c r="H446" s="10">
        <f>45.6218 * CHOOSE(CONTROL!$C$9, $D$9, 100%, $F$9) + CHOOSE(CONTROL!$C$27, 0.0021, 0)</f>
        <v>45.623899999999999</v>
      </c>
      <c r="I446" s="10">
        <f>45.6218 * CHOOSE(CONTROL!$C$9, $D$9, 100%, $F$9) + CHOOSE(CONTROL!$C$27, 0.0021, 0)</f>
        <v>45.623899999999999</v>
      </c>
      <c r="J446" s="10">
        <f>45.6218 * CHOOSE(CONTROL!$C$9, $D$9, 100%, $F$9) + CHOOSE(CONTROL!$C$27, 0.0021, 0)</f>
        <v>45.623899999999999</v>
      </c>
      <c r="K446" s="10">
        <f>45.6218 * CHOOSE(CONTROL!$C$9, $D$9, 100%, $F$9) + CHOOSE(CONTROL!$C$27, 0.0021, 0)</f>
        <v>45.623899999999999</v>
      </c>
      <c r="L446" s="10"/>
    </row>
    <row r="447" spans="1:12" ht="15.75" x14ac:dyDescent="0.25">
      <c r="A447" s="14">
        <v>54908</v>
      </c>
      <c r="B447" s="10">
        <f>45.4186 * CHOOSE(CONTROL!$C$9, $D$9, 100%, $F$9) + CHOOSE(CONTROL!$C$27, 0.0021, 0)</f>
        <v>45.420699999999997</v>
      </c>
      <c r="C447" s="10">
        <f>44.9863 * CHOOSE(CONTROL!$C$9, $D$9, 100%, $F$9) + CHOOSE(CONTROL!$C$27, 0.0021, 0)</f>
        <v>44.988399999999999</v>
      </c>
      <c r="D447" s="10">
        <f>44.9863 * CHOOSE(CONTROL!$C$9, $D$9, 100%, $F$9) + CHOOSE(CONTROL!$C$27, 0.0021, 0)</f>
        <v>44.988399999999999</v>
      </c>
      <c r="E447" s="10">
        <f>44.8497 * CHOOSE(CONTROL!$C$9, $D$9, 100%, $F$9) + CHOOSE(CONTROL!$C$27, 0.0021, 0)</f>
        <v>44.851799999999997</v>
      </c>
      <c r="F447" s="10">
        <f>44.8497 * CHOOSE(CONTROL!$C$9, $D$9, 100%, $F$9) + CHOOSE(CONTROL!$C$27, 0.0021, 0)</f>
        <v>44.851799999999997</v>
      </c>
      <c r="G447" s="10">
        <f>45.1211 * CHOOSE(CONTROL!$C$9, $D$9, 100%, $F$9) + CHOOSE(CONTROL!$C$27, 0.0021, 0)</f>
        <v>45.123199999999997</v>
      </c>
      <c r="H447" s="10">
        <f>44.9863 * CHOOSE(CONTROL!$C$9, $D$9, 100%, $F$9) + CHOOSE(CONTROL!$C$27, 0.0021, 0)</f>
        <v>44.988399999999999</v>
      </c>
      <c r="I447" s="10">
        <f>44.9863 * CHOOSE(CONTROL!$C$9, $D$9, 100%, $F$9) + CHOOSE(CONTROL!$C$27, 0.0021, 0)</f>
        <v>44.988399999999999</v>
      </c>
      <c r="J447" s="10">
        <f>44.9863 * CHOOSE(CONTROL!$C$9, $D$9, 100%, $F$9) + CHOOSE(CONTROL!$C$27, 0.0021, 0)</f>
        <v>44.988399999999999</v>
      </c>
      <c r="K447" s="10">
        <f>44.9863 * CHOOSE(CONTROL!$C$9, $D$9, 100%, $F$9) + CHOOSE(CONTROL!$C$27, 0.0021, 0)</f>
        <v>44.988399999999999</v>
      </c>
      <c r="L447" s="10"/>
    </row>
    <row r="448" spans="1:12" ht="15.75" x14ac:dyDescent="0.25">
      <c r="A448" s="14">
        <v>54939</v>
      </c>
      <c r="B448" s="10">
        <f>46.3243 * CHOOSE(CONTROL!$C$9, $D$9, 100%, $F$9) + CHOOSE(CONTROL!$C$27, 0.0021, 0)</f>
        <v>46.3264</v>
      </c>
      <c r="C448" s="10">
        <f>45.892 * CHOOSE(CONTROL!$C$9, $D$9, 100%, $F$9) + CHOOSE(CONTROL!$C$27, 0.0021, 0)</f>
        <v>45.894100000000002</v>
      </c>
      <c r="D448" s="10">
        <f>45.892 * CHOOSE(CONTROL!$C$9, $D$9, 100%, $F$9) + CHOOSE(CONTROL!$C$27, 0.0021, 0)</f>
        <v>45.894100000000002</v>
      </c>
      <c r="E448" s="10">
        <f>45.7554 * CHOOSE(CONTROL!$C$9, $D$9, 100%, $F$9) + CHOOSE(CONTROL!$C$27, 0.0021, 0)</f>
        <v>45.7575</v>
      </c>
      <c r="F448" s="10">
        <f>45.7554 * CHOOSE(CONTROL!$C$9, $D$9, 100%, $F$9) + CHOOSE(CONTROL!$C$27, 0.0021, 0)</f>
        <v>45.7575</v>
      </c>
      <c r="G448" s="10">
        <f>46.0267 * CHOOSE(CONTROL!$C$9, $D$9, 100%, $F$9) + CHOOSE(CONTROL!$C$27, 0.0021, 0)</f>
        <v>46.028799999999997</v>
      </c>
      <c r="H448" s="10">
        <f>45.892 * CHOOSE(CONTROL!$C$9, $D$9, 100%, $F$9) + CHOOSE(CONTROL!$C$27, 0.0021, 0)</f>
        <v>45.894100000000002</v>
      </c>
      <c r="I448" s="10">
        <f>45.892 * CHOOSE(CONTROL!$C$9, $D$9, 100%, $F$9) + CHOOSE(CONTROL!$C$27, 0.0021, 0)</f>
        <v>45.894100000000002</v>
      </c>
      <c r="J448" s="10">
        <f>45.892 * CHOOSE(CONTROL!$C$9, $D$9, 100%, $F$9) + CHOOSE(CONTROL!$C$27, 0.0021, 0)</f>
        <v>45.894100000000002</v>
      </c>
      <c r="K448" s="10">
        <f>45.892 * CHOOSE(CONTROL!$C$9, $D$9, 100%, $F$9) + CHOOSE(CONTROL!$C$27, 0.0021, 0)</f>
        <v>45.894100000000002</v>
      </c>
      <c r="L448" s="10"/>
    </row>
    <row r="449" spans="1:12" ht="15.75" x14ac:dyDescent="0.25">
      <c r="A449" s="14">
        <v>54969</v>
      </c>
      <c r="B449" s="10">
        <f>46.8667 * CHOOSE(CONTROL!$C$9, $D$9, 100%, $F$9) + CHOOSE(CONTROL!$C$27, 0.0021, 0)</f>
        <v>46.8688</v>
      </c>
      <c r="C449" s="10">
        <f>46.4345 * CHOOSE(CONTROL!$C$9, $D$9, 100%, $F$9) + CHOOSE(CONTROL!$C$27, 0.0021, 0)</f>
        <v>46.436599999999999</v>
      </c>
      <c r="D449" s="10">
        <f>46.4345 * CHOOSE(CONTROL!$C$9, $D$9, 100%, $F$9) + CHOOSE(CONTROL!$C$27, 0.0021, 0)</f>
        <v>46.436599999999999</v>
      </c>
      <c r="E449" s="10">
        <f>46.2978 * CHOOSE(CONTROL!$C$9, $D$9, 100%, $F$9) + CHOOSE(CONTROL!$C$27, 0.0021, 0)</f>
        <v>46.299900000000001</v>
      </c>
      <c r="F449" s="10">
        <f>46.2978 * CHOOSE(CONTROL!$C$9, $D$9, 100%, $F$9) + CHOOSE(CONTROL!$C$27, 0.0021, 0)</f>
        <v>46.299900000000001</v>
      </c>
      <c r="G449" s="10">
        <f>46.5692 * CHOOSE(CONTROL!$C$9, $D$9, 100%, $F$9) + CHOOSE(CONTROL!$C$27, 0.0021, 0)</f>
        <v>46.571300000000001</v>
      </c>
      <c r="H449" s="10">
        <f>46.4345 * CHOOSE(CONTROL!$C$9, $D$9, 100%, $F$9) + CHOOSE(CONTROL!$C$27, 0.0021, 0)</f>
        <v>46.436599999999999</v>
      </c>
      <c r="I449" s="10">
        <f>46.4345 * CHOOSE(CONTROL!$C$9, $D$9, 100%, $F$9) + CHOOSE(CONTROL!$C$27, 0.0021, 0)</f>
        <v>46.436599999999999</v>
      </c>
      <c r="J449" s="10">
        <f>46.4345 * CHOOSE(CONTROL!$C$9, $D$9, 100%, $F$9) + CHOOSE(CONTROL!$C$27, 0.0021, 0)</f>
        <v>46.436599999999999</v>
      </c>
      <c r="K449" s="10">
        <f>46.4345 * CHOOSE(CONTROL!$C$9, $D$9, 100%, $F$9) + CHOOSE(CONTROL!$C$27, 0.0021, 0)</f>
        <v>46.436599999999999</v>
      </c>
      <c r="L449" s="10"/>
    </row>
    <row r="450" spans="1:12" ht="15.75" x14ac:dyDescent="0.25">
      <c r="A450" s="14">
        <v>55000</v>
      </c>
      <c r="B450" s="10">
        <f>47.7616 * CHOOSE(CONTROL!$C$9, $D$9, 100%, $F$9) + CHOOSE(CONTROL!$C$27, 0.0021, 0)</f>
        <v>47.7637</v>
      </c>
      <c r="C450" s="10">
        <f>47.3293 * CHOOSE(CONTROL!$C$9, $D$9, 100%, $F$9) + CHOOSE(CONTROL!$C$27, 0.0021, 0)</f>
        <v>47.331400000000002</v>
      </c>
      <c r="D450" s="10">
        <f>47.3293 * CHOOSE(CONTROL!$C$9, $D$9, 100%, $F$9) + CHOOSE(CONTROL!$C$27, 0.0021, 0)</f>
        <v>47.331400000000002</v>
      </c>
      <c r="E450" s="10">
        <f>47.1927 * CHOOSE(CONTROL!$C$9, $D$9, 100%, $F$9) + CHOOSE(CONTROL!$C$27, 0.0021, 0)</f>
        <v>47.194800000000001</v>
      </c>
      <c r="F450" s="10">
        <f>47.1927 * CHOOSE(CONTROL!$C$9, $D$9, 100%, $F$9) + CHOOSE(CONTROL!$C$27, 0.0021, 0)</f>
        <v>47.194800000000001</v>
      </c>
      <c r="G450" s="10">
        <f>47.4641 * CHOOSE(CONTROL!$C$9, $D$9, 100%, $F$9) + CHOOSE(CONTROL!$C$27, 0.0021, 0)</f>
        <v>47.466200000000001</v>
      </c>
      <c r="H450" s="10">
        <f>47.3293 * CHOOSE(CONTROL!$C$9, $D$9, 100%, $F$9) + CHOOSE(CONTROL!$C$27, 0.0021, 0)</f>
        <v>47.331400000000002</v>
      </c>
      <c r="I450" s="10">
        <f>47.3293 * CHOOSE(CONTROL!$C$9, $D$9, 100%, $F$9) + CHOOSE(CONTROL!$C$27, 0.0021, 0)</f>
        <v>47.331400000000002</v>
      </c>
      <c r="J450" s="10">
        <f>47.3293 * CHOOSE(CONTROL!$C$9, $D$9, 100%, $F$9) + CHOOSE(CONTROL!$C$27, 0.0021, 0)</f>
        <v>47.331400000000002</v>
      </c>
      <c r="K450" s="10">
        <f>47.3293 * CHOOSE(CONTROL!$C$9, $D$9, 100%, $F$9) + CHOOSE(CONTROL!$C$27, 0.0021, 0)</f>
        <v>47.331400000000002</v>
      </c>
      <c r="L450" s="10"/>
    </row>
    <row r="451" spans="1:12" ht="15.75" x14ac:dyDescent="0.25">
      <c r="A451" s="14">
        <v>55031</v>
      </c>
      <c r="B451" s="10">
        <f>48.0347 * CHOOSE(CONTROL!$C$9, $D$9, 100%, $F$9) + CHOOSE(CONTROL!$C$27, 0.0021, 0)</f>
        <v>48.036799999999999</v>
      </c>
      <c r="C451" s="10">
        <f>47.6025 * CHOOSE(CONTROL!$C$9, $D$9, 100%, $F$9) + CHOOSE(CONTROL!$C$27, 0.0021, 0)</f>
        <v>47.604599999999998</v>
      </c>
      <c r="D451" s="10">
        <f>47.6025 * CHOOSE(CONTROL!$C$9, $D$9, 100%, $F$9) + CHOOSE(CONTROL!$C$27, 0.0021, 0)</f>
        <v>47.604599999999998</v>
      </c>
      <c r="E451" s="10">
        <f>47.4658 * CHOOSE(CONTROL!$C$9, $D$9, 100%, $F$9) + CHOOSE(CONTROL!$C$27, 0.0021, 0)</f>
        <v>47.4679</v>
      </c>
      <c r="F451" s="10">
        <f>47.4658 * CHOOSE(CONTROL!$C$9, $D$9, 100%, $F$9) + CHOOSE(CONTROL!$C$27, 0.0021, 0)</f>
        <v>47.4679</v>
      </c>
      <c r="G451" s="10">
        <f>47.7372 * CHOOSE(CONTROL!$C$9, $D$9, 100%, $F$9) + CHOOSE(CONTROL!$C$27, 0.0021, 0)</f>
        <v>47.7393</v>
      </c>
      <c r="H451" s="10">
        <f>47.6025 * CHOOSE(CONTROL!$C$9, $D$9, 100%, $F$9) + CHOOSE(CONTROL!$C$27, 0.0021, 0)</f>
        <v>47.604599999999998</v>
      </c>
      <c r="I451" s="10">
        <f>47.6025 * CHOOSE(CONTROL!$C$9, $D$9, 100%, $F$9) + CHOOSE(CONTROL!$C$27, 0.0021, 0)</f>
        <v>47.604599999999998</v>
      </c>
      <c r="J451" s="10">
        <f>47.6025 * CHOOSE(CONTROL!$C$9, $D$9, 100%, $F$9) + CHOOSE(CONTROL!$C$27, 0.0021, 0)</f>
        <v>47.604599999999998</v>
      </c>
      <c r="K451" s="10">
        <f>47.6025 * CHOOSE(CONTROL!$C$9, $D$9, 100%, $F$9) + CHOOSE(CONTROL!$C$27, 0.0021, 0)</f>
        <v>47.604599999999998</v>
      </c>
      <c r="L451" s="10"/>
    </row>
    <row r="452" spans="1:12" ht="15.75" x14ac:dyDescent="0.25">
      <c r="A452" s="14">
        <v>55061</v>
      </c>
      <c r="B452" s="10">
        <f>48.9649 * CHOOSE(CONTROL!$C$9, $D$9, 100%, $F$9) + CHOOSE(CONTROL!$C$27, 0.0021, 0)</f>
        <v>48.966999999999999</v>
      </c>
      <c r="C452" s="10">
        <f>48.5326 * CHOOSE(CONTROL!$C$9, $D$9, 100%, $F$9) + CHOOSE(CONTROL!$C$27, 0.0021, 0)</f>
        <v>48.534700000000001</v>
      </c>
      <c r="D452" s="10">
        <f>48.5326 * CHOOSE(CONTROL!$C$9, $D$9, 100%, $F$9) + CHOOSE(CONTROL!$C$27, 0.0021, 0)</f>
        <v>48.534700000000001</v>
      </c>
      <c r="E452" s="10">
        <f>48.396 * CHOOSE(CONTROL!$C$9, $D$9, 100%, $F$9) + CHOOSE(CONTROL!$C$27, 0.0021, 0)</f>
        <v>48.398099999999999</v>
      </c>
      <c r="F452" s="10">
        <f>48.396 * CHOOSE(CONTROL!$C$9, $D$9, 100%, $F$9) + CHOOSE(CONTROL!$C$27, 0.0021, 0)</f>
        <v>48.398099999999999</v>
      </c>
      <c r="G452" s="10">
        <f>48.6674 * CHOOSE(CONTROL!$C$9, $D$9, 100%, $F$9) + CHOOSE(CONTROL!$C$27, 0.0021, 0)</f>
        <v>48.669499999999999</v>
      </c>
      <c r="H452" s="10">
        <f>48.5326 * CHOOSE(CONTROL!$C$9, $D$9, 100%, $F$9) + CHOOSE(CONTROL!$C$27, 0.0021, 0)</f>
        <v>48.534700000000001</v>
      </c>
      <c r="I452" s="10">
        <f>48.5326 * CHOOSE(CONTROL!$C$9, $D$9, 100%, $F$9) + CHOOSE(CONTROL!$C$27, 0.0021, 0)</f>
        <v>48.534700000000001</v>
      </c>
      <c r="J452" s="10">
        <f>48.5326 * CHOOSE(CONTROL!$C$9, $D$9, 100%, $F$9) + CHOOSE(CONTROL!$C$27, 0.0021, 0)</f>
        <v>48.534700000000001</v>
      </c>
      <c r="K452" s="10">
        <f>48.5326 * CHOOSE(CONTROL!$C$9, $D$9, 100%, $F$9) + CHOOSE(CONTROL!$C$27, 0.0021, 0)</f>
        <v>48.534700000000001</v>
      </c>
      <c r="L452" s="10"/>
    </row>
    <row r="453" spans="1:12" ht="15.75" x14ac:dyDescent="0.25">
      <c r="A453" s="14">
        <v>55092</v>
      </c>
      <c r="B453" s="10">
        <f>50.1423 * CHOOSE(CONTROL!$C$9, $D$9, 100%, $F$9) + CHOOSE(CONTROL!$C$27, 0.0021, 0)</f>
        <v>50.144399999999997</v>
      </c>
      <c r="C453" s="10">
        <f>49.7101 * CHOOSE(CONTROL!$C$9, $D$9, 100%, $F$9) + CHOOSE(CONTROL!$C$27, 0.0021, 0)</f>
        <v>49.712199999999996</v>
      </c>
      <c r="D453" s="10">
        <f>49.7101 * CHOOSE(CONTROL!$C$9, $D$9, 100%, $F$9) + CHOOSE(CONTROL!$C$27, 0.0021, 0)</f>
        <v>49.712199999999996</v>
      </c>
      <c r="E453" s="10">
        <f>49.5734 * CHOOSE(CONTROL!$C$9, $D$9, 100%, $F$9) + CHOOSE(CONTROL!$C$27, 0.0021, 0)</f>
        <v>49.575499999999998</v>
      </c>
      <c r="F453" s="10">
        <f>49.5734 * CHOOSE(CONTROL!$C$9, $D$9, 100%, $F$9) + CHOOSE(CONTROL!$C$27, 0.0021, 0)</f>
        <v>49.575499999999998</v>
      </c>
      <c r="G453" s="10">
        <f>49.8448 * CHOOSE(CONTROL!$C$9, $D$9, 100%, $F$9) + CHOOSE(CONTROL!$C$27, 0.0021, 0)</f>
        <v>49.846899999999998</v>
      </c>
      <c r="H453" s="10">
        <f>49.7101 * CHOOSE(CONTROL!$C$9, $D$9, 100%, $F$9) + CHOOSE(CONTROL!$C$27, 0.0021, 0)</f>
        <v>49.712199999999996</v>
      </c>
      <c r="I453" s="10">
        <f>49.7101 * CHOOSE(CONTROL!$C$9, $D$9, 100%, $F$9) + CHOOSE(CONTROL!$C$27, 0.0021, 0)</f>
        <v>49.712199999999996</v>
      </c>
      <c r="J453" s="10">
        <f>49.7101 * CHOOSE(CONTROL!$C$9, $D$9, 100%, $F$9) + CHOOSE(CONTROL!$C$27, 0.0021, 0)</f>
        <v>49.712199999999996</v>
      </c>
      <c r="K453" s="10">
        <f>49.7101 * CHOOSE(CONTROL!$C$9, $D$9, 100%, $F$9) + CHOOSE(CONTROL!$C$27, 0.0021, 0)</f>
        <v>49.712199999999996</v>
      </c>
      <c r="L453" s="10"/>
    </row>
    <row r="454" spans="1:12" ht="15.75" x14ac:dyDescent="0.25">
      <c r="A454" s="14">
        <v>55122</v>
      </c>
      <c r="B454" s="10">
        <f>50.2529 * CHOOSE(CONTROL!$C$9, $D$9, 100%, $F$9) + CHOOSE(CONTROL!$C$27, 0.0021, 0)</f>
        <v>50.254999999999995</v>
      </c>
      <c r="C454" s="10">
        <f>49.8206 * CHOOSE(CONTROL!$C$9, $D$9, 100%, $F$9) + CHOOSE(CONTROL!$C$27, 0.0021, 0)</f>
        <v>49.822699999999998</v>
      </c>
      <c r="D454" s="10">
        <f>49.8206 * CHOOSE(CONTROL!$C$9, $D$9, 100%, $F$9) + CHOOSE(CONTROL!$C$27, 0.0021, 0)</f>
        <v>49.822699999999998</v>
      </c>
      <c r="E454" s="10">
        <f>49.684 * CHOOSE(CONTROL!$C$9, $D$9, 100%, $F$9) + CHOOSE(CONTROL!$C$27, 0.0021, 0)</f>
        <v>49.686099999999996</v>
      </c>
      <c r="F454" s="10">
        <f>49.684 * CHOOSE(CONTROL!$C$9, $D$9, 100%, $F$9) + CHOOSE(CONTROL!$C$27, 0.0021, 0)</f>
        <v>49.686099999999996</v>
      </c>
      <c r="G454" s="10">
        <f>49.9553 * CHOOSE(CONTROL!$C$9, $D$9, 100%, $F$9) + CHOOSE(CONTROL!$C$27, 0.0021, 0)</f>
        <v>49.9574</v>
      </c>
      <c r="H454" s="10">
        <f>49.8206 * CHOOSE(CONTROL!$C$9, $D$9, 100%, $F$9) + CHOOSE(CONTROL!$C$27, 0.0021, 0)</f>
        <v>49.822699999999998</v>
      </c>
      <c r="I454" s="10">
        <f>49.8206 * CHOOSE(CONTROL!$C$9, $D$9, 100%, $F$9) + CHOOSE(CONTROL!$C$27, 0.0021, 0)</f>
        <v>49.822699999999998</v>
      </c>
      <c r="J454" s="10">
        <f>49.8206 * CHOOSE(CONTROL!$C$9, $D$9, 100%, $F$9) + CHOOSE(CONTROL!$C$27, 0.0021, 0)</f>
        <v>49.822699999999998</v>
      </c>
      <c r="K454" s="10">
        <f>49.8206 * CHOOSE(CONTROL!$C$9, $D$9, 100%, $F$9) + CHOOSE(CONTROL!$C$27, 0.0021, 0)</f>
        <v>49.822699999999998</v>
      </c>
      <c r="L454" s="10"/>
    </row>
    <row r="455" spans="1:12" ht="15.75" x14ac:dyDescent="0.25">
      <c r="A455" s="14">
        <v>55153</v>
      </c>
      <c r="B455" s="10">
        <f>49.3125 * CHOOSE(CONTROL!$C$9, $D$9, 100%, $F$9) + CHOOSE(CONTROL!$C$27, 0.0021, 0)</f>
        <v>49.314599999999999</v>
      </c>
      <c r="C455" s="10">
        <f>48.8802 * CHOOSE(CONTROL!$C$9, $D$9, 100%, $F$9) + CHOOSE(CONTROL!$C$27, 0.0021, 0)</f>
        <v>48.882300000000001</v>
      </c>
      <c r="D455" s="10">
        <f>48.8802 * CHOOSE(CONTROL!$C$9, $D$9, 100%, $F$9) + CHOOSE(CONTROL!$C$27, 0.0021, 0)</f>
        <v>48.882300000000001</v>
      </c>
      <c r="E455" s="10">
        <f>48.7436 * CHOOSE(CONTROL!$C$9, $D$9, 100%, $F$9) + CHOOSE(CONTROL!$C$27, 0.0021, 0)</f>
        <v>48.745699999999999</v>
      </c>
      <c r="F455" s="10">
        <f>48.7436 * CHOOSE(CONTROL!$C$9, $D$9, 100%, $F$9) + CHOOSE(CONTROL!$C$27, 0.0021, 0)</f>
        <v>48.745699999999999</v>
      </c>
      <c r="G455" s="10">
        <f>49.0149 * CHOOSE(CONTROL!$C$9, $D$9, 100%, $F$9) + CHOOSE(CONTROL!$C$27, 0.0021, 0)</f>
        <v>49.016999999999996</v>
      </c>
      <c r="H455" s="10">
        <f>48.8802 * CHOOSE(CONTROL!$C$9, $D$9, 100%, $F$9) + CHOOSE(CONTROL!$C$27, 0.0021, 0)</f>
        <v>48.882300000000001</v>
      </c>
      <c r="I455" s="10">
        <f>48.8802 * CHOOSE(CONTROL!$C$9, $D$9, 100%, $F$9) + CHOOSE(CONTROL!$C$27, 0.0021, 0)</f>
        <v>48.882300000000001</v>
      </c>
      <c r="J455" s="10">
        <f>48.8802 * CHOOSE(CONTROL!$C$9, $D$9, 100%, $F$9) + CHOOSE(CONTROL!$C$27, 0.0021, 0)</f>
        <v>48.882300000000001</v>
      </c>
      <c r="K455" s="10">
        <f>48.8802 * CHOOSE(CONTROL!$C$9, $D$9, 100%, $F$9) + CHOOSE(CONTROL!$C$27, 0.0021, 0)</f>
        <v>48.882300000000001</v>
      </c>
      <c r="L455" s="10"/>
    </row>
    <row r="456" spans="1:12" ht="15.75" x14ac:dyDescent="0.25">
      <c r="A456" s="14">
        <v>55184</v>
      </c>
      <c r="B456" s="10">
        <f>48.5925 * CHOOSE(CONTROL!$C$9, $D$9, 100%, $F$9) + CHOOSE(CONTROL!$C$27, 0.0021, 0)</f>
        <v>48.5946</v>
      </c>
      <c r="C456" s="10">
        <f>48.1602 * CHOOSE(CONTROL!$C$9, $D$9, 100%, $F$9) + CHOOSE(CONTROL!$C$27, 0.0021, 0)</f>
        <v>48.162300000000002</v>
      </c>
      <c r="D456" s="10">
        <f>48.1602 * CHOOSE(CONTROL!$C$9, $D$9, 100%, $F$9) + CHOOSE(CONTROL!$C$27, 0.0021, 0)</f>
        <v>48.162300000000002</v>
      </c>
      <c r="E456" s="10">
        <f>48.0236 * CHOOSE(CONTROL!$C$9, $D$9, 100%, $F$9) + CHOOSE(CONTROL!$C$27, 0.0021, 0)</f>
        <v>48.025700000000001</v>
      </c>
      <c r="F456" s="10">
        <f>48.0236 * CHOOSE(CONTROL!$C$9, $D$9, 100%, $F$9) + CHOOSE(CONTROL!$C$27, 0.0021, 0)</f>
        <v>48.025700000000001</v>
      </c>
      <c r="G456" s="10">
        <f>48.2949 * CHOOSE(CONTROL!$C$9, $D$9, 100%, $F$9) + CHOOSE(CONTROL!$C$27, 0.0021, 0)</f>
        <v>48.296999999999997</v>
      </c>
      <c r="H456" s="10">
        <f>48.1602 * CHOOSE(CONTROL!$C$9, $D$9, 100%, $F$9) + CHOOSE(CONTROL!$C$27, 0.0021, 0)</f>
        <v>48.162300000000002</v>
      </c>
      <c r="I456" s="10">
        <f>48.1602 * CHOOSE(CONTROL!$C$9, $D$9, 100%, $F$9) + CHOOSE(CONTROL!$C$27, 0.0021, 0)</f>
        <v>48.162300000000002</v>
      </c>
      <c r="J456" s="10">
        <f>48.1602 * CHOOSE(CONTROL!$C$9, $D$9, 100%, $F$9) + CHOOSE(CONTROL!$C$27, 0.0021, 0)</f>
        <v>48.162300000000002</v>
      </c>
      <c r="K456" s="10">
        <f>48.1602 * CHOOSE(CONTROL!$C$9, $D$9, 100%, $F$9) + CHOOSE(CONTROL!$C$27, 0.0021, 0)</f>
        <v>48.162300000000002</v>
      </c>
      <c r="L456" s="10"/>
    </row>
    <row r="457" spans="1:12" ht="15.75" x14ac:dyDescent="0.25">
      <c r="A457" s="14">
        <v>55212</v>
      </c>
      <c r="B457" s="10">
        <f>47.2829 * CHOOSE(CONTROL!$C$9, $D$9, 100%, $F$9) + CHOOSE(CONTROL!$C$27, 0.0021, 0)</f>
        <v>47.284999999999997</v>
      </c>
      <c r="C457" s="10">
        <f>46.8506 * CHOOSE(CONTROL!$C$9, $D$9, 100%, $F$9) + CHOOSE(CONTROL!$C$27, 0.0021, 0)</f>
        <v>46.852699999999999</v>
      </c>
      <c r="D457" s="10">
        <f>46.8506 * CHOOSE(CONTROL!$C$9, $D$9, 100%, $F$9) + CHOOSE(CONTROL!$C$27, 0.0021, 0)</f>
        <v>46.852699999999999</v>
      </c>
      <c r="E457" s="10">
        <f>46.7139 * CHOOSE(CONTROL!$C$9, $D$9, 100%, $F$9) + CHOOSE(CONTROL!$C$27, 0.0021, 0)</f>
        <v>46.716000000000001</v>
      </c>
      <c r="F457" s="10">
        <f>46.7139 * CHOOSE(CONTROL!$C$9, $D$9, 100%, $F$9) + CHOOSE(CONTROL!$C$27, 0.0021, 0)</f>
        <v>46.716000000000001</v>
      </c>
      <c r="G457" s="10">
        <f>46.9853 * CHOOSE(CONTROL!$C$9, $D$9, 100%, $F$9) + CHOOSE(CONTROL!$C$27, 0.0021, 0)</f>
        <v>46.987400000000001</v>
      </c>
      <c r="H457" s="10">
        <f>46.8506 * CHOOSE(CONTROL!$C$9, $D$9, 100%, $F$9) + CHOOSE(CONTROL!$C$27, 0.0021, 0)</f>
        <v>46.852699999999999</v>
      </c>
      <c r="I457" s="10">
        <f>46.8506 * CHOOSE(CONTROL!$C$9, $D$9, 100%, $F$9) + CHOOSE(CONTROL!$C$27, 0.0021, 0)</f>
        <v>46.852699999999999</v>
      </c>
      <c r="J457" s="10">
        <f>46.8506 * CHOOSE(CONTROL!$C$9, $D$9, 100%, $F$9) + CHOOSE(CONTROL!$C$27, 0.0021, 0)</f>
        <v>46.852699999999999</v>
      </c>
      <c r="K457" s="10">
        <f>46.8506 * CHOOSE(CONTROL!$C$9, $D$9, 100%, $F$9) + CHOOSE(CONTROL!$C$27, 0.0021, 0)</f>
        <v>46.852699999999999</v>
      </c>
      <c r="L457" s="10"/>
    </row>
    <row r="458" spans="1:12" ht="15.75" x14ac:dyDescent="0.25">
      <c r="A458" s="14">
        <v>55243</v>
      </c>
      <c r="B458" s="10">
        <f>46.7422 * CHOOSE(CONTROL!$C$9, $D$9, 100%, $F$9) + CHOOSE(CONTROL!$C$27, 0.0021, 0)</f>
        <v>46.744299999999996</v>
      </c>
      <c r="C458" s="10">
        <f>46.31 * CHOOSE(CONTROL!$C$9, $D$9, 100%, $F$9) + CHOOSE(CONTROL!$C$27, 0.0021, 0)</f>
        <v>46.312100000000001</v>
      </c>
      <c r="D458" s="10">
        <f>46.31 * CHOOSE(CONTROL!$C$9, $D$9, 100%, $F$9) + CHOOSE(CONTROL!$C$27, 0.0021, 0)</f>
        <v>46.312100000000001</v>
      </c>
      <c r="E458" s="10">
        <f>46.1733 * CHOOSE(CONTROL!$C$9, $D$9, 100%, $F$9) + CHOOSE(CONTROL!$C$27, 0.0021, 0)</f>
        <v>46.175399999999996</v>
      </c>
      <c r="F458" s="10">
        <f>46.1733 * CHOOSE(CONTROL!$C$9, $D$9, 100%, $F$9) + CHOOSE(CONTROL!$C$27, 0.0021, 0)</f>
        <v>46.175399999999996</v>
      </c>
      <c r="G458" s="10">
        <f>46.4447 * CHOOSE(CONTROL!$C$9, $D$9, 100%, $F$9) + CHOOSE(CONTROL!$C$27, 0.0021, 0)</f>
        <v>46.446799999999996</v>
      </c>
      <c r="H458" s="10">
        <f>46.31 * CHOOSE(CONTROL!$C$9, $D$9, 100%, $F$9) + CHOOSE(CONTROL!$C$27, 0.0021, 0)</f>
        <v>46.312100000000001</v>
      </c>
      <c r="I458" s="10">
        <f>46.31 * CHOOSE(CONTROL!$C$9, $D$9, 100%, $F$9) + CHOOSE(CONTROL!$C$27, 0.0021, 0)</f>
        <v>46.312100000000001</v>
      </c>
      <c r="J458" s="10">
        <f>46.31 * CHOOSE(CONTROL!$C$9, $D$9, 100%, $F$9) + CHOOSE(CONTROL!$C$27, 0.0021, 0)</f>
        <v>46.312100000000001</v>
      </c>
      <c r="K458" s="10">
        <f>46.31 * CHOOSE(CONTROL!$C$9, $D$9, 100%, $F$9) + CHOOSE(CONTROL!$C$27, 0.0021, 0)</f>
        <v>46.312100000000001</v>
      </c>
      <c r="L458" s="10"/>
    </row>
    <row r="459" spans="1:12" ht="15.75" x14ac:dyDescent="0.25">
      <c r="A459" s="14">
        <v>55273</v>
      </c>
      <c r="B459" s="10">
        <f>46.0967 * CHOOSE(CONTROL!$C$9, $D$9, 100%, $F$9) + CHOOSE(CONTROL!$C$27, 0.0021, 0)</f>
        <v>46.098799999999997</v>
      </c>
      <c r="C459" s="10">
        <f>45.6645 * CHOOSE(CONTROL!$C$9, $D$9, 100%, $F$9) + CHOOSE(CONTROL!$C$27, 0.0021, 0)</f>
        <v>45.666599999999995</v>
      </c>
      <c r="D459" s="10">
        <f>45.6645 * CHOOSE(CONTROL!$C$9, $D$9, 100%, $F$9) + CHOOSE(CONTROL!$C$27, 0.0021, 0)</f>
        <v>45.666599999999995</v>
      </c>
      <c r="E459" s="10">
        <f>45.5278 * CHOOSE(CONTROL!$C$9, $D$9, 100%, $F$9) + CHOOSE(CONTROL!$C$27, 0.0021, 0)</f>
        <v>45.529899999999998</v>
      </c>
      <c r="F459" s="10">
        <f>45.5278 * CHOOSE(CONTROL!$C$9, $D$9, 100%, $F$9) + CHOOSE(CONTROL!$C$27, 0.0021, 0)</f>
        <v>45.529899999999998</v>
      </c>
      <c r="G459" s="10">
        <f>45.7992 * CHOOSE(CONTROL!$C$9, $D$9, 100%, $F$9) + CHOOSE(CONTROL!$C$27, 0.0021, 0)</f>
        <v>45.801299999999998</v>
      </c>
      <c r="H459" s="10">
        <f>45.6645 * CHOOSE(CONTROL!$C$9, $D$9, 100%, $F$9) + CHOOSE(CONTROL!$C$27, 0.0021, 0)</f>
        <v>45.666599999999995</v>
      </c>
      <c r="I459" s="10">
        <f>45.6645 * CHOOSE(CONTROL!$C$9, $D$9, 100%, $F$9) + CHOOSE(CONTROL!$C$27, 0.0021, 0)</f>
        <v>45.666599999999995</v>
      </c>
      <c r="J459" s="10">
        <f>45.6645 * CHOOSE(CONTROL!$C$9, $D$9, 100%, $F$9) + CHOOSE(CONTROL!$C$27, 0.0021, 0)</f>
        <v>45.666599999999995</v>
      </c>
      <c r="K459" s="10">
        <f>45.6645 * CHOOSE(CONTROL!$C$9, $D$9, 100%, $F$9) + CHOOSE(CONTROL!$C$27, 0.0021, 0)</f>
        <v>45.666599999999995</v>
      </c>
      <c r="L459" s="10"/>
    </row>
    <row r="460" spans="1:12" ht="15.75" x14ac:dyDescent="0.25">
      <c r="A460" s="14">
        <v>55304</v>
      </c>
      <c r="B460" s="10">
        <f>47.0167 * CHOOSE(CONTROL!$C$9, $D$9, 100%, $F$9) + CHOOSE(CONTROL!$C$27, 0.0021, 0)</f>
        <v>47.018799999999999</v>
      </c>
      <c r="C460" s="10">
        <f>46.5844 * CHOOSE(CONTROL!$C$9, $D$9, 100%, $F$9) + CHOOSE(CONTROL!$C$27, 0.0021, 0)</f>
        <v>46.586500000000001</v>
      </c>
      <c r="D460" s="10">
        <f>46.5844 * CHOOSE(CONTROL!$C$9, $D$9, 100%, $F$9) + CHOOSE(CONTROL!$C$27, 0.0021, 0)</f>
        <v>46.586500000000001</v>
      </c>
      <c r="E460" s="10">
        <f>46.4478 * CHOOSE(CONTROL!$C$9, $D$9, 100%, $F$9) + CHOOSE(CONTROL!$C$27, 0.0021, 0)</f>
        <v>46.4499</v>
      </c>
      <c r="F460" s="10">
        <f>46.4478 * CHOOSE(CONTROL!$C$9, $D$9, 100%, $F$9) + CHOOSE(CONTROL!$C$27, 0.0021, 0)</f>
        <v>46.4499</v>
      </c>
      <c r="G460" s="10">
        <f>46.7191 * CHOOSE(CONTROL!$C$9, $D$9, 100%, $F$9) + CHOOSE(CONTROL!$C$27, 0.0021, 0)</f>
        <v>46.721199999999996</v>
      </c>
      <c r="H460" s="10">
        <f>46.5844 * CHOOSE(CONTROL!$C$9, $D$9, 100%, $F$9) + CHOOSE(CONTROL!$C$27, 0.0021, 0)</f>
        <v>46.586500000000001</v>
      </c>
      <c r="I460" s="10">
        <f>46.5844 * CHOOSE(CONTROL!$C$9, $D$9, 100%, $F$9) + CHOOSE(CONTROL!$C$27, 0.0021, 0)</f>
        <v>46.586500000000001</v>
      </c>
      <c r="J460" s="10">
        <f>46.5844 * CHOOSE(CONTROL!$C$9, $D$9, 100%, $F$9) + CHOOSE(CONTROL!$C$27, 0.0021, 0)</f>
        <v>46.586500000000001</v>
      </c>
      <c r="K460" s="10">
        <f>46.5844 * CHOOSE(CONTROL!$C$9, $D$9, 100%, $F$9) + CHOOSE(CONTROL!$C$27, 0.0021, 0)</f>
        <v>46.586500000000001</v>
      </c>
      <c r="L460" s="10"/>
    </row>
    <row r="461" spans="1:12" ht="15.75" x14ac:dyDescent="0.25">
      <c r="A461" s="14">
        <v>55334</v>
      </c>
      <c r="B461" s="10">
        <f>47.5677 * CHOOSE(CONTROL!$C$9, $D$9, 100%, $F$9) + CHOOSE(CONTROL!$C$27, 0.0021, 0)</f>
        <v>47.569800000000001</v>
      </c>
      <c r="C461" s="10">
        <f>47.1354 * CHOOSE(CONTROL!$C$9, $D$9, 100%, $F$9) + CHOOSE(CONTROL!$C$27, 0.0021, 0)</f>
        <v>47.137499999999996</v>
      </c>
      <c r="D461" s="10">
        <f>47.1354 * CHOOSE(CONTROL!$C$9, $D$9, 100%, $F$9) + CHOOSE(CONTROL!$C$27, 0.0021, 0)</f>
        <v>47.137499999999996</v>
      </c>
      <c r="E461" s="10">
        <f>46.9987 * CHOOSE(CONTROL!$C$9, $D$9, 100%, $F$9) + CHOOSE(CONTROL!$C$27, 0.0021, 0)</f>
        <v>47.000799999999998</v>
      </c>
      <c r="F461" s="10">
        <f>46.9987 * CHOOSE(CONTROL!$C$9, $D$9, 100%, $F$9) + CHOOSE(CONTROL!$C$27, 0.0021, 0)</f>
        <v>47.000799999999998</v>
      </c>
      <c r="G461" s="10">
        <f>47.2701 * CHOOSE(CONTROL!$C$9, $D$9, 100%, $F$9) + CHOOSE(CONTROL!$C$27, 0.0021, 0)</f>
        <v>47.272199999999998</v>
      </c>
      <c r="H461" s="10">
        <f>47.1354 * CHOOSE(CONTROL!$C$9, $D$9, 100%, $F$9) + CHOOSE(CONTROL!$C$27, 0.0021, 0)</f>
        <v>47.137499999999996</v>
      </c>
      <c r="I461" s="10">
        <f>47.1354 * CHOOSE(CONTROL!$C$9, $D$9, 100%, $F$9) + CHOOSE(CONTROL!$C$27, 0.0021, 0)</f>
        <v>47.137499999999996</v>
      </c>
      <c r="J461" s="10">
        <f>47.1354 * CHOOSE(CONTROL!$C$9, $D$9, 100%, $F$9) + CHOOSE(CONTROL!$C$27, 0.0021, 0)</f>
        <v>47.137499999999996</v>
      </c>
      <c r="K461" s="10">
        <f>47.1354 * CHOOSE(CONTROL!$C$9, $D$9, 100%, $F$9) + CHOOSE(CONTROL!$C$27, 0.0021, 0)</f>
        <v>47.137499999999996</v>
      </c>
      <c r="L461" s="10"/>
    </row>
    <row r="462" spans="1:12" ht="15.75" x14ac:dyDescent="0.25">
      <c r="A462" s="14">
        <v>55365</v>
      </c>
      <c r="B462" s="10">
        <f>48.4766 * CHOOSE(CONTROL!$C$9, $D$9, 100%, $F$9) + CHOOSE(CONTROL!$C$27, 0.0021, 0)</f>
        <v>48.478699999999996</v>
      </c>
      <c r="C462" s="10">
        <f>48.0443 * CHOOSE(CONTROL!$C$9, $D$9, 100%, $F$9) + CHOOSE(CONTROL!$C$27, 0.0021, 0)</f>
        <v>48.046399999999998</v>
      </c>
      <c r="D462" s="10">
        <f>48.0443 * CHOOSE(CONTROL!$C$9, $D$9, 100%, $F$9) + CHOOSE(CONTROL!$C$27, 0.0021, 0)</f>
        <v>48.046399999999998</v>
      </c>
      <c r="E462" s="10">
        <f>47.9077 * CHOOSE(CONTROL!$C$9, $D$9, 100%, $F$9) + CHOOSE(CONTROL!$C$27, 0.0021, 0)</f>
        <v>47.909799999999997</v>
      </c>
      <c r="F462" s="10">
        <f>47.9077 * CHOOSE(CONTROL!$C$9, $D$9, 100%, $F$9) + CHOOSE(CONTROL!$C$27, 0.0021, 0)</f>
        <v>47.909799999999997</v>
      </c>
      <c r="G462" s="10">
        <f>48.1791 * CHOOSE(CONTROL!$C$9, $D$9, 100%, $F$9) + CHOOSE(CONTROL!$C$27, 0.0021, 0)</f>
        <v>48.181199999999997</v>
      </c>
      <c r="H462" s="10">
        <f>48.0443 * CHOOSE(CONTROL!$C$9, $D$9, 100%, $F$9) + CHOOSE(CONTROL!$C$27, 0.0021, 0)</f>
        <v>48.046399999999998</v>
      </c>
      <c r="I462" s="10">
        <f>48.0443 * CHOOSE(CONTROL!$C$9, $D$9, 100%, $F$9) + CHOOSE(CONTROL!$C$27, 0.0021, 0)</f>
        <v>48.046399999999998</v>
      </c>
      <c r="J462" s="10">
        <f>48.0443 * CHOOSE(CONTROL!$C$9, $D$9, 100%, $F$9) + CHOOSE(CONTROL!$C$27, 0.0021, 0)</f>
        <v>48.046399999999998</v>
      </c>
      <c r="K462" s="10">
        <f>48.0443 * CHOOSE(CONTROL!$C$9, $D$9, 100%, $F$9) + CHOOSE(CONTROL!$C$27, 0.0021, 0)</f>
        <v>48.046399999999998</v>
      </c>
      <c r="L462" s="10"/>
    </row>
    <row r="463" spans="1:12" ht="15.75" x14ac:dyDescent="0.25">
      <c r="A463" s="14">
        <v>55396</v>
      </c>
      <c r="B463" s="10">
        <f>48.754 * CHOOSE(CONTROL!$C$9, $D$9, 100%, $F$9) + CHOOSE(CONTROL!$C$27, 0.0021, 0)</f>
        <v>48.756099999999996</v>
      </c>
      <c r="C463" s="10">
        <f>48.3218 * CHOOSE(CONTROL!$C$9, $D$9, 100%, $F$9) + CHOOSE(CONTROL!$C$27, 0.0021, 0)</f>
        <v>48.323900000000002</v>
      </c>
      <c r="D463" s="10">
        <f>48.3218 * CHOOSE(CONTROL!$C$9, $D$9, 100%, $F$9) + CHOOSE(CONTROL!$C$27, 0.0021, 0)</f>
        <v>48.323900000000002</v>
      </c>
      <c r="E463" s="10">
        <f>48.1851 * CHOOSE(CONTROL!$C$9, $D$9, 100%, $F$9) + CHOOSE(CONTROL!$C$27, 0.0021, 0)</f>
        <v>48.187199999999997</v>
      </c>
      <c r="F463" s="10">
        <f>48.1851 * CHOOSE(CONTROL!$C$9, $D$9, 100%, $F$9) + CHOOSE(CONTROL!$C$27, 0.0021, 0)</f>
        <v>48.187199999999997</v>
      </c>
      <c r="G463" s="10">
        <f>48.4565 * CHOOSE(CONTROL!$C$9, $D$9, 100%, $F$9) + CHOOSE(CONTROL!$C$27, 0.0021, 0)</f>
        <v>48.458599999999997</v>
      </c>
      <c r="H463" s="10">
        <f>48.3218 * CHOOSE(CONTROL!$C$9, $D$9, 100%, $F$9) + CHOOSE(CONTROL!$C$27, 0.0021, 0)</f>
        <v>48.323900000000002</v>
      </c>
      <c r="I463" s="10">
        <f>48.3218 * CHOOSE(CONTROL!$C$9, $D$9, 100%, $F$9) + CHOOSE(CONTROL!$C$27, 0.0021, 0)</f>
        <v>48.323900000000002</v>
      </c>
      <c r="J463" s="10">
        <f>48.3218 * CHOOSE(CONTROL!$C$9, $D$9, 100%, $F$9) + CHOOSE(CONTROL!$C$27, 0.0021, 0)</f>
        <v>48.323900000000002</v>
      </c>
      <c r="K463" s="10">
        <f>48.3218 * CHOOSE(CONTROL!$C$9, $D$9, 100%, $F$9) + CHOOSE(CONTROL!$C$27, 0.0021, 0)</f>
        <v>48.323900000000002</v>
      </c>
      <c r="L463" s="10"/>
    </row>
    <row r="464" spans="1:12" ht="15.75" x14ac:dyDescent="0.25">
      <c r="A464" s="14">
        <v>55426</v>
      </c>
      <c r="B464" s="10">
        <f>49.6988 * CHOOSE(CONTROL!$C$9, $D$9, 100%, $F$9) + CHOOSE(CONTROL!$C$27, 0.0021, 0)</f>
        <v>49.700899999999997</v>
      </c>
      <c r="C464" s="10">
        <f>49.2666 * CHOOSE(CONTROL!$C$9, $D$9, 100%, $F$9) + CHOOSE(CONTROL!$C$27, 0.0021, 0)</f>
        <v>49.268699999999995</v>
      </c>
      <c r="D464" s="10">
        <f>49.2666 * CHOOSE(CONTROL!$C$9, $D$9, 100%, $F$9) + CHOOSE(CONTROL!$C$27, 0.0021, 0)</f>
        <v>49.268699999999995</v>
      </c>
      <c r="E464" s="10">
        <f>49.1299 * CHOOSE(CONTROL!$C$9, $D$9, 100%, $F$9) + CHOOSE(CONTROL!$C$27, 0.0021, 0)</f>
        <v>49.131999999999998</v>
      </c>
      <c r="F464" s="10">
        <f>49.1299 * CHOOSE(CONTROL!$C$9, $D$9, 100%, $F$9) + CHOOSE(CONTROL!$C$27, 0.0021, 0)</f>
        <v>49.131999999999998</v>
      </c>
      <c r="G464" s="10">
        <f>49.4013 * CHOOSE(CONTROL!$C$9, $D$9, 100%, $F$9) + CHOOSE(CONTROL!$C$27, 0.0021, 0)</f>
        <v>49.403399999999998</v>
      </c>
      <c r="H464" s="10">
        <f>49.2666 * CHOOSE(CONTROL!$C$9, $D$9, 100%, $F$9) + CHOOSE(CONTROL!$C$27, 0.0021, 0)</f>
        <v>49.268699999999995</v>
      </c>
      <c r="I464" s="10">
        <f>49.2666 * CHOOSE(CONTROL!$C$9, $D$9, 100%, $F$9) + CHOOSE(CONTROL!$C$27, 0.0021, 0)</f>
        <v>49.268699999999995</v>
      </c>
      <c r="J464" s="10">
        <f>49.2666 * CHOOSE(CONTROL!$C$9, $D$9, 100%, $F$9) + CHOOSE(CONTROL!$C$27, 0.0021, 0)</f>
        <v>49.268699999999995</v>
      </c>
      <c r="K464" s="10">
        <f>49.2666 * CHOOSE(CONTROL!$C$9, $D$9, 100%, $F$9) + CHOOSE(CONTROL!$C$27, 0.0021, 0)</f>
        <v>49.268699999999995</v>
      </c>
      <c r="L464" s="10"/>
    </row>
    <row r="465" spans="1:12" ht="15.75" x14ac:dyDescent="0.25">
      <c r="A465" s="14">
        <v>55457</v>
      </c>
      <c r="B465" s="10">
        <f>50.8948 * CHOOSE(CONTROL!$C$9, $D$9, 100%, $F$9) + CHOOSE(CONTROL!$C$27, 0.0021, 0)</f>
        <v>50.896899999999995</v>
      </c>
      <c r="C465" s="10">
        <f>50.4625 * CHOOSE(CONTROL!$C$9, $D$9, 100%, $F$9) + CHOOSE(CONTROL!$C$27, 0.0021, 0)</f>
        <v>50.464599999999997</v>
      </c>
      <c r="D465" s="10">
        <f>50.4625 * CHOOSE(CONTROL!$C$9, $D$9, 100%, $F$9) + CHOOSE(CONTROL!$C$27, 0.0021, 0)</f>
        <v>50.464599999999997</v>
      </c>
      <c r="E465" s="10">
        <f>50.3259 * CHOOSE(CONTROL!$C$9, $D$9, 100%, $F$9) + CHOOSE(CONTROL!$C$27, 0.0021, 0)</f>
        <v>50.327999999999996</v>
      </c>
      <c r="F465" s="10">
        <f>50.3259 * CHOOSE(CONTROL!$C$9, $D$9, 100%, $F$9) + CHOOSE(CONTROL!$C$27, 0.0021, 0)</f>
        <v>50.327999999999996</v>
      </c>
      <c r="G465" s="10">
        <f>50.5972 * CHOOSE(CONTROL!$C$9, $D$9, 100%, $F$9) + CHOOSE(CONTROL!$C$27, 0.0021, 0)</f>
        <v>50.599299999999999</v>
      </c>
      <c r="H465" s="10">
        <f>50.4625 * CHOOSE(CONTROL!$C$9, $D$9, 100%, $F$9) + CHOOSE(CONTROL!$C$27, 0.0021, 0)</f>
        <v>50.464599999999997</v>
      </c>
      <c r="I465" s="10">
        <f>50.4625 * CHOOSE(CONTROL!$C$9, $D$9, 100%, $F$9) + CHOOSE(CONTROL!$C$27, 0.0021, 0)</f>
        <v>50.464599999999997</v>
      </c>
      <c r="J465" s="10">
        <f>50.4625 * CHOOSE(CONTROL!$C$9, $D$9, 100%, $F$9) + CHOOSE(CONTROL!$C$27, 0.0021, 0)</f>
        <v>50.464599999999997</v>
      </c>
      <c r="K465" s="10">
        <f>50.4625 * CHOOSE(CONTROL!$C$9, $D$9, 100%, $F$9) + CHOOSE(CONTROL!$C$27, 0.0021, 0)</f>
        <v>50.464599999999997</v>
      </c>
      <c r="L465" s="10"/>
    </row>
    <row r="466" spans="1:12" ht="15.75" x14ac:dyDescent="0.25">
      <c r="A466" s="14">
        <v>55487</v>
      </c>
      <c r="B466" s="10">
        <f>51.007 * CHOOSE(CONTROL!$C$9, $D$9, 100%, $F$9) + CHOOSE(CONTROL!$C$27, 0.0021, 0)</f>
        <v>51.009099999999997</v>
      </c>
      <c r="C466" s="10">
        <f>50.5748 * CHOOSE(CONTROL!$C$9, $D$9, 100%, $F$9) + CHOOSE(CONTROL!$C$27, 0.0021, 0)</f>
        <v>50.576900000000002</v>
      </c>
      <c r="D466" s="10">
        <f>50.5748 * CHOOSE(CONTROL!$C$9, $D$9, 100%, $F$9) + CHOOSE(CONTROL!$C$27, 0.0021, 0)</f>
        <v>50.576900000000002</v>
      </c>
      <c r="E466" s="10">
        <f>50.4381 * CHOOSE(CONTROL!$C$9, $D$9, 100%, $F$9) + CHOOSE(CONTROL!$C$27, 0.0021, 0)</f>
        <v>50.440199999999997</v>
      </c>
      <c r="F466" s="10">
        <f>50.4381 * CHOOSE(CONTROL!$C$9, $D$9, 100%, $F$9) + CHOOSE(CONTROL!$C$27, 0.0021, 0)</f>
        <v>50.440199999999997</v>
      </c>
      <c r="G466" s="10">
        <f>50.7095 * CHOOSE(CONTROL!$C$9, $D$9, 100%, $F$9) + CHOOSE(CONTROL!$C$27, 0.0021, 0)</f>
        <v>50.711599999999997</v>
      </c>
      <c r="H466" s="10">
        <f>50.5748 * CHOOSE(CONTROL!$C$9, $D$9, 100%, $F$9) + CHOOSE(CONTROL!$C$27, 0.0021, 0)</f>
        <v>50.576900000000002</v>
      </c>
      <c r="I466" s="10">
        <f>50.5748 * CHOOSE(CONTROL!$C$9, $D$9, 100%, $F$9) + CHOOSE(CONTROL!$C$27, 0.0021, 0)</f>
        <v>50.576900000000002</v>
      </c>
      <c r="J466" s="10">
        <f>50.5748 * CHOOSE(CONTROL!$C$9, $D$9, 100%, $F$9) + CHOOSE(CONTROL!$C$27, 0.0021, 0)</f>
        <v>50.576900000000002</v>
      </c>
      <c r="K466" s="10">
        <f>50.5748 * CHOOSE(CONTROL!$C$9, $D$9, 100%, $F$9) + CHOOSE(CONTROL!$C$27, 0.0021, 0)</f>
        <v>50.576900000000002</v>
      </c>
      <c r="L466" s="10"/>
    </row>
    <row r="467" spans="1:12" ht="15.75" x14ac:dyDescent="0.25">
      <c r="A467" s="14">
        <v>55518</v>
      </c>
      <c r="B467" s="10">
        <f>50.0519 * CHOOSE(CONTROL!$C$9, $D$9, 100%, $F$9) + CHOOSE(CONTROL!$C$27, 0.0021, 0)</f>
        <v>50.054000000000002</v>
      </c>
      <c r="C467" s="10">
        <f>49.6196 * CHOOSE(CONTROL!$C$9, $D$9, 100%, $F$9) + CHOOSE(CONTROL!$C$27, 0.0021, 0)</f>
        <v>49.621699999999997</v>
      </c>
      <c r="D467" s="10">
        <f>49.6196 * CHOOSE(CONTROL!$C$9, $D$9, 100%, $F$9) + CHOOSE(CONTROL!$C$27, 0.0021, 0)</f>
        <v>49.621699999999997</v>
      </c>
      <c r="E467" s="10">
        <f>49.4829 * CHOOSE(CONTROL!$C$9, $D$9, 100%, $F$9) + CHOOSE(CONTROL!$C$27, 0.0021, 0)</f>
        <v>49.484999999999999</v>
      </c>
      <c r="F467" s="10">
        <f>49.4829 * CHOOSE(CONTROL!$C$9, $D$9, 100%, $F$9) + CHOOSE(CONTROL!$C$27, 0.0021, 0)</f>
        <v>49.484999999999999</v>
      </c>
      <c r="G467" s="10">
        <f>49.7543 * CHOOSE(CONTROL!$C$9, $D$9, 100%, $F$9) + CHOOSE(CONTROL!$C$27, 0.0021, 0)</f>
        <v>49.756399999999999</v>
      </c>
      <c r="H467" s="10">
        <f>49.6196 * CHOOSE(CONTROL!$C$9, $D$9, 100%, $F$9) + CHOOSE(CONTROL!$C$27, 0.0021, 0)</f>
        <v>49.621699999999997</v>
      </c>
      <c r="I467" s="10">
        <f>49.6196 * CHOOSE(CONTROL!$C$9, $D$9, 100%, $F$9) + CHOOSE(CONTROL!$C$27, 0.0021, 0)</f>
        <v>49.621699999999997</v>
      </c>
      <c r="J467" s="10">
        <f>49.6196 * CHOOSE(CONTROL!$C$9, $D$9, 100%, $F$9) + CHOOSE(CONTROL!$C$27, 0.0021, 0)</f>
        <v>49.621699999999997</v>
      </c>
      <c r="K467" s="10">
        <f>49.6196 * CHOOSE(CONTROL!$C$9, $D$9, 100%, $F$9) + CHOOSE(CONTROL!$C$27, 0.0021, 0)</f>
        <v>49.621699999999997</v>
      </c>
      <c r="L467" s="10"/>
    </row>
    <row r="468" spans="1:12" ht="15.75" x14ac:dyDescent="0.25">
      <c r="A468" s="14">
        <v>55549</v>
      </c>
      <c r="B468" s="10">
        <f>49.3205 * CHOOSE(CONTROL!$C$9, $D$9, 100%, $F$9) + CHOOSE(CONTROL!$C$27, 0.0021, 0)</f>
        <v>49.322600000000001</v>
      </c>
      <c r="C468" s="10">
        <f>48.8883 * CHOOSE(CONTROL!$C$9, $D$9, 100%, $F$9) + CHOOSE(CONTROL!$C$27, 0.0021, 0)</f>
        <v>48.8904</v>
      </c>
      <c r="D468" s="10">
        <f>48.8883 * CHOOSE(CONTROL!$C$9, $D$9, 100%, $F$9) + CHOOSE(CONTROL!$C$27, 0.0021, 0)</f>
        <v>48.8904</v>
      </c>
      <c r="E468" s="10">
        <f>48.7516 * CHOOSE(CONTROL!$C$9, $D$9, 100%, $F$9) + CHOOSE(CONTROL!$C$27, 0.0021, 0)</f>
        <v>48.753700000000002</v>
      </c>
      <c r="F468" s="10">
        <f>48.7516 * CHOOSE(CONTROL!$C$9, $D$9, 100%, $F$9) + CHOOSE(CONTROL!$C$27, 0.0021, 0)</f>
        <v>48.753700000000002</v>
      </c>
      <c r="G468" s="10">
        <f>49.023 * CHOOSE(CONTROL!$C$9, $D$9, 100%, $F$9) + CHOOSE(CONTROL!$C$27, 0.0021, 0)</f>
        <v>49.025100000000002</v>
      </c>
      <c r="H468" s="10">
        <f>48.8883 * CHOOSE(CONTROL!$C$9, $D$9, 100%, $F$9) + CHOOSE(CONTROL!$C$27, 0.0021, 0)</f>
        <v>48.8904</v>
      </c>
      <c r="I468" s="10">
        <f>48.8883 * CHOOSE(CONTROL!$C$9, $D$9, 100%, $F$9) + CHOOSE(CONTROL!$C$27, 0.0021, 0)</f>
        <v>48.8904</v>
      </c>
      <c r="J468" s="10">
        <f>48.8883 * CHOOSE(CONTROL!$C$9, $D$9, 100%, $F$9) + CHOOSE(CONTROL!$C$27, 0.0021, 0)</f>
        <v>48.8904</v>
      </c>
      <c r="K468" s="10">
        <f>48.8883 * CHOOSE(CONTROL!$C$9, $D$9, 100%, $F$9) + CHOOSE(CONTROL!$C$27, 0.0021, 0)</f>
        <v>48.8904</v>
      </c>
      <c r="L468" s="10"/>
    </row>
    <row r="469" spans="1:12" ht="15.75" x14ac:dyDescent="0.25">
      <c r="A469" s="14">
        <v>55577</v>
      </c>
      <c r="B469" s="10">
        <f>47.9903 * CHOOSE(CONTROL!$C$9, $D$9, 100%, $F$9) + CHOOSE(CONTROL!$C$27, 0.0021, 0)</f>
        <v>47.992399999999996</v>
      </c>
      <c r="C469" s="10">
        <f>47.5581 * CHOOSE(CONTROL!$C$9, $D$9, 100%, $F$9) + CHOOSE(CONTROL!$C$27, 0.0021, 0)</f>
        <v>47.560200000000002</v>
      </c>
      <c r="D469" s="10">
        <f>47.5581 * CHOOSE(CONTROL!$C$9, $D$9, 100%, $F$9) + CHOOSE(CONTROL!$C$27, 0.0021, 0)</f>
        <v>47.560200000000002</v>
      </c>
      <c r="E469" s="10">
        <f>47.4214 * CHOOSE(CONTROL!$C$9, $D$9, 100%, $F$9) + CHOOSE(CONTROL!$C$27, 0.0021, 0)</f>
        <v>47.423499999999997</v>
      </c>
      <c r="F469" s="10">
        <f>47.4214 * CHOOSE(CONTROL!$C$9, $D$9, 100%, $F$9) + CHOOSE(CONTROL!$C$27, 0.0021, 0)</f>
        <v>47.423499999999997</v>
      </c>
      <c r="G469" s="10">
        <f>47.6928 * CHOOSE(CONTROL!$C$9, $D$9, 100%, $F$9) + CHOOSE(CONTROL!$C$27, 0.0021, 0)</f>
        <v>47.694899999999997</v>
      </c>
      <c r="H469" s="10">
        <f>47.5581 * CHOOSE(CONTROL!$C$9, $D$9, 100%, $F$9) + CHOOSE(CONTROL!$C$27, 0.0021, 0)</f>
        <v>47.560200000000002</v>
      </c>
      <c r="I469" s="10">
        <f>47.5581 * CHOOSE(CONTROL!$C$9, $D$9, 100%, $F$9) + CHOOSE(CONTROL!$C$27, 0.0021, 0)</f>
        <v>47.560200000000002</v>
      </c>
      <c r="J469" s="10">
        <f>47.5581 * CHOOSE(CONTROL!$C$9, $D$9, 100%, $F$9) + CHOOSE(CONTROL!$C$27, 0.0021, 0)</f>
        <v>47.560200000000002</v>
      </c>
      <c r="K469" s="10">
        <f>47.5581 * CHOOSE(CONTROL!$C$9, $D$9, 100%, $F$9) + CHOOSE(CONTROL!$C$27, 0.0021, 0)</f>
        <v>47.560200000000002</v>
      </c>
      <c r="L469" s="10"/>
    </row>
    <row r="470" spans="1:12" ht="15.75" x14ac:dyDescent="0.25">
      <c r="A470" s="14">
        <v>55609</v>
      </c>
      <c r="B470" s="10">
        <f>47.4412 * CHOOSE(CONTROL!$C$9, $D$9, 100%, $F$9) + CHOOSE(CONTROL!$C$27, 0.0021, 0)</f>
        <v>47.443300000000001</v>
      </c>
      <c r="C470" s="10">
        <f>47.009 * CHOOSE(CONTROL!$C$9, $D$9, 100%, $F$9) + CHOOSE(CONTROL!$C$27, 0.0021, 0)</f>
        <v>47.011099999999999</v>
      </c>
      <c r="D470" s="10">
        <f>47.009 * CHOOSE(CONTROL!$C$9, $D$9, 100%, $F$9) + CHOOSE(CONTROL!$C$27, 0.0021, 0)</f>
        <v>47.011099999999999</v>
      </c>
      <c r="E470" s="10">
        <f>46.8723 * CHOOSE(CONTROL!$C$9, $D$9, 100%, $F$9) + CHOOSE(CONTROL!$C$27, 0.0021, 0)</f>
        <v>46.874400000000001</v>
      </c>
      <c r="F470" s="10">
        <f>46.8723 * CHOOSE(CONTROL!$C$9, $D$9, 100%, $F$9) + CHOOSE(CONTROL!$C$27, 0.0021, 0)</f>
        <v>46.874400000000001</v>
      </c>
      <c r="G470" s="10">
        <f>47.1437 * CHOOSE(CONTROL!$C$9, $D$9, 100%, $F$9) + CHOOSE(CONTROL!$C$27, 0.0021, 0)</f>
        <v>47.145800000000001</v>
      </c>
      <c r="H470" s="10">
        <f>47.009 * CHOOSE(CONTROL!$C$9, $D$9, 100%, $F$9) + CHOOSE(CONTROL!$C$27, 0.0021, 0)</f>
        <v>47.011099999999999</v>
      </c>
      <c r="I470" s="10">
        <f>47.009 * CHOOSE(CONTROL!$C$9, $D$9, 100%, $F$9) + CHOOSE(CONTROL!$C$27, 0.0021, 0)</f>
        <v>47.011099999999999</v>
      </c>
      <c r="J470" s="10">
        <f>47.009 * CHOOSE(CONTROL!$C$9, $D$9, 100%, $F$9) + CHOOSE(CONTROL!$C$27, 0.0021, 0)</f>
        <v>47.011099999999999</v>
      </c>
      <c r="K470" s="10">
        <f>47.009 * CHOOSE(CONTROL!$C$9, $D$9, 100%, $F$9) + CHOOSE(CONTROL!$C$27, 0.0021, 0)</f>
        <v>47.011099999999999</v>
      </c>
      <c r="L470" s="10"/>
    </row>
    <row r="471" spans="1:12" ht="15.75" x14ac:dyDescent="0.25">
      <c r="A471" s="14">
        <v>55639</v>
      </c>
      <c r="B471" s="10">
        <f>46.7856 * CHOOSE(CONTROL!$C$9, $D$9, 100%, $F$9) + CHOOSE(CONTROL!$C$27, 0.0021, 0)</f>
        <v>46.787700000000001</v>
      </c>
      <c r="C471" s="10">
        <f>46.3533 * CHOOSE(CONTROL!$C$9, $D$9, 100%, $F$9) + CHOOSE(CONTROL!$C$27, 0.0021, 0)</f>
        <v>46.355399999999996</v>
      </c>
      <c r="D471" s="10">
        <f>46.3533 * CHOOSE(CONTROL!$C$9, $D$9, 100%, $F$9) + CHOOSE(CONTROL!$C$27, 0.0021, 0)</f>
        <v>46.355399999999996</v>
      </c>
      <c r="E471" s="10">
        <f>46.2167 * CHOOSE(CONTROL!$C$9, $D$9, 100%, $F$9) + CHOOSE(CONTROL!$C$27, 0.0021, 0)</f>
        <v>46.218800000000002</v>
      </c>
      <c r="F471" s="10">
        <f>46.2167 * CHOOSE(CONTROL!$C$9, $D$9, 100%, $F$9) + CHOOSE(CONTROL!$C$27, 0.0021, 0)</f>
        <v>46.218800000000002</v>
      </c>
      <c r="G471" s="10">
        <f>46.488 * CHOOSE(CONTROL!$C$9, $D$9, 100%, $F$9) + CHOOSE(CONTROL!$C$27, 0.0021, 0)</f>
        <v>46.490099999999998</v>
      </c>
      <c r="H471" s="10">
        <f>46.3533 * CHOOSE(CONTROL!$C$9, $D$9, 100%, $F$9) + CHOOSE(CONTROL!$C$27, 0.0021, 0)</f>
        <v>46.355399999999996</v>
      </c>
      <c r="I471" s="10">
        <f>46.3533 * CHOOSE(CONTROL!$C$9, $D$9, 100%, $F$9) + CHOOSE(CONTROL!$C$27, 0.0021, 0)</f>
        <v>46.355399999999996</v>
      </c>
      <c r="J471" s="10">
        <f>46.3533 * CHOOSE(CONTROL!$C$9, $D$9, 100%, $F$9) + CHOOSE(CONTROL!$C$27, 0.0021, 0)</f>
        <v>46.355399999999996</v>
      </c>
      <c r="K471" s="10">
        <f>46.3533 * CHOOSE(CONTROL!$C$9, $D$9, 100%, $F$9) + CHOOSE(CONTROL!$C$27, 0.0021, 0)</f>
        <v>46.355399999999996</v>
      </c>
      <c r="L471" s="10"/>
    </row>
    <row r="472" spans="1:12" ht="15.75" x14ac:dyDescent="0.25">
      <c r="A472" s="14">
        <v>55670</v>
      </c>
      <c r="B472" s="10">
        <f>47.7199 * CHOOSE(CONTROL!$C$9, $D$9, 100%, $F$9) + CHOOSE(CONTROL!$C$27, 0.0021, 0)</f>
        <v>47.722000000000001</v>
      </c>
      <c r="C472" s="10">
        <f>47.2877 * CHOOSE(CONTROL!$C$9, $D$9, 100%, $F$9) + CHOOSE(CONTROL!$C$27, 0.0021, 0)</f>
        <v>47.2898</v>
      </c>
      <c r="D472" s="10">
        <f>47.2877 * CHOOSE(CONTROL!$C$9, $D$9, 100%, $F$9) + CHOOSE(CONTROL!$C$27, 0.0021, 0)</f>
        <v>47.2898</v>
      </c>
      <c r="E472" s="10">
        <f>47.151 * CHOOSE(CONTROL!$C$9, $D$9, 100%, $F$9) + CHOOSE(CONTROL!$C$27, 0.0021, 0)</f>
        <v>47.153100000000002</v>
      </c>
      <c r="F472" s="10">
        <f>47.151 * CHOOSE(CONTROL!$C$9, $D$9, 100%, $F$9) + CHOOSE(CONTROL!$C$27, 0.0021, 0)</f>
        <v>47.153100000000002</v>
      </c>
      <c r="G472" s="10">
        <f>47.4224 * CHOOSE(CONTROL!$C$9, $D$9, 100%, $F$9) + CHOOSE(CONTROL!$C$27, 0.0021, 0)</f>
        <v>47.424500000000002</v>
      </c>
      <c r="H472" s="10">
        <f>47.2877 * CHOOSE(CONTROL!$C$9, $D$9, 100%, $F$9) + CHOOSE(CONTROL!$C$27, 0.0021, 0)</f>
        <v>47.2898</v>
      </c>
      <c r="I472" s="10">
        <f>47.2877 * CHOOSE(CONTROL!$C$9, $D$9, 100%, $F$9) + CHOOSE(CONTROL!$C$27, 0.0021, 0)</f>
        <v>47.2898</v>
      </c>
      <c r="J472" s="10">
        <f>47.2877 * CHOOSE(CONTROL!$C$9, $D$9, 100%, $F$9) + CHOOSE(CONTROL!$C$27, 0.0021, 0)</f>
        <v>47.2898</v>
      </c>
      <c r="K472" s="10">
        <f>47.2877 * CHOOSE(CONTROL!$C$9, $D$9, 100%, $F$9) + CHOOSE(CONTROL!$C$27, 0.0021, 0)</f>
        <v>47.2898</v>
      </c>
      <c r="L472" s="10"/>
    </row>
    <row r="473" spans="1:12" ht="15.75" x14ac:dyDescent="0.25">
      <c r="A473" s="14">
        <v>55700</v>
      </c>
      <c r="B473" s="10">
        <f>48.2796 * CHOOSE(CONTROL!$C$9, $D$9, 100%, $F$9) + CHOOSE(CONTROL!$C$27, 0.0021, 0)</f>
        <v>48.281700000000001</v>
      </c>
      <c r="C473" s="10">
        <f>47.8474 * CHOOSE(CONTROL!$C$9, $D$9, 100%, $F$9) + CHOOSE(CONTROL!$C$27, 0.0021, 0)</f>
        <v>47.849499999999999</v>
      </c>
      <c r="D473" s="10">
        <f>47.8474 * CHOOSE(CONTROL!$C$9, $D$9, 100%, $F$9) + CHOOSE(CONTROL!$C$27, 0.0021, 0)</f>
        <v>47.849499999999999</v>
      </c>
      <c r="E473" s="10">
        <f>47.7107 * CHOOSE(CONTROL!$C$9, $D$9, 100%, $F$9) + CHOOSE(CONTROL!$C$27, 0.0021, 0)</f>
        <v>47.712800000000001</v>
      </c>
      <c r="F473" s="10">
        <f>47.7107 * CHOOSE(CONTROL!$C$9, $D$9, 100%, $F$9) + CHOOSE(CONTROL!$C$27, 0.0021, 0)</f>
        <v>47.712800000000001</v>
      </c>
      <c r="G473" s="10">
        <f>47.9821 * CHOOSE(CONTROL!$C$9, $D$9, 100%, $F$9) + CHOOSE(CONTROL!$C$27, 0.0021, 0)</f>
        <v>47.984200000000001</v>
      </c>
      <c r="H473" s="10">
        <f>47.8474 * CHOOSE(CONTROL!$C$9, $D$9, 100%, $F$9) + CHOOSE(CONTROL!$C$27, 0.0021, 0)</f>
        <v>47.849499999999999</v>
      </c>
      <c r="I473" s="10">
        <f>47.8474 * CHOOSE(CONTROL!$C$9, $D$9, 100%, $F$9) + CHOOSE(CONTROL!$C$27, 0.0021, 0)</f>
        <v>47.849499999999999</v>
      </c>
      <c r="J473" s="10">
        <f>47.8474 * CHOOSE(CONTROL!$C$9, $D$9, 100%, $F$9) + CHOOSE(CONTROL!$C$27, 0.0021, 0)</f>
        <v>47.849499999999999</v>
      </c>
      <c r="K473" s="10">
        <f>47.8474 * CHOOSE(CONTROL!$C$9, $D$9, 100%, $F$9) + CHOOSE(CONTROL!$C$27, 0.0021, 0)</f>
        <v>47.849499999999999</v>
      </c>
      <c r="L473" s="10"/>
    </row>
    <row r="474" spans="1:12" ht="15.75" x14ac:dyDescent="0.25">
      <c r="A474" s="14">
        <v>55731</v>
      </c>
      <c r="B474" s="10">
        <f>49.2028 * CHOOSE(CONTROL!$C$9, $D$9, 100%, $F$9) + CHOOSE(CONTROL!$C$27, 0.0021, 0)</f>
        <v>49.204900000000002</v>
      </c>
      <c r="C474" s="10">
        <f>48.7706 * CHOOSE(CONTROL!$C$9, $D$9, 100%, $F$9) + CHOOSE(CONTROL!$C$27, 0.0021, 0)</f>
        <v>48.7727</v>
      </c>
      <c r="D474" s="10">
        <f>48.7706 * CHOOSE(CONTROL!$C$9, $D$9, 100%, $F$9) + CHOOSE(CONTROL!$C$27, 0.0021, 0)</f>
        <v>48.7727</v>
      </c>
      <c r="E474" s="10">
        <f>48.6339 * CHOOSE(CONTROL!$C$9, $D$9, 100%, $F$9) + CHOOSE(CONTROL!$C$27, 0.0021, 0)</f>
        <v>48.635999999999996</v>
      </c>
      <c r="F474" s="10">
        <f>48.6339 * CHOOSE(CONTROL!$C$9, $D$9, 100%, $F$9) + CHOOSE(CONTROL!$C$27, 0.0021, 0)</f>
        <v>48.635999999999996</v>
      </c>
      <c r="G474" s="10">
        <f>48.9053 * CHOOSE(CONTROL!$C$9, $D$9, 100%, $F$9) + CHOOSE(CONTROL!$C$27, 0.0021, 0)</f>
        <v>48.907399999999996</v>
      </c>
      <c r="H474" s="10">
        <f>48.7706 * CHOOSE(CONTROL!$C$9, $D$9, 100%, $F$9) + CHOOSE(CONTROL!$C$27, 0.0021, 0)</f>
        <v>48.7727</v>
      </c>
      <c r="I474" s="10">
        <f>48.7706 * CHOOSE(CONTROL!$C$9, $D$9, 100%, $F$9) + CHOOSE(CONTROL!$C$27, 0.0021, 0)</f>
        <v>48.7727</v>
      </c>
      <c r="J474" s="10">
        <f>48.7706 * CHOOSE(CONTROL!$C$9, $D$9, 100%, $F$9) + CHOOSE(CONTROL!$C$27, 0.0021, 0)</f>
        <v>48.7727</v>
      </c>
      <c r="K474" s="10">
        <f>48.7706 * CHOOSE(CONTROL!$C$9, $D$9, 100%, $F$9) + CHOOSE(CONTROL!$C$27, 0.0021, 0)</f>
        <v>48.7727</v>
      </c>
      <c r="L474" s="10"/>
    </row>
    <row r="475" spans="1:12" ht="15.75" x14ac:dyDescent="0.25">
      <c r="A475" s="14">
        <v>55762</v>
      </c>
      <c r="B475" s="10">
        <f>49.4846 * CHOOSE(CONTROL!$C$9, $D$9, 100%, $F$9) + CHOOSE(CONTROL!$C$27, 0.0021, 0)</f>
        <v>49.486699999999999</v>
      </c>
      <c r="C475" s="10">
        <f>49.0524 * CHOOSE(CONTROL!$C$9, $D$9, 100%, $F$9) + CHOOSE(CONTROL!$C$27, 0.0021, 0)</f>
        <v>49.054499999999997</v>
      </c>
      <c r="D475" s="10">
        <f>49.0524 * CHOOSE(CONTROL!$C$9, $D$9, 100%, $F$9) + CHOOSE(CONTROL!$C$27, 0.0021, 0)</f>
        <v>49.054499999999997</v>
      </c>
      <c r="E475" s="10">
        <f>48.9157 * CHOOSE(CONTROL!$C$9, $D$9, 100%, $F$9) + CHOOSE(CONTROL!$C$27, 0.0021, 0)</f>
        <v>48.9178</v>
      </c>
      <c r="F475" s="10">
        <f>48.9157 * CHOOSE(CONTROL!$C$9, $D$9, 100%, $F$9) + CHOOSE(CONTROL!$C$27, 0.0021, 0)</f>
        <v>48.9178</v>
      </c>
      <c r="G475" s="10">
        <f>49.1871 * CHOOSE(CONTROL!$C$9, $D$9, 100%, $F$9) + CHOOSE(CONTROL!$C$27, 0.0021, 0)</f>
        <v>49.1892</v>
      </c>
      <c r="H475" s="10">
        <f>49.0524 * CHOOSE(CONTROL!$C$9, $D$9, 100%, $F$9) + CHOOSE(CONTROL!$C$27, 0.0021, 0)</f>
        <v>49.054499999999997</v>
      </c>
      <c r="I475" s="10">
        <f>49.0524 * CHOOSE(CONTROL!$C$9, $D$9, 100%, $F$9) + CHOOSE(CONTROL!$C$27, 0.0021, 0)</f>
        <v>49.054499999999997</v>
      </c>
      <c r="J475" s="10">
        <f>49.0524 * CHOOSE(CONTROL!$C$9, $D$9, 100%, $F$9) + CHOOSE(CONTROL!$C$27, 0.0021, 0)</f>
        <v>49.054499999999997</v>
      </c>
      <c r="K475" s="10">
        <f>49.0524 * CHOOSE(CONTROL!$C$9, $D$9, 100%, $F$9) + CHOOSE(CONTROL!$C$27, 0.0021, 0)</f>
        <v>49.054499999999997</v>
      </c>
      <c r="L475" s="10"/>
    </row>
    <row r="476" spans="1:12" ht="15.75" x14ac:dyDescent="0.25">
      <c r="A476" s="14">
        <v>55792</v>
      </c>
      <c r="B476" s="10">
        <f>50.4443 * CHOOSE(CONTROL!$C$9, $D$9, 100%, $F$9) + CHOOSE(CONTROL!$C$27, 0.0021, 0)</f>
        <v>50.446399999999997</v>
      </c>
      <c r="C476" s="10">
        <f>50.012 * CHOOSE(CONTROL!$C$9, $D$9, 100%, $F$9) + CHOOSE(CONTROL!$C$27, 0.0021, 0)</f>
        <v>50.014099999999999</v>
      </c>
      <c r="D476" s="10">
        <f>50.012 * CHOOSE(CONTROL!$C$9, $D$9, 100%, $F$9) + CHOOSE(CONTROL!$C$27, 0.0021, 0)</f>
        <v>50.014099999999999</v>
      </c>
      <c r="E476" s="10">
        <f>49.8754 * CHOOSE(CONTROL!$C$9, $D$9, 100%, $F$9) + CHOOSE(CONTROL!$C$27, 0.0021, 0)</f>
        <v>49.877499999999998</v>
      </c>
      <c r="F476" s="10">
        <f>49.8754 * CHOOSE(CONTROL!$C$9, $D$9, 100%, $F$9) + CHOOSE(CONTROL!$C$27, 0.0021, 0)</f>
        <v>49.877499999999998</v>
      </c>
      <c r="G476" s="10">
        <f>50.1467 * CHOOSE(CONTROL!$C$9, $D$9, 100%, $F$9) + CHOOSE(CONTROL!$C$27, 0.0021, 0)</f>
        <v>50.148800000000001</v>
      </c>
      <c r="H476" s="10">
        <f>50.012 * CHOOSE(CONTROL!$C$9, $D$9, 100%, $F$9) + CHOOSE(CONTROL!$C$27, 0.0021, 0)</f>
        <v>50.014099999999999</v>
      </c>
      <c r="I476" s="10">
        <f>50.012 * CHOOSE(CONTROL!$C$9, $D$9, 100%, $F$9) + CHOOSE(CONTROL!$C$27, 0.0021, 0)</f>
        <v>50.014099999999999</v>
      </c>
      <c r="J476" s="10">
        <f>50.012 * CHOOSE(CONTROL!$C$9, $D$9, 100%, $F$9) + CHOOSE(CONTROL!$C$27, 0.0021, 0)</f>
        <v>50.014099999999999</v>
      </c>
      <c r="K476" s="10">
        <f>50.012 * CHOOSE(CONTROL!$C$9, $D$9, 100%, $F$9) + CHOOSE(CONTROL!$C$27, 0.0021, 0)</f>
        <v>50.014099999999999</v>
      </c>
      <c r="L476" s="10"/>
    </row>
    <row r="477" spans="1:12" ht="15.75" x14ac:dyDescent="0.25">
      <c r="A477" s="14">
        <v>55823</v>
      </c>
      <c r="B477" s="10">
        <f>51.659 * CHOOSE(CONTROL!$C$9, $D$9, 100%, $F$9) + CHOOSE(CONTROL!$C$27, 0.0021, 0)</f>
        <v>51.661099999999998</v>
      </c>
      <c r="C477" s="10">
        <f>51.2268 * CHOOSE(CONTROL!$C$9, $D$9, 100%, $F$9) + CHOOSE(CONTROL!$C$27, 0.0021, 0)</f>
        <v>51.228899999999996</v>
      </c>
      <c r="D477" s="10">
        <f>51.2268 * CHOOSE(CONTROL!$C$9, $D$9, 100%, $F$9) + CHOOSE(CONTROL!$C$27, 0.0021, 0)</f>
        <v>51.228899999999996</v>
      </c>
      <c r="E477" s="10">
        <f>51.0901 * CHOOSE(CONTROL!$C$9, $D$9, 100%, $F$9) + CHOOSE(CONTROL!$C$27, 0.0021, 0)</f>
        <v>51.092199999999998</v>
      </c>
      <c r="F477" s="10">
        <f>51.0901 * CHOOSE(CONTROL!$C$9, $D$9, 100%, $F$9) + CHOOSE(CONTROL!$C$27, 0.0021, 0)</f>
        <v>51.092199999999998</v>
      </c>
      <c r="G477" s="10">
        <f>51.3615 * CHOOSE(CONTROL!$C$9, $D$9, 100%, $F$9) + CHOOSE(CONTROL!$C$27, 0.0021, 0)</f>
        <v>51.363599999999998</v>
      </c>
      <c r="H477" s="10">
        <f>51.2268 * CHOOSE(CONTROL!$C$9, $D$9, 100%, $F$9) + CHOOSE(CONTROL!$C$27, 0.0021, 0)</f>
        <v>51.228899999999996</v>
      </c>
      <c r="I477" s="10">
        <f>51.2268 * CHOOSE(CONTROL!$C$9, $D$9, 100%, $F$9) + CHOOSE(CONTROL!$C$27, 0.0021, 0)</f>
        <v>51.228899999999996</v>
      </c>
      <c r="J477" s="10">
        <f>51.2268 * CHOOSE(CONTROL!$C$9, $D$9, 100%, $F$9) + CHOOSE(CONTROL!$C$27, 0.0021, 0)</f>
        <v>51.228899999999996</v>
      </c>
      <c r="K477" s="10">
        <f>51.2268 * CHOOSE(CONTROL!$C$9, $D$9, 100%, $F$9) + CHOOSE(CONTROL!$C$27, 0.0021, 0)</f>
        <v>51.228899999999996</v>
      </c>
      <c r="L477" s="10"/>
    </row>
    <row r="478" spans="1:12" ht="15.75" x14ac:dyDescent="0.25">
      <c r="A478" s="14">
        <v>55853</v>
      </c>
      <c r="B478" s="10">
        <f>51.7731 * CHOOSE(CONTROL!$C$9, $D$9, 100%, $F$9) + CHOOSE(CONTROL!$C$27, 0.0021, 0)</f>
        <v>51.775199999999998</v>
      </c>
      <c r="C478" s="10">
        <f>51.3408 * CHOOSE(CONTROL!$C$9, $D$9, 100%, $F$9) + CHOOSE(CONTROL!$C$27, 0.0021, 0)</f>
        <v>51.3429</v>
      </c>
      <c r="D478" s="10">
        <f>51.3408 * CHOOSE(CONTROL!$C$9, $D$9, 100%, $F$9) + CHOOSE(CONTROL!$C$27, 0.0021, 0)</f>
        <v>51.3429</v>
      </c>
      <c r="E478" s="10">
        <f>51.2042 * CHOOSE(CONTROL!$C$9, $D$9, 100%, $F$9) + CHOOSE(CONTROL!$C$27, 0.0021, 0)</f>
        <v>51.206299999999999</v>
      </c>
      <c r="F478" s="10">
        <f>51.2042 * CHOOSE(CONTROL!$C$9, $D$9, 100%, $F$9) + CHOOSE(CONTROL!$C$27, 0.0021, 0)</f>
        <v>51.206299999999999</v>
      </c>
      <c r="G478" s="10">
        <f>51.4755 * CHOOSE(CONTROL!$C$9, $D$9, 100%, $F$9) + CHOOSE(CONTROL!$C$27, 0.0021, 0)</f>
        <v>51.477599999999995</v>
      </c>
      <c r="H478" s="10">
        <f>51.3408 * CHOOSE(CONTROL!$C$9, $D$9, 100%, $F$9) + CHOOSE(CONTROL!$C$27, 0.0021, 0)</f>
        <v>51.3429</v>
      </c>
      <c r="I478" s="10">
        <f>51.3408 * CHOOSE(CONTROL!$C$9, $D$9, 100%, $F$9) + CHOOSE(CONTROL!$C$27, 0.0021, 0)</f>
        <v>51.3429</v>
      </c>
      <c r="J478" s="10">
        <f>51.3408 * CHOOSE(CONTROL!$C$9, $D$9, 100%, $F$9) + CHOOSE(CONTROL!$C$27, 0.0021, 0)</f>
        <v>51.3429</v>
      </c>
      <c r="K478" s="10">
        <f>51.3408 * CHOOSE(CONTROL!$C$9, $D$9, 100%, $F$9) + CHOOSE(CONTROL!$C$27, 0.0021, 0)</f>
        <v>51.3429</v>
      </c>
      <c r="L478" s="10"/>
    </row>
    <row r="479" spans="1:12" ht="15.75" x14ac:dyDescent="0.25">
      <c r="A479" s="14">
        <v>55884</v>
      </c>
      <c r="B479" s="10">
        <f>50.8029 * CHOOSE(CONTROL!$C$9, $D$9, 100%, $F$9) + CHOOSE(CONTROL!$C$27, 0.0021, 0)</f>
        <v>50.805</v>
      </c>
      <c r="C479" s="10">
        <f>50.3706 * CHOOSE(CONTROL!$C$9, $D$9, 100%, $F$9) + CHOOSE(CONTROL!$C$27, 0.0021, 0)</f>
        <v>50.372700000000002</v>
      </c>
      <c r="D479" s="10">
        <f>50.3706 * CHOOSE(CONTROL!$C$9, $D$9, 100%, $F$9) + CHOOSE(CONTROL!$C$27, 0.0021, 0)</f>
        <v>50.372700000000002</v>
      </c>
      <c r="E479" s="10">
        <f>50.234 * CHOOSE(CONTROL!$C$9, $D$9, 100%, $F$9) + CHOOSE(CONTROL!$C$27, 0.0021, 0)</f>
        <v>50.2361</v>
      </c>
      <c r="F479" s="10">
        <f>50.234 * CHOOSE(CONTROL!$C$9, $D$9, 100%, $F$9) + CHOOSE(CONTROL!$C$27, 0.0021, 0)</f>
        <v>50.2361</v>
      </c>
      <c r="G479" s="10">
        <f>50.5053 * CHOOSE(CONTROL!$C$9, $D$9, 100%, $F$9) + CHOOSE(CONTROL!$C$27, 0.0021, 0)</f>
        <v>50.507399999999997</v>
      </c>
      <c r="H479" s="10">
        <f>50.3706 * CHOOSE(CONTROL!$C$9, $D$9, 100%, $F$9) + CHOOSE(CONTROL!$C$27, 0.0021, 0)</f>
        <v>50.372700000000002</v>
      </c>
      <c r="I479" s="10">
        <f>50.3706 * CHOOSE(CONTROL!$C$9, $D$9, 100%, $F$9) + CHOOSE(CONTROL!$C$27, 0.0021, 0)</f>
        <v>50.372700000000002</v>
      </c>
      <c r="J479" s="10">
        <f>50.3706 * CHOOSE(CONTROL!$C$9, $D$9, 100%, $F$9) + CHOOSE(CONTROL!$C$27, 0.0021, 0)</f>
        <v>50.372700000000002</v>
      </c>
      <c r="K479" s="10">
        <f>50.3706 * CHOOSE(CONTROL!$C$9, $D$9, 100%, $F$9) + CHOOSE(CONTROL!$C$27, 0.0021, 0)</f>
        <v>50.372700000000002</v>
      </c>
      <c r="L479" s="10"/>
    </row>
    <row r="480" spans="1:12" ht="15.75" x14ac:dyDescent="0.25">
      <c r="A480" s="14">
        <v>55915</v>
      </c>
      <c r="B480" s="10">
        <f>50.0601 * CHOOSE(CONTROL!$C$9, $D$9, 100%, $F$9) + CHOOSE(CONTROL!$C$27, 0.0021, 0)</f>
        <v>50.062199999999997</v>
      </c>
      <c r="C480" s="10">
        <f>49.6278 * CHOOSE(CONTROL!$C$9, $D$9, 100%, $F$9) + CHOOSE(CONTROL!$C$27, 0.0021, 0)</f>
        <v>49.629899999999999</v>
      </c>
      <c r="D480" s="10">
        <f>49.6278 * CHOOSE(CONTROL!$C$9, $D$9, 100%, $F$9) + CHOOSE(CONTROL!$C$27, 0.0021, 0)</f>
        <v>49.629899999999999</v>
      </c>
      <c r="E480" s="10">
        <f>49.4911 * CHOOSE(CONTROL!$C$9, $D$9, 100%, $F$9) + CHOOSE(CONTROL!$C$27, 0.0021, 0)</f>
        <v>49.493200000000002</v>
      </c>
      <c r="F480" s="10">
        <f>49.4911 * CHOOSE(CONTROL!$C$9, $D$9, 100%, $F$9) + CHOOSE(CONTROL!$C$27, 0.0021, 0)</f>
        <v>49.493200000000002</v>
      </c>
      <c r="G480" s="10">
        <f>49.7625 * CHOOSE(CONTROL!$C$9, $D$9, 100%, $F$9) + CHOOSE(CONTROL!$C$27, 0.0021, 0)</f>
        <v>49.764600000000002</v>
      </c>
      <c r="H480" s="10">
        <f>49.6278 * CHOOSE(CONTROL!$C$9, $D$9, 100%, $F$9) + CHOOSE(CONTROL!$C$27, 0.0021, 0)</f>
        <v>49.629899999999999</v>
      </c>
      <c r="I480" s="10">
        <f>49.6278 * CHOOSE(CONTROL!$C$9, $D$9, 100%, $F$9) + CHOOSE(CONTROL!$C$27, 0.0021, 0)</f>
        <v>49.629899999999999</v>
      </c>
      <c r="J480" s="10">
        <f>49.6278 * CHOOSE(CONTROL!$C$9, $D$9, 100%, $F$9) + CHOOSE(CONTROL!$C$27, 0.0021, 0)</f>
        <v>49.629899999999999</v>
      </c>
      <c r="K480" s="10">
        <f>49.6278 * CHOOSE(CONTROL!$C$9, $D$9, 100%, $F$9) + CHOOSE(CONTROL!$C$27, 0.0021, 0)</f>
        <v>49.629899999999999</v>
      </c>
      <c r="L480" s="10"/>
    </row>
    <row r="481" spans="1:12" ht="15.75" x14ac:dyDescent="0.25">
      <c r="A481" s="14">
        <v>55943</v>
      </c>
      <c r="B481" s="10">
        <f>48.7089 * CHOOSE(CONTROL!$C$9, $D$9, 100%, $F$9) + CHOOSE(CONTROL!$C$27, 0.0021, 0)</f>
        <v>48.710999999999999</v>
      </c>
      <c r="C481" s="10">
        <f>48.2767 * CHOOSE(CONTROL!$C$9, $D$9, 100%, $F$9) + CHOOSE(CONTROL!$C$27, 0.0021, 0)</f>
        <v>48.278799999999997</v>
      </c>
      <c r="D481" s="10">
        <f>48.2767 * CHOOSE(CONTROL!$C$9, $D$9, 100%, $F$9) + CHOOSE(CONTROL!$C$27, 0.0021, 0)</f>
        <v>48.278799999999997</v>
      </c>
      <c r="E481" s="10">
        <f>48.14 * CHOOSE(CONTROL!$C$9, $D$9, 100%, $F$9) + CHOOSE(CONTROL!$C$27, 0.0021, 0)</f>
        <v>48.142099999999999</v>
      </c>
      <c r="F481" s="10">
        <f>48.14 * CHOOSE(CONTROL!$C$9, $D$9, 100%, $F$9) + CHOOSE(CONTROL!$C$27, 0.0021, 0)</f>
        <v>48.142099999999999</v>
      </c>
      <c r="G481" s="10">
        <f>48.4114 * CHOOSE(CONTROL!$C$9, $D$9, 100%, $F$9) + CHOOSE(CONTROL!$C$27, 0.0021, 0)</f>
        <v>48.413499999999999</v>
      </c>
      <c r="H481" s="10">
        <f>48.2767 * CHOOSE(CONTROL!$C$9, $D$9, 100%, $F$9) + CHOOSE(CONTROL!$C$27, 0.0021, 0)</f>
        <v>48.278799999999997</v>
      </c>
      <c r="I481" s="10">
        <f>48.2767 * CHOOSE(CONTROL!$C$9, $D$9, 100%, $F$9) + CHOOSE(CONTROL!$C$27, 0.0021, 0)</f>
        <v>48.278799999999997</v>
      </c>
      <c r="J481" s="10">
        <f>48.2767 * CHOOSE(CONTROL!$C$9, $D$9, 100%, $F$9) + CHOOSE(CONTROL!$C$27, 0.0021, 0)</f>
        <v>48.278799999999997</v>
      </c>
      <c r="K481" s="10">
        <f>48.2767 * CHOOSE(CONTROL!$C$9, $D$9, 100%, $F$9) + CHOOSE(CONTROL!$C$27, 0.0021, 0)</f>
        <v>48.278799999999997</v>
      </c>
      <c r="L481" s="10"/>
    </row>
    <row r="482" spans="1:12" ht="15.75" x14ac:dyDescent="0.25">
      <c r="A482" s="14">
        <v>55974</v>
      </c>
      <c r="B482" s="10">
        <f>48.1512 * CHOOSE(CONTROL!$C$9, $D$9, 100%, $F$9) + CHOOSE(CONTROL!$C$27, 0.0021, 0)</f>
        <v>48.153300000000002</v>
      </c>
      <c r="C482" s="10">
        <f>47.7189 * CHOOSE(CONTROL!$C$9, $D$9, 100%, $F$9) + CHOOSE(CONTROL!$C$27, 0.0021, 0)</f>
        <v>47.720999999999997</v>
      </c>
      <c r="D482" s="10">
        <f>47.7189 * CHOOSE(CONTROL!$C$9, $D$9, 100%, $F$9) + CHOOSE(CONTROL!$C$27, 0.0021, 0)</f>
        <v>47.720999999999997</v>
      </c>
      <c r="E482" s="10">
        <f>47.5823 * CHOOSE(CONTROL!$C$9, $D$9, 100%, $F$9) + CHOOSE(CONTROL!$C$27, 0.0021, 0)</f>
        <v>47.584399999999995</v>
      </c>
      <c r="F482" s="10">
        <f>47.5823 * CHOOSE(CONTROL!$C$9, $D$9, 100%, $F$9) + CHOOSE(CONTROL!$C$27, 0.0021, 0)</f>
        <v>47.584399999999995</v>
      </c>
      <c r="G482" s="10">
        <f>47.8537 * CHOOSE(CONTROL!$C$9, $D$9, 100%, $F$9) + CHOOSE(CONTROL!$C$27, 0.0021, 0)</f>
        <v>47.855800000000002</v>
      </c>
      <c r="H482" s="10">
        <f>47.7189 * CHOOSE(CONTROL!$C$9, $D$9, 100%, $F$9) + CHOOSE(CONTROL!$C$27, 0.0021, 0)</f>
        <v>47.720999999999997</v>
      </c>
      <c r="I482" s="10">
        <f>47.7189 * CHOOSE(CONTROL!$C$9, $D$9, 100%, $F$9) + CHOOSE(CONTROL!$C$27, 0.0021, 0)</f>
        <v>47.720999999999997</v>
      </c>
      <c r="J482" s="10">
        <f>47.7189 * CHOOSE(CONTROL!$C$9, $D$9, 100%, $F$9) + CHOOSE(CONTROL!$C$27, 0.0021, 0)</f>
        <v>47.720999999999997</v>
      </c>
      <c r="K482" s="10">
        <f>47.7189 * CHOOSE(CONTROL!$C$9, $D$9, 100%, $F$9) + CHOOSE(CONTROL!$C$27, 0.0021, 0)</f>
        <v>47.720999999999997</v>
      </c>
      <c r="L482" s="10"/>
    </row>
    <row r="483" spans="1:12" ht="15.75" x14ac:dyDescent="0.25">
      <c r="A483" s="14">
        <v>56004</v>
      </c>
      <c r="B483" s="10">
        <f>47.4852 * CHOOSE(CONTROL!$C$9, $D$9, 100%, $F$9) + CHOOSE(CONTROL!$C$27, 0.0021, 0)</f>
        <v>47.487299999999998</v>
      </c>
      <c r="C483" s="10">
        <f>47.053 * CHOOSE(CONTROL!$C$9, $D$9, 100%, $F$9) + CHOOSE(CONTROL!$C$27, 0.0021, 0)</f>
        <v>47.055099999999996</v>
      </c>
      <c r="D483" s="10">
        <f>47.053 * CHOOSE(CONTROL!$C$9, $D$9, 100%, $F$9) + CHOOSE(CONTROL!$C$27, 0.0021, 0)</f>
        <v>47.055099999999996</v>
      </c>
      <c r="E483" s="10">
        <f>46.9163 * CHOOSE(CONTROL!$C$9, $D$9, 100%, $F$9) + CHOOSE(CONTROL!$C$27, 0.0021, 0)</f>
        <v>46.918399999999998</v>
      </c>
      <c r="F483" s="10">
        <f>46.9163 * CHOOSE(CONTROL!$C$9, $D$9, 100%, $F$9) + CHOOSE(CONTROL!$C$27, 0.0021, 0)</f>
        <v>46.918399999999998</v>
      </c>
      <c r="G483" s="10">
        <f>47.1877 * CHOOSE(CONTROL!$C$9, $D$9, 100%, $F$9) + CHOOSE(CONTROL!$C$27, 0.0021, 0)</f>
        <v>47.189799999999998</v>
      </c>
      <c r="H483" s="10">
        <f>47.053 * CHOOSE(CONTROL!$C$9, $D$9, 100%, $F$9) + CHOOSE(CONTROL!$C$27, 0.0021, 0)</f>
        <v>47.055099999999996</v>
      </c>
      <c r="I483" s="10">
        <f>47.053 * CHOOSE(CONTROL!$C$9, $D$9, 100%, $F$9) + CHOOSE(CONTROL!$C$27, 0.0021, 0)</f>
        <v>47.055099999999996</v>
      </c>
      <c r="J483" s="10">
        <f>47.053 * CHOOSE(CONTROL!$C$9, $D$9, 100%, $F$9) + CHOOSE(CONTROL!$C$27, 0.0021, 0)</f>
        <v>47.055099999999996</v>
      </c>
      <c r="K483" s="10">
        <f>47.053 * CHOOSE(CONTROL!$C$9, $D$9, 100%, $F$9) + CHOOSE(CONTROL!$C$27, 0.0021, 0)</f>
        <v>47.055099999999996</v>
      </c>
      <c r="L483" s="10"/>
    </row>
    <row r="484" spans="1:12" ht="15.75" x14ac:dyDescent="0.25">
      <c r="A484" s="14">
        <v>56035</v>
      </c>
      <c r="B484" s="10">
        <f>48.4343 * CHOOSE(CONTROL!$C$9, $D$9, 100%, $F$9) + CHOOSE(CONTROL!$C$27, 0.0021, 0)</f>
        <v>48.436399999999999</v>
      </c>
      <c r="C484" s="10">
        <f>48.002 * CHOOSE(CONTROL!$C$9, $D$9, 100%, $F$9) + CHOOSE(CONTROL!$C$27, 0.0021, 0)</f>
        <v>48.004100000000001</v>
      </c>
      <c r="D484" s="10">
        <f>48.002 * CHOOSE(CONTROL!$C$9, $D$9, 100%, $F$9) + CHOOSE(CONTROL!$C$27, 0.0021, 0)</f>
        <v>48.004100000000001</v>
      </c>
      <c r="E484" s="10">
        <f>47.8654 * CHOOSE(CONTROL!$C$9, $D$9, 100%, $F$9) + CHOOSE(CONTROL!$C$27, 0.0021, 0)</f>
        <v>47.8675</v>
      </c>
      <c r="F484" s="10">
        <f>47.8654 * CHOOSE(CONTROL!$C$9, $D$9, 100%, $F$9) + CHOOSE(CONTROL!$C$27, 0.0021, 0)</f>
        <v>47.8675</v>
      </c>
      <c r="G484" s="10">
        <f>48.1368 * CHOOSE(CONTROL!$C$9, $D$9, 100%, $F$9) + CHOOSE(CONTROL!$C$27, 0.0021, 0)</f>
        <v>48.1389</v>
      </c>
      <c r="H484" s="10">
        <f>48.002 * CHOOSE(CONTROL!$C$9, $D$9, 100%, $F$9) + CHOOSE(CONTROL!$C$27, 0.0021, 0)</f>
        <v>48.004100000000001</v>
      </c>
      <c r="I484" s="10">
        <f>48.002 * CHOOSE(CONTROL!$C$9, $D$9, 100%, $F$9) + CHOOSE(CONTROL!$C$27, 0.0021, 0)</f>
        <v>48.004100000000001</v>
      </c>
      <c r="J484" s="10">
        <f>48.002 * CHOOSE(CONTROL!$C$9, $D$9, 100%, $F$9) + CHOOSE(CONTROL!$C$27, 0.0021, 0)</f>
        <v>48.004100000000001</v>
      </c>
      <c r="K484" s="10">
        <f>48.002 * CHOOSE(CONTROL!$C$9, $D$9, 100%, $F$9) + CHOOSE(CONTROL!$C$27, 0.0021, 0)</f>
        <v>48.004100000000001</v>
      </c>
      <c r="L484" s="10"/>
    </row>
    <row r="485" spans="1:12" ht="15.75" x14ac:dyDescent="0.25">
      <c r="A485" s="14">
        <v>56065</v>
      </c>
      <c r="B485" s="10">
        <f>49.0027 * CHOOSE(CONTROL!$C$9, $D$9, 100%, $F$9) + CHOOSE(CONTROL!$C$27, 0.0021, 0)</f>
        <v>49.004799999999996</v>
      </c>
      <c r="C485" s="10">
        <f>48.5705 * CHOOSE(CONTROL!$C$9, $D$9, 100%, $F$9) + CHOOSE(CONTROL!$C$27, 0.0021, 0)</f>
        <v>48.572600000000001</v>
      </c>
      <c r="D485" s="10">
        <f>48.5705 * CHOOSE(CONTROL!$C$9, $D$9, 100%, $F$9) + CHOOSE(CONTROL!$C$27, 0.0021, 0)</f>
        <v>48.572600000000001</v>
      </c>
      <c r="E485" s="10">
        <f>48.4338 * CHOOSE(CONTROL!$C$9, $D$9, 100%, $F$9) + CHOOSE(CONTROL!$C$27, 0.0021, 0)</f>
        <v>48.435899999999997</v>
      </c>
      <c r="F485" s="10">
        <f>48.4338 * CHOOSE(CONTROL!$C$9, $D$9, 100%, $F$9) + CHOOSE(CONTROL!$C$27, 0.0021, 0)</f>
        <v>48.435899999999997</v>
      </c>
      <c r="G485" s="10">
        <f>48.7052 * CHOOSE(CONTROL!$C$9, $D$9, 100%, $F$9) + CHOOSE(CONTROL!$C$27, 0.0021, 0)</f>
        <v>48.707299999999996</v>
      </c>
      <c r="H485" s="10">
        <f>48.5705 * CHOOSE(CONTROL!$C$9, $D$9, 100%, $F$9) + CHOOSE(CONTROL!$C$27, 0.0021, 0)</f>
        <v>48.572600000000001</v>
      </c>
      <c r="I485" s="10">
        <f>48.5705 * CHOOSE(CONTROL!$C$9, $D$9, 100%, $F$9) + CHOOSE(CONTROL!$C$27, 0.0021, 0)</f>
        <v>48.572600000000001</v>
      </c>
      <c r="J485" s="10">
        <f>48.5705 * CHOOSE(CONTROL!$C$9, $D$9, 100%, $F$9) + CHOOSE(CONTROL!$C$27, 0.0021, 0)</f>
        <v>48.572600000000001</v>
      </c>
      <c r="K485" s="10">
        <f>48.5705 * CHOOSE(CONTROL!$C$9, $D$9, 100%, $F$9) + CHOOSE(CONTROL!$C$27, 0.0021, 0)</f>
        <v>48.572600000000001</v>
      </c>
      <c r="L485" s="10"/>
    </row>
    <row r="486" spans="1:12" ht="15.75" x14ac:dyDescent="0.25">
      <c r="A486" s="14">
        <v>56096</v>
      </c>
      <c r="B486" s="10">
        <f>49.9405 * CHOOSE(CONTROL!$C$9, $D$9, 100%, $F$9) + CHOOSE(CONTROL!$C$27, 0.0021, 0)</f>
        <v>49.942599999999999</v>
      </c>
      <c r="C486" s="10">
        <f>49.5082 * CHOOSE(CONTROL!$C$9, $D$9, 100%, $F$9) + CHOOSE(CONTROL!$C$27, 0.0021, 0)</f>
        <v>49.510300000000001</v>
      </c>
      <c r="D486" s="10">
        <f>49.5082 * CHOOSE(CONTROL!$C$9, $D$9, 100%, $F$9) + CHOOSE(CONTROL!$C$27, 0.0021, 0)</f>
        <v>49.510300000000001</v>
      </c>
      <c r="E486" s="10">
        <f>49.3716 * CHOOSE(CONTROL!$C$9, $D$9, 100%, $F$9) + CHOOSE(CONTROL!$C$27, 0.0021, 0)</f>
        <v>49.373699999999999</v>
      </c>
      <c r="F486" s="10">
        <f>49.3716 * CHOOSE(CONTROL!$C$9, $D$9, 100%, $F$9) + CHOOSE(CONTROL!$C$27, 0.0021, 0)</f>
        <v>49.373699999999999</v>
      </c>
      <c r="G486" s="10">
        <f>49.643 * CHOOSE(CONTROL!$C$9, $D$9, 100%, $F$9) + CHOOSE(CONTROL!$C$27, 0.0021, 0)</f>
        <v>49.645099999999999</v>
      </c>
      <c r="H486" s="10">
        <f>49.5082 * CHOOSE(CONTROL!$C$9, $D$9, 100%, $F$9) + CHOOSE(CONTROL!$C$27, 0.0021, 0)</f>
        <v>49.510300000000001</v>
      </c>
      <c r="I486" s="10">
        <f>49.5082 * CHOOSE(CONTROL!$C$9, $D$9, 100%, $F$9) + CHOOSE(CONTROL!$C$27, 0.0021, 0)</f>
        <v>49.510300000000001</v>
      </c>
      <c r="J486" s="10">
        <f>49.5082 * CHOOSE(CONTROL!$C$9, $D$9, 100%, $F$9) + CHOOSE(CONTROL!$C$27, 0.0021, 0)</f>
        <v>49.510300000000001</v>
      </c>
      <c r="K486" s="10">
        <f>49.5082 * CHOOSE(CONTROL!$C$9, $D$9, 100%, $F$9) + CHOOSE(CONTROL!$C$27, 0.0021, 0)</f>
        <v>49.510300000000001</v>
      </c>
      <c r="L486" s="10"/>
    </row>
    <row r="487" spans="1:12" ht="15.75" x14ac:dyDescent="0.25">
      <c r="A487" s="14">
        <v>56127</v>
      </c>
      <c r="B487" s="10">
        <f>50.2267 * CHOOSE(CONTROL!$C$9, $D$9, 100%, $F$9) + CHOOSE(CONTROL!$C$27, 0.0021, 0)</f>
        <v>50.2288</v>
      </c>
      <c r="C487" s="10">
        <f>49.7945 * CHOOSE(CONTROL!$C$9, $D$9, 100%, $F$9) + CHOOSE(CONTROL!$C$27, 0.0021, 0)</f>
        <v>49.796599999999998</v>
      </c>
      <c r="D487" s="10">
        <f>49.7945 * CHOOSE(CONTROL!$C$9, $D$9, 100%, $F$9) + CHOOSE(CONTROL!$C$27, 0.0021, 0)</f>
        <v>49.796599999999998</v>
      </c>
      <c r="E487" s="10">
        <f>49.6578 * CHOOSE(CONTROL!$C$9, $D$9, 100%, $F$9) + CHOOSE(CONTROL!$C$27, 0.0021, 0)</f>
        <v>49.6599</v>
      </c>
      <c r="F487" s="10">
        <f>49.6578 * CHOOSE(CONTROL!$C$9, $D$9, 100%, $F$9) + CHOOSE(CONTROL!$C$27, 0.0021, 0)</f>
        <v>49.6599</v>
      </c>
      <c r="G487" s="10">
        <f>49.9292 * CHOOSE(CONTROL!$C$9, $D$9, 100%, $F$9) + CHOOSE(CONTROL!$C$27, 0.0021, 0)</f>
        <v>49.9313</v>
      </c>
      <c r="H487" s="10">
        <f>49.7945 * CHOOSE(CONTROL!$C$9, $D$9, 100%, $F$9) + CHOOSE(CONTROL!$C$27, 0.0021, 0)</f>
        <v>49.796599999999998</v>
      </c>
      <c r="I487" s="10">
        <f>49.7945 * CHOOSE(CONTROL!$C$9, $D$9, 100%, $F$9) + CHOOSE(CONTROL!$C$27, 0.0021, 0)</f>
        <v>49.796599999999998</v>
      </c>
      <c r="J487" s="10">
        <f>49.7945 * CHOOSE(CONTROL!$C$9, $D$9, 100%, $F$9) + CHOOSE(CONTROL!$C$27, 0.0021, 0)</f>
        <v>49.796599999999998</v>
      </c>
      <c r="K487" s="10">
        <f>49.7945 * CHOOSE(CONTROL!$C$9, $D$9, 100%, $F$9) + CHOOSE(CONTROL!$C$27, 0.0021, 0)</f>
        <v>49.796599999999998</v>
      </c>
      <c r="L487" s="10"/>
    </row>
    <row r="488" spans="1:12" ht="15.75" x14ac:dyDescent="0.25">
      <c r="A488" s="14">
        <v>56157</v>
      </c>
      <c r="B488" s="10">
        <f>51.2015 * CHOOSE(CONTROL!$C$9, $D$9, 100%, $F$9) + CHOOSE(CONTROL!$C$27, 0.0021, 0)</f>
        <v>51.203600000000002</v>
      </c>
      <c r="C488" s="10">
        <f>50.7692 * CHOOSE(CONTROL!$C$9, $D$9, 100%, $F$9) + CHOOSE(CONTROL!$C$27, 0.0021, 0)</f>
        <v>50.771299999999997</v>
      </c>
      <c r="D488" s="10">
        <f>50.7692 * CHOOSE(CONTROL!$C$9, $D$9, 100%, $F$9) + CHOOSE(CONTROL!$C$27, 0.0021, 0)</f>
        <v>50.771299999999997</v>
      </c>
      <c r="E488" s="10">
        <f>50.6326 * CHOOSE(CONTROL!$C$9, $D$9, 100%, $F$9) + CHOOSE(CONTROL!$C$27, 0.0021, 0)</f>
        <v>50.634699999999995</v>
      </c>
      <c r="F488" s="10">
        <f>50.6326 * CHOOSE(CONTROL!$C$9, $D$9, 100%, $F$9) + CHOOSE(CONTROL!$C$27, 0.0021, 0)</f>
        <v>50.634699999999995</v>
      </c>
      <c r="G488" s="10">
        <f>50.9039 * CHOOSE(CONTROL!$C$9, $D$9, 100%, $F$9) + CHOOSE(CONTROL!$C$27, 0.0021, 0)</f>
        <v>50.905999999999999</v>
      </c>
      <c r="H488" s="10">
        <f>50.7692 * CHOOSE(CONTROL!$C$9, $D$9, 100%, $F$9) + CHOOSE(CONTROL!$C$27, 0.0021, 0)</f>
        <v>50.771299999999997</v>
      </c>
      <c r="I488" s="10">
        <f>50.7692 * CHOOSE(CONTROL!$C$9, $D$9, 100%, $F$9) + CHOOSE(CONTROL!$C$27, 0.0021, 0)</f>
        <v>50.771299999999997</v>
      </c>
      <c r="J488" s="10">
        <f>50.7692 * CHOOSE(CONTROL!$C$9, $D$9, 100%, $F$9) + CHOOSE(CONTROL!$C$27, 0.0021, 0)</f>
        <v>50.771299999999997</v>
      </c>
      <c r="K488" s="10">
        <f>50.7692 * CHOOSE(CONTROL!$C$9, $D$9, 100%, $F$9) + CHOOSE(CONTROL!$C$27, 0.0021, 0)</f>
        <v>50.771299999999997</v>
      </c>
      <c r="L488" s="10"/>
    </row>
    <row r="489" spans="1:12" ht="15.75" x14ac:dyDescent="0.25">
      <c r="A489" s="14">
        <v>56188</v>
      </c>
      <c r="B489" s="10">
        <f>52.4353 * CHOOSE(CONTROL!$C$9, $D$9, 100%, $F$9) + CHOOSE(CONTROL!$C$27, 0.0021, 0)</f>
        <v>52.437399999999997</v>
      </c>
      <c r="C489" s="10">
        <f>52.0031 * CHOOSE(CONTROL!$C$9, $D$9, 100%, $F$9) + CHOOSE(CONTROL!$C$27, 0.0021, 0)</f>
        <v>52.005200000000002</v>
      </c>
      <c r="D489" s="10">
        <f>52.0031 * CHOOSE(CONTROL!$C$9, $D$9, 100%, $F$9) + CHOOSE(CONTROL!$C$27, 0.0021, 0)</f>
        <v>52.005200000000002</v>
      </c>
      <c r="E489" s="10">
        <f>51.8664 * CHOOSE(CONTROL!$C$9, $D$9, 100%, $F$9) + CHOOSE(CONTROL!$C$27, 0.0021, 0)</f>
        <v>51.868499999999997</v>
      </c>
      <c r="F489" s="10">
        <f>51.8664 * CHOOSE(CONTROL!$C$9, $D$9, 100%, $F$9) + CHOOSE(CONTROL!$C$27, 0.0021, 0)</f>
        <v>51.868499999999997</v>
      </c>
      <c r="G489" s="10">
        <f>52.1378 * CHOOSE(CONTROL!$C$9, $D$9, 100%, $F$9) + CHOOSE(CONTROL!$C$27, 0.0021, 0)</f>
        <v>52.139899999999997</v>
      </c>
      <c r="H489" s="10">
        <f>52.0031 * CHOOSE(CONTROL!$C$9, $D$9, 100%, $F$9) + CHOOSE(CONTROL!$C$27, 0.0021, 0)</f>
        <v>52.005200000000002</v>
      </c>
      <c r="I489" s="10">
        <f>52.0031 * CHOOSE(CONTROL!$C$9, $D$9, 100%, $F$9) + CHOOSE(CONTROL!$C$27, 0.0021, 0)</f>
        <v>52.005200000000002</v>
      </c>
      <c r="J489" s="10">
        <f>52.0031 * CHOOSE(CONTROL!$C$9, $D$9, 100%, $F$9) + CHOOSE(CONTROL!$C$27, 0.0021, 0)</f>
        <v>52.005200000000002</v>
      </c>
      <c r="K489" s="10">
        <f>52.0031 * CHOOSE(CONTROL!$C$9, $D$9, 100%, $F$9) + CHOOSE(CONTROL!$C$27, 0.0021, 0)</f>
        <v>52.005200000000002</v>
      </c>
      <c r="L489" s="10"/>
    </row>
    <row r="490" spans="1:12" ht="15.75" x14ac:dyDescent="0.25">
      <c r="A490" s="14">
        <v>56218</v>
      </c>
      <c r="B490" s="10">
        <f>52.5512 * CHOOSE(CONTROL!$C$9, $D$9, 100%, $F$9) + CHOOSE(CONTROL!$C$27, 0.0021, 0)</f>
        <v>52.5533</v>
      </c>
      <c r="C490" s="10">
        <f>52.1189 * CHOOSE(CONTROL!$C$9, $D$9, 100%, $F$9) + CHOOSE(CONTROL!$C$27, 0.0021, 0)</f>
        <v>52.120999999999995</v>
      </c>
      <c r="D490" s="10">
        <f>52.1189 * CHOOSE(CONTROL!$C$9, $D$9, 100%, $F$9) + CHOOSE(CONTROL!$C$27, 0.0021, 0)</f>
        <v>52.120999999999995</v>
      </c>
      <c r="E490" s="10">
        <f>51.9822 * CHOOSE(CONTROL!$C$9, $D$9, 100%, $F$9) + CHOOSE(CONTROL!$C$27, 0.0021, 0)</f>
        <v>51.984299999999998</v>
      </c>
      <c r="F490" s="10">
        <f>51.9822 * CHOOSE(CONTROL!$C$9, $D$9, 100%, $F$9) + CHOOSE(CONTROL!$C$27, 0.0021, 0)</f>
        <v>51.984299999999998</v>
      </c>
      <c r="G490" s="10">
        <f>52.2536 * CHOOSE(CONTROL!$C$9, $D$9, 100%, $F$9) + CHOOSE(CONTROL!$C$27, 0.0021, 0)</f>
        <v>52.255699999999997</v>
      </c>
      <c r="H490" s="10">
        <f>52.1189 * CHOOSE(CONTROL!$C$9, $D$9, 100%, $F$9) + CHOOSE(CONTROL!$C$27, 0.0021, 0)</f>
        <v>52.120999999999995</v>
      </c>
      <c r="I490" s="10">
        <f>52.1189 * CHOOSE(CONTROL!$C$9, $D$9, 100%, $F$9) + CHOOSE(CONTROL!$C$27, 0.0021, 0)</f>
        <v>52.120999999999995</v>
      </c>
      <c r="J490" s="10">
        <f>52.1189 * CHOOSE(CONTROL!$C$9, $D$9, 100%, $F$9) + CHOOSE(CONTROL!$C$27, 0.0021, 0)</f>
        <v>52.120999999999995</v>
      </c>
      <c r="K490" s="10">
        <f>52.1189 * CHOOSE(CONTROL!$C$9, $D$9, 100%, $F$9) + CHOOSE(CONTROL!$C$27, 0.0021, 0)</f>
        <v>52.120999999999995</v>
      </c>
      <c r="L490" s="10"/>
    </row>
    <row r="491" spans="1:12" ht="15.75" x14ac:dyDescent="0.25">
      <c r="A491" s="14">
        <v>56249</v>
      </c>
      <c r="B491" s="10">
        <f>51.5657 * CHOOSE(CONTROL!$C$9, $D$9, 100%, $F$9) + CHOOSE(CONTROL!$C$27, 0.0021, 0)</f>
        <v>51.567799999999998</v>
      </c>
      <c r="C491" s="10">
        <f>51.1334 * CHOOSE(CONTROL!$C$9, $D$9, 100%, $F$9) + CHOOSE(CONTROL!$C$27, 0.0021, 0)</f>
        <v>51.1355</v>
      </c>
      <c r="D491" s="10">
        <f>51.1334 * CHOOSE(CONTROL!$C$9, $D$9, 100%, $F$9) + CHOOSE(CONTROL!$C$27, 0.0021, 0)</f>
        <v>51.1355</v>
      </c>
      <c r="E491" s="10">
        <f>50.9968 * CHOOSE(CONTROL!$C$9, $D$9, 100%, $F$9) + CHOOSE(CONTROL!$C$27, 0.0021, 0)</f>
        <v>50.998899999999999</v>
      </c>
      <c r="F491" s="10">
        <f>50.9968 * CHOOSE(CONTROL!$C$9, $D$9, 100%, $F$9) + CHOOSE(CONTROL!$C$27, 0.0021, 0)</f>
        <v>50.998899999999999</v>
      </c>
      <c r="G491" s="10">
        <f>51.2682 * CHOOSE(CONTROL!$C$9, $D$9, 100%, $F$9) + CHOOSE(CONTROL!$C$27, 0.0021, 0)</f>
        <v>51.270299999999999</v>
      </c>
      <c r="H491" s="10">
        <f>51.1334 * CHOOSE(CONTROL!$C$9, $D$9, 100%, $F$9) + CHOOSE(CONTROL!$C$27, 0.0021, 0)</f>
        <v>51.1355</v>
      </c>
      <c r="I491" s="10">
        <f>51.1334 * CHOOSE(CONTROL!$C$9, $D$9, 100%, $F$9) + CHOOSE(CONTROL!$C$27, 0.0021, 0)</f>
        <v>51.1355</v>
      </c>
      <c r="J491" s="10">
        <f>51.1334 * CHOOSE(CONTROL!$C$9, $D$9, 100%, $F$9) + CHOOSE(CONTROL!$C$27, 0.0021, 0)</f>
        <v>51.1355</v>
      </c>
      <c r="K491" s="10">
        <f>51.1334 * CHOOSE(CONTROL!$C$9, $D$9, 100%, $F$9) + CHOOSE(CONTROL!$C$27, 0.0021, 0)</f>
        <v>51.1355</v>
      </c>
      <c r="L491" s="10"/>
    </row>
    <row r="492" spans="1:12" ht="15.75" x14ac:dyDescent="0.25">
      <c r="A492" s="14">
        <v>56280</v>
      </c>
      <c r="B492" s="10">
        <f>50.8112 * CHOOSE(CONTROL!$C$9, $D$9, 100%, $F$9) + CHOOSE(CONTROL!$C$27, 0.0021, 0)</f>
        <v>50.813299999999998</v>
      </c>
      <c r="C492" s="10">
        <f>50.3789 * CHOOSE(CONTROL!$C$9, $D$9, 100%, $F$9) + CHOOSE(CONTROL!$C$27, 0.0021, 0)</f>
        <v>50.381</v>
      </c>
      <c r="D492" s="10">
        <f>50.3789 * CHOOSE(CONTROL!$C$9, $D$9, 100%, $F$9) + CHOOSE(CONTROL!$C$27, 0.0021, 0)</f>
        <v>50.381</v>
      </c>
      <c r="E492" s="10">
        <f>50.2423 * CHOOSE(CONTROL!$C$9, $D$9, 100%, $F$9) + CHOOSE(CONTROL!$C$27, 0.0021, 0)</f>
        <v>50.244399999999999</v>
      </c>
      <c r="F492" s="10">
        <f>50.2423 * CHOOSE(CONTROL!$C$9, $D$9, 100%, $F$9) + CHOOSE(CONTROL!$C$27, 0.0021, 0)</f>
        <v>50.244399999999999</v>
      </c>
      <c r="G492" s="10">
        <f>50.5137 * CHOOSE(CONTROL!$C$9, $D$9, 100%, $F$9) + CHOOSE(CONTROL!$C$27, 0.0021, 0)</f>
        <v>50.515799999999999</v>
      </c>
      <c r="H492" s="10">
        <f>50.3789 * CHOOSE(CONTROL!$C$9, $D$9, 100%, $F$9) + CHOOSE(CONTROL!$C$27, 0.0021, 0)</f>
        <v>50.381</v>
      </c>
      <c r="I492" s="10">
        <f>50.3789 * CHOOSE(CONTROL!$C$9, $D$9, 100%, $F$9) + CHOOSE(CONTROL!$C$27, 0.0021, 0)</f>
        <v>50.381</v>
      </c>
      <c r="J492" s="10">
        <f>50.3789 * CHOOSE(CONTROL!$C$9, $D$9, 100%, $F$9) + CHOOSE(CONTROL!$C$27, 0.0021, 0)</f>
        <v>50.381</v>
      </c>
      <c r="K492" s="10">
        <f>50.3789 * CHOOSE(CONTROL!$C$9, $D$9, 100%, $F$9) + CHOOSE(CONTROL!$C$27, 0.0021, 0)</f>
        <v>50.381</v>
      </c>
      <c r="L492" s="10"/>
    </row>
    <row r="493" spans="1:12" ht="15.75" x14ac:dyDescent="0.25">
      <c r="A493" s="14">
        <v>56308</v>
      </c>
      <c r="B493" s="10">
        <f>49.4388 * CHOOSE(CONTROL!$C$9, $D$9, 100%, $F$9) + CHOOSE(CONTROL!$C$27, 0.0021, 0)</f>
        <v>49.440899999999999</v>
      </c>
      <c r="C493" s="10">
        <f>49.0066 * CHOOSE(CONTROL!$C$9, $D$9, 100%, $F$9) + CHOOSE(CONTROL!$C$27, 0.0021, 0)</f>
        <v>49.008699999999997</v>
      </c>
      <c r="D493" s="10">
        <f>49.0066 * CHOOSE(CONTROL!$C$9, $D$9, 100%, $F$9) + CHOOSE(CONTROL!$C$27, 0.0021, 0)</f>
        <v>49.008699999999997</v>
      </c>
      <c r="E493" s="10">
        <f>48.8699 * CHOOSE(CONTROL!$C$9, $D$9, 100%, $F$9) + CHOOSE(CONTROL!$C$27, 0.0021, 0)</f>
        <v>48.872</v>
      </c>
      <c r="F493" s="10">
        <f>48.8699 * CHOOSE(CONTROL!$C$9, $D$9, 100%, $F$9) + CHOOSE(CONTROL!$C$27, 0.0021, 0)</f>
        <v>48.872</v>
      </c>
      <c r="G493" s="10">
        <f>49.1413 * CHOOSE(CONTROL!$C$9, $D$9, 100%, $F$9) + CHOOSE(CONTROL!$C$27, 0.0021, 0)</f>
        <v>49.1434</v>
      </c>
      <c r="H493" s="10">
        <f>49.0066 * CHOOSE(CONTROL!$C$9, $D$9, 100%, $F$9) + CHOOSE(CONTROL!$C$27, 0.0021, 0)</f>
        <v>49.008699999999997</v>
      </c>
      <c r="I493" s="10">
        <f>49.0066 * CHOOSE(CONTROL!$C$9, $D$9, 100%, $F$9) + CHOOSE(CONTROL!$C$27, 0.0021, 0)</f>
        <v>49.008699999999997</v>
      </c>
      <c r="J493" s="10">
        <f>49.0066 * CHOOSE(CONTROL!$C$9, $D$9, 100%, $F$9) + CHOOSE(CONTROL!$C$27, 0.0021, 0)</f>
        <v>49.008699999999997</v>
      </c>
      <c r="K493" s="10">
        <f>49.0066 * CHOOSE(CONTROL!$C$9, $D$9, 100%, $F$9) + CHOOSE(CONTROL!$C$27, 0.0021, 0)</f>
        <v>49.008699999999997</v>
      </c>
      <c r="L493" s="10"/>
    </row>
    <row r="494" spans="1:12" ht="15.75" x14ac:dyDescent="0.25">
      <c r="A494" s="14">
        <v>56339</v>
      </c>
      <c r="B494" s="10">
        <f>48.8723 * CHOOSE(CONTROL!$C$9, $D$9, 100%, $F$9) + CHOOSE(CONTROL!$C$27, 0.0021, 0)</f>
        <v>48.874400000000001</v>
      </c>
      <c r="C494" s="10">
        <f>48.4401 * CHOOSE(CONTROL!$C$9, $D$9, 100%, $F$9) + CHOOSE(CONTROL!$C$27, 0.0021, 0)</f>
        <v>48.4422</v>
      </c>
      <c r="D494" s="10">
        <f>48.4401 * CHOOSE(CONTROL!$C$9, $D$9, 100%, $F$9) + CHOOSE(CONTROL!$C$27, 0.0021, 0)</f>
        <v>48.4422</v>
      </c>
      <c r="E494" s="10">
        <f>48.3034 * CHOOSE(CONTROL!$C$9, $D$9, 100%, $F$9) + CHOOSE(CONTROL!$C$27, 0.0021, 0)</f>
        <v>48.305500000000002</v>
      </c>
      <c r="F494" s="10">
        <f>48.3034 * CHOOSE(CONTROL!$C$9, $D$9, 100%, $F$9) + CHOOSE(CONTROL!$C$27, 0.0021, 0)</f>
        <v>48.305500000000002</v>
      </c>
      <c r="G494" s="10">
        <f>48.5748 * CHOOSE(CONTROL!$C$9, $D$9, 100%, $F$9) + CHOOSE(CONTROL!$C$27, 0.0021, 0)</f>
        <v>48.576900000000002</v>
      </c>
      <c r="H494" s="10">
        <f>48.4401 * CHOOSE(CONTROL!$C$9, $D$9, 100%, $F$9) + CHOOSE(CONTROL!$C$27, 0.0021, 0)</f>
        <v>48.4422</v>
      </c>
      <c r="I494" s="10">
        <f>48.4401 * CHOOSE(CONTROL!$C$9, $D$9, 100%, $F$9) + CHOOSE(CONTROL!$C$27, 0.0021, 0)</f>
        <v>48.4422</v>
      </c>
      <c r="J494" s="10">
        <f>48.4401 * CHOOSE(CONTROL!$C$9, $D$9, 100%, $F$9) + CHOOSE(CONTROL!$C$27, 0.0021, 0)</f>
        <v>48.4422</v>
      </c>
      <c r="K494" s="10">
        <f>48.4401 * CHOOSE(CONTROL!$C$9, $D$9, 100%, $F$9) + CHOOSE(CONTROL!$C$27, 0.0021, 0)</f>
        <v>48.4422</v>
      </c>
      <c r="L494" s="10"/>
    </row>
    <row r="495" spans="1:12" ht="15.75" x14ac:dyDescent="0.25">
      <c r="A495" s="14">
        <v>56369</v>
      </c>
      <c r="B495" s="10">
        <f>48.1959 * CHOOSE(CONTROL!$C$9, $D$9, 100%, $F$9) + CHOOSE(CONTROL!$C$27, 0.0021, 0)</f>
        <v>48.198</v>
      </c>
      <c r="C495" s="10">
        <f>47.7636 * CHOOSE(CONTROL!$C$9, $D$9, 100%, $F$9) + CHOOSE(CONTROL!$C$27, 0.0021, 0)</f>
        <v>47.765699999999995</v>
      </c>
      <c r="D495" s="10">
        <f>47.7636 * CHOOSE(CONTROL!$C$9, $D$9, 100%, $F$9) + CHOOSE(CONTROL!$C$27, 0.0021, 0)</f>
        <v>47.765699999999995</v>
      </c>
      <c r="E495" s="10">
        <f>47.627 * CHOOSE(CONTROL!$C$9, $D$9, 100%, $F$9) + CHOOSE(CONTROL!$C$27, 0.0021, 0)</f>
        <v>47.629100000000001</v>
      </c>
      <c r="F495" s="10">
        <f>47.627 * CHOOSE(CONTROL!$C$9, $D$9, 100%, $F$9) + CHOOSE(CONTROL!$C$27, 0.0021, 0)</f>
        <v>47.629100000000001</v>
      </c>
      <c r="G495" s="10">
        <f>47.8983 * CHOOSE(CONTROL!$C$9, $D$9, 100%, $F$9) + CHOOSE(CONTROL!$C$27, 0.0021, 0)</f>
        <v>47.900399999999998</v>
      </c>
      <c r="H495" s="10">
        <f>47.7636 * CHOOSE(CONTROL!$C$9, $D$9, 100%, $F$9) + CHOOSE(CONTROL!$C$27, 0.0021, 0)</f>
        <v>47.765699999999995</v>
      </c>
      <c r="I495" s="10">
        <f>47.7636 * CHOOSE(CONTROL!$C$9, $D$9, 100%, $F$9) + CHOOSE(CONTROL!$C$27, 0.0021, 0)</f>
        <v>47.765699999999995</v>
      </c>
      <c r="J495" s="10">
        <f>47.7636 * CHOOSE(CONTROL!$C$9, $D$9, 100%, $F$9) + CHOOSE(CONTROL!$C$27, 0.0021, 0)</f>
        <v>47.765699999999995</v>
      </c>
      <c r="K495" s="10">
        <f>47.7636 * CHOOSE(CONTROL!$C$9, $D$9, 100%, $F$9) + CHOOSE(CONTROL!$C$27, 0.0021, 0)</f>
        <v>47.765699999999995</v>
      </c>
      <c r="L495" s="10"/>
    </row>
    <row r="496" spans="1:12" ht="15.75" x14ac:dyDescent="0.25">
      <c r="A496" s="14">
        <v>56400</v>
      </c>
      <c r="B496" s="10">
        <f>49.1599 * CHOOSE(CONTROL!$C$9, $D$9, 100%, $F$9) + CHOOSE(CONTROL!$C$27, 0.0021, 0)</f>
        <v>49.161999999999999</v>
      </c>
      <c r="C496" s="10">
        <f>48.7276 * CHOOSE(CONTROL!$C$9, $D$9, 100%, $F$9) + CHOOSE(CONTROL!$C$27, 0.0021, 0)</f>
        <v>48.729700000000001</v>
      </c>
      <c r="D496" s="10">
        <f>48.7276 * CHOOSE(CONTROL!$C$9, $D$9, 100%, $F$9) + CHOOSE(CONTROL!$C$27, 0.0021, 0)</f>
        <v>48.729700000000001</v>
      </c>
      <c r="E496" s="10">
        <f>48.591 * CHOOSE(CONTROL!$C$9, $D$9, 100%, $F$9) + CHOOSE(CONTROL!$C$27, 0.0021, 0)</f>
        <v>48.5931</v>
      </c>
      <c r="F496" s="10">
        <f>48.591 * CHOOSE(CONTROL!$C$9, $D$9, 100%, $F$9) + CHOOSE(CONTROL!$C$27, 0.0021, 0)</f>
        <v>48.5931</v>
      </c>
      <c r="G496" s="10">
        <f>48.8623 * CHOOSE(CONTROL!$C$9, $D$9, 100%, $F$9) + CHOOSE(CONTROL!$C$27, 0.0021, 0)</f>
        <v>48.864399999999996</v>
      </c>
      <c r="H496" s="10">
        <f>48.7276 * CHOOSE(CONTROL!$C$9, $D$9, 100%, $F$9) + CHOOSE(CONTROL!$C$27, 0.0021, 0)</f>
        <v>48.729700000000001</v>
      </c>
      <c r="I496" s="10">
        <f>48.7276 * CHOOSE(CONTROL!$C$9, $D$9, 100%, $F$9) + CHOOSE(CONTROL!$C$27, 0.0021, 0)</f>
        <v>48.729700000000001</v>
      </c>
      <c r="J496" s="10">
        <f>48.7276 * CHOOSE(CONTROL!$C$9, $D$9, 100%, $F$9) + CHOOSE(CONTROL!$C$27, 0.0021, 0)</f>
        <v>48.729700000000001</v>
      </c>
      <c r="K496" s="10">
        <f>48.7276 * CHOOSE(CONTROL!$C$9, $D$9, 100%, $F$9) + CHOOSE(CONTROL!$C$27, 0.0021, 0)</f>
        <v>48.729700000000001</v>
      </c>
      <c r="L496" s="10"/>
    </row>
    <row r="497" spans="1:12" ht="15.75" x14ac:dyDescent="0.25">
      <c r="A497" s="14">
        <v>56430</v>
      </c>
      <c r="B497" s="10">
        <f>49.7373 * CHOOSE(CONTROL!$C$9, $D$9, 100%, $F$9) + CHOOSE(CONTROL!$C$27, 0.0021, 0)</f>
        <v>49.739399999999996</v>
      </c>
      <c r="C497" s="10">
        <f>49.305 * CHOOSE(CONTROL!$C$9, $D$9, 100%, $F$9) + CHOOSE(CONTROL!$C$27, 0.0021, 0)</f>
        <v>49.307099999999998</v>
      </c>
      <c r="D497" s="10">
        <f>49.305 * CHOOSE(CONTROL!$C$9, $D$9, 100%, $F$9) + CHOOSE(CONTROL!$C$27, 0.0021, 0)</f>
        <v>49.307099999999998</v>
      </c>
      <c r="E497" s="10">
        <f>49.1684 * CHOOSE(CONTROL!$C$9, $D$9, 100%, $F$9) + CHOOSE(CONTROL!$C$27, 0.0021, 0)</f>
        <v>49.170499999999997</v>
      </c>
      <c r="F497" s="10">
        <f>49.1684 * CHOOSE(CONTROL!$C$9, $D$9, 100%, $F$9) + CHOOSE(CONTROL!$C$27, 0.0021, 0)</f>
        <v>49.170499999999997</v>
      </c>
      <c r="G497" s="10">
        <f>49.4397 * CHOOSE(CONTROL!$C$9, $D$9, 100%, $F$9) + CHOOSE(CONTROL!$C$27, 0.0021, 0)</f>
        <v>49.441800000000001</v>
      </c>
      <c r="H497" s="10">
        <f>49.305 * CHOOSE(CONTROL!$C$9, $D$9, 100%, $F$9) + CHOOSE(CONTROL!$C$27, 0.0021, 0)</f>
        <v>49.307099999999998</v>
      </c>
      <c r="I497" s="10">
        <f>49.305 * CHOOSE(CONTROL!$C$9, $D$9, 100%, $F$9) + CHOOSE(CONTROL!$C$27, 0.0021, 0)</f>
        <v>49.307099999999998</v>
      </c>
      <c r="J497" s="10">
        <f>49.305 * CHOOSE(CONTROL!$C$9, $D$9, 100%, $F$9) + CHOOSE(CONTROL!$C$27, 0.0021, 0)</f>
        <v>49.307099999999998</v>
      </c>
      <c r="K497" s="10">
        <f>49.305 * CHOOSE(CONTROL!$C$9, $D$9, 100%, $F$9) + CHOOSE(CONTROL!$C$27, 0.0021, 0)</f>
        <v>49.307099999999998</v>
      </c>
      <c r="L497" s="10"/>
    </row>
    <row r="498" spans="1:12" ht="15.75" x14ac:dyDescent="0.25">
      <c r="A498" s="14">
        <v>56461</v>
      </c>
      <c r="B498" s="10">
        <f>50.6898 * CHOOSE(CONTROL!$C$9, $D$9, 100%, $F$9) + CHOOSE(CONTROL!$C$27, 0.0021, 0)</f>
        <v>50.691899999999997</v>
      </c>
      <c r="C498" s="10">
        <f>50.2575 * CHOOSE(CONTROL!$C$9, $D$9, 100%, $F$9) + CHOOSE(CONTROL!$C$27, 0.0021, 0)</f>
        <v>50.259599999999999</v>
      </c>
      <c r="D498" s="10">
        <f>50.2575 * CHOOSE(CONTROL!$C$9, $D$9, 100%, $F$9) + CHOOSE(CONTROL!$C$27, 0.0021, 0)</f>
        <v>50.259599999999999</v>
      </c>
      <c r="E498" s="10">
        <f>50.1208 * CHOOSE(CONTROL!$C$9, $D$9, 100%, $F$9) + CHOOSE(CONTROL!$C$27, 0.0021, 0)</f>
        <v>50.122900000000001</v>
      </c>
      <c r="F498" s="10">
        <f>50.1208 * CHOOSE(CONTROL!$C$9, $D$9, 100%, $F$9) + CHOOSE(CONTROL!$C$27, 0.0021, 0)</f>
        <v>50.122900000000001</v>
      </c>
      <c r="G498" s="10">
        <f>50.3922 * CHOOSE(CONTROL!$C$9, $D$9, 100%, $F$9) + CHOOSE(CONTROL!$C$27, 0.0021, 0)</f>
        <v>50.394300000000001</v>
      </c>
      <c r="H498" s="10">
        <f>50.2575 * CHOOSE(CONTROL!$C$9, $D$9, 100%, $F$9) + CHOOSE(CONTROL!$C$27, 0.0021, 0)</f>
        <v>50.259599999999999</v>
      </c>
      <c r="I498" s="10">
        <f>50.2575 * CHOOSE(CONTROL!$C$9, $D$9, 100%, $F$9) + CHOOSE(CONTROL!$C$27, 0.0021, 0)</f>
        <v>50.259599999999999</v>
      </c>
      <c r="J498" s="10">
        <f>50.2575 * CHOOSE(CONTROL!$C$9, $D$9, 100%, $F$9) + CHOOSE(CONTROL!$C$27, 0.0021, 0)</f>
        <v>50.259599999999999</v>
      </c>
      <c r="K498" s="10">
        <f>50.2575 * CHOOSE(CONTROL!$C$9, $D$9, 100%, $F$9) + CHOOSE(CONTROL!$C$27, 0.0021, 0)</f>
        <v>50.259599999999999</v>
      </c>
      <c r="L498" s="10"/>
    </row>
    <row r="499" spans="1:12" ht="15.75" x14ac:dyDescent="0.25">
      <c r="A499" s="14">
        <v>56492</v>
      </c>
      <c r="B499" s="10">
        <f>50.9805 * CHOOSE(CONTROL!$C$9, $D$9, 100%, $F$9) + CHOOSE(CONTROL!$C$27, 0.0021, 0)</f>
        <v>50.982599999999998</v>
      </c>
      <c r="C499" s="10">
        <f>50.5482 * CHOOSE(CONTROL!$C$9, $D$9, 100%, $F$9) + CHOOSE(CONTROL!$C$27, 0.0021, 0)</f>
        <v>50.5503</v>
      </c>
      <c r="D499" s="10">
        <f>50.5482 * CHOOSE(CONTROL!$C$9, $D$9, 100%, $F$9) + CHOOSE(CONTROL!$C$27, 0.0021, 0)</f>
        <v>50.5503</v>
      </c>
      <c r="E499" s="10">
        <f>50.4116 * CHOOSE(CONTROL!$C$9, $D$9, 100%, $F$9) + CHOOSE(CONTROL!$C$27, 0.0021, 0)</f>
        <v>50.413699999999999</v>
      </c>
      <c r="F499" s="10">
        <f>50.4116 * CHOOSE(CONTROL!$C$9, $D$9, 100%, $F$9) + CHOOSE(CONTROL!$C$27, 0.0021, 0)</f>
        <v>50.413699999999999</v>
      </c>
      <c r="G499" s="10">
        <f>50.683 * CHOOSE(CONTROL!$C$9, $D$9, 100%, $F$9) + CHOOSE(CONTROL!$C$27, 0.0021, 0)</f>
        <v>50.685099999999998</v>
      </c>
      <c r="H499" s="10">
        <f>50.5482 * CHOOSE(CONTROL!$C$9, $D$9, 100%, $F$9) + CHOOSE(CONTROL!$C$27, 0.0021, 0)</f>
        <v>50.5503</v>
      </c>
      <c r="I499" s="10">
        <f>50.5482 * CHOOSE(CONTROL!$C$9, $D$9, 100%, $F$9) + CHOOSE(CONTROL!$C$27, 0.0021, 0)</f>
        <v>50.5503</v>
      </c>
      <c r="J499" s="10">
        <f>50.5482 * CHOOSE(CONTROL!$C$9, $D$9, 100%, $F$9) + CHOOSE(CONTROL!$C$27, 0.0021, 0)</f>
        <v>50.5503</v>
      </c>
      <c r="K499" s="10">
        <f>50.5482 * CHOOSE(CONTROL!$C$9, $D$9, 100%, $F$9) + CHOOSE(CONTROL!$C$27, 0.0021, 0)</f>
        <v>50.5503</v>
      </c>
      <c r="L499" s="10"/>
    </row>
    <row r="500" spans="1:12" ht="15.75" x14ac:dyDescent="0.25">
      <c r="A500" s="14">
        <v>56522</v>
      </c>
      <c r="B500" s="10">
        <f>51.9706 * CHOOSE(CONTROL!$C$9, $D$9, 100%, $F$9) + CHOOSE(CONTROL!$C$27, 0.0021, 0)</f>
        <v>51.972699999999996</v>
      </c>
      <c r="C500" s="10">
        <f>51.5383 * CHOOSE(CONTROL!$C$9, $D$9, 100%, $F$9) + CHOOSE(CONTROL!$C$27, 0.0021, 0)</f>
        <v>51.540399999999998</v>
      </c>
      <c r="D500" s="10">
        <f>51.5383 * CHOOSE(CONTROL!$C$9, $D$9, 100%, $F$9) + CHOOSE(CONTROL!$C$27, 0.0021, 0)</f>
        <v>51.540399999999998</v>
      </c>
      <c r="E500" s="10">
        <f>51.4016 * CHOOSE(CONTROL!$C$9, $D$9, 100%, $F$9) + CHOOSE(CONTROL!$C$27, 0.0021, 0)</f>
        <v>51.403700000000001</v>
      </c>
      <c r="F500" s="10">
        <f>51.4016 * CHOOSE(CONTROL!$C$9, $D$9, 100%, $F$9) + CHOOSE(CONTROL!$C$27, 0.0021, 0)</f>
        <v>51.403700000000001</v>
      </c>
      <c r="G500" s="10">
        <f>51.673 * CHOOSE(CONTROL!$C$9, $D$9, 100%, $F$9) + CHOOSE(CONTROL!$C$27, 0.0021, 0)</f>
        <v>51.6751</v>
      </c>
      <c r="H500" s="10">
        <f>51.5383 * CHOOSE(CONTROL!$C$9, $D$9, 100%, $F$9) + CHOOSE(CONTROL!$C$27, 0.0021, 0)</f>
        <v>51.540399999999998</v>
      </c>
      <c r="I500" s="10">
        <f>51.5383 * CHOOSE(CONTROL!$C$9, $D$9, 100%, $F$9) + CHOOSE(CONTROL!$C$27, 0.0021, 0)</f>
        <v>51.540399999999998</v>
      </c>
      <c r="J500" s="10">
        <f>51.5383 * CHOOSE(CONTROL!$C$9, $D$9, 100%, $F$9) + CHOOSE(CONTROL!$C$27, 0.0021, 0)</f>
        <v>51.540399999999998</v>
      </c>
      <c r="K500" s="10">
        <f>51.5383 * CHOOSE(CONTROL!$C$9, $D$9, 100%, $F$9) + CHOOSE(CONTROL!$C$27, 0.0021, 0)</f>
        <v>51.540399999999998</v>
      </c>
      <c r="L500" s="10"/>
    </row>
    <row r="501" spans="1:12" ht="15.75" x14ac:dyDescent="0.25">
      <c r="A501" s="14">
        <v>56553</v>
      </c>
      <c r="B501" s="10">
        <f>53.2238 * CHOOSE(CONTROL!$C$9, $D$9, 100%, $F$9) + CHOOSE(CONTROL!$C$27, 0.0021, 0)</f>
        <v>53.225899999999996</v>
      </c>
      <c r="C501" s="10">
        <f>52.7916 * CHOOSE(CONTROL!$C$9, $D$9, 100%, $F$9) + CHOOSE(CONTROL!$C$27, 0.0021, 0)</f>
        <v>52.793700000000001</v>
      </c>
      <c r="D501" s="10">
        <f>52.7916 * CHOOSE(CONTROL!$C$9, $D$9, 100%, $F$9) + CHOOSE(CONTROL!$C$27, 0.0021, 0)</f>
        <v>52.793700000000001</v>
      </c>
      <c r="E501" s="10">
        <f>52.6549 * CHOOSE(CONTROL!$C$9, $D$9, 100%, $F$9) + CHOOSE(CONTROL!$C$27, 0.0021, 0)</f>
        <v>52.656999999999996</v>
      </c>
      <c r="F501" s="10">
        <f>52.6549 * CHOOSE(CONTROL!$C$9, $D$9, 100%, $F$9) + CHOOSE(CONTROL!$C$27, 0.0021, 0)</f>
        <v>52.656999999999996</v>
      </c>
      <c r="G501" s="10">
        <f>52.9263 * CHOOSE(CONTROL!$C$9, $D$9, 100%, $F$9) + CHOOSE(CONTROL!$C$27, 0.0021, 0)</f>
        <v>52.928399999999996</v>
      </c>
      <c r="H501" s="10">
        <f>52.7916 * CHOOSE(CONTROL!$C$9, $D$9, 100%, $F$9) + CHOOSE(CONTROL!$C$27, 0.0021, 0)</f>
        <v>52.793700000000001</v>
      </c>
      <c r="I501" s="10">
        <f>52.7916 * CHOOSE(CONTROL!$C$9, $D$9, 100%, $F$9) + CHOOSE(CONTROL!$C$27, 0.0021, 0)</f>
        <v>52.793700000000001</v>
      </c>
      <c r="J501" s="10">
        <f>52.7916 * CHOOSE(CONTROL!$C$9, $D$9, 100%, $F$9) + CHOOSE(CONTROL!$C$27, 0.0021, 0)</f>
        <v>52.793700000000001</v>
      </c>
      <c r="K501" s="10">
        <f>52.7916 * CHOOSE(CONTROL!$C$9, $D$9, 100%, $F$9) + CHOOSE(CONTROL!$C$27, 0.0021, 0)</f>
        <v>52.793700000000001</v>
      </c>
      <c r="L501" s="10"/>
    </row>
    <row r="502" spans="1:12" ht="15.75" x14ac:dyDescent="0.25">
      <c r="A502" s="14">
        <v>56583</v>
      </c>
      <c r="B502" s="10">
        <f>53.3415 * CHOOSE(CONTROL!$C$9, $D$9, 100%, $F$9) + CHOOSE(CONTROL!$C$27, 0.0021, 0)</f>
        <v>53.343600000000002</v>
      </c>
      <c r="C502" s="10">
        <f>52.9092 * CHOOSE(CONTROL!$C$9, $D$9, 100%, $F$9) + CHOOSE(CONTROL!$C$27, 0.0021, 0)</f>
        <v>52.911299999999997</v>
      </c>
      <c r="D502" s="10">
        <f>52.9092 * CHOOSE(CONTROL!$C$9, $D$9, 100%, $F$9) + CHOOSE(CONTROL!$C$27, 0.0021, 0)</f>
        <v>52.911299999999997</v>
      </c>
      <c r="E502" s="10">
        <f>52.7726 * CHOOSE(CONTROL!$C$9, $D$9, 100%, $F$9) + CHOOSE(CONTROL!$C$27, 0.0021, 0)</f>
        <v>52.774699999999996</v>
      </c>
      <c r="F502" s="10">
        <f>52.7726 * CHOOSE(CONTROL!$C$9, $D$9, 100%, $F$9) + CHOOSE(CONTROL!$C$27, 0.0021, 0)</f>
        <v>52.774699999999996</v>
      </c>
      <c r="G502" s="10">
        <f>53.0439 * CHOOSE(CONTROL!$C$9, $D$9, 100%, $F$9) + CHOOSE(CONTROL!$C$27, 0.0021, 0)</f>
        <v>53.045999999999999</v>
      </c>
      <c r="H502" s="10">
        <f>52.9092 * CHOOSE(CONTROL!$C$9, $D$9, 100%, $F$9) + CHOOSE(CONTROL!$C$27, 0.0021, 0)</f>
        <v>52.911299999999997</v>
      </c>
      <c r="I502" s="10">
        <f>52.9092 * CHOOSE(CONTROL!$C$9, $D$9, 100%, $F$9) + CHOOSE(CONTROL!$C$27, 0.0021, 0)</f>
        <v>52.911299999999997</v>
      </c>
      <c r="J502" s="10">
        <f>52.9092 * CHOOSE(CONTROL!$C$9, $D$9, 100%, $F$9) + CHOOSE(CONTROL!$C$27, 0.0021, 0)</f>
        <v>52.911299999999997</v>
      </c>
      <c r="K502" s="10">
        <f>52.9092 * CHOOSE(CONTROL!$C$9, $D$9, 100%, $F$9) + CHOOSE(CONTROL!$C$27, 0.0021, 0)</f>
        <v>52.911299999999997</v>
      </c>
      <c r="L502" s="10"/>
    </row>
    <row r="503" spans="1:12" ht="15.75" x14ac:dyDescent="0.25">
      <c r="A503" s="14">
        <v>56614</v>
      </c>
      <c r="B503" s="10">
        <f>52.3405 * CHOOSE(CONTROL!$C$9, $D$9, 100%, $F$9) + CHOOSE(CONTROL!$C$27, 0.0021, 0)</f>
        <v>52.342599999999997</v>
      </c>
      <c r="C503" s="10">
        <f>51.9083 * CHOOSE(CONTROL!$C$9, $D$9, 100%, $F$9) + CHOOSE(CONTROL!$C$27, 0.0021, 0)</f>
        <v>51.910399999999996</v>
      </c>
      <c r="D503" s="10">
        <f>51.9083 * CHOOSE(CONTROL!$C$9, $D$9, 100%, $F$9) + CHOOSE(CONTROL!$C$27, 0.0021, 0)</f>
        <v>51.910399999999996</v>
      </c>
      <c r="E503" s="10">
        <f>51.7716 * CHOOSE(CONTROL!$C$9, $D$9, 100%, $F$9) + CHOOSE(CONTROL!$C$27, 0.0021, 0)</f>
        <v>51.773699999999998</v>
      </c>
      <c r="F503" s="10">
        <f>51.7716 * CHOOSE(CONTROL!$C$9, $D$9, 100%, $F$9) + CHOOSE(CONTROL!$C$27, 0.0021, 0)</f>
        <v>51.773699999999998</v>
      </c>
      <c r="G503" s="10">
        <f>52.043 * CHOOSE(CONTROL!$C$9, $D$9, 100%, $F$9) + CHOOSE(CONTROL!$C$27, 0.0021, 0)</f>
        <v>52.045099999999998</v>
      </c>
      <c r="H503" s="10">
        <f>51.9083 * CHOOSE(CONTROL!$C$9, $D$9, 100%, $F$9) + CHOOSE(CONTROL!$C$27, 0.0021, 0)</f>
        <v>51.910399999999996</v>
      </c>
      <c r="I503" s="10">
        <f>51.9083 * CHOOSE(CONTROL!$C$9, $D$9, 100%, $F$9) + CHOOSE(CONTROL!$C$27, 0.0021, 0)</f>
        <v>51.910399999999996</v>
      </c>
      <c r="J503" s="10">
        <f>51.9083 * CHOOSE(CONTROL!$C$9, $D$9, 100%, $F$9) + CHOOSE(CONTROL!$C$27, 0.0021, 0)</f>
        <v>51.910399999999996</v>
      </c>
      <c r="K503" s="10">
        <f>51.9083 * CHOOSE(CONTROL!$C$9, $D$9, 100%, $F$9) + CHOOSE(CONTROL!$C$27, 0.0021, 0)</f>
        <v>51.910399999999996</v>
      </c>
      <c r="L503" s="10"/>
    </row>
    <row r="504" spans="1:12" ht="15.75" x14ac:dyDescent="0.25">
      <c r="A504" s="13">
        <v>56645</v>
      </c>
      <c r="B504" s="10">
        <f>51.5742 * CHOOSE(CONTROL!$C$9, $D$9, 100%, $F$9) + CHOOSE(CONTROL!$C$27, 0.0021, 0)</f>
        <v>51.576299999999996</v>
      </c>
      <c r="C504" s="10">
        <f>51.1419 * CHOOSE(CONTROL!$C$9, $D$9, 100%, $F$9) + CHOOSE(CONTROL!$C$27, 0.0021, 0)</f>
        <v>51.143999999999998</v>
      </c>
      <c r="D504" s="10">
        <f>51.1419 * CHOOSE(CONTROL!$C$9, $D$9, 100%, $F$9) + CHOOSE(CONTROL!$C$27, 0.0021, 0)</f>
        <v>51.143999999999998</v>
      </c>
      <c r="E504" s="10">
        <f>51.0052 * CHOOSE(CONTROL!$C$9, $D$9, 100%, $F$9) + CHOOSE(CONTROL!$C$27, 0.0021, 0)</f>
        <v>51.007300000000001</v>
      </c>
      <c r="F504" s="10">
        <f>51.0052 * CHOOSE(CONTROL!$C$9, $D$9, 100%, $F$9) + CHOOSE(CONTROL!$C$27, 0.0021, 0)</f>
        <v>51.007300000000001</v>
      </c>
      <c r="G504" s="10">
        <f>51.2766 * CHOOSE(CONTROL!$C$9, $D$9, 100%, $F$9) + CHOOSE(CONTROL!$C$27, 0.0021, 0)</f>
        <v>51.278700000000001</v>
      </c>
      <c r="H504" s="10">
        <f>51.1419 * CHOOSE(CONTROL!$C$9, $D$9, 100%, $F$9) + CHOOSE(CONTROL!$C$27, 0.0021, 0)</f>
        <v>51.143999999999998</v>
      </c>
      <c r="I504" s="10">
        <f>51.1419 * CHOOSE(CONTROL!$C$9, $D$9, 100%, $F$9) + CHOOSE(CONTROL!$C$27, 0.0021, 0)</f>
        <v>51.143999999999998</v>
      </c>
      <c r="J504" s="10">
        <f>51.1419 * CHOOSE(CONTROL!$C$9, $D$9, 100%, $F$9) + CHOOSE(CONTROL!$C$27, 0.0021, 0)</f>
        <v>51.143999999999998</v>
      </c>
      <c r="K504" s="10">
        <f>51.1419 * CHOOSE(CONTROL!$C$9, $D$9, 100%, $F$9) + CHOOSE(CONTROL!$C$27, 0.0021, 0)</f>
        <v>51.143999999999998</v>
      </c>
      <c r="L504" s="10"/>
    </row>
    <row r="505" spans="1:12" ht="15.75" x14ac:dyDescent="0.25">
      <c r="A505" s="13">
        <v>56673</v>
      </c>
      <c r="B505" s="10">
        <f>50.1802 * CHOOSE(CONTROL!$C$9, $D$9, 100%, $F$9) + CHOOSE(CONTROL!$C$27, 0.0021, 0)</f>
        <v>50.182299999999998</v>
      </c>
      <c r="C505" s="10">
        <f>49.7479 * CHOOSE(CONTROL!$C$9, $D$9, 100%, $F$9) + CHOOSE(CONTROL!$C$27, 0.0021, 0)</f>
        <v>49.75</v>
      </c>
      <c r="D505" s="10">
        <f>49.7479 * CHOOSE(CONTROL!$C$9, $D$9, 100%, $F$9) + CHOOSE(CONTROL!$C$27, 0.0021, 0)</f>
        <v>49.75</v>
      </c>
      <c r="E505" s="10">
        <f>49.6113 * CHOOSE(CONTROL!$C$9, $D$9, 100%, $F$9) + CHOOSE(CONTROL!$C$27, 0.0021, 0)</f>
        <v>49.613399999999999</v>
      </c>
      <c r="F505" s="10">
        <f>49.6113 * CHOOSE(CONTROL!$C$9, $D$9, 100%, $F$9) + CHOOSE(CONTROL!$C$27, 0.0021, 0)</f>
        <v>49.613399999999999</v>
      </c>
      <c r="G505" s="10">
        <f>49.8827 * CHOOSE(CONTROL!$C$9, $D$9, 100%, $F$9) + CHOOSE(CONTROL!$C$27, 0.0021, 0)</f>
        <v>49.884799999999998</v>
      </c>
      <c r="H505" s="10">
        <f>49.7479 * CHOOSE(CONTROL!$C$9, $D$9, 100%, $F$9) + CHOOSE(CONTROL!$C$27, 0.0021, 0)</f>
        <v>49.75</v>
      </c>
      <c r="I505" s="10">
        <f>49.7479 * CHOOSE(CONTROL!$C$9, $D$9, 100%, $F$9) + CHOOSE(CONTROL!$C$27, 0.0021, 0)</f>
        <v>49.75</v>
      </c>
      <c r="J505" s="10">
        <f>49.7479 * CHOOSE(CONTROL!$C$9, $D$9, 100%, $F$9) + CHOOSE(CONTROL!$C$27, 0.0021, 0)</f>
        <v>49.75</v>
      </c>
      <c r="K505" s="10">
        <f>49.7479 * CHOOSE(CONTROL!$C$9, $D$9, 100%, $F$9) + CHOOSE(CONTROL!$C$27, 0.0021, 0)</f>
        <v>49.75</v>
      </c>
      <c r="L505" s="10"/>
    </row>
    <row r="506" spans="1:12" ht="15.75" x14ac:dyDescent="0.25">
      <c r="A506" s="13">
        <v>56704</v>
      </c>
      <c r="B506" s="10">
        <f>49.6048 * CHOOSE(CONTROL!$C$9, $D$9, 100%, $F$9) + CHOOSE(CONTROL!$C$27, 0.0021, 0)</f>
        <v>49.606899999999996</v>
      </c>
      <c r="C506" s="10">
        <f>49.1725 * CHOOSE(CONTROL!$C$9, $D$9, 100%, $F$9) + CHOOSE(CONTROL!$C$27, 0.0021, 0)</f>
        <v>49.174599999999998</v>
      </c>
      <c r="D506" s="10">
        <f>49.1725 * CHOOSE(CONTROL!$C$9, $D$9, 100%, $F$9) + CHOOSE(CONTROL!$C$27, 0.0021, 0)</f>
        <v>49.174599999999998</v>
      </c>
      <c r="E506" s="10">
        <f>49.0359 * CHOOSE(CONTROL!$C$9, $D$9, 100%, $F$9) + CHOOSE(CONTROL!$C$27, 0.0021, 0)</f>
        <v>49.037999999999997</v>
      </c>
      <c r="F506" s="10">
        <f>49.0359 * CHOOSE(CONTROL!$C$9, $D$9, 100%, $F$9) + CHOOSE(CONTROL!$C$27, 0.0021, 0)</f>
        <v>49.037999999999997</v>
      </c>
      <c r="G506" s="10">
        <f>49.3072 * CHOOSE(CONTROL!$C$9, $D$9, 100%, $F$9) + CHOOSE(CONTROL!$C$27, 0.0021, 0)</f>
        <v>49.3093</v>
      </c>
      <c r="H506" s="10">
        <f>49.1725 * CHOOSE(CONTROL!$C$9, $D$9, 100%, $F$9) + CHOOSE(CONTROL!$C$27, 0.0021, 0)</f>
        <v>49.174599999999998</v>
      </c>
      <c r="I506" s="10">
        <f>49.1725 * CHOOSE(CONTROL!$C$9, $D$9, 100%, $F$9) + CHOOSE(CONTROL!$C$27, 0.0021, 0)</f>
        <v>49.174599999999998</v>
      </c>
      <c r="J506" s="10">
        <f>49.1725 * CHOOSE(CONTROL!$C$9, $D$9, 100%, $F$9) + CHOOSE(CONTROL!$C$27, 0.0021, 0)</f>
        <v>49.174599999999998</v>
      </c>
      <c r="K506" s="10">
        <f>49.1725 * CHOOSE(CONTROL!$C$9, $D$9, 100%, $F$9) + CHOOSE(CONTROL!$C$27, 0.0021, 0)</f>
        <v>49.174599999999998</v>
      </c>
      <c r="L506" s="10"/>
    </row>
    <row r="507" spans="1:12" ht="15.75" x14ac:dyDescent="0.25">
      <c r="A507" s="13">
        <v>56734</v>
      </c>
      <c r="B507" s="10">
        <f>48.9177 * CHOOSE(CONTROL!$C$9, $D$9, 100%, $F$9) + CHOOSE(CONTROL!$C$27, 0.0021, 0)</f>
        <v>48.919800000000002</v>
      </c>
      <c r="C507" s="10">
        <f>48.4855 * CHOOSE(CONTROL!$C$9, $D$9, 100%, $F$9) + CHOOSE(CONTROL!$C$27, 0.0021, 0)</f>
        <v>48.4876</v>
      </c>
      <c r="D507" s="10">
        <f>48.4855 * CHOOSE(CONTROL!$C$9, $D$9, 100%, $F$9) + CHOOSE(CONTROL!$C$27, 0.0021, 0)</f>
        <v>48.4876</v>
      </c>
      <c r="E507" s="10">
        <f>48.3488 * CHOOSE(CONTROL!$C$9, $D$9, 100%, $F$9) + CHOOSE(CONTROL!$C$27, 0.0021, 0)</f>
        <v>48.350899999999996</v>
      </c>
      <c r="F507" s="10">
        <f>48.3488 * CHOOSE(CONTROL!$C$9, $D$9, 100%, $F$9) + CHOOSE(CONTROL!$C$27, 0.0021, 0)</f>
        <v>48.350899999999996</v>
      </c>
      <c r="G507" s="10">
        <f>48.6202 * CHOOSE(CONTROL!$C$9, $D$9, 100%, $F$9) + CHOOSE(CONTROL!$C$27, 0.0021, 0)</f>
        <v>48.622299999999996</v>
      </c>
      <c r="H507" s="10">
        <f>48.4855 * CHOOSE(CONTROL!$C$9, $D$9, 100%, $F$9) + CHOOSE(CONTROL!$C$27, 0.0021, 0)</f>
        <v>48.4876</v>
      </c>
      <c r="I507" s="10">
        <f>48.4855 * CHOOSE(CONTROL!$C$9, $D$9, 100%, $F$9) + CHOOSE(CONTROL!$C$27, 0.0021, 0)</f>
        <v>48.4876</v>
      </c>
      <c r="J507" s="10">
        <f>48.4855 * CHOOSE(CONTROL!$C$9, $D$9, 100%, $F$9) + CHOOSE(CONTROL!$C$27, 0.0021, 0)</f>
        <v>48.4876</v>
      </c>
      <c r="K507" s="10">
        <f>48.4855 * CHOOSE(CONTROL!$C$9, $D$9, 100%, $F$9) + CHOOSE(CONTROL!$C$27, 0.0021, 0)</f>
        <v>48.4876</v>
      </c>
      <c r="L507" s="10"/>
    </row>
    <row r="508" spans="1:12" ht="15.75" x14ac:dyDescent="0.25">
      <c r="A508" s="13">
        <v>56765</v>
      </c>
      <c r="B508" s="10">
        <f>49.8969 * CHOOSE(CONTROL!$C$9, $D$9, 100%, $F$9) + CHOOSE(CONTROL!$C$27, 0.0021, 0)</f>
        <v>49.899000000000001</v>
      </c>
      <c r="C508" s="10">
        <f>49.4646 * CHOOSE(CONTROL!$C$9, $D$9, 100%, $F$9) + CHOOSE(CONTROL!$C$27, 0.0021, 0)</f>
        <v>49.466699999999996</v>
      </c>
      <c r="D508" s="10">
        <f>49.4646 * CHOOSE(CONTROL!$C$9, $D$9, 100%, $F$9) + CHOOSE(CONTROL!$C$27, 0.0021, 0)</f>
        <v>49.466699999999996</v>
      </c>
      <c r="E508" s="10">
        <f>49.328 * CHOOSE(CONTROL!$C$9, $D$9, 100%, $F$9) + CHOOSE(CONTROL!$C$27, 0.0021, 0)</f>
        <v>49.330100000000002</v>
      </c>
      <c r="F508" s="10">
        <f>49.328 * CHOOSE(CONTROL!$C$9, $D$9, 100%, $F$9) + CHOOSE(CONTROL!$C$27, 0.0021, 0)</f>
        <v>49.330100000000002</v>
      </c>
      <c r="G508" s="10">
        <f>49.5993 * CHOOSE(CONTROL!$C$9, $D$9, 100%, $F$9) + CHOOSE(CONTROL!$C$27, 0.0021, 0)</f>
        <v>49.601399999999998</v>
      </c>
      <c r="H508" s="10">
        <f>49.4646 * CHOOSE(CONTROL!$C$9, $D$9, 100%, $F$9) + CHOOSE(CONTROL!$C$27, 0.0021, 0)</f>
        <v>49.466699999999996</v>
      </c>
      <c r="I508" s="10">
        <f>49.4646 * CHOOSE(CONTROL!$C$9, $D$9, 100%, $F$9) + CHOOSE(CONTROL!$C$27, 0.0021, 0)</f>
        <v>49.466699999999996</v>
      </c>
      <c r="J508" s="10">
        <f>49.4646 * CHOOSE(CONTROL!$C$9, $D$9, 100%, $F$9) + CHOOSE(CONTROL!$C$27, 0.0021, 0)</f>
        <v>49.466699999999996</v>
      </c>
      <c r="K508" s="10">
        <f>49.4646 * CHOOSE(CONTROL!$C$9, $D$9, 100%, $F$9) + CHOOSE(CONTROL!$C$27, 0.0021, 0)</f>
        <v>49.466699999999996</v>
      </c>
      <c r="L508" s="10"/>
    </row>
    <row r="509" spans="1:12" ht="15.75" x14ac:dyDescent="0.25">
      <c r="A509" s="13">
        <v>56795</v>
      </c>
      <c r="B509" s="10">
        <f>50.4833 * CHOOSE(CONTROL!$C$9, $D$9, 100%, $F$9) + CHOOSE(CONTROL!$C$27, 0.0021, 0)</f>
        <v>50.485399999999998</v>
      </c>
      <c r="C509" s="10">
        <f>50.0511 * CHOOSE(CONTROL!$C$9, $D$9, 100%, $F$9) + CHOOSE(CONTROL!$C$27, 0.0021, 0)</f>
        <v>50.053199999999997</v>
      </c>
      <c r="D509" s="10">
        <f>50.0511 * CHOOSE(CONTROL!$C$9, $D$9, 100%, $F$9) + CHOOSE(CONTROL!$C$27, 0.0021, 0)</f>
        <v>50.053199999999997</v>
      </c>
      <c r="E509" s="10">
        <f>49.9144 * CHOOSE(CONTROL!$C$9, $D$9, 100%, $F$9) + CHOOSE(CONTROL!$C$27, 0.0021, 0)</f>
        <v>49.916499999999999</v>
      </c>
      <c r="F509" s="10">
        <f>49.9144 * CHOOSE(CONTROL!$C$9, $D$9, 100%, $F$9) + CHOOSE(CONTROL!$C$27, 0.0021, 0)</f>
        <v>49.916499999999999</v>
      </c>
      <c r="G509" s="10">
        <f>50.1858 * CHOOSE(CONTROL!$C$9, $D$9, 100%, $F$9) + CHOOSE(CONTROL!$C$27, 0.0021, 0)</f>
        <v>50.187899999999999</v>
      </c>
      <c r="H509" s="10">
        <f>50.0511 * CHOOSE(CONTROL!$C$9, $D$9, 100%, $F$9) + CHOOSE(CONTROL!$C$27, 0.0021, 0)</f>
        <v>50.053199999999997</v>
      </c>
      <c r="I509" s="10">
        <f>50.0511 * CHOOSE(CONTROL!$C$9, $D$9, 100%, $F$9) + CHOOSE(CONTROL!$C$27, 0.0021, 0)</f>
        <v>50.053199999999997</v>
      </c>
      <c r="J509" s="10">
        <f>50.0511 * CHOOSE(CONTROL!$C$9, $D$9, 100%, $F$9) + CHOOSE(CONTROL!$C$27, 0.0021, 0)</f>
        <v>50.053199999999997</v>
      </c>
      <c r="K509" s="10">
        <f>50.0511 * CHOOSE(CONTROL!$C$9, $D$9, 100%, $F$9) + CHOOSE(CONTROL!$C$27, 0.0021, 0)</f>
        <v>50.053199999999997</v>
      </c>
      <c r="L509" s="10"/>
    </row>
    <row r="510" spans="1:12" ht="15.75" x14ac:dyDescent="0.25">
      <c r="A510" s="13">
        <v>56826</v>
      </c>
      <c r="B510" s="10">
        <f>51.4508 * CHOOSE(CONTROL!$C$9, $D$9, 100%, $F$9) + CHOOSE(CONTROL!$C$27, 0.0021, 0)</f>
        <v>51.4529</v>
      </c>
      <c r="C510" s="10">
        <f>51.0186 * CHOOSE(CONTROL!$C$9, $D$9, 100%, $F$9) + CHOOSE(CONTROL!$C$27, 0.0021, 0)</f>
        <v>51.020699999999998</v>
      </c>
      <c r="D510" s="10">
        <f>51.0186 * CHOOSE(CONTROL!$C$9, $D$9, 100%, $F$9) + CHOOSE(CONTROL!$C$27, 0.0021, 0)</f>
        <v>51.020699999999998</v>
      </c>
      <c r="E510" s="10">
        <f>50.8819 * CHOOSE(CONTROL!$C$9, $D$9, 100%, $F$9) + CHOOSE(CONTROL!$C$27, 0.0021, 0)</f>
        <v>50.884</v>
      </c>
      <c r="F510" s="10">
        <f>50.8819 * CHOOSE(CONTROL!$C$9, $D$9, 100%, $F$9) + CHOOSE(CONTROL!$C$27, 0.0021, 0)</f>
        <v>50.884</v>
      </c>
      <c r="G510" s="10">
        <f>51.1533 * CHOOSE(CONTROL!$C$9, $D$9, 100%, $F$9) + CHOOSE(CONTROL!$C$27, 0.0021, 0)</f>
        <v>51.1554</v>
      </c>
      <c r="H510" s="10">
        <f>51.0186 * CHOOSE(CONTROL!$C$9, $D$9, 100%, $F$9) + CHOOSE(CONTROL!$C$27, 0.0021, 0)</f>
        <v>51.020699999999998</v>
      </c>
      <c r="I510" s="10">
        <f>51.0186 * CHOOSE(CONTROL!$C$9, $D$9, 100%, $F$9) + CHOOSE(CONTROL!$C$27, 0.0021, 0)</f>
        <v>51.020699999999998</v>
      </c>
      <c r="J510" s="10">
        <f>51.0186 * CHOOSE(CONTROL!$C$9, $D$9, 100%, $F$9) + CHOOSE(CONTROL!$C$27, 0.0021, 0)</f>
        <v>51.020699999999998</v>
      </c>
      <c r="K510" s="10">
        <f>51.0186 * CHOOSE(CONTROL!$C$9, $D$9, 100%, $F$9) + CHOOSE(CONTROL!$C$27, 0.0021, 0)</f>
        <v>51.020699999999998</v>
      </c>
      <c r="L510" s="10"/>
    </row>
    <row r="511" spans="1:12" ht="15.75" x14ac:dyDescent="0.25">
      <c r="A511" s="13">
        <v>56857</v>
      </c>
      <c r="B511" s="10">
        <f>51.7461 * CHOOSE(CONTROL!$C$9, $D$9, 100%, $F$9) + CHOOSE(CONTROL!$C$27, 0.0021, 0)</f>
        <v>51.748199999999997</v>
      </c>
      <c r="C511" s="10">
        <f>51.3139 * CHOOSE(CONTROL!$C$9, $D$9, 100%, $F$9) + CHOOSE(CONTROL!$C$27, 0.0021, 0)</f>
        <v>51.315999999999995</v>
      </c>
      <c r="D511" s="10">
        <f>51.3139 * CHOOSE(CONTROL!$C$9, $D$9, 100%, $F$9) + CHOOSE(CONTROL!$C$27, 0.0021, 0)</f>
        <v>51.315999999999995</v>
      </c>
      <c r="E511" s="10">
        <f>51.1772 * CHOOSE(CONTROL!$C$9, $D$9, 100%, $F$9) + CHOOSE(CONTROL!$C$27, 0.0021, 0)</f>
        <v>51.179299999999998</v>
      </c>
      <c r="F511" s="10">
        <f>51.1772 * CHOOSE(CONTROL!$C$9, $D$9, 100%, $F$9) + CHOOSE(CONTROL!$C$27, 0.0021, 0)</f>
        <v>51.179299999999998</v>
      </c>
      <c r="G511" s="10">
        <f>51.4486 * CHOOSE(CONTROL!$C$9, $D$9, 100%, $F$9) + CHOOSE(CONTROL!$C$27, 0.0021, 0)</f>
        <v>51.450699999999998</v>
      </c>
      <c r="H511" s="10">
        <f>51.3139 * CHOOSE(CONTROL!$C$9, $D$9, 100%, $F$9) + CHOOSE(CONTROL!$C$27, 0.0021, 0)</f>
        <v>51.315999999999995</v>
      </c>
      <c r="I511" s="10">
        <f>51.3139 * CHOOSE(CONTROL!$C$9, $D$9, 100%, $F$9) + CHOOSE(CONTROL!$C$27, 0.0021, 0)</f>
        <v>51.315999999999995</v>
      </c>
      <c r="J511" s="10">
        <f>51.3139 * CHOOSE(CONTROL!$C$9, $D$9, 100%, $F$9) + CHOOSE(CONTROL!$C$27, 0.0021, 0)</f>
        <v>51.315999999999995</v>
      </c>
      <c r="K511" s="10">
        <f>51.3139 * CHOOSE(CONTROL!$C$9, $D$9, 100%, $F$9) + CHOOSE(CONTROL!$C$27, 0.0021, 0)</f>
        <v>51.315999999999995</v>
      </c>
      <c r="L511" s="10"/>
    </row>
    <row r="512" spans="1:12" ht="15.75" x14ac:dyDescent="0.25">
      <c r="A512" s="13">
        <v>56887</v>
      </c>
      <c r="B512" s="10">
        <f>52.7517 * CHOOSE(CONTROL!$C$9, $D$9, 100%, $F$9) + CHOOSE(CONTROL!$C$27, 0.0021, 0)</f>
        <v>52.753799999999998</v>
      </c>
      <c r="C512" s="10">
        <f>52.3195 * CHOOSE(CONTROL!$C$9, $D$9, 100%, $F$9) + CHOOSE(CONTROL!$C$27, 0.0021, 0)</f>
        <v>52.321599999999997</v>
      </c>
      <c r="D512" s="10">
        <f>52.3195 * CHOOSE(CONTROL!$C$9, $D$9, 100%, $F$9) + CHOOSE(CONTROL!$C$27, 0.0021, 0)</f>
        <v>52.321599999999997</v>
      </c>
      <c r="E512" s="10">
        <f>52.1828 * CHOOSE(CONTROL!$C$9, $D$9, 100%, $F$9) + CHOOSE(CONTROL!$C$27, 0.0021, 0)</f>
        <v>52.184899999999999</v>
      </c>
      <c r="F512" s="10">
        <f>52.1828 * CHOOSE(CONTROL!$C$9, $D$9, 100%, $F$9) + CHOOSE(CONTROL!$C$27, 0.0021, 0)</f>
        <v>52.184899999999999</v>
      </c>
      <c r="G512" s="10">
        <f>52.4542 * CHOOSE(CONTROL!$C$9, $D$9, 100%, $F$9) + CHOOSE(CONTROL!$C$27, 0.0021, 0)</f>
        <v>52.456299999999999</v>
      </c>
      <c r="H512" s="10">
        <f>52.3195 * CHOOSE(CONTROL!$C$9, $D$9, 100%, $F$9) + CHOOSE(CONTROL!$C$27, 0.0021, 0)</f>
        <v>52.321599999999997</v>
      </c>
      <c r="I512" s="10">
        <f>52.3195 * CHOOSE(CONTROL!$C$9, $D$9, 100%, $F$9) + CHOOSE(CONTROL!$C$27, 0.0021, 0)</f>
        <v>52.321599999999997</v>
      </c>
      <c r="J512" s="10">
        <f>52.3195 * CHOOSE(CONTROL!$C$9, $D$9, 100%, $F$9) + CHOOSE(CONTROL!$C$27, 0.0021, 0)</f>
        <v>52.321599999999997</v>
      </c>
      <c r="K512" s="10">
        <f>52.3195 * CHOOSE(CONTROL!$C$9, $D$9, 100%, $F$9) + CHOOSE(CONTROL!$C$27, 0.0021, 0)</f>
        <v>52.321599999999997</v>
      </c>
      <c r="L512" s="10"/>
    </row>
    <row r="513" spans="1:12" ht="15.75" x14ac:dyDescent="0.25">
      <c r="A513" s="13">
        <v>56918</v>
      </c>
      <c r="B513" s="10">
        <f>54.0247 * CHOOSE(CONTROL!$C$9, $D$9, 100%, $F$9) + CHOOSE(CONTROL!$C$27, 0.0021, 0)</f>
        <v>54.026800000000001</v>
      </c>
      <c r="C513" s="10">
        <f>53.5925 * CHOOSE(CONTROL!$C$9, $D$9, 100%, $F$9) + CHOOSE(CONTROL!$C$27, 0.0021, 0)</f>
        <v>53.5946</v>
      </c>
      <c r="D513" s="10">
        <f>53.5925 * CHOOSE(CONTROL!$C$9, $D$9, 100%, $F$9) + CHOOSE(CONTROL!$C$27, 0.0021, 0)</f>
        <v>53.5946</v>
      </c>
      <c r="E513" s="10">
        <f>53.4558 * CHOOSE(CONTROL!$C$9, $D$9, 100%, $F$9) + CHOOSE(CONTROL!$C$27, 0.0021, 0)</f>
        <v>53.457900000000002</v>
      </c>
      <c r="F513" s="10">
        <f>53.4558 * CHOOSE(CONTROL!$C$9, $D$9, 100%, $F$9) + CHOOSE(CONTROL!$C$27, 0.0021, 0)</f>
        <v>53.457900000000002</v>
      </c>
      <c r="G513" s="10">
        <f>53.7272 * CHOOSE(CONTROL!$C$9, $D$9, 100%, $F$9) + CHOOSE(CONTROL!$C$27, 0.0021, 0)</f>
        <v>53.729300000000002</v>
      </c>
      <c r="H513" s="10">
        <f>53.5925 * CHOOSE(CONTROL!$C$9, $D$9, 100%, $F$9) + CHOOSE(CONTROL!$C$27, 0.0021, 0)</f>
        <v>53.5946</v>
      </c>
      <c r="I513" s="10">
        <f>53.5925 * CHOOSE(CONTROL!$C$9, $D$9, 100%, $F$9) + CHOOSE(CONTROL!$C$27, 0.0021, 0)</f>
        <v>53.5946</v>
      </c>
      <c r="J513" s="10">
        <f>53.5925 * CHOOSE(CONTROL!$C$9, $D$9, 100%, $F$9) + CHOOSE(CONTROL!$C$27, 0.0021, 0)</f>
        <v>53.5946</v>
      </c>
      <c r="K513" s="10">
        <f>53.5925 * CHOOSE(CONTROL!$C$9, $D$9, 100%, $F$9) + CHOOSE(CONTROL!$C$27, 0.0021, 0)</f>
        <v>53.5946</v>
      </c>
      <c r="L513" s="10"/>
    </row>
    <row r="514" spans="1:12" ht="15.75" x14ac:dyDescent="0.25">
      <c r="A514" s="13">
        <v>56948</v>
      </c>
      <c r="B514" s="10">
        <f>54.1442 * CHOOSE(CONTROL!$C$9, $D$9, 100%, $F$9) + CHOOSE(CONTROL!$C$27, 0.0021, 0)</f>
        <v>54.146299999999997</v>
      </c>
      <c r="C514" s="10">
        <f>53.712 * CHOOSE(CONTROL!$C$9, $D$9, 100%, $F$9) + CHOOSE(CONTROL!$C$27, 0.0021, 0)</f>
        <v>53.714100000000002</v>
      </c>
      <c r="D514" s="10">
        <f>53.712 * CHOOSE(CONTROL!$C$9, $D$9, 100%, $F$9) + CHOOSE(CONTROL!$C$27, 0.0021, 0)</f>
        <v>53.714100000000002</v>
      </c>
      <c r="E514" s="10">
        <f>53.5753 * CHOOSE(CONTROL!$C$9, $D$9, 100%, $F$9) + CHOOSE(CONTROL!$C$27, 0.0021, 0)</f>
        <v>53.577399999999997</v>
      </c>
      <c r="F514" s="10">
        <f>53.5753 * CHOOSE(CONTROL!$C$9, $D$9, 100%, $F$9) + CHOOSE(CONTROL!$C$27, 0.0021, 0)</f>
        <v>53.577399999999997</v>
      </c>
      <c r="G514" s="10">
        <f>53.8467 * CHOOSE(CONTROL!$C$9, $D$9, 100%, $F$9) + CHOOSE(CONTROL!$C$27, 0.0021, 0)</f>
        <v>53.848799999999997</v>
      </c>
      <c r="H514" s="10">
        <f>53.712 * CHOOSE(CONTROL!$C$9, $D$9, 100%, $F$9) + CHOOSE(CONTROL!$C$27, 0.0021, 0)</f>
        <v>53.714100000000002</v>
      </c>
      <c r="I514" s="10">
        <f>53.712 * CHOOSE(CONTROL!$C$9, $D$9, 100%, $F$9) + CHOOSE(CONTROL!$C$27, 0.0021, 0)</f>
        <v>53.714100000000002</v>
      </c>
      <c r="J514" s="10">
        <f>53.712 * CHOOSE(CONTROL!$C$9, $D$9, 100%, $F$9) + CHOOSE(CONTROL!$C$27, 0.0021, 0)</f>
        <v>53.714100000000002</v>
      </c>
      <c r="K514" s="10">
        <f>53.712 * CHOOSE(CONTROL!$C$9, $D$9, 100%, $F$9) + CHOOSE(CONTROL!$C$27, 0.0021, 0)</f>
        <v>53.714100000000002</v>
      </c>
      <c r="L514" s="10"/>
    </row>
    <row r="515" spans="1:12" ht="15.75" x14ac:dyDescent="0.25">
      <c r="A515" s="13">
        <v>56979</v>
      </c>
      <c r="B515" s="10">
        <f>53.1275 * CHOOSE(CONTROL!$C$9, $D$9, 100%, $F$9) + CHOOSE(CONTROL!$C$27, 0.0021, 0)</f>
        <v>53.129599999999996</v>
      </c>
      <c r="C515" s="10">
        <f>52.6953 * CHOOSE(CONTROL!$C$9, $D$9, 100%, $F$9) + CHOOSE(CONTROL!$C$27, 0.0021, 0)</f>
        <v>52.697400000000002</v>
      </c>
      <c r="D515" s="10">
        <f>52.6953 * CHOOSE(CONTROL!$C$9, $D$9, 100%, $F$9) + CHOOSE(CONTROL!$C$27, 0.0021, 0)</f>
        <v>52.697400000000002</v>
      </c>
      <c r="E515" s="10">
        <f>52.5586 * CHOOSE(CONTROL!$C$9, $D$9, 100%, $F$9) + CHOOSE(CONTROL!$C$27, 0.0021, 0)</f>
        <v>52.560699999999997</v>
      </c>
      <c r="F515" s="10">
        <f>52.5586 * CHOOSE(CONTROL!$C$9, $D$9, 100%, $F$9) + CHOOSE(CONTROL!$C$27, 0.0021, 0)</f>
        <v>52.560699999999997</v>
      </c>
      <c r="G515" s="10">
        <f>52.83 * CHOOSE(CONTROL!$C$9, $D$9, 100%, $F$9) + CHOOSE(CONTROL!$C$27, 0.0021, 0)</f>
        <v>52.832099999999997</v>
      </c>
      <c r="H515" s="10">
        <f>52.6953 * CHOOSE(CONTROL!$C$9, $D$9, 100%, $F$9) + CHOOSE(CONTROL!$C$27, 0.0021, 0)</f>
        <v>52.697400000000002</v>
      </c>
      <c r="I515" s="10">
        <f>52.6953 * CHOOSE(CONTROL!$C$9, $D$9, 100%, $F$9) + CHOOSE(CONTROL!$C$27, 0.0021, 0)</f>
        <v>52.697400000000002</v>
      </c>
      <c r="J515" s="10">
        <f>52.6953 * CHOOSE(CONTROL!$C$9, $D$9, 100%, $F$9) + CHOOSE(CONTROL!$C$27, 0.0021, 0)</f>
        <v>52.697400000000002</v>
      </c>
      <c r="K515" s="10">
        <f>52.6953 * CHOOSE(CONTROL!$C$9, $D$9, 100%, $F$9) + CHOOSE(CONTROL!$C$27, 0.0021, 0)</f>
        <v>52.697400000000002</v>
      </c>
      <c r="L515" s="10"/>
    </row>
    <row r="516" spans="1:12" ht="15.75" x14ac:dyDescent="0.25">
      <c r="A516" s="13">
        <v>57010</v>
      </c>
      <c r="B516" s="10">
        <f>52.3491 * CHOOSE(CONTROL!$C$9, $D$9, 100%, $F$9) + CHOOSE(CONTROL!$C$27, 0.0021, 0)</f>
        <v>52.351199999999999</v>
      </c>
      <c r="C516" s="10">
        <f>51.9169 * CHOOSE(CONTROL!$C$9, $D$9, 100%, $F$9) + CHOOSE(CONTROL!$C$27, 0.0021, 0)</f>
        <v>51.918999999999997</v>
      </c>
      <c r="D516" s="10">
        <f>51.9169 * CHOOSE(CONTROL!$C$9, $D$9, 100%, $F$9) + CHOOSE(CONTROL!$C$27, 0.0021, 0)</f>
        <v>51.918999999999997</v>
      </c>
      <c r="E516" s="10">
        <f>51.7802 * CHOOSE(CONTROL!$C$9, $D$9, 100%, $F$9) + CHOOSE(CONTROL!$C$27, 0.0021, 0)</f>
        <v>51.782299999999999</v>
      </c>
      <c r="F516" s="10">
        <f>51.7802 * CHOOSE(CONTROL!$C$9, $D$9, 100%, $F$9) + CHOOSE(CONTROL!$C$27, 0.0021, 0)</f>
        <v>51.782299999999999</v>
      </c>
      <c r="G516" s="10">
        <f>52.0516 * CHOOSE(CONTROL!$C$9, $D$9, 100%, $F$9) + CHOOSE(CONTROL!$C$27, 0.0021, 0)</f>
        <v>52.053699999999999</v>
      </c>
      <c r="H516" s="10">
        <f>51.9169 * CHOOSE(CONTROL!$C$9, $D$9, 100%, $F$9) + CHOOSE(CONTROL!$C$27, 0.0021, 0)</f>
        <v>51.918999999999997</v>
      </c>
      <c r="I516" s="10">
        <f>51.9169 * CHOOSE(CONTROL!$C$9, $D$9, 100%, $F$9) + CHOOSE(CONTROL!$C$27, 0.0021, 0)</f>
        <v>51.918999999999997</v>
      </c>
      <c r="J516" s="10">
        <f>51.9169 * CHOOSE(CONTROL!$C$9, $D$9, 100%, $F$9) + CHOOSE(CONTROL!$C$27, 0.0021, 0)</f>
        <v>51.918999999999997</v>
      </c>
      <c r="K516" s="10">
        <f>51.9169 * CHOOSE(CONTROL!$C$9, $D$9, 100%, $F$9) + CHOOSE(CONTROL!$C$27, 0.0021, 0)</f>
        <v>51.918999999999997</v>
      </c>
      <c r="L516" s="10"/>
    </row>
    <row r="517" spans="1:12" ht="15.75" x14ac:dyDescent="0.25">
      <c r="A517" s="13">
        <v>57038</v>
      </c>
      <c r="B517" s="10">
        <f>50.9332 * CHOOSE(CONTROL!$C$9, $D$9, 100%, $F$9) + CHOOSE(CONTROL!$C$27, 0.0021, 0)</f>
        <v>50.935299999999998</v>
      </c>
      <c r="C517" s="10">
        <f>50.501 * CHOOSE(CONTROL!$C$9, $D$9, 100%, $F$9) + CHOOSE(CONTROL!$C$27, 0.0021, 0)</f>
        <v>50.503099999999996</v>
      </c>
      <c r="D517" s="10">
        <f>50.501 * CHOOSE(CONTROL!$C$9, $D$9, 100%, $F$9) + CHOOSE(CONTROL!$C$27, 0.0021, 0)</f>
        <v>50.503099999999996</v>
      </c>
      <c r="E517" s="10">
        <f>50.3643 * CHOOSE(CONTROL!$C$9, $D$9, 100%, $F$9) + CHOOSE(CONTROL!$C$27, 0.0021, 0)</f>
        <v>50.366399999999999</v>
      </c>
      <c r="F517" s="10">
        <f>50.3643 * CHOOSE(CONTROL!$C$9, $D$9, 100%, $F$9) + CHOOSE(CONTROL!$C$27, 0.0021, 0)</f>
        <v>50.366399999999999</v>
      </c>
      <c r="G517" s="10">
        <f>50.6357 * CHOOSE(CONTROL!$C$9, $D$9, 100%, $F$9) + CHOOSE(CONTROL!$C$27, 0.0021, 0)</f>
        <v>50.637799999999999</v>
      </c>
      <c r="H517" s="10">
        <f>50.501 * CHOOSE(CONTROL!$C$9, $D$9, 100%, $F$9) + CHOOSE(CONTROL!$C$27, 0.0021, 0)</f>
        <v>50.503099999999996</v>
      </c>
      <c r="I517" s="10">
        <f>50.501 * CHOOSE(CONTROL!$C$9, $D$9, 100%, $F$9) + CHOOSE(CONTROL!$C$27, 0.0021, 0)</f>
        <v>50.503099999999996</v>
      </c>
      <c r="J517" s="10">
        <f>50.501 * CHOOSE(CONTROL!$C$9, $D$9, 100%, $F$9) + CHOOSE(CONTROL!$C$27, 0.0021, 0)</f>
        <v>50.503099999999996</v>
      </c>
      <c r="K517" s="10">
        <f>50.501 * CHOOSE(CONTROL!$C$9, $D$9, 100%, $F$9) + CHOOSE(CONTROL!$C$27, 0.0021, 0)</f>
        <v>50.503099999999996</v>
      </c>
      <c r="L517" s="10"/>
    </row>
    <row r="518" spans="1:12" ht="15.75" x14ac:dyDescent="0.25">
      <c r="A518" s="13">
        <v>57070</v>
      </c>
      <c r="B518" s="10">
        <f>50.3488 * CHOOSE(CONTROL!$C$9, $D$9, 100%, $F$9) + CHOOSE(CONTROL!$C$27, 0.0021, 0)</f>
        <v>50.350899999999996</v>
      </c>
      <c r="C518" s="10">
        <f>49.9165 * CHOOSE(CONTROL!$C$9, $D$9, 100%, $F$9) + CHOOSE(CONTROL!$C$27, 0.0021, 0)</f>
        <v>49.918599999999998</v>
      </c>
      <c r="D518" s="10">
        <f>49.9165 * CHOOSE(CONTROL!$C$9, $D$9, 100%, $F$9) + CHOOSE(CONTROL!$C$27, 0.0021, 0)</f>
        <v>49.918599999999998</v>
      </c>
      <c r="E518" s="10">
        <f>49.7799 * CHOOSE(CONTROL!$C$9, $D$9, 100%, $F$9) + CHOOSE(CONTROL!$C$27, 0.0021, 0)</f>
        <v>49.781999999999996</v>
      </c>
      <c r="F518" s="10">
        <f>49.7799 * CHOOSE(CONTROL!$C$9, $D$9, 100%, $F$9) + CHOOSE(CONTROL!$C$27, 0.0021, 0)</f>
        <v>49.781999999999996</v>
      </c>
      <c r="G518" s="10">
        <f>50.0512 * CHOOSE(CONTROL!$C$9, $D$9, 100%, $F$9) + CHOOSE(CONTROL!$C$27, 0.0021, 0)</f>
        <v>50.0533</v>
      </c>
      <c r="H518" s="10">
        <f>49.9165 * CHOOSE(CONTROL!$C$9, $D$9, 100%, $F$9) + CHOOSE(CONTROL!$C$27, 0.0021, 0)</f>
        <v>49.918599999999998</v>
      </c>
      <c r="I518" s="10">
        <f>49.9165 * CHOOSE(CONTROL!$C$9, $D$9, 100%, $F$9) + CHOOSE(CONTROL!$C$27, 0.0021, 0)</f>
        <v>49.918599999999998</v>
      </c>
      <c r="J518" s="10">
        <f>49.9165 * CHOOSE(CONTROL!$C$9, $D$9, 100%, $F$9) + CHOOSE(CONTROL!$C$27, 0.0021, 0)</f>
        <v>49.918599999999998</v>
      </c>
      <c r="K518" s="10">
        <f>49.9165 * CHOOSE(CONTROL!$C$9, $D$9, 100%, $F$9) + CHOOSE(CONTROL!$C$27, 0.0021, 0)</f>
        <v>49.918599999999998</v>
      </c>
      <c r="L518" s="10"/>
    </row>
    <row r="519" spans="1:12" ht="15.75" x14ac:dyDescent="0.25">
      <c r="A519" s="13">
        <v>57100</v>
      </c>
      <c r="B519" s="10">
        <f>49.6509 * CHOOSE(CONTROL!$C$9, $D$9, 100%, $F$9) + CHOOSE(CONTROL!$C$27, 0.0021, 0)</f>
        <v>49.652999999999999</v>
      </c>
      <c r="C519" s="10">
        <f>49.2186 * CHOOSE(CONTROL!$C$9, $D$9, 100%, $F$9) + CHOOSE(CONTROL!$C$27, 0.0021, 0)</f>
        <v>49.220700000000001</v>
      </c>
      <c r="D519" s="10">
        <f>49.2186 * CHOOSE(CONTROL!$C$9, $D$9, 100%, $F$9) + CHOOSE(CONTROL!$C$27, 0.0021, 0)</f>
        <v>49.220700000000001</v>
      </c>
      <c r="E519" s="10">
        <f>49.082 * CHOOSE(CONTROL!$C$9, $D$9, 100%, $F$9) + CHOOSE(CONTROL!$C$27, 0.0021, 0)</f>
        <v>49.084099999999999</v>
      </c>
      <c r="F519" s="10">
        <f>49.082 * CHOOSE(CONTROL!$C$9, $D$9, 100%, $F$9) + CHOOSE(CONTROL!$C$27, 0.0021, 0)</f>
        <v>49.084099999999999</v>
      </c>
      <c r="G519" s="10">
        <f>49.3534 * CHOOSE(CONTROL!$C$9, $D$9, 100%, $F$9) + CHOOSE(CONTROL!$C$27, 0.0021, 0)</f>
        <v>49.355499999999999</v>
      </c>
      <c r="H519" s="10">
        <f>49.2186 * CHOOSE(CONTROL!$C$9, $D$9, 100%, $F$9) + CHOOSE(CONTROL!$C$27, 0.0021, 0)</f>
        <v>49.220700000000001</v>
      </c>
      <c r="I519" s="10">
        <f>49.2186 * CHOOSE(CONTROL!$C$9, $D$9, 100%, $F$9) + CHOOSE(CONTROL!$C$27, 0.0021, 0)</f>
        <v>49.220700000000001</v>
      </c>
      <c r="J519" s="10">
        <f>49.2186 * CHOOSE(CONTROL!$C$9, $D$9, 100%, $F$9) + CHOOSE(CONTROL!$C$27, 0.0021, 0)</f>
        <v>49.220700000000001</v>
      </c>
      <c r="K519" s="10">
        <f>49.2186 * CHOOSE(CONTROL!$C$9, $D$9, 100%, $F$9) + CHOOSE(CONTROL!$C$27, 0.0021, 0)</f>
        <v>49.220700000000001</v>
      </c>
      <c r="L519" s="10"/>
    </row>
    <row r="520" spans="1:12" ht="15.75" x14ac:dyDescent="0.25">
      <c r="A520" s="13">
        <v>57131</v>
      </c>
      <c r="B520" s="10">
        <f>50.6454 * CHOOSE(CONTROL!$C$9, $D$9, 100%, $F$9) + CHOOSE(CONTROL!$C$27, 0.0021, 0)</f>
        <v>50.647500000000001</v>
      </c>
      <c r="C520" s="10">
        <f>50.2132 * CHOOSE(CONTROL!$C$9, $D$9, 100%, $F$9) + CHOOSE(CONTROL!$C$27, 0.0021, 0)</f>
        <v>50.215299999999999</v>
      </c>
      <c r="D520" s="10">
        <f>50.2132 * CHOOSE(CONTROL!$C$9, $D$9, 100%, $F$9) + CHOOSE(CONTROL!$C$27, 0.0021, 0)</f>
        <v>50.215299999999999</v>
      </c>
      <c r="E520" s="10">
        <f>50.0765 * CHOOSE(CONTROL!$C$9, $D$9, 100%, $F$9) + CHOOSE(CONTROL!$C$27, 0.0021, 0)</f>
        <v>50.078600000000002</v>
      </c>
      <c r="F520" s="10">
        <f>50.0765 * CHOOSE(CONTROL!$C$9, $D$9, 100%, $F$9) + CHOOSE(CONTROL!$C$27, 0.0021, 0)</f>
        <v>50.078600000000002</v>
      </c>
      <c r="G520" s="10">
        <f>50.3479 * CHOOSE(CONTROL!$C$9, $D$9, 100%, $F$9) + CHOOSE(CONTROL!$C$27, 0.0021, 0)</f>
        <v>50.35</v>
      </c>
      <c r="H520" s="10">
        <f>50.2132 * CHOOSE(CONTROL!$C$9, $D$9, 100%, $F$9) + CHOOSE(CONTROL!$C$27, 0.0021, 0)</f>
        <v>50.215299999999999</v>
      </c>
      <c r="I520" s="10">
        <f>50.2132 * CHOOSE(CONTROL!$C$9, $D$9, 100%, $F$9) + CHOOSE(CONTROL!$C$27, 0.0021, 0)</f>
        <v>50.215299999999999</v>
      </c>
      <c r="J520" s="10">
        <f>50.2132 * CHOOSE(CONTROL!$C$9, $D$9, 100%, $F$9) + CHOOSE(CONTROL!$C$27, 0.0021, 0)</f>
        <v>50.215299999999999</v>
      </c>
      <c r="K520" s="10">
        <f>50.2132 * CHOOSE(CONTROL!$C$9, $D$9, 100%, $F$9) + CHOOSE(CONTROL!$C$27, 0.0021, 0)</f>
        <v>50.215299999999999</v>
      </c>
      <c r="L520" s="10"/>
    </row>
    <row r="521" spans="1:12" ht="15.75" x14ac:dyDescent="0.25">
      <c r="A521" s="13">
        <v>57161</v>
      </c>
      <c r="B521" s="10">
        <f>51.2411 * CHOOSE(CONTROL!$C$9, $D$9, 100%, $F$9) + CHOOSE(CONTROL!$C$27, 0.0021, 0)</f>
        <v>51.243200000000002</v>
      </c>
      <c r="C521" s="10">
        <f>50.8089 * CHOOSE(CONTROL!$C$9, $D$9, 100%, $F$9) + CHOOSE(CONTROL!$C$27, 0.0021, 0)</f>
        <v>50.811</v>
      </c>
      <c r="D521" s="10">
        <f>50.8089 * CHOOSE(CONTROL!$C$9, $D$9, 100%, $F$9) + CHOOSE(CONTROL!$C$27, 0.0021, 0)</f>
        <v>50.811</v>
      </c>
      <c r="E521" s="10">
        <f>50.6722 * CHOOSE(CONTROL!$C$9, $D$9, 100%, $F$9) + CHOOSE(CONTROL!$C$27, 0.0021, 0)</f>
        <v>50.674299999999995</v>
      </c>
      <c r="F521" s="10">
        <f>50.6722 * CHOOSE(CONTROL!$C$9, $D$9, 100%, $F$9) + CHOOSE(CONTROL!$C$27, 0.0021, 0)</f>
        <v>50.674299999999995</v>
      </c>
      <c r="G521" s="10">
        <f>50.9436 * CHOOSE(CONTROL!$C$9, $D$9, 100%, $F$9) + CHOOSE(CONTROL!$C$27, 0.0021, 0)</f>
        <v>50.945700000000002</v>
      </c>
      <c r="H521" s="10">
        <f>50.8089 * CHOOSE(CONTROL!$C$9, $D$9, 100%, $F$9) + CHOOSE(CONTROL!$C$27, 0.0021, 0)</f>
        <v>50.811</v>
      </c>
      <c r="I521" s="10">
        <f>50.8089 * CHOOSE(CONTROL!$C$9, $D$9, 100%, $F$9) + CHOOSE(CONTROL!$C$27, 0.0021, 0)</f>
        <v>50.811</v>
      </c>
      <c r="J521" s="10">
        <f>50.8089 * CHOOSE(CONTROL!$C$9, $D$9, 100%, $F$9) + CHOOSE(CONTROL!$C$27, 0.0021, 0)</f>
        <v>50.811</v>
      </c>
      <c r="K521" s="10">
        <f>50.8089 * CHOOSE(CONTROL!$C$9, $D$9, 100%, $F$9) + CHOOSE(CONTROL!$C$27, 0.0021, 0)</f>
        <v>50.811</v>
      </c>
      <c r="L521" s="10"/>
    </row>
    <row r="522" spans="1:12" ht="15.75" x14ac:dyDescent="0.25">
      <c r="A522" s="13">
        <v>57192</v>
      </c>
      <c r="B522" s="10">
        <f>52.2238 * CHOOSE(CONTROL!$C$9, $D$9, 100%, $F$9) + CHOOSE(CONTROL!$C$27, 0.0021, 0)</f>
        <v>52.225899999999996</v>
      </c>
      <c r="C522" s="10">
        <f>51.7916 * CHOOSE(CONTROL!$C$9, $D$9, 100%, $F$9) + CHOOSE(CONTROL!$C$27, 0.0021, 0)</f>
        <v>51.793700000000001</v>
      </c>
      <c r="D522" s="10">
        <f>51.7916 * CHOOSE(CONTROL!$C$9, $D$9, 100%, $F$9) + CHOOSE(CONTROL!$C$27, 0.0021, 0)</f>
        <v>51.793700000000001</v>
      </c>
      <c r="E522" s="10">
        <f>51.6549 * CHOOSE(CONTROL!$C$9, $D$9, 100%, $F$9) + CHOOSE(CONTROL!$C$27, 0.0021, 0)</f>
        <v>51.656999999999996</v>
      </c>
      <c r="F522" s="10">
        <f>51.6549 * CHOOSE(CONTROL!$C$9, $D$9, 100%, $F$9) + CHOOSE(CONTROL!$C$27, 0.0021, 0)</f>
        <v>51.656999999999996</v>
      </c>
      <c r="G522" s="10">
        <f>51.9263 * CHOOSE(CONTROL!$C$9, $D$9, 100%, $F$9) + CHOOSE(CONTROL!$C$27, 0.0021, 0)</f>
        <v>51.928399999999996</v>
      </c>
      <c r="H522" s="10">
        <f>51.7916 * CHOOSE(CONTROL!$C$9, $D$9, 100%, $F$9) + CHOOSE(CONTROL!$C$27, 0.0021, 0)</f>
        <v>51.793700000000001</v>
      </c>
      <c r="I522" s="10">
        <f>51.7916 * CHOOSE(CONTROL!$C$9, $D$9, 100%, $F$9) + CHOOSE(CONTROL!$C$27, 0.0021, 0)</f>
        <v>51.793700000000001</v>
      </c>
      <c r="J522" s="10">
        <f>51.7916 * CHOOSE(CONTROL!$C$9, $D$9, 100%, $F$9) + CHOOSE(CONTROL!$C$27, 0.0021, 0)</f>
        <v>51.793700000000001</v>
      </c>
      <c r="K522" s="10">
        <f>51.7916 * CHOOSE(CONTROL!$C$9, $D$9, 100%, $F$9) + CHOOSE(CONTROL!$C$27, 0.0021, 0)</f>
        <v>51.793700000000001</v>
      </c>
      <c r="L522" s="10"/>
    </row>
    <row r="523" spans="1:12" ht="15.75" x14ac:dyDescent="0.25">
      <c r="A523" s="13">
        <v>57223</v>
      </c>
      <c r="B523" s="10">
        <f>52.5238 * CHOOSE(CONTROL!$C$9, $D$9, 100%, $F$9) + CHOOSE(CONTROL!$C$27, 0.0021, 0)</f>
        <v>52.5259</v>
      </c>
      <c r="C523" s="10">
        <f>52.0915 * CHOOSE(CONTROL!$C$9, $D$9, 100%, $F$9) + CHOOSE(CONTROL!$C$27, 0.0021, 0)</f>
        <v>52.093600000000002</v>
      </c>
      <c r="D523" s="10">
        <f>52.0915 * CHOOSE(CONTROL!$C$9, $D$9, 100%, $F$9) + CHOOSE(CONTROL!$C$27, 0.0021, 0)</f>
        <v>52.093600000000002</v>
      </c>
      <c r="E523" s="10">
        <f>51.9548 * CHOOSE(CONTROL!$C$9, $D$9, 100%, $F$9) + CHOOSE(CONTROL!$C$27, 0.0021, 0)</f>
        <v>51.956899999999997</v>
      </c>
      <c r="F523" s="10">
        <f>51.9548 * CHOOSE(CONTROL!$C$9, $D$9, 100%, $F$9) + CHOOSE(CONTROL!$C$27, 0.0021, 0)</f>
        <v>51.956899999999997</v>
      </c>
      <c r="G523" s="10">
        <f>52.2262 * CHOOSE(CONTROL!$C$9, $D$9, 100%, $F$9) + CHOOSE(CONTROL!$C$27, 0.0021, 0)</f>
        <v>52.228299999999997</v>
      </c>
      <c r="H523" s="10">
        <f>52.0915 * CHOOSE(CONTROL!$C$9, $D$9, 100%, $F$9) + CHOOSE(CONTROL!$C$27, 0.0021, 0)</f>
        <v>52.093600000000002</v>
      </c>
      <c r="I523" s="10">
        <f>52.0915 * CHOOSE(CONTROL!$C$9, $D$9, 100%, $F$9) + CHOOSE(CONTROL!$C$27, 0.0021, 0)</f>
        <v>52.093600000000002</v>
      </c>
      <c r="J523" s="10">
        <f>52.0915 * CHOOSE(CONTROL!$C$9, $D$9, 100%, $F$9) + CHOOSE(CONTROL!$C$27, 0.0021, 0)</f>
        <v>52.093600000000002</v>
      </c>
      <c r="K523" s="10">
        <f>52.0915 * CHOOSE(CONTROL!$C$9, $D$9, 100%, $F$9) + CHOOSE(CONTROL!$C$27, 0.0021, 0)</f>
        <v>52.093600000000002</v>
      </c>
      <c r="L523" s="10"/>
    </row>
    <row r="524" spans="1:12" ht="15.75" x14ac:dyDescent="0.25">
      <c r="A524" s="13">
        <v>57253</v>
      </c>
      <c r="B524" s="10">
        <f>53.5452 * CHOOSE(CONTROL!$C$9, $D$9, 100%, $F$9) + CHOOSE(CONTROL!$C$27, 0.0021, 0)</f>
        <v>53.5473</v>
      </c>
      <c r="C524" s="10">
        <f>53.113 * CHOOSE(CONTROL!$C$9, $D$9, 100%, $F$9) + CHOOSE(CONTROL!$C$27, 0.0021, 0)</f>
        <v>53.115099999999998</v>
      </c>
      <c r="D524" s="10">
        <f>53.113 * CHOOSE(CONTROL!$C$9, $D$9, 100%, $F$9) + CHOOSE(CONTROL!$C$27, 0.0021, 0)</f>
        <v>53.115099999999998</v>
      </c>
      <c r="E524" s="10">
        <f>52.9763 * CHOOSE(CONTROL!$C$9, $D$9, 100%, $F$9) + CHOOSE(CONTROL!$C$27, 0.0021, 0)</f>
        <v>52.978400000000001</v>
      </c>
      <c r="F524" s="10">
        <f>52.9763 * CHOOSE(CONTROL!$C$9, $D$9, 100%, $F$9) + CHOOSE(CONTROL!$C$27, 0.0021, 0)</f>
        <v>52.978400000000001</v>
      </c>
      <c r="G524" s="10">
        <f>53.2477 * CHOOSE(CONTROL!$C$9, $D$9, 100%, $F$9) + CHOOSE(CONTROL!$C$27, 0.0021, 0)</f>
        <v>53.2498</v>
      </c>
      <c r="H524" s="10">
        <f>53.113 * CHOOSE(CONTROL!$C$9, $D$9, 100%, $F$9) + CHOOSE(CONTROL!$C$27, 0.0021, 0)</f>
        <v>53.115099999999998</v>
      </c>
      <c r="I524" s="10">
        <f>53.113 * CHOOSE(CONTROL!$C$9, $D$9, 100%, $F$9) + CHOOSE(CONTROL!$C$27, 0.0021, 0)</f>
        <v>53.115099999999998</v>
      </c>
      <c r="J524" s="10">
        <f>53.113 * CHOOSE(CONTROL!$C$9, $D$9, 100%, $F$9) + CHOOSE(CONTROL!$C$27, 0.0021, 0)</f>
        <v>53.115099999999998</v>
      </c>
      <c r="K524" s="10">
        <f>53.113 * CHOOSE(CONTROL!$C$9, $D$9, 100%, $F$9) + CHOOSE(CONTROL!$C$27, 0.0021, 0)</f>
        <v>53.115099999999998</v>
      </c>
      <c r="L524" s="10"/>
    </row>
    <row r="525" spans="1:12" ht="15.75" x14ac:dyDescent="0.25">
      <c r="A525" s="13">
        <v>57284</v>
      </c>
      <c r="B525" s="10">
        <f>54.8382 * CHOOSE(CONTROL!$C$9, $D$9, 100%, $F$9) + CHOOSE(CONTROL!$C$27, 0.0021, 0)</f>
        <v>54.840299999999999</v>
      </c>
      <c r="C525" s="10">
        <f>54.4059 * CHOOSE(CONTROL!$C$9, $D$9, 100%, $F$9) + CHOOSE(CONTROL!$C$27, 0.0021, 0)</f>
        <v>54.408000000000001</v>
      </c>
      <c r="D525" s="10">
        <f>54.4059 * CHOOSE(CONTROL!$C$9, $D$9, 100%, $F$9) + CHOOSE(CONTROL!$C$27, 0.0021, 0)</f>
        <v>54.408000000000001</v>
      </c>
      <c r="E525" s="10">
        <f>54.2693 * CHOOSE(CONTROL!$C$9, $D$9, 100%, $F$9) + CHOOSE(CONTROL!$C$27, 0.0021, 0)</f>
        <v>54.2714</v>
      </c>
      <c r="F525" s="10">
        <f>54.2693 * CHOOSE(CONTROL!$C$9, $D$9, 100%, $F$9) + CHOOSE(CONTROL!$C$27, 0.0021, 0)</f>
        <v>54.2714</v>
      </c>
      <c r="G525" s="10">
        <f>54.5407 * CHOOSE(CONTROL!$C$9, $D$9, 100%, $F$9) + CHOOSE(CONTROL!$C$27, 0.0021, 0)</f>
        <v>54.5428</v>
      </c>
      <c r="H525" s="10">
        <f>54.4059 * CHOOSE(CONTROL!$C$9, $D$9, 100%, $F$9) + CHOOSE(CONTROL!$C$27, 0.0021, 0)</f>
        <v>54.408000000000001</v>
      </c>
      <c r="I525" s="10">
        <f>54.4059 * CHOOSE(CONTROL!$C$9, $D$9, 100%, $F$9) + CHOOSE(CONTROL!$C$27, 0.0021, 0)</f>
        <v>54.408000000000001</v>
      </c>
      <c r="J525" s="10">
        <f>54.4059 * CHOOSE(CONTROL!$C$9, $D$9, 100%, $F$9) + CHOOSE(CONTROL!$C$27, 0.0021, 0)</f>
        <v>54.408000000000001</v>
      </c>
      <c r="K525" s="10">
        <f>54.4059 * CHOOSE(CONTROL!$C$9, $D$9, 100%, $F$9) + CHOOSE(CONTROL!$C$27, 0.0021, 0)</f>
        <v>54.408000000000001</v>
      </c>
      <c r="L525" s="10"/>
    </row>
    <row r="526" spans="1:12" ht="15.75" x14ac:dyDescent="0.25">
      <c r="A526" s="13">
        <v>57314</v>
      </c>
      <c r="B526" s="10">
        <f>54.9596 * CHOOSE(CONTROL!$C$9, $D$9, 100%, $F$9) + CHOOSE(CONTROL!$C$27, 0.0021, 0)</f>
        <v>54.9617</v>
      </c>
      <c r="C526" s="10">
        <f>54.5273 * CHOOSE(CONTROL!$C$9, $D$9, 100%, $F$9) + CHOOSE(CONTROL!$C$27, 0.0021, 0)</f>
        <v>54.529399999999995</v>
      </c>
      <c r="D526" s="10">
        <f>54.5273 * CHOOSE(CONTROL!$C$9, $D$9, 100%, $F$9) + CHOOSE(CONTROL!$C$27, 0.0021, 0)</f>
        <v>54.529399999999995</v>
      </c>
      <c r="E526" s="10">
        <f>54.3907 * CHOOSE(CONTROL!$C$9, $D$9, 100%, $F$9) + CHOOSE(CONTROL!$C$27, 0.0021, 0)</f>
        <v>54.392800000000001</v>
      </c>
      <c r="F526" s="10">
        <f>54.3907 * CHOOSE(CONTROL!$C$9, $D$9, 100%, $F$9) + CHOOSE(CONTROL!$C$27, 0.0021, 0)</f>
        <v>54.392800000000001</v>
      </c>
      <c r="G526" s="10">
        <f>54.662 * CHOOSE(CONTROL!$C$9, $D$9, 100%, $F$9) + CHOOSE(CONTROL!$C$27, 0.0021, 0)</f>
        <v>54.664099999999998</v>
      </c>
      <c r="H526" s="10">
        <f>54.5273 * CHOOSE(CONTROL!$C$9, $D$9, 100%, $F$9) + CHOOSE(CONTROL!$C$27, 0.0021, 0)</f>
        <v>54.529399999999995</v>
      </c>
      <c r="I526" s="10">
        <f>54.5273 * CHOOSE(CONTROL!$C$9, $D$9, 100%, $F$9) + CHOOSE(CONTROL!$C$27, 0.0021, 0)</f>
        <v>54.529399999999995</v>
      </c>
      <c r="J526" s="10">
        <f>54.5273 * CHOOSE(CONTROL!$C$9, $D$9, 100%, $F$9) + CHOOSE(CONTROL!$C$27, 0.0021, 0)</f>
        <v>54.529399999999995</v>
      </c>
      <c r="K526" s="10">
        <f>54.5273 * CHOOSE(CONTROL!$C$9, $D$9, 100%, $F$9) + CHOOSE(CONTROL!$C$27, 0.0021, 0)</f>
        <v>54.529399999999995</v>
      </c>
      <c r="L526" s="10"/>
    </row>
    <row r="527" spans="1:12" ht="15.75" x14ac:dyDescent="0.25">
      <c r="A527" s="13">
        <v>57345</v>
      </c>
      <c r="B527" s="10">
        <f>53.9269 * CHOOSE(CONTROL!$C$9, $D$9, 100%, $F$9) + CHOOSE(CONTROL!$C$27, 0.0021, 0)</f>
        <v>53.929000000000002</v>
      </c>
      <c r="C527" s="10">
        <f>53.4946 * CHOOSE(CONTROL!$C$9, $D$9, 100%, $F$9) + CHOOSE(CONTROL!$C$27, 0.0021, 0)</f>
        <v>53.496699999999997</v>
      </c>
      <c r="D527" s="10">
        <f>53.4946 * CHOOSE(CONTROL!$C$9, $D$9, 100%, $F$9) + CHOOSE(CONTROL!$C$27, 0.0021, 0)</f>
        <v>53.496699999999997</v>
      </c>
      <c r="E527" s="10">
        <f>53.358 * CHOOSE(CONTROL!$C$9, $D$9, 100%, $F$9) + CHOOSE(CONTROL!$C$27, 0.0021, 0)</f>
        <v>53.360099999999996</v>
      </c>
      <c r="F527" s="10">
        <f>53.358 * CHOOSE(CONTROL!$C$9, $D$9, 100%, $F$9) + CHOOSE(CONTROL!$C$27, 0.0021, 0)</f>
        <v>53.360099999999996</v>
      </c>
      <c r="G527" s="10">
        <f>53.6294 * CHOOSE(CONTROL!$C$9, $D$9, 100%, $F$9) + CHOOSE(CONTROL!$C$27, 0.0021, 0)</f>
        <v>53.631499999999996</v>
      </c>
      <c r="H527" s="10">
        <f>53.4946 * CHOOSE(CONTROL!$C$9, $D$9, 100%, $F$9) + CHOOSE(CONTROL!$C$27, 0.0021, 0)</f>
        <v>53.496699999999997</v>
      </c>
      <c r="I527" s="10">
        <f>53.4946 * CHOOSE(CONTROL!$C$9, $D$9, 100%, $F$9) + CHOOSE(CONTROL!$C$27, 0.0021, 0)</f>
        <v>53.496699999999997</v>
      </c>
      <c r="J527" s="10">
        <f>53.4946 * CHOOSE(CONTROL!$C$9, $D$9, 100%, $F$9) + CHOOSE(CONTROL!$C$27, 0.0021, 0)</f>
        <v>53.496699999999997</v>
      </c>
      <c r="K527" s="10">
        <f>53.4946 * CHOOSE(CONTROL!$C$9, $D$9, 100%, $F$9) + CHOOSE(CONTROL!$C$27, 0.0021, 0)</f>
        <v>53.496699999999997</v>
      </c>
      <c r="L527" s="10"/>
    </row>
    <row r="528" spans="1:12" ht="15.75" x14ac:dyDescent="0.25">
      <c r="A528" s="13">
        <v>57376</v>
      </c>
      <c r="B528" s="10">
        <f>53.1362 * CHOOSE(CONTROL!$C$9, $D$9, 100%, $F$9) + CHOOSE(CONTROL!$C$27, 0.0021, 0)</f>
        <v>53.138300000000001</v>
      </c>
      <c r="C528" s="10">
        <f>52.704 * CHOOSE(CONTROL!$C$9, $D$9, 100%, $F$9) + CHOOSE(CONTROL!$C$27, 0.0021, 0)</f>
        <v>52.706099999999999</v>
      </c>
      <c r="D528" s="10">
        <f>52.704 * CHOOSE(CONTROL!$C$9, $D$9, 100%, $F$9) + CHOOSE(CONTROL!$C$27, 0.0021, 0)</f>
        <v>52.706099999999999</v>
      </c>
      <c r="E528" s="10">
        <f>52.5673 * CHOOSE(CONTROL!$C$9, $D$9, 100%, $F$9) + CHOOSE(CONTROL!$C$27, 0.0021, 0)</f>
        <v>52.569400000000002</v>
      </c>
      <c r="F528" s="10">
        <f>52.5673 * CHOOSE(CONTROL!$C$9, $D$9, 100%, $F$9) + CHOOSE(CONTROL!$C$27, 0.0021, 0)</f>
        <v>52.569400000000002</v>
      </c>
      <c r="G528" s="10">
        <f>52.8387 * CHOOSE(CONTROL!$C$9, $D$9, 100%, $F$9) + CHOOSE(CONTROL!$C$27, 0.0021, 0)</f>
        <v>52.840800000000002</v>
      </c>
      <c r="H528" s="10">
        <f>52.704 * CHOOSE(CONTROL!$C$9, $D$9, 100%, $F$9) + CHOOSE(CONTROL!$C$27, 0.0021, 0)</f>
        <v>52.706099999999999</v>
      </c>
      <c r="I528" s="10">
        <f>52.704 * CHOOSE(CONTROL!$C$9, $D$9, 100%, $F$9) + CHOOSE(CONTROL!$C$27, 0.0021, 0)</f>
        <v>52.706099999999999</v>
      </c>
      <c r="J528" s="10">
        <f>52.704 * CHOOSE(CONTROL!$C$9, $D$9, 100%, $F$9) + CHOOSE(CONTROL!$C$27, 0.0021, 0)</f>
        <v>52.706099999999999</v>
      </c>
      <c r="K528" s="10">
        <f>52.704 * CHOOSE(CONTROL!$C$9, $D$9, 100%, $F$9) + CHOOSE(CONTROL!$C$27, 0.0021, 0)</f>
        <v>52.706099999999999</v>
      </c>
      <c r="L528" s="10"/>
    </row>
    <row r="529" spans="1:12" ht="15.75" x14ac:dyDescent="0.25">
      <c r="A529" s="13">
        <v>57404</v>
      </c>
      <c r="B529" s="10">
        <f>51.6981 * CHOOSE(CONTROL!$C$9, $D$9, 100%, $F$9) + CHOOSE(CONTROL!$C$27, 0.0021, 0)</f>
        <v>51.700199999999995</v>
      </c>
      <c r="C529" s="10">
        <f>51.2659 * CHOOSE(CONTROL!$C$9, $D$9, 100%, $F$9) + CHOOSE(CONTROL!$C$27, 0.0021, 0)</f>
        <v>51.268000000000001</v>
      </c>
      <c r="D529" s="10">
        <f>51.2659 * CHOOSE(CONTROL!$C$9, $D$9, 100%, $F$9) + CHOOSE(CONTROL!$C$27, 0.0021, 0)</f>
        <v>51.268000000000001</v>
      </c>
      <c r="E529" s="10">
        <f>51.1292 * CHOOSE(CONTROL!$C$9, $D$9, 100%, $F$9) + CHOOSE(CONTROL!$C$27, 0.0021, 0)</f>
        <v>51.131299999999996</v>
      </c>
      <c r="F529" s="10">
        <f>51.1292 * CHOOSE(CONTROL!$C$9, $D$9, 100%, $F$9) + CHOOSE(CONTROL!$C$27, 0.0021, 0)</f>
        <v>51.131299999999996</v>
      </c>
      <c r="G529" s="10">
        <f>51.4006 * CHOOSE(CONTROL!$C$9, $D$9, 100%, $F$9) + CHOOSE(CONTROL!$C$27, 0.0021, 0)</f>
        <v>51.402699999999996</v>
      </c>
      <c r="H529" s="10">
        <f>51.2659 * CHOOSE(CONTROL!$C$9, $D$9, 100%, $F$9) + CHOOSE(CONTROL!$C$27, 0.0021, 0)</f>
        <v>51.268000000000001</v>
      </c>
      <c r="I529" s="10">
        <f>51.2659 * CHOOSE(CONTROL!$C$9, $D$9, 100%, $F$9) + CHOOSE(CONTROL!$C$27, 0.0021, 0)</f>
        <v>51.268000000000001</v>
      </c>
      <c r="J529" s="10">
        <f>51.2659 * CHOOSE(CONTROL!$C$9, $D$9, 100%, $F$9) + CHOOSE(CONTROL!$C$27, 0.0021, 0)</f>
        <v>51.268000000000001</v>
      </c>
      <c r="K529" s="10">
        <f>51.2659 * CHOOSE(CONTROL!$C$9, $D$9, 100%, $F$9) + CHOOSE(CONTROL!$C$27, 0.0021, 0)</f>
        <v>51.268000000000001</v>
      </c>
      <c r="L529" s="10"/>
    </row>
    <row r="530" spans="1:12" ht="15.75" x14ac:dyDescent="0.25">
      <c r="A530" s="13">
        <v>57435</v>
      </c>
      <c r="B530" s="10">
        <f>51.1044 * CHOOSE(CONTROL!$C$9, $D$9, 100%, $F$9) + CHOOSE(CONTROL!$C$27, 0.0021, 0)</f>
        <v>51.106499999999997</v>
      </c>
      <c r="C530" s="10">
        <f>50.6722 * CHOOSE(CONTROL!$C$9, $D$9, 100%, $F$9) + CHOOSE(CONTROL!$C$27, 0.0021, 0)</f>
        <v>50.674299999999995</v>
      </c>
      <c r="D530" s="10">
        <f>50.6722 * CHOOSE(CONTROL!$C$9, $D$9, 100%, $F$9) + CHOOSE(CONTROL!$C$27, 0.0021, 0)</f>
        <v>50.674299999999995</v>
      </c>
      <c r="E530" s="10">
        <f>50.5355 * CHOOSE(CONTROL!$C$9, $D$9, 100%, $F$9) + CHOOSE(CONTROL!$C$27, 0.0021, 0)</f>
        <v>50.537599999999998</v>
      </c>
      <c r="F530" s="10">
        <f>50.5355 * CHOOSE(CONTROL!$C$9, $D$9, 100%, $F$9) + CHOOSE(CONTROL!$C$27, 0.0021, 0)</f>
        <v>50.537599999999998</v>
      </c>
      <c r="G530" s="10">
        <f>50.8069 * CHOOSE(CONTROL!$C$9, $D$9, 100%, $F$9) + CHOOSE(CONTROL!$C$27, 0.0021, 0)</f>
        <v>50.808999999999997</v>
      </c>
      <c r="H530" s="10">
        <f>50.6722 * CHOOSE(CONTROL!$C$9, $D$9, 100%, $F$9) + CHOOSE(CONTROL!$C$27, 0.0021, 0)</f>
        <v>50.674299999999995</v>
      </c>
      <c r="I530" s="10">
        <f>50.6722 * CHOOSE(CONTROL!$C$9, $D$9, 100%, $F$9) + CHOOSE(CONTROL!$C$27, 0.0021, 0)</f>
        <v>50.674299999999995</v>
      </c>
      <c r="J530" s="10">
        <f>50.6722 * CHOOSE(CONTROL!$C$9, $D$9, 100%, $F$9) + CHOOSE(CONTROL!$C$27, 0.0021, 0)</f>
        <v>50.674299999999995</v>
      </c>
      <c r="K530" s="10">
        <f>50.6722 * CHOOSE(CONTROL!$C$9, $D$9, 100%, $F$9) + CHOOSE(CONTROL!$C$27, 0.0021, 0)</f>
        <v>50.674299999999995</v>
      </c>
      <c r="L530" s="10"/>
    </row>
    <row r="531" spans="1:12" ht="15.75" x14ac:dyDescent="0.25">
      <c r="A531" s="13">
        <v>57465</v>
      </c>
      <c r="B531" s="10">
        <f>50.3956 * CHOOSE(CONTROL!$C$9, $D$9, 100%, $F$9) + CHOOSE(CONTROL!$C$27, 0.0021, 0)</f>
        <v>50.3977</v>
      </c>
      <c r="C531" s="10">
        <f>49.9633 * CHOOSE(CONTROL!$C$9, $D$9, 100%, $F$9) + CHOOSE(CONTROL!$C$27, 0.0021, 0)</f>
        <v>49.965399999999995</v>
      </c>
      <c r="D531" s="10">
        <f>49.9633 * CHOOSE(CONTROL!$C$9, $D$9, 100%, $F$9) + CHOOSE(CONTROL!$C$27, 0.0021, 0)</f>
        <v>49.965399999999995</v>
      </c>
      <c r="E531" s="10">
        <f>49.8267 * CHOOSE(CONTROL!$C$9, $D$9, 100%, $F$9) + CHOOSE(CONTROL!$C$27, 0.0021, 0)</f>
        <v>49.828800000000001</v>
      </c>
      <c r="F531" s="10">
        <f>49.8267 * CHOOSE(CONTROL!$C$9, $D$9, 100%, $F$9) + CHOOSE(CONTROL!$C$27, 0.0021, 0)</f>
        <v>49.828800000000001</v>
      </c>
      <c r="G531" s="10">
        <f>50.0981 * CHOOSE(CONTROL!$C$9, $D$9, 100%, $F$9) + CHOOSE(CONTROL!$C$27, 0.0021, 0)</f>
        <v>50.100200000000001</v>
      </c>
      <c r="H531" s="10">
        <f>49.9633 * CHOOSE(CONTROL!$C$9, $D$9, 100%, $F$9) + CHOOSE(CONTROL!$C$27, 0.0021, 0)</f>
        <v>49.965399999999995</v>
      </c>
      <c r="I531" s="10">
        <f>49.9633 * CHOOSE(CONTROL!$C$9, $D$9, 100%, $F$9) + CHOOSE(CONTROL!$C$27, 0.0021, 0)</f>
        <v>49.965399999999995</v>
      </c>
      <c r="J531" s="10">
        <f>49.9633 * CHOOSE(CONTROL!$C$9, $D$9, 100%, $F$9) + CHOOSE(CONTROL!$C$27, 0.0021, 0)</f>
        <v>49.965399999999995</v>
      </c>
      <c r="K531" s="10">
        <f>49.9633 * CHOOSE(CONTROL!$C$9, $D$9, 100%, $F$9) + CHOOSE(CONTROL!$C$27, 0.0021, 0)</f>
        <v>49.965399999999995</v>
      </c>
      <c r="L531" s="10"/>
    </row>
    <row r="532" spans="1:12" ht="15.75" x14ac:dyDescent="0.25">
      <c r="A532" s="13">
        <v>57496</v>
      </c>
      <c r="B532" s="10">
        <f>51.4058 * CHOOSE(CONTROL!$C$9, $D$9, 100%, $F$9) + CHOOSE(CONTROL!$C$27, 0.0021, 0)</f>
        <v>51.407899999999998</v>
      </c>
      <c r="C532" s="10">
        <f>50.9735 * CHOOSE(CONTROL!$C$9, $D$9, 100%, $F$9) + CHOOSE(CONTROL!$C$27, 0.0021, 0)</f>
        <v>50.9756</v>
      </c>
      <c r="D532" s="10">
        <f>50.9735 * CHOOSE(CONTROL!$C$9, $D$9, 100%, $F$9) + CHOOSE(CONTROL!$C$27, 0.0021, 0)</f>
        <v>50.9756</v>
      </c>
      <c r="E532" s="10">
        <f>50.8369 * CHOOSE(CONTROL!$C$9, $D$9, 100%, $F$9) + CHOOSE(CONTROL!$C$27, 0.0021, 0)</f>
        <v>50.838999999999999</v>
      </c>
      <c r="F532" s="10">
        <f>50.8369 * CHOOSE(CONTROL!$C$9, $D$9, 100%, $F$9) + CHOOSE(CONTROL!$C$27, 0.0021, 0)</f>
        <v>50.838999999999999</v>
      </c>
      <c r="G532" s="10">
        <f>51.1083 * CHOOSE(CONTROL!$C$9, $D$9, 100%, $F$9) + CHOOSE(CONTROL!$C$27, 0.0021, 0)</f>
        <v>51.110399999999998</v>
      </c>
      <c r="H532" s="10">
        <f>50.9735 * CHOOSE(CONTROL!$C$9, $D$9, 100%, $F$9) + CHOOSE(CONTROL!$C$27, 0.0021, 0)</f>
        <v>50.9756</v>
      </c>
      <c r="I532" s="10">
        <f>50.9735 * CHOOSE(CONTROL!$C$9, $D$9, 100%, $F$9) + CHOOSE(CONTROL!$C$27, 0.0021, 0)</f>
        <v>50.9756</v>
      </c>
      <c r="J532" s="10">
        <f>50.9735 * CHOOSE(CONTROL!$C$9, $D$9, 100%, $F$9) + CHOOSE(CONTROL!$C$27, 0.0021, 0)</f>
        <v>50.9756</v>
      </c>
      <c r="K532" s="10">
        <f>50.9735 * CHOOSE(CONTROL!$C$9, $D$9, 100%, $F$9) + CHOOSE(CONTROL!$C$27, 0.0021, 0)</f>
        <v>50.9756</v>
      </c>
      <c r="L532" s="10"/>
    </row>
    <row r="533" spans="1:12" ht="15.75" x14ac:dyDescent="0.25">
      <c r="A533" s="13">
        <v>57526</v>
      </c>
      <c r="B533" s="10">
        <f>52.0108 * CHOOSE(CONTROL!$C$9, $D$9, 100%, $F$9) + CHOOSE(CONTROL!$C$27, 0.0021, 0)</f>
        <v>52.012900000000002</v>
      </c>
      <c r="C533" s="10">
        <f>51.5786 * CHOOSE(CONTROL!$C$9, $D$9, 100%, $F$9) + CHOOSE(CONTROL!$C$27, 0.0021, 0)</f>
        <v>51.5807</v>
      </c>
      <c r="D533" s="10">
        <f>51.5786 * CHOOSE(CONTROL!$C$9, $D$9, 100%, $F$9) + CHOOSE(CONTROL!$C$27, 0.0021, 0)</f>
        <v>51.5807</v>
      </c>
      <c r="E533" s="10">
        <f>51.4419 * CHOOSE(CONTROL!$C$9, $D$9, 100%, $F$9) + CHOOSE(CONTROL!$C$27, 0.0021, 0)</f>
        <v>51.443999999999996</v>
      </c>
      <c r="F533" s="10">
        <f>51.4419 * CHOOSE(CONTROL!$C$9, $D$9, 100%, $F$9) + CHOOSE(CONTROL!$C$27, 0.0021, 0)</f>
        <v>51.443999999999996</v>
      </c>
      <c r="G533" s="10">
        <f>51.7133 * CHOOSE(CONTROL!$C$9, $D$9, 100%, $F$9) + CHOOSE(CONTROL!$C$27, 0.0021, 0)</f>
        <v>51.715399999999995</v>
      </c>
      <c r="H533" s="10">
        <f>51.5786 * CHOOSE(CONTROL!$C$9, $D$9, 100%, $F$9) + CHOOSE(CONTROL!$C$27, 0.0021, 0)</f>
        <v>51.5807</v>
      </c>
      <c r="I533" s="10">
        <f>51.5786 * CHOOSE(CONTROL!$C$9, $D$9, 100%, $F$9) + CHOOSE(CONTROL!$C$27, 0.0021, 0)</f>
        <v>51.5807</v>
      </c>
      <c r="J533" s="10">
        <f>51.5786 * CHOOSE(CONTROL!$C$9, $D$9, 100%, $F$9) + CHOOSE(CONTROL!$C$27, 0.0021, 0)</f>
        <v>51.5807</v>
      </c>
      <c r="K533" s="10">
        <f>51.5786 * CHOOSE(CONTROL!$C$9, $D$9, 100%, $F$9) + CHOOSE(CONTROL!$C$27, 0.0021, 0)</f>
        <v>51.5807</v>
      </c>
      <c r="L533" s="10"/>
    </row>
    <row r="534" spans="1:12" ht="15.75" x14ac:dyDescent="0.25">
      <c r="A534" s="13">
        <v>57557</v>
      </c>
      <c r="B534" s="10">
        <f>53.009 * CHOOSE(CONTROL!$C$9, $D$9, 100%, $F$9) + CHOOSE(CONTROL!$C$27, 0.0021, 0)</f>
        <v>53.011099999999999</v>
      </c>
      <c r="C534" s="10">
        <f>52.5767 * CHOOSE(CONTROL!$C$9, $D$9, 100%, $F$9) + CHOOSE(CONTROL!$C$27, 0.0021, 0)</f>
        <v>52.578800000000001</v>
      </c>
      <c r="D534" s="10">
        <f>52.5767 * CHOOSE(CONTROL!$C$9, $D$9, 100%, $F$9) + CHOOSE(CONTROL!$C$27, 0.0021, 0)</f>
        <v>52.578800000000001</v>
      </c>
      <c r="E534" s="10">
        <f>52.4401 * CHOOSE(CONTROL!$C$9, $D$9, 100%, $F$9) + CHOOSE(CONTROL!$C$27, 0.0021, 0)</f>
        <v>52.4422</v>
      </c>
      <c r="F534" s="10">
        <f>52.4401 * CHOOSE(CONTROL!$C$9, $D$9, 100%, $F$9) + CHOOSE(CONTROL!$C$27, 0.0021, 0)</f>
        <v>52.4422</v>
      </c>
      <c r="G534" s="10">
        <f>52.7114 * CHOOSE(CONTROL!$C$9, $D$9, 100%, $F$9) + CHOOSE(CONTROL!$C$27, 0.0021, 0)</f>
        <v>52.713499999999996</v>
      </c>
      <c r="H534" s="10">
        <f>52.5767 * CHOOSE(CONTROL!$C$9, $D$9, 100%, $F$9) + CHOOSE(CONTROL!$C$27, 0.0021, 0)</f>
        <v>52.578800000000001</v>
      </c>
      <c r="I534" s="10">
        <f>52.5767 * CHOOSE(CONTROL!$C$9, $D$9, 100%, $F$9) + CHOOSE(CONTROL!$C$27, 0.0021, 0)</f>
        <v>52.578800000000001</v>
      </c>
      <c r="J534" s="10">
        <f>52.5767 * CHOOSE(CONTROL!$C$9, $D$9, 100%, $F$9) + CHOOSE(CONTROL!$C$27, 0.0021, 0)</f>
        <v>52.578800000000001</v>
      </c>
      <c r="K534" s="10">
        <f>52.5767 * CHOOSE(CONTROL!$C$9, $D$9, 100%, $F$9) + CHOOSE(CONTROL!$C$27, 0.0021, 0)</f>
        <v>52.578800000000001</v>
      </c>
      <c r="L534" s="10"/>
    </row>
    <row r="535" spans="1:12" ht="15.75" x14ac:dyDescent="0.25">
      <c r="A535" s="13">
        <v>57588</v>
      </c>
      <c r="B535" s="10">
        <f>53.3136 * CHOOSE(CONTROL!$C$9, $D$9, 100%, $F$9) + CHOOSE(CONTROL!$C$27, 0.0021, 0)</f>
        <v>53.3157</v>
      </c>
      <c r="C535" s="10">
        <f>52.8814 * CHOOSE(CONTROL!$C$9, $D$9, 100%, $F$9) + CHOOSE(CONTROL!$C$27, 0.0021, 0)</f>
        <v>52.883499999999998</v>
      </c>
      <c r="D535" s="10">
        <f>52.8814 * CHOOSE(CONTROL!$C$9, $D$9, 100%, $F$9) + CHOOSE(CONTROL!$C$27, 0.0021, 0)</f>
        <v>52.883499999999998</v>
      </c>
      <c r="E535" s="10">
        <f>52.7447 * CHOOSE(CONTROL!$C$9, $D$9, 100%, $F$9) + CHOOSE(CONTROL!$C$27, 0.0021, 0)</f>
        <v>52.7468</v>
      </c>
      <c r="F535" s="10">
        <f>52.7447 * CHOOSE(CONTROL!$C$9, $D$9, 100%, $F$9) + CHOOSE(CONTROL!$C$27, 0.0021, 0)</f>
        <v>52.7468</v>
      </c>
      <c r="G535" s="10">
        <f>53.0161 * CHOOSE(CONTROL!$C$9, $D$9, 100%, $F$9) + CHOOSE(CONTROL!$C$27, 0.0021, 0)</f>
        <v>53.0182</v>
      </c>
      <c r="H535" s="10">
        <f>52.8814 * CHOOSE(CONTROL!$C$9, $D$9, 100%, $F$9) + CHOOSE(CONTROL!$C$27, 0.0021, 0)</f>
        <v>52.883499999999998</v>
      </c>
      <c r="I535" s="10">
        <f>52.8814 * CHOOSE(CONTROL!$C$9, $D$9, 100%, $F$9) + CHOOSE(CONTROL!$C$27, 0.0021, 0)</f>
        <v>52.883499999999998</v>
      </c>
      <c r="J535" s="10">
        <f>52.8814 * CHOOSE(CONTROL!$C$9, $D$9, 100%, $F$9) + CHOOSE(CONTROL!$C$27, 0.0021, 0)</f>
        <v>52.883499999999998</v>
      </c>
      <c r="K535" s="10">
        <f>52.8814 * CHOOSE(CONTROL!$C$9, $D$9, 100%, $F$9) + CHOOSE(CONTROL!$C$27, 0.0021, 0)</f>
        <v>52.883499999999998</v>
      </c>
      <c r="L535" s="10"/>
    </row>
    <row r="536" spans="1:12" ht="15.75" x14ac:dyDescent="0.25">
      <c r="A536" s="13">
        <v>57618</v>
      </c>
      <c r="B536" s="10">
        <f>54.3512 * CHOOSE(CONTROL!$C$9, $D$9, 100%, $F$9) + CHOOSE(CONTROL!$C$27, 0.0021, 0)</f>
        <v>54.353299999999997</v>
      </c>
      <c r="C536" s="10">
        <f>53.9189 * CHOOSE(CONTROL!$C$9, $D$9, 100%, $F$9) + CHOOSE(CONTROL!$C$27, 0.0021, 0)</f>
        <v>53.920999999999999</v>
      </c>
      <c r="D536" s="10">
        <f>53.9189 * CHOOSE(CONTROL!$C$9, $D$9, 100%, $F$9) + CHOOSE(CONTROL!$C$27, 0.0021, 0)</f>
        <v>53.920999999999999</v>
      </c>
      <c r="E536" s="10">
        <f>53.7823 * CHOOSE(CONTROL!$C$9, $D$9, 100%, $F$9) + CHOOSE(CONTROL!$C$27, 0.0021, 0)</f>
        <v>53.784399999999998</v>
      </c>
      <c r="F536" s="10">
        <f>53.7823 * CHOOSE(CONTROL!$C$9, $D$9, 100%, $F$9) + CHOOSE(CONTROL!$C$27, 0.0021, 0)</f>
        <v>53.784399999999998</v>
      </c>
      <c r="G536" s="10">
        <f>54.0536 * CHOOSE(CONTROL!$C$9, $D$9, 100%, $F$9) + CHOOSE(CONTROL!$C$27, 0.0021, 0)</f>
        <v>54.055700000000002</v>
      </c>
      <c r="H536" s="10">
        <f>53.9189 * CHOOSE(CONTROL!$C$9, $D$9, 100%, $F$9) + CHOOSE(CONTROL!$C$27, 0.0021, 0)</f>
        <v>53.920999999999999</v>
      </c>
      <c r="I536" s="10">
        <f>53.9189 * CHOOSE(CONTROL!$C$9, $D$9, 100%, $F$9) + CHOOSE(CONTROL!$C$27, 0.0021, 0)</f>
        <v>53.920999999999999</v>
      </c>
      <c r="J536" s="10">
        <f>53.9189 * CHOOSE(CONTROL!$C$9, $D$9, 100%, $F$9) + CHOOSE(CONTROL!$C$27, 0.0021, 0)</f>
        <v>53.920999999999999</v>
      </c>
      <c r="K536" s="10">
        <f>53.9189 * CHOOSE(CONTROL!$C$9, $D$9, 100%, $F$9) + CHOOSE(CONTROL!$C$27, 0.0021, 0)</f>
        <v>53.920999999999999</v>
      </c>
      <c r="L536" s="10"/>
    </row>
    <row r="537" spans="1:12" ht="15.75" x14ac:dyDescent="0.25">
      <c r="A537" s="13">
        <v>57649</v>
      </c>
      <c r="B537" s="10">
        <f>55.6645 * CHOOSE(CONTROL!$C$9, $D$9, 100%, $F$9) + CHOOSE(CONTROL!$C$27, 0.0021, 0)</f>
        <v>55.666599999999995</v>
      </c>
      <c r="C537" s="10">
        <f>55.2322 * CHOOSE(CONTROL!$C$9, $D$9, 100%, $F$9) + CHOOSE(CONTROL!$C$27, 0.0021, 0)</f>
        <v>55.234299999999998</v>
      </c>
      <c r="D537" s="10">
        <f>55.2322 * CHOOSE(CONTROL!$C$9, $D$9, 100%, $F$9) + CHOOSE(CONTROL!$C$27, 0.0021, 0)</f>
        <v>55.234299999999998</v>
      </c>
      <c r="E537" s="10">
        <f>55.0956 * CHOOSE(CONTROL!$C$9, $D$9, 100%, $F$9) + CHOOSE(CONTROL!$C$27, 0.0021, 0)</f>
        <v>55.097699999999996</v>
      </c>
      <c r="F537" s="10">
        <f>55.0956 * CHOOSE(CONTROL!$C$9, $D$9, 100%, $F$9) + CHOOSE(CONTROL!$C$27, 0.0021, 0)</f>
        <v>55.097699999999996</v>
      </c>
      <c r="G537" s="10">
        <f>55.3669 * CHOOSE(CONTROL!$C$9, $D$9, 100%, $F$9) + CHOOSE(CONTROL!$C$27, 0.0021, 0)</f>
        <v>55.369</v>
      </c>
      <c r="H537" s="10">
        <f>55.2322 * CHOOSE(CONTROL!$C$9, $D$9, 100%, $F$9) + CHOOSE(CONTROL!$C$27, 0.0021, 0)</f>
        <v>55.234299999999998</v>
      </c>
      <c r="I537" s="10">
        <f>55.2322 * CHOOSE(CONTROL!$C$9, $D$9, 100%, $F$9) + CHOOSE(CONTROL!$C$27, 0.0021, 0)</f>
        <v>55.234299999999998</v>
      </c>
      <c r="J537" s="10">
        <f>55.2322 * CHOOSE(CONTROL!$C$9, $D$9, 100%, $F$9) + CHOOSE(CONTROL!$C$27, 0.0021, 0)</f>
        <v>55.234299999999998</v>
      </c>
      <c r="K537" s="10">
        <f>55.2322 * CHOOSE(CONTROL!$C$9, $D$9, 100%, $F$9) + CHOOSE(CONTROL!$C$27, 0.0021, 0)</f>
        <v>55.234299999999998</v>
      </c>
      <c r="L537" s="10"/>
    </row>
    <row r="538" spans="1:12" ht="15.75" x14ac:dyDescent="0.25">
      <c r="A538" s="13">
        <v>57679</v>
      </c>
      <c r="B538" s="10">
        <f>55.7878 * CHOOSE(CONTROL!$C$9, $D$9, 100%, $F$9) + CHOOSE(CONTROL!$C$27, 0.0021, 0)</f>
        <v>55.789899999999996</v>
      </c>
      <c r="C538" s="10">
        <f>55.3555 * CHOOSE(CONTROL!$C$9, $D$9, 100%, $F$9) + CHOOSE(CONTROL!$C$27, 0.0021, 0)</f>
        <v>55.357599999999998</v>
      </c>
      <c r="D538" s="10">
        <f>55.3555 * CHOOSE(CONTROL!$C$9, $D$9, 100%, $F$9) + CHOOSE(CONTROL!$C$27, 0.0021, 0)</f>
        <v>55.357599999999998</v>
      </c>
      <c r="E538" s="10">
        <f>55.2189 * CHOOSE(CONTROL!$C$9, $D$9, 100%, $F$9) + CHOOSE(CONTROL!$C$27, 0.0021, 0)</f>
        <v>55.220999999999997</v>
      </c>
      <c r="F538" s="10">
        <f>55.2189 * CHOOSE(CONTROL!$C$9, $D$9, 100%, $F$9) + CHOOSE(CONTROL!$C$27, 0.0021, 0)</f>
        <v>55.220999999999997</v>
      </c>
      <c r="G538" s="10">
        <f>55.4902 * CHOOSE(CONTROL!$C$9, $D$9, 100%, $F$9) + CHOOSE(CONTROL!$C$27, 0.0021, 0)</f>
        <v>55.4923</v>
      </c>
      <c r="H538" s="10">
        <f>55.3555 * CHOOSE(CONTROL!$C$9, $D$9, 100%, $F$9) + CHOOSE(CONTROL!$C$27, 0.0021, 0)</f>
        <v>55.357599999999998</v>
      </c>
      <c r="I538" s="10">
        <f>55.3555 * CHOOSE(CONTROL!$C$9, $D$9, 100%, $F$9) + CHOOSE(CONTROL!$C$27, 0.0021, 0)</f>
        <v>55.357599999999998</v>
      </c>
      <c r="J538" s="10">
        <f>55.3555 * CHOOSE(CONTROL!$C$9, $D$9, 100%, $F$9) + CHOOSE(CONTROL!$C$27, 0.0021, 0)</f>
        <v>55.357599999999998</v>
      </c>
      <c r="K538" s="10">
        <f>55.3555 * CHOOSE(CONTROL!$C$9, $D$9, 100%, $F$9) + CHOOSE(CONTROL!$C$27, 0.0021, 0)</f>
        <v>55.357599999999998</v>
      </c>
      <c r="L538" s="10"/>
    </row>
    <row r="539" spans="1:12" ht="15.75" x14ac:dyDescent="0.25">
      <c r="A539" s="13">
        <v>57710</v>
      </c>
      <c r="B539" s="10">
        <f>54.7388 * CHOOSE(CONTROL!$C$9, $D$9, 100%, $F$9) + CHOOSE(CONTROL!$C$27, 0.0021, 0)</f>
        <v>54.740899999999996</v>
      </c>
      <c r="C539" s="10">
        <f>54.3066 * CHOOSE(CONTROL!$C$9, $D$9, 100%, $F$9) + CHOOSE(CONTROL!$C$27, 0.0021, 0)</f>
        <v>54.308700000000002</v>
      </c>
      <c r="D539" s="10">
        <f>54.3066 * CHOOSE(CONTROL!$C$9, $D$9, 100%, $F$9) + CHOOSE(CONTROL!$C$27, 0.0021, 0)</f>
        <v>54.308700000000002</v>
      </c>
      <c r="E539" s="10">
        <f>54.1699 * CHOOSE(CONTROL!$C$9, $D$9, 100%, $F$9) + CHOOSE(CONTROL!$C$27, 0.0021, 0)</f>
        <v>54.171999999999997</v>
      </c>
      <c r="F539" s="10">
        <f>54.1699 * CHOOSE(CONTROL!$C$9, $D$9, 100%, $F$9) + CHOOSE(CONTROL!$C$27, 0.0021, 0)</f>
        <v>54.171999999999997</v>
      </c>
      <c r="G539" s="10">
        <f>54.4413 * CHOOSE(CONTROL!$C$9, $D$9, 100%, $F$9) + CHOOSE(CONTROL!$C$27, 0.0021, 0)</f>
        <v>54.443399999999997</v>
      </c>
      <c r="H539" s="10">
        <f>54.3066 * CHOOSE(CONTROL!$C$9, $D$9, 100%, $F$9) + CHOOSE(CONTROL!$C$27, 0.0021, 0)</f>
        <v>54.308700000000002</v>
      </c>
      <c r="I539" s="10">
        <f>54.3066 * CHOOSE(CONTROL!$C$9, $D$9, 100%, $F$9) + CHOOSE(CONTROL!$C$27, 0.0021, 0)</f>
        <v>54.308700000000002</v>
      </c>
      <c r="J539" s="10">
        <f>54.3066 * CHOOSE(CONTROL!$C$9, $D$9, 100%, $F$9) + CHOOSE(CONTROL!$C$27, 0.0021, 0)</f>
        <v>54.308700000000002</v>
      </c>
      <c r="K539" s="10">
        <f>54.3066 * CHOOSE(CONTROL!$C$9, $D$9, 100%, $F$9) + CHOOSE(CONTROL!$C$27, 0.0021, 0)</f>
        <v>54.308700000000002</v>
      </c>
      <c r="L539" s="10"/>
    </row>
    <row r="540" spans="1:12" ht="15.75" x14ac:dyDescent="0.25">
      <c r="A540" s="13">
        <v>57741</v>
      </c>
      <c r="B540" s="10">
        <f>53.9358 * CHOOSE(CONTROL!$C$9, $D$9, 100%, $F$9) + CHOOSE(CONTROL!$C$27, 0.0021, 0)</f>
        <v>53.937899999999999</v>
      </c>
      <c r="C540" s="10">
        <f>53.5035 * CHOOSE(CONTROL!$C$9, $D$9, 100%, $F$9) + CHOOSE(CONTROL!$C$27, 0.0021, 0)</f>
        <v>53.505600000000001</v>
      </c>
      <c r="D540" s="10">
        <f>53.5035 * CHOOSE(CONTROL!$C$9, $D$9, 100%, $F$9) + CHOOSE(CONTROL!$C$27, 0.0021, 0)</f>
        <v>53.505600000000001</v>
      </c>
      <c r="E540" s="10">
        <f>53.3669 * CHOOSE(CONTROL!$C$9, $D$9, 100%, $F$9) + CHOOSE(CONTROL!$C$27, 0.0021, 0)</f>
        <v>53.369</v>
      </c>
      <c r="F540" s="10">
        <f>53.3669 * CHOOSE(CONTROL!$C$9, $D$9, 100%, $F$9) + CHOOSE(CONTROL!$C$27, 0.0021, 0)</f>
        <v>53.369</v>
      </c>
      <c r="G540" s="10">
        <f>53.6382 * CHOOSE(CONTROL!$C$9, $D$9, 100%, $F$9) + CHOOSE(CONTROL!$C$27, 0.0021, 0)</f>
        <v>53.640299999999996</v>
      </c>
      <c r="H540" s="10">
        <f>53.5035 * CHOOSE(CONTROL!$C$9, $D$9, 100%, $F$9) + CHOOSE(CONTROL!$C$27, 0.0021, 0)</f>
        <v>53.505600000000001</v>
      </c>
      <c r="I540" s="10">
        <f>53.5035 * CHOOSE(CONTROL!$C$9, $D$9, 100%, $F$9) + CHOOSE(CONTROL!$C$27, 0.0021, 0)</f>
        <v>53.505600000000001</v>
      </c>
      <c r="J540" s="10">
        <f>53.5035 * CHOOSE(CONTROL!$C$9, $D$9, 100%, $F$9) + CHOOSE(CONTROL!$C$27, 0.0021, 0)</f>
        <v>53.505600000000001</v>
      </c>
      <c r="K540" s="10">
        <f>53.5035 * CHOOSE(CONTROL!$C$9, $D$9, 100%, $F$9) + CHOOSE(CONTROL!$C$27, 0.0021, 0)</f>
        <v>53.505600000000001</v>
      </c>
      <c r="L540" s="10"/>
    </row>
    <row r="541" spans="1:12" ht="15.75" x14ac:dyDescent="0.25">
      <c r="A541" s="13">
        <v>57769</v>
      </c>
      <c r="B541" s="10">
        <f>52.475 * CHOOSE(CONTROL!$C$9, $D$9, 100%, $F$9) + CHOOSE(CONTROL!$C$27, 0.0021, 0)</f>
        <v>52.4771</v>
      </c>
      <c r="C541" s="10">
        <f>52.0428 * CHOOSE(CONTROL!$C$9, $D$9, 100%, $F$9) + CHOOSE(CONTROL!$C$27, 0.0021, 0)</f>
        <v>52.044899999999998</v>
      </c>
      <c r="D541" s="10">
        <f>52.0428 * CHOOSE(CONTROL!$C$9, $D$9, 100%, $F$9) + CHOOSE(CONTROL!$C$27, 0.0021, 0)</f>
        <v>52.044899999999998</v>
      </c>
      <c r="E541" s="10">
        <f>51.9061 * CHOOSE(CONTROL!$C$9, $D$9, 100%, $F$9) + CHOOSE(CONTROL!$C$27, 0.0021, 0)</f>
        <v>51.908200000000001</v>
      </c>
      <c r="F541" s="10">
        <f>51.9061 * CHOOSE(CONTROL!$C$9, $D$9, 100%, $F$9) + CHOOSE(CONTROL!$C$27, 0.0021, 0)</f>
        <v>51.908200000000001</v>
      </c>
      <c r="G541" s="10">
        <f>52.1775 * CHOOSE(CONTROL!$C$9, $D$9, 100%, $F$9) + CHOOSE(CONTROL!$C$27, 0.0021, 0)</f>
        <v>52.179600000000001</v>
      </c>
      <c r="H541" s="10">
        <f>52.0428 * CHOOSE(CONTROL!$C$9, $D$9, 100%, $F$9) + CHOOSE(CONTROL!$C$27, 0.0021, 0)</f>
        <v>52.044899999999998</v>
      </c>
      <c r="I541" s="10">
        <f>52.0428 * CHOOSE(CONTROL!$C$9, $D$9, 100%, $F$9) + CHOOSE(CONTROL!$C$27, 0.0021, 0)</f>
        <v>52.044899999999998</v>
      </c>
      <c r="J541" s="10">
        <f>52.0428 * CHOOSE(CONTROL!$C$9, $D$9, 100%, $F$9) + CHOOSE(CONTROL!$C$27, 0.0021, 0)</f>
        <v>52.044899999999998</v>
      </c>
      <c r="K541" s="10">
        <f>52.0428 * CHOOSE(CONTROL!$C$9, $D$9, 100%, $F$9) + CHOOSE(CONTROL!$C$27, 0.0021, 0)</f>
        <v>52.044899999999998</v>
      </c>
      <c r="L541" s="10"/>
    </row>
    <row r="542" spans="1:12" ht="15.75" x14ac:dyDescent="0.25">
      <c r="A542" s="13">
        <v>57800</v>
      </c>
      <c r="B542" s="10">
        <f>51.872 * CHOOSE(CONTROL!$C$9, $D$9, 100%, $F$9) + CHOOSE(CONTROL!$C$27, 0.0021, 0)</f>
        <v>51.874099999999999</v>
      </c>
      <c r="C542" s="10">
        <f>51.4398 * CHOOSE(CONTROL!$C$9, $D$9, 100%, $F$9) + CHOOSE(CONTROL!$C$27, 0.0021, 0)</f>
        <v>51.441899999999997</v>
      </c>
      <c r="D542" s="10">
        <f>51.4398 * CHOOSE(CONTROL!$C$9, $D$9, 100%, $F$9) + CHOOSE(CONTROL!$C$27, 0.0021, 0)</f>
        <v>51.441899999999997</v>
      </c>
      <c r="E542" s="10">
        <f>51.3031 * CHOOSE(CONTROL!$C$9, $D$9, 100%, $F$9) + CHOOSE(CONTROL!$C$27, 0.0021, 0)</f>
        <v>51.305199999999999</v>
      </c>
      <c r="F542" s="10">
        <f>51.3031 * CHOOSE(CONTROL!$C$9, $D$9, 100%, $F$9) + CHOOSE(CONTROL!$C$27, 0.0021, 0)</f>
        <v>51.305199999999999</v>
      </c>
      <c r="G542" s="10">
        <f>51.5745 * CHOOSE(CONTROL!$C$9, $D$9, 100%, $F$9) + CHOOSE(CONTROL!$C$27, 0.0021, 0)</f>
        <v>51.576599999999999</v>
      </c>
      <c r="H542" s="10">
        <f>51.4398 * CHOOSE(CONTROL!$C$9, $D$9, 100%, $F$9) + CHOOSE(CONTROL!$C$27, 0.0021, 0)</f>
        <v>51.441899999999997</v>
      </c>
      <c r="I542" s="10">
        <f>51.4398 * CHOOSE(CONTROL!$C$9, $D$9, 100%, $F$9) + CHOOSE(CONTROL!$C$27, 0.0021, 0)</f>
        <v>51.441899999999997</v>
      </c>
      <c r="J542" s="10">
        <f>51.4398 * CHOOSE(CONTROL!$C$9, $D$9, 100%, $F$9) + CHOOSE(CONTROL!$C$27, 0.0021, 0)</f>
        <v>51.441899999999997</v>
      </c>
      <c r="K542" s="10">
        <f>51.4398 * CHOOSE(CONTROL!$C$9, $D$9, 100%, $F$9) + CHOOSE(CONTROL!$C$27, 0.0021, 0)</f>
        <v>51.441899999999997</v>
      </c>
      <c r="L542" s="10"/>
    </row>
    <row r="543" spans="1:12" ht="15.75" x14ac:dyDescent="0.25">
      <c r="A543" s="13">
        <v>57830</v>
      </c>
      <c r="B543" s="10">
        <f>51.152 * CHOOSE(CONTROL!$C$9, $D$9, 100%, $F$9) + CHOOSE(CONTROL!$C$27, 0.0021, 0)</f>
        <v>51.1541</v>
      </c>
      <c r="C543" s="10">
        <f>50.7198 * CHOOSE(CONTROL!$C$9, $D$9, 100%, $F$9) + CHOOSE(CONTROL!$C$27, 0.0021, 0)</f>
        <v>50.721899999999998</v>
      </c>
      <c r="D543" s="10">
        <f>50.7198 * CHOOSE(CONTROL!$C$9, $D$9, 100%, $F$9) + CHOOSE(CONTROL!$C$27, 0.0021, 0)</f>
        <v>50.721899999999998</v>
      </c>
      <c r="E543" s="10">
        <f>50.5831 * CHOOSE(CONTROL!$C$9, $D$9, 100%, $F$9) + CHOOSE(CONTROL!$C$27, 0.0021, 0)</f>
        <v>50.5852</v>
      </c>
      <c r="F543" s="10">
        <f>50.5831 * CHOOSE(CONTROL!$C$9, $D$9, 100%, $F$9) + CHOOSE(CONTROL!$C$27, 0.0021, 0)</f>
        <v>50.5852</v>
      </c>
      <c r="G543" s="10">
        <f>50.8545 * CHOOSE(CONTROL!$C$9, $D$9, 100%, $F$9) + CHOOSE(CONTROL!$C$27, 0.0021, 0)</f>
        <v>50.8566</v>
      </c>
      <c r="H543" s="10">
        <f>50.7198 * CHOOSE(CONTROL!$C$9, $D$9, 100%, $F$9) + CHOOSE(CONTROL!$C$27, 0.0021, 0)</f>
        <v>50.721899999999998</v>
      </c>
      <c r="I543" s="10">
        <f>50.7198 * CHOOSE(CONTROL!$C$9, $D$9, 100%, $F$9) + CHOOSE(CONTROL!$C$27, 0.0021, 0)</f>
        <v>50.721899999999998</v>
      </c>
      <c r="J543" s="10">
        <f>50.7198 * CHOOSE(CONTROL!$C$9, $D$9, 100%, $F$9) + CHOOSE(CONTROL!$C$27, 0.0021, 0)</f>
        <v>50.721899999999998</v>
      </c>
      <c r="K543" s="10">
        <f>50.7198 * CHOOSE(CONTROL!$C$9, $D$9, 100%, $F$9) + CHOOSE(CONTROL!$C$27, 0.0021, 0)</f>
        <v>50.721899999999998</v>
      </c>
      <c r="L543" s="10"/>
    </row>
    <row r="544" spans="1:12" ht="15.75" x14ac:dyDescent="0.25">
      <c r="A544" s="13">
        <v>57861</v>
      </c>
      <c r="B544" s="10">
        <f>52.1781 * CHOOSE(CONTROL!$C$9, $D$9, 100%, $F$9) + CHOOSE(CONTROL!$C$27, 0.0021, 0)</f>
        <v>52.180199999999999</v>
      </c>
      <c r="C544" s="10">
        <f>51.7458 * CHOOSE(CONTROL!$C$9, $D$9, 100%, $F$9) + CHOOSE(CONTROL!$C$27, 0.0021, 0)</f>
        <v>51.747900000000001</v>
      </c>
      <c r="D544" s="10">
        <f>51.7458 * CHOOSE(CONTROL!$C$9, $D$9, 100%, $F$9) + CHOOSE(CONTROL!$C$27, 0.0021, 0)</f>
        <v>51.747900000000001</v>
      </c>
      <c r="E544" s="10">
        <f>51.6092 * CHOOSE(CONTROL!$C$9, $D$9, 100%, $F$9) + CHOOSE(CONTROL!$C$27, 0.0021, 0)</f>
        <v>51.6113</v>
      </c>
      <c r="F544" s="10">
        <f>51.6092 * CHOOSE(CONTROL!$C$9, $D$9, 100%, $F$9) + CHOOSE(CONTROL!$C$27, 0.0021, 0)</f>
        <v>51.6113</v>
      </c>
      <c r="G544" s="10">
        <f>51.8806 * CHOOSE(CONTROL!$C$9, $D$9, 100%, $F$9) + CHOOSE(CONTROL!$C$27, 0.0021, 0)</f>
        <v>51.8827</v>
      </c>
      <c r="H544" s="10">
        <f>51.7458 * CHOOSE(CONTROL!$C$9, $D$9, 100%, $F$9) + CHOOSE(CONTROL!$C$27, 0.0021, 0)</f>
        <v>51.747900000000001</v>
      </c>
      <c r="I544" s="10">
        <f>51.7458 * CHOOSE(CONTROL!$C$9, $D$9, 100%, $F$9) + CHOOSE(CONTROL!$C$27, 0.0021, 0)</f>
        <v>51.747900000000001</v>
      </c>
      <c r="J544" s="10">
        <f>51.7458 * CHOOSE(CONTROL!$C$9, $D$9, 100%, $F$9) + CHOOSE(CONTROL!$C$27, 0.0021, 0)</f>
        <v>51.747900000000001</v>
      </c>
      <c r="K544" s="10">
        <f>51.7458 * CHOOSE(CONTROL!$C$9, $D$9, 100%, $F$9) + CHOOSE(CONTROL!$C$27, 0.0021, 0)</f>
        <v>51.747900000000001</v>
      </c>
      <c r="L544" s="10"/>
    </row>
    <row r="545" spans="1:12" ht="15.75" x14ac:dyDescent="0.25">
      <c r="A545" s="13">
        <v>57891</v>
      </c>
      <c r="B545" s="10">
        <f>52.7927 * CHOOSE(CONTROL!$C$9, $D$9, 100%, $F$9) + CHOOSE(CONTROL!$C$27, 0.0021, 0)</f>
        <v>52.794800000000002</v>
      </c>
      <c r="C545" s="10">
        <f>52.3604 * CHOOSE(CONTROL!$C$9, $D$9, 100%, $F$9) + CHOOSE(CONTROL!$C$27, 0.0021, 0)</f>
        <v>52.362499999999997</v>
      </c>
      <c r="D545" s="10">
        <f>52.3604 * CHOOSE(CONTROL!$C$9, $D$9, 100%, $F$9) + CHOOSE(CONTROL!$C$27, 0.0021, 0)</f>
        <v>52.362499999999997</v>
      </c>
      <c r="E545" s="10">
        <f>52.2238 * CHOOSE(CONTROL!$C$9, $D$9, 100%, $F$9) + CHOOSE(CONTROL!$C$27, 0.0021, 0)</f>
        <v>52.225899999999996</v>
      </c>
      <c r="F545" s="10">
        <f>52.2238 * CHOOSE(CONTROL!$C$9, $D$9, 100%, $F$9) + CHOOSE(CONTROL!$C$27, 0.0021, 0)</f>
        <v>52.225899999999996</v>
      </c>
      <c r="G545" s="10">
        <f>52.4951 * CHOOSE(CONTROL!$C$9, $D$9, 100%, $F$9) + CHOOSE(CONTROL!$C$27, 0.0021, 0)</f>
        <v>52.497199999999999</v>
      </c>
      <c r="H545" s="10">
        <f>52.3604 * CHOOSE(CONTROL!$C$9, $D$9, 100%, $F$9) + CHOOSE(CONTROL!$C$27, 0.0021, 0)</f>
        <v>52.362499999999997</v>
      </c>
      <c r="I545" s="10">
        <f>52.3604 * CHOOSE(CONTROL!$C$9, $D$9, 100%, $F$9) + CHOOSE(CONTROL!$C$27, 0.0021, 0)</f>
        <v>52.362499999999997</v>
      </c>
      <c r="J545" s="10">
        <f>52.3604 * CHOOSE(CONTROL!$C$9, $D$9, 100%, $F$9) + CHOOSE(CONTROL!$C$27, 0.0021, 0)</f>
        <v>52.362499999999997</v>
      </c>
      <c r="K545" s="10">
        <f>52.3604 * CHOOSE(CONTROL!$C$9, $D$9, 100%, $F$9) + CHOOSE(CONTROL!$C$27, 0.0021, 0)</f>
        <v>52.362499999999997</v>
      </c>
      <c r="L545" s="10"/>
    </row>
    <row r="546" spans="1:12" ht="15.75" x14ac:dyDescent="0.25">
      <c r="A546" s="13">
        <v>57922</v>
      </c>
      <c r="B546" s="10">
        <f>53.8065 * CHOOSE(CONTROL!$C$9, $D$9, 100%, $F$9) + CHOOSE(CONTROL!$C$27, 0.0021, 0)</f>
        <v>53.808599999999998</v>
      </c>
      <c r="C546" s="10">
        <f>53.3742 * CHOOSE(CONTROL!$C$9, $D$9, 100%, $F$9) + CHOOSE(CONTROL!$C$27, 0.0021, 0)</f>
        <v>53.376300000000001</v>
      </c>
      <c r="D546" s="10">
        <f>53.3742 * CHOOSE(CONTROL!$C$9, $D$9, 100%, $F$9) + CHOOSE(CONTROL!$C$27, 0.0021, 0)</f>
        <v>53.376300000000001</v>
      </c>
      <c r="E546" s="10">
        <f>53.2376 * CHOOSE(CONTROL!$C$9, $D$9, 100%, $F$9) + CHOOSE(CONTROL!$C$27, 0.0021, 0)</f>
        <v>53.239699999999999</v>
      </c>
      <c r="F546" s="10">
        <f>53.2376 * CHOOSE(CONTROL!$C$9, $D$9, 100%, $F$9) + CHOOSE(CONTROL!$C$27, 0.0021, 0)</f>
        <v>53.239699999999999</v>
      </c>
      <c r="G546" s="10">
        <f>53.509 * CHOOSE(CONTROL!$C$9, $D$9, 100%, $F$9) + CHOOSE(CONTROL!$C$27, 0.0021, 0)</f>
        <v>53.511099999999999</v>
      </c>
      <c r="H546" s="10">
        <f>53.3742 * CHOOSE(CONTROL!$C$9, $D$9, 100%, $F$9) + CHOOSE(CONTROL!$C$27, 0.0021, 0)</f>
        <v>53.376300000000001</v>
      </c>
      <c r="I546" s="10">
        <f>53.3742 * CHOOSE(CONTROL!$C$9, $D$9, 100%, $F$9) + CHOOSE(CONTROL!$C$27, 0.0021, 0)</f>
        <v>53.376300000000001</v>
      </c>
      <c r="J546" s="10">
        <f>53.3742 * CHOOSE(CONTROL!$C$9, $D$9, 100%, $F$9) + CHOOSE(CONTROL!$C$27, 0.0021, 0)</f>
        <v>53.376300000000001</v>
      </c>
      <c r="K546" s="10">
        <f>53.3742 * CHOOSE(CONTROL!$C$9, $D$9, 100%, $F$9) + CHOOSE(CONTROL!$C$27, 0.0021, 0)</f>
        <v>53.376300000000001</v>
      </c>
      <c r="L546" s="10"/>
    </row>
    <row r="547" spans="1:12" ht="15.75" x14ac:dyDescent="0.25">
      <c r="A547" s="13">
        <v>57953</v>
      </c>
      <c r="B547" s="10">
        <f>54.1159 * CHOOSE(CONTROL!$C$9, $D$9, 100%, $F$9) + CHOOSE(CONTROL!$C$27, 0.0021, 0)</f>
        <v>54.118000000000002</v>
      </c>
      <c r="C547" s="10">
        <f>53.6837 * CHOOSE(CONTROL!$C$9, $D$9, 100%, $F$9) + CHOOSE(CONTROL!$C$27, 0.0021, 0)</f>
        <v>53.6858</v>
      </c>
      <c r="D547" s="10">
        <f>53.6837 * CHOOSE(CONTROL!$C$9, $D$9, 100%, $F$9) + CHOOSE(CONTROL!$C$27, 0.0021, 0)</f>
        <v>53.6858</v>
      </c>
      <c r="E547" s="10">
        <f>53.547 * CHOOSE(CONTROL!$C$9, $D$9, 100%, $F$9) + CHOOSE(CONTROL!$C$27, 0.0021, 0)</f>
        <v>53.549099999999996</v>
      </c>
      <c r="F547" s="10">
        <f>53.547 * CHOOSE(CONTROL!$C$9, $D$9, 100%, $F$9) + CHOOSE(CONTROL!$C$27, 0.0021, 0)</f>
        <v>53.549099999999996</v>
      </c>
      <c r="G547" s="10">
        <f>53.8184 * CHOOSE(CONTROL!$C$9, $D$9, 100%, $F$9) + CHOOSE(CONTROL!$C$27, 0.0021, 0)</f>
        <v>53.820499999999996</v>
      </c>
      <c r="H547" s="10">
        <f>53.6837 * CHOOSE(CONTROL!$C$9, $D$9, 100%, $F$9) + CHOOSE(CONTROL!$C$27, 0.0021, 0)</f>
        <v>53.6858</v>
      </c>
      <c r="I547" s="10">
        <f>53.6837 * CHOOSE(CONTROL!$C$9, $D$9, 100%, $F$9) + CHOOSE(CONTROL!$C$27, 0.0021, 0)</f>
        <v>53.6858</v>
      </c>
      <c r="J547" s="10">
        <f>53.6837 * CHOOSE(CONTROL!$C$9, $D$9, 100%, $F$9) + CHOOSE(CONTROL!$C$27, 0.0021, 0)</f>
        <v>53.6858</v>
      </c>
      <c r="K547" s="10">
        <f>53.6837 * CHOOSE(CONTROL!$C$9, $D$9, 100%, $F$9) + CHOOSE(CONTROL!$C$27, 0.0021, 0)</f>
        <v>53.6858</v>
      </c>
      <c r="L547" s="10"/>
    </row>
    <row r="548" spans="1:12" ht="15.75" x14ac:dyDescent="0.25">
      <c r="A548" s="13">
        <v>57983</v>
      </c>
      <c r="B548" s="10">
        <f>55.1698 * CHOOSE(CONTROL!$C$9, $D$9, 100%, $F$9) + CHOOSE(CONTROL!$C$27, 0.0021, 0)</f>
        <v>55.171900000000001</v>
      </c>
      <c r="C548" s="10">
        <f>54.7375 * CHOOSE(CONTROL!$C$9, $D$9, 100%, $F$9) + CHOOSE(CONTROL!$C$27, 0.0021, 0)</f>
        <v>54.739599999999996</v>
      </c>
      <c r="D548" s="10">
        <f>54.7375 * CHOOSE(CONTROL!$C$9, $D$9, 100%, $F$9) + CHOOSE(CONTROL!$C$27, 0.0021, 0)</f>
        <v>54.739599999999996</v>
      </c>
      <c r="E548" s="10">
        <f>54.6009 * CHOOSE(CONTROL!$C$9, $D$9, 100%, $F$9) + CHOOSE(CONTROL!$C$27, 0.0021, 0)</f>
        <v>54.603000000000002</v>
      </c>
      <c r="F548" s="10">
        <f>54.6009 * CHOOSE(CONTROL!$C$9, $D$9, 100%, $F$9) + CHOOSE(CONTROL!$C$27, 0.0021, 0)</f>
        <v>54.603000000000002</v>
      </c>
      <c r="G548" s="10">
        <f>54.8722 * CHOOSE(CONTROL!$C$9, $D$9, 100%, $F$9) + CHOOSE(CONTROL!$C$27, 0.0021, 0)</f>
        <v>54.874299999999998</v>
      </c>
      <c r="H548" s="10">
        <f>54.7375 * CHOOSE(CONTROL!$C$9, $D$9, 100%, $F$9) + CHOOSE(CONTROL!$C$27, 0.0021, 0)</f>
        <v>54.739599999999996</v>
      </c>
      <c r="I548" s="10">
        <f>54.7375 * CHOOSE(CONTROL!$C$9, $D$9, 100%, $F$9) + CHOOSE(CONTROL!$C$27, 0.0021, 0)</f>
        <v>54.739599999999996</v>
      </c>
      <c r="J548" s="10">
        <f>54.7375 * CHOOSE(CONTROL!$C$9, $D$9, 100%, $F$9) + CHOOSE(CONTROL!$C$27, 0.0021, 0)</f>
        <v>54.739599999999996</v>
      </c>
      <c r="K548" s="10">
        <f>54.7375 * CHOOSE(CONTROL!$C$9, $D$9, 100%, $F$9) + CHOOSE(CONTROL!$C$27, 0.0021, 0)</f>
        <v>54.739599999999996</v>
      </c>
      <c r="L548" s="10"/>
    </row>
    <row r="549" spans="1:12" ht="15.75" x14ac:dyDescent="0.25">
      <c r="A549" s="13">
        <v>58014</v>
      </c>
      <c r="B549" s="10">
        <f>56.5037 * CHOOSE(CONTROL!$C$9, $D$9, 100%, $F$9) + CHOOSE(CONTROL!$C$27, 0.0021, 0)</f>
        <v>56.505800000000001</v>
      </c>
      <c r="C549" s="10">
        <f>56.0715 * CHOOSE(CONTROL!$C$9, $D$9, 100%, $F$9) + CHOOSE(CONTROL!$C$27, 0.0021, 0)</f>
        <v>56.073599999999999</v>
      </c>
      <c r="D549" s="10">
        <f>56.0715 * CHOOSE(CONTROL!$C$9, $D$9, 100%, $F$9) + CHOOSE(CONTROL!$C$27, 0.0021, 0)</f>
        <v>56.073599999999999</v>
      </c>
      <c r="E549" s="10">
        <f>55.9348 * CHOOSE(CONTROL!$C$9, $D$9, 100%, $F$9) + CHOOSE(CONTROL!$C$27, 0.0021, 0)</f>
        <v>55.936900000000001</v>
      </c>
      <c r="F549" s="10">
        <f>55.9348 * CHOOSE(CONTROL!$C$9, $D$9, 100%, $F$9) + CHOOSE(CONTROL!$C$27, 0.0021, 0)</f>
        <v>55.936900000000001</v>
      </c>
      <c r="G549" s="10">
        <f>56.2062 * CHOOSE(CONTROL!$C$9, $D$9, 100%, $F$9) + CHOOSE(CONTROL!$C$27, 0.0021, 0)</f>
        <v>56.208300000000001</v>
      </c>
      <c r="H549" s="10">
        <f>56.0715 * CHOOSE(CONTROL!$C$9, $D$9, 100%, $F$9) + CHOOSE(CONTROL!$C$27, 0.0021, 0)</f>
        <v>56.073599999999999</v>
      </c>
      <c r="I549" s="10">
        <f>56.0715 * CHOOSE(CONTROL!$C$9, $D$9, 100%, $F$9) + CHOOSE(CONTROL!$C$27, 0.0021, 0)</f>
        <v>56.073599999999999</v>
      </c>
      <c r="J549" s="10">
        <f>56.0715 * CHOOSE(CONTROL!$C$9, $D$9, 100%, $F$9) + CHOOSE(CONTROL!$C$27, 0.0021, 0)</f>
        <v>56.073599999999999</v>
      </c>
      <c r="K549" s="10">
        <f>56.0715 * CHOOSE(CONTROL!$C$9, $D$9, 100%, $F$9) + CHOOSE(CONTROL!$C$27, 0.0021, 0)</f>
        <v>56.073599999999999</v>
      </c>
      <c r="L549" s="10"/>
    </row>
    <row r="550" spans="1:12" ht="15.75" x14ac:dyDescent="0.25">
      <c r="A550" s="13">
        <v>58044</v>
      </c>
      <c r="B550" s="10">
        <f>56.629 * CHOOSE(CONTROL!$C$9, $D$9, 100%, $F$9) + CHOOSE(CONTROL!$C$27, 0.0021, 0)</f>
        <v>56.631099999999996</v>
      </c>
      <c r="C550" s="10">
        <f>56.1967 * CHOOSE(CONTROL!$C$9, $D$9, 100%, $F$9) + CHOOSE(CONTROL!$C$27, 0.0021, 0)</f>
        <v>56.198799999999999</v>
      </c>
      <c r="D550" s="10">
        <f>56.1967 * CHOOSE(CONTROL!$C$9, $D$9, 100%, $F$9) + CHOOSE(CONTROL!$C$27, 0.0021, 0)</f>
        <v>56.198799999999999</v>
      </c>
      <c r="E550" s="10">
        <f>56.0601 * CHOOSE(CONTROL!$C$9, $D$9, 100%, $F$9) + CHOOSE(CONTROL!$C$27, 0.0021, 0)</f>
        <v>56.062199999999997</v>
      </c>
      <c r="F550" s="10">
        <f>56.0601 * CHOOSE(CONTROL!$C$9, $D$9, 100%, $F$9) + CHOOSE(CONTROL!$C$27, 0.0021, 0)</f>
        <v>56.062199999999997</v>
      </c>
      <c r="G550" s="10">
        <f>56.3314 * CHOOSE(CONTROL!$C$9, $D$9, 100%, $F$9) + CHOOSE(CONTROL!$C$27, 0.0021, 0)</f>
        <v>56.333500000000001</v>
      </c>
      <c r="H550" s="10">
        <f>56.1967 * CHOOSE(CONTROL!$C$9, $D$9, 100%, $F$9) + CHOOSE(CONTROL!$C$27, 0.0021, 0)</f>
        <v>56.198799999999999</v>
      </c>
      <c r="I550" s="10">
        <f>56.1967 * CHOOSE(CONTROL!$C$9, $D$9, 100%, $F$9) + CHOOSE(CONTROL!$C$27, 0.0021, 0)</f>
        <v>56.198799999999999</v>
      </c>
      <c r="J550" s="10">
        <f>56.1967 * CHOOSE(CONTROL!$C$9, $D$9, 100%, $F$9) + CHOOSE(CONTROL!$C$27, 0.0021, 0)</f>
        <v>56.198799999999999</v>
      </c>
      <c r="K550" s="10">
        <f>56.1967 * CHOOSE(CONTROL!$C$9, $D$9, 100%, $F$9) + CHOOSE(CONTROL!$C$27, 0.0021, 0)</f>
        <v>56.198799999999999</v>
      </c>
      <c r="L550" s="10"/>
    </row>
    <row r="551" spans="1:12" ht="15.75" x14ac:dyDescent="0.25">
      <c r="A551" s="13">
        <v>58075</v>
      </c>
      <c r="B551" s="10">
        <f>55.5636 * CHOOSE(CONTROL!$C$9, $D$9, 100%, $F$9) + CHOOSE(CONTROL!$C$27, 0.0021, 0)</f>
        <v>55.5657</v>
      </c>
      <c r="C551" s="10">
        <f>55.1313 * CHOOSE(CONTROL!$C$9, $D$9, 100%, $F$9) + CHOOSE(CONTROL!$C$27, 0.0021, 0)</f>
        <v>55.133400000000002</v>
      </c>
      <c r="D551" s="10">
        <f>55.1313 * CHOOSE(CONTROL!$C$9, $D$9, 100%, $F$9) + CHOOSE(CONTROL!$C$27, 0.0021, 0)</f>
        <v>55.133400000000002</v>
      </c>
      <c r="E551" s="10">
        <f>54.9947 * CHOOSE(CONTROL!$C$9, $D$9, 100%, $F$9) + CHOOSE(CONTROL!$C$27, 0.0021, 0)</f>
        <v>54.9968</v>
      </c>
      <c r="F551" s="10">
        <f>54.9947 * CHOOSE(CONTROL!$C$9, $D$9, 100%, $F$9) + CHOOSE(CONTROL!$C$27, 0.0021, 0)</f>
        <v>54.9968</v>
      </c>
      <c r="G551" s="10">
        <f>55.266 * CHOOSE(CONTROL!$C$9, $D$9, 100%, $F$9) + CHOOSE(CONTROL!$C$27, 0.0021, 0)</f>
        <v>55.268099999999997</v>
      </c>
      <c r="H551" s="10">
        <f>55.1313 * CHOOSE(CONTROL!$C$9, $D$9, 100%, $F$9) + CHOOSE(CONTROL!$C$27, 0.0021, 0)</f>
        <v>55.133400000000002</v>
      </c>
      <c r="I551" s="10">
        <f>55.1313 * CHOOSE(CONTROL!$C$9, $D$9, 100%, $F$9) + CHOOSE(CONTROL!$C$27, 0.0021, 0)</f>
        <v>55.133400000000002</v>
      </c>
      <c r="J551" s="10">
        <f>55.1313 * CHOOSE(CONTROL!$C$9, $D$9, 100%, $F$9) + CHOOSE(CONTROL!$C$27, 0.0021, 0)</f>
        <v>55.133400000000002</v>
      </c>
      <c r="K551" s="10">
        <f>55.1313 * CHOOSE(CONTROL!$C$9, $D$9, 100%, $F$9) + CHOOSE(CONTROL!$C$27, 0.0021, 0)</f>
        <v>55.133400000000002</v>
      </c>
      <c r="L551" s="10"/>
    </row>
    <row r="552" spans="1:12" ht="15.75" x14ac:dyDescent="0.25">
      <c r="A552" s="13">
        <v>58106</v>
      </c>
      <c r="B552" s="10">
        <f>54.7478 * CHOOSE(CONTROL!$C$9, $D$9, 100%, $F$9) + CHOOSE(CONTROL!$C$27, 0.0021, 0)</f>
        <v>54.749899999999997</v>
      </c>
      <c r="C552" s="10">
        <f>54.3156 * CHOOSE(CONTROL!$C$9, $D$9, 100%, $F$9) + CHOOSE(CONTROL!$C$27, 0.0021, 0)</f>
        <v>54.317700000000002</v>
      </c>
      <c r="D552" s="10">
        <f>54.3156 * CHOOSE(CONTROL!$C$9, $D$9, 100%, $F$9) + CHOOSE(CONTROL!$C$27, 0.0021, 0)</f>
        <v>54.317700000000002</v>
      </c>
      <c r="E552" s="10">
        <f>54.1789 * CHOOSE(CONTROL!$C$9, $D$9, 100%, $F$9) + CHOOSE(CONTROL!$C$27, 0.0021, 0)</f>
        <v>54.180999999999997</v>
      </c>
      <c r="F552" s="10">
        <f>54.1789 * CHOOSE(CONTROL!$C$9, $D$9, 100%, $F$9) + CHOOSE(CONTROL!$C$27, 0.0021, 0)</f>
        <v>54.180999999999997</v>
      </c>
      <c r="G552" s="10">
        <f>54.4503 * CHOOSE(CONTROL!$C$9, $D$9, 100%, $F$9) + CHOOSE(CONTROL!$C$27, 0.0021, 0)</f>
        <v>54.452399999999997</v>
      </c>
      <c r="H552" s="10">
        <f>54.3156 * CHOOSE(CONTROL!$C$9, $D$9, 100%, $F$9) + CHOOSE(CONTROL!$C$27, 0.0021, 0)</f>
        <v>54.317700000000002</v>
      </c>
      <c r="I552" s="10">
        <f>54.3156 * CHOOSE(CONTROL!$C$9, $D$9, 100%, $F$9) + CHOOSE(CONTROL!$C$27, 0.0021, 0)</f>
        <v>54.317700000000002</v>
      </c>
      <c r="J552" s="10">
        <f>54.3156 * CHOOSE(CONTROL!$C$9, $D$9, 100%, $F$9) + CHOOSE(CONTROL!$C$27, 0.0021, 0)</f>
        <v>54.317700000000002</v>
      </c>
      <c r="K552" s="10">
        <f>54.3156 * CHOOSE(CONTROL!$C$9, $D$9, 100%, $F$9) + CHOOSE(CONTROL!$C$27, 0.0021, 0)</f>
        <v>54.317700000000002</v>
      </c>
      <c r="L552" s="10"/>
    </row>
    <row r="553" spans="1:12" ht="15.75" x14ac:dyDescent="0.25">
      <c r="A553" s="13">
        <v>58134</v>
      </c>
      <c r="B553" s="10">
        <f>53.2641 * CHOOSE(CONTROL!$C$9, $D$9, 100%, $F$9) + CHOOSE(CONTROL!$C$27, 0.0021, 0)</f>
        <v>53.266199999999998</v>
      </c>
      <c r="C553" s="10">
        <f>52.8319 * CHOOSE(CONTROL!$C$9, $D$9, 100%, $F$9) + CHOOSE(CONTROL!$C$27, 0.0021, 0)</f>
        <v>52.833999999999996</v>
      </c>
      <c r="D553" s="10">
        <f>52.8319 * CHOOSE(CONTROL!$C$9, $D$9, 100%, $F$9) + CHOOSE(CONTROL!$C$27, 0.0021, 0)</f>
        <v>52.833999999999996</v>
      </c>
      <c r="E553" s="10">
        <f>52.6952 * CHOOSE(CONTROL!$C$9, $D$9, 100%, $F$9) + CHOOSE(CONTROL!$C$27, 0.0021, 0)</f>
        <v>52.697299999999998</v>
      </c>
      <c r="F553" s="10">
        <f>52.6952 * CHOOSE(CONTROL!$C$9, $D$9, 100%, $F$9) + CHOOSE(CONTROL!$C$27, 0.0021, 0)</f>
        <v>52.697299999999998</v>
      </c>
      <c r="G553" s="10">
        <f>52.9666 * CHOOSE(CONTROL!$C$9, $D$9, 100%, $F$9) + CHOOSE(CONTROL!$C$27, 0.0021, 0)</f>
        <v>52.968699999999998</v>
      </c>
      <c r="H553" s="10">
        <f>52.8319 * CHOOSE(CONTROL!$C$9, $D$9, 100%, $F$9) + CHOOSE(CONTROL!$C$27, 0.0021, 0)</f>
        <v>52.833999999999996</v>
      </c>
      <c r="I553" s="10">
        <f>52.8319 * CHOOSE(CONTROL!$C$9, $D$9, 100%, $F$9) + CHOOSE(CONTROL!$C$27, 0.0021, 0)</f>
        <v>52.833999999999996</v>
      </c>
      <c r="J553" s="10">
        <f>52.8319 * CHOOSE(CONTROL!$C$9, $D$9, 100%, $F$9) + CHOOSE(CONTROL!$C$27, 0.0021, 0)</f>
        <v>52.833999999999996</v>
      </c>
      <c r="K553" s="10">
        <f>52.8319 * CHOOSE(CONTROL!$C$9, $D$9, 100%, $F$9) + CHOOSE(CONTROL!$C$27, 0.0021, 0)</f>
        <v>52.833999999999996</v>
      </c>
      <c r="L553" s="10"/>
    </row>
    <row r="554" spans="1:12" ht="15.75" x14ac:dyDescent="0.25">
      <c r="A554" s="13">
        <v>58165</v>
      </c>
      <c r="B554" s="10">
        <f>52.6516 * CHOOSE(CONTROL!$C$9, $D$9, 100%, $F$9) + CHOOSE(CONTROL!$C$27, 0.0021, 0)</f>
        <v>52.653700000000001</v>
      </c>
      <c r="C554" s="10">
        <f>52.2194 * CHOOSE(CONTROL!$C$9, $D$9, 100%, $F$9) + CHOOSE(CONTROL!$C$27, 0.0021, 0)</f>
        <v>52.221499999999999</v>
      </c>
      <c r="D554" s="10">
        <f>52.2194 * CHOOSE(CONTROL!$C$9, $D$9, 100%, $F$9) + CHOOSE(CONTROL!$C$27, 0.0021, 0)</f>
        <v>52.221499999999999</v>
      </c>
      <c r="E554" s="10">
        <f>52.0827 * CHOOSE(CONTROL!$C$9, $D$9, 100%, $F$9) + CHOOSE(CONTROL!$C$27, 0.0021, 0)</f>
        <v>52.084800000000001</v>
      </c>
      <c r="F554" s="10">
        <f>52.0827 * CHOOSE(CONTROL!$C$9, $D$9, 100%, $F$9) + CHOOSE(CONTROL!$C$27, 0.0021, 0)</f>
        <v>52.084800000000001</v>
      </c>
      <c r="G554" s="10">
        <f>52.3541 * CHOOSE(CONTROL!$C$9, $D$9, 100%, $F$9) + CHOOSE(CONTROL!$C$27, 0.0021, 0)</f>
        <v>52.356200000000001</v>
      </c>
      <c r="H554" s="10">
        <f>52.2194 * CHOOSE(CONTROL!$C$9, $D$9, 100%, $F$9) + CHOOSE(CONTROL!$C$27, 0.0021, 0)</f>
        <v>52.221499999999999</v>
      </c>
      <c r="I554" s="10">
        <f>52.2194 * CHOOSE(CONTROL!$C$9, $D$9, 100%, $F$9) + CHOOSE(CONTROL!$C$27, 0.0021, 0)</f>
        <v>52.221499999999999</v>
      </c>
      <c r="J554" s="10">
        <f>52.2194 * CHOOSE(CONTROL!$C$9, $D$9, 100%, $F$9) + CHOOSE(CONTROL!$C$27, 0.0021, 0)</f>
        <v>52.221499999999999</v>
      </c>
      <c r="K554" s="10">
        <f>52.2194 * CHOOSE(CONTROL!$C$9, $D$9, 100%, $F$9) + CHOOSE(CONTROL!$C$27, 0.0021, 0)</f>
        <v>52.221499999999999</v>
      </c>
      <c r="L554" s="10"/>
    </row>
    <row r="555" spans="1:12" ht="15.75" x14ac:dyDescent="0.25">
      <c r="A555" s="13">
        <v>58195</v>
      </c>
      <c r="B555" s="10">
        <f>51.9203 * CHOOSE(CONTROL!$C$9, $D$9, 100%, $F$9) + CHOOSE(CONTROL!$C$27, 0.0021, 0)</f>
        <v>51.922399999999996</v>
      </c>
      <c r="C555" s="10">
        <f>51.4881 * CHOOSE(CONTROL!$C$9, $D$9, 100%, $F$9) + CHOOSE(CONTROL!$C$27, 0.0021, 0)</f>
        <v>51.490200000000002</v>
      </c>
      <c r="D555" s="10">
        <f>51.4881 * CHOOSE(CONTROL!$C$9, $D$9, 100%, $F$9) + CHOOSE(CONTROL!$C$27, 0.0021, 0)</f>
        <v>51.490200000000002</v>
      </c>
      <c r="E555" s="10">
        <f>51.3514 * CHOOSE(CONTROL!$C$9, $D$9, 100%, $F$9) + CHOOSE(CONTROL!$C$27, 0.0021, 0)</f>
        <v>51.353499999999997</v>
      </c>
      <c r="F555" s="10">
        <f>51.3514 * CHOOSE(CONTROL!$C$9, $D$9, 100%, $F$9) + CHOOSE(CONTROL!$C$27, 0.0021, 0)</f>
        <v>51.353499999999997</v>
      </c>
      <c r="G555" s="10">
        <f>51.6228 * CHOOSE(CONTROL!$C$9, $D$9, 100%, $F$9) + CHOOSE(CONTROL!$C$27, 0.0021, 0)</f>
        <v>51.624899999999997</v>
      </c>
      <c r="H555" s="10">
        <f>51.4881 * CHOOSE(CONTROL!$C$9, $D$9, 100%, $F$9) + CHOOSE(CONTROL!$C$27, 0.0021, 0)</f>
        <v>51.490200000000002</v>
      </c>
      <c r="I555" s="10">
        <f>51.4881 * CHOOSE(CONTROL!$C$9, $D$9, 100%, $F$9) + CHOOSE(CONTROL!$C$27, 0.0021, 0)</f>
        <v>51.490200000000002</v>
      </c>
      <c r="J555" s="10">
        <f>51.4881 * CHOOSE(CONTROL!$C$9, $D$9, 100%, $F$9) + CHOOSE(CONTROL!$C$27, 0.0021, 0)</f>
        <v>51.490200000000002</v>
      </c>
      <c r="K555" s="10">
        <f>51.4881 * CHOOSE(CONTROL!$C$9, $D$9, 100%, $F$9) + CHOOSE(CONTROL!$C$27, 0.0021, 0)</f>
        <v>51.490200000000002</v>
      </c>
      <c r="L555" s="10"/>
    </row>
    <row r="556" spans="1:12" ht="15.75" x14ac:dyDescent="0.25">
      <c r="A556" s="13">
        <v>58226</v>
      </c>
      <c r="B556" s="10">
        <f>52.9625 * CHOOSE(CONTROL!$C$9, $D$9, 100%, $F$9) + CHOOSE(CONTROL!$C$27, 0.0021, 0)</f>
        <v>52.964599999999997</v>
      </c>
      <c r="C556" s="10">
        <f>52.5303 * CHOOSE(CONTROL!$C$9, $D$9, 100%, $F$9) + CHOOSE(CONTROL!$C$27, 0.0021, 0)</f>
        <v>52.532399999999996</v>
      </c>
      <c r="D556" s="10">
        <f>52.5303 * CHOOSE(CONTROL!$C$9, $D$9, 100%, $F$9) + CHOOSE(CONTROL!$C$27, 0.0021, 0)</f>
        <v>52.532399999999996</v>
      </c>
      <c r="E556" s="10">
        <f>52.3936 * CHOOSE(CONTROL!$C$9, $D$9, 100%, $F$9) + CHOOSE(CONTROL!$C$27, 0.0021, 0)</f>
        <v>52.395699999999998</v>
      </c>
      <c r="F556" s="10">
        <f>52.3936 * CHOOSE(CONTROL!$C$9, $D$9, 100%, $F$9) + CHOOSE(CONTROL!$C$27, 0.0021, 0)</f>
        <v>52.395699999999998</v>
      </c>
      <c r="G556" s="10">
        <f>52.665 * CHOOSE(CONTROL!$C$9, $D$9, 100%, $F$9) + CHOOSE(CONTROL!$C$27, 0.0021, 0)</f>
        <v>52.667099999999998</v>
      </c>
      <c r="H556" s="10">
        <f>52.5303 * CHOOSE(CONTROL!$C$9, $D$9, 100%, $F$9) + CHOOSE(CONTROL!$C$27, 0.0021, 0)</f>
        <v>52.532399999999996</v>
      </c>
      <c r="I556" s="10">
        <f>52.5303 * CHOOSE(CONTROL!$C$9, $D$9, 100%, $F$9) + CHOOSE(CONTROL!$C$27, 0.0021, 0)</f>
        <v>52.532399999999996</v>
      </c>
      <c r="J556" s="10">
        <f>52.5303 * CHOOSE(CONTROL!$C$9, $D$9, 100%, $F$9) + CHOOSE(CONTROL!$C$27, 0.0021, 0)</f>
        <v>52.532399999999996</v>
      </c>
      <c r="K556" s="10">
        <f>52.5303 * CHOOSE(CONTROL!$C$9, $D$9, 100%, $F$9) + CHOOSE(CONTROL!$C$27, 0.0021, 0)</f>
        <v>52.532399999999996</v>
      </c>
      <c r="L556" s="10"/>
    </row>
    <row r="557" spans="1:12" ht="15.75" x14ac:dyDescent="0.25">
      <c r="A557" s="13">
        <v>58256</v>
      </c>
      <c r="B557" s="10">
        <f>53.5868 * CHOOSE(CONTROL!$C$9, $D$9, 100%, $F$9) + CHOOSE(CONTROL!$C$27, 0.0021, 0)</f>
        <v>53.588899999999995</v>
      </c>
      <c r="C557" s="10">
        <f>53.1545 * CHOOSE(CONTROL!$C$9, $D$9, 100%, $F$9) + CHOOSE(CONTROL!$C$27, 0.0021, 0)</f>
        <v>53.156599999999997</v>
      </c>
      <c r="D557" s="10">
        <f>53.1545 * CHOOSE(CONTROL!$C$9, $D$9, 100%, $F$9) + CHOOSE(CONTROL!$C$27, 0.0021, 0)</f>
        <v>53.156599999999997</v>
      </c>
      <c r="E557" s="10">
        <f>53.0179 * CHOOSE(CONTROL!$C$9, $D$9, 100%, $F$9) + CHOOSE(CONTROL!$C$27, 0.0021, 0)</f>
        <v>53.019999999999996</v>
      </c>
      <c r="F557" s="10">
        <f>53.0179 * CHOOSE(CONTROL!$C$9, $D$9, 100%, $F$9) + CHOOSE(CONTROL!$C$27, 0.0021, 0)</f>
        <v>53.019999999999996</v>
      </c>
      <c r="G557" s="10">
        <f>53.2893 * CHOOSE(CONTROL!$C$9, $D$9, 100%, $F$9) + CHOOSE(CONTROL!$C$27, 0.0021, 0)</f>
        <v>53.291399999999996</v>
      </c>
      <c r="H557" s="10">
        <f>53.1545 * CHOOSE(CONTROL!$C$9, $D$9, 100%, $F$9) + CHOOSE(CONTROL!$C$27, 0.0021, 0)</f>
        <v>53.156599999999997</v>
      </c>
      <c r="I557" s="10">
        <f>53.1545 * CHOOSE(CONTROL!$C$9, $D$9, 100%, $F$9) + CHOOSE(CONTROL!$C$27, 0.0021, 0)</f>
        <v>53.156599999999997</v>
      </c>
      <c r="J557" s="10">
        <f>53.1545 * CHOOSE(CONTROL!$C$9, $D$9, 100%, $F$9) + CHOOSE(CONTROL!$C$27, 0.0021, 0)</f>
        <v>53.156599999999997</v>
      </c>
      <c r="K557" s="10">
        <f>53.1545 * CHOOSE(CONTROL!$C$9, $D$9, 100%, $F$9) + CHOOSE(CONTROL!$C$27, 0.0021, 0)</f>
        <v>53.156599999999997</v>
      </c>
      <c r="L557" s="10"/>
    </row>
    <row r="558" spans="1:12" ht="15.75" x14ac:dyDescent="0.25">
      <c r="A558" s="13">
        <v>58287</v>
      </c>
      <c r="B558" s="10">
        <f>54.6166 * CHOOSE(CONTROL!$C$9, $D$9, 100%, $F$9) + CHOOSE(CONTROL!$C$27, 0.0021, 0)</f>
        <v>54.618699999999997</v>
      </c>
      <c r="C558" s="10">
        <f>54.1843 * CHOOSE(CONTROL!$C$9, $D$9, 100%, $F$9) + CHOOSE(CONTROL!$C$27, 0.0021, 0)</f>
        <v>54.186399999999999</v>
      </c>
      <c r="D558" s="10">
        <f>54.1843 * CHOOSE(CONTROL!$C$9, $D$9, 100%, $F$9) + CHOOSE(CONTROL!$C$27, 0.0021, 0)</f>
        <v>54.186399999999999</v>
      </c>
      <c r="E558" s="10">
        <f>54.0476 * CHOOSE(CONTROL!$C$9, $D$9, 100%, $F$9) + CHOOSE(CONTROL!$C$27, 0.0021, 0)</f>
        <v>54.049700000000001</v>
      </c>
      <c r="F558" s="10">
        <f>54.0476 * CHOOSE(CONTROL!$C$9, $D$9, 100%, $F$9) + CHOOSE(CONTROL!$C$27, 0.0021, 0)</f>
        <v>54.049700000000001</v>
      </c>
      <c r="G558" s="10">
        <f>54.319 * CHOOSE(CONTROL!$C$9, $D$9, 100%, $F$9) + CHOOSE(CONTROL!$C$27, 0.0021, 0)</f>
        <v>54.321100000000001</v>
      </c>
      <c r="H558" s="10">
        <f>54.1843 * CHOOSE(CONTROL!$C$9, $D$9, 100%, $F$9) + CHOOSE(CONTROL!$C$27, 0.0021, 0)</f>
        <v>54.186399999999999</v>
      </c>
      <c r="I558" s="10">
        <f>54.1843 * CHOOSE(CONTROL!$C$9, $D$9, 100%, $F$9) + CHOOSE(CONTROL!$C$27, 0.0021, 0)</f>
        <v>54.186399999999999</v>
      </c>
      <c r="J558" s="10">
        <f>54.1843 * CHOOSE(CONTROL!$C$9, $D$9, 100%, $F$9) + CHOOSE(CONTROL!$C$27, 0.0021, 0)</f>
        <v>54.186399999999999</v>
      </c>
      <c r="K558" s="10">
        <f>54.1843 * CHOOSE(CONTROL!$C$9, $D$9, 100%, $F$9) + CHOOSE(CONTROL!$C$27, 0.0021, 0)</f>
        <v>54.186399999999999</v>
      </c>
      <c r="L558" s="10"/>
    </row>
    <row r="559" spans="1:12" ht="15.75" x14ac:dyDescent="0.25">
      <c r="A559" s="13">
        <v>58318</v>
      </c>
      <c r="B559" s="10">
        <f>54.9309 * CHOOSE(CONTROL!$C$9, $D$9, 100%, $F$9) + CHOOSE(CONTROL!$C$27, 0.0021, 0)</f>
        <v>54.933</v>
      </c>
      <c r="C559" s="10">
        <f>54.4986 * CHOOSE(CONTROL!$C$9, $D$9, 100%, $F$9) + CHOOSE(CONTROL!$C$27, 0.0021, 0)</f>
        <v>54.500700000000002</v>
      </c>
      <c r="D559" s="10">
        <f>54.4986 * CHOOSE(CONTROL!$C$9, $D$9, 100%, $F$9) + CHOOSE(CONTROL!$C$27, 0.0021, 0)</f>
        <v>54.500700000000002</v>
      </c>
      <c r="E559" s="10">
        <f>54.362 * CHOOSE(CONTROL!$C$9, $D$9, 100%, $F$9) + CHOOSE(CONTROL!$C$27, 0.0021, 0)</f>
        <v>54.364100000000001</v>
      </c>
      <c r="F559" s="10">
        <f>54.362 * CHOOSE(CONTROL!$C$9, $D$9, 100%, $F$9) + CHOOSE(CONTROL!$C$27, 0.0021, 0)</f>
        <v>54.364100000000001</v>
      </c>
      <c r="G559" s="10">
        <f>54.6333 * CHOOSE(CONTROL!$C$9, $D$9, 100%, $F$9) + CHOOSE(CONTROL!$C$27, 0.0021, 0)</f>
        <v>54.635399999999997</v>
      </c>
      <c r="H559" s="10">
        <f>54.4986 * CHOOSE(CONTROL!$C$9, $D$9, 100%, $F$9) + CHOOSE(CONTROL!$C$27, 0.0021, 0)</f>
        <v>54.500700000000002</v>
      </c>
      <c r="I559" s="10">
        <f>54.4986 * CHOOSE(CONTROL!$C$9, $D$9, 100%, $F$9) + CHOOSE(CONTROL!$C$27, 0.0021, 0)</f>
        <v>54.500700000000002</v>
      </c>
      <c r="J559" s="10">
        <f>54.4986 * CHOOSE(CONTROL!$C$9, $D$9, 100%, $F$9) + CHOOSE(CONTROL!$C$27, 0.0021, 0)</f>
        <v>54.500700000000002</v>
      </c>
      <c r="K559" s="10">
        <f>54.4986 * CHOOSE(CONTROL!$C$9, $D$9, 100%, $F$9) + CHOOSE(CONTROL!$C$27, 0.0021, 0)</f>
        <v>54.500700000000002</v>
      </c>
      <c r="L559" s="10"/>
    </row>
    <row r="560" spans="1:12" ht="15.75" x14ac:dyDescent="0.25">
      <c r="A560" s="13">
        <v>58348</v>
      </c>
      <c r="B560" s="10">
        <f>56.0013 * CHOOSE(CONTROL!$C$9, $D$9, 100%, $F$9) + CHOOSE(CONTROL!$C$27, 0.0021, 0)</f>
        <v>56.003399999999999</v>
      </c>
      <c r="C560" s="10">
        <f>55.569 * CHOOSE(CONTROL!$C$9, $D$9, 100%, $F$9) + CHOOSE(CONTROL!$C$27, 0.0021, 0)</f>
        <v>55.571100000000001</v>
      </c>
      <c r="D560" s="10">
        <f>55.569 * CHOOSE(CONTROL!$C$9, $D$9, 100%, $F$9) + CHOOSE(CONTROL!$C$27, 0.0021, 0)</f>
        <v>55.571100000000001</v>
      </c>
      <c r="E560" s="10">
        <f>55.4324 * CHOOSE(CONTROL!$C$9, $D$9, 100%, $F$9) + CHOOSE(CONTROL!$C$27, 0.0021, 0)</f>
        <v>55.4345</v>
      </c>
      <c r="F560" s="10">
        <f>55.4324 * CHOOSE(CONTROL!$C$9, $D$9, 100%, $F$9) + CHOOSE(CONTROL!$C$27, 0.0021, 0)</f>
        <v>55.4345</v>
      </c>
      <c r="G560" s="10">
        <f>55.7037 * CHOOSE(CONTROL!$C$9, $D$9, 100%, $F$9) + CHOOSE(CONTROL!$C$27, 0.0021, 0)</f>
        <v>55.705799999999996</v>
      </c>
      <c r="H560" s="10">
        <f>55.569 * CHOOSE(CONTROL!$C$9, $D$9, 100%, $F$9) + CHOOSE(CONTROL!$C$27, 0.0021, 0)</f>
        <v>55.571100000000001</v>
      </c>
      <c r="I560" s="10">
        <f>55.569 * CHOOSE(CONTROL!$C$9, $D$9, 100%, $F$9) + CHOOSE(CONTROL!$C$27, 0.0021, 0)</f>
        <v>55.571100000000001</v>
      </c>
      <c r="J560" s="10">
        <f>55.569 * CHOOSE(CONTROL!$C$9, $D$9, 100%, $F$9) + CHOOSE(CONTROL!$C$27, 0.0021, 0)</f>
        <v>55.571100000000001</v>
      </c>
      <c r="K560" s="10">
        <f>55.569 * CHOOSE(CONTROL!$C$9, $D$9, 100%, $F$9) + CHOOSE(CONTROL!$C$27, 0.0021, 0)</f>
        <v>55.571100000000001</v>
      </c>
      <c r="L560" s="10"/>
    </row>
    <row r="561" spans="1:12" ht="15.75" x14ac:dyDescent="0.25">
      <c r="A561" s="13">
        <v>58379</v>
      </c>
      <c r="B561" s="10">
        <f>57.3562 * CHOOSE(CONTROL!$C$9, $D$9, 100%, $F$9) + CHOOSE(CONTROL!$C$27, 0.0021, 0)</f>
        <v>57.3583</v>
      </c>
      <c r="C561" s="10">
        <f>56.924 * CHOOSE(CONTROL!$C$9, $D$9, 100%, $F$9) + CHOOSE(CONTROL!$C$27, 0.0021, 0)</f>
        <v>56.926099999999998</v>
      </c>
      <c r="D561" s="10">
        <f>56.924 * CHOOSE(CONTROL!$C$9, $D$9, 100%, $F$9) + CHOOSE(CONTROL!$C$27, 0.0021, 0)</f>
        <v>56.926099999999998</v>
      </c>
      <c r="E561" s="10">
        <f>56.7873 * CHOOSE(CONTROL!$C$9, $D$9, 100%, $F$9) + CHOOSE(CONTROL!$C$27, 0.0021, 0)</f>
        <v>56.789400000000001</v>
      </c>
      <c r="F561" s="10">
        <f>56.7873 * CHOOSE(CONTROL!$C$9, $D$9, 100%, $F$9) + CHOOSE(CONTROL!$C$27, 0.0021, 0)</f>
        <v>56.789400000000001</v>
      </c>
      <c r="G561" s="10">
        <f>57.0587 * CHOOSE(CONTROL!$C$9, $D$9, 100%, $F$9) + CHOOSE(CONTROL!$C$27, 0.0021, 0)</f>
        <v>57.0608</v>
      </c>
      <c r="H561" s="10">
        <f>56.924 * CHOOSE(CONTROL!$C$9, $D$9, 100%, $F$9) + CHOOSE(CONTROL!$C$27, 0.0021, 0)</f>
        <v>56.926099999999998</v>
      </c>
      <c r="I561" s="10">
        <f>56.924 * CHOOSE(CONTROL!$C$9, $D$9, 100%, $F$9) + CHOOSE(CONTROL!$C$27, 0.0021, 0)</f>
        <v>56.926099999999998</v>
      </c>
      <c r="J561" s="10">
        <f>56.924 * CHOOSE(CONTROL!$C$9, $D$9, 100%, $F$9) + CHOOSE(CONTROL!$C$27, 0.0021, 0)</f>
        <v>56.926099999999998</v>
      </c>
      <c r="K561" s="10">
        <f>56.924 * CHOOSE(CONTROL!$C$9, $D$9, 100%, $F$9) + CHOOSE(CONTROL!$C$27, 0.0021, 0)</f>
        <v>56.926099999999998</v>
      </c>
      <c r="L561" s="10"/>
    </row>
    <row r="562" spans="1:12" ht="15.75" x14ac:dyDescent="0.25">
      <c r="A562" s="13">
        <v>58409</v>
      </c>
      <c r="B562" s="10">
        <f>57.4834 * CHOOSE(CONTROL!$C$9, $D$9, 100%, $F$9) + CHOOSE(CONTROL!$C$27, 0.0021, 0)</f>
        <v>57.485500000000002</v>
      </c>
      <c r="C562" s="10">
        <f>57.0512 * CHOOSE(CONTROL!$C$9, $D$9, 100%, $F$9) + CHOOSE(CONTROL!$C$27, 0.0021, 0)</f>
        <v>57.0533</v>
      </c>
      <c r="D562" s="10">
        <f>57.0512 * CHOOSE(CONTROL!$C$9, $D$9, 100%, $F$9) + CHOOSE(CONTROL!$C$27, 0.0021, 0)</f>
        <v>57.0533</v>
      </c>
      <c r="E562" s="10">
        <f>56.9145 * CHOOSE(CONTROL!$C$9, $D$9, 100%, $F$9) + CHOOSE(CONTROL!$C$27, 0.0021, 0)</f>
        <v>56.916599999999995</v>
      </c>
      <c r="F562" s="10">
        <f>56.9145 * CHOOSE(CONTROL!$C$9, $D$9, 100%, $F$9) + CHOOSE(CONTROL!$C$27, 0.0021, 0)</f>
        <v>56.916599999999995</v>
      </c>
      <c r="G562" s="10">
        <f>57.1859 * CHOOSE(CONTROL!$C$9, $D$9, 100%, $F$9) + CHOOSE(CONTROL!$C$27, 0.0021, 0)</f>
        <v>57.187999999999995</v>
      </c>
      <c r="H562" s="10">
        <f>57.0512 * CHOOSE(CONTROL!$C$9, $D$9, 100%, $F$9) + CHOOSE(CONTROL!$C$27, 0.0021, 0)</f>
        <v>57.0533</v>
      </c>
      <c r="I562" s="10">
        <f>57.0512 * CHOOSE(CONTROL!$C$9, $D$9, 100%, $F$9) + CHOOSE(CONTROL!$C$27, 0.0021, 0)</f>
        <v>57.0533</v>
      </c>
      <c r="J562" s="10">
        <f>57.0512 * CHOOSE(CONTROL!$C$9, $D$9, 100%, $F$9) + CHOOSE(CONTROL!$C$27, 0.0021, 0)</f>
        <v>57.0533</v>
      </c>
      <c r="K562" s="10">
        <f>57.0512 * CHOOSE(CONTROL!$C$9, $D$9, 100%, $F$9) + CHOOSE(CONTROL!$C$27, 0.0021, 0)</f>
        <v>57.0533</v>
      </c>
      <c r="L562" s="10"/>
    </row>
    <row r="563" spans="1:12" ht="15.75" x14ac:dyDescent="0.25">
      <c r="A563" s="13">
        <v>58440</v>
      </c>
      <c r="B563" s="10">
        <f>56.4012 * CHOOSE(CONTROL!$C$9, $D$9, 100%, $F$9) + CHOOSE(CONTROL!$C$27, 0.0021, 0)</f>
        <v>56.403300000000002</v>
      </c>
      <c r="C563" s="10">
        <f>55.969 * CHOOSE(CONTROL!$C$9, $D$9, 100%, $F$9) + CHOOSE(CONTROL!$C$27, 0.0021, 0)</f>
        <v>55.9711</v>
      </c>
      <c r="D563" s="10">
        <f>55.969 * CHOOSE(CONTROL!$C$9, $D$9, 100%, $F$9) + CHOOSE(CONTROL!$C$27, 0.0021, 0)</f>
        <v>55.9711</v>
      </c>
      <c r="E563" s="10">
        <f>55.8323 * CHOOSE(CONTROL!$C$9, $D$9, 100%, $F$9) + CHOOSE(CONTROL!$C$27, 0.0021, 0)</f>
        <v>55.834399999999995</v>
      </c>
      <c r="F563" s="10">
        <f>55.8323 * CHOOSE(CONTROL!$C$9, $D$9, 100%, $F$9) + CHOOSE(CONTROL!$C$27, 0.0021, 0)</f>
        <v>55.834399999999995</v>
      </c>
      <c r="G563" s="10">
        <f>56.1037 * CHOOSE(CONTROL!$C$9, $D$9, 100%, $F$9) + CHOOSE(CONTROL!$C$27, 0.0021, 0)</f>
        <v>56.105800000000002</v>
      </c>
      <c r="H563" s="10">
        <f>55.969 * CHOOSE(CONTROL!$C$9, $D$9, 100%, $F$9) + CHOOSE(CONTROL!$C$27, 0.0021, 0)</f>
        <v>55.9711</v>
      </c>
      <c r="I563" s="10">
        <f>55.969 * CHOOSE(CONTROL!$C$9, $D$9, 100%, $F$9) + CHOOSE(CONTROL!$C$27, 0.0021, 0)</f>
        <v>55.9711</v>
      </c>
      <c r="J563" s="10">
        <f>55.969 * CHOOSE(CONTROL!$C$9, $D$9, 100%, $F$9) + CHOOSE(CONTROL!$C$27, 0.0021, 0)</f>
        <v>55.9711</v>
      </c>
      <c r="K563" s="10">
        <f>55.969 * CHOOSE(CONTROL!$C$9, $D$9, 100%, $F$9) + CHOOSE(CONTROL!$C$27, 0.0021, 0)</f>
        <v>55.9711</v>
      </c>
      <c r="L563" s="10"/>
    </row>
    <row r="564" spans="1:12" ht="15.75" x14ac:dyDescent="0.25">
      <c r="A564" s="13">
        <v>58471</v>
      </c>
      <c r="B564" s="10">
        <f>55.5727 * CHOOSE(CONTROL!$C$9, $D$9, 100%, $F$9) + CHOOSE(CONTROL!$C$27, 0.0021, 0)</f>
        <v>55.574799999999996</v>
      </c>
      <c r="C564" s="10">
        <f>55.1405 * CHOOSE(CONTROL!$C$9, $D$9, 100%, $F$9) + CHOOSE(CONTROL!$C$27, 0.0021, 0)</f>
        <v>55.142600000000002</v>
      </c>
      <c r="D564" s="10">
        <f>55.1405 * CHOOSE(CONTROL!$C$9, $D$9, 100%, $F$9) + CHOOSE(CONTROL!$C$27, 0.0021, 0)</f>
        <v>55.142600000000002</v>
      </c>
      <c r="E564" s="10">
        <f>55.0038 * CHOOSE(CONTROL!$C$9, $D$9, 100%, $F$9) + CHOOSE(CONTROL!$C$27, 0.0021, 0)</f>
        <v>55.005899999999997</v>
      </c>
      <c r="F564" s="10">
        <f>55.0038 * CHOOSE(CONTROL!$C$9, $D$9, 100%, $F$9) + CHOOSE(CONTROL!$C$27, 0.0021, 0)</f>
        <v>55.005899999999997</v>
      </c>
      <c r="G564" s="10">
        <f>55.2752 * CHOOSE(CONTROL!$C$9, $D$9, 100%, $F$9) + CHOOSE(CONTROL!$C$27, 0.0021, 0)</f>
        <v>55.277299999999997</v>
      </c>
      <c r="H564" s="10">
        <f>55.1405 * CHOOSE(CONTROL!$C$9, $D$9, 100%, $F$9) + CHOOSE(CONTROL!$C$27, 0.0021, 0)</f>
        <v>55.142600000000002</v>
      </c>
      <c r="I564" s="10">
        <f>55.1405 * CHOOSE(CONTROL!$C$9, $D$9, 100%, $F$9) + CHOOSE(CONTROL!$C$27, 0.0021, 0)</f>
        <v>55.142600000000002</v>
      </c>
      <c r="J564" s="10">
        <f>55.1405 * CHOOSE(CONTROL!$C$9, $D$9, 100%, $F$9) + CHOOSE(CONTROL!$C$27, 0.0021, 0)</f>
        <v>55.142600000000002</v>
      </c>
      <c r="K564" s="10">
        <f>55.1405 * CHOOSE(CONTROL!$C$9, $D$9, 100%, $F$9) + CHOOSE(CONTROL!$C$27, 0.0021, 0)</f>
        <v>55.142600000000002</v>
      </c>
      <c r="L564" s="10"/>
    </row>
    <row r="565" spans="1:12" ht="15.75" x14ac:dyDescent="0.25">
      <c r="A565" s="13">
        <v>58499</v>
      </c>
      <c r="B565" s="10">
        <f>54.0656 * CHOOSE(CONTROL!$C$9, $D$9, 100%, $F$9) + CHOOSE(CONTROL!$C$27, 0.0021, 0)</f>
        <v>54.067700000000002</v>
      </c>
      <c r="C565" s="10">
        <f>53.6334 * CHOOSE(CONTROL!$C$9, $D$9, 100%, $F$9) + CHOOSE(CONTROL!$C$27, 0.0021, 0)</f>
        <v>53.6355</v>
      </c>
      <c r="D565" s="10">
        <f>53.6334 * CHOOSE(CONTROL!$C$9, $D$9, 100%, $F$9) + CHOOSE(CONTROL!$C$27, 0.0021, 0)</f>
        <v>53.6355</v>
      </c>
      <c r="E565" s="10">
        <f>53.4967 * CHOOSE(CONTROL!$C$9, $D$9, 100%, $F$9) + CHOOSE(CONTROL!$C$27, 0.0021, 0)</f>
        <v>53.498799999999996</v>
      </c>
      <c r="F565" s="10">
        <f>53.4967 * CHOOSE(CONTROL!$C$9, $D$9, 100%, $F$9) + CHOOSE(CONTROL!$C$27, 0.0021, 0)</f>
        <v>53.498799999999996</v>
      </c>
      <c r="G565" s="10">
        <f>53.7681 * CHOOSE(CONTROL!$C$9, $D$9, 100%, $F$9) + CHOOSE(CONTROL!$C$27, 0.0021, 0)</f>
        <v>53.770199999999996</v>
      </c>
      <c r="H565" s="10">
        <f>53.6334 * CHOOSE(CONTROL!$C$9, $D$9, 100%, $F$9) + CHOOSE(CONTROL!$C$27, 0.0021, 0)</f>
        <v>53.6355</v>
      </c>
      <c r="I565" s="10">
        <f>53.6334 * CHOOSE(CONTROL!$C$9, $D$9, 100%, $F$9) + CHOOSE(CONTROL!$C$27, 0.0021, 0)</f>
        <v>53.6355</v>
      </c>
      <c r="J565" s="10">
        <f>53.6334 * CHOOSE(CONTROL!$C$9, $D$9, 100%, $F$9) + CHOOSE(CONTROL!$C$27, 0.0021, 0)</f>
        <v>53.6355</v>
      </c>
      <c r="K565" s="10">
        <f>53.6334 * CHOOSE(CONTROL!$C$9, $D$9, 100%, $F$9) + CHOOSE(CONTROL!$C$27, 0.0021, 0)</f>
        <v>53.6355</v>
      </c>
      <c r="L565" s="10"/>
    </row>
    <row r="566" spans="1:12" ht="15.75" x14ac:dyDescent="0.25">
      <c r="A566" s="13">
        <v>58531</v>
      </c>
      <c r="B566" s="10">
        <f>53.4435 * CHOOSE(CONTROL!$C$9, $D$9, 100%, $F$9) + CHOOSE(CONTROL!$C$27, 0.0021, 0)</f>
        <v>53.445599999999999</v>
      </c>
      <c r="C566" s="10">
        <f>53.0113 * CHOOSE(CONTROL!$C$9, $D$9, 100%, $F$9) + CHOOSE(CONTROL!$C$27, 0.0021, 0)</f>
        <v>53.013399999999997</v>
      </c>
      <c r="D566" s="10">
        <f>53.0113 * CHOOSE(CONTROL!$C$9, $D$9, 100%, $F$9) + CHOOSE(CONTROL!$C$27, 0.0021, 0)</f>
        <v>53.013399999999997</v>
      </c>
      <c r="E566" s="10">
        <f>52.8746 * CHOOSE(CONTROL!$C$9, $D$9, 100%, $F$9) + CHOOSE(CONTROL!$C$27, 0.0021, 0)</f>
        <v>52.8767</v>
      </c>
      <c r="F566" s="10">
        <f>52.8746 * CHOOSE(CONTROL!$C$9, $D$9, 100%, $F$9) + CHOOSE(CONTROL!$C$27, 0.0021, 0)</f>
        <v>52.8767</v>
      </c>
      <c r="G566" s="10">
        <f>53.146 * CHOOSE(CONTROL!$C$9, $D$9, 100%, $F$9) + CHOOSE(CONTROL!$C$27, 0.0021, 0)</f>
        <v>53.148099999999999</v>
      </c>
      <c r="H566" s="10">
        <f>53.0113 * CHOOSE(CONTROL!$C$9, $D$9, 100%, $F$9) + CHOOSE(CONTROL!$C$27, 0.0021, 0)</f>
        <v>53.013399999999997</v>
      </c>
      <c r="I566" s="10">
        <f>53.0113 * CHOOSE(CONTROL!$C$9, $D$9, 100%, $F$9) + CHOOSE(CONTROL!$C$27, 0.0021, 0)</f>
        <v>53.013399999999997</v>
      </c>
      <c r="J566" s="10">
        <f>53.0113 * CHOOSE(CONTROL!$C$9, $D$9, 100%, $F$9) + CHOOSE(CONTROL!$C$27, 0.0021, 0)</f>
        <v>53.013399999999997</v>
      </c>
      <c r="K566" s="10">
        <f>53.0113 * CHOOSE(CONTROL!$C$9, $D$9, 100%, $F$9) + CHOOSE(CONTROL!$C$27, 0.0021, 0)</f>
        <v>53.013399999999997</v>
      </c>
      <c r="L566" s="10"/>
    </row>
    <row r="567" spans="1:12" ht="15.75" x14ac:dyDescent="0.25">
      <c r="A567" s="13">
        <v>58561</v>
      </c>
      <c r="B567" s="10">
        <f>52.7007 * CHOOSE(CONTROL!$C$9, $D$9, 100%, $F$9) + CHOOSE(CONTROL!$C$27, 0.0021, 0)</f>
        <v>52.702799999999996</v>
      </c>
      <c r="C567" s="10">
        <f>52.2685 * CHOOSE(CONTROL!$C$9, $D$9, 100%, $F$9) + CHOOSE(CONTROL!$C$27, 0.0021, 0)</f>
        <v>52.270600000000002</v>
      </c>
      <c r="D567" s="10">
        <f>52.2685 * CHOOSE(CONTROL!$C$9, $D$9, 100%, $F$9) + CHOOSE(CONTROL!$C$27, 0.0021, 0)</f>
        <v>52.270600000000002</v>
      </c>
      <c r="E567" s="10">
        <f>52.1318 * CHOOSE(CONTROL!$C$9, $D$9, 100%, $F$9) + CHOOSE(CONTROL!$C$27, 0.0021, 0)</f>
        <v>52.133899999999997</v>
      </c>
      <c r="F567" s="10">
        <f>52.1318 * CHOOSE(CONTROL!$C$9, $D$9, 100%, $F$9) + CHOOSE(CONTROL!$C$27, 0.0021, 0)</f>
        <v>52.133899999999997</v>
      </c>
      <c r="G567" s="10">
        <f>52.4032 * CHOOSE(CONTROL!$C$9, $D$9, 100%, $F$9) + CHOOSE(CONTROL!$C$27, 0.0021, 0)</f>
        <v>52.405299999999997</v>
      </c>
      <c r="H567" s="10">
        <f>52.2685 * CHOOSE(CONTROL!$C$9, $D$9, 100%, $F$9) + CHOOSE(CONTROL!$C$27, 0.0021, 0)</f>
        <v>52.270600000000002</v>
      </c>
      <c r="I567" s="10">
        <f>52.2685 * CHOOSE(CONTROL!$C$9, $D$9, 100%, $F$9) + CHOOSE(CONTROL!$C$27, 0.0021, 0)</f>
        <v>52.270600000000002</v>
      </c>
      <c r="J567" s="10">
        <f>52.2685 * CHOOSE(CONTROL!$C$9, $D$9, 100%, $F$9) + CHOOSE(CONTROL!$C$27, 0.0021, 0)</f>
        <v>52.270600000000002</v>
      </c>
      <c r="K567" s="10">
        <f>52.2685 * CHOOSE(CONTROL!$C$9, $D$9, 100%, $F$9) + CHOOSE(CONTROL!$C$27, 0.0021, 0)</f>
        <v>52.270600000000002</v>
      </c>
      <c r="L567" s="10"/>
    </row>
    <row r="568" spans="1:12" ht="15.75" x14ac:dyDescent="0.25">
      <c r="A568" s="13">
        <v>58592</v>
      </c>
      <c r="B568" s="10">
        <f>53.7593 * CHOOSE(CONTROL!$C$9, $D$9, 100%, $F$9) + CHOOSE(CONTROL!$C$27, 0.0021, 0)</f>
        <v>53.761400000000002</v>
      </c>
      <c r="C568" s="10">
        <f>53.3271 * CHOOSE(CONTROL!$C$9, $D$9, 100%, $F$9) + CHOOSE(CONTROL!$C$27, 0.0021, 0)</f>
        <v>53.3292</v>
      </c>
      <c r="D568" s="10">
        <f>53.3271 * CHOOSE(CONTROL!$C$9, $D$9, 100%, $F$9) + CHOOSE(CONTROL!$C$27, 0.0021, 0)</f>
        <v>53.3292</v>
      </c>
      <c r="E568" s="10">
        <f>53.1904 * CHOOSE(CONTROL!$C$9, $D$9, 100%, $F$9) + CHOOSE(CONTROL!$C$27, 0.0021, 0)</f>
        <v>53.192499999999995</v>
      </c>
      <c r="F568" s="10">
        <f>53.1904 * CHOOSE(CONTROL!$C$9, $D$9, 100%, $F$9) + CHOOSE(CONTROL!$C$27, 0.0021, 0)</f>
        <v>53.192499999999995</v>
      </c>
      <c r="G568" s="10">
        <f>53.4618 * CHOOSE(CONTROL!$C$9, $D$9, 100%, $F$9) + CHOOSE(CONTROL!$C$27, 0.0021, 0)</f>
        <v>53.463899999999995</v>
      </c>
      <c r="H568" s="10">
        <f>53.3271 * CHOOSE(CONTROL!$C$9, $D$9, 100%, $F$9) + CHOOSE(CONTROL!$C$27, 0.0021, 0)</f>
        <v>53.3292</v>
      </c>
      <c r="I568" s="10">
        <f>53.3271 * CHOOSE(CONTROL!$C$9, $D$9, 100%, $F$9) + CHOOSE(CONTROL!$C$27, 0.0021, 0)</f>
        <v>53.3292</v>
      </c>
      <c r="J568" s="10">
        <f>53.3271 * CHOOSE(CONTROL!$C$9, $D$9, 100%, $F$9) + CHOOSE(CONTROL!$C$27, 0.0021, 0)</f>
        <v>53.3292</v>
      </c>
      <c r="K568" s="10">
        <f>53.3271 * CHOOSE(CONTROL!$C$9, $D$9, 100%, $F$9) + CHOOSE(CONTROL!$C$27, 0.0021, 0)</f>
        <v>53.3292</v>
      </c>
      <c r="L568" s="10"/>
    </row>
    <row r="569" spans="1:12" ht="15.75" x14ac:dyDescent="0.25">
      <c r="A569" s="13">
        <v>58622</v>
      </c>
      <c r="B569" s="10">
        <f>54.3934 * CHOOSE(CONTROL!$C$9, $D$9, 100%, $F$9) + CHOOSE(CONTROL!$C$27, 0.0021, 0)</f>
        <v>54.395499999999998</v>
      </c>
      <c r="C569" s="10">
        <f>53.9611 * CHOOSE(CONTROL!$C$9, $D$9, 100%, $F$9) + CHOOSE(CONTROL!$C$27, 0.0021, 0)</f>
        <v>53.963200000000001</v>
      </c>
      <c r="D569" s="10">
        <f>53.9611 * CHOOSE(CONTROL!$C$9, $D$9, 100%, $F$9) + CHOOSE(CONTROL!$C$27, 0.0021, 0)</f>
        <v>53.963200000000001</v>
      </c>
      <c r="E569" s="10">
        <f>53.8245 * CHOOSE(CONTROL!$C$9, $D$9, 100%, $F$9) + CHOOSE(CONTROL!$C$27, 0.0021, 0)</f>
        <v>53.826599999999999</v>
      </c>
      <c r="F569" s="10">
        <f>53.8245 * CHOOSE(CONTROL!$C$9, $D$9, 100%, $F$9) + CHOOSE(CONTROL!$C$27, 0.0021, 0)</f>
        <v>53.826599999999999</v>
      </c>
      <c r="G569" s="10">
        <f>54.0959 * CHOOSE(CONTROL!$C$9, $D$9, 100%, $F$9) + CHOOSE(CONTROL!$C$27, 0.0021, 0)</f>
        <v>54.097999999999999</v>
      </c>
      <c r="H569" s="10">
        <f>53.9611 * CHOOSE(CONTROL!$C$9, $D$9, 100%, $F$9) + CHOOSE(CONTROL!$C$27, 0.0021, 0)</f>
        <v>53.963200000000001</v>
      </c>
      <c r="I569" s="10">
        <f>53.9611 * CHOOSE(CONTROL!$C$9, $D$9, 100%, $F$9) + CHOOSE(CONTROL!$C$27, 0.0021, 0)</f>
        <v>53.963200000000001</v>
      </c>
      <c r="J569" s="10">
        <f>53.9611 * CHOOSE(CONTROL!$C$9, $D$9, 100%, $F$9) + CHOOSE(CONTROL!$C$27, 0.0021, 0)</f>
        <v>53.963200000000001</v>
      </c>
      <c r="K569" s="10">
        <f>53.9611 * CHOOSE(CONTROL!$C$9, $D$9, 100%, $F$9) + CHOOSE(CONTROL!$C$27, 0.0021, 0)</f>
        <v>53.963200000000001</v>
      </c>
      <c r="L569" s="10"/>
    </row>
    <row r="570" spans="1:12" ht="15.75" x14ac:dyDescent="0.25">
      <c r="A570" s="13">
        <v>58653</v>
      </c>
      <c r="B570" s="10">
        <f>55.4393 * CHOOSE(CONTROL!$C$9, $D$9, 100%, $F$9) + CHOOSE(CONTROL!$C$27, 0.0021, 0)</f>
        <v>55.441400000000002</v>
      </c>
      <c r="C570" s="10">
        <f>55.0071 * CHOOSE(CONTROL!$C$9, $D$9, 100%, $F$9) + CHOOSE(CONTROL!$C$27, 0.0021, 0)</f>
        <v>55.0092</v>
      </c>
      <c r="D570" s="10">
        <f>55.0071 * CHOOSE(CONTROL!$C$9, $D$9, 100%, $F$9) + CHOOSE(CONTROL!$C$27, 0.0021, 0)</f>
        <v>55.0092</v>
      </c>
      <c r="E570" s="10">
        <f>54.8704 * CHOOSE(CONTROL!$C$9, $D$9, 100%, $F$9) + CHOOSE(CONTROL!$C$27, 0.0021, 0)</f>
        <v>54.872499999999995</v>
      </c>
      <c r="F570" s="10">
        <f>54.8704 * CHOOSE(CONTROL!$C$9, $D$9, 100%, $F$9) + CHOOSE(CONTROL!$C$27, 0.0021, 0)</f>
        <v>54.872499999999995</v>
      </c>
      <c r="G570" s="10">
        <f>55.1418 * CHOOSE(CONTROL!$C$9, $D$9, 100%, $F$9) + CHOOSE(CONTROL!$C$27, 0.0021, 0)</f>
        <v>55.143900000000002</v>
      </c>
      <c r="H570" s="10">
        <f>55.0071 * CHOOSE(CONTROL!$C$9, $D$9, 100%, $F$9) + CHOOSE(CONTROL!$C$27, 0.0021, 0)</f>
        <v>55.0092</v>
      </c>
      <c r="I570" s="10">
        <f>55.0071 * CHOOSE(CONTROL!$C$9, $D$9, 100%, $F$9) + CHOOSE(CONTROL!$C$27, 0.0021, 0)</f>
        <v>55.0092</v>
      </c>
      <c r="J570" s="10">
        <f>55.0071 * CHOOSE(CONTROL!$C$9, $D$9, 100%, $F$9) + CHOOSE(CONTROL!$C$27, 0.0021, 0)</f>
        <v>55.0092</v>
      </c>
      <c r="K570" s="10">
        <f>55.0071 * CHOOSE(CONTROL!$C$9, $D$9, 100%, $F$9) + CHOOSE(CONTROL!$C$27, 0.0021, 0)</f>
        <v>55.0092</v>
      </c>
      <c r="L570" s="10"/>
    </row>
    <row r="571" spans="1:12" ht="15.75" x14ac:dyDescent="0.25">
      <c r="A571" s="13">
        <v>58684</v>
      </c>
      <c r="B571" s="10">
        <f>55.7586 * CHOOSE(CONTROL!$C$9, $D$9, 100%, $F$9) + CHOOSE(CONTROL!$C$27, 0.0021, 0)</f>
        <v>55.7607</v>
      </c>
      <c r="C571" s="10">
        <f>55.3264 * CHOOSE(CONTROL!$C$9, $D$9, 100%, $F$9) + CHOOSE(CONTROL!$C$27, 0.0021, 0)</f>
        <v>55.328499999999998</v>
      </c>
      <c r="D571" s="10">
        <f>55.3264 * CHOOSE(CONTROL!$C$9, $D$9, 100%, $F$9) + CHOOSE(CONTROL!$C$27, 0.0021, 0)</f>
        <v>55.328499999999998</v>
      </c>
      <c r="E571" s="10">
        <f>55.1897 * CHOOSE(CONTROL!$C$9, $D$9, 100%, $F$9) + CHOOSE(CONTROL!$C$27, 0.0021, 0)</f>
        <v>55.191800000000001</v>
      </c>
      <c r="F571" s="10">
        <f>55.1897 * CHOOSE(CONTROL!$C$9, $D$9, 100%, $F$9) + CHOOSE(CONTROL!$C$27, 0.0021, 0)</f>
        <v>55.191800000000001</v>
      </c>
      <c r="G571" s="10">
        <f>55.4611 * CHOOSE(CONTROL!$C$9, $D$9, 100%, $F$9) + CHOOSE(CONTROL!$C$27, 0.0021, 0)</f>
        <v>55.463200000000001</v>
      </c>
      <c r="H571" s="10">
        <f>55.3264 * CHOOSE(CONTROL!$C$9, $D$9, 100%, $F$9) + CHOOSE(CONTROL!$C$27, 0.0021, 0)</f>
        <v>55.328499999999998</v>
      </c>
      <c r="I571" s="10">
        <f>55.3264 * CHOOSE(CONTROL!$C$9, $D$9, 100%, $F$9) + CHOOSE(CONTROL!$C$27, 0.0021, 0)</f>
        <v>55.328499999999998</v>
      </c>
      <c r="J571" s="10">
        <f>55.3264 * CHOOSE(CONTROL!$C$9, $D$9, 100%, $F$9) + CHOOSE(CONTROL!$C$27, 0.0021, 0)</f>
        <v>55.328499999999998</v>
      </c>
      <c r="K571" s="10">
        <f>55.3264 * CHOOSE(CONTROL!$C$9, $D$9, 100%, $F$9) + CHOOSE(CONTROL!$C$27, 0.0021, 0)</f>
        <v>55.328499999999998</v>
      </c>
      <c r="L571" s="10"/>
    </row>
    <row r="572" spans="1:12" ht="15.75" x14ac:dyDescent="0.25">
      <c r="A572" s="13">
        <v>58714</v>
      </c>
      <c r="B572" s="10">
        <f>56.8458 * CHOOSE(CONTROL!$C$9, $D$9, 100%, $F$9) + CHOOSE(CONTROL!$C$27, 0.0021, 0)</f>
        <v>56.847899999999996</v>
      </c>
      <c r="C572" s="10">
        <f>56.4136 * CHOOSE(CONTROL!$C$9, $D$9, 100%, $F$9) + CHOOSE(CONTROL!$C$27, 0.0021, 0)</f>
        <v>56.415700000000001</v>
      </c>
      <c r="D572" s="10">
        <f>56.4136 * CHOOSE(CONTROL!$C$9, $D$9, 100%, $F$9) + CHOOSE(CONTROL!$C$27, 0.0021, 0)</f>
        <v>56.415700000000001</v>
      </c>
      <c r="E572" s="10">
        <f>56.2769 * CHOOSE(CONTROL!$C$9, $D$9, 100%, $F$9) + CHOOSE(CONTROL!$C$27, 0.0021, 0)</f>
        <v>56.278999999999996</v>
      </c>
      <c r="F572" s="10">
        <f>56.2769 * CHOOSE(CONTROL!$C$9, $D$9, 100%, $F$9) + CHOOSE(CONTROL!$C$27, 0.0021, 0)</f>
        <v>56.278999999999996</v>
      </c>
      <c r="G572" s="10">
        <f>56.5483 * CHOOSE(CONTROL!$C$9, $D$9, 100%, $F$9) + CHOOSE(CONTROL!$C$27, 0.0021, 0)</f>
        <v>56.550399999999996</v>
      </c>
      <c r="H572" s="10">
        <f>56.4136 * CHOOSE(CONTROL!$C$9, $D$9, 100%, $F$9) + CHOOSE(CONTROL!$C$27, 0.0021, 0)</f>
        <v>56.415700000000001</v>
      </c>
      <c r="I572" s="10">
        <f>56.4136 * CHOOSE(CONTROL!$C$9, $D$9, 100%, $F$9) + CHOOSE(CONTROL!$C$27, 0.0021, 0)</f>
        <v>56.415700000000001</v>
      </c>
      <c r="J572" s="10">
        <f>56.4136 * CHOOSE(CONTROL!$C$9, $D$9, 100%, $F$9) + CHOOSE(CONTROL!$C$27, 0.0021, 0)</f>
        <v>56.415700000000001</v>
      </c>
      <c r="K572" s="10">
        <f>56.4136 * CHOOSE(CONTROL!$C$9, $D$9, 100%, $F$9) + CHOOSE(CONTROL!$C$27, 0.0021, 0)</f>
        <v>56.415700000000001</v>
      </c>
      <c r="L572" s="10"/>
    </row>
    <row r="573" spans="1:12" ht="15.75" x14ac:dyDescent="0.25">
      <c r="A573" s="13">
        <v>58745</v>
      </c>
      <c r="B573" s="10">
        <f>58.2221 * CHOOSE(CONTROL!$C$9, $D$9, 100%, $F$9) + CHOOSE(CONTROL!$C$27, 0.0021, 0)</f>
        <v>58.224199999999996</v>
      </c>
      <c r="C573" s="10">
        <f>57.7898 * CHOOSE(CONTROL!$C$9, $D$9, 100%, $F$9) + CHOOSE(CONTROL!$C$27, 0.0021, 0)</f>
        <v>57.791899999999998</v>
      </c>
      <c r="D573" s="10">
        <f>57.7898 * CHOOSE(CONTROL!$C$9, $D$9, 100%, $F$9) + CHOOSE(CONTROL!$C$27, 0.0021, 0)</f>
        <v>57.791899999999998</v>
      </c>
      <c r="E573" s="10">
        <f>57.6532 * CHOOSE(CONTROL!$C$9, $D$9, 100%, $F$9) + CHOOSE(CONTROL!$C$27, 0.0021, 0)</f>
        <v>57.655299999999997</v>
      </c>
      <c r="F573" s="10">
        <f>57.6532 * CHOOSE(CONTROL!$C$9, $D$9, 100%, $F$9) + CHOOSE(CONTROL!$C$27, 0.0021, 0)</f>
        <v>57.655299999999997</v>
      </c>
      <c r="G573" s="10">
        <f>57.9246 * CHOOSE(CONTROL!$C$9, $D$9, 100%, $F$9) + CHOOSE(CONTROL!$C$27, 0.0021, 0)</f>
        <v>57.926699999999997</v>
      </c>
      <c r="H573" s="10">
        <f>57.7898 * CHOOSE(CONTROL!$C$9, $D$9, 100%, $F$9) + CHOOSE(CONTROL!$C$27, 0.0021, 0)</f>
        <v>57.791899999999998</v>
      </c>
      <c r="I573" s="10">
        <f>57.7898 * CHOOSE(CONTROL!$C$9, $D$9, 100%, $F$9) + CHOOSE(CONTROL!$C$27, 0.0021, 0)</f>
        <v>57.791899999999998</v>
      </c>
      <c r="J573" s="10">
        <f>57.7898 * CHOOSE(CONTROL!$C$9, $D$9, 100%, $F$9) + CHOOSE(CONTROL!$C$27, 0.0021, 0)</f>
        <v>57.791899999999998</v>
      </c>
      <c r="K573" s="10">
        <f>57.7898 * CHOOSE(CONTROL!$C$9, $D$9, 100%, $F$9) + CHOOSE(CONTROL!$C$27, 0.0021, 0)</f>
        <v>57.791899999999998</v>
      </c>
      <c r="L573" s="10"/>
    </row>
    <row r="574" spans="1:12" ht="15.75" x14ac:dyDescent="0.25">
      <c r="A574" s="13">
        <v>58775</v>
      </c>
      <c r="B574" s="10">
        <f>58.3513 * CHOOSE(CONTROL!$C$9, $D$9, 100%, $F$9) + CHOOSE(CONTROL!$C$27, 0.0021, 0)</f>
        <v>58.353400000000001</v>
      </c>
      <c r="C574" s="10">
        <f>57.919 * CHOOSE(CONTROL!$C$9, $D$9, 100%, $F$9) + CHOOSE(CONTROL!$C$27, 0.0021, 0)</f>
        <v>57.921099999999996</v>
      </c>
      <c r="D574" s="10">
        <f>57.919 * CHOOSE(CONTROL!$C$9, $D$9, 100%, $F$9) + CHOOSE(CONTROL!$C$27, 0.0021, 0)</f>
        <v>57.921099999999996</v>
      </c>
      <c r="E574" s="10">
        <f>57.7824 * CHOOSE(CONTROL!$C$9, $D$9, 100%, $F$9) + CHOOSE(CONTROL!$C$27, 0.0021, 0)</f>
        <v>57.784500000000001</v>
      </c>
      <c r="F574" s="10">
        <f>57.7824 * CHOOSE(CONTROL!$C$9, $D$9, 100%, $F$9) + CHOOSE(CONTROL!$C$27, 0.0021, 0)</f>
        <v>57.784500000000001</v>
      </c>
      <c r="G574" s="10">
        <f>58.0538 * CHOOSE(CONTROL!$C$9, $D$9, 100%, $F$9) + CHOOSE(CONTROL!$C$27, 0.0021, 0)</f>
        <v>58.055900000000001</v>
      </c>
      <c r="H574" s="10">
        <f>57.919 * CHOOSE(CONTROL!$C$9, $D$9, 100%, $F$9) + CHOOSE(CONTROL!$C$27, 0.0021, 0)</f>
        <v>57.921099999999996</v>
      </c>
      <c r="I574" s="10">
        <f>57.919 * CHOOSE(CONTROL!$C$9, $D$9, 100%, $F$9) + CHOOSE(CONTROL!$C$27, 0.0021, 0)</f>
        <v>57.921099999999996</v>
      </c>
      <c r="J574" s="10">
        <f>57.919 * CHOOSE(CONTROL!$C$9, $D$9, 100%, $F$9) + CHOOSE(CONTROL!$C$27, 0.0021, 0)</f>
        <v>57.921099999999996</v>
      </c>
      <c r="K574" s="10">
        <f>57.919 * CHOOSE(CONTROL!$C$9, $D$9, 100%, $F$9) + CHOOSE(CONTROL!$C$27, 0.0021, 0)</f>
        <v>57.921099999999996</v>
      </c>
      <c r="L574" s="10"/>
    </row>
    <row r="575" spans="1:12" ht="15.75" x14ac:dyDescent="0.25">
      <c r="A575" s="13">
        <v>58806</v>
      </c>
      <c r="B575" s="10">
        <f>57.2521 * CHOOSE(CONTROL!$C$9, $D$9, 100%, $F$9) + CHOOSE(CONTROL!$C$27, 0.0021, 0)</f>
        <v>57.254199999999997</v>
      </c>
      <c r="C575" s="10">
        <f>56.8199 * CHOOSE(CONTROL!$C$9, $D$9, 100%, $F$9) + CHOOSE(CONTROL!$C$27, 0.0021, 0)</f>
        <v>56.821999999999996</v>
      </c>
      <c r="D575" s="10">
        <f>56.8199 * CHOOSE(CONTROL!$C$9, $D$9, 100%, $F$9) + CHOOSE(CONTROL!$C$27, 0.0021, 0)</f>
        <v>56.821999999999996</v>
      </c>
      <c r="E575" s="10">
        <f>56.6832 * CHOOSE(CONTROL!$C$9, $D$9, 100%, $F$9) + CHOOSE(CONTROL!$C$27, 0.0021, 0)</f>
        <v>56.685299999999998</v>
      </c>
      <c r="F575" s="10">
        <f>56.6832 * CHOOSE(CONTROL!$C$9, $D$9, 100%, $F$9) + CHOOSE(CONTROL!$C$27, 0.0021, 0)</f>
        <v>56.685299999999998</v>
      </c>
      <c r="G575" s="10">
        <f>56.9546 * CHOOSE(CONTROL!$C$9, $D$9, 100%, $F$9) + CHOOSE(CONTROL!$C$27, 0.0021, 0)</f>
        <v>56.956699999999998</v>
      </c>
      <c r="H575" s="10">
        <f>56.8199 * CHOOSE(CONTROL!$C$9, $D$9, 100%, $F$9) + CHOOSE(CONTROL!$C$27, 0.0021, 0)</f>
        <v>56.821999999999996</v>
      </c>
      <c r="I575" s="10">
        <f>56.8199 * CHOOSE(CONTROL!$C$9, $D$9, 100%, $F$9) + CHOOSE(CONTROL!$C$27, 0.0021, 0)</f>
        <v>56.821999999999996</v>
      </c>
      <c r="J575" s="10">
        <f>56.8199 * CHOOSE(CONTROL!$C$9, $D$9, 100%, $F$9) + CHOOSE(CONTROL!$C$27, 0.0021, 0)</f>
        <v>56.821999999999996</v>
      </c>
      <c r="K575" s="10">
        <f>56.8199 * CHOOSE(CONTROL!$C$9, $D$9, 100%, $F$9) + CHOOSE(CONTROL!$C$27, 0.0021, 0)</f>
        <v>56.821999999999996</v>
      </c>
      <c r="L575" s="10"/>
    </row>
    <row r="576" spans="1:12" ht="15.75" x14ac:dyDescent="0.25">
      <c r="A576" s="13">
        <v>58837</v>
      </c>
      <c r="B576" s="10">
        <f>56.4105 * CHOOSE(CONTROL!$C$9, $D$9, 100%, $F$9) + CHOOSE(CONTROL!$C$27, 0.0021, 0)</f>
        <v>56.412599999999998</v>
      </c>
      <c r="C576" s="10">
        <f>55.9783 * CHOOSE(CONTROL!$C$9, $D$9, 100%, $F$9) + CHOOSE(CONTROL!$C$27, 0.0021, 0)</f>
        <v>55.980399999999996</v>
      </c>
      <c r="D576" s="10">
        <f>55.9783 * CHOOSE(CONTROL!$C$9, $D$9, 100%, $F$9) + CHOOSE(CONTROL!$C$27, 0.0021, 0)</f>
        <v>55.980399999999996</v>
      </c>
      <c r="E576" s="10">
        <f>55.8416 * CHOOSE(CONTROL!$C$9, $D$9, 100%, $F$9) + CHOOSE(CONTROL!$C$27, 0.0021, 0)</f>
        <v>55.843699999999998</v>
      </c>
      <c r="F576" s="10">
        <f>55.8416 * CHOOSE(CONTROL!$C$9, $D$9, 100%, $F$9) + CHOOSE(CONTROL!$C$27, 0.0021, 0)</f>
        <v>55.843699999999998</v>
      </c>
      <c r="G576" s="10">
        <f>56.113 * CHOOSE(CONTROL!$C$9, $D$9, 100%, $F$9) + CHOOSE(CONTROL!$C$27, 0.0021, 0)</f>
        <v>56.115099999999998</v>
      </c>
      <c r="H576" s="10">
        <f>55.9783 * CHOOSE(CONTROL!$C$9, $D$9, 100%, $F$9) + CHOOSE(CONTROL!$C$27, 0.0021, 0)</f>
        <v>55.980399999999996</v>
      </c>
      <c r="I576" s="10">
        <f>55.9783 * CHOOSE(CONTROL!$C$9, $D$9, 100%, $F$9) + CHOOSE(CONTROL!$C$27, 0.0021, 0)</f>
        <v>55.980399999999996</v>
      </c>
      <c r="J576" s="10">
        <f>55.9783 * CHOOSE(CONTROL!$C$9, $D$9, 100%, $F$9) + CHOOSE(CONTROL!$C$27, 0.0021, 0)</f>
        <v>55.980399999999996</v>
      </c>
      <c r="K576" s="10">
        <f>55.9783 * CHOOSE(CONTROL!$C$9, $D$9, 100%, $F$9) + CHOOSE(CONTROL!$C$27, 0.0021, 0)</f>
        <v>55.980399999999996</v>
      </c>
      <c r="L576" s="10"/>
    </row>
    <row r="577" spans="1:12" ht="15.75" x14ac:dyDescent="0.25">
      <c r="A577" s="13">
        <v>58865</v>
      </c>
      <c r="B577" s="10">
        <f>54.8798 * CHOOSE(CONTROL!$C$9, $D$9, 100%, $F$9) + CHOOSE(CONTROL!$C$27, 0.0021, 0)</f>
        <v>54.881900000000002</v>
      </c>
      <c r="C577" s="10">
        <f>54.4475 * CHOOSE(CONTROL!$C$9, $D$9, 100%, $F$9) + CHOOSE(CONTROL!$C$27, 0.0021, 0)</f>
        <v>54.449599999999997</v>
      </c>
      <c r="D577" s="10">
        <f>54.4475 * CHOOSE(CONTROL!$C$9, $D$9, 100%, $F$9) + CHOOSE(CONTROL!$C$27, 0.0021, 0)</f>
        <v>54.449599999999997</v>
      </c>
      <c r="E577" s="10">
        <f>54.3109 * CHOOSE(CONTROL!$C$9, $D$9, 100%, $F$9) + CHOOSE(CONTROL!$C$27, 0.0021, 0)</f>
        <v>54.312999999999995</v>
      </c>
      <c r="F577" s="10">
        <f>54.3109 * CHOOSE(CONTROL!$C$9, $D$9, 100%, $F$9) + CHOOSE(CONTROL!$C$27, 0.0021, 0)</f>
        <v>54.312999999999995</v>
      </c>
      <c r="G577" s="10">
        <f>54.5823 * CHOOSE(CONTROL!$C$9, $D$9, 100%, $F$9) + CHOOSE(CONTROL!$C$27, 0.0021, 0)</f>
        <v>54.584399999999995</v>
      </c>
      <c r="H577" s="10">
        <f>54.4475 * CHOOSE(CONTROL!$C$9, $D$9, 100%, $F$9) + CHOOSE(CONTROL!$C$27, 0.0021, 0)</f>
        <v>54.449599999999997</v>
      </c>
      <c r="I577" s="10">
        <f>54.4475 * CHOOSE(CONTROL!$C$9, $D$9, 100%, $F$9) + CHOOSE(CONTROL!$C$27, 0.0021, 0)</f>
        <v>54.449599999999997</v>
      </c>
      <c r="J577" s="10">
        <f>54.4475 * CHOOSE(CONTROL!$C$9, $D$9, 100%, $F$9) + CHOOSE(CONTROL!$C$27, 0.0021, 0)</f>
        <v>54.449599999999997</v>
      </c>
      <c r="K577" s="10">
        <f>54.4475 * CHOOSE(CONTROL!$C$9, $D$9, 100%, $F$9) + CHOOSE(CONTROL!$C$27, 0.0021, 0)</f>
        <v>54.449599999999997</v>
      </c>
      <c r="L577" s="10"/>
    </row>
    <row r="578" spans="1:12" ht="15.75" x14ac:dyDescent="0.25">
      <c r="A578" s="13">
        <v>58893</v>
      </c>
      <c r="B578" s="10">
        <f>54.2479 * CHOOSE(CONTROL!$C$9, $D$9, 100%, $F$9) + CHOOSE(CONTROL!$C$27, 0.0021, 0)</f>
        <v>54.25</v>
      </c>
      <c r="C578" s="10">
        <f>53.8156 * CHOOSE(CONTROL!$C$9, $D$9, 100%, $F$9) + CHOOSE(CONTROL!$C$27, 0.0021, 0)</f>
        <v>53.817700000000002</v>
      </c>
      <c r="D578" s="10">
        <f>53.8156 * CHOOSE(CONTROL!$C$9, $D$9, 100%, $F$9) + CHOOSE(CONTROL!$C$27, 0.0021, 0)</f>
        <v>53.817700000000002</v>
      </c>
      <c r="E578" s="10">
        <f>53.679 * CHOOSE(CONTROL!$C$9, $D$9, 100%, $F$9) + CHOOSE(CONTROL!$C$27, 0.0021, 0)</f>
        <v>53.681100000000001</v>
      </c>
      <c r="F578" s="10">
        <f>53.679 * CHOOSE(CONTROL!$C$9, $D$9, 100%, $F$9) + CHOOSE(CONTROL!$C$27, 0.0021, 0)</f>
        <v>53.681100000000001</v>
      </c>
      <c r="G578" s="10">
        <f>53.9504 * CHOOSE(CONTROL!$C$9, $D$9, 100%, $F$9) + CHOOSE(CONTROL!$C$27, 0.0021, 0)</f>
        <v>53.952500000000001</v>
      </c>
      <c r="H578" s="10">
        <f>53.8156 * CHOOSE(CONTROL!$C$9, $D$9, 100%, $F$9) + CHOOSE(CONTROL!$C$27, 0.0021, 0)</f>
        <v>53.817700000000002</v>
      </c>
      <c r="I578" s="10">
        <f>53.8156 * CHOOSE(CONTROL!$C$9, $D$9, 100%, $F$9) + CHOOSE(CONTROL!$C$27, 0.0021, 0)</f>
        <v>53.817700000000002</v>
      </c>
      <c r="J578" s="10">
        <f>53.8156 * CHOOSE(CONTROL!$C$9, $D$9, 100%, $F$9) + CHOOSE(CONTROL!$C$27, 0.0021, 0)</f>
        <v>53.817700000000002</v>
      </c>
      <c r="K578" s="10">
        <f>53.8156 * CHOOSE(CONTROL!$C$9, $D$9, 100%, $F$9) + CHOOSE(CONTROL!$C$27, 0.0021, 0)</f>
        <v>53.817700000000002</v>
      </c>
      <c r="L578" s="10"/>
    </row>
    <row r="579" spans="1:12" ht="15.75" x14ac:dyDescent="0.25">
      <c r="A579" s="13">
        <v>58926</v>
      </c>
      <c r="B579" s="10">
        <f>53.4934 * CHOOSE(CONTROL!$C$9, $D$9, 100%, $F$9) + CHOOSE(CONTROL!$C$27, 0.0021, 0)</f>
        <v>53.4955</v>
      </c>
      <c r="C579" s="10">
        <f>53.0611 * CHOOSE(CONTROL!$C$9, $D$9, 100%, $F$9) + CHOOSE(CONTROL!$C$27, 0.0021, 0)</f>
        <v>53.063200000000002</v>
      </c>
      <c r="D579" s="10">
        <f>53.0611 * CHOOSE(CONTROL!$C$9, $D$9, 100%, $F$9) + CHOOSE(CONTROL!$C$27, 0.0021, 0)</f>
        <v>53.063200000000002</v>
      </c>
      <c r="E579" s="10">
        <f>52.9245 * CHOOSE(CONTROL!$C$9, $D$9, 100%, $F$9) + CHOOSE(CONTROL!$C$27, 0.0021, 0)</f>
        <v>52.926600000000001</v>
      </c>
      <c r="F579" s="10">
        <f>52.9245 * CHOOSE(CONTROL!$C$9, $D$9, 100%, $F$9) + CHOOSE(CONTROL!$C$27, 0.0021, 0)</f>
        <v>52.926600000000001</v>
      </c>
      <c r="G579" s="10">
        <f>53.1959 * CHOOSE(CONTROL!$C$9, $D$9, 100%, $F$9) + CHOOSE(CONTROL!$C$27, 0.0021, 0)</f>
        <v>53.198</v>
      </c>
      <c r="H579" s="10">
        <f>53.0611 * CHOOSE(CONTROL!$C$9, $D$9, 100%, $F$9) + CHOOSE(CONTROL!$C$27, 0.0021, 0)</f>
        <v>53.063200000000002</v>
      </c>
      <c r="I579" s="10">
        <f>53.0611 * CHOOSE(CONTROL!$C$9, $D$9, 100%, $F$9) + CHOOSE(CONTROL!$C$27, 0.0021, 0)</f>
        <v>53.063200000000002</v>
      </c>
      <c r="J579" s="10">
        <f>53.0611 * CHOOSE(CONTROL!$C$9, $D$9, 100%, $F$9) + CHOOSE(CONTROL!$C$27, 0.0021, 0)</f>
        <v>53.063200000000002</v>
      </c>
      <c r="K579" s="10">
        <f>53.0611 * CHOOSE(CONTROL!$C$9, $D$9, 100%, $F$9) + CHOOSE(CONTROL!$C$27, 0.0021, 0)</f>
        <v>53.063200000000002</v>
      </c>
      <c r="L579" s="10"/>
    </row>
    <row r="580" spans="1:12" ht="15.75" x14ac:dyDescent="0.25">
      <c r="A580" s="13">
        <v>58957</v>
      </c>
      <c r="B580" s="10">
        <f>54.5686 * CHOOSE(CONTROL!$C$9, $D$9, 100%, $F$9) + CHOOSE(CONTROL!$C$27, 0.0021, 0)</f>
        <v>54.570700000000002</v>
      </c>
      <c r="C580" s="10">
        <f>54.1364 * CHOOSE(CONTROL!$C$9, $D$9, 100%, $F$9) + CHOOSE(CONTROL!$C$27, 0.0021, 0)</f>
        <v>54.138500000000001</v>
      </c>
      <c r="D580" s="10">
        <f>54.1364 * CHOOSE(CONTROL!$C$9, $D$9, 100%, $F$9) + CHOOSE(CONTROL!$C$27, 0.0021, 0)</f>
        <v>54.138500000000001</v>
      </c>
      <c r="E580" s="10">
        <f>53.9997 * CHOOSE(CONTROL!$C$9, $D$9, 100%, $F$9) + CHOOSE(CONTROL!$C$27, 0.0021, 0)</f>
        <v>54.001799999999996</v>
      </c>
      <c r="F580" s="10">
        <f>53.9997 * CHOOSE(CONTROL!$C$9, $D$9, 100%, $F$9) + CHOOSE(CONTROL!$C$27, 0.0021, 0)</f>
        <v>54.001799999999996</v>
      </c>
      <c r="G580" s="10">
        <f>54.2711 * CHOOSE(CONTROL!$C$9, $D$9, 100%, $F$9) + CHOOSE(CONTROL!$C$27, 0.0021, 0)</f>
        <v>54.273199999999996</v>
      </c>
      <c r="H580" s="10">
        <f>54.1364 * CHOOSE(CONTROL!$C$9, $D$9, 100%, $F$9) + CHOOSE(CONTROL!$C$27, 0.0021, 0)</f>
        <v>54.138500000000001</v>
      </c>
      <c r="I580" s="10">
        <f>54.1364 * CHOOSE(CONTROL!$C$9, $D$9, 100%, $F$9) + CHOOSE(CONTROL!$C$27, 0.0021, 0)</f>
        <v>54.138500000000001</v>
      </c>
      <c r="J580" s="10">
        <f>54.1364 * CHOOSE(CONTROL!$C$9, $D$9, 100%, $F$9) + CHOOSE(CONTROL!$C$27, 0.0021, 0)</f>
        <v>54.138500000000001</v>
      </c>
      <c r="K580" s="10">
        <f>54.1364 * CHOOSE(CONTROL!$C$9, $D$9, 100%, $F$9) + CHOOSE(CONTROL!$C$27, 0.0021, 0)</f>
        <v>54.138500000000001</v>
      </c>
      <c r="L580" s="10"/>
    </row>
    <row r="581" spans="1:12" ht="15.75" x14ac:dyDescent="0.25">
      <c r="A581" s="13">
        <v>58987</v>
      </c>
      <c r="B581" s="10">
        <f>55.2127 * CHOOSE(CONTROL!$C$9, $D$9, 100%, $F$9) + CHOOSE(CONTROL!$C$27, 0.0021, 0)</f>
        <v>55.214799999999997</v>
      </c>
      <c r="C581" s="10">
        <f>54.7804 * CHOOSE(CONTROL!$C$9, $D$9, 100%, $F$9) + CHOOSE(CONTROL!$C$27, 0.0021, 0)</f>
        <v>54.782499999999999</v>
      </c>
      <c r="D581" s="10">
        <f>54.7804 * CHOOSE(CONTROL!$C$9, $D$9, 100%, $F$9) + CHOOSE(CONTROL!$C$27, 0.0021, 0)</f>
        <v>54.782499999999999</v>
      </c>
      <c r="E581" s="10">
        <f>54.6438 * CHOOSE(CONTROL!$C$9, $D$9, 100%, $F$9) + CHOOSE(CONTROL!$C$27, 0.0021, 0)</f>
        <v>54.645899999999997</v>
      </c>
      <c r="F581" s="10">
        <f>54.6438 * CHOOSE(CONTROL!$C$9, $D$9, 100%, $F$9) + CHOOSE(CONTROL!$C$27, 0.0021, 0)</f>
        <v>54.645899999999997</v>
      </c>
      <c r="G581" s="10">
        <f>54.9151 * CHOOSE(CONTROL!$C$9, $D$9, 100%, $F$9) + CHOOSE(CONTROL!$C$27, 0.0021, 0)</f>
        <v>54.917200000000001</v>
      </c>
      <c r="H581" s="10">
        <f>54.7804 * CHOOSE(CONTROL!$C$9, $D$9, 100%, $F$9) + CHOOSE(CONTROL!$C$27, 0.0021, 0)</f>
        <v>54.782499999999999</v>
      </c>
      <c r="I581" s="10">
        <f>54.7804 * CHOOSE(CONTROL!$C$9, $D$9, 100%, $F$9) + CHOOSE(CONTROL!$C$27, 0.0021, 0)</f>
        <v>54.782499999999999</v>
      </c>
      <c r="J581" s="10">
        <f>54.7804 * CHOOSE(CONTROL!$C$9, $D$9, 100%, $F$9) + CHOOSE(CONTROL!$C$27, 0.0021, 0)</f>
        <v>54.782499999999999</v>
      </c>
      <c r="K581" s="10">
        <f>54.7804 * CHOOSE(CONTROL!$C$9, $D$9, 100%, $F$9) + CHOOSE(CONTROL!$C$27, 0.0021, 0)</f>
        <v>54.782499999999999</v>
      </c>
      <c r="L581" s="10"/>
    </row>
    <row r="582" spans="1:12" ht="15.75" x14ac:dyDescent="0.25">
      <c r="A582" s="13">
        <v>59018</v>
      </c>
      <c r="B582" s="10">
        <f>56.2751 * CHOOSE(CONTROL!$C$9, $D$9, 100%, $F$9) + CHOOSE(CONTROL!$C$27, 0.0021, 0)</f>
        <v>56.277200000000001</v>
      </c>
      <c r="C582" s="10">
        <f>55.8428 * CHOOSE(CONTROL!$C$9, $D$9, 100%, $F$9) + CHOOSE(CONTROL!$C$27, 0.0021, 0)</f>
        <v>55.844899999999996</v>
      </c>
      <c r="D582" s="10">
        <f>55.8428 * CHOOSE(CONTROL!$C$9, $D$9, 100%, $F$9) + CHOOSE(CONTROL!$C$27, 0.0021, 0)</f>
        <v>55.844899999999996</v>
      </c>
      <c r="E582" s="10">
        <f>55.7062 * CHOOSE(CONTROL!$C$9, $D$9, 100%, $F$9) + CHOOSE(CONTROL!$C$27, 0.0021, 0)</f>
        <v>55.708300000000001</v>
      </c>
      <c r="F582" s="10">
        <f>55.7062 * CHOOSE(CONTROL!$C$9, $D$9, 100%, $F$9) + CHOOSE(CONTROL!$C$27, 0.0021, 0)</f>
        <v>55.708300000000001</v>
      </c>
      <c r="G582" s="10">
        <f>55.9775 * CHOOSE(CONTROL!$C$9, $D$9, 100%, $F$9) + CHOOSE(CONTROL!$C$27, 0.0021, 0)</f>
        <v>55.979599999999998</v>
      </c>
      <c r="H582" s="10">
        <f>55.8428 * CHOOSE(CONTROL!$C$9, $D$9, 100%, $F$9) + CHOOSE(CONTROL!$C$27, 0.0021, 0)</f>
        <v>55.844899999999996</v>
      </c>
      <c r="I582" s="10">
        <f>55.8428 * CHOOSE(CONTROL!$C$9, $D$9, 100%, $F$9) + CHOOSE(CONTROL!$C$27, 0.0021, 0)</f>
        <v>55.844899999999996</v>
      </c>
      <c r="J582" s="10">
        <f>55.8428 * CHOOSE(CONTROL!$C$9, $D$9, 100%, $F$9) + CHOOSE(CONTROL!$C$27, 0.0021, 0)</f>
        <v>55.844899999999996</v>
      </c>
      <c r="K582" s="10">
        <f>55.8428 * CHOOSE(CONTROL!$C$9, $D$9, 100%, $F$9) + CHOOSE(CONTROL!$C$27, 0.0021, 0)</f>
        <v>55.844899999999996</v>
      </c>
      <c r="L582" s="10"/>
    </row>
    <row r="583" spans="1:12" ht="15.75" x14ac:dyDescent="0.25">
      <c r="A583" s="13">
        <v>59049</v>
      </c>
      <c r="B583" s="10">
        <f>56.5994 * CHOOSE(CONTROL!$C$9, $D$9, 100%, $F$9) + CHOOSE(CONTROL!$C$27, 0.0021, 0)</f>
        <v>56.601500000000001</v>
      </c>
      <c r="C583" s="10">
        <f>56.1671 * CHOOSE(CONTROL!$C$9, $D$9, 100%, $F$9) + CHOOSE(CONTROL!$C$27, 0.0021, 0)</f>
        <v>56.169199999999996</v>
      </c>
      <c r="D583" s="10">
        <f>56.1671 * CHOOSE(CONTROL!$C$9, $D$9, 100%, $F$9) + CHOOSE(CONTROL!$C$27, 0.0021, 0)</f>
        <v>56.169199999999996</v>
      </c>
      <c r="E583" s="10">
        <f>56.0305 * CHOOSE(CONTROL!$C$9, $D$9, 100%, $F$9) + CHOOSE(CONTROL!$C$27, 0.0021, 0)</f>
        <v>56.032600000000002</v>
      </c>
      <c r="F583" s="10">
        <f>56.0305 * CHOOSE(CONTROL!$C$9, $D$9, 100%, $F$9) + CHOOSE(CONTROL!$C$27, 0.0021, 0)</f>
        <v>56.032600000000002</v>
      </c>
      <c r="G583" s="10">
        <f>56.3018 * CHOOSE(CONTROL!$C$9, $D$9, 100%, $F$9) + CHOOSE(CONTROL!$C$27, 0.0021, 0)</f>
        <v>56.303899999999999</v>
      </c>
      <c r="H583" s="10">
        <f>56.1671 * CHOOSE(CONTROL!$C$9, $D$9, 100%, $F$9) + CHOOSE(CONTROL!$C$27, 0.0021, 0)</f>
        <v>56.169199999999996</v>
      </c>
      <c r="I583" s="10">
        <f>56.1671 * CHOOSE(CONTROL!$C$9, $D$9, 100%, $F$9) + CHOOSE(CONTROL!$C$27, 0.0021, 0)</f>
        <v>56.169199999999996</v>
      </c>
      <c r="J583" s="10">
        <f>56.1671 * CHOOSE(CONTROL!$C$9, $D$9, 100%, $F$9) + CHOOSE(CONTROL!$C$27, 0.0021, 0)</f>
        <v>56.169199999999996</v>
      </c>
      <c r="K583" s="10">
        <f>56.1671 * CHOOSE(CONTROL!$C$9, $D$9, 100%, $F$9) + CHOOSE(CONTROL!$C$27, 0.0021, 0)</f>
        <v>56.169199999999996</v>
      </c>
      <c r="L583" s="10"/>
    </row>
    <row r="584" spans="1:12" ht="15.75" x14ac:dyDescent="0.25">
      <c r="A584" s="13">
        <v>59079</v>
      </c>
      <c r="B584" s="10">
        <f>57.7037 * CHOOSE(CONTROL!$C$9, $D$9, 100%, $F$9) + CHOOSE(CONTROL!$C$27, 0.0021, 0)</f>
        <v>57.705799999999996</v>
      </c>
      <c r="C584" s="10">
        <f>57.2714 * CHOOSE(CONTROL!$C$9, $D$9, 100%, $F$9) + CHOOSE(CONTROL!$C$27, 0.0021, 0)</f>
        <v>57.273499999999999</v>
      </c>
      <c r="D584" s="10">
        <f>57.2714 * CHOOSE(CONTROL!$C$9, $D$9, 100%, $F$9) + CHOOSE(CONTROL!$C$27, 0.0021, 0)</f>
        <v>57.273499999999999</v>
      </c>
      <c r="E584" s="10">
        <f>57.1348 * CHOOSE(CONTROL!$C$9, $D$9, 100%, $F$9) + CHOOSE(CONTROL!$C$27, 0.0021, 0)</f>
        <v>57.136899999999997</v>
      </c>
      <c r="F584" s="10">
        <f>57.1348 * CHOOSE(CONTROL!$C$9, $D$9, 100%, $F$9) + CHOOSE(CONTROL!$C$27, 0.0021, 0)</f>
        <v>57.136899999999997</v>
      </c>
      <c r="G584" s="10">
        <f>57.4062 * CHOOSE(CONTROL!$C$9, $D$9, 100%, $F$9) + CHOOSE(CONTROL!$C$27, 0.0021, 0)</f>
        <v>57.408299999999997</v>
      </c>
      <c r="H584" s="10">
        <f>57.2714 * CHOOSE(CONTROL!$C$9, $D$9, 100%, $F$9) + CHOOSE(CONTROL!$C$27, 0.0021, 0)</f>
        <v>57.273499999999999</v>
      </c>
      <c r="I584" s="10">
        <f>57.2714 * CHOOSE(CONTROL!$C$9, $D$9, 100%, $F$9) + CHOOSE(CONTROL!$C$27, 0.0021, 0)</f>
        <v>57.273499999999999</v>
      </c>
      <c r="J584" s="10">
        <f>57.2714 * CHOOSE(CONTROL!$C$9, $D$9, 100%, $F$9) + CHOOSE(CONTROL!$C$27, 0.0021, 0)</f>
        <v>57.273499999999999</v>
      </c>
      <c r="K584" s="10">
        <f>57.2714 * CHOOSE(CONTROL!$C$9, $D$9, 100%, $F$9) + CHOOSE(CONTROL!$C$27, 0.0021, 0)</f>
        <v>57.273499999999999</v>
      </c>
      <c r="L584" s="10"/>
    </row>
    <row r="585" spans="1:12" ht="15.75" x14ac:dyDescent="0.25">
      <c r="A585" s="13">
        <v>59110</v>
      </c>
      <c r="B585" s="10">
        <f>59.1016 * CHOOSE(CONTROL!$C$9, $D$9, 100%, $F$9) + CHOOSE(CONTROL!$C$27, 0.0021, 0)</f>
        <v>59.103699999999996</v>
      </c>
      <c r="C585" s="10">
        <f>58.6693 * CHOOSE(CONTROL!$C$9, $D$9, 100%, $F$9) + CHOOSE(CONTROL!$C$27, 0.0021, 0)</f>
        <v>58.671399999999998</v>
      </c>
      <c r="D585" s="10">
        <f>58.6693 * CHOOSE(CONTROL!$C$9, $D$9, 100%, $F$9) + CHOOSE(CONTROL!$C$27, 0.0021, 0)</f>
        <v>58.671399999999998</v>
      </c>
      <c r="E585" s="10">
        <f>58.5327 * CHOOSE(CONTROL!$C$9, $D$9, 100%, $F$9) + CHOOSE(CONTROL!$C$27, 0.0021, 0)</f>
        <v>58.534799999999997</v>
      </c>
      <c r="F585" s="10">
        <f>58.5327 * CHOOSE(CONTROL!$C$9, $D$9, 100%, $F$9) + CHOOSE(CONTROL!$C$27, 0.0021, 0)</f>
        <v>58.534799999999997</v>
      </c>
      <c r="G585" s="10">
        <f>58.8041 * CHOOSE(CONTROL!$C$9, $D$9, 100%, $F$9) + CHOOSE(CONTROL!$C$27, 0.0021, 0)</f>
        <v>58.806199999999997</v>
      </c>
      <c r="H585" s="10">
        <f>58.6693 * CHOOSE(CONTROL!$C$9, $D$9, 100%, $F$9) + CHOOSE(CONTROL!$C$27, 0.0021, 0)</f>
        <v>58.671399999999998</v>
      </c>
      <c r="I585" s="10">
        <f>58.6693 * CHOOSE(CONTROL!$C$9, $D$9, 100%, $F$9) + CHOOSE(CONTROL!$C$27, 0.0021, 0)</f>
        <v>58.671399999999998</v>
      </c>
      <c r="J585" s="10">
        <f>58.6693 * CHOOSE(CONTROL!$C$9, $D$9, 100%, $F$9) + CHOOSE(CONTROL!$C$27, 0.0021, 0)</f>
        <v>58.671399999999998</v>
      </c>
      <c r="K585" s="10">
        <f>58.6693 * CHOOSE(CONTROL!$C$9, $D$9, 100%, $F$9) + CHOOSE(CONTROL!$C$27, 0.0021, 0)</f>
        <v>58.671399999999998</v>
      </c>
      <c r="L585" s="10"/>
    </row>
    <row r="586" spans="1:12" ht="15.75" x14ac:dyDescent="0.25">
      <c r="A586" s="13">
        <v>59140</v>
      </c>
      <c r="B586" s="10">
        <f>59.2328 * CHOOSE(CONTROL!$C$9, $D$9, 100%, $F$9) + CHOOSE(CONTROL!$C$27, 0.0021, 0)</f>
        <v>59.234899999999996</v>
      </c>
      <c r="C586" s="10">
        <f>58.8006 * CHOOSE(CONTROL!$C$9, $D$9, 100%, $F$9) + CHOOSE(CONTROL!$C$27, 0.0021, 0)</f>
        <v>58.802700000000002</v>
      </c>
      <c r="D586" s="10">
        <f>58.8006 * CHOOSE(CONTROL!$C$9, $D$9, 100%, $F$9) + CHOOSE(CONTROL!$C$27, 0.0021, 0)</f>
        <v>58.802700000000002</v>
      </c>
      <c r="E586" s="10">
        <f>58.6639 * CHOOSE(CONTROL!$C$9, $D$9, 100%, $F$9) + CHOOSE(CONTROL!$C$27, 0.0021, 0)</f>
        <v>58.665999999999997</v>
      </c>
      <c r="F586" s="10">
        <f>58.6639 * CHOOSE(CONTROL!$C$9, $D$9, 100%, $F$9) + CHOOSE(CONTROL!$C$27, 0.0021, 0)</f>
        <v>58.665999999999997</v>
      </c>
      <c r="G586" s="10">
        <f>58.9353 * CHOOSE(CONTROL!$C$9, $D$9, 100%, $F$9) + CHOOSE(CONTROL!$C$27, 0.0021, 0)</f>
        <v>58.937399999999997</v>
      </c>
      <c r="H586" s="10">
        <f>58.8006 * CHOOSE(CONTROL!$C$9, $D$9, 100%, $F$9) + CHOOSE(CONTROL!$C$27, 0.0021, 0)</f>
        <v>58.802700000000002</v>
      </c>
      <c r="I586" s="10">
        <f>58.8006 * CHOOSE(CONTROL!$C$9, $D$9, 100%, $F$9) + CHOOSE(CONTROL!$C$27, 0.0021, 0)</f>
        <v>58.802700000000002</v>
      </c>
      <c r="J586" s="10">
        <f>58.8006 * CHOOSE(CONTROL!$C$9, $D$9, 100%, $F$9) + CHOOSE(CONTROL!$C$27, 0.0021, 0)</f>
        <v>58.802700000000002</v>
      </c>
      <c r="K586" s="10">
        <f>58.8006 * CHOOSE(CONTROL!$C$9, $D$9, 100%, $F$9) + CHOOSE(CONTROL!$C$27, 0.0021, 0)</f>
        <v>58.802700000000002</v>
      </c>
      <c r="L586" s="10"/>
    </row>
    <row r="587" spans="1:12" ht="15.75" x14ac:dyDescent="0.25">
      <c r="A587" s="13">
        <v>59171</v>
      </c>
      <c r="B587" s="10">
        <f>58.1163 * CHOOSE(CONTROL!$C$9, $D$9, 100%, $F$9) + CHOOSE(CONTROL!$C$27, 0.0021, 0)</f>
        <v>58.118400000000001</v>
      </c>
      <c r="C587" s="10">
        <f>57.6841 * CHOOSE(CONTROL!$C$9, $D$9, 100%, $F$9) + CHOOSE(CONTROL!$C$27, 0.0021, 0)</f>
        <v>57.686199999999999</v>
      </c>
      <c r="D587" s="10">
        <f>57.6841 * CHOOSE(CONTROL!$C$9, $D$9, 100%, $F$9) + CHOOSE(CONTROL!$C$27, 0.0021, 0)</f>
        <v>57.686199999999999</v>
      </c>
      <c r="E587" s="10">
        <f>57.5474 * CHOOSE(CONTROL!$C$9, $D$9, 100%, $F$9) + CHOOSE(CONTROL!$C$27, 0.0021, 0)</f>
        <v>57.549500000000002</v>
      </c>
      <c r="F587" s="10">
        <f>57.5474 * CHOOSE(CONTROL!$C$9, $D$9, 100%, $F$9) + CHOOSE(CONTROL!$C$27, 0.0021, 0)</f>
        <v>57.549500000000002</v>
      </c>
      <c r="G587" s="10">
        <f>57.8188 * CHOOSE(CONTROL!$C$9, $D$9, 100%, $F$9) + CHOOSE(CONTROL!$C$27, 0.0021, 0)</f>
        <v>57.820900000000002</v>
      </c>
      <c r="H587" s="10">
        <f>57.6841 * CHOOSE(CONTROL!$C$9, $D$9, 100%, $F$9) + CHOOSE(CONTROL!$C$27, 0.0021, 0)</f>
        <v>57.686199999999999</v>
      </c>
      <c r="I587" s="10">
        <f>57.6841 * CHOOSE(CONTROL!$C$9, $D$9, 100%, $F$9) + CHOOSE(CONTROL!$C$27, 0.0021, 0)</f>
        <v>57.686199999999999</v>
      </c>
      <c r="J587" s="10">
        <f>57.6841 * CHOOSE(CONTROL!$C$9, $D$9, 100%, $F$9) + CHOOSE(CONTROL!$C$27, 0.0021, 0)</f>
        <v>57.686199999999999</v>
      </c>
      <c r="K587" s="10">
        <f>57.6841 * CHOOSE(CONTROL!$C$9, $D$9, 100%, $F$9) + CHOOSE(CONTROL!$C$27, 0.0021, 0)</f>
        <v>57.686199999999999</v>
      </c>
      <c r="L587" s="10"/>
    </row>
    <row r="588" spans="1:12" ht="15.75" x14ac:dyDescent="0.25">
      <c r="A588" s="13">
        <v>59202</v>
      </c>
      <c r="B588" s="10">
        <f>57.2615 * CHOOSE(CONTROL!$C$9, $D$9, 100%, $F$9) + CHOOSE(CONTROL!$C$27, 0.0021, 0)</f>
        <v>57.263599999999997</v>
      </c>
      <c r="C588" s="10">
        <f>56.8293 * CHOOSE(CONTROL!$C$9, $D$9, 100%, $F$9) + CHOOSE(CONTROL!$C$27, 0.0021, 0)</f>
        <v>56.831400000000002</v>
      </c>
      <c r="D588" s="10">
        <f>56.8293 * CHOOSE(CONTROL!$C$9, $D$9, 100%, $F$9) + CHOOSE(CONTROL!$C$27, 0.0021, 0)</f>
        <v>56.831400000000002</v>
      </c>
      <c r="E588" s="10">
        <f>56.6926 * CHOOSE(CONTROL!$C$9, $D$9, 100%, $F$9) + CHOOSE(CONTROL!$C$27, 0.0021, 0)</f>
        <v>56.694699999999997</v>
      </c>
      <c r="F588" s="10">
        <f>56.6926 * CHOOSE(CONTROL!$C$9, $D$9, 100%, $F$9) + CHOOSE(CONTROL!$C$27, 0.0021, 0)</f>
        <v>56.694699999999997</v>
      </c>
      <c r="G588" s="10">
        <f>56.964 * CHOOSE(CONTROL!$C$9, $D$9, 100%, $F$9) + CHOOSE(CONTROL!$C$27, 0.0021, 0)</f>
        <v>56.966099999999997</v>
      </c>
      <c r="H588" s="10">
        <f>56.8293 * CHOOSE(CONTROL!$C$9, $D$9, 100%, $F$9) + CHOOSE(CONTROL!$C$27, 0.0021, 0)</f>
        <v>56.831400000000002</v>
      </c>
      <c r="I588" s="10">
        <f>56.8293 * CHOOSE(CONTROL!$C$9, $D$9, 100%, $F$9) + CHOOSE(CONTROL!$C$27, 0.0021, 0)</f>
        <v>56.831400000000002</v>
      </c>
      <c r="J588" s="10">
        <f>56.8293 * CHOOSE(CONTROL!$C$9, $D$9, 100%, $F$9) + CHOOSE(CONTROL!$C$27, 0.0021, 0)</f>
        <v>56.831400000000002</v>
      </c>
      <c r="K588" s="10">
        <f>56.8293 * CHOOSE(CONTROL!$C$9, $D$9, 100%, $F$9) + CHOOSE(CONTROL!$C$27, 0.0021, 0)</f>
        <v>56.831400000000002</v>
      </c>
      <c r="L588" s="10"/>
    </row>
    <row r="589" spans="1:12" ht="15.75" x14ac:dyDescent="0.25">
      <c r="A589" s="13">
        <v>59230</v>
      </c>
      <c r="B589" s="10">
        <f>55.7067 * CHOOSE(CONTROL!$C$9, $D$9, 100%, $F$9) + CHOOSE(CONTROL!$C$27, 0.0021, 0)</f>
        <v>55.708799999999997</v>
      </c>
      <c r="C589" s="10">
        <f>55.2745 * CHOOSE(CONTROL!$C$9, $D$9, 100%, $F$9) + CHOOSE(CONTROL!$C$27, 0.0021, 0)</f>
        <v>55.276600000000002</v>
      </c>
      <c r="D589" s="10">
        <f>55.2745 * CHOOSE(CONTROL!$C$9, $D$9, 100%, $F$9) + CHOOSE(CONTROL!$C$27, 0.0021, 0)</f>
        <v>55.276600000000002</v>
      </c>
      <c r="E589" s="10">
        <f>55.1378 * CHOOSE(CONTROL!$C$9, $D$9, 100%, $F$9) + CHOOSE(CONTROL!$C$27, 0.0021, 0)</f>
        <v>55.139899999999997</v>
      </c>
      <c r="F589" s="10">
        <f>55.1378 * CHOOSE(CONTROL!$C$9, $D$9, 100%, $F$9) + CHOOSE(CONTROL!$C$27, 0.0021, 0)</f>
        <v>55.139899999999997</v>
      </c>
      <c r="G589" s="10">
        <f>55.4092 * CHOOSE(CONTROL!$C$9, $D$9, 100%, $F$9) + CHOOSE(CONTROL!$C$27, 0.0021, 0)</f>
        <v>55.411299999999997</v>
      </c>
      <c r="H589" s="10">
        <f>55.2745 * CHOOSE(CONTROL!$C$9, $D$9, 100%, $F$9) + CHOOSE(CONTROL!$C$27, 0.0021, 0)</f>
        <v>55.276600000000002</v>
      </c>
      <c r="I589" s="10">
        <f>55.2745 * CHOOSE(CONTROL!$C$9, $D$9, 100%, $F$9) + CHOOSE(CONTROL!$C$27, 0.0021, 0)</f>
        <v>55.276600000000002</v>
      </c>
      <c r="J589" s="10">
        <f>55.2745 * CHOOSE(CONTROL!$C$9, $D$9, 100%, $F$9) + CHOOSE(CONTROL!$C$27, 0.0021, 0)</f>
        <v>55.276600000000002</v>
      </c>
      <c r="K589" s="10">
        <f>55.2745 * CHOOSE(CONTROL!$C$9, $D$9, 100%, $F$9) + CHOOSE(CONTROL!$C$27, 0.0021, 0)</f>
        <v>55.276600000000002</v>
      </c>
      <c r="L589" s="10"/>
    </row>
    <row r="590" spans="1:12" ht="15.75" x14ac:dyDescent="0.25">
      <c r="A590" s="13">
        <v>59261</v>
      </c>
      <c r="B590" s="10">
        <f>55.0649 * CHOOSE(CONTROL!$C$9, $D$9, 100%, $F$9) + CHOOSE(CONTROL!$C$27, 0.0021, 0)</f>
        <v>55.067</v>
      </c>
      <c r="C590" s="10">
        <f>54.6326 * CHOOSE(CONTROL!$C$9, $D$9, 100%, $F$9) + CHOOSE(CONTROL!$C$27, 0.0021, 0)</f>
        <v>54.634699999999995</v>
      </c>
      <c r="D590" s="10">
        <f>54.6326 * CHOOSE(CONTROL!$C$9, $D$9, 100%, $F$9) + CHOOSE(CONTROL!$C$27, 0.0021, 0)</f>
        <v>54.634699999999995</v>
      </c>
      <c r="E590" s="10">
        <f>54.496 * CHOOSE(CONTROL!$C$9, $D$9, 100%, $F$9) + CHOOSE(CONTROL!$C$27, 0.0021, 0)</f>
        <v>54.498100000000001</v>
      </c>
      <c r="F590" s="10">
        <f>54.496 * CHOOSE(CONTROL!$C$9, $D$9, 100%, $F$9) + CHOOSE(CONTROL!$C$27, 0.0021, 0)</f>
        <v>54.498100000000001</v>
      </c>
      <c r="G590" s="10">
        <f>54.7674 * CHOOSE(CONTROL!$C$9, $D$9, 100%, $F$9) + CHOOSE(CONTROL!$C$27, 0.0021, 0)</f>
        <v>54.769500000000001</v>
      </c>
      <c r="H590" s="10">
        <f>54.6326 * CHOOSE(CONTROL!$C$9, $D$9, 100%, $F$9) + CHOOSE(CONTROL!$C$27, 0.0021, 0)</f>
        <v>54.634699999999995</v>
      </c>
      <c r="I590" s="10">
        <f>54.6326 * CHOOSE(CONTROL!$C$9, $D$9, 100%, $F$9) + CHOOSE(CONTROL!$C$27, 0.0021, 0)</f>
        <v>54.634699999999995</v>
      </c>
      <c r="J590" s="10">
        <f>54.6326 * CHOOSE(CONTROL!$C$9, $D$9, 100%, $F$9) + CHOOSE(CONTROL!$C$27, 0.0021, 0)</f>
        <v>54.634699999999995</v>
      </c>
      <c r="K590" s="10">
        <f>54.6326 * CHOOSE(CONTROL!$C$9, $D$9, 100%, $F$9) + CHOOSE(CONTROL!$C$27, 0.0021, 0)</f>
        <v>54.634699999999995</v>
      </c>
      <c r="L590" s="10"/>
    </row>
    <row r="591" spans="1:12" ht="15.75" x14ac:dyDescent="0.25">
      <c r="A591" s="13">
        <v>59291</v>
      </c>
      <c r="B591" s="10">
        <f>54.2985 * CHOOSE(CONTROL!$C$9, $D$9, 100%, $F$9) + CHOOSE(CONTROL!$C$27, 0.0021, 0)</f>
        <v>54.300599999999996</v>
      </c>
      <c r="C591" s="10">
        <f>53.8663 * CHOOSE(CONTROL!$C$9, $D$9, 100%, $F$9) + CHOOSE(CONTROL!$C$27, 0.0021, 0)</f>
        <v>53.868400000000001</v>
      </c>
      <c r="D591" s="10">
        <f>53.8663 * CHOOSE(CONTROL!$C$9, $D$9, 100%, $F$9) + CHOOSE(CONTROL!$C$27, 0.0021, 0)</f>
        <v>53.868400000000001</v>
      </c>
      <c r="E591" s="10">
        <f>53.7296 * CHOOSE(CONTROL!$C$9, $D$9, 100%, $F$9) + CHOOSE(CONTROL!$C$27, 0.0021, 0)</f>
        <v>53.731699999999996</v>
      </c>
      <c r="F591" s="10">
        <f>53.7296 * CHOOSE(CONTROL!$C$9, $D$9, 100%, $F$9) + CHOOSE(CONTROL!$C$27, 0.0021, 0)</f>
        <v>53.731699999999996</v>
      </c>
      <c r="G591" s="10">
        <f>54.001 * CHOOSE(CONTROL!$C$9, $D$9, 100%, $F$9) + CHOOSE(CONTROL!$C$27, 0.0021, 0)</f>
        <v>54.003099999999996</v>
      </c>
      <c r="H591" s="10">
        <f>53.8663 * CHOOSE(CONTROL!$C$9, $D$9, 100%, $F$9) + CHOOSE(CONTROL!$C$27, 0.0021, 0)</f>
        <v>53.868400000000001</v>
      </c>
      <c r="I591" s="10">
        <f>53.8663 * CHOOSE(CONTROL!$C$9, $D$9, 100%, $F$9) + CHOOSE(CONTROL!$C$27, 0.0021, 0)</f>
        <v>53.868400000000001</v>
      </c>
      <c r="J591" s="10">
        <f>53.8663 * CHOOSE(CONTROL!$C$9, $D$9, 100%, $F$9) + CHOOSE(CONTROL!$C$27, 0.0021, 0)</f>
        <v>53.868400000000001</v>
      </c>
      <c r="K591" s="10">
        <f>53.8663 * CHOOSE(CONTROL!$C$9, $D$9, 100%, $F$9) + CHOOSE(CONTROL!$C$27, 0.0021, 0)</f>
        <v>53.868400000000001</v>
      </c>
      <c r="L591" s="10"/>
    </row>
    <row r="592" spans="1:12" ht="15.75" x14ac:dyDescent="0.25">
      <c r="A592" s="13">
        <v>59322</v>
      </c>
      <c r="B592" s="10">
        <f>55.3907 * CHOOSE(CONTROL!$C$9, $D$9, 100%, $F$9) + CHOOSE(CONTROL!$C$27, 0.0021, 0)</f>
        <v>55.392800000000001</v>
      </c>
      <c r="C592" s="10">
        <f>54.9584 * CHOOSE(CONTROL!$C$9, $D$9, 100%, $F$9) + CHOOSE(CONTROL!$C$27, 0.0021, 0)</f>
        <v>54.960499999999996</v>
      </c>
      <c r="D592" s="10">
        <f>54.9584 * CHOOSE(CONTROL!$C$9, $D$9, 100%, $F$9) + CHOOSE(CONTROL!$C$27, 0.0021, 0)</f>
        <v>54.960499999999996</v>
      </c>
      <c r="E592" s="10">
        <f>54.8218 * CHOOSE(CONTROL!$C$9, $D$9, 100%, $F$9) + CHOOSE(CONTROL!$C$27, 0.0021, 0)</f>
        <v>54.823900000000002</v>
      </c>
      <c r="F592" s="10">
        <f>54.8218 * CHOOSE(CONTROL!$C$9, $D$9, 100%, $F$9) + CHOOSE(CONTROL!$C$27, 0.0021, 0)</f>
        <v>54.823900000000002</v>
      </c>
      <c r="G592" s="10">
        <f>55.0931 * CHOOSE(CONTROL!$C$9, $D$9, 100%, $F$9) + CHOOSE(CONTROL!$C$27, 0.0021, 0)</f>
        <v>55.095199999999998</v>
      </c>
      <c r="H592" s="10">
        <f>54.9584 * CHOOSE(CONTROL!$C$9, $D$9, 100%, $F$9) + CHOOSE(CONTROL!$C$27, 0.0021, 0)</f>
        <v>54.960499999999996</v>
      </c>
      <c r="I592" s="10">
        <f>54.9584 * CHOOSE(CONTROL!$C$9, $D$9, 100%, $F$9) + CHOOSE(CONTROL!$C$27, 0.0021, 0)</f>
        <v>54.960499999999996</v>
      </c>
      <c r="J592" s="10">
        <f>54.9584 * CHOOSE(CONTROL!$C$9, $D$9, 100%, $F$9) + CHOOSE(CONTROL!$C$27, 0.0021, 0)</f>
        <v>54.960499999999996</v>
      </c>
      <c r="K592" s="10">
        <f>54.9584 * CHOOSE(CONTROL!$C$9, $D$9, 100%, $F$9) + CHOOSE(CONTROL!$C$27, 0.0021, 0)</f>
        <v>54.960499999999996</v>
      </c>
      <c r="L592" s="10"/>
    </row>
    <row r="593" spans="1:12" ht="15.75" x14ac:dyDescent="0.25">
      <c r="A593" s="13">
        <v>59352</v>
      </c>
      <c r="B593" s="10">
        <f>56.0448 * CHOOSE(CONTROL!$C$9, $D$9, 100%, $F$9) + CHOOSE(CONTROL!$C$27, 0.0021, 0)</f>
        <v>56.046900000000001</v>
      </c>
      <c r="C593" s="10">
        <f>55.6126 * CHOOSE(CONTROL!$C$9, $D$9, 100%, $F$9) + CHOOSE(CONTROL!$C$27, 0.0021, 0)</f>
        <v>55.614699999999999</v>
      </c>
      <c r="D593" s="10">
        <f>55.6126 * CHOOSE(CONTROL!$C$9, $D$9, 100%, $F$9) + CHOOSE(CONTROL!$C$27, 0.0021, 0)</f>
        <v>55.614699999999999</v>
      </c>
      <c r="E593" s="10">
        <f>55.4759 * CHOOSE(CONTROL!$C$9, $D$9, 100%, $F$9) + CHOOSE(CONTROL!$C$27, 0.0021, 0)</f>
        <v>55.478000000000002</v>
      </c>
      <c r="F593" s="10">
        <f>55.4759 * CHOOSE(CONTROL!$C$9, $D$9, 100%, $F$9) + CHOOSE(CONTROL!$C$27, 0.0021, 0)</f>
        <v>55.478000000000002</v>
      </c>
      <c r="G593" s="10">
        <f>55.7473 * CHOOSE(CONTROL!$C$9, $D$9, 100%, $F$9) + CHOOSE(CONTROL!$C$27, 0.0021, 0)</f>
        <v>55.749400000000001</v>
      </c>
      <c r="H593" s="10">
        <f>55.6126 * CHOOSE(CONTROL!$C$9, $D$9, 100%, $F$9) + CHOOSE(CONTROL!$C$27, 0.0021, 0)</f>
        <v>55.614699999999999</v>
      </c>
      <c r="I593" s="10">
        <f>55.6126 * CHOOSE(CONTROL!$C$9, $D$9, 100%, $F$9) + CHOOSE(CONTROL!$C$27, 0.0021, 0)</f>
        <v>55.614699999999999</v>
      </c>
      <c r="J593" s="10">
        <f>55.6126 * CHOOSE(CONTROL!$C$9, $D$9, 100%, $F$9) + CHOOSE(CONTROL!$C$27, 0.0021, 0)</f>
        <v>55.614699999999999</v>
      </c>
      <c r="K593" s="10">
        <f>55.6126 * CHOOSE(CONTROL!$C$9, $D$9, 100%, $F$9) + CHOOSE(CONTROL!$C$27, 0.0021, 0)</f>
        <v>55.614699999999999</v>
      </c>
      <c r="L593" s="10"/>
    </row>
    <row r="594" spans="1:12" ht="15.75" x14ac:dyDescent="0.25">
      <c r="A594" s="13">
        <v>59383</v>
      </c>
      <c r="B594" s="10">
        <f>57.124 * CHOOSE(CONTROL!$C$9, $D$9, 100%, $F$9) + CHOOSE(CONTROL!$C$27, 0.0021, 0)</f>
        <v>57.126100000000001</v>
      </c>
      <c r="C594" s="10">
        <f>56.6917 * CHOOSE(CONTROL!$C$9, $D$9, 100%, $F$9) + CHOOSE(CONTROL!$C$27, 0.0021, 0)</f>
        <v>56.693799999999996</v>
      </c>
      <c r="D594" s="10">
        <f>56.6917 * CHOOSE(CONTROL!$C$9, $D$9, 100%, $F$9) + CHOOSE(CONTROL!$C$27, 0.0021, 0)</f>
        <v>56.693799999999996</v>
      </c>
      <c r="E594" s="10">
        <f>56.555 * CHOOSE(CONTROL!$C$9, $D$9, 100%, $F$9) + CHOOSE(CONTROL!$C$27, 0.0021, 0)</f>
        <v>56.557099999999998</v>
      </c>
      <c r="F594" s="10">
        <f>56.555 * CHOOSE(CONTROL!$C$9, $D$9, 100%, $F$9) + CHOOSE(CONTROL!$C$27, 0.0021, 0)</f>
        <v>56.557099999999998</v>
      </c>
      <c r="G594" s="10">
        <f>56.8264 * CHOOSE(CONTROL!$C$9, $D$9, 100%, $F$9) + CHOOSE(CONTROL!$C$27, 0.0021, 0)</f>
        <v>56.828499999999998</v>
      </c>
      <c r="H594" s="10">
        <f>56.6917 * CHOOSE(CONTROL!$C$9, $D$9, 100%, $F$9) + CHOOSE(CONTROL!$C$27, 0.0021, 0)</f>
        <v>56.693799999999996</v>
      </c>
      <c r="I594" s="10">
        <f>56.6917 * CHOOSE(CONTROL!$C$9, $D$9, 100%, $F$9) + CHOOSE(CONTROL!$C$27, 0.0021, 0)</f>
        <v>56.693799999999996</v>
      </c>
      <c r="J594" s="10">
        <f>56.6917 * CHOOSE(CONTROL!$C$9, $D$9, 100%, $F$9) + CHOOSE(CONTROL!$C$27, 0.0021, 0)</f>
        <v>56.693799999999996</v>
      </c>
      <c r="K594" s="10">
        <f>56.6917 * CHOOSE(CONTROL!$C$9, $D$9, 100%, $F$9) + CHOOSE(CONTROL!$C$27, 0.0021, 0)</f>
        <v>56.693799999999996</v>
      </c>
      <c r="L594" s="10"/>
    </row>
    <row r="595" spans="1:12" ht="15.75" x14ac:dyDescent="0.25">
      <c r="A595" s="13">
        <v>59414</v>
      </c>
      <c r="B595" s="10">
        <f>57.4533 * CHOOSE(CONTROL!$C$9, $D$9, 100%, $F$9) + CHOOSE(CONTROL!$C$27, 0.0021, 0)</f>
        <v>57.455399999999997</v>
      </c>
      <c r="C595" s="10">
        <f>57.0211 * CHOOSE(CONTROL!$C$9, $D$9, 100%, $F$9) + CHOOSE(CONTROL!$C$27, 0.0021, 0)</f>
        <v>57.023199999999996</v>
      </c>
      <c r="D595" s="10">
        <f>57.0211 * CHOOSE(CONTROL!$C$9, $D$9, 100%, $F$9) + CHOOSE(CONTROL!$C$27, 0.0021, 0)</f>
        <v>57.023199999999996</v>
      </c>
      <c r="E595" s="10">
        <f>56.8844 * CHOOSE(CONTROL!$C$9, $D$9, 100%, $F$9) + CHOOSE(CONTROL!$C$27, 0.0021, 0)</f>
        <v>56.886499999999998</v>
      </c>
      <c r="F595" s="10">
        <f>56.8844 * CHOOSE(CONTROL!$C$9, $D$9, 100%, $F$9) + CHOOSE(CONTROL!$C$27, 0.0021, 0)</f>
        <v>56.886499999999998</v>
      </c>
      <c r="G595" s="10">
        <f>57.1558 * CHOOSE(CONTROL!$C$9, $D$9, 100%, $F$9) + CHOOSE(CONTROL!$C$27, 0.0021, 0)</f>
        <v>57.157899999999998</v>
      </c>
      <c r="H595" s="10">
        <f>57.0211 * CHOOSE(CONTROL!$C$9, $D$9, 100%, $F$9) + CHOOSE(CONTROL!$C$27, 0.0021, 0)</f>
        <v>57.023199999999996</v>
      </c>
      <c r="I595" s="10">
        <f>57.0211 * CHOOSE(CONTROL!$C$9, $D$9, 100%, $F$9) + CHOOSE(CONTROL!$C$27, 0.0021, 0)</f>
        <v>57.023199999999996</v>
      </c>
      <c r="J595" s="10">
        <f>57.0211 * CHOOSE(CONTROL!$C$9, $D$9, 100%, $F$9) + CHOOSE(CONTROL!$C$27, 0.0021, 0)</f>
        <v>57.023199999999996</v>
      </c>
      <c r="K595" s="10">
        <f>57.0211 * CHOOSE(CONTROL!$C$9, $D$9, 100%, $F$9) + CHOOSE(CONTROL!$C$27, 0.0021, 0)</f>
        <v>57.023199999999996</v>
      </c>
      <c r="L595" s="10"/>
    </row>
    <row r="596" spans="1:12" ht="15.75" x14ac:dyDescent="0.25">
      <c r="A596" s="13">
        <v>59444</v>
      </c>
      <c r="B596" s="10">
        <f>58.575 * CHOOSE(CONTROL!$C$9, $D$9, 100%, $F$9) + CHOOSE(CONTROL!$C$27, 0.0021, 0)</f>
        <v>58.577100000000002</v>
      </c>
      <c r="C596" s="10">
        <f>58.1428 * CHOOSE(CONTROL!$C$9, $D$9, 100%, $F$9) + CHOOSE(CONTROL!$C$27, 0.0021, 0)</f>
        <v>58.1449</v>
      </c>
      <c r="D596" s="10">
        <f>58.1428 * CHOOSE(CONTROL!$C$9, $D$9, 100%, $F$9) + CHOOSE(CONTROL!$C$27, 0.0021, 0)</f>
        <v>58.1449</v>
      </c>
      <c r="E596" s="10">
        <f>58.0061 * CHOOSE(CONTROL!$C$9, $D$9, 100%, $F$9) + CHOOSE(CONTROL!$C$27, 0.0021, 0)</f>
        <v>58.008200000000002</v>
      </c>
      <c r="F596" s="10">
        <f>58.0061 * CHOOSE(CONTROL!$C$9, $D$9, 100%, $F$9) + CHOOSE(CONTROL!$C$27, 0.0021, 0)</f>
        <v>58.008200000000002</v>
      </c>
      <c r="G596" s="10">
        <f>58.2775 * CHOOSE(CONTROL!$C$9, $D$9, 100%, $F$9) + CHOOSE(CONTROL!$C$27, 0.0021, 0)</f>
        <v>58.279600000000002</v>
      </c>
      <c r="H596" s="10">
        <f>58.1428 * CHOOSE(CONTROL!$C$9, $D$9, 100%, $F$9) + CHOOSE(CONTROL!$C$27, 0.0021, 0)</f>
        <v>58.1449</v>
      </c>
      <c r="I596" s="10">
        <f>58.1428 * CHOOSE(CONTROL!$C$9, $D$9, 100%, $F$9) + CHOOSE(CONTROL!$C$27, 0.0021, 0)</f>
        <v>58.1449</v>
      </c>
      <c r="J596" s="10">
        <f>58.1428 * CHOOSE(CONTROL!$C$9, $D$9, 100%, $F$9) + CHOOSE(CONTROL!$C$27, 0.0021, 0)</f>
        <v>58.1449</v>
      </c>
      <c r="K596" s="10">
        <f>58.1428 * CHOOSE(CONTROL!$C$9, $D$9, 100%, $F$9) + CHOOSE(CONTROL!$C$27, 0.0021, 0)</f>
        <v>58.1449</v>
      </c>
      <c r="L596" s="10"/>
    </row>
    <row r="597" spans="1:12" ht="15.75" x14ac:dyDescent="0.25">
      <c r="A597" s="13">
        <v>59475</v>
      </c>
      <c r="B597" s="10">
        <f>59.9949 * CHOOSE(CONTROL!$C$9, $D$9, 100%, $F$9) + CHOOSE(CONTROL!$C$27, 0.0021, 0)</f>
        <v>59.997</v>
      </c>
      <c r="C597" s="10">
        <f>59.5627 * CHOOSE(CONTROL!$C$9, $D$9, 100%, $F$9) + CHOOSE(CONTROL!$C$27, 0.0021, 0)</f>
        <v>59.564799999999998</v>
      </c>
      <c r="D597" s="10">
        <f>59.5627 * CHOOSE(CONTROL!$C$9, $D$9, 100%, $F$9) + CHOOSE(CONTROL!$C$27, 0.0021, 0)</f>
        <v>59.564799999999998</v>
      </c>
      <c r="E597" s="10">
        <f>59.426 * CHOOSE(CONTROL!$C$9, $D$9, 100%, $F$9) + CHOOSE(CONTROL!$C$27, 0.0021, 0)</f>
        <v>59.428100000000001</v>
      </c>
      <c r="F597" s="10">
        <f>59.426 * CHOOSE(CONTROL!$C$9, $D$9, 100%, $F$9) + CHOOSE(CONTROL!$C$27, 0.0021, 0)</f>
        <v>59.428100000000001</v>
      </c>
      <c r="G597" s="10">
        <f>59.6974 * CHOOSE(CONTROL!$C$9, $D$9, 100%, $F$9) + CHOOSE(CONTROL!$C$27, 0.0021, 0)</f>
        <v>59.6995</v>
      </c>
      <c r="H597" s="10">
        <f>59.5627 * CHOOSE(CONTROL!$C$9, $D$9, 100%, $F$9) + CHOOSE(CONTROL!$C$27, 0.0021, 0)</f>
        <v>59.564799999999998</v>
      </c>
      <c r="I597" s="10">
        <f>59.5627 * CHOOSE(CONTROL!$C$9, $D$9, 100%, $F$9) + CHOOSE(CONTROL!$C$27, 0.0021, 0)</f>
        <v>59.564799999999998</v>
      </c>
      <c r="J597" s="10">
        <f>59.5627 * CHOOSE(CONTROL!$C$9, $D$9, 100%, $F$9) + CHOOSE(CONTROL!$C$27, 0.0021, 0)</f>
        <v>59.564799999999998</v>
      </c>
      <c r="K597" s="10">
        <f>59.5627 * CHOOSE(CONTROL!$C$9, $D$9, 100%, $F$9) + CHOOSE(CONTROL!$C$27, 0.0021, 0)</f>
        <v>59.564799999999998</v>
      </c>
      <c r="L597" s="10"/>
    </row>
    <row r="598" spans="1:12" ht="15.75" x14ac:dyDescent="0.25">
      <c r="A598" s="13">
        <v>59505</v>
      </c>
      <c r="B598" s="10">
        <f>60.1282 * CHOOSE(CONTROL!$C$9, $D$9, 100%, $F$9) + CHOOSE(CONTROL!$C$27, 0.0021, 0)</f>
        <v>60.130299999999998</v>
      </c>
      <c r="C598" s="10">
        <f>59.696 * CHOOSE(CONTROL!$C$9, $D$9, 100%, $F$9) + CHOOSE(CONTROL!$C$27, 0.0021, 0)</f>
        <v>59.698099999999997</v>
      </c>
      <c r="D598" s="10">
        <f>59.696 * CHOOSE(CONTROL!$C$9, $D$9, 100%, $F$9) + CHOOSE(CONTROL!$C$27, 0.0021, 0)</f>
        <v>59.698099999999997</v>
      </c>
      <c r="E598" s="10">
        <f>59.5593 * CHOOSE(CONTROL!$C$9, $D$9, 100%, $F$9) + CHOOSE(CONTROL!$C$27, 0.0021, 0)</f>
        <v>59.561399999999999</v>
      </c>
      <c r="F598" s="10">
        <f>59.5593 * CHOOSE(CONTROL!$C$9, $D$9, 100%, $F$9) + CHOOSE(CONTROL!$C$27, 0.0021, 0)</f>
        <v>59.561399999999999</v>
      </c>
      <c r="G598" s="10">
        <f>59.8307 * CHOOSE(CONTROL!$C$9, $D$9, 100%, $F$9) + CHOOSE(CONTROL!$C$27, 0.0021, 0)</f>
        <v>59.832799999999999</v>
      </c>
      <c r="H598" s="10">
        <f>59.696 * CHOOSE(CONTROL!$C$9, $D$9, 100%, $F$9) + CHOOSE(CONTROL!$C$27, 0.0021, 0)</f>
        <v>59.698099999999997</v>
      </c>
      <c r="I598" s="10">
        <f>59.696 * CHOOSE(CONTROL!$C$9, $D$9, 100%, $F$9) + CHOOSE(CONTROL!$C$27, 0.0021, 0)</f>
        <v>59.698099999999997</v>
      </c>
      <c r="J598" s="10">
        <f>59.696 * CHOOSE(CONTROL!$C$9, $D$9, 100%, $F$9) + CHOOSE(CONTROL!$C$27, 0.0021, 0)</f>
        <v>59.698099999999997</v>
      </c>
      <c r="K598" s="10">
        <f>59.696 * CHOOSE(CONTROL!$C$9, $D$9, 100%, $F$9) + CHOOSE(CONTROL!$C$27, 0.0021, 0)</f>
        <v>59.698099999999997</v>
      </c>
      <c r="L598" s="10"/>
    </row>
    <row r="599" spans="1:12" ht="15.75" x14ac:dyDescent="0.25">
      <c r="A599" s="13">
        <v>59536</v>
      </c>
      <c r="B599" s="10">
        <f>58.9942 * CHOOSE(CONTROL!$C$9, $D$9, 100%, $F$9) + CHOOSE(CONTROL!$C$27, 0.0021, 0)</f>
        <v>58.996299999999998</v>
      </c>
      <c r="C599" s="10">
        <f>58.5619 * CHOOSE(CONTROL!$C$9, $D$9, 100%, $F$9) + CHOOSE(CONTROL!$C$27, 0.0021, 0)</f>
        <v>58.564</v>
      </c>
      <c r="D599" s="10">
        <f>58.5619 * CHOOSE(CONTROL!$C$9, $D$9, 100%, $F$9) + CHOOSE(CONTROL!$C$27, 0.0021, 0)</f>
        <v>58.564</v>
      </c>
      <c r="E599" s="10">
        <f>58.4253 * CHOOSE(CONTROL!$C$9, $D$9, 100%, $F$9) + CHOOSE(CONTROL!$C$27, 0.0021, 0)</f>
        <v>58.427399999999999</v>
      </c>
      <c r="F599" s="10">
        <f>58.4253 * CHOOSE(CONTROL!$C$9, $D$9, 100%, $F$9) + CHOOSE(CONTROL!$C$27, 0.0021, 0)</f>
        <v>58.427399999999999</v>
      </c>
      <c r="G599" s="10">
        <f>58.6966 * CHOOSE(CONTROL!$C$9, $D$9, 100%, $F$9) + CHOOSE(CONTROL!$C$27, 0.0021, 0)</f>
        <v>58.698699999999995</v>
      </c>
      <c r="H599" s="10">
        <f>58.5619 * CHOOSE(CONTROL!$C$9, $D$9, 100%, $F$9) + CHOOSE(CONTROL!$C$27, 0.0021, 0)</f>
        <v>58.564</v>
      </c>
      <c r="I599" s="10">
        <f>58.5619 * CHOOSE(CONTROL!$C$9, $D$9, 100%, $F$9) + CHOOSE(CONTROL!$C$27, 0.0021, 0)</f>
        <v>58.564</v>
      </c>
      <c r="J599" s="10">
        <f>58.5619 * CHOOSE(CONTROL!$C$9, $D$9, 100%, $F$9) + CHOOSE(CONTROL!$C$27, 0.0021, 0)</f>
        <v>58.564</v>
      </c>
      <c r="K599" s="10">
        <f>58.5619 * CHOOSE(CONTROL!$C$9, $D$9, 100%, $F$9) + CHOOSE(CONTROL!$C$27, 0.0021, 0)</f>
        <v>58.564</v>
      </c>
      <c r="L599" s="10"/>
    </row>
    <row r="600" spans="1:12" ht="15.75" x14ac:dyDescent="0.25">
      <c r="A600" s="13">
        <v>59567</v>
      </c>
      <c r="B600" s="10">
        <f>58.1259 * CHOOSE(CONTROL!$C$9, $D$9, 100%, $F$9) + CHOOSE(CONTROL!$C$27, 0.0021, 0)</f>
        <v>58.128</v>
      </c>
      <c r="C600" s="10">
        <f>57.6937 * CHOOSE(CONTROL!$C$9, $D$9, 100%, $F$9) + CHOOSE(CONTROL!$C$27, 0.0021, 0)</f>
        <v>57.695799999999998</v>
      </c>
      <c r="D600" s="10">
        <f>57.6937 * CHOOSE(CONTROL!$C$9, $D$9, 100%, $F$9) + CHOOSE(CONTROL!$C$27, 0.0021, 0)</f>
        <v>57.695799999999998</v>
      </c>
      <c r="E600" s="10">
        <f>57.557 * CHOOSE(CONTROL!$C$9, $D$9, 100%, $F$9) + CHOOSE(CONTROL!$C$27, 0.0021, 0)</f>
        <v>57.559100000000001</v>
      </c>
      <c r="F600" s="10">
        <f>57.557 * CHOOSE(CONTROL!$C$9, $D$9, 100%, $F$9) + CHOOSE(CONTROL!$C$27, 0.0021, 0)</f>
        <v>57.559100000000001</v>
      </c>
      <c r="G600" s="10">
        <f>57.8284 * CHOOSE(CONTROL!$C$9, $D$9, 100%, $F$9) + CHOOSE(CONTROL!$C$27, 0.0021, 0)</f>
        <v>57.830500000000001</v>
      </c>
      <c r="H600" s="10">
        <f>57.6937 * CHOOSE(CONTROL!$C$9, $D$9, 100%, $F$9) + CHOOSE(CONTROL!$C$27, 0.0021, 0)</f>
        <v>57.695799999999998</v>
      </c>
      <c r="I600" s="10">
        <f>57.6937 * CHOOSE(CONTROL!$C$9, $D$9, 100%, $F$9) + CHOOSE(CONTROL!$C$27, 0.0021, 0)</f>
        <v>57.695799999999998</v>
      </c>
      <c r="J600" s="10">
        <f>57.6937 * CHOOSE(CONTROL!$C$9, $D$9, 100%, $F$9) + CHOOSE(CONTROL!$C$27, 0.0021, 0)</f>
        <v>57.695799999999998</v>
      </c>
      <c r="K600" s="10">
        <f>57.6937 * CHOOSE(CONTROL!$C$9, $D$9, 100%, $F$9) + CHOOSE(CONTROL!$C$27, 0.0021, 0)</f>
        <v>57.695799999999998</v>
      </c>
      <c r="L600" s="10"/>
    </row>
    <row r="601" spans="1:12" ht="15.75" x14ac:dyDescent="0.25">
      <c r="A601" s="13">
        <v>59595</v>
      </c>
      <c r="B601" s="10">
        <f>56.5467 * CHOOSE(CONTROL!$C$9, $D$9, 100%, $F$9) + CHOOSE(CONTROL!$C$27, 0.0021, 0)</f>
        <v>56.5488</v>
      </c>
      <c r="C601" s="10">
        <f>56.1144 * CHOOSE(CONTROL!$C$9, $D$9, 100%, $F$9) + CHOOSE(CONTROL!$C$27, 0.0021, 0)</f>
        <v>56.116500000000002</v>
      </c>
      <c r="D601" s="10">
        <f>56.1144 * CHOOSE(CONTROL!$C$9, $D$9, 100%, $F$9) + CHOOSE(CONTROL!$C$27, 0.0021, 0)</f>
        <v>56.116500000000002</v>
      </c>
      <c r="E601" s="10">
        <f>55.9777 * CHOOSE(CONTROL!$C$9, $D$9, 100%, $F$9) + CHOOSE(CONTROL!$C$27, 0.0021, 0)</f>
        <v>55.979799999999997</v>
      </c>
      <c r="F601" s="10">
        <f>55.9777 * CHOOSE(CONTROL!$C$9, $D$9, 100%, $F$9) + CHOOSE(CONTROL!$C$27, 0.0021, 0)</f>
        <v>55.979799999999997</v>
      </c>
      <c r="G601" s="10">
        <f>56.2491 * CHOOSE(CONTROL!$C$9, $D$9, 100%, $F$9) + CHOOSE(CONTROL!$C$27, 0.0021, 0)</f>
        <v>56.251199999999997</v>
      </c>
      <c r="H601" s="10">
        <f>56.1144 * CHOOSE(CONTROL!$C$9, $D$9, 100%, $F$9) + CHOOSE(CONTROL!$C$27, 0.0021, 0)</f>
        <v>56.116500000000002</v>
      </c>
      <c r="I601" s="10">
        <f>56.1144 * CHOOSE(CONTROL!$C$9, $D$9, 100%, $F$9) + CHOOSE(CONTROL!$C$27, 0.0021, 0)</f>
        <v>56.116500000000002</v>
      </c>
      <c r="J601" s="10">
        <f>56.1144 * CHOOSE(CONTROL!$C$9, $D$9, 100%, $F$9) + CHOOSE(CONTROL!$C$27, 0.0021, 0)</f>
        <v>56.116500000000002</v>
      </c>
      <c r="K601" s="10">
        <f>56.1144 * CHOOSE(CONTROL!$C$9, $D$9, 100%, $F$9) + CHOOSE(CONTROL!$C$27, 0.0021, 0)</f>
        <v>56.116500000000002</v>
      </c>
      <c r="L601" s="10"/>
    </row>
    <row r="602" spans="1:12" ht="15.75" x14ac:dyDescent="0.25">
      <c r="A602" s="13">
        <v>59626</v>
      </c>
      <c r="B602" s="10">
        <f>55.8947 * CHOOSE(CONTROL!$C$9, $D$9, 100%, $F$9) + CHOOSE(CONTROL!$C$27, 0.0021, 0)</f>
        <v>55.896799999999999</v>
      </c>
      <c r="C602" s="10">
        <f>55.4625 * CHOOSE(CONTROL!$C$9, $D$9, 100%, $F$9) + CHOOSE(CONTROL!$C$27, 0.0021, 0)</f>
        <v>55.464599999999997</v>
      </c>
      <c r="D602" s="10">
        <f>55.4625 * CHOOSE(CONTROL!$C$9, $D$9, 100%, $F$9) + CHOOSE(CONTROL!$C$27, 0.0021, 0)</f>
        <v>55.464599999999997</v>
      </c>
      <c r="E602" s="10">
        <f>55.3258 * CHOOSE(CONTROL!$C$9, $D$9, 100%, $F$9) + CHOOSE(CONTROL!$C$27, 0.0021, 0)</f>
        <v>55.3279</v>
      </c>
      <c r="F602" s="10">
        <f>55.3258 * CHOOSE(CONTROL!$C$9, $D$9, 100%, $F$9) + CHOOSE(CONTROL!$C$27, 0.0021, 0)</f>
        <v>55.3279</v>
      </c>
      <c r="G602" s="10">
        <f>55.5972 * CHOOSE(CONTROL!$C$9, $D$9, 100%, $F$9) + CHOOSE(CONTROL!$C$27, 0.0021, 0)</f>
        <v>55.599299999999999</v>
      </c>
      <c r="H602" s="10">
        <f>55.4625 * CHOOSE(CONTROL!$C$9, $D$9, 100%, $F$9) + CHOOSE(CONTROL!$C$27, 0.0021, 0)</f>
        <v>55.464599999999997</v>
      </c>
      <c r="I602" s="10">
        <f>55.4625 * CHOOSE(CONTROL!$C$9, $D$9, 100%, $F$9) + CHOOSE(CONTROL!$C$27, 0.0021, 0)</f>
        <v>55.464599999999997</v>
      </c>
      <c r="J602" s="10">
        <f>55.4625 * CHOOSE(CONTROL!$C$9, $D$9, 100%, $F$9) + CHOOSE(CONTROL!$C$27, 0.0021, 0)</f>
        <v>55.464599999999997</v>
      </c>
      <c r="K602" s="10">
        <f>55.4625 * CHOOSE(CONTROL!$C$9, $D$9, 100%, $F$9) + CHOOSE(CONTROL!$C$27, 0.0021, 0)</f>
        <v>55.464599999999997</v>
      </c>
      <c r="L602" s="10"/>
    </row>
    <row r="603" spans="1:12" ht="15.75" x14ac:dyDescent="0.25">
      <c r="A603" s="13">
        <v>59656</v>
      </c>
      <c r="B603" s="10">
        <f>55.1163 * CHOOSE(CONTROL!$C$9, $D$9, 100%, $F$9) + CHOOSE(CONTROL!$C$27, 0.0021, 0)</f>
        <v>55.118400000000001</v>
      </c>
      <c r="C603" s="10">
        <f>54.6841 * CHOOSE(CONTROL!$C$9, $D$9, 100%, $F$9) + CHOOSE(CONTROL!$C$27, 0.0021, 0)</f>
        <v>54.686199999999999</v>
      </c>
      <c r="D603" s="10">
        <f>54.6841 * CHOOSE(CONTROL!$C$9, $D$9, 100%, $F$9) + CHOOSE(CONTROL!$C$27, 0.0021, 0)</f>
        <v>54.686199999999999</v>
      </c>
      <c r="E603" s="10">
        <f>54.5474 * CHOOSE(CONTROL!$C$9, $D$9, 100%, $F$9) + CHOOSE(CONTROL!$C$27, 0.0021, 0)</f>
        <v>54.549500000000002</v>
      </c>
      <c r="F603" s="10">
        <f>54.5474 * CHOOSE(CONTROL!$C$9, $D$9, 100%, $F$9) + CHOOSE(CONTROL!$C$27, 0.0021, 0)</f>
        <v>54.549500000000002</v>
      </c>
      <c r="G603" s="10">
        <f>54.8188 * CHOOSE(CONTROL!$C$9, $D$9, 100%, $F$9) + CHOOSE(CONTROL!$C$27, 0.0021, 0)</f>
        <v>54.820900000000002</v>
      </c>
      <c r="H603" s="10">
        <f>54.6841 * CHOOSE(CONTROL!$C$9, $D$9, 100%, $F$9) + CHOOSE(CONTROL!$C$27, 0.0021, 0)</f>
        <v>54.686199999999999</v>
      </c>
      <c r="I603" s="10">
        <f>54.6841 * CHOOSE(CONTROL!$C$9, $D$9, 100%, $F$9) + CHOOSE(CONTROL!$C$27, 0.0021, 0)</f>
        <v>54.686199999999999</v>
      </c>
      <c r="J603" s="10">
        <f>54.6841 * CHOOSE(CONTROL!$C$9, $D$9, 100%, $F$9) + CHOOSE(CONTROL!$C$27, 0.0021, 0)</f>
        <v>54.686199999999999</v>
      </c>
      <c r="K603" s="10">
        <f>54.6841 * CHOOSE(CONTROL!$C$9, $D$9, 100%, $F$9) + CHOOSE(CONTROL!$C$27, 0.0021, 0)</f>
        <v>54.686199999999999</v>
      </c>
      <c r="L603" s="10"/>
    </row>
    <row r="604" spans="1:12" ht="15.75" x14ac:dyDescent="0.25">
      <c r="A604" s="13">
        <v>59687</v>
      </c>
      <c r="B604" s="10">
        <f>56.2256 * CHOOSE(CONTROL!$C$9, $D$9, 100%, $F$9) + CHOOSE(CONTROL!$C$27, 0.0021, 0)</f>
        <v>56.227699999999999</v>
      </c>
      <c r="C604" s="10">
        <f>55.7934 * CHOOSE(CONTROL!$C$9, $D$9, 100%, $F$9) + CHOOSE(CONTROL!$C$27, 0.0021, 0)</f>
        <v>55.795499999999997</v>
      </c>
      <c r="D604" s="10">
        <f>55.7934 * CHOOSE(CONTROL!$C$9, $D$9, 100%, $F$9) + CHOOSE(CONTROL!$C$27, 0.0021, 0)</f>
        <v>55.795499999999997</v>
      </c>
      <c r="E604" s="10">
        <f>55.6567 * CHOOSE(CONTROL!$C$9, $D$9, 100%, $F$9) + CHOOSE(CONTROL!$C$27, 0.0021, 0)</f>
        <v>55.658799999999999</v>
      </c>
      <c r="F604" s="10">
        <f>55.6567 * CHOOSE(CONTROL!$C$9, $D$9, 100%, $F$9) + CHOOSE(CONTROL!$C$27, 0.0021, 0)</f>
        <v>55.658799999999999</v>
      </c>
      <c r="G604" s="10">
        <f>55.9281 * CHOOSE(CONTROL!$C$9, $D$9, 100%, $F$9) + CHOOSE(CONTROL!$C$27, 0.0021, 0)</f>
        <v>55.930199999999999</v>
      </c>
      <c r="H604" s="10">
        <f>55.7934 * CHOOSE(CONTROL!$C$9, $D$9, 100%, $F$9) + CHOOSE(CONTROL!$C$27, 0.0021, 0)</f>
        <v>55.795499999999997</v>
      </c>
      <c r="I604" s="10">
        <f>55.7934 * CHOOSE(CONTROL!$C$9, $D$9, 100%, $F$9) + CHOOSE(CONTROL!$C$27, 0.0021, 0)</f>
        <v>55.795499999999997</v>
      </c>
      <c r="J604" s="10">
        <f>55.7934 * CHOOSE(CONTROL!$C$9, $D$9, 100%, $F$9) + CHOOSE(CONTROL!$C$27, 0.0021, 0)</f>
        <v>55.795499999999997</v>
      </c>
      <c r="K604" s="10">
        <f>55.7934 * CHOOSE(CONTROL!$C$9, $D$9, 100%, $F$9) + CHOOSE(CONTROL!$C$27, 0.0021, 0)</f>
        <v>55.795499999999997</v>
      </c>
      <c r="L604" s="10"/>
    </row>
    <row r="605" spans="1:12" ht="15.75" x14ac:dyDescent="0.25">
      <c r="A605" s="13">
        <v>59717</v>
      </c>
      <c r="B605" s="10">
        <f>56.8901 * CHOOSE(CONTROL!$C$9, $D$9, 100%, $F$9) + CHOOSE(CONTROL!$C$27, 0.0021, 0)</f>
        <v>56.892199999999995</v>
      </c>
      <c r="C605" s="10">
        <f>56.4578 * CHOOSE(CONTROL!$C$9, $D$9, 100%, $F$9) + CHOOSE(CONTROL!$C$27, 0.0021, 0)</f>
        <v>56.459899999999998</v>
      </c>
      <c r="D605" s="10">
        <f>56.4578 * CHOOSE(CONTROL!$C$9, $D$9, 100%, $F$9) + CHOOSE(CONTROL!$C$27, 0.0021, 0)</f>
        <v>56.459899999999998</v>
      </c>
      <c r="E605" s="10">
        <f>56.3212 * CHOOSE(CONTROL!$C$9, $D$9, 100%, $F$9) + CHOOSE(CONTROL!$C$27, 0.0021, 0)</f>
        <v>56.323299999999996</v>
      </c>
      <c r="F605" s="10">
        <f>56.3212 * CHOOSE(CONTROL!$C$9, $D$9, 100%, $F$9) + CHOOSE(CONTROL!$C$27, 0.0021, 0)</f>
        <v>56.323299999999996</v>
      </c>
      <c r="G605" s="10">
        <f>56.5926 * CHOOSE(CONTROL!$C$9, $D$9, 100%, $F$9) + CHOOSE(CONTROL!$C$27, 0.0021, 0)</f>
        <v>56.594699999999996</v>
      </c>
      <c r="H605" s="10">
        <f>56.4578 * CHOOSE(CONTROL!$C$9, $D$9, 100%, $F$9) + CHOOSE(CONTROL!$C$27, 0.0021, 0)</f>
        <v>56.459899999999998</v>
      </c>
      <c r="I605" s="10">
        <f>56.4578 * CHOOSE(CONTROL!$C$9, $D$9, 100%, $F$9) + CHOOSE(CONTROL!$C$27, 0.0021, 0)</f>
        <v>56.459899999999998</v>
      </c>
      <c r="J605" s="10">
        <f>56.4578 * CHOOSE(CONTROL!$C$9, $D$9, 100%, $F$9) + CHOOSE(CONTROL!$C$27, 0.0021, 0)</f>
        <v>56.459899999999998</v>
      </c>
      <c r="K605" s="10">
        <f>56.4578 * CHOOSE(CONTROL!$C$9, $D$9, 100%, $F$9) + CHOOSE(CONTROL!$C$27, 0.0021, 0)</f>
        <v>56.459899999999998</v>
      </c>
      <c r="L605" s="10"/>
    </row>
    <row r="606" spans="1:12" ht="15.75" x14ac:dyDescent="0.25">
      <c r="A606" s="13">
        <v>59748</v>
      </c>
      <c r="B606" s="10">
        <f>57.9862 * CHOOSE(CONTROL!$C$9, $D$9, 100%, $F$9) + CHOOSE(CONTROL!$C$27, 0.0021, 0)</f>
        <v>57.988299999999995</v>
      </c>
      <c r="C606" s="10">
        <f>57.5539 * CHOOSE(CONTROL!$C$9, $D$9, 100%, $F$9) + CHOOSE(CONTROL!$C$27, 0.0021, 0)</f>
        <v>57.555999999999997</v>
      </c>
      <c r="D606" s="10">
        <f>57.5539 * CHOOSE(CONTROL!$C$9, $D$9, 100%, $F$9) + CHOOSE(CONTROL!$C$27, 0.0021, 0)</f>
        <v>57.555999999999997</v>
      </c>
      <c r="E606" s="10">
        <f>57.4173 * CHOOSE(CONTROL!$C$9, $D$9, 100%, $F$9) + CHOOSE(CONTROL!$C$27, 0.0021, 0)</f>
        <v>57.419399999999996</v>
      </c>
      <c r="F606" s="10">
        <f>57.4173 * CHOOSE(CONTROL!$C$9, $D$9, 100%, $F$9) + CHOOSE(CONTROL!$C$27, 0.0021, 0)</f>
        <v>57.419399999999996</v>
      </c>
      <c r="G606" s="10">
        <f>57.6886 * CHOOSE(CONTROL!$C$9, $D$9, 100%, $F$9) + CHOOSE(CONTROL!$C$27, 0.0021, 0)</f>
        <v>57.6907</v>
      </c>
      <c r="H606" s="10">
        <f>57.5539 * CHOOSE(CONTROL!$C$9, $D$9, 100%, $F$9) + CHOOSE(CONTROL!$C$27, 0.0021, 0)</f>
        <v>57.555999999999997</v>
      </c>
      <c r="I606" s="10">
        <f>57.5539 * CHOOSE(CONTROL!$C$9, $D$9, 100%, $F$9) + CHOOSE(CONTROL!$C$27, 0.0021, 0)</f>
        <v>57.555999999999997</v>
      </c>
      <c r="J606" s="10">
        <f>57.5539 * CHOOSE(CONTROL!$C$9, $D$9, 100%, $F$9) + CHOOSE(CONTROL!$C$27, 0.0021, 0)</f>
        <v>57.555999999999997</v>
      </c>
      <c r="K606" s="10">
        <f>57.5539 * CHOOSE(CONTROL!$C$9, $D$9, 100%, $F$9) + CHOOSE(CONTROL!$C$27, 0.0021, 0)</f>
        <v>57.555999999999997</v>
      </c>
      <c r="L606" s="10"/>
    </row>
    <row r="607" spans="1:12" ht="15.75" x14ac:dyDescent="0.25">
      <c r="A607" s="13">
        <v>59779</v>
      </c>
      <c r="B607" s="10">
        <f>58.3207 * CHOOSE(CONTROL!$C$9, $D$9, 100%, $F$9) + CHOOSE(CONTROL!$C$27, 0.0021, 0)</f>
        <v>58.322800000000001</v>
      </c>
      <c r="C607" s="10">
        <f>57.8885 * CHOOSE(CONTROL!$C$9, $D$9, 100%, $F$9) + CHOOSE(CONTROL!$C$27, 0.0021, 0)</f>
        <v>57.890599999999999</v>
      </c>
      <c r="D607" s="10">
        <f>57.8885 * CHOOSE(CONTROL!$C$9, $D$9, 100%, $F$9) + CHOOSE(CONTROL!$C$27, 0.0021, 0)</f>
        <v>57.890599999999999</v>
      </c>
      <c r="E607" s="10">
        <f>57.7518 * CHOOSE(CONTROL!$C$9, $D$9, 100%, $F$9) + CHOOSE(CONTROL!$C$27, 0.0021, 0)</f>
        <v>57.753900000000002</v>
      </c>
      <c r="F607" s="10">
        <f>57.7518 * CHOOSE(CONTROL!$C$9, $D$9, 100%, $F$9) + CHOOSE(CONTROL!$C$27, 0.0021, 0)</f>
        <v>57.753900000000002</v>
      </c>
      <c r="G607" s="10">
        <f>58.0232 * CHOOSE(CONTROL!$C$9, $D$9, 100%, $F$9) + CHOOSE(CONTROL!$C$27, 0.0021, 0)</f>
        <v>58.025300000000001</v>
      </c>
      <c r="H607" s="10">
        <f>57.8885 * CHOOSE(CONTROL!$C$9, $D$9, 100%, $F$9) + CHOOSE(CONTROL!$C$27, 0.0021, 0)</f>
        <v>57.890599999999999</v>
      </c>
      <c r="I607" s="10">
        <f>57.8885 * CHOOSE(CONTROL!$C$9, $D$9, 100%, $F$9) + CHOOSE(CONTROL!$C$27, 0.0021, 0)</f>
        <v>57.890599999999999</v>
      </c>
      <c r="J607" s="10">
        <f>57.8885 * CHOOSE(CONTROL!$C$9, $D$9, 100%, $F$9) + CHOOSE(CONTROL!$C$27, 0.0021, 0)</f>
        <v>57.890599999999999</v>
      </c>
      <c r="K607" s="10">
        <f>57.8885 * CHOOSE(CONTROL!$C$9, $D$9, 100%, $F$9) + CHOOSE(CONTROL!$C$27, 0.0021, 0)</f>
        <v>57.890599999999999</v>
      </c>
      <c r="L607" s="10"/>
    </row>
    <row r="608" spans="1:12" ht="15.75" x14ac:dyDescent="0.25">
      <c r="A608" s="13">
        <v>59809</v>
      </c>
      <c r="B608" s="10">
        <f>59.4601 * CHOOSE(CONTROL!$C$9, $D$9, 100%, $F$9) + CHOOSE(CONTROL!$C$27, 0.0021, 0)</f>
        <v>59.462199999999996</v>
      </c>
      <c r="C608" s="10">
        <f>59.0278 * CHOOSE(CONTROL!$C$9, $D$9, 100%, $F$9) + CHOOSE(CONTROL!$C$27, 0.0021, 0)</f>
        <v>59.029899999999998</v>
      </c>
      <c r="D608" s="10">
        <f>59.0278 * CHOOSE(CONTROL!$C$9, $D$9, 100%, $F$9) + CHOOSE(CONTROL!$C$27, 0.0021, 0)</f>
        <v>59.029899999999998</v>
      </c>
      <c r="E608" s="10">
        <f>58.8912 * CHOOSE(CONTROL!$C$9, $D$9, 100%, $F$9) + CHOOSE(CONTROL!$C$27, 0.0021, 0)</f>
        <v>58.893299999999996</v>
      </c>
      <c r="F608" s="10">
        <f>58.8912 * CHOOSE(CONTROL!$C$9, $D$9, 100%, $F$9) + CHOOSE(CONTROL!$C$27, 0.0021, 0)</f>
        <v>58.893299999999996</v>
      </c>
      <c r="G608" s="10">
        <f>59.1625 * CHOOSE(CONTROL!$C$9, $D$9, 100%, $F$9) + CHOOSE(CONTROL!$C$27, 0.0021, 0)</f>
        <v>59.1646</v>
      </c>
      <c r="H608" s="10">
        <f>59.0278 * CHOOSE(CONTROL!$C$9, $D$9, 100%, $F$9) + CHOOSE(CONTROL!$C$27, 0.0021, 0)</f>
        <v>59.029899999999998</v>
      </c>
      <c r="I608" s="10">
        <f>59.0278 * CHOOSE(CONTROL!$C$9, $D$9, 100%, $F$9) + CHOOSE(CONTROL!$C$27, 0.0021, 0)</f>
        <v>59.029899999999998</v>
      </c>
      <c r="J608" s="10">
        <f>59.0278 * CHOOSE(CONTROL!$C$9, $D$9, 100%, $F$9) + CHOOSE(CONTROL!$C$27, 0.0021, 0)</f>
        <v>59.029899999999998</v>
      </c>
      <c r="K608" s="10">
        <f>59.0278 * CHOOSE(CONTROL!$C$9, $D$9, 100%, $F$9) + CHOOSE(CONTROL!$C$27, 0.0021, 0)</f>
        <v>59.029899999999998</v>
      </c>
      <c r="L608" s="10"/>
    </row>
    <row r="609" spans="1:12" ht="15.75" x14ac:dyDescent="0.25">
      <c r="A609" s="13">
        <v>59840</v>
      </c>
      <c r="B609" s="10">
        <f>60.9023 * CHOOSE(CONTROL!$C$9, $D$9, 100%, $F$9) + CHOOSE(CONTROL!$C$27, 0.0021, 0)</f>
        <v>60.904399999999995</v>
      </c>
      <c r="C609" s="10">
        <f>60.47 * CHOOSE(CONTROL!$C$9, $D$9, 100%, $F$9) + CHOOSE(CONTROL!$C$27, 0.0021, 0)</f>
        <v>60.472099999999998</v>
      </c>
      <c r="D609" s="10">
        <f>60.47 * CHOOSE(CONTROL!$C$9, $D$9, 100%, $F$9) + CHOOSE(CONTROL!$C$27, 0.0021, 0)</f>
        <v>60.472099999999998</v>
      </c>
      <c r="E609" s="10">
        <f>60.3334 * CHOOSE(CONTROL!$C$9, $D$9, 100%, $F$9) + CHOOSE(CONTROL!$C$27, 0.0021, 0)</f>
        <v>60.335499999999996</v>
      </c>
      <c r="F609" s="10">
        <f>60.3334 * CHOOSE(CONTROL!$C$9, $D$9, 100%, $F$9) + CHOOSE(CONTROL!$C$27, 0.0021, 0)</f>
        <v>60.335499999999996</v>
      </c>
      <c r="G609" s="10">
        <f>60.6047 * CHOOSE(CONTROL!$C$9, $D$9, 100%, $F$9) + CHOOSE(CONTROL!$C$27, 0.0021, 0)</f>
        <v>60.6068</v>
      </c>
      <c r="H609" s="10">
        <f>60.47 * CHOOSE(CONTROL!$C$9, $D$9, 100%, $F$9) + CHOOSE(CONTROL!$C$27, 0.0021, 0)</f>
        <v>60.472099999999998</v>
      </c>
      <c r="I609" s="10">
        <f>60.47 * CHOOSE(CONTROL!$C$9, $D$9, 100%, $F$9) + CHOOSE(CONTROL!$C$27, 0.0021, 0)</f>
        <v>60.472099999999998</v>
      </c>
      <c r="J609" s="10">
        <f>60.47 * CHOOSE(CONTROL!$C$9, $D$9, 100%, $F$9) + CHOOSE(CONTROL!$C$27, 0.0021, 0)</f>
        <v>60.472099999999998</v>
      </c>
      <c r="K609" s="10">
        <f>60.47 * CHOOSE(CONTROL!$C$9, $D$9, 100%, $F$9) + CHOOSE(CONTROL!$C$27, 0.0021, 0)</f>
        <v>60.472099999999998</v>
      </c>
      <c r="L609" s="10"/>
    </row>
    <row r="610" spans="1:12" ht="15.75" x14ac:dyDescent="0.25">
      <c r="A610" s="13">
        <v>59870</v>
      </c>
      <c r="B610" s="10">
        <f>61.0377 * CHOOSE(CONTROL!$C$9, $D$9, 100%, $F$9) + CHOOSE(CONTROL!$C$27, 0.0021, 0)</f>
        <v>61.0398</v>
      </c>
      <c r="C610" s="10">
        <f>60.6054 * CHOOSE(CONTROL!$C$9, $D$9, 100%, $F$9) + CHOOSE(CONTROL!$C$27, 0.0021, 0)</f>
        <v>60.607500000000002</v>
      </c>
      <c r="D610" s="10">
        <f>60.6054 * CHOOSE(CONTROL!$C$9, $D$9, 100%, $F$9) + CHOOSE(CONTROL!$C$27, 0.0021, 0)</f>
        <v>60.607500000000002</v>
      </c>
      <c r="E610" s="10">
        <f>60.4688 * CHOOSE(CONTROL!$C$9, $D$9, 100%, $F$9) + CHOOSE(CONTROL!$C$27, 0.0021, 0)</f>
        <v>60.4709</v>
      </c>
      <c r="F610" s="10">
        <f>60.4688 * CHOOSE(CONTROL!$C$9, $D$9, 100%, $F$9) + CHOOSE(CONTROL!$C$27, 0.0021, 0)</f>
        <v>60.4709</v>
      </c>
      <c r="G610" s="10">
        <f>60.7401 * CHOOSE(CONTROL!$C$9, $D$9, 100%, $F$9) + CHOOSE(CONTROL!$C$27, 0.0021, 0)</f>
        <v>60.742199999999997</v>
      </c>
      <c r="H610" s="10">
        <f>60.6054 * CHOOSE(CONTROL!$C$9, $D$9, 100%, $F$9) + CHOOSE(CONTROL!$C$27, 0.0021, 0)</f>
        <v>60.607500000000002</v>
      </c>
      <c r="I610" s="10">
        <f>60.6054 * CHOOSE(CONTROL!$C$9, $D$9, 100%, $F$9) + CHOOSE(CONTROL!$C$27, 0.0021, 0)</f>
        <v>60.607500000000002</v>
      </c>
      <c r="J610" s="10">
        <f>60.6054 * CHOOSE(CONTROL!$C$9, $D$9, 100%, $F$9) + CHOOSE(CONTROL!$C$27, 0.0021, 0)</f>
        <v>60.607500000000002</v>
      </c>
      <c r="K610" s="10">
        <f>60.6054 * CHOOSE(CONTROL!$C$9, $D$9, 100%, $F$9) + CHOOSE(CONTROL!$C$27, 0.0021, 0)</f>
        <v>60.607500000000002</v>
      </c>
      <c r="L610" s="10"/>
    </row>
    <row r="611" spans="1:12" ht="15.75" x14ac:dyDescent="0.25">
      <c r="A611" s="13">
        <v>59901</v>
      </c>
      <c r="B611" s="10">
        <f>59.8858 * CHOOSE(CONTROL!$C$9, $D$9, 100%, $F$9) + CHOOSE(CONTROL!$C$27, 0.0021, 0)</f>
        <v>59.887900000000002</v>
      </c>
      <c r="C611" s="10">
        <f>59.4536 * CHOOSE(CONTROL!$C$9, $D$9, 100%, $F$9) + CHOOSE(CONTROL!$C$27, 0.0021, 0)</f>
        <v>59.4557</v>
      </c>
      <c r="D611" s="10">
        <f>59.4536 * CHOOSE(CONTROL!$C$9, $D$9, 100%, $F$9) + CHOOSE(CONTROL!$C$27, 0.0021, 0)</f>
        <v>59.4557</v>
      </c>
      <c r="E611" s="10">
        <f>59.3169 * CHOOSE(CONTROL!$C$9, $D$9, 100%, $F$9) + CHOOSE(CONTROL!$C$27, 0.0021, 0)</f>
        <v>59.318999999999996</v>
      </c>
      <c r="F611" s="10">
        <f>59.3169 * CHOOSE(CONTROL!$C$9, $D$9, 100%, $F$9) + CHOOSE(CONTROL!$C$27, 0.0021, 0)</f>
        <v>59.318999999999996</v>
      </c>
      <c r="G611" s="10">
        <f>59.5883 * CHOOSE(CONTROL!$C$9, $D$9, 100%, $F$9) + CHOOSE(CONTROL!$C$27, 0.0021, 0)</f>
        <v>59.590399999999995</v>
      </c>
      <c r="H611" s="10">
        <f>59.4536 * CHOOSE(CONTROL!$C$9, $D$9, 100%, $F$9) + CHOOSE(CONTROL!$C$27, 0.0021, 0)</f>
        <v>59.4557</v>
      </c>
      <c r="I611" s="10">
        <f>59.4536 * CHOOSE(CONTROL!$C$9, $D$9, 100%, $F$9) + CHOOSE(CONTROL!$C$27, 0.0021, 0)</f>
        <v>59.4557</v>
      </c>
      <c r="J611" s="10">
        <f>59.4536 * CHOOSE(CONTROL!$C$9, $D$9, 100%, $F$9) + CHOOSE(CONTROL!$C$27, 0.0021, 0)</f>
        <v>59.4557</v>
      </c>
      <c r="K611" s="10">
        <f>59.4536 * CHOOSE(CONTROL!$C$9, $D$9, 100%, $F$9) + CHOOSE(CONTROL!$C$27, 0.0021, 0)</f>
        <v>59.4557</v>
      </c>
      <c r="L611" s="10"/>
    </row>
    <row r="612" spans="1:12" ht="15.75" x14ac:dyDescent="0.25">
      <c r="A612" s="13">
        <v>59932</v>
      </c>
      <c r="B612" s="10">
        <f>59.0039 * CHOOSE(CONTROL!$C$9, $D$9, 100%, $F$9) + CHOOSE(CONTROL!$C$27, 0.0021, 0)</f>
        <v>59.006</v>
      </c>
      <c r="C612" s="10">
        <f>58.5717 * CHOOSE(CONTROL!$C$9, $D$9, 100%, $F$9) + CHOOSE(CONTROL!$C$27, 0.0021, 0)</f>
        <v>58.573799999999999</v>
      </c>
      <c r="D612" s="10">
        <f>58.5717 * CHOOSE(CONTROL!$C$9, $D$9, 100%, $F$9) + CHOOSE(CONTROL!$C$27, 0.0021, 0)</f>
        <v>58.573799999999999</v>
      </c>
      <c r="E612" s="10">
        <f>58.435 * CHOOSE(CONTROL!$C$9, $D$9, 100%, $F$9) + CHOOSE(CONTROL!$C$27, 0.0021, 0)</f>
        <v>58.437100000000001</v>
      </c>
      <c r="F612" s="10">
        <f>58.435 * CHOOSE(CONTROL!$C$9, $D$9, 100%, $F$9) + CHOOSE(CONTROL!$C$27, 0.0021, 0)</f>
        <v>58.437100000000001</v>
      </c>
      <c r="G612" s="10">
        <f>58.7064 * CHOOSE(CONTROL!$C$9, $D$9, 100%, $F$9) + CHOOSE(CONTROL!$C$27, 0.0021, 0)</f>
        <v>58.708500000000001</v>
      </c>
      <c r="H612" s="10">
        <f>58.5717 * CHOOSE(CONTROL!$C$9, $D$9, 100%, $F$9) + CHOOSE(CONTROL!$C$27, 0.0021, 0)</f>
        <v>58.573799999999999</v>
      </c>
      <c r="I612" s="10">
        <f>58.5717 * CHOOSE(CONTROL!$C$9, $D$9, 100%, $F$9) + CHOOSE(CONTROL!$C$27, 0.0021, 0)</f>
        <v>58.573799999999999</v>
      </c>
      <c r="J612" s="10">
        <f>58.5717 * CHOOSE(CONTROL!$C$9, $D$9, 100%, $F$9) + CHOOSE(CONTROL!$C$27, 0.0021, 0)</f>
        <v>58.573799999999999</v>
      </c>
      <c r="K612" s="10">
        <f>58.5717 * CHOOSE(CONTROL!$C$9, $D$9, 100%, $F$9) + CHOOSE(CONTROL!$C$27, 0.0021, 0)</f>
        <v>58.573799999999999</v>
      </c>
      <c r="L612" s="10"/>
    </row>
    <row r="613" spans="1:12" ht="15.75" x14ac:dyDescent="0.25">
      <c r="A613" s="13">
        <v>59961</v>
      </c>
      <c r="B613" s="10">
        <f>57.3998 * CHOOSE(CONTROL!$C$9, $D$9, 100%, $F$9) + CHOOSE(CONTROL!$C$27, 0.0021, 0)</f>
        <v>57.401899999999998</v>
      </c>
      <c r="C613" s="10">
        <f>56.9675 * CHOOSE(CONTROL!$C$9, $D$9, 100%, $F$9) + CHOOSE(CONTROL!$C$27, 0.0021, 0)</f>
        <v>56.9696</v>
      </c>
      <c r="D613" s="10">
        <f>56.9675 * CHOOSE(CONTROL!$C$9, $D$9, 100%, $F$9) + CHOOSE(CONTROL!$C$27, 0.0021, 0)</f>
        <v>56.9696</v>
      </c>
      <c r="E613" s="10">
        <f>56.8309 * CHOOSE(CONTROL!$C$9, $D$9, 100%, $F$9) + CHOOSE(CONTROL!$C$27, 0.0021, 0)</f>
        <v>56.832999999999998</v>
      </c>
      <c r="F613" s="10">
        <f>56.8309 * CHOOSE(CONTROL!$C$9, $D$9, 100%, $F$9) + CHOOSE(CONTROL!$C$27, 0.0021, 0)</f>
        <v>56.832999999999998</v>
      </c>
      <c r="G613" s="10">
        <f>57.1023 * CHOOSE(CONTROL!$C$9, $D$9, 100%, $F$9) + CHOOSE(CONTROL!$C$27, 0.0021, 0)</f>
        <v>57.104399999999998</v>
      </c>
      <c r="H613" s="10">
        <f>56.9675 * CHOOSE(CONTROL!$C$9, $D$9, 100%, $F$9) + CHOOSE(CONTROL!$C$27, 0.0021, 0)</f>
        <v>56.9696</v>
      </c>
      <c r="I613" s="10">
        <f>56.9675 * CHOOSE(CONTROL!$C$9, $D$9, 100%, $F$9) + CHOOSE(CONTROL!$C$27, 0.0021, 0)</f>
        <v>56.9696</v>
      </c>
      <c r="J613" s="10">
        <f>56.9675 * CHOOSE(CONTROL!$C$9, $D$9, 100%, $F$9) + CHOOSE(CONTROL!$C$27, 0.0021, 0)</f>
        <v>56.9696</v>
      </c>
      <c r="K613" s="10">
        <f>56.9675 * CHOOSE(CONTROL!$C$9, $D$9, 100%, $F$9) + CHOOSE(CONTROL!$C$27, 0.0021, 0)</f>
        <v>56.9696</v>
      </c>
      <c r="L613" s="10"/>
    </row>
    <row r="614" spans="1:12" ht="15.75" x14ac:dyDescent="0.25">
      <c r="A614" s="13">
        <v>59992</v>
      </c>
      <c r="B614" s="10">
        <f>56.7376 * CHOOSE(CONTROL!$C$9, $D$9, 100%, $F$9) + CHOOSE(CONTROL!$C$27, 0.0021, 0)</f>
        <v>56.739699999999999</v>
      </c>
      <c r="C614" s="10">
        <f>56.3054 * CHOOSE(CONTROL!$C$9, $D$9, 100%, $F$9) + CHOOSE(CONTROL!$C$27, 0.0021, 0)</f>
        <v>56.307499999999997</v>
      </c>
      <c r="D614" s="10">
        <f>56.3054 * CHOOSE(CONTROL!$C$9, $D$9, 100%, $F$9) + CHOOSE(CONTROL!$C$27, 0.0021, 0)</f>
        <v>56.307499999999997</v>
      </c>
      <c r="E614" s="10">
        <f>56.1687 * CHOOSE(CONTROL!$C$9, $D$9, 100%, $F$9) + CHOOSE(CONTROL!$C$27, 0.0021, 0)</f>
        <v>56.1708</v>
      </c>
      <c r="F614" s="10">
        <f>56.1687 * CHOOSE(CONTROL!$C$9, $D$9, 100%, $F$9) + CHOOSE(CONTROL!$C$27, 0.0021, 0)</f>
        <v>56.1708</v>
      </c>
      <c r="G614" s="10">
        <f>56.4401 * CHOOSE(CONTROL!$C$9, $D$9, 100%, $F$9) + CHOOSE(CONTROL!$C$27, 0.0021, 0)</f>
        <v>56.4422</v>
      </c>
      <c r="H614" s="10">
        <f>56.3054 * CHOOSE(CONTROL!$C$9, $D$9, 100%, $F$9) + CHOOSE(CONTROL!$C$27, 0.0021, 0)</f>
        <v>56.307499999999997</v>
      </c>
      <c r="I614" s="10">
        <f>56.3054 * CHOOSE(CONTROL!$C$9, $D$9, 100%, $F$9) + CHOOSE(CONTROL!$C$27, 0.0021, 0)</f>
        <v>56.307499999999997</v>
      </c>
      <c r="J614" s="10">
        <f>56.3054 * CHOOSE(CONTROL!$C$9, $D$9, 100%, $F$9) + CHOOSE(CONTROL!$C$27, 0.0021, 0)</f>
        <v>56.307499999999997</v>
      </c>
      <c r="K614" s="10">
        <f>56.3054 * CHOOSE(CONTROL!$C$9, $D$9, 100%, $F$9) + CHOOSE(CONTROL!$C$27, 0.0021, 0)</f>
        <v>56.307499999999997</v>
      </c>
      <c r="L614" s="10"/>
    </row>
    <row r="615" spans="1:12" ht="15.75" x14ac:dyDescent="0.25">
      <c r="A615" s="13">
        <v>60022</v>
      </c>
      <c r="B615" s="10">
        <f>55.947 * CHOOSE(CONTROL!$C$9, $D$9, 100%, $F$9) + CHOOSE(CONTROL!$C$27, 0.0021, 0)</f>
        <v>55.949100000000001</v>
      </c>
      <c r="C615" s="10">
        <f>55.5147 * CHOOSE(CONTROL!$C$9, $D$9, 100%, $F$9) + CHOOSE(CONTROL!$C$27, 0.0021, 0)</f>
        <v>55.516799999999996</v>
      </c>
      <c r="D615" s="10">
        <f>55.5147 * CHOOSE(CONTROL!$C$9, $D$9, 100%, $F$9) + CHOOSE(CONTROL!$C$27, 0.0021, 0)</f>
        <v>55.516799999999996</v>
      </c>
      <c r="E615" s="10">
        <f>55.3781 * CHOOSE(CONTROL!$C$9, $D$9, 100%, $F$9) + CHOOSE(CONTROL!$C$27, 0.0021, 0)</f>
        <v>55.380200000000002</v>
      </c>
      <c r="F615" s="10">
        <f>55.3781 * CHOOSE(CONTROL!$C$9, $D$9, 100%, $F$9) + CHOOSE(CONTROL!$C$27, 0.0021, 0)</f>
        <v>55.380200000000002</v>
      </c>
      <c r="G615" s="10">
        <f>55.6494 * CHOOSE(CONTROL!$C$9, $D$9, 100%, $F$9) + CHOOSE(CONTROL!$C$27, 0.0021, 0)</f>
        <v>55.651499999999999</v>
      </c>
      <c r="H615" s="10">
        <f>55.5147 * CHOOSE(CONTROL!$C$9, $D$9, 100%, $F$9) + CHOOSE(CONTROL!$C$27, 0.0021, 0)</f>
        <v>55.516799999999996</v>
      </c>
      <c r="I615" s="10">
        <f>55.5147 * CHOOSE(CONTROL!$C$9, $D$9, 100%, $F$9) + CHOOSE(CONTROL!$C$27, 0.0021, 0)</f>
        <v>55.516799999999996</v>
      </c>
      <c r="J615" s="10">
        <f>55.5147 * CHOOSE(CONTROL!$C$9, $D$9, 100%, $F$9) + CHOOSE(CONTROL!$C$27, 0.0021, 0)</f>
        <v>55.516799999999996</v>
      </c>
      <c r="K615" s="10">
        <f>55.5147 * CHOOSE(CONTROL!$C$9, $D$9, 100%, $F$9) + CHOOSE(CONTROL!$C$27, 0.0021, 0)</f>
        <v>55.516799999999996</v>
      </c>
      <c r="L615" s="10"/>
    </row>
    <row r="616" spans="1:12" ht="15.75" x14ac:dyDescent="0.25">
      <c r="A616" s="13">
        <v>60053</v>
      </c>
      <c r="B616" s="10">
        <f>57.0737 * CHOOSE(CONTROL!$C$9, $D$9, 100%, $F$9) + CHOOSE(CONTROL!$C$27, 0.0021, 0)</f>
        <v>57.075800000000001</v>
      </c>
      <c r="C616" s="10">
        <f>56.6415 * CHOOSE(CONTROL!$C$9, $D$9, 100%, $F$9) + CHOOSE(CONTROL!$C$27, 0.0021, 0)</f>
        <v>56.643599999999999</v>
      </c>
      <c r="D616" s="10">
        <f>56.6415 * CHOOSE(CONTROL!$C$9, $D$9, 100%, $F$9) + CHOOSE(CONTROL!$C$27, 0.0021, 0)</f>
        <v>56.643599999999999</v>
      </c>
      <c r="E616" s="10">
        <f>56.5048 * CHOOSE(CONTROL!$C$9, $D$9, 100%, $F$9) + CHOOSE(CONTROL!$C$27, 0.0021, 0)</f>
        <v>56.506900000000002</v>
      </c>
      <c r="F616" s="10">
        <f>56.5048 * CHOOSE(CONTROL!$C$9, $D$9, 100%, $F$9) + CHOOSE(CONTROL!$C$27, 0.0021, 0)</f>
        <v>56.506900000000002</v>
      </c>
      <c r="G616" s="10">
        <f>56.7762 * CHOOSE(CONTROL!$C$9, $D$9, 100%, $F$9) + CHOOSE(CONTROL!$C$27, 0.0021, 0)</f>
        <v>56.778300000000002</v>
      </c>
      <c r="H616" s="10">
        <f>56.6415 * CHOOSE(CONTROL!$C$9, $D$9, 100%, $F$9) + CHOOSE(CONTROL!$C$27, 0.0021, 0)</f>
        <v>56.643599999999999</v>
      </c>
      <c r="I616" s="10">
        <f>56.6415 * CHOOSE(CONTROL!$C$9, $D$9, 100%, $F$9) + CHOOSE(CONTROL!$C$27, 0.0021, 0)</f>
        <v>56.643599999999999</v>
      </c>
      <c r="J616" s="10">
        <f>56.6415 * CHOOSE(CONTROL!$C$9, $D$9, 100%, $F$9) + CHOOSE(CONTROL!$C$27, 0.0021, 0)</f>
        <v>56.643599999999999</v>
      </c>
      <c r="K616" s="10">
        <f>56.6415 * CHOOSE(CONTROL!$C$9, $D$9, 100%, $F$9) + CHOOSE(CONTROL!$C$27, 0.0021, 0)</f>
        <v>56.643599999999999</v>
      </c>
      <c r="L616" s="10"/>
    </row>
    <row r="617" spans="1:12" ht="15.75" x14ac:dyDescent="0.25">
      <c r="A617" s="13">
        <v>60083</v>
      </c>
      <c r="B617" s="10">
        <f>57.7486 * CHOOSE(CONTROL!$C$9, $D$9, 100%, $F$9) + CHOOSE(CONTROL!$C$27, 0.0021, 0)</f>
        <v>57.750700000000002</v>
      </c>
      <c r="C617" s="10">
        <f>57.3164 * CHOOSE(CONTROL!$C$9, $D$9, 100%, $F$9) + CHOOSE(CONTROL!$C$27, 0.0021, 0)</f>
        <v>57.3185</v>
      </c>
      <c r="D617" s="10">
        <f>57.3164 * CHOOSE(CONTROL!$C$9, $D$9, 100%, $F$9) + CHOOSE(CONTROL!$C$27, 0.0021, 0)</f>
        <v>57.3185</v>
      </c>
      <c r="E617" s="10">
        <f>57.1797 * CHOOSE(CONTROL!$C$9, $D$9, 100%, $F$9) + CHOOSE(CONTROL!$C$27, 0.0021, 0)</f>
        <v>57.181799999999996</v>
      </c>
      <c r="F617" s="10">
        <f>57.1797 * CHOOSE(CONTROL!$C$9, $D$9, 100%, $F$9) + CHOOSE(CONTROL!$C$27, 0.0021, 0)</f>
        <v>57.181799999999996</v>
      </c>
      <c r="G617" s="10">
        <f>57.4511 * CHOOSE(CONTROL!$C$9, $D$9, 100%, $F$9) + CHOOSE(CONTROL!$C$27, 0.0021, 0)</f>
        <v>57.453199999999995</v>
      </c>
      <c r="H617" s="10">
        <f>57.3164 * CHOOSE(CONTROL!$C$9, $D$9, 100%, $F$9) + CHOOSE(CONTROL!$C$27, 0.0021, 0)</f>
        <v>57.3185</v>
      </c>
      <c r="I617" s="10">
        <f>57.3164 * CHOOSE(CONTROL!$C$9, $D$9, 100%, $F$9) + CHOOSE(CONTROL!$C$27, 0.0021, 0)</f>
        <v>57.3185</v>
      </c>
      <c r="J617" s="10">
        <f>57.3164 * CHOOSE(CONTROL!$C$9, $D$9, 100%, $F$9) + CHOOSE(CONTROL!$C$27, 0.0021, 0)</f>
        <v>57.3185</v>
      </c>
      <c r="K617" s="10">
        <f>57.3164 * CHOOSE(CONTROL!$C$9, $D$9, 100%, $F$9) + CHOOSE(CONTROL!$C$27, 0.0021, 0)</f>
        <v>57.3185</v>
      </c>
      <c r="L617" s="10"/>
    </row>
    <row r="618" spans="1:12" ht="15.75" x14ac:dyDescent="0.25">
      <c r="A618" s="13">
        <v>60114</v>
      </c>
      <c r="B618" s="10">
        <f>58.862 * CHOOSE(CONTROL!$C$9, $D$9, 100%, $F$9) + CHOOSE(CONTROL!$C$27, 0.0021, 0)</f>
        <v>58.864100000000001</v>
      </c>
      <c r="C618" s="10">
        <f>58.4297 * CHOOSE(CONTROL!$C$9, $D$9, 100%, $F$9) + CHOOSE(CONTROL!$C$27, 0.0021, 0)</f>
        <v>58.431799999999996</v>
      </c>
      <c r="D618" s="10">
        <f>58.4297 * CHOOSE(CONTROL!$C$9, $D$9, 100%, $F$9) + CHOOSE(CONTROL!$C$27, 0.0021, 0)</f>
        <v>58.431799999999996</v>
      </c>
      <c r="E618" s="10">
        <f>58.293 * CHOOSE(CONTROL!$C$9, $D$9, 100%, $F$9) + CHOOSE(CONTROL!$C$27, 0.0021, 0)</f>
        <v>58.295099999999998</v>
      </c>
      <c r="F618" s="10">
        <f>58.293 * CHOOSE(CONTROL!$C$9, $D$9, 100%, $F$9) + CHOOSE(CONTROL!$C$27, 0.0021, 0)</f>
        <v>58.295099999999998</v>
      </c>
      <c r="G618" s="10">
        <f>58.5644 * CHOOSE(CONTROL!$C$9, $D$9, 100%, $F$9) + CHOOSE(CONTROL!$C$27, 0.0021, 0)</f>
        <v>58.566499999999998</v>
      </c>
      <c r="H618" s="10">
        <f>58.4297 * CHOOSE(CONTROL!$C$9, $D$9, 100%, $F$9) + CHOOSE(CONTROL!$C$27, 0.0021, 0)</f>
        <v>58.431799999999996</v>
      </c>
      <c r="I618" s="10">
        <f>58.4297 * CHOOSE(CONTROL!$C$9, $D$9, 100%, $F$9) + CHOOSE(CONTROL!$C$27, 0.0021, 0)</f>
        <v>58.431799999999996</v>
      </c>
      <c r="J618" s="10">
        <f>58.4297 * CHOOSE(CONTROL!$C$9, $D$9, 100%, $F$9) + CHOOSE(CONTROL!$C$27, 0.0021, 0)</f>
        <v>58.431799999999996</v>
      </c>
      <c r="K618" s="10">
        <f>58.4297 * CHOOSE(CONTROL!$C$9, $D$9, 100%, $F$9) + CHOOSE(CONTROL!$C$27, 0.0021, 0)</f>
        <v>58.431799999999996</v>
      </c>
      <c r="L618" s="10"/>
    </row>
    <row r="619" spans="1:12" ht="15.75" x14ac:dyDescent="0.25">
      <c r="A619" s="13">
        <v>60145</v>
      </c>
      <c r="B619" s="10">
        <f>59.2018 * CHOOSE(CONTROL!$C$9, $D$9, 100%, $F$9) + CHOOSE(CONTROL!$C$27, 0.0021, 0)</f>
        <v>59.203899999999997</v>
      </c>
      <c r="C619" s="10">
        <f>58.7695 * CHOOSE(CONTROL!$C$9, $D$9, 100%, $F$9) + CHOOSE(CONTROL!$C$27, 0.0021, 0)</f>
        <v>58.771599999999999</v>
      </c>
      <c r="D619" s="10">
        <f>58.7695 * CHOOSE(CONTROL!$C$9, $D$9, 100%, $F$9) + CHOOSE(CONTROL!$C$27, 0.0021, 0)</f>
        <v>58.771599999999999</v>
      </c>
      <c r="E619" s="10">
        <f>58.6329 * CHOOSE(CONTROL!$C$9, $D$9, 100%, $F$9) + CHOOSE(CONTROL!$C$27, 0.0021, 0)</f>
        <v>58.634999999999998</v>
      </c>
      <c r="F619" s="10">
        <f>58.6329 * CHOOSE(CONTROL!$C$9, $D$9, 100%, $F$9) + CHOOSE(CONTROL!$C$27, 0.0021, 0)</f>
        <v>58.634999999999998</v>
      </c>
      <c r="G619" s="10">
        <f>58.9042 * CHOOSE(CONTROL!$C$9, $D$9, 100%, $F$9) + CHOOSE(CONTROL!$C$27, 0.0021, 0)</f>
        <v>58.906300000000002</v>
      </c>
      <c r="H619" s="10">
        <f>58.7695 * CHOOSE(CONTROL!$C$9, $D$9, 100%, $F$9) + CHOOSE(CONTROL!$C$27, 0.0021, 0)</f>
        <v>58.771599999999999</v>
      </c>
      <c r="I619" s="10">
        <f>58.7695 * CHOOSE(CONTROL!$C$9, $D$9, 100%, $F$9) + CHOOSE(CONTROL!$C$27, 0.0021, 0)</f>
        <v>58.771599999999999</v>
      </c>
      <c r="J619" s="10">
        <f>58.7695 * CHOOSE(CONTROL!$C$9, $D$9, 100%, $F$9) + CHOOSE(CONTROL!$C$27, 0.0021, 0)</f>
        <v>58.771599999999999</v>
      </c>
      <c r="K619" s="10">
        <f>58.7695 * CHOOSE(CONTROL!$C$9, $D$9, 100%, $F$9) + CHOOSE(CONTROL!$C$27, 0.0021, 0)</f>
        <v>58.771599999999999</v>
      </c>
      <c r="L619" s="10"/>
    </row>
    <row r="620" spans="1:12" ht="15.75" x14ac:dyDescent="0.25">
      <c r="A620" s="13">
        <v>60175</v>
      </c>
      <c r="B620" s="10">
        <f>60.359 * CHOOSE(CONTROL!$C$9, $D$9, 100%, $F$9) + CHOOSE(CONTROL!$C$27, 0.0021, 0)</f>
        <v>60.3611</v>
      </c>
      <c r="C620" s="10">
        <f>59.9268 * CHOOSE(CONTROL!$C$9, $D$9, 100%, $F$9) + CHOOSE(CONTROL!$C$27, 0.0021, 0)</f>
        <v>59.928899999999999</v>
      </c>
      <c r="D620" s="10">
        <f>59.9268 * CHOOSE(CONTROL!$C$9, $D$9, 100%, $F$9) + CHOOSE(CONTROL!$C$27, 0.0021, 0)</f>
        <v>59.928899999999999</v>
      </c>
      <c r="E620" s="10">
        <f>59.7901 * CHOOSE(CONTROL!$C$9, $D$9, 100%, $F$9) + CHOOSE(CONTROL!$C$27, 0.0021, 0)</f>
        <v>59.792200000000001</v>
      </c>
      <c r="F620" s="10">
        <f>59.7901 * CHOOSE(CONTROL!$C$9, $D$9, 100%, $F$9) + CHOOSE(CONTROL!$C$27, 0.0021, 0)</f>
        <v>59.792200000000001</v>
      </c>
      <c r="G620" s="10">
        <f>60.0615 * CHOOSE(CONTROL!$C$9, $D$9, 100%, $F$9) + CHOOSE(CONTROL!$C$27, 0.0021, 0)</f>
        <v>60.063600000000001</v>
      </c>
      <c r="H620" s="10">
        <f>59.9268 * CHOOSE(CONTROL!$C$9, $D$9, 100%, $F$9) + CHOOSE(CONTROL!$C$27, 0.0021, 0)</f>
        <v>59.928899999999999</v>
      </c>
      <c r="I620" s="10">
        <f>59.9268 * CHOOSE(CONTROL!$C$9, $D$9, 100%, $F$9) + CHOOSE(CONTROL!$C$27, 0.0021, 0)</f>
        <v>59.928899999999999</v>
      </c>
      <c r="J620" s="10">
        <f>59.9268 * CHOOSE(CONTROL!$C$9, $D$9, 100%, $F$9) + CHOOSE(CONTROL!$C$27, 0.0021, 0)</f>
        <v>59.928899999999999</v>
      </c>
      <c r="K620" s="10">
        <f>59.9268 * CHOOSE(CONTROL!$C$9, $D$9, 100%, $F$9) + CHOOSE(CONTROL!$C$27, 0.0021, 0)</f>
        <v>59.928899999999999</v>
      </c>
      <c r="L620" s="10"/>
    </row>
    <row r="621" spans="1:12" ht="15.75" x14ac:dyDescent="0.25">
      <c r="A621" s="13">
        <v>60206</v>
      </c>
      <c r="B621" s="10">
        <f>61.8239 * CHOOSE(CONTROL!$C$9, $D$9, 100%, $F$9) + CHOOSE(CONTROL!$C$27, 0.0021, 0)</f>
        <v>61.826000000000001</v>
      </c>
      <c r="C621" s="10">
        <f>61.3917 * CHOOSE(CONTROL!$C$9, $D$9, 100%, $F$9) + CHOOSE(CONTROL!$C$27, 0.0021, 0)</f>
        <v>61.393799999999999</v>
      </c>
      <c r="D621" s="10">
        <f>61.3917 * CHOOSE(CONTROL!$C$9, $D$9, 100%, $F$9) + CHOOSE(CONTROL!$C$27, 0.0021, 0)</f>
        <v>61.393799999999999</v>
      </c>
      <c r="E621" s="10">
        <f>61.255 * CHOOSE(CONTROL!$C$9, $D$9, 100%, $F$9) + CHOOSE(CONTROL!$C$27, 0.0021, 0)</f>
        <v>61.257100000000001</v>
      </c>
      <c r="F621" s="10">
        <f>61.255 * CHOOSE(CONTROL!$C$9, $D$9, 100%, $F$9) + CHOOSE(CONTROL!$C$27, 0.0021, 0)</f>
        <v>61.257100000000001</v>
      </c>
      <c r="G621" s="10">
        <f>61.5264 * CHOOSE(CONTROL!$C$9, $D$9, 100%, $F$9) + CHOOSE(CONTROL!$C$27, 0.0021, 0)</f>
        <v>61.528500000000001</v>
      </c>
      <c r="H621" s="10">
        <f>61.3917 * CHOOSE(CONTROL!$C$9, $D$9, 100%, $F$9) + CHOOSE(CONTROL!$C$27, 0.0021, 0)</f>
        <v>61.393799999999999</v>
      </c>
      <c r="I621" s="10">
        <f>61.3917 * CHOOSE(CONTROL!$C$9, $D$9, 100%, $F$9) + CHOOSE(CONTROL!$C$27, 0.0021, 0)</f>
        <v>61.393799999999999</v>
      </c>
      <c r="J621" s="10">
        <f>61.3917 * CHOOSE(CONTROL!$C$9, $D$9, 100%, $F$9) + CHOOSE(CONTROL!$C$27, 0.0021, 0)</f>
        <v>61.393799999999999</v>
      </c>
      <c r="K621" s="10">
        <f>61.3917 * CHOOSE(CONTROL!$C$9, $D$9, 100%, $F$9) + CHOOSE(CONTROL!$C$27, 0.0021, 0)</f>
        <v>61.393799999999999</v>
      </c>
      <c r="L621" s="10"/>
    </row>
    <row r="622" spans="1:12" ht="15.75" x14ac:dyDescent="0.25">
      <c r="A622" s="13">
        <v>60236</v>
      </c>
      <c r="B622" s="10">
        <f>61.9614 * CHOOSE(CONTROL!$C$9, $D$9, 100%, $F$9) + CHOOSE(CONTROL!$C$27, 0.0021, 0)</f>
        <v>61.963499999999996</v>
      </c>
      <c r="C622" s="10">
        <f>61.5292 * CHOOSE(CONTROL!$C$9, $D$9, 100%, $F$9) + CHOOSE(CONTROL!$C$27, 0.0021, 0)</f>
        <v>61.531300000000002</v>
      </c>
      <c r="D622" s="10">
        <f>61.5292 * CHOOSE(CONTROL!$C$9, $D$9, 100%, $F$9) + CHOOSE(CONTROL!$C$27, 0.0021, 0)</f>
        <v>61.531300000000002</v>
      </c>
      <c r="E622" s="10">
        <f>61.3925 * CHOOSE(CONTROL!$C$9, $D$9, 100%, $F$9) + CHOOSE(CONTROL!$C$27, 0.0021, 0)</f>
        <v>61.394599999999997</v>
      </c>
      <c r="F622" s="10">
        <f>61.3925 * CHOOSE(CONTROL!$C$9, $D$9, 100%, $F$9) + CHOOSE(CONTROL!$C$27, 0.0021, 0)</f>
        <v>61.394599999999997</v>
      </c>
      <c r="G622" s="10">
        <f>61.6639 * CHOOSE(CONTROL!$C$9, $D$9, 100%, $F$9) + CHOOSE(CONTROL!$C$27, 0.0021, 0)</f>
        <v>61.665999999999997</v>
      </c>
      <c r="H622" s="10">
        <f>61.5292 * CHOOSE(CONTROL!$C$9, $D$9, 100%, $F$9) + CHOOSE(CONTROL!$C$27, 0.0021, 0)</f>
        <v>61.531300000000002</v>
      </c>
      <c r="I622" s="10">
        <f>61.5292 * CHOOSE(CONTROL!$C$9, $D$9, 100%, $F$9) + CHOOSE(CONTROL!$C$27, 0.0021, 0)</f>
        <v>61.531300000000002</v>
      </c>
      <c r="J622" s="10">
        <f>61.5292 * CHOOSE(CONTROL!$C$9, $D$9, 100%, $F$9) + CHOOSE(CONTROL!$C$27, 0.0021, 0)</f>
        <v>61.531300000000002</v>
      </c>
      <c r="K622" s="10">
        <f>61.5292 * CHOOSE(CONTROL!$C$9, $D$9, 100%, $F$9) + CHOOSE(CONTROL!$C$27, 0.0021, 0)</f>
        <v>61.531300000000002</v>
      </c>
      <c r="L622" s="10"/>
    </row>
    <row r="623" spans="1:12" ht="15.75" x14ac:dyDescent="0.25">
      <c r="A623" s="13">
        <v>60267</v>
      </c>
      <c r="B623" s="10">
        <f>60.7915 * CHOOSE(CONTROL!$C$9, $D$9, 100%, $F$9) + CHOOSE(CONTROL!$C$27, 0.0021, 0)</f>
        <v>60.793599999999998</v>
      </c>
      <c r="C623" s="10">
        <f>60.3592 * CHOOSE(CONTROL!$C$9, $D$9, 100%, $F$9) + CHOOSE(CONTROL!$C$27, 0.0021, 0)</f>
        <v>60.3613</v>
      </c>
      <c r="D623" s="10">
        <f>60.3592 * CHOOSE(CONTROL!$C$9, $D$9, 100%, $F$9) + CHOOSE(CONTROL!$C$27, 0.0021, 0)</f>
        <v>60.3613</v>
      </c>
      <c r="E623" s="10">
        <f>60.2226 * CHOOSE(CONTROL!$C$9, $D$9, 100%, $F$9) + CHOOSE(CONTROL!$C$27, 0.0021, 0)</f>
        <v>60.224699999999999</v>
      </c>
      <c r="F623" s="10">
        <f>60.2226 * CHOOSE(CONTROL!$C$9, $D$9, 100%, $F$9) + CHOOSE(CONTROL!$C$27, 0.0021, 0)</f>
        <v>60.224699999999999</v>
      </c>
      <c r="G623" s="10">
        <f>60.4939 * CHOOSE(CONTROL!$C$9, $D$9, 100%, $F$9) + CHOOSE(CONTROL!$C$27, 0.0021, 0)</f>
        <v>60.495999999999995</v>
      </c>
      <c r="H623" s="10">
        <f>60.3592 * CHOOSE(CONTROL!$C$9, $D$9, 100%, $F$9) + CHOOSE(CONTROL!$C$27, 0.0021, 0)</f>
        <v>60.3613</v>
      </c>
      <c r="I623" s="10">
        <f>60.3592 * CHOOSE(CONTROL!$C$9, $D$9, 100%, $F$9) + CHOOSE(CONTROL!$C$27, 0.0021, 0)</f>
        <v>60.3613</v>
      </c>
      <c r="J623" s="10">
        <f>60.3592 * CHOOSE(CONTROL!$C$9, $D$9, 100%, $F$9) + CHOOSE(CONTROL!$C$27, 0.0021, 0)</f>
        <v>60.3613</v>
      </c>
      <c r="K623" s="10">
        <f>60.3592 * CHOOSE(CONTROL!$C$9, $D$9, 100%, $F$9) + CHOOSE(CONTROL!$C$27, 0.0021, 0)</f>
        <v>60.3613</v>
      </c>
      <c r="L623" s="10"/>
    </row>
    <row r="624" spans="1:12" ht="15.75" x14ac:dyDescent="0.25">
      <c r="A624" s="13">
        <v>60298</v>
      </c>
      <c r="B624" s="10">
        <f>59.8957 * CHOOSE(CONTROL!$C$9, $D$9, 100%, $F$9) + CHOOSE(CONTROL!$C$27, 0.0021, 0)</f>
        <v>59.897799999999997</v>
      </c>
      <c r="C624" s="10">
        <f>59.4634 * CHOOSE(CONTROL!$C$9, $D$9, 100%, $F$9) + CHOOSE(CONTROL!$C$27, 0.0021, 0)</f>
        <v>59.465499999999999</v>
      </c>
      <c r="D624" s="10">
        <f>59.4634 * CHOOSE(CONTROL!$C$9, $D$9, 100%, $F$9) + CHOOSE(CONTROL!$C$27, 0.0021, 0)</f>
        <v>59.465499999999999</v>
      </c>
      <c r="E624" s="10">
        <f>59.3268 * CHOOSE(CONTROL!$C$9, $D$9, 100%, $F$9) + CHOOSE(CONTROL!$C$27, 0.0021, 0)</f>
        <v>59.328899999999997</v>
      </c>
      <c r="F624" s="10">
        <f>59.3268 * CHOOSE(CONTROL!$C$9, $D$9, 100%, $F$9) + CHOOSE(CONTROL!$C$27, 0.0021, 0)</f>
        <v>59.328899999999997</v>
      </c>
      <c r="G624" s="10">
        <f>59.5982 * CHOOSE(CONTROL!$C$9, $D$9, 100%, $F$9) + CHOOSE(CONTROL!$C$27, 0.0021, 0)</f>
        <v>59.600299999999997</v>
      </c>
      <c r="H624" s="10">
        <f>59.4634 * CHOOSE(CONTROL!$C$9, $D$9, 100%, $F$9) + CHOOSE(CONTROL!$C$27, 0.0021, 0)</f>
        <v>59.465499999999999</v>
      </c>
      <c r="I624" s="10">
        <f>59.4634 * CHOOSE(CONTROL!$C$9, $D$9, 100%, $F$9) + CHOOSE(CONTROL!$C$27, 0.0021, 0)</f>
        <v>59.465499999999999</v>
      </c>
      <c r="J624" s="10">
        <f>59.4634 * CHOOSE(CONTROL!$C$9, $D$9, 100%, $F$9) + CHOOSE(CONTROL!$C$27, 0.0021, 0)</f>
        <v>59.465499999999999</v>
      </c>
      <c r="K624" s="10">
        <f>59.4634 * CHOOSE(CONTROL!$C$9, $D$9, 100%, $F$9) + CHOOSE(CONTROL!$C$27, 0.0021, 0)</f>
        <v>59.465499999999999</v>
      </c>
      <c r="L624" s="10"/>
    </row>
    <row r="625" spans="1:12" ht="15.75" x14ac:dyDescent="0.25">
      <c r="A625" s="13">
        <v>60326</v>
      </c>
      <c r="B625" s="10">
        <f>58.2664 * CHOOSE(CONTROL!$C$9, $D$9, 100%, $F$9) + CHOOSE(CONTROL!$C$27, 0.0021, 0)</f>
        <v>58.268499999999996</v>
      </c>
      <c r="C625" s="10">
        <f>57.8341 * CHOOSE(CONTROL!$C$9, $D$9, 100%, $F$9) + CHOOSE(CONTROL!$C$27, 0.0021, 0)</f>
        <v>57.836199999999998</v>
      </c>
      <c r="D625" s="10">
        <f>57.8341 * CHOOSE(CONTROL!$C$9, $D$9, 100%, $F$9) + CHOOSE(CONTROL!$C$27, 0.0021, 0)</f>
        <v>57.836199999999998</v>
      </c>
      <c r="E625" s="10">
        <f>57.6974 * CHOOSE(CONTROL!$C$9, $D$9, 100%, $F$9) + CHOOSE(CONTROL!$C$27, 0.0021, 0)</f>
        <v>57.6995</v>
      </c>
      <c r="F625" s="10">
        <f>57.6974 * CHOOSE(CONTROL!$C$9, $D$9, 100%, $F$9) + CHOOSE(CONTROL!$C$27, 0.0021, 0)</f>
        <v>57.6995</v>
      </c>
      <c r="G625" s="10">
        <f>57.9688 * CHOOSE(CONTROL!$C$9, $D$9, 100%, $F$9) + CHOOSE(CONTROL!$C$27, 0.0021, 0)</f>
        <v>57.9709</v>
      </c>
      <c r="H625" s="10">
        <f>57.8341 * CHOOSE(CONTROL!$C$9, $D$9, 100%, $F$9) + CHOOSE(CONTROL!$C$27, 0.0021, 0)</f>
        <v>57.836199999999998</v>
      </c>
      <c r="I625" s="10">
        <f>57.8341 * CHOOSE(CONTROL!$C$9, $D$9, 100%, $F$9) + CHOOSE(CONTROL!$C$27, 0.0021, 0)</f>
        <v>57.836199999999998</v>
      </c>
      <c r="J625" s="10">
        <f>57.8341 * CHOOSE(CONTROL!$C$9, $D$9, 100%, $F$9) + CHOOSE(CONTROL!$C$27, 0.0021, 0)</f>
        <v>57.836199999999998</v>
      </c>
      <c r="K625" s="10">
        <f>57.8341 * CHOOSE(CONTROL!$C$9, $D$9, 100%, $F$9) + CHOOSE(CONTROL!$C$27, 0.0021, 0)</f>
        <v>57.836199999999998</v>
      </c>
      <c r="L625" s="10"/>
    </row>
    <row r="626" spans="1:12" ht="15.75" x14ac:dyDescent="0.25">
      <c r="A626" s="13">
        <v>60357</v>
      </c>
      <c r="B626" s="10">
        <f>57.5938 * CHOOSE(CONTROL!$C$9, $D$9, 100%, $F$9) + CHOOSE(CONTROL!$C$27, 0.0021, 0)</f>
        <v>57.5959</v>
      </c>
      <c r="C626" s="10">
        <f>57.1615 * CHOOSE(CONTROL!$C$9, $D$9, 100%, $F$9) + CHOOSE(CONTROL!$C$27, 0.0021, 0)</f>
        <v>57.163599999999995</v>
      </c>
      <c r="D626" s="10">
        <f>57.1615 * CHOOSE(CONTROL!$C$9, $D$9, 100%, $F$9) + CHOOSE(CONTROL!$C$27, 0.0021, 0)</f>
        <v>57.163599999999995</v>
      </c>
      <c r="E626" s="10">
        <f>57.0249 * CHOOSE(CONTROL!$C$9, $D$9, 100%, $F$9) + CHOOSE(CONTROL!$C$27, 0.0021, 0)</f>
        <v>57.027000000000001</v>
      </c>
      <c r="F626" s="10">
        <f>57.0249 * CHOOSE(CONTROL!$C$9, $D$9, 100%, $F$9) + CHOOSE(CONTROL!$C$27, 0.0021, 0)</f>
        <v>57.027000000000001</v>
      </c>
      <c r="G626" s="10">
        <f>57.2962 * CHOOSE(CONTROL!$C$9, $D$9, 100%, $F$9) + CHOOSE(CONTROL!$C$27, 0.0021, 0)</f>
        <v>57.298299999999998</v>
      </c>
      <c r="H626" s="10">
        <f>57.1615 * CHOOSE(CONTROL!$C$9, $D$9, 100%, $F$9) + CHOOSE(CONTROL!$C$27, 0.0021, 0)</f>
        <v>57.163599999999995</v>
      </c>
      <c r="I626" s="10">
        <f>57.1615 * CHOOSE(CONTROL!$C$9, $D$9, 100%, $F$9) + CHOOSE(CONTROL!$C$27, 0.0021, 0)</f>
        <v>57.163599999999995</v>
      </c>
      <c r="J626" s="10">
        <f>57.1615 * CHOOSE(CONTROL!$C$9, $D$9, 100%, $F$9) + CHOOSE(CONTROL!$C$27, 0.0021, 0)</f>
        <v>57.163599999999995</v>
      </c>
      <c r="K626" s="10">
        <f>57.1615 * CHOOSE(CONTROL!$C$9, $D$9, 100%, $F$9) + CHOOSE(CONTROL!$C$27, 0.0021, 0)</f>
        <v>57.163599999999995</v>
      </c>
      <c r="L626" s="10"/>
    </row>
    <row r="627" spans="1:12" ht="15.75" x14ac:dyDescent="0.25">
      <c r="A627" s="13">
        <v>60387</v>
      </c>
      <c r="B627" s="10">
        <f>56.7907 * CHOOSE(CONTROL!$C$9, $D$9, 100%, $F$9) + CHOOSE(CONTROL!$C$27, 0.0021, 0)</f>
        <v>56.7928</v>
      </c>
      <c r="C627" s="10">
        <f>56.3584 * CHOOSE(CONTROL!$C$9, $D$9, 100%, $F$9) + CHOOSE(CONTROL!$C$27, 0.0021, 0)</f>
        <v>56.360500000000002</v>
      </c>
      <c r="D627" s="10">
        <f>56.3584 * CHOOSE(CONTROL!$C$9, $D$9, 100%, $F$9) + CHOOSE(CONTROL!$C$27, 0.0021, 0)</f>
        <v>56.360500000000002</v>
      </c>
      <c r="E627" s="10">
        <f>56.2218 * CHOOSE(CONTROL!$C$9, $D$9, 100%, $F$9) + CHOOSE(CONTROL!$C$27, 0.0021, 0)</f>
        <v>56.2239</v>
      </c>
      <c r="F627" s="10">
        <f>56.2218 * CHOOSE(CONTROL!$C$9, $D$9, 100%, $F$9) + CHOOSE(CONTROL!$C$27, 0.0021, 0)</f>
        <v>56.2239</v>
      </c>
      <c r="G627" s="10">
        <f>56.4932 * CHOOSE(CONTROL!$C$9, $D$9, 100%, $F$9) + CHOOSE(CONTROL!$C$27, 0.0021, 0)</f>
        <v>56.4953</v>
      </c>
      <c r="H627" s="10">
        <f>56.3584 * CHOOSE(CONTROL!$C$9, $D$9, 100%, $F$9) + CHOOSE(CONTROL!$C$27, 0.0021, 0)</f>
        <v>56.360500000000002</v>
      </c>
      <c r="I627" s="10">
        <f>56.3584 * CHOOSE(CONTROL!$C$9, $D$9, 100%, $F$9) + CHOOSE(CONTROL!$C$27, 0.0021, 0)</f>
        <v>56.360500000000002</v>
      </c>
      <c r="J627" s="10">
        <f>56.3584 * CHOOSE(CONTROL!$C$9, $D$9, 100%, $F$9) + CHOOSE(CONTROL!$C$27, 0.0021, 0)</f>
        <v>56.360500000000002</v>
      </c>
      <c r="K627" s="10">
        <f>56.3584 * CHOOSE(CONTROL!$C$9, $D$9, 100%, $F$9) + CHOOSE(CONTROL!$C$27, 0.0021, 0)</f>
        <v>56.360500000000002</v>
      </c>
      <c r="L627" s="10"/>
    </row>
    <row r="628" spans="1:12" ht="15.75" x14ac:dyDescent="0.25">
      <c r="A628" s="13">
        <v>60418</v>
      </c>
      <c r="B628" s="10">
        <f>57.9352 * CHOOSE(CONTROL!$C$9, $D$9, 100%, $F$9) + CHOOSE(CONTROL!$C$27, 0.0021, 0)</f>
        <v>57.9373</v>
      </c>
      <c r="C628" s="10">
        <f>57.5029 * CHOOSE(CONTROL!$C$9, $D$9, 100%, $F$9) + CHOOSE(CONTROL!$C$27, 0.0021, 0)</f>
        <v>57.504999999999995</v>
      </c>
      <c r="D628" s="10">
        <f>57.5029 * CHOOSE(CONTROL!$C$9, $D$9, 100%, $F$9) + CHOOSE(CONTROL!$C$27, 0.0021, 0)</f>
        <v>57.504999999999995</v>
      </c>
      <c r="E628" s="10">
        <f>57.3663 * CHOOSE(CONTROL!$C$9, $D$9, 100%, $F$9) + CHOOSE(CONTROL!$C$27, 0.0021, 0)</f>
        <v>57.368400000000001</v>
      </c>
      <c r="F628" s="10">
        <f>57.3663 * CHOOSE(CONTROL!$C$9, $D$9, 100%, $F$9) + CHOOSE(CONTROL!$C$27, 0.0021, 0)</f>
        <v>57.368400000000001</v>
      </c>
      <c r="G628" s="10">
        <f>57.6376 * CHOOSE(CONTROL!$C$9, $D$9, 100%, $F$9) + CHOOSE(CONTROL!$C$27, 0.0021, 0)</f>
        <v>57.639699999999998</v>
      </c>
      <c r="H628" s="10">
        <f>57.5029 * CHOOSE(CONTROL!$C$9, $D$9, 100%, $F$9) + CHOOSE(CONTROL!$C$27, 0.0021, 0)</f>
        <v>57.504999999999995</v>
      </c>
      <c r="I628" s="10">
        <f>57.5029 * CHOOSE(CONTROL!$C$9, $D$9, 100%, $F$9) + CHOOSE(CONTROL!$C$27, 0.0021, 0)</f>
        <v>57.504999999999995</v>
      </c>
      <c r="J628" s="10">
        <f>57.5029 * CHOOSE(CONTROL!$C$9, $D$9, 100%, $F$9) + CHOOSE(CONTROL!$C$27, 0.0021, 0)</f>
        <v>57.504999999999995</v>
      </c>
      <c r="K628" s="10">
        <f>57.5029 * CHOOSE(CONTROL!$C$9, $D$9, 100%, $F$9) + CHOOSE(CONTROL!$C$27, 0.0021, 0)</f>
        <v>57.504999999999995</v>
      </c>
      <c r="L628" s="10"/>
    </row>
    <row r="629" spans="1:12" ht="15.75" x14ac:dyDescent="0.25">
      <c r="A629" s="13">
        <v>60448</v>
      </c>
      <c r="B629" s="10">
        <f>58.6207 * CHOOSE(CONTROL!$C$9, $D$9, 100%, $F$9) + CHOOSE(CONTROL!$C$27, 0.0021, 0)</f>
        <v>58.622799999999998</v>
      </c>
      <c r="C629" s="10">
        <f>58.1884 * CHOOSE(CONTROL!$C$9, $D$9, 100%, $F$9) + CHOOSE(CONTROL!$C$27, 0.0021, 0)</f>
        <v>58.1905</v>
      </c>
      <c r="D629" s="10">
        <f>58.1884 * CHOOSE(CONTROL!$C$9, $D$9, 100%, $F$9) + CHOOSE(CONTROL!$C$27, 0.0021, 0)</f>
        <v>58.1905</v>
      </c>
      <c r="E629" s="10">
        <f>58.0518 * CHOOSE(CONTROL!$C$9, $D$9, 100%, $F$9) + CHOOSE(CONTROL!$C$27, 0.0021, 0)</f>
        <v>58.053899999999999</v>
      </c>
      <c r="F629" s="10">
        <f>58.0518 * CHOOSE(CONTROL!$C$9, $D$9, 100%, $F$9) + CHOOSE(CONTROL!$C$27, 0.0021, 0)</f>
        <v>58.053899999999999</v>
      </c>
      <c r="G629" s="10">
        <f>58.3232 * CHOOSE(CONTROL!$C$9, $D$9, 100%, $F$9) + CHOOSE(CONTROL!$C$27, 0.0021, 0)</f>
        <v>58.325299999999999</v>
      </c>
      <c r="H629" s="10">
        <f>58.1884 * CHOOSE(CONTROL!$C$9, $D$9, 100%, $F$9) + CHOOSE(CONTROL!$C$27, 0.0021, 0)</f>
        <v>58.1905</v>
      </c>
      <c r="I629" s="10">
        <f>58.1884 * CHOOSE(CONTROL!$C$9, $D$9, 100%, $F$9) + CHOOSE(CONTROL!$C$27, 0.0021, 0)</f>
        <v>58.1905</v>
      </c>
      <c r="J629" s="10">
        <f>58.1884 * CHOOSE(CONTROL!$C$9, $D$9, 100%, $F$9) + CHOOSE(CONTROL!$C$27, 0.0021, 0)</f>
        <v>58.1905</v>
      </c>
      <c r="K629" s="10">
        <f>58.1884 * CHOOSE(CONTROL!$C$9, $D$9, 100%, $F$9) + CHOOSE(CONTROL!$C$27, 0.0021, 0)</f>
        <v>58.1905</v>
      </c>
      <c r="L629" s="10"/>
    </row>
    <row r="630" spans="1:12" ht="15.75" x14ac:dyDescent="0.25">
      <c r="A630" s="13">
        <v>60479</v>
      </c>
      <c r="B630" s="10">
        <f>59.7515 * CHOOSE(CONTROL!$C$9, $D$9, 100%, $F$9) + CHOOSE(CONTROL!$C$27, 0.0021, 0)</f>
        <v>59.753599999999999</v>
      </c>
      <c r="C630" s="10">
        <f>59.3193 * CHOOSE(CONTROL!$C$9, $D$9, 100%, $F$9) + CHOOSE(CONTROL!$C$27, 0.0021, 0)</f>
        <v>59.321399999999997</v>
      </c>
      <c r="D630" s="10">
        <f>59.3193 * CHOOSE(CONTROL!$C$9, $D$9, 100%, $F$9) + CHOOSE(CONTROL!$C$27, 0.0021, 0)</f>
        <v>59.321399999999997</v>
      </c>
      <c r="E630" s="10">
        <f>59.1826 * CHOOSE(CONTROL!$C$9, $D$9, 100%, $F$9) + CHOOSE(CONTROL!$C$27, 0.0021, 0)</f>
        <v>59.184699999999999</v>
      </c>
      <c r="F630" s="10">
        <f>59.1826 * CHOOSE(CONTROL!$C$9, $D$9, 100%, $F$9) + CHOOSE(CONTROL!$C$27, 0.0021, 0)</f>
        <v>59.184699999999999</v>
      </c>
      <c r="G630" s="10">
        <f>59.454 * CHOOSE(CONTROL!$C$9, $D$9, 100%, $F$9) + CHOOSE(CONTROL!$C$27, 0.0021, 0)</f>
        <v>59.456099999999999</v>
      </c>
      <c r="H630" s="10">
        <f>59.3193 * CHOOSE(CONTROL!$C$9, $D$9, 100%, $F$9) + CHOOSE(CONTROL!$C$27, 0.0021, 0)</f>
        <v>59.321399999999997</v>
      </c>
      <c r="I630" s="10">
        <f>59.3193 * CHOOSE(CONTROL!$C$9, $D$9, 100%, $F$9) + CHOOSE(CONTROL!$C$27, 0.0021, 0)</f>
        <v>59.321399999999997</v>
      </c>
      <c r="J630" s="10">
        <f>59.3193 * CHOOSE(CONTROL!$C$9, $D$9, 100%, $F$9) + CHOOSE(CONTROL!$C$27, 0.0021, 0)</f>
        <v>59.321399999999997</v>
      </c>
      <c r="K630" s="10">
        <f>59.3193 * CHOOSE(CONTROL!$C$9, $D$9, 100%, $F$9) + CHOOSE(CONTROL!$C$27, 0.0021, 0)</f>
        <v>59.321399999999997</v>
      </c>
      <c r="L630" s="10"/>
    </row>
    <row r="631" spans="1:12" ht="15.75" x14ac:dyDescent="0.25">
      <c r="A631" s="13">
        <v>60510</v>
      </c>
      <c r="B631" s="10">
        <f>60.0967 * CHOOSE(CONTROL!$C$9, $D$9, 100%, $F$9) + CHOOSE(CONTROL!$C$27, 0.0021, 0)</f>
        <v>60.098799999999997</v>
      </c>
      <c r="C631" s="10">
        <f>59.6644 * CHOOSE(CONTROL!$C$9, $D$9, 100%, $F$9) + CHOOSE(CONTROL!$C$27, 0.0021, 0)</f>
        <v>59.666499999999999</v>
      </c>
      <c r="D631" s="10">
        <f>59.6644 * CHOOSE(CONTROL!$C$9, $D$9, 100%, $F$9) + CHOOSE(CONTROL!$C$27, 0.0021, 0)</f>
        <v>59.666499999999999</v>
      </c>
      <c r="E631" s="10">
        <f>59.5278 * CHOOSE(CONTROL!$C$9, $D$9, 100%, $F$9) + CHOOSE(CONTROL!$C$27, 0.0021, 0)</f>
        <v>59.529899999999998</v>
      </c>
      <c r="F631" s="10">
        <f>59.5278 * CHOOSE(CONTROL!$C$9, $D$9, 100%, $F$9) + CHOOSE(CONTROL!$C$27, 0.0021, 0)</f>
        <v>59.529899999999998</v>
      </c>
      <c r="G631" s="10">
        <f>59.7991 * CHOOSE(CONTROL!$C$9, $D$9, 100%, $F$9) + CHOOSE(CONTROL!$C$27, 0.0021, 0)</f>
        <v>59.801200000000001</v>
      </c>
      <c r="H631" s="10">
        <f>59.6644 * CHOOSE(CONTROL!$C$9, $D$9, 100%, $F$9) + CHOOSE(CONTROL!$C$27, 0.0021, 0)</f>
        <v>59.666499999999999</v>
      </c>
      <c r="I631" s="10">
        <f>59.6644 * CHOOSE(CONTROL!$C$9, $D$9, 100%, $F$9) + CHOOSE(CONTROL!$C$27, 0.0021, 0)</f>
        <v>59.666499999999999</v>
      </c>
      <c r="J631" s="10">
        <f>59.6644 * CHOOSE(CONTROL!$C$9, $D$9, 100%, $F$9) + CHOOSE(CONTROL!$C$27, 0.0021, 0)</f>
        <v>59.666499999999999</v>
      </c>
      <c r="K631" s="10">
        <f>59.6644 * CHOOSE(CONTROL!$C$9, $D$9, 100%, $F$9) + CHOOSE(CONTROL!$C$27, 0.0021, 0)</f>
        <v>59.666499999999999</v>
      </c>
      <c r="L631" s="10"/>
    </row>
    <row r="632" spans="1:12" ht="15.75" x14ac:dyDescent="0.25">
      <c r="A632" s="13">
        <v>60540</v>
      </c>
      <c r="B632" s="10">
        <f>61.2721 * CHOOSE(CONTROL!$C$9, $D$9, 100%, $F$9) + CHOOSE(CONTROL!$C$27, 0.0021, 0)</f>
        <v>61.2742</v>
      </c>
      <c r="C632" s="10">
        <f>60.8399 * CHOOSE(CONTROL!$C$9, $D$9, 100%, $F$9) + CHOOSE(CONTROL!$C$27, 0.0021, 0)</f>
        <v>60.841999999999999</v>
      </c>
      <c r="D632" s="10">
        <f>60.8399 * CHOOSE(CONTROL!$C$9, $D$9, 100%, $F$9) + CHOOSE(CONTROL!$C$27, 0.0021, 0)</f>
        <v>60.841999999999999</v>
      </c>
      <c r="E632" s="10">
        <f>60.7032 * CHOOSE(CONTROL!$C$9, $D$9, 100%, $F$9) + CHOOSE(CONTROL!$C$27, 0.0021, 0)</f>
        <v>60.705300000000001</v>
      </c>
      <c r="F632" s="10">
        <f>60.7032 * CHOOSE(CONTROL!$C$9, $D$9, 100%, $F$9) + CHOOSE(CONTROL!$C$27, 0.0021, 0)</f>
        <v>60.705300000000001</v>
      </c>
      <c r="G632" s="10">
        <f>60.9746 * CHOOSE(CONTROL!$C$9, $D$9, 100%, $F$9) + CHOOSE(CONTROL!$C$27, 0.0021, 0)</f>
        <v>60.976700000000001</v>
      </c>
      <c r="H632" s="10">
        <f>60.8399 * CHOOSE(CONTROL!$C$9, $D$9, 100%, $F$9) + CHOOSE(CONTROL!$C$27, 0.0021, 0)</f>
        <v>60.841999999999999</v>
      </c>
      <c r="I632" s="10">
        <f>60.8399 * CHOOSE(CONTROL!$C$9, $D$9, 100%, $F$9) + CHOOSE(CONTROL!$C$27, 0.0021, 0)</f>
        <v>60.841999999999999</v>
      </c>
      <c r="J632" s="10">
        <f>60.8399 * CHOOSE(CONTROL!$C$9, $D$9, 100%, $F$9) + CHOOSE(CONTROL!$C$27, 0.0021, 0)</f>
        <v>60.841999999999999</v>
      </c>
      <c r="K632" s="10">
        <f>60.8399 * CHOOSE(CONTROL!$C$9, $D$9, 100%, $F$9) + CHOOSE(CONTROL!$C$27, 0.0021, 0)</f>
        <v>60.841999999999999</v>
      </c>
      <c r="L632" s="10"/>
    </row>
    <row r="633" spans="1:12" ht="15.75" x14ac:dyDescent="0.25">
      <c r="A633" s="13">
        <v>60571</v>
      </c>
      <c r="B633" s="10">
        <f>62.76 * CHOOSE(CONTROL!$C$9, $D$9, 100%, $F$9) + CHOOSE(CONTROL!$C$27, 0.0021, 0)</f>
        <v>62.762099999999997</v>
      </c>
      <c r="C633" s="10">
        <f>62.3278 * CHOOSE(CONTROL!$C$9, $D$9, 100%, $F$9) + CHOOSE(CONTROL!$C$27, 0.0021, 0)</f>
        <v>62.329900000000002</v>
      </c>
      <c r="D633" s="10">
        <f>62.3278 * CHOOSE(CONTROL!$C$9, $D$9, 100%, $F$9) + CHOOSE(CONTROL!$C$27, 0.0021, 0)</f>
        <v>62.329900000000002</v>
      </c>
      <c r="E633" s="10">
        <f>62.1911 * CHOOSE(CONTROL!$C$9, $D$9, 100%, $F$9) + CHOOSE(CONTROL!$C$27, 0.0021, 0)</f>
        <v>62.193199999999997</v>
      </c>
      <c r="F633" s="10">
        <f>62.1911 * CHOOSE(CONTROL!$C$9, $D$9, 100%, $F$9) + CHOOSE(CONTROL!$C$27, 0.0021, 0)</f>
        <v>62.193199999999997</v>
      </c>
      <c r="G633" s="10">
        <f>62.4625 * CHOOSE(CONTROL!$C$9, $D$9, 100%, $F$9) + CHOOSE(CONTROL!$C$27, 0.0021, 0)</f>
        <v>62.464599999999997</v>
      </c>
      <c r="H633" s="10">
        <f>62.3278 * CHOOSE(CONTROL!$C$9, $D$9, 100%, $F$9) + CHOOSE(CONTROL!$C$27, 0.0021, 0)</f>
        <v>62.329900000000002</v>
      </c>
      <c r="I633" s="10">
        <f>62.3278 * CHOOSE(CONTROL!$C$9, $D$9, 100%, $F$9) + CHOOSE(CONTROL!$C$27, 0.0021, 0)</f>
        <v>62.329900000000002</v>
      </c>
      <c r="J633" s="10">
        <f>62.3278 * CHOOSE(CONTROL!$C$9, $D$9, 100%, $F$9) + CHOOSE(CONTROL!$C$27, 0.0021, 0)</f>
        <v>62.329900000000002</v>
      </c>
      <c r="K633" s="10">
        <f>62.3278 * CHOOSE(CONTROL!$C$9, $D$9, 100%, $F$9) + CHOOSE(CONTROL!$C$27, 0.0021, 0)</f>
        <v>62.329900000000002</v>
      </c>
      <c r="L633" s="10"/>
    </row>
    <row r="634" spans="1:12" ht="15.75" x14ac:dyDescent="0.25">
      <c r="A634" s="13">
        <v>60601</v>
      </c>
      <c r="B634" s="10">
        <f>62.8997 * CHOOSE(CONTROL!$C$9, $D$9, 100%, $F$9) + CHOOSE(CONTROL!$C$27, 0.0021, 0)</f>
        <v>62.901800000000001</v>
      </c>
      <c r="C634" s="10">
        <f>62.4675 * CHOOSE(CONTROL!$C$9, $D$9, 100%, $F$9) + CHOOSE(CONTROL!$C$27, 0.0021, 0)</f>
        <v>62.4696</v>
      </c>
      <c r="D634" s="10">
        <f>62.4675 * CHOOSE(CONTROL!$C$9, $D$9, 100%, $F$9) + CHOOSE(CONTROL!$C$27, 0.0021, 0)</f>
        <v>62.4696</v>
      </c>
      <c r="E634" s="10">
        <f>62.3308 * CHOOSE(CONTROL!$C$9, $D$9, 100%, $F$9) + CHOOSE(CONTROL!$C$27, 0.0021, 0)</f>
        <v>62.332900000000002</v>
      </c>
      <c r="F634" s="10">
        <f>62.3308 * CHOOSE(CONTROL!$C$9, $D$9, 100%, $F$9) + CHOOSE(CONTROL!$C$27, 0.0021, 0)</f>
        <v>62.332900000000002</v>
      </c>
      <c r="G634" s="10">
        <f>62.6022 * CHOOSE(CONTROL!$C$9, $D$9, 100%, $F$9) + CHOOSE(CONTROL!$C$27, 0.0021, 0)</f>
        <v>62.604300000000002</v>
      </c>
      <c r="H634" s="10">
        <f>62.4675 * CHOOSE(CONTROL!$C$9, $D$9, 100%, $F$9) + CHOOSE(CONTROL!$C$27, 0.0021, 0)</f>
        <v>62.4696</v>
      </c>
      <c r="I634" s="10">
        <f>62.4675 * CHOOSE(CONTROL!$C$9, $D$9, 100%, $F$9) + CHOOSE(CONTROL!$C$27, 0.0021, 0)</f>
        <v>62.4696</v>
      </c>
      <c r="J634" s="10">
        <f>62.4675 * CHOOSE(CONTROL!$C$9, $D$9, 100%, $F$9) + CHOOSE(CONTROL!$C$27, 0.0021, 0)</f>
        <v>62.4696</v>
      </c>
      <c r="K634" s="10">
        <f>62.4675 * CHOOSE(CONTROL!$C$9, $D$9, 100%, $F$9) + CHOOSE(CONTROL!$C$27, 0.0021, 0)</f>
        <v>62.4696</v>
      </c>
      <c r="L634" s="10"/>
    </row>
    <row r="635" spans="1:12" ht="15.75" x14ac:dyDescent="0.25">
      <c r="A635" s="13">
        <v>60632</v>
      </c>
      <c r="B635" s="10">
        <f>61.7114 * CHOOSE(CONTROL!$C$9, $D$9, 100%, $F$9) + CHOOSE(CONTROL!$C$27, 0.0021, 0)</f>
        <v>61.713499999999996</v>
      </c>
      <c r="C635" s="10">
        <f>61.2791 * CHOOSE(CONTROL!$C$9, $D$9, 100%, $F$9) + CHOOSE(CONTROL!$C$27, 0.0021, 0)</f>
        <v>61.281199999999998</v>
      </c>
      <c r="D635" s="10">
        <f>61.2791 * CHOOSE(CONTROL!$C$9, $D$9, 100%, $F$9) + CHOOSE(CONTROL!$C$27, 0.0021, 0)</f>
        <v>61.281199999999998</v>
      </c>
      <c r="E635" s="10">
        <f>61.1424 * CHOOSE(CONTROL!$C$9, $D$9, 100%, $F$9) + CHOOSE(CONTROL!$C$27, 0.0021, 0)</f>
        <v>61.144500000000001</v>
      </c>
      <c r="F635" s="10">
        <f>61.1424 * CHOOSE(CONTROL!$C$9, $D$9, 100%, $F$9) + CHOOSE(CONTROL!$C$27, 0.0021, 0)</f>
        <v>61.144500000000001</v>
      </c>
      <c r="G635" s="10">
        <f>61.4138 * CHOOSE(CONTROL!$C$9, $D$9, 100%, $F$9) + CHOOSE(CONTROL!$C$27, 0.0021, 0)</f>
        <v>61.415900000000001</v>
      </c>
      <c r="H635" s="10">
        <f>61.2791 * CHOOSE(CONTROL!$C$9, $D$9, 100%, $F$9) + CHOOSE(CONTROL!$C$27, 0.0021, 0)</f>
        <v>61.281199999999998</v>
      </c>
      <c r="I635" s="10">
        <f>61.2791 * CHOOSE(CONTROL!$C$9, $D$9, 100%, $F$9) + CHOOSE(CONTROL!$C$27, 0.0021, 0)</f>
        <v>61.281199999999998</v>
      </c>
      <c r="J635" s="10">
        <f>61.2791 * CHOOSE(CONTROL!$C$9, $D$9, 100%, $F$9) + CHOOSE(CONTROL!$C$27, 0.0021, 0)</f>
        <v>61.281199999999998</v>
      </c>
      <c r="K635" s="10">
        <f>61.2791 * CHOOSE(CONTROL!$C$9, $D$9, 100%, $F$9) + CHOOSE(CONTROL!$C$27, 0.0021, 0)</f>
        <v>61.281199999999998</v>
      </c>
      <c r="L635" s="10"/>
    </row>
    <row r="636" spans="1:12" ht="15.75" x14ac:dyDescent="0.25">
      <c r="A636" s="13">
        <v>60663</v>
      </c>
      <c r="B636" s="10">
        <f>60.8015 * CHOOSE(CONTROL!$C$9, $D$9, 100%, $F$9) + CHOOSE(CONTROL!$C$27, 0.0021, 0)</f>
        <v>60.803599999999996</v>
      </c>
      <c r="C636" s="10">
        <f>60.3693 * CHOOSE(CONTROL!$C$9, $D$9, 100%, $F$9) + CHOOSE(CONTROL!$C$27, 0.0021, 0)</f>
        <v>60.371400000000001</v>
      </c>
      <c r="D636" s="10">
        <f>60.3693 * CHOOSE(CONTROL!$C$9, $D$9, 100%, $F$9) + CHOOSE(CONTROL!$C$27, 0.0021, 0)</f>
        <v>60.371400000000001</v>
      </c>
      <c r="E636" s="10">
        <f>60.2326 * CHOOSE(CONTROL!$C$9, $D$9, 100%, $F$9) + CHOOSE(CONTROL!$C$27, 0.0021, 0)</f>
        <v>60.234699999999997</v>
      </c>
      <c r="F636" s="10">
        <f>60.2326 * CHOOSE(CONTROL!$C$9, $D$9, 100%, $F$9) + CHOOSE(CONTROL!$C$27, 0.0021, 0)</f>
        <v>60.234699999999997</v>
      </c>
      <c r="G636" s="10">
        <f>60.504 * CHOOSE(CONTROL!$C$9, $D$9, 100%, $F$9) + CHOOSE(CONTROL!$C$27, 0.0021, 0)</f>
        <v>60.506099999999996</v>
      </c>
      <c r="H636" s="10">
        <f>60.3693 * CHOOSE(CONTROL!$C$9, $D$9, 100%, $F$9) + CHOOSE(CONTROL!$C$27, 0.0021, 0)</f>
        <v>60.371400000000001</v>
      </c>
      <c r="I636" s="10">
        <f>60.3693 * CHOOSE(CONTROL!$C$9, $D$9, 100%, $F$9) + CHOOSE(CONTROL!$C$27, 0.0021, 0)</f>
        <v>60.371400000000001</v>
      </c>
      <c r="J636" s="10">
        <f>60.3693 * CHOOSE(CONTROL!$C$9, $D$9, 100%, $F$9) + CHOOSE(CONTROL!$C$27, 0.0021, 0)</f>
        <v>60.371400000000001</v>
      </c>
      <c r="K636" s="10">
        <f>60.3693 * CHOOSE(CONTROL!$C$9, $D$9, 100%, $F$9) + CHOOSE(CONTROL!$C$27, 0.0021, 0)</f>
        <v>60.371400000000001</v>
      </c>
      <c r="L636" s="10"/>
    </row>
    <row r="637" spans="1:12" ht="15.75" x14ac:dyDescent="0.25">
      <c r="A637" s="13">
        <v>60691</v>
      </c>
      <c r="B637" s="10">
        <f>59.1465 * CHOOSE(CONTROL!$C$9, $D$9, 100%, $F$9) + CHOOSE(CONTROL!$C$27, 0.0021, 0)</f>
        <v>59.148600000000002</v>
      </c>
      <c r="C637" s="10">
        <f>58.7143 * CHOOSE(CONTROL!$C$9, $D$9, 100%, $F$9) + CHOOSE(CONTROL!$C$27, 0.0021, 0)</f>
        <v>58.7164</v>
      </c>
      <c r="D637" s="10">
        <f>58.7143 * CHOOSE(CONTROL!$C$9, $D$9, 100%, $F$9) + CHOOSE(CONTROL!$C$27, 0.0021, 0)</f>
        <v>58.7164</v>
      </c>
      <c r="E637" s="10">
        <f>58.5776 * CHOOSE(CONTROL!$C$9, $D$9, 100%, $F$9) + CHOOSE(CONTROL!$C$27, 0.0021, 0)</f>
        <v>58.579699999999995</v>
      </c>
      <c r="F637" s="10">
        <f>58.5776 * CHOOSE(CONTROL!$C$9, $D$9, 100%, $F$9) + CHOOSE(CONTROL!$C$27, 0.0021, 0)</f>
        <v>58.579699999999995</v>
      </c>
      <c r="G637" s="10">
        <f>58.849 * CHOOSE(CONTROL!$C$9, $D$9, 100%, $F$9) + CHOOSE(CONTROL!$C$27, 0.0021, 0)</f>
        <v>58.851099999999995</v>
      </c>
      <c r="H637" s="10">
        <f>58.7143 * CHOOSE(CONTROL!$C$9, $D$9, 100%, $F$9) + CHOOSE(CONTROL!$C$27, 0.0021, 0)</f>
        <v>58.7164</v>
      </c>
      <c r="I637" s="10">
        <f>58.7143 * CHOOSE(CONTROL!$C$9, $D$9, 100%, $F$9) + CHOOSE(CONTROL!$C$27, 0.0021, 0)</f>
        <v>58.7164</v>
      </c>
      <c r="J637" s="10">
        <f>58.7143 * CHOOSE(CONTROL!$C$9, $D$9, 100%, $F$9) + CHOOSE(CONTROL!$C$27, 0.0021, 0)</f>
        <v>58.7164</v>
      </c>
      <c r="K637" s="10">
        <f>58.7143 * CHOOSE(CONTROL!$C$9, $D$9, 100%, $F$9) + CHOOSE(CONTROL!$C$27, 0.0021, 0)</f>
        <v>58.7164</v>
      </c>
      <c r="L637" s="10"/>
    </row>
    <row r="638" spans="1:12" ht="15.75" x14ac:dyDescent="0.25">
      <c r="A638" s="13">
        <v>60722</v>
      </c>
      <c r="B638" s="10">
        <f>58.4634 * CHOOSE(CONTROL!$C$9, $D$9, 100%, $F$9) + CHOOSE(CONTROL!$C$27, 0.0021, 0)</f>
        <v>58.465499999999999</v>
      </c>
      <c r="C638" s="10">
        <f>58.0311 * CHOOSE(CONTROL!$C$9, $D$9, 100%, $F$9) + CHOOSE(CONTROL!$C$27, 0.0021, 0)</f>
        <v>58.033200000000001</v>
      </c>
      <c r="D638" s="10">
        <f>58.0311 * CHOOSE(CONTROL!$C$9, $D$9, 100%, $F$9) + CHOOSE(CONTROL!$C$27, 0.0021, 0)</f>
        <v>58.033200000000001</v>
      </c>
      <c r="E638" s="10">
        <f>57.8945 * CHOOSE(CONTROL!$C$9, $D$9, 100%, $F$9) + CHOOSE(CONTROL!$C$27, 0.0021, 0)</f>
        <v>57.896599999999999</v>
      </c>
      <c r="F638" s="10">
        <f>57.8945 * CHOOSE(CONTROL!$C$9, $D$9, 100%, $F$9) + CHOOSE(CONTROL!$C$27, 0.0021, 0)</f>
        <v>57.896599999999999</v>
      </c>
      <c r="G638" s="10">
        <f>58.1659 * CHOOSE(CONTROL!$C$9, $D$9, 100%, $F$9) + CHOOSE(CONTROL!$C$27, 0.0021, 0)</f>
        <v>58.167999999999999</v>
      </c>
      <c r="H638" s="10">
        <f>58.0311 * CHOOSE(CONTROL!$C$9, $D$9, 100%, $F$9) + CHOOSE(CONTROL!$C$27, 0.0021, 0)</f>
        <v>58.033200000000001</v>
      </c>
      <c r="I638" s="10">
        <f>58.0311 * CHOOSE(CONTROL!$C$9, $D$9, 100%, $F$9) + CHOOSE(CONTROL!$C$27, 0.0021, 0)</f>
        <v>58.033200000000001</v>
      </c>
      <c r="J638" s="10">
        <f>58.0311 * CHOOSE(CONTROL!$C$9, $D$9, 100%, $F$9) + CHOOSE(CONTROL!$C$27, 0.0021, 0)</f>
        <v>58.033200000000001</v>
      </c>
      <c r="K638" s="10">
        <f>58.0311 * CHOOSE(CONTROL!$C$9, $D$9, 100%, $F$9) + CHOOSE(CONTROL!$C$27, 0.0021, 0)</f>
        <v>58.033200000000001</v>
      </c>
      <c r="L638" s="10"/>
    </row>
    <row r="639" spans="1:12" ht="15.75" x14ac:dyDescent="0.25">
      <c r="A639" s="13">
        <v>60752</v>
      </c>
      <c r="B639" s="10">
        <f>57.6477 * CHOOSE(CONTROL!$C$9, $D$9, 100%, $F$9) + CHOOSE(CONTROL!$C$27, 0.0021, 0)</f>
        <v>57.649799999999999</v>
      </c>
      <c r="C639" s="10">
        <f>57.2154 * CHOOSE(CONTROL!$C$9, $D$9, 100%, $F$9) + CHOOSE(CONTROL!$C$27, 0.0021, 0)</f>
        <v>57.217500000000001</v>
      </c>
      <c r="D639" s="10">
        <f>57.2154 * CHOOSE(CONTROL!$C$9, $D$9, 100%, $F$9) + CHOOSE(CONTROL!$C$27, 0.0021, 0)</f>
        <v>57.217500000000001</v>
      </c>
      <c r="E639" s="10">
        <f>57.0788 * CHOOSE(CONTROL!$C$9, $D$9, 100%, $F$9) + CHOOSE(CONTROL!$C$27, 0.0021, 0)</f>
        <v>57.0809</v>
      </c>
      <c r="F639" s="10">
        <f>57.0788 * CHOOSE(CONTROL!$C$9, $D$9, 100%, $F$9) + CHOOSE(CONTROL!$C$27, 0.0021, 0)</f>
        <v>57.0809</v>
      </c>
      <c r="G639" s="10">
        <f>57.3501 * CHOOSE(CONTROL!$C$9, $D$9, 100%, $F$9) + CHOOSE(CONTROL!$C$27, 0.0021, 0)</f>
        <v>57.352199999999996</v>
      </c>
      <c r="H639" s="10">
        <f>57.2154 * CHOOSE(CONTROL!$C$9, $D$9, 100%, $F$9) + CHOOSE(CONTROL!$C$27, 0.0021, 0)</f>
        <v>57.217500000000001</v>
      </c>
      <c r="I639" s="10">
        <f>57.2154 * CHOOSE(CONTROL!$C$9, $D$9, 100%, $F$9) + CHOOSE(CONTROL!$C$27, 0.0021, 0)</f>
        <v>57.217500000000001</v>
      </c>
      <c r="J639" s="10">
        <f>57.2154 * CHOOSE(CONTROL!$C$9, $D$9, 100%, $F$9) + CHOOSE(CONTROL!$C$27, 0.0021, 0)</f>
        <v>57.217500000000001</v>
      </c>
      <c r="K639" s="10">
        <f>57.2154 * CHOOSE(CONTROL!$C$9, $D$9, 100%, $F$9) + CHOOSE(CONTROL!$C$27, 0.0021, 0)</f>
        <v>57.217500000000001</v>
      </c>
      <c r="L639" s="10"/>
    </row>
    <row r="640" spans="1:12" ht="15.75" x14ac:dyDescent="0.25">
      <c r="A640" s="13">
        <v>60783</v>
      </c>
      <c r="B640" s="10">
        <f>58.8102 * CHOOSE(CONTROL!$C$9, $D$9, 100%, $F$9) + CHOOSE(CONTROL!$C$27, 0.0021, 0)</f>
        <v>58.8123</v>
      </c>
      <c r="C640" s="10">
        <f>58.3779 * CHOOSE(CONTROL!$C$9, $D$9, 100%, $F$9) + CHOOSE(CONTROL!$C$27, 0.0021, 0)</f>
        <v>58.379999999999995</v>
      </c>
      <c r="D640" s="10">
        <f>58.3779 * CHOOSE(CONTROL!$C$9, $D$9, 100%, $F$9) + CHOOSE(CONTROL!$C$27, 0.0021, 0)</f>
        <v>58.379999999999995</v>
      </c>
      <c r="E640" s="10">
        <f>58.2413 * CHOOSE(CONTROL!$C$9, $D$9, 100%, $F$9) + CHOOSE(CONTROL!$C$27, 0.0021, 0)</f>
        <v>58.243400000000001</v>
      </c>
      <c r="F640" s="10">
        <f>58.2413 * CHOOSE(CONTROL!$C$9, $D$9, 100%, $F$9) + CHOOSE(CONTROL!$C$27, 0.0021, 0)</f>
        <v>58.243400000000001</v>
      </c>
      <c r="G640" s="10">
        <f>58.5126 * CHOOSE(CONTROL!$C$9, $D$9, 100%, $F$9) + CHOOSE(CONTROL!$C$27, 0.0021, 0)</f>
        <v>58.514699999999998</v>
      </c>
      <c r="H640" s="10">
        <f>58.3779 * CHOOSE(CONTROL!$C$9, $D$9, 100%, $F$9) + CHOOSE(CONTROL!$C$27, 0.0021, 0)</f>
        <v>58.379999999999995</v>
      </c>
      <c r="I640" s="10">
        <f>58.3779 * CHOOSE(CONTROL!$C$9, $D$9, 100%, $F$9) + CHOOSE(CONTROL!$C$27, 0.0021, 0)</f>
        <v>58.379999999999995</v>
      </c>
      <c r="J640" s="10">
        <f>58.3779 * CHOOSE(CONTROL!$C$9, $D$9, 100%, $F$9) + CHOOSE(CONTROL!$C$27, 0.0021, 0)</f>
        <v>58.379999999999995</v>
      </c>
      <c r="K640" s="10">
        <f>58.3779 * CHOOSE(CONTROL!$C$9, $D$9, 100%, $F$9) + CHOOSE(CONTROL!$C$27, 0.0021, 0)</f>
        <v>58.379999999999995</v>
      </c>
      <c r="L640" s="10"/>
    </row>
    <row r="641" spans="1:12" ht="15.75" x14ac:dyDescent="0.25">
      <c r="A641" s="13">
        <v>60813</v>
      </c>
      <c r="B641" s="10">
        <f>59.5064 * CHOOSE(CONTROL!$C$9, $D$9, 100%, $F$9) + CHOOSE(CONTROL!$C$27, 0.0021, 0)</f>
        <v>59.508499999999998</v>
      </c>
      <c r="C641" s="10">
        <f>59.0742 * CHOOSE(CONTROL!$C$9, $D$9, 100%, $F$9) + CHOOSE(CONTROL!$C$27, 0.0021, 0)</f>
        <v>59.076299999999996</v>
      </c>
      <c r="D641" s="10">
        <f>59.0742 * CHOOSE(CONTROL!$C$9, $D$9, 100%, $F$9) + CHOOSE(CONTROL!$C$27, 0.0021, 0)</f>
        <v>59.076299999999996</v>
      </c>
      <c r="E641" s="10">
        <f>58.9375 * CHOOSE(CONTROL!$C$9, $D$9, 100%, $F$9) + CHOOSE(CONTROL!$C$27, 0.0021, 0)</f>
        <v>58.939599999999999</v>
      </c>
      <c r="F641" s="10">
        <f>58.9375 * CHOOSE(CONTROL!$C$9, $D$9, 100%, $F$9) + CHOOSE(CONTROL!$C$27, 0.0021, 0)</f>
        <v>58.939599999999999</v>
      </c>
      <c r="G641" s="10">
        <f>59.2089 * CHOOSE(CONTROL!$C$9, $D$9, 100%, $F$9) + CHOOSE(CONTROL!$C$27, 0.0021, 0)</f>
        <v>59.210999999999999</v>
      </c>
      <c r="H641" s="10">
        <f>59.0742 * CHOOSE(CONTROL!$C$9, $D$9, 100%, $F$9) + CHOOSE(CONTROL!$C$27, 0.0021, 0)</f>
        <v>59.076299999999996</v>
      </c>
      <c r="I641" s="10">
        <f>59.0742 * CHOOSE(CONTROL!$C$9, $D$9, 100%, $F$9) + CHOOSE(CONTROL!$C$27, 0.0021, 0)</f>
        <v>59.076299999999996</v>
      </c>
      <c r="J641" s="10">
        <f>59.0742 * CHOOSE(CONTROL!$C$9, $D$9, 100%, $F$9) + CHOOSE(CONTROL!$C$27, 0.0021, 0)</f>
        <v>59.076299999999996</v>
      </c>
      <c r="K641" s="10">
        <f>59.0742 * CHOOSE(CONTROL!$C$9, $D$9, 100%, $F$9) + CHOOSE(CONTROL!$C$27, 0.0021, 0)</f>
        <v>59.076299999999996</v>
      </c>
      <c r="L641" s="10"/>
    </row>
    <row r="642" spans="1:12" ht="15.75" x14ac:dyDescent="0.25">
      <c r="A642" s="13">
        <v>60844</v>
      </c>
      <c r="B642" s="10">
        <f>60.655 * CHOOSE(CONTROL!$C$9, $D$9, 100%, $F$9) + CHOOSE(CONTROL!$C$27, 0.0021, 0)</f>
        <v>60.6571</v>
      </c>
      <c r="C642" s="10">
        <f>60.2228 * CHOOSE(CONTROL!$C$9, $D$9, 100%, $F$9) + CHOOSE(CONTROL!$C$27, 0.0021, 0)</f>
        <v>60.224899999999998</v>
      </c>
      <c r="D642" s="10">
        <f>60.2228 * CHOOSE(CONTROL!$C$9, $D$9, 100%, $F$9) + CHOOSE(CONTROL!$C$27, 0.0021, 0)</f>
        <v>60.224899999999998</v>
      </c>
      <c r="E642" s="10">
        <f>60.0861 * CHOOSE(CONTROL!$C$9, $D$9, 100%, $F$9) + CHOOSE(CONTROL!$C$27, 0.0021, 0)</f>
        <v>60.088200000000001</v>
      </c>
      <c r="F642" s="10">
        <f>60.0861 * CHOOSE(CONTROL!$C$9, $D$9, 100%, $F$9) + CHOOSE(CONTROL!$C$27, 0.0021, 0)</f>
        <v>60.088200000000001</v>
      </c>
      <c r="G642" s="10">
        <f>60.3575 * CHOOSE(CONTROL!$C$9, $D$9, 100%, $F$9) + CHOOSE(CONTROL!$C$27, 0.0021, 0)</f>
        <v>60.3596</v>
      </c>
      <c r="H642" s="10">
        <f>60.2228 * CHOOSE(CONTROL!$C$9, $D$9, 100%, $F$9) + CHOOSE(CONTROL!$C$27, 0.0021, 0)</f>
        <v>60.224899999999998</v>
      </c>
      <c r="I642" s="10">
        <f>60.2228 * CHOOSE(CONTROL!$C$9, $D$9, 100%, $F$9) + CHOOSE(CONTROL!$C$27, 0.0021, 0)</f>
        <v>60.224899999999998</v>
      </c>
      <c r="J642" s="10">
        <f>60.2228 * CHOOSE(CONTROL!$C$9, $D$9, 100%, $F$9) + CHOOSE(CONTROL!$C$27, 0.0021, 0)</f>
        <v>60.224899999999998</v>
      </c>
      <c r="K642" s="10">
        <f>60.2228 * CHOOSE(CONTROL!$C$9, $D$9, 100%, $F$9) + CHOOSE(CONTROL!$C$27, 0.0021, 0)</f>
        <v>60.224899999999998</v>
      </c>
      <c r="L642" s="10"/>
    </row>
    <row r="643" spans="1:12" ht="15.75" x14ac:dyDescent="0.25">
      <c r="A643" s="13">
        <v>60875</v>
      </c>
      <c r="B643" s="10">
        <f>61.0056 * CHOOSE(CONTROL!$C$9, $D$9, 100%, $F$9) + CHOOSE(CONTROL!$C$27, 0.0021, 0)</f>
        <v>61.0077</v>
      </c>
      <c r="C643" s="10">
        <f>60.5734 * CHOOSE(CONTROL!$C$9, $D$9, 100%, $F$9) + CHOOSE(CONTROL!$C$27, 0.0021, 0)</f>
        <v>60.575499999999998</v>
      </c>
      <c r="D643" s="10">
        <f>60.5734 * CHOOSE(CONTROL!$C$9, $D$9, 100%, $F$9) + CHOOSE(CONTROL!$C$27, 0.0021, 0)</f>
        <v>60.575499999999998</v>
      </c>
      <c r="E643" s="10">
        <f>60.4367 * CHOOSE(CONTROL!$C$9, $D$9, 100%, $F$9) + CHOOSE(CONTROL!$C$27, 0.0021, 0)</f>
        <v>60.438800000000001</v>
      </c>
      <c r="F643" s="10">
        <f>60.4367 * CHOOSE(CONTROL!$C$9, $D$9, 100%, $F$9) + CHOOSE(CONTROL!$C$27, 0.0021, 0)</f>
        <v>60.438800000000001</v>
      </c>
      <c r="G643" s="10">
        <f>60.7081 * CHOOSE(CONTROL!$C$9, $D$9, 100%, $F$9) + CHOOSE(CONTROL!$C$27, 0.0021, 0)</f>
        <v>60.7102</v>
      </c>
      <c r="H643" s="10">
        <f>60.5734 * CHOOSE(CONTROL!$C$9, $D$9, 100%, $F$9) + CHOOSE(CONTROL!$C$27, 0.0021, 0)</f>
        <v>60.575499999999998</v>
      </c>
      <c r="I643" s="10">
        <f>60.5734 * CHOOSE(CONTROL!$C$9, $D$9, 100%, $F$9) + CHOOSE(CONTROL!$C$27, 0.0021, 0)</f>
        <v>60.575499999999998</v>
      </c>
      <c r="J643" s="10">
        <f>60.5734 * CHOOSE(CONTROL!$C$9, $D$9, 100%, $F$9) + CHOOSE(CONTROL!$C$27, 0.0021, 0)</f>
        <v>60.575499999999998</v>
      </c>
      <c r="K643" s="10">
        <f>60.5734 * CHOOSE(CONTROL!$C$9, $D$9, 100%, $F$9) + CHOOSE(CONTROL!$C$27, 0.0021, 0)</f>
        <v>60.575499999999998</v>
      </c>
      <c r="L643" s="10"/>
    </row>
    <row r="644" spans="1:12" ht="15.75" x14ac:dyDescent="0.25">
      <c r="A644" s="13">
        <v>60905</v>
      </c>
      <c r="B644" s="10">
        <f>62.1996 * CHOOSE(CONTROL!$C$9, $D$9, 100%, $F$9) + CHOOSE(CONTROL!$C$27, 0.0021, 0)</f>
        <v>62.201699999999995</v>
      </c>
      <c r="C644" s="10">
        <f>61.7673 * CHOOSE(CONTROL!$C$9, $D$9, 100%, $F$9) + CHOOSE(CONTROL!$C$27, 0.0021, 0)</f>
        <v>61.769399999999997</v>
      </c>
      <c r="D644" s="10">
        <f>61.7673 * CHOOSE(CONTROL!$C$9, $D$9, 100%, $F$9) + CHOOSE(CONTROL!$C$27, 0.0021, 0)</f>
        <v>61.769399999999997</v>
      </c>
      <c r="E644" s="10">
        <f>61.6307 * CHOOSE(CONTROL!$C$9, $D$9, 100%, $F$9) + CHOOSE(CONTROL!$C$27, 0.0021, 0)</f>
        <v>61.632799999999996</v>
      </c>
      <c r="F644" s="10">
        <f>61.6307 * CHOOSE(CONTROL!$C$9, $D$9, 100%, $F$9) + CHOOSE(CONTROL!$C$27, 0.0021, 0)</f>
        <v>61.632799999999996</v>
      </c>
      <c r="G644" s="10">
        <f>61.902 * CHOOSE(CONTROL!$C$9, $D$9, 100%, $F$9) + CHOOSE(CONTROL!$C$27, 0.0021, 0)</f>
        <v>61.9041</v>
      </c>
      <c r="H644" s="10">
        <f>61.7673 * CHOOSE(CONTROL!$C$9, $D$9, 100%, $F$9) + CHOOSE(CONTROL!$C$27, 0.0021, 0)</f>
        <v>61.769399999999997</v>
      </c>
      <c r="I644" s="10">
        <f>61.7673 * CHOOSE(CONTROL!$C$9, $D$9, 100%, $F$9) + CHOOSE(CONTROL!$C$27, 0.0021, 0)</f>
        <v>61.769399999999997</v>
      </c>
      <c r="J644" s="10">
        <f>61.7673 * CHOOSE(CONTROL!$C$9, $D$9, 100%, $F$9) + CHOOSE(CONTROL!$C$27, 0.0021, 0)</f>
        <v>61.769399999999997</v>
      </c>
      <c r="K644" s="10">
        <f>61.7673 * CHOOSE(CONTROL!$C$9, $D$9, 100%, $F$9) + CHOOSE(CONTROL!$C$27, 0.0021, 0)</f>
        <v>61.769399999999997</v>
      </c>
      <c r="L644" s="10"/>
    </row>
    <row r="645" spans="1:12" ht="15.75" x14ac:dyDescent="0.25">
      <c r="A645" s="13">
        <v>60936</v>
      </c>
      <c r="B645" s="10">
        <f>63.7109 * CHOOSE(CONTROL!$C$9, $D$9, 100%, $F$9) + CHOOSE(CONTROL!$C$27, 0.0021, 0)</f>
        <v>63.713000000000001</v>
      </c>
      <c r="C645" s="10">
        <f>63.2786 * CHOOSE(CONTROL!$C$9, $D$9, 100%, $F$9) + CHOOSE(CONTROL!$C$27, 0.0021, 0)</f>
        <v>63.280699999999996</v>
      </c>
      <c r="D645" s="10">
        <f>63.2786 * CHOOSE(CONTROL!$C$9, $D$9, 100%, $F$9) + CHOOSE(CONTROL!$C$27, 0.0021, 0)</f>
        <v>63.280699999999996</v>
      </c>
      <c r="E645" s="10">
        <f>63.142 * CHOOSE(CONTROL!$C$9, $D$9, 100%, $F$9) + CHOOSE(CONTROL!$C$27, 0.0021, 0)</f>
        <v>63.144100000000002</v>
      </c>
      <c r="F645" s="10">
        <f>63.142 * CHOOSE(CONTROL!$C$9, $D$9, 100%, $F$9) + CHOOSE(CONTROL!$C$27, 0.0021, 0)</f>
        <v>63.144100000000002</v>
      </c>
      <c r="G645" s="10">
        <f>63.4134 * CHOOSE(CONTROL!$C$9, $D$9, 100%, $F$9) + CHOOSE(CONTROL!$C$27, 0.0021, 0)</f>
        <v>63.415500000000002</v>
      </c>
      <c r="H645" s="10">
        <f>63.2786 * CHOOSE(CONTROL!$C$9, $D$9, 100%, $F$9) + CHOOSE(CONTROL!$C$27, 0.0021, 0)</f>
        <v>63.280699999999996</v>
      </c>
      <c r="I645" s="10">
        <f>63.2786 * CHOOSE(CONTROL!$C$9, $D$9, 100%, $F$9) + CHOOSE(CONTROL!$C$27, 0.0021, 0)</f>
        <v>63.280699999999996</v>
      </c>
      <c r="J645" s="10">
        <f>63.2786 * CHOOSE(CONTROL!$C$9, $D$9, 100%, $F$9) + CHOOSE(CONTROL!$C$27, 0.0021, 0)</f>
        <v>63.280699999999996</v>
      </c>
      <c r="K645" s="10">
        <f>63.2786 * CHOOSE(CONTROL!$C$9, $D$9, 100%, $F$9) + CHOOSE(CONTROL!$C$27, 0.0021, 0)</f>
        <v>63.280699999999996</v>
      </c>
      <c r="L645" s="10"/>
    </row>
    <row r="646" spans="1:12" ht="15.75" x14ac:dyDescent="0.25">
      <c r="A646" s="13">
        <v>60966</v>
      </c>
      <c r="B646" s="10">
        <f>63.8528 * CHOOSE(CONTROL!$C$9, $D$9, 100%, $F$9) + CHOOSE(CONTROL!$C$27, 0.0021, 0)</f>
        <v>63.854900000000001</v>
      </c>
      <c r="C646" s="10">
        <f>63.4205 * CHOOSE(CONTROL!$C$9, $D$9, 100%, $F$9) + CHOOSE(CONTROL!$C$27, 0.0021, 0)</f>
        <v>63.422599999999996</v>
      </c>
      <c r="D646" s="10">
        <f>63.4205 * CHOOSE(CONTROL!$C$9, $D$9, 100%, $F$9) + CHOOSE(CONTROL!$C$27, 0.0021, 0)</f>
        <v>63.422599999999996</v>
      </c>
      <c r="E646" s="10">
        <f>63.2839 * CHOOSE(CONTROL!$C$9, $D$9, 100%, $F$9) + CHOOSE(CONTROL!$C$27, 0.0021, 0)</f>
        <v>63.286000000000001</v>
      </c>
      <c r="F646" s="10">
        <f>63.2839 * CHOOSE(CONTROL!$C$9, $D$9, 100%, $F$9) + CHOOSE(CONTROL!$C$27, 0.0021, 0)</f>
        <v>63.286000000000001</v>
      </c>
      <c r="G646" s="10">
        <f>63.5552 * CHOOSE(CONTROL!$C$9, $D$9, 100%, $F$9) + CHOOSE(CONTROL!$C$27, 0.0021, 0)</f>
        <v>63.557299999999998</v>
      </c>
      <c r="H646" s="10">
        <f>63.4205 * CHOOSE(CONTROL!$C$9, $D$9, 100%, $F$9) + CHOOSE(CONTROL!$C$27, 0.0021, 0)</f>
        <v>63.422599999999996</v>
      </c>
      <c r="I646" s="10">
        <f>63.4205 * CHOOSE(CONTROL!$C$9, $D$9, 100%, $F$9) + CHOOSE(CONTROL!$C$27, 0.0021, 0)</f>
        <v>63.422599999999996</v>
      </c>
      <c r="J646" s="10">
        <f>63.4205 * CHOOSE(CONTROL!$C$9, $D$9, 100%, $F$9) + CHOOSE(CONTROL!$C$27, 0.0021, 0)</f>
        <v>63.422599999999996</v>
      </c>
      <c r="K646" s="10">
        <f>63.4205 * CHOOSE(CONTROL!$C$9, $D$9, 100%, $F$9) + CHOOSE(CONTROL!$C$27, 0.0021, 0)</f>
        <v>63.422599999999996</v>
      </c>
      <c r="L646" s="10"/>
    </row>
    <row r="647" spans="1:12" ht="15.75" x14ac:dyDescent="0.25">
      <c r="A647" s="13">
        <v>60997</v>
      </c>
      <c r="B647" s="10">
        <f>62.6457 * CHOOSE(CONTROL!$C$9, $D$9, 100%, $F$9) + CHOOSE(CONTROL!$C$27, 0.0021, 0)</f>
        <v>62.647799999999997</v>
      </c>
      <c r="C647" s="10">
        <f>62.2135 * CHOOSE(CONTROL!$C$9, $D$9, 100%, $F$9) + CHOOSE(CONTROL!$C$27, 0.0021, 0)</f>
        <v>62.215600000000002</v>
      </c>
      <c r="D647" s="10">
        <f>62.2135 * CHOOSE(CONTROL!$C$9, $D$9, 100%, $F$9) + CHOOSE(CONTROL!$C$27, 0.0021, 0)</f>
        <v>62.215600000000002</v>
      </c>
      <c r="E647" s="10">
        <f>62.0768 * CHOOSE(CONTROL!$C$9, $D$9, 100%, $F$9) + CHOOSE(CONTROL!$C$27, 0.0021, 0)</f>
        <v>62.078899999999997</v>
      </c>
      <c r="F647" s="10">
        <f>62.0768 * CHOOSE(CONTROL!$C$9, $D$9, 100%, $F$9) + CHOOSE(CONTROL!$C$27, 0.0021, 0)</f>
        <v>62.078899999999997</v>
      </c>
      <c r="G647" s="10">
        <f>62.3482 * CHOOSE(CONTROL!$C$9, $D$9, 100%, $F$9) + CHOOSE(CONTROL!$C$27, 0.0021, 0)</f>
        <v>62.350299999999997</v>
      </c>
      <c r="H647" s="10">
        <f>62.2135 * CHOOSE(CONTROL!$C$9, $D$9, 100%, $F$9) + CHOOSE(CONTROL!$C$27, 0.0021, 0)</f>
        <v>62.215600000000002</v>
      </c>
      <c r="I647" s="10">
        <f>62.2135 * CHOOSE(CONTROL!$C$9, $D$9, 100%, $F$9) + CHOOSE(CONTROL!$C$27, 0.0021, 0)</f>
        <v>62.215600000000002</v>
      </c>
      <c r="J647" s="10">
        <f>62.2135 * CHOOSE(CONTROL!$C$9, $D$9, 100%, $F$9) + CHOOSE(CONTROL!$C$27, 0.0021, 0)</f>
        <v>62.215600000000002</v>
      </c>
      <c r="K647" s="10">
        <f>62.2135 * CHOOSE(CONTROL!$C$9, $D$9, 100%, $F$9) + CHOOSE(CONTROL!$C$27, 0.0021, 0)</f>
        <v>62.215600000000002</v>
      </c>
      <c r="L647" s="10"/>
    </row>
    <row r="648" spans="1:12" ht="15.75" x14ac:dyDescent="0.25">
      <c r="A648" s="13">
        <v>61028</v>
      </c>
      <c r="B648" s="10">
        <f>61.7216 * CHOOSE(CONTROL!$C$9, $D$9, 100%, $F$9) + CHOOSE(CONTROL!$C$27, 0.0021, 0)</f>
        <v>61.723700000000001</v>
      </c>
      <c r="C648" s="10">
        <f>61.2893 * CHOOSE(CONTROL!$C$9, $D$9, 100%, $F$9) + CHOOSE(CONTROL!$C$27, 0.0021, 0)</f>
        <v>61.291399999999996</v>
      </c>
      <c r="D648" s="10">
        <f>61.2893 * CHOOSE(CONTROL!$C$9, $D$9, 100%, $F$9) + CHOOSE(CONTROL!$C$27, 0.0021, 0)</f>
        <v>61.291399999999996</v>
      </c>
      <c r="E648" s="10">
        <f>61.1526 * CHOOSE(CONTROL!$C$9, $D$9, 100%, $F$9) + CHOOSE(CONTROL!$C$27, 0.0021, 0)</f>
        <v>61.154699999999998</v>
      </c>
      <c r="F648" s="10">
        <f>61.1526 * CHOOSE(CONTROL!$C$9, $D$9, 100%, $F$9) + CHOOSE(CONTROL!$C$27, 0.0021, 0)</f>
        <v>61.154699999999998</v>
      </c>
      <c r="G648" s="10">
        <f>61.424 * CHOOSE(CONTROL!$C$9, $D$9, 100%, $F$9) + CHOOSE(CONTROL!$C$27, 0.0021, 0)</f>
        <v>61.426099999999998</v>
      </c>
      <c r="H648" s="10">
        <f>61.2893 * CHOOSE(CONTROL!$C$9, $D$9, 100%, $F$9) + CHOOSE(CONTROL!$C$27, 0.0021, 0)</f>
        <v>61.291399999999996</v>
      </c>
      <c r="I648" s="10">
        <f>61.2893 * CHOOSE(CONTROL!$C$9, $D$9, 100%, $F$9) + CHOOSE(CONTROL!$C$27, 0.0021, 0)</f>
        <v>61.291399999999996</v>
      </c>
      <c r="J648" s="10">
        <f>61.2893 * CHOOSE(CONTROL!$C$9, $D$9, 100%, $F$9) + CHOOSE(CONTROL!$C$27, 0.0021, 0)</f>
        <v>61.291399999999996</v>
      </c>
      <c r="K648" s="10">
        <f>61.2893 * CHOOSE(CONTROL!$C$9, $D$9, 100%, $F$9) + CHOOSE(CONTROL!$C$27, 0.0021, 0)</f>
        <v>61.291399999999996</v>
      </c>
      <c r="L648" s="10"/>
    </row>
    <row r="649" spans="1:12" ht="15.75" x14ac:dyDescent="0.25">
      <c r="A649" s="13">
        <v>61056</v>
      </c>
      <c r="B649" s="10">
        <f>60.0406 * CHOOSE(CONTROL!$C$9, $D$9, 100%, $F$9) + CHOOSE(CONTROL!$C$27, 0.0021, 0)</f>
        <v>60.042699999999996</v>
      </c>
      <c r="C649" s="10">
        <f>59.6083 * CHOOSE(CONTROL!$C$9, $D$9, 100%, $F$9) + CHOOSE(CONTROL!$C$27, 0.0021, 0)</f>
        <v>59.610399999999998</v>
      </c>
      <c r="D649" s="10">
        <f>59.6083 * CHOOSE(CONTROL!$C$9, $D$9, 100%, $F$9) + CHOOSE(CONTROL!$C$27, 0.0021, 0)</f>
        <v>59.610399999999998</v>
      </c>
      <c r="E649" s="10">
        <f>59.4717 * CHOOSE(CONTROL!$C$9, $D$9, 100%, $F$9) + CHOOSE(CONTROL!$C$27, 0.0021, 0)</f>
        <v>59.473799999999997</v>
      </c>
      <c r="F649" s="10">
        <f>59.4717 * CHOOSE(CONTROL!$C$9, $D$9, 100%, $F$9) + CHOOSE(CONTROL!$C$27, 0.0021, 0)</f>
        <v>59.473799999999997</v>
      </c>
      <c r="G649" s="10">
        <f>59.743 * CHOOSE(CONTROL!$C$9, $D$9, 100%, $F$9) + CHOOSE(CONTROL!$C$27, 0.0021, 0)</f>
        <v>59.745100000000001</v>
      </c>
      <c r="H649" s="10">
        <f>59.6083 * CHOOSE(CONTROL!$C$9, $D$9, 100%, $F$9) + CHOOSE(CONTROL!$C$27, 0.0021, 0)</f>
        <v>59.610399999999998</v>
      </c>
      <c r="I649" s="10">
        <f>59.6083 * CHOOSE(CONTROL!$C$9, $D$9, 100%, $F$9) + CHOOSE(CONTROL!$C$27, 0.0021, 0)</f>
        <v>59.610399999999998</v>
      </c>
      <c r="J649" s="10">
        <f>59.6083 * CHOOSE(CONTROL!$C$9, $D$9, 100%, $F$9) + CHOOSE(CONTROL!$C$27, 0.0021, 0)</f>
        <v>59.610399999999998</v>
      </c>
      <c r="K649" s="10">
        <f>59.6083 * CHOOSE(CONTROL!$C$9, $D$9, 100%, $F$9) + CHOOSE(CONTROL!$C$27, 0.0021, 0)</f>
        <v>59.610399999999998</v>
      </c>
      <c r="L649" s="10"/>
    </row>
    <row r="650" spans="1:12" ht="15.75" x14ac:dyDescent="0.25">
      <c r="A650" s="13">
        <v>61087</v>
      </c>
      <c r="B650" s="10">
        <f>59.3467 * CHOOSE(CONTROL!$C$9, $D$9, 100%, $F$9) + CHOOSE(CONTROL!$C$27, 0.0021, 0)</f>
        <v>59.348799999999997</v>
      </c>
      <c r="C650" s="10">
        <f>58.9144 * CHOOSE(CONTROL!$C$9, $D$9, 100%, $F$9) + CHOOSE(CONTROL!$C$27, 0.0021, 0)</f>
        <v>58.916499999999999</v>
      </c>
      <c r="D650" s="10">
        <f>58.9144 * CHOOSE(CONTROL!$C$9, $D$9, 100%, $F$9) + CHOOSE(CONTROL!$C$27, 0.0021, 0)</f>
        <v>58.916499999999999</v>
      </c>
      <c r="E650" s="10">
        <f>58.7778 * CHOOSE(CONTROL!$C$9, $D$9, 100%, $F$9) + CHOOSE(CONTROL!$C$27, 0.0021, 0)</f>
        <v>58.779899999999998</v>
      </c>
      <c r="F650" s="10">
        <f>58.7778 * CHOOSE(CONTROL!$C$9, $D$9, 100%, $F$9) + CHOOSE(CONTROL!$C$27, 0.0021, 0)</f>
        <v>58.779899999999998</v>
      </c>
      <c r="G650" s="10">
        <f>59.0491 * CHOOSE(CONTROL!$C$9, $D$9, 100%, $F$9) + CHOOSE(CONTROL!$C$27, 0.0021, 0)</f>
        <v>59.051200000000001</v>
      </c>
      <c r="H650" s="10">
        <f>58.9144 * CHOOSE(CONTROL!$C$9, $D$9, 100%, $F$9) + CHOOSE(CONTROL!$C$27, 0.0021, 0)</f>
        <v>58.916499999999999</v>
      </c>
      <c r="I650" s="10">
        <f>58.9144 * CHOOSE(CONTROL!$C$9, $D$9, 100%, $F$9) + CHOOSE(CONTROL!$C$27, 0.0021, 0)</f>
        <v>58.916499999999999</v>
      </c>
      <c r="J650" s="10">
        <f>58.9144 * CHOOSE(CONTROL!$C$9, $D$9, 100%, $F$9) + CHOOSE(CONTROL!$C$27, 0.0021, 0)</f>
        <v>58.916499999999999</v>
      </c>
      <c r="K650" s="10">
        <f>58.9144 * CHOOSE(CONTROL!$C$9, $D$9, 100%, $F$9) + CHOOSE(CONTROL!$C$27, 0.0021, 0)</f>
        <v>58.916499999999999</v>
      </c>
      <c r="L650" s="10"/>
    </row>
    <row r="651" spans="1:12" ht="15.75" x14ac:dyDescent="0.25">
      <c r="A651" s="13">
        <v>61117</v>
      </c>
      <c r="B651" s="10">
        <f>58.5181 * CHOOSE(CONTROL!$C$9, $D$9, 100%, $F$9) + CHOOSE(CONTROL!$C$27, 0.0021, 0)</f>
        <v>58.520199999999996</v>
      </c>
      <c r="C651" s="10">
        <f>58.0859 * CHOOSE(CONTROL!$C$9, $D$9, 100%, $F$9) + CHOOSE(CONTROL!$C$27, 0.0021, 0)</f>
        <v>58.088000000000001</v>
      </c>
      <c r="D651" s="10">
        <f>58.0859 * CHOOSE(CONTROL!$C$9, $D$9, 100%, $F$9) + CHOOSE(CONTROL!$C$27, 0.0021, 0)</f>
        <v>58.088000000000001</v>
      </c>
      <c r="E651" s="10">
        <f>57.9492 * CHOOSE(CONTROL!$C$9, $D$9, 100%, $F$9) + CHOOSE(CONTROL!$C$27, 0.0021, 0)</f>
        <v>57.951299999999996</v>
      </c>
      <c r="F651" s="10">
        <f>57.9492 * CHOOSE(CONTROL!$C$9, $D$9, 100%, $F$9) + CHOOSE(CONTROL!$C$27, 0.0021, 0)</f>
        <v>57.951299999999996</v>
      </c>
      <c r="G651" s="10">
        <f>58.2206 * CHOOSE(CONTROL!$C$9, $D$9, 100%, $F$9) + CHOOSE(CONTROL!$C$27, 0.0021, 0)</f>
        <v>58.222699999999996</v>
      </c>
      <c r="H651" s="10">
        <f>58.0859 * CHOOSE(CONTROL!$C$9, $D$9, 100%, $F$9) + CHOOSE(CONTROL!$C$27, 0.0021, 0)</f>
        <v>58.088000000000001</v>
      </c>
      <c r="I651" s="10">
        <f>58.0859 * CHOOSE(CONTROL!$C$9, $D$9, 100%, $F$9) + CHOOSE(CONTROL!$C$27, 0.0021, 0)</f>
        <v>58.088000000000001</v>
      </c>
      <c r="J651" s="10">
        <f>58.0859 * CHOOSE(CONTROL!$C$9, $D$9, 100%, $F$9) + CHOOSE(CONTROL!$C$27, 0.0021, 0)</f>
        <v>58.088000000000001</v>
      </c>
      <c r="K651" s="10">
        <f>58.0859 * CHOOSE(CONTROL!$C$9, $D$9, 100%, $F$9) + CHOOSE(CONTROL!$C$27, 0.0021, 0)</f>
        <v>58.088000000000001</v>
      </c>
      <c r="L651" s="10"/>
    </row>
    <row r="652" spans="1:12" ht="15.75" x14ac:dyDescent="0.25">
      <c r="A652" s="13">
        <v>61148</v>
      </c>
      <c r="B652" s="10">
        <f>59.6989 * CHOOSE(CONTROL!$C$9, $D$9, 100%, $F$9) + CHOOSE(CONTROL!$C$27, 0.0021, 0)</f>
        <v>59.701000000000001</v>
      </c>
      <c r="C652" s="10">
        <f>59.2666 * CHOOSE(CONTROL!$C$9, $D$9, 100%, $F$9) + CHOOSE(CONTROL!$C$27, 0.0021, 0)</f>
        <v>59.268699999999995</v>
      </c>
      <c r="D652" s="10">
        <f>59.2666 * CHOOSE(CONTROL!$C$9, $D$9, 100%, $F$9) + CHOOSE(CONTROL!$C$27, 0.0021, 0)</f>
        <v>59.268699999999995</v>
      </c>
      <c r="E652" s="10">
        <f>59.13 * CHOOSE(CONTROL!$C$9, $D$9, 100%, $F$9) + CHOOSE(CONTROL!$C$27, 0.0021, 0)</f>
        <v>59.132100000000001</v>
      </c>
      <c r="F652" s="10">
        <f>59.13 * CHOOSE(CONTROL!$C$9, $D$9, 100%, $F$9) + CHOOSE(CONTROL!$C$27, 0.0021, 0)</f>
        <v>59.132100000000001</v>
      </c>
      <c r="G652" s="10">
        <f>59.4014 * CHOOSE(CONTROL!$C$9, $D$9, 100%, $F$9) + CHOOSE(CONTROL!$C$27, 0.0021, 0)</f>
        <v>59.403500000000001</v>
      </c>
      <c r="H652" s="10">
        <f>59.2666 * CHOOSE(CONTROL!$C$9, $D$9, 100%, $F$9) + CHOOSE(CONTROL!$C$27, 0.0021, 0)</f>
        <v>59.268699999999995</v>
      </c>
      <c r="I652" s="10">
        <f>59.2666 * CHOOSE(CONTROL!$C$9, $D$9, 100%, $F$9) + CHOOSE(CONTROL!$C$27, 0.0021, 0)</f>
        <v>59.268699999999995</v>
      </c>
      <c r="J652" s="10">
        <f>59.2666 * CHOOSE(CONTROL!$C$9, $D$9, 100%, $F$9) + CHOOSE(CONTROL!$C$27, 0.0021, 0)</f>
        <v>59.268699999999995</v>
      </c>
      <c r="K652" s="10">
        <f>59.2666 * CHOOSE(CONTROL!$C$9, $D$9, 100%, $F$9) + CHOOSE(CONTROL!$C$27, 0.0021, 0)</f>
        <v>59.268699999999995</v>
      </c>
      <c r="L652" s="10"/>
    </row>
    <row r="653" spans="1:12" ht="15.75" x14ac:dyDescent="0.25">
      <c r="A653" s="13">
        <v>61178</v>
      </c>
      <c r="B653" s="10">
        <f>60.4061 * CHOOSE(CONTROL!$C$9, $D$9, 100%, $F$9) + CHOOSE(CONTROL!$C$27, 0.0021, 0)</f>
        <v>60.408200000000001</v>
      </c>
      <c r="C653" s="10">
        <f>59.9739 * CHOOSE(CONTROL!$C$9, $D$9, 100%, $F$9) + CHOOSE(CONTROL!$C$27, 0.0021, 0)</f>
        <v>59.975999999999999</v>
      </c>
      <c r="D653" s="10">
        <f>59.9739 * CHOOSE(CONTROL!$C$9, $D$9, 100%, $F$9) + CHOOSE(CONTROL!$C$27, 0.0021, 0)</f>
        <v>59.975999999999999</v>
      </c>
      <c r="E653" s="10">
        <f>59.8372 * CHOOSE(CONTROL!$C$9, $D$9, 100%, $F$9) + CHOOSE(CONTROL!$C$27, 0.0021, 0)</f>
        <v>59.839300000000001</v>
      </c>
      <c r="F653" s="10">
        <f>59.8372 * CHOOSE(CONTROL!$C$9, $D$9, 100%, $F$9) + CHOOSE(CONTROL!$C$27, 0.0021, 0)</f>
        <v>59.839300000000001</v>
      </c>
      <c r="G653" s="10">
        <f>60.1086 * CHOOSE(CONTROL!$C$9, $D$9, 100%, $F$9) + CHOOSE(CONTROL!$C$27, 0.0021, 0)</f>
        <v>60.110700000000001</v>
      </c>
      <c r="H653" s="10">
        <f>59.9739 * CHOOSE(CONTROL!$C$9, $D$9, 100%, $F$9) + CHOOSE(CONTROL!$C$27, 0.0021, 0)</f>
        <v>59.975999999999999</v>
      </c>
      <c r="I653" s="10">
        <f>59.9739 * CHOOSE(CONTROL!$C$9, $D$9, 100%, $F$9) + CHOOSE(CONTROL!$C$27, 0.0021, 0)</f>
        <v>59.975999999999999</v>
      </c>
      <c r="J653" s="10">
        <f>59.9739 * CHOOSE(CONTROL!$C$9, $D$9, 100%, $F$9) + CHOOSE(CONTROL!$C$27, 0.0021, 0)</f>
        <v>59.975999999999999</v>
      </c>
      <c r="K653" s="10">
        <f>59.9739 * CHOOSE(CONTROL!$C$9, $D$9, 100%, $F$9) + CHOOSE(CONTROL!$C$27, 0.0021, 0)</f>
        <v>59.975999999999999</v>
      </c>
      <c r="L653" s="10"/>
    </row>
    <row r="654" spans="1:12" ht="15.75" x14ac:dyDescent="0.25">
      <c r="A654" s="13">
        <v>61209</v>
      </c>
      <c r="B654" s="10">
        <f>61.5728 * CHOOSE(CONTROL!$C$9, $D$9, 100%, $F$9) + CHOOSE(CONTROL!$C$27, 0.0021, 0)</f>
        <v>61.5749</v>
      </c>
      <c r="C654" s="10">
        <f>61.1406 * CHOOSE(CONTROL!$C$9, $D$9, 100%, $F$9) + CHOOSE(CONTROL!$C$27, 0.0021, 0)</f>
        <v>61.142699999999998</v>
      </c>
      <c r="D654" s="10">
        <f>61.1406 * CHOOSE(CONTROL!$C$9, $D$9, 100%, $F$9) + CHOOSE(CONTROL!$C$27, 0.0021, 0)</f>
        <v>61.142699999999998</v>
      </c>
      <c r="E654" s="10">
        <f>61.0039 * CHOOSE(CONTROL!$C$9, $D$9, 100%, $F$9) + CHOOSE(CONTROL!$C$27, 0.0021, 0)</f>
        <v>61.006</v>
      </c>
      <c r="F654" s="10">
        <f>61.0039 * CHOOSE(CONTROL!$C$9, $D$9, 100%, $F$9) + CHOOSE(CONTROL!$C$27, 0.0021, 0)</f>
        <v>61.006</v>
      </c>
      <c r="G654" s="10">
        <f>61.2753 * CHOOSE(CONTROL!$C$9, $D$9, 100%, $F$9) + CHOOSE(CONTROL!$C$27, 0.0021, 0)</f>
        <v>61.2774</v>
      </c>
      <c r="H654" s="10">
        <f>61.1406 * CHOOSE(CONTROL!$C$9, $D$9, 100%, $F$9) + CHOOSE(CONTROL!$C$27, 0.0021, 0)</f>
        <v>61.142699999999998</v>
      </c>
      <c r="I654" s="10">
        <f>61.1406 * CHOOSE(CONTROL!$C$9, $D$9, 100%, $F$9) + CHOOSE(CONTROL!$C$27, 0.0021, 0)</f>
        <v>61.142699999999998</v>
      </c>
      <c r="J654" s="10">
        <f>61.1406 * CHOOSE(CONTROL!$C$9, $D$9, 100%, $F$9) + CHOOSE(CONTROL!$C$27, 0.0021, 0)</f>
        <v>61.142699999999998</v>
      </c>
      <c r="K654" s="10">
        <f>61.1406 * CHOOSE(CONTROL!$C$9, $D$9, 100%, $F$9) + CHOOSE(CONTROL!$C$27, 0.0021, 0)</f>
        <v>61.142699999999998</v>
      </c>
      <c r="L654" s="10"/>
    </row>
    <row r="655" spans="1:12" ht="15.75" x14ac:dyDescent="0.25">
      <c r="A655" s="13">
        <v>61240</v>
      </c>
      <c r="B655" s="10">
        <f>61.9289 * CHOOSE(CONTROL!$C$9, $D$9, 100%, $F$9) + CHOOSE(CONTROL!$C$27, 0.0021, 0)</f>
        <v>61.930999999999997</v>
      </c>
      <c r="C655" s="10">
        <f>61.4967 * CHOOSE(CONTROL!$C$9, $D$9, 100%, $F$9) + CHOOSE(CONTROL!$C$27, 0.0021, 0)</f>
        <v>61.498799999999996</v>
      </c>
      <c r="D655" s="10">
        <f>61.4967 * CHOOSE(CONTROL!$C$9, $D$9, 100%, $F$9) + CHOOSE(CONTROL!$C$27, 0.0021, 0)</f>
        <v>61.498799999999996</v>
      </c>
      <c r="E655" s="10">
        <f>61.36 * CHOOSE(CONTROL!$C$9, $D$9, 100%, $F$9) + CHOOSE(CONTROL!$C$27, 0.0021, 0)</f>
        <v>61.362099999999998</v>
      </c>
      <c r="F655" s="10">
        <f>61.36 * CHOOSE(CONTROL!$C$9, $D$9, 100%, $F$9) + CHOOSE(CONTROL!$C$27, 0.0021, 0)</f>
        <v>61.362099999999998</v>
      </c>
      <c r="G655" s="10">
        <f>61.6314 * CHOOSE(CONTROL!$C$9, $D$9, 100%, $F$9) + CHOOSE(CONTROL!$C$27, 0.0021, 0)</f>
        <v>61.633499999999998</v>
      </c>
      <c r="H655" s="10">
        <f>61.4967 * CHOOSE(CONTROL!$C$9, $D$9, 100%, $F$9) + CHOOSE(CONTROL!$C$27, 0.0021, 0)</f>
        <v>61.498799999999996</v>
      </c>
      <c r="I655" s="10">
        <f>61.4967 * CHOOSE(CONTROL!$C$9, $D$9, 100%, $F$9) + CHOOSE(CONTROL!$C$27, 0.0021, 0)</f>
        <v>61.498799999999996</v>
      </c>
      <c r="J655" s="10">
        <f>61.4967 * CHOOSE(CONTROL!$C$9, $D$9, 100%, $F$9) + CHOOSE(CONTROL!$C$27, 0.0021, 0)</f>
        <v>61.498799999999996</v>
      </c>
      <c r="K655" s="10">
        <f>61.4967 * CHOOSE(CONTROL!$C$9, $D$9, 100%, $F$9) + CHOOSE(CONTROL!$C$27, 0.0021, 0)</f>
        <v>61.498799999999996</v>
      </c>
      <c r="L655" s="10"/>
    </row>
    <row r="656" spans="1:12" ht="15.75" x14ac:dyDescent="0.25">
      <c r="A656" s="13">
        <v>61270</v>
      </c>
      <c r="B656" s="10">
        <f>63.1416 * CHOOSE(CONTROL!$C$9, $D$9, 100%, $F$9) + CHOOSE(CONTROL!$C$27, 0.0021, 0)</f>
        <v>63.143699999999995</v>
      </c>
      <c r="C656" s="10">
        <f>62.7094 * CHOOSE(CONTROL!$C$9, $D$9, 100%, $F$9) + CHOOSE(CONTROL!$C$27, 0.0021, 0)</f>
        <v>62.711500000000001</v>
      </c>
      <c r="D656" s="10">
        <f>62.7094 * CHOOSE(CONTROL!$C$9, $D$9, 100%, $F$9) + CHOOSE(CONTROL!$C$27, 0.0021, 0)</f>
        <v>62.711500000000001</v>
      </c>
      <c r="E656" s="10">
        <f>62.5727 * CHOOSE(CONTROL!$C$9, $D$9, 100%, $F$9) + CHOOSE(CONTROL!$C$27, 0.0021, 0)</f>
        <v>62.574799999999996</v>
      </c>
      <c r="F656" s="10">
        <f>62.5727 * CHOOSE(CONTROL!$C$9, $D$9, 100%, $F$9) + CHOOSE(CONTROL!$C$27, 0.0021, 0)</f>
        <v>62.574799999999996</v>
      </c>
      <c r="G656" s="10">
        <f>62.8441 * CHOOSE(CONTROL!$C$9, $D$9, 100%, $F$9) + CHOOSE(CONTROL!$C$27, 0.0021, 0)</f>
        <v>62.846199999999996</v>
      </c>
      <c r="H656" s="10">
        <f>62.7094 * CHOOSE(CONTROL!$C$9, $D$9, 100%, $F$9) + CHOOSE(CONTROL!$C$27, 0.0021, 0)</f>
        <v>62.711500000000001</v>
      </c>
      <c r="I656" s="10">
        <f>62.7094 * CHOOSE(CONTROL!$C$9, $D$9, 100%, $F$9) + CHOOSE(CONTROL!$C$27, 0.0021, 0)</f>
        <v>62.711500000000001</v>
      </c>
      <c r="J656" s="10">
        <f>62.7094 * CHOOSE(CONTROL!$C$9, $D$9, 100%, $F$9) + CHOOSE(CONTROL!$C$27, 0.0021, 0)</f>
        <v>62.711500000000001</v>
      </c>
      <c r="K656" s="10">
        <f>62.7094 * CHOOSE(CONTROL!$C$9, $D$9, 100%, $F$9) + CHOOSE(CONTROL!$C$27, 0.0021, 0)</f>
        <v>62.711500000000001</v>
      </c>
      <c r="L656" s="10"/>
    </row>
    <row r="657" spans="1:12" ht="15.75" x14ac:dyDescent="0.25">
      <c r="A657" s="13">
        <v>61301</v>
      </c>
      <c r="B657" s="10">
        <f>64.6767 * CHOOSE(CONTROL!$C$9, $D$9, 100%, $F$9) + CHOOSE(CONTROL!$C$27, 0.0021, 0)</f>
        <v>64.678799999999995</v>
      </c>
      <c r="C657" s="10">
        <f>64.2444 * CHOOSE(CONTROL!$C$9, $D$9, 100%, $F$9) + CHOOSE(CONTROL!$C$27, 0.0021, 0)</f>
        <v>64.246499999999997</v>
      </c>
      <c r="D657" s="10">
        <f>64.2444 * CHOOSE(CONTROL!$C$9, $D$9, 100%, $F$9) + CHOOSE(CONTROL!$C$27, 0.0021, 0)</f>
        <v>64.246499999999997</v>
      </c>
      <c r="E657" s="10">
        <f>64.1078 * CHOOSE(CONTROL!$C$9, $D$9, 100%, $F$9) + CHOOSE(CONTROL!$C$27, 0.0021, 0)</f>
        <v>64.109899999999996</v>
      </c>
      <c r="F657" s="10">
        <f>64.1078 * CHOOSE(CONTROL!$C$9, $D$9, 100%, $F$9) + CHOOSE(CONTROL!$C$27, 0.0021, 0)</f>
        <v>64.109899999999996</v>
      </c>
      <c r="G657" s="10">
        <f>64.3792 * CHOOSE(CONTROL!$C$9, $D$9, 100%, $F$9) + CHOOSE(CONTROL!$C$27, 0.0021, 0)</f>
        <v>64.381299999999996</v>
      </c>
      <c r="H657" s="10">
        <f>64.2444 * CHOOSE(CONTROL!$C$9, $D$9, 100%, $F$9) + CHOOSE(CONTROL!$C$27, 0.0021, 0)</f>
        <v>64.246499999999997</v>
      </c>
      <c r="I657" s="10">
        <f>64.2444 * CHOOSE(CONTROL!$C$9, $D$9, 100%, $F$9) + CHOOSE(CONTROL!$C$27, 0.0021, 0)</f>
        <v>64.246499999999997</v>
      </c>
      <c r="J657" s="10">
        <f>64.2444 * CHOOSE(CONTROL!$C$9, $D$9, 100%, $F$9) + CHOOSE(CONTROL!$C$27, 0.0021, 0)</f>
        <v>64.246499999999997</v>
      </c>
      <c r="K657" s="10">
        <f>64.2444 * CHOOSE(CONTROL!$C$9, $D$9, 100%, $F$9) + CHOOSE(CONTROL!$C$27, 0.0021, 0)</f>
        <v>64.246499999999997</v>
      </c>
      <c r="L657" s="10"/>
    </row>
    <row r="658" spans="1:12" ht="15.75" x14ac:dyDescent="0.25">
      <c r="A658" s="13">
        <v>61331</v>
      </c>
      <c r="B658" s="10">
        <f>64.8208 * CHOOSE(CONTROL!$C$9, $D$9, 100%, $F$9) + CHOOSE(CONTROL!$C$27, 0.0021, 0)</f>
        <v>64.822900000000004</v>
      </c>
      <c r="C658" s="10">
        <f>64.3886 * CHOOSE(CONTROL!$C$9, $D$9, 100%, $F$9) + CHOOSE(CONTROL!$C$27, 0.0021, 0)</f>
        <v>64.390699999999995</v>
      </c>
      <c r="D658" s="10">
        <f>64.3886 * CHOOSE(CONTROL!$C$9, $D$9, 100%, $F$9) + CHOOSE(CONTROL!$C$27, 0.0021, 0)</f>
        <v>64.390699999999995</v>
      </c>
      <c r="E658" s="10">
        <f>64.2519 * CHOOSE(CONTROL!$C$9, $D$9, 100%, $F$9) + CHOOSE(CONTROL!$C$27, 0.0021, 0)</f>
        <v>64.254000000000005</v>
      </c>
      <c r="F658" s="10">
        <f>64.2519 * CHOOSE(CONTROL!$C$9, $D$9, 100%, $F$9) + CHOOSE(CONTROL!$C$27, 0.0021, 0)</f>
        <v>64.254000000000005</v>
      </c>
      <c r="G658" s="10">
        <f>64.5233 * CHOOSE(CONTROL!$C$9, $D$9, 100%, $F$9) + CHOOSE(CONTROL!$C$27, 0.0021, 0)</f>
        <v>64.525400000000005</v>
      </c>
      <c r="H658" s="10">
        <f>64.3886 * CHOOSE(CONTROL!$C$9, $D$9, 100%, $F$9) + CHOOSE(CONTROL!$C$27, 0.0021, 0)</f>
        <v>64.390699999999995</v>
      </c>
      <c r="I658" s="10">
        <f>64.3886 * CHOOSE(CONTROL!$C$9, $D$9, 100%, $F$9) + CHOOSE(CONTROL!$C$27, 0.0021, 0)</f>
        <v>64.390699999999995</v>
      </c>
      <c r="J658" s="10">
        <f>64.3886 * CHOOSE(CONTROL!$C$9, $D$9, 100%, $F$9) + CHOOSE(CONTROL!$C$27, 0.0021, 0)</f>
        <v>64.390699999999995</v>
      </c>
      <c r="K658" s="10">
        <f>64.3886 * CHOOSE(CONTROL!$C$9, $D$9, 100%, $F$9) + CHOOSE(CONTROL!$C$27, 0.0021, 0)</f>
        <v>64.390699999999995</v>
      </c>
      <c r="L658" s="10"/>
    </row>
    <row r="659" spans="1:12" ht="15.75" x14ac:dyDescent="0.25">
      <c r="A659" s="13">
        <v>61362</v>
      </c>
      <c r="B659" s="10">
        <f>63.5948 * CHOOSE(CONTROL!$C$9, $D$9, 100%, $F$9) + CHOOSE(CONTROL!$C$27, 0.0021, 0)</f>
        <v>63.596899999999998</v>
      </c>
      <c r="C659" s="10">
        <f>63.1625 * CHOOSE(CONTROL!$C$9, $D$9, 100%, $F$9) + CHOOSE(CONTROL!$C$27, 0.0021, 0)</f>
        <v>63.1646</v>
      </c>
      <c r="D659" s="10">
        <f>63.1625 * CHOOSE(CONTROL!$C$9, $D$9, 100%, $F$9) + CHOOSE(CONTROL!$C$27, 0.0021, 0)</f>
        <v>63.1646</v>
      </c>
      <c r="E659" s="10">
        <f>63.0259 * CHOOSE(CONTROL!$C$9, $D$9, 100%, $F$9) + CHOOSE(CONTROL!$C$27, 0.0021, 0)</f>
        <v>63.027999999999999</v>
      </c>
      <c r="F659" s="10">
        <f>63.0259 * CHOOSE(CONTROL!$C$9, $D$9, 100%, $F$9) + CHOOSE(CONTROL!$C$27, 0.0021, 0)</f>
        <v>63.027999999999999</v>
      </c>
      <c r="G659" s="10">
        <f>63.2972 * CHOOSE(CONTROL!$C$9, $D$9, 100%, $F$9) + CHOOSE(CONTROL!$C$27, 0.0021, 0)</f>
        <v>63.299299999999995</v>
      </c>
      <c r="H659" s="10">
        <f>63.1625 * CHOOSE(CONTROL!$C$9, $D$9, 100%, $F$9) + CHOOSE(CONTROL!$C$27, 0.0021, 0)</f>
        <v>63.1646</v>
      </c>
      <c r="I659" s="10">
        <f>63.1625 * CHOOSE(CONTROL!$C$9, $D$9, 100%, $F$9) + CHOOSE(CONTROL!$C$27, 0.0021, 0)</f>
        <v>63.1646</v>
      </c>
      <c r="J659" s="10">
        <f>63.1625 * CHOOSE(CONTROL!$C$9, $D$9, 100%, $F$9) + CHOOSE(CONTROL!$C$27, 0.0021, 0)</f>
        <v>63.1646</v>
      </c>
      <c r="K659" s="10">
        <f>63.1625 * CHOOSE(CONTROL!$C$9, $D$9, 100%, $F$9) + CHOOSE(CONTROL!$C$27, 0.0021, 0)</f>
        <v>63.1646</v>
      </c>
      <c r="L659" s="10"/>
    </row>
    <row r="660" spans="1:12" ht="15.75" x14ac:dyDescent="0.25">
      <c r="A660" s="13">
        <v>61393</v>
      </c>
      <c r="B660" s="10">
        <f>62.6561 * CHOOSE(CONTROL!$C$9, $D$9, 100%, $F$9) + CHOOSE(CONTROL!$C$27, 0.0021, 0)</f>
        <v>62.658200000000001</v>
      </c>
      <c r="C660" s="10">
        <f>62.2238 * CHOOSE(CONTROL!$C$9, $D$9, 100%, $F$9) + CHOOSE(CONTROL!$C$27, 0.0021, 0)</f>
        <v>62.225899999999996</v>
      </c>
      <c r="D660" s="10">
        <f>62.2238 * CHOOSE(CONTROL!$C$9, $D$9, 100%, $F$9) + CHOOSE(CONTROL!$C$27, 0.0021, 0)</f>
        <v>62.225899999999996</v>
      </c>
      <c r="E660" s="10">
        <f>62.0872 * CHOOSE(CONTROL!$C$9, $D$9, 100%, $F$9) + CHOOSE(CONTROL!$C$27, 0.0021, 0)</f>
        <v>62.089300000000001</v>
      </c>
      <c r="F660" s="10">
        <f>62.0872 * CHOOSE(CONTROL!$C$9, $D$9, 100%, $F$9) + CHOOSE(CONTROL!$C$27, 0.0021, 0)</f>
        <v>62.089300000000001</v>
      </c>
      <c r="G660" s="10">
        <f>62.3585 * CHOOSE(CONTROL!$C$9, $D$9, 100%, $F$9) + CHOOSE(CONTROL!$C$27, 0.0021, 0)</f>
        <v>62.360599999999998</v>
      </c>
      <c r="H660" s="10">
        <f>62.2238 * CHOOSE(CONTROL!$C$9, $D$9, 100%, $F$9) + CHOOSE(CONTROL!$C$27, 0.0021, 0)</f>
        <v>62.225899999999996</v>
      </c>
      <c r="I660" s="10">
        <f>62.2238 * CHOOSE(CONTROL!$C$9, $D$9, 100%, $F$9) + CHOOSE(CONTROL!$C$27, 0.0021, 0)</f>
        <v>62.225899999999996</v>
      </c>
      <c r="J660" s="10">
        <f>62.2238 * CHOOSE(CONTROL!$C$9, $D$9, 100%, $F$9) + CHOOSE(CONTROL!$C$27, 0.0021, 0)</f>
        <v>62.225899999999996</v>
      </c>
      <c r="K660" s="10">
        <f>62.2238 * CHOOSE(CONTROL!$C$9, $D$9, 100%, $F$9) + CHOOSE(CONTROL!$C$27, 0.0021, 0)</f>
        <v>62.225899999999996</v>
      </c>
      <c r="L660" s="10"/>
    </row>
    <row r="661" spans="1:12" ht="15.75" x14ac:dyDescent="0.25">
      <c r="A661" s="13">
        <v>61422</v>
      </c>
      <c r="B661" s="10">
        <f>60.9487 * CHOOSE(CONTROL!$C$9, $D$9, 100%, $F$9) + CHOOSE(CONTROL!$C$27, 0.0021, 0)</f>
        <v>60.950800000000001</v>
      </c>
      <c r="C661" s="10">
        <f>60.5164 * CHOOSE(CONTROL!$C$9, $D$9, 100%, $F$9) + CHOOSE(CONTROL!$C$27, 0.0021, 0)</f>
        <v>60.518499999999996</v>
      </c>
      <c r="D661" s="10">
        <f>60.5164 * CHOOSE(CONTROL!$C$9, $D$9, 100%, $F$9) + CHOOSE(CONTROL!$C$27, 0.0021, 0)</f>
        <v>60.518499999999996</v>
      </c>
      <c r="E661" s="10">
        <f>60.3798 * CHOOSE(CONTROL!$C$9, $D$9, 100%, $F$9) + CHOOSE(CONTROL!$C$27, 0.0021, 0)</f>
        <v>60.381900000000002</v>
      </c>
      <c r="F661" s="10">
        <f>60.3798 * CHOOSE(CONTROL!$C$9, $D$9, 100%, $F$9) + CHOOSE(CONTROL!$C$27, 0.0021, 0)</f>
        <v>60.381900000000002</v>
      </c>
      <c r="G661" s="10">
        <f>60.6511 * CHOOSE(CONTROL!$C$9, $D$9, 100%, $F$9) + CHOOSE(CONTROL!$C$27, 0.0021, 0)</f>
        <v>60.653199999999998</v>
      </c>
      <c r="H661" s="10">
        <f>60.5164 * CHOOSE(CONTROL!$C$9, $D$9, 100%, $F$9) + CHOOSE(CONTROL!$C$27, 0.0021, 0)</f>
        <v>60.518499999999996</v>
      </c>
      <c r="I661" s="10">
        <f>60.5164 * CHOOSE(CONTROL!$C$9, $D$9, 100%, $F$9) + CHOOSE(CONTROL!$C$27, 0.0021, 0)</f>
        <v>60.518499999999996</v>
      </c>
      <c r="J661" s="10">
        <f>60.5164 * CHOOSE(CONTROL!$C$9, $D$9, 100%, $F$9) + CHOOSE(CONTROL!$C$27, 0.0021, 0)</f>
        <v>60.518499999999996</v>
      </c>
      <c r="K661" s="10">
        <f>60.5164 * CHOOSE(CONTROL!$C$9, $D$9, 100%, $F$9) + CHOOSE(CONTROL!$C$27, 0.0021, 0)</f>
        <v>60.518499999999996</v>
      </c>
      <c r="L661" s="10"/>
    </row>
    <row r="662" spans="1:12" ht="15.75" x14ac:dyDescent="0.25">
      <c r="A662" s="13">
        <v>61453</v>
      </c>
      <c r="B662" s="10">
        <f>60.2438 * CHOOSE(CONTROL!$C$9, $D$9, 100%, $F$9) + CHOOSE(CONTROL!$C$27, 0.0021, 0)</f>
        <v>60.245899999999999</v>
      </c>
      <c r="C662" s="10">
        <f>59.8116 * CHOOSE(CONTROL!$C$9, $D$9, 100%, $F$9) + CHOOSE(CONTROL!$C$27, 0.0021, 0)</f>
        <v>59.813699999999997</v>
      </c>
      <c r="D662" s="10">
        <f>59.8116 * CHOOSE(CONTROL!$C$9, $D$9, 100%, $F$9) + CHOOSE(CONTROL!$C$27, 0.0021, 0)</f>
        <v>59.813699999999997</v>
      </c>
      <c r="E662" s="10">
        <f>59.6749 * CHOOSE(CONTROL!$C$9, $D$9, 100%, $F$9) + CHOOSE(CONTROL!$C$27, 0.0021, 0)</f>
        <v>59.677</v>
      </c>
      <c r="F662" s="10">
        <f>59.6749 * CHOOSE(CONTROL!$C$9, $D$9, 100%, $F$9) + CHOOSE(CONTROL!$C$27, 0.0021, 0)</f>
        <v>59.677</v>
      </c>
      <c r="G662" s="10">
        <f>59.9463 * CHOOSE(CONTROL!$C$9, $D$9, 100%, $F$9) + CHOOSE(CONTROL!$C$27, 0.0021, 0)</f>
        <v>59.948399999999999</v>
      </c>
      <c r="H662" s="10">
        <f>59.8116 * CHOOSE(CONTROL!$C$9, $D$9, 100%, $F$9) + CHOOSE(CONTROL!$C$27, 0.0021, 0)</f>
        <v>59.813699999999997</v>
      </c>
      <c r="I662" s="10">
        <f>59.8116 * CHOOSE(CONTROL!$C$9, $D$9, 100%, $F$9) + CHOOSE(CONTROL!$C$27, 0.0021, 0)</f>
        <v>59.813699999999997</v>
      </c>
      <c r="J662" s="10">
        <f>59.8116 * CHOOSE(CONTROL!$C$9, $D$9, 100%, $F$9) + CHOOSE(CONTROL!$C$27, 0.0021, 0)</f>
        <v>59.813699999999997</v>
      </c>
      <c r="K662" s="10">
        <f>59.8116 * CHOOSE(CONTROL!$C$9, $D$9, 100%, $F$9) + CHOOSE(CONTROL!$C$27, 0.0021, 0)</f>
        <v>59.813699999999997</v>
      </c>
      <c r="L662" s="10"/>
    </row>
    <row r="663" spans="1:12" ht="15.75" x14ac:dyDescent="0.25">
      <c r="A663" s="13">
        <v>61483</v>
      </c>
      <c r="B663" s="10">
        <f>59.4023 * CHOOSE(CONTROL!$C$9, $D$9, 100%, $F$9) + CHOOSE(CONTROL!$C$27, 0.0021, 0)</f>
        <v>59.404399999999995</v>
      </c>
      <c r="C663" s="10">
        <f>58.97 * CHOOSE(CONTROL!$C$9, $D$9, 100%, $F$9) + CHOOSE(CONTROL!$C$27, 0.0021, 0)</f>
        <v>58.972099999999998</v>
      </c>
      <c r="D663" s="10">
        <f>58.97 * CHOOSE(CONTROL!$C$9, $D$9, 100%, $F$9) + CHOOSE(CONTROL!$C$27, 0.0021, 0)</f>
        <v>58.972099999999998</v>
      </c>
      <c r="E663" s="10">
        <f>58.8334 * CHOOSE(CONTROL!$C$9, $D$9, 100%, $F$9) + CHOOSE(CONTROL!$C$27, 0.0021, 0)</f>
        <v>58.835499999999996</v>
      </c>
      <c r="F663" s="10">
        <f>58.8334 * CHOOSE(CONTROL!$C$9, $D$9, 100%, $F$9) + CHOOSE(CONTROL!$C$27, 0.0021, 0)</f>
        <v>58.835499999999996</v>
      </c>
      <c r="G663" s="10">
        <f>59.1047 * CHOOSE(CONTROL!$C$9, $D$9, 100%, $F$9) + CHOOSE(CONTROL!$C$27, 0.0021, 0)</f>
        <v>59.1068</v>
      </c>
      <c r="H663" s="10">
        <f>58.97 * CHOOSE(CONTROL!$C$9, $D$9, 100%, $F$9) + CHOOSE(CONTROL!$C$27, 0.0021, 0)</f>
        <v>58.972099999999998</v>
      </c>
      <c r="I663" s="10">
        <f>58.97 * CHOOSE(CONTROL!$C$9, $D$9, 100%, $F$9) + CHOOSE(CONTROL!$C$27, 0.0021, 0)</f>
        <v>58.972099999999998</v>
      </c>
      <c r="J663" s="10">
        <f>58.97 * CHOOSE(CONTROL!$C$9, $D$9, 100%, $F$9) + CHOOSE(CONTROL!$C$27, 0.0021, 0)</f>
        <v>58.972099999999998</v>
      </c>
      <c r="K663" s="10">
        <f>58.97 * CHOOSE(CONTROL!$C$9, $D$9, 100%, $F$9) + CHOOSE(CONTROL!$C$27, 0.0021, 0)</f>
        <v>58.972099999999998</v>
      </c>
      <c r="L663" s="10"/>
    </row>
    <row r="664" spans="1:12" ht="15.75" x14ac:dyDescent="0.25">
      <c r="A664" s="13">
        <v>61514</v>
      </c>
      <c r="B664" s="10">
        <f>60.6016 * CHOOSE(CONTROL!$C$9, $D$9, 100%, $F$9) + CHOOSE(CONTROL!$C$27, 0.0021, 0)</f>
        <v>60.603699999999996</v>
      </c>
      <c r="C664" s="10">
        <f>60.1694 * CHOOSE(CONTROL!$C$9, $D$9, 100%, $F$9) + CHOOSE(CONTROL!$C$27, 0.0021, 0)</f>
        <v>60.171500000000002</v>
      </c>
      <c r="D664" s="10">
        <f>60.1694 * CHOOSE(CONTROL!$C$9, $D$9, 100%, $F$9) + CHOOSE(CONTROL!$C$27, 0.0021, 0)</f>
        <v>60.171500000000002</v>
      </c>
      <c r="E664" s="10">
        <f>60.0327 * CHOOSE(CONTROL!$C$9, $D$9, 100%, $F$9) + CHOOSE(CONTROL!$C$27, 0.0021, 0)</f>
        <v>60.034799999999997</v>
      </c>
      <c r="F664" s="10">
        <f>60.0327 * CHOOSE(CONTROL!$C$9, $D$9, 100%, $F$9) + CHOOSE(CONTROL!$C$27, 0.0021, 0)</f>
        <v>60.034799999999997</v>
      </c>
      <c r="G664" s="10">
        <f>60.3041 * CHOOSE(CONTROL!$C$9, $D$9, 100%, $F$9) + CHOOSE(CONTROL!$C$27, 0.0021, 0)</f>
        <v>60.306199999999997</v>
      </c>
      <c r="H664" s="10">
        <f>60.1694 * CHOOSE(CONTROL!$C$9, $D$9, 100%, $F$9) + CHOOSE(CONTROL!$C$27, 0.0021, 0)</f>
        <v>60.171500000000002</v>
      </c>
      <c r="I664" s="10">
        <f>60.1694 * CHOOSE(CONTROL!$C$9, $D$9, 100%, $F$9) + CHOOSE(CONTROL!$C$27, 0.0021, 0)</f>
        <v>60.171500000000002</v>
      </c>
      <c r="J664" s="10">
        <f>60.1694 * CHOOSE(CONTROL!$C$9, $D$9, 100%, $F$9) + CHOOSE(CONTROL!$C$27, 0.0021, 0)</f>
        <v>60.171500000000002</v>
      </c>
      <c r="K664" s="10">
        <f>60.1694 * CHOOSE(CONTROL!$C$9, $D$9, 100%, $F$9) + CHOOSE(CONTROL!$C$27, 0.0021, 0)</f>
        <v>60.171500000000002</v>
      </c>
      <c r="L664" s="10"/>
    </row>
    <row r="665" spans="1:12" ht="15.75" x14ac:dyDescent="0.25">
      <c r="A665" s="13">
        <v>61544</v>
      </c>
      <c r="B665" s="10">
        <f>61.32 * CHOOSE(CONTROL!$C$9, $D$9, 100%, $F$9) + CHOOSE(CONTROL!$C$27, 0.0021, 0)</f>
        <v>61.322099999999999</v>
      </c>
      <c r="C665" s="10">
        <f>60.8877 * CHOOSE(CONTROL!$C$9, $D$9, 100%, $F$9) + CHOOSE(CONTROL!$C$27, 0.0021, 0)</f>
        <v>60.889800000000001</v>
      </c>
      <c r="D665" s="10">
        <f>60.8877 * CHOOSE(CONTROL!$C$9, $D$9, 100%, $F$9) + CHOOSE(CONTROL!$C$27, 0.0021, 0)</f>
        <v>60.889800000000001</v>
      </c>
      <c r="E665" s="10">
        <f>60.7511 * CHOOSE(CONTROL!$C$9, $D$9, 100%, $F$9) + CHOOSE(CONTROL!$C$27, 0.0021, 0)</f>
        <v>60.7532</v>
      </c>
      <c r="F665" s="10">
        <f>60.7511 * CHOOSE(CONTROL!$C$9, $D$9, 100%, $F$9) + CHOOSE(CONTROL!$C$27, 0.0021, 0)</f>
        <v>60.7532</v>
      </c>
      <c r="G665" s="10">
        <f>61.0224 * CHOOSE(CONTROL!$C$9, $D$9, 100%, $F$9) + CHOOSE(CONTROL!$C$27, 0.0021, 0)</f>
        <v>61.024499999999996</v>
      </c>
      <c r="H665" s="10">
        <f>60.8877 * CHOOSE(CONTROL!$C$9, $D$9, 100%, $F$9) + CHOOSE(CONTROL!$C$27, 0.0021, 0)</f>
        <v>60.889800000000001</v>
      </c>
      <c r="I665" s="10">
        <f>60.8877 * CHOOSE(CONTROL!$C$9, $D$9, 100%, $F$9) + CHOOSE(CONTROL!$C$27, 0.0021, 0)</f>
        <v>60.889800000000001</v>
      </c>
      <c r="J665" s="10">
        <f>60.8877 * CHOOSE(CONTROL!$C$9, $D$9, 100%, $F$9) + CHOOSE(CONTROL!$C$27, 0.0021, 0)</f>
        <v>60.889800000000001</v>
      </c>
      <c r="K665" s="10">
        <f>60.8877 * CHOOSE(CONTROL!$C$9, $D$9, 100%, $F$9) + CHOOSE(CONTROL!$C$27, 0.0021, 0)</f>
        <v>60.889800000000001</v>
      </c>
      <c r="L665" s="10"/>
    </row>
    <row r="666" spans="1:12" ht="15.75" x14ac:dyDescent="0.25">
      <c r="A666" s="13">
        <v>61575</v>
      </c>
      <c r="B666" s="10">
        <f>62.505 * CHOOSE(CONTROL!$C$9, $D$9, 100%, $F$9) + CHOOSE(CONTROL!$C$27, 0.0021, 0)</f>
        <v>62.507100000000001</v>
      </c>
      <c r="C666" s="10">
        <f>62.0727 * CHOOSE(CONTROL!$C$9, $D$9, 100%, $F$9) + CHOOSE(CONTROL!$C$27, 0.0021, 0)</f>
        <v>62.074799999999996</v>
      </c>
      <c r="D666" s="10">
        <f>62.0727 * CHOOSE(CONTROL!$C$9, $D$9, 100%, $F$9) + CHOOSE(CONTROL!$C$27, 0.0021, 0)</f>
        <v>62.074799999999996</v>
      </c>
      <c r="E666" s="10">
        <f>61.9361 * CHOOSE(CONTROL!$C$9, $D$9, 100%, $F$9) + CHOOSE(CONTROL!$C$27, 0.0021, 0)</f>
        <v>61.938200000000002</v>
      </c>
      <c r="F666" s="10">
        <f>61.9361 * CHOOSE(CONTROL!$C$9, $D$9, 100%, $F$9) + CHOOSE(CONTROL!$C$27, 0.0021, 0)</f>
        <v>61.938200000000002</v>
      </c>
      <c r="G666" s="10">
        <f>62.2074 * CHOOSE(CONTROL!$C$9, $D$9, 100%, $F$9) + CHOOSE(CONTROL!$C$27, 0.0021, 0)</f>
        <v>62.209499999999998</v>
      </c>
      <c r="H666" s="10">
        <f>62.0727 * CHOOSE(CONTROL!$C$9, $D$9, 100%, $F$9) + CHOOSE(CONTROL!$C$27, 0.0021, 0)</f>
        <v>62.074799999999996</v>
      </c>
      <c r="I666" s="10">
        <f>62.0727 * CHOOSE(CONTROL!$C$9, $D$9, 100%, $F$9) + CHOOSE(CONTROL!$C$27, 0.0021, 0)</f>
        <v>62.074799999999996</v>
      </c>
      <c r="J666" s="10">
        <f>62.0727 * CHOOSE(CONTROL!$C$9, $D$9, 100%, $F$9) + CHOOSE(CONTROL!$C$27, 0.0021, 0)</f>
        <v>62.074799999999996</v>
      </c>
      <c r="K666" s="10">
        <f>62.0727 * CHOOSE(CONTROL!$C$9, $D$9, 100%, $F$9) + CHOOSE(CONTROL!$C$27, 0.0021, 0)</f>
        <v>62.074799999999996</v>
      </c>
      <c r="L666" s="10"/>
    </row>
    <row r="667" spans="1:12" ht="15.75" x14ac:dyDescent="0.25">
      <c r="A667" s="13">
        <v>61606</v>
      </c>
      <c r="B667" s="10">
        <f>62.8667 * CHOOSE(CONTROL!$C$9, $D$9, 100%, $F$9) + CHOOSE(CONTROL!$C$27, 0.0021, 0)</f>
        <v>62.8688</v>
      </c>
      <c r="C667" s="10">
        <f>62.4344 * CHOOSE(CONTROL!$C$9, $D$9, 100%, $F$9) + CHOOSE(CONTROL!$C$27, 0.0021, 0)</f>
        <v>62.436499999999995</v>
      </c>
      <c r="D667" s="10">
        <f>62.4344 * CHOOSE(CONTROL!$C$9, $D$9, 100%, $F$9) + CHOOSE(CONTROL!$C$27, 0.0021, 0)</f>
        <v>62.436499999999995</v>
      </c>
      <c r="E667" s="10">
        <f>62.2978 * CHOOSE(CONTROL!$C$9, $D$9, 100%, $F$9) + CHOOSE(CONTROL!$C$27, 0.0021, 0)</f>
        <v>62.299900000000001</v>
      </c>
      <c r="F667" s="10">
        <f>62.2978 * CHOOSE(CONTROL!$C$9, $D$9, 100%, $F$9) + CHOOSE(CONTROL!$C$27, 0.0021, 0)</f>
        <v>62.299900000000001</v>
      </c>
      <c r="G667" s="10">
        <f>62.5692 * CHOOSE(CONTROL!$C$9, $D$9, 100%, $F$9) + CHOOSE(CONTROL!$C$27, 0.0021, 0)</f>
        <v>62.571300000000001</v>
      </c>
      <c r="H667" s="10">
        <f>62.4344 * CHOOSE(CONTROL!$C$9, $D$9, 100%, $F$9) + CHOOSE(CONTROL!$C$27, 0.0021, 0)</f>
        <v>62.436499999999995</v>
      </c>
      <c r="I667" s="10">
        <f>62.4344 * CHOOSE(CONTROL!$C$9, $D$9, 100%, $F$9) + CHOOSE(CONTROL!$C$27, 0.0021, 0)</f>
        <v>62.436499999999995</v>
      </c>
      <c r="J667" s="10">
        <f>62.4344 * CHOOSE(CONTROL!$C$9, $D$9, 100%, $F$9) + CHOOSE(CONTROL!$C$27, 0.0021, 0)</f>
        <v>62.436499999999995</v>
      </c>
      <c r="K667" s="10">
        <f>62.4344 * CHOOSE(CONTROL!$C$9, $D$9, 100%, $F$9) + CHOOSE(CONTROL!$C$27, 0.0021, 0)</f>
        <v>62.436499999999995</v>
      </c>
      <c r="L667" s="10"/>
    </row>
    <row r="668" spans="1:12" ht="15.75" x14ac:dyDescent="0.25">
      <c r="A668" s="13">
        <v>61636</v>
      </c>
      <c r="B668" s="10">
        <f>64.0985 * CHOOSE(CONTROL!$C$9, $D$9, 100%, $F$9) + CHOOSE(CONTROL!$C$27, 0.0021, 0)</f>
        <v>64.1006</v>
      </c>
      <c r="C668" s="10">
        <f>63.6662 * CHOOSE(CONTROL!$C$9, $D$9, 100%, $F$9) + CHOOSE(CONTROL!$C$27, 0.0021, 0)</f>
        <v>63.668300000000002</v>
      </c>
      <c r="D668" s="10">
        <f>63.6662 * CHOOSE(CONTROL!$C$9, $D$9, 100%, $F$9) + CHOOSE(CONTROL!$C$27, 0.0021, 0)</f>
        <v>63.668300000000002</v>
      </c>
      <c r="E668" s="10">
        <f>63.5296 * CHOOSE(CONTROL!$C$9, $D$9, 100%, $F$9) + CHOOSE(CONTROL!$C$27, 0.0021, 0)</f>
        <v>63.531700000000001</v>
      </c>
      <c r="F668" s="10">
        <f>63.5296 * CHOOSE(CONTROL!$C$9, $D$9, 100%, $F$9) + CHOOSE(CONTROL!$C$27, 0.0021, 0)</f>
        <v>63.531700000000001</v>
      </c>
      <c r="G668" s="10">
        <f>63.8009 * CHOOSE(CONTROL!$C$9, $D$9, 100%, $F$9) + CHOOSE(CONTROL!$C$27, 0.0021, 0)</f>
        <v>63.802999999999997</v>
      </c>
      <c r="H668" s="10">
        <f>63.6662 * CHOOSE(CONTROL!$C$9, $D$9, 100%, $F$9) + CHOOSE(CONTROL!$C$27, 0.0021, 0)</f>
        <v>63.668300000000002</v>
      </c>
      <c r="I668" s="10">
        <f>63.6662 * CHOOSE(CONTROL!$C$9, $D$9, 100%, $F$9) + CHOOSE(CONTROL!$C$27, 0.0021, 0)</f>
        <v>63.668300000000002</v>
      </c>
      <c r="J668" s="10">
        <f>63.6662 * CHOOSE(CONTROL!$C$9, $D$9, 100%, $F$9) + CHOOSE(CONTROL!$C$27, 0.0021, 0)</f>
        <v>63.668300000000002</v>
      </c>
      <c r="K668" s="10">
        <f>63.6662 * CHOOSE(CONTROL!$C$9, $D$9, 100%, $F$9) + CHOOSE(CONTROL!$C$27, 0.0021, 0)</f>
        <v>63.668300000000002</v>
      </c>
      <c r="L668" s="10"/>
    </row>
    <row r="669" spans="1:12" ht="15.75" x14ac:dyDescent="0.25">
      <c r="A669" s="13">
        <v>61667</v>
      </c>
      <c r="B669" s="10">
        <f>65.6577 * CHOOSE(CONTROL!$C$9, $D$9, 100%, $F$9) + CHOOSE(CONTROL!$C$27, 0.0021, 0)</f>
        <v>65.659800000000004</v>
      </c>
      <c r="C669" s="10">
        <f>65.2254 * CHOOSE(CONTROL!$C$9, $D$9, 100%, $F$9) + CHOOSE(CONTROL!$C$27, 0.0021, 0)</f>
        <v>65.227499999999992</v>
      </c>
      <c r="D669" s="10">
        <f>65.2254 * CHOOSE(CONTROL!$C$9, $D$9, 100%, $F$9) + CHOOSE(CONTROL!$C$27, 0.0021, 0)</f>
        <v>65.227499999999992</v>
      </c>
      <c r="E669" s="10">
        <f>65.0888 * CHOOSE(CONTROL!$C$9, $D$9, 100%, $F$9) + CHOOSE(CONTROL!$C$27, 0.0021, 0)</f>
        <v>65.090900000000005</v>
      </c>
      <c r="F669" s="10">
        <f>65.0888 * CHOOSE(CONTROL!$C$9, $D$9, 100%, $F$9) + CHOOSE(CONTROL!$C$27, 0.0021, 0)</f>
        <v>65.090900000000005</v>
      </c>
      <c r="G669" s="10">
        <f>65.3601 * CHOOSE(CONTROL!$C$9, $D$9, 100%, $F$9) + CHOOSE(CONTROL!$C$27, 0.0021, 0)</f>
        <v>65.362200000000001</v>
      </c>
      <c r="H669" s="10">
        <f>65.2254 * CHOOSE(CONTROL!$C$9, $D$9, 100%, $F$9) + CHOOSE(CONTROL!$C$27, 0.0021, 0)</f>
        <v>65.227499999999992</v>
      </c>
      <c r="I669" s="10">
        <f>65.2254 * CHOOSE(CONTROL!$C$9, $D$9, 100%, $F$9) + CHOOSE(CONTROL!$C$27, 0.0021, 0)</f>
        <v>65.227499999999992</v>
      </c>
      <c r="J669" s="10">
        <f>65.2254 * CHOOSE(CONTROL!$C$9, $D$9, 100%, $F$9) + CHOOSE(CONTROL!$C$27, 0.0021, 0)</f>
        <v>65.227499999999992</v>
      </c>
      <c r="K669" s="10">
        <f>65.2254 * CHOOSE(CONTROL!$C$9, $D$9, 100%, $F$9) + CHOOSE(CONTROL!$C$27, 0.0021, 0)</f>
        <v>65.227499999999992</v>
      </c>
      <c r="L669" s="10"/>
    </row>
    <row r="670" spans="1:12" ht="15.75" x14ac:dyDescent="0.25">
      <c r="A670" s="13">
        <v>61697</v>
      </c>
      <c r="B670" s="10">
        <f>65.8041 * CHOOSE(CONTROL!$C$9, $D$9, 100%, $F$9) + CHOOSE(CONTROL!$C$27, 0.0021, 0)</f>
        <v>65.806200000000004</v>
      </c>
      <c r="C670" s="10">
        <f>65.3718 * CHOOSE(CONTROL!$C$9, $D$9, 100%, $F$9) + CHOOSE(CONTROL!$C$27, 0.0021, 0)</f>
        <v>65.373899999999992</v>
      </c>
      <c r="D670" s="10">
        <f>65.3718 * CHOOSE(CONTROL!$C$9, $D$9, 100%, $F$9) + CHOOSE(CONTROL!$C$27, 0.0021, 0)</f>
        <v>65.373899999999992</v>
      </c>
      <c r="E670" s="10">
        <f>65.2351 * CHOOSE(CONTROL!$C$9, $D$9, 100%, $F$9) + CHOOSE(CONTROL!$C$27, 0.0021, 0)</f>
        <v>65.237200000000001</v>
      </c>
      <c r="F670" s="10">
        <f>65.2351 * CHOOSE(CONTROL!$C$9, $D$9, 100%, $F$9) + CHOOSE(CONTROL!$C$27, 0.0021, 0)</f>
        <v>65.237200000000001</v>
      </c>
      <c r="G670" s="10">
        <f>65.5065 * CHOOSE(CONTROL!$C$9, $D$9, 100%, $F$9) + CHOOSE(CONTROL!$C$27, 0.0021, 0)</f>
        <v>65.508600000000001</v>
      </c>
      <c r="H670" s="10">
        <f>65.3718 * CHOOSE(CONTROL!$C$9, $D$9, 100%, $F$9) + CHOOSE(CONTROL!$C$27, 0.0021, 0)</f>
        <v>65.373899999999992</v>
      </c>
      <c r="I670" s="10">
        <f>65.3718 * CHOOSE(CONTROL!$C$9, $D$9, 100%, $F$9) + CHOOSE(CONTROL!$C$27, 0.0021, 0)</f>
        <v>65.373899999999992</v>
      </c>
      <c r="J670" s="10">
        <f>65.3718 * CHOOSE(CONTROL!$C$9, $D$9, 100%, $F$9) + CHOOSE(CONTROL!$C$27, 0.0021, 0)</f>
        <v>65.373899999999992</v>
      </c>
      <c r="K670" s="10">
        <f>65.3718 * CHOOSE(CONTROL!$C$9, $D$9, 100%, $F$9) + CHOOSE(CONTROL!$C$27, 0.0021, 0)</f>
        <v>65.373899999999992</v>
      </c>
      <c r="L670" s="10"/>
    </row>
    <row r="671" spans="1:12" ht="15.75" x14ac:dyDescent="0.25">
      <c r="A671" s="13">
        <v>61728</v>
      </c>
      <c r="B671" s="10">
        <f>64.5587 * CHOOSE(CONTROL!$C$9, $D$9, 100%, $F$9) + CHOOSE(CONTROL!$C$27, 0.0021, 0)</f>
        <v>64.5608</v>
      </c>
      <c r="C671" s="10">
        <f>64.1265 * CHOOSE(CONTROL!$C$9, $D$9, 100%, $F$9) + CHOOSE(CONTROL!$C$27, 0.0021, 0)</f>
        <v>64.128599999999992</v>
      </c>
      <c r="D671" s="10">
        <f>64.1265 * CHOOSE(CONTROL!$C$9, $D$9, 100%, $F$9) + CHOOSE(CONTROL!$C$27, 0.0021, 0)</f>
        <v>64.128599999999992</v>
      </c>
      <c r="E671" s="10">
        <f>63.9898 * CHOOSE(CONTROL!$C$9, $D$9, 100%, $F$9) + CHOOSE(CONTROL!$C$27, 0.0021, 0)</f>
        <v>63.991900000000001</v>
      </c>
      <c r="F671" s="10">
        <f>63.9898 * CHOOSE(CONTROL!$C$9, $D$9, 100%, $F$9) + CHOOSE(CONTROL!$C$27, 0.0021, 0)</f>
        <v>63.991900000000001</v>
      </c>
      <c r="G671" s="10">
        <f>64.2612 * CHOOSE(CONTROL!$C$9, $D$9, 100%, $F$9) + CHOOSE(CONTROL!$C$27, 0.0021, 0)</f>
        <v>64.263300000000001</v>
      </c>
      <c r="H671" s="10">
        <f>64.1265 * CHOOSE(CONTROL!$C$9, $D$9, 100%, $F$9) + CHOOSE(CONTROL!$C$27, 0.0021, 0)</f>
        <v>64.128599999999992</v>
      </c>
      <c r="I671" s="10">
        <f>64.1265 * CHOOSE(CONTROL!$C$9, $D$9, 100%, $F$9) + CHOOSE(CONTROL!$C$27, 0.0021, 0)</f>
        <v>64.128599999999992</v>
      </c>
      <c r="J671" s="10">
        <f>64.1265 * CHOOSE(CONTROL!$C$9, $D$9, 100%, $F$9) + CHOOSE(CONTROL!$C$27, 0.0021, 0)</f>
        <v>64.128599999999992</v>
      </c>
      <c r="K671" s="10">
        <f>64.1265 * CHOOSE(CONTROL!$C$9, $D$9, 100%, $F$9) + CHOOSE(CONTROL!$C$27, 0.0021, 0)</f>
        <v>64.128599999999992</v>
      </c>
      <c r="L671" s="10"/>
    </row>
    <row r="672" spans="1:12" ht="15.75" x14ac:dyDescent="0.25">
      <c r="A672" s="13">
        <v>61759</v>
      </c>
      <c r="B672" s="10">
        <f>63.6053 * CHOOSE(CONTROL!$C$9, $D$9, 100%, $F$9) + CHOOSE(CONTROL!$C$27, 0.0021, 0)</f>
        <v>63.607399999999998</v>
      </c>
      <c r="C672" s="10">
        <f>63.173 * CHOOSE(CONTROL!$C$9, $D$9, 100%, $F$9) + CHOOSE(CONTROL!$C$27, 0.0021, 0)</f>
        <v>63.1751</v>
      </c>
      <c r="D672" s="10">
        <f>63.173 * CHOOSE(CONTROL!$C$9, $D$9, 100%, $F$9) + CHOOSE(CONTROL!$C$27, 0.0021, 0)</f>
        <v>63.1751</v>
      </c>
      <c r="E672" s="10">
        <f>63.0364 * CHOOSE(CONTROL!$C$9, $D$9, 100%, $F$9) + CHOOSE(CONTROL!$C$27, 0.0021, 0)</f>
        <v>63.038499999999999</v>
      </c>
      <c r="F672" s="10">
        <f>63.0364 * CHOOSE(CONTROL!$C$9, $D$9, 100%, $F$9) + CHOOSE(CONTROL!$C$27, 0.0021, 0)</f>
        <v>63.038499999999999</v>
      </c>
      <c r="G672" s="10">
        <f>63.3078 * CHOOSE(CONTROL!$C$9, $D$9, 100%, $F$9) + CHOOSE(CONTROL!$C$27, 0.0021, 0)</f>
        <v>63.309899999999999</v>
      </c>
      <c r="H672" s="10">
        <f>63.173 * CHOOSE(CONTROL!$C$9, $D$9, 100%, $F$9) + CHOOSE(CONTROL!$C$27, 0.0021, 0)</f>
        <v>63.1751</v>
      </c>
      <c r="I672" s="10">
        <f>63.173 * CHOOSE(CONTROL!$C$9, $D$9, 100%, $F$9) + CHOOSE(CONTROL!$C$27, 0.0021, 0)</f>
        <v>63.1751</v>
      </c>
      <c r="J672" s="10">
        <f>63.173 * CHOOSE(CONTROL!$C$9, $D$9, 100%, $F$9) + CHOOSE(CONTROL!$C$27, 0.0021, 0)</f>
        <v>63.1751</v>
      </c>
      <c r="K672" s="10">
        <f>63.173 * CHOOSE(CONTROL!$C$9, $D$9, 100%, $F$9) + CHOOSE(CONTROL!$C$27, 0.0021, 0)</f>
        <v>63.1751</v>
      </c>
      <c r="L672" s="10"/>
    </row>
    <row r="673" spans="1:12" ht="15.75" x14ac:dyDescent="0.25">
      <c r="A673" s="13">
        <v>61787</v>
      </c>
      <c r="B673" s="10">
        <f>61.871 * CHOOSE(CONTROL!$C$9, $D$9, 100%, $F$9) + CHOOSE(CONTROL!$C$27, 0.0021, 0)</f>
        <v>61.873100000000001</v>
      </c>
      <c r="C673" s="10">
        <f>61.4388 * CHOOSE(CONTROL!$C$9, $D$9, 100%, $F$9) + CHOOSE(CONTROL!$C$27, 0.0021, 0)</f>
        <v>61.440899999999999</v>
      </c>
      <c r="D673" s="10">
        <f>61.4388 * CHOOSE(CONTROL!$C$9, $D$9, 100%, $F$9) + CHOOSE(CONTROL!$C$27, 0.0021, 0)</f>
        <v>61.440899999999999</v>
      </c>
      <c r="E673" s="10">
        <f>61.3021 * CHOOSE(CONTROL!$C$9, $D$9, 100%, $F$9) + CHOOSE(CONTROL!$C$27, 0.0021, 0)</f>
        <v>61.304200000000002</v>
      </c>
      <c r="F673" s="10">
        <f>61.3021 * CHOOSE(CONTROL!$C$9, $D$9, 100%, $F$9) + CHOOSE(CONTROL!$C$27, 0.0021, 0)</f>
        <v>61.304200000000002</v>
      </c>
      <c r="G673" s="10">
        <f>61.5735 * CHOOSE(CONTROL!$C$9, $D$9, 100%, $F$9) + CHOOSE(CONTROL!$C$27, 0.0021, 0)</f>
        <v>61.575600000000001</v>
      </c>
      <c r="H673" s="10">
        <f>61.4388 * CHOOSE(CONTROL!$C$9, $D$9, 100%, $F$9) + CHOOSE(CONTROL!$C$27, 0.0021, 0)</f>
        <v>61.440899999999999</v>
      </c>
      <c r="I673" s="10">
        <f>61.4388 * CHOOSE(CONTROL!$C$9, $D$9, 100%, $F$9) + CHOOSE(CONTROL!$C$27, 0.0021, 0)</f>
        <v>61.440899999999999</v>
      </c>
      <c r="J673" s="10">
        <f>61.4388 * CHOOSE(CONTROL!$C$9, $D$9, 100%, $F$9) + CHOOSE(CONTROL!$C$27, 0.0021, 0)</f>
        <v>61.440899999999999</v>
      </c>
      <c r="K673" s="10">
        <f>61.4388 * CHOOSE(CONTROL!$C$9, $D$9, 100%, $F$9) + CHOOSE(CONTROL!$C$27, 0.0021, 0)</f>
        <v>61.440899999999999</v>
      </c>
      <c r="L673" s="10"/>
    </row>
    <row r="674" spans="1:12" ht="15.75" x14ac:dyDescent="0.25">
      <c r="A674" s="13">
        <v>61818</v>
      </c>
      <c r="B674" s="10">
        <f>61.1551 * CHOOSE(CONTROL!$C$9, $D$9, 100%, $F$9) + CHOOSE(CONTROL!$C$27, 0.0021, 0)</f>
        <v>61.157199999999996</v>
      </c>
      <c r="C674" s="10">
        <f>60.7229 * CHOOSE(CONTROL!$C$9, $D$9, 100%, $F$9) + CHOOSE(CONTROL!$C$27, 0.0021, 0)</f>
        <v>60.725000000000001</v>
      </c>
      <c r="D674" s="10">
        <f>60.7229 * CHOOSE(CONTROL!$C$9, $D$9, 100%, $F$9) + CHOOSE(CONTROL!$C$27, 0.0021, 0)</f>
        <v>60.725000000000001</v>
      </c>
      <c r="E674" s="10">
        <f>60.5862 * CHOOSE(CONTROL!$C$9, $D$9, 100%, $F$9) + CHOOSE(CONTROL!$C$27, 0.0021, 0)</f>
        <v>60.588299999999997</v>
      </c>
      <c r="F674" s="10">
        <f>60.5862 * CHOOSE(CONTROL!$C$9, $D$9, 100%, $F$9) + CHOOSE(CONTROL!$C$27, 0.0021, 0)</f>
        <v>60.588299999999997</v>
      </c>
      <c r="G674" s="10">
        <f>60.8576 * CHOOSE(CONTROL!$C$9, $D$9, 100%, $F$9) + CHOOSE(CONTROL!$C$27, 0.0021, 0)</f>
        <v>60.859699999999997</v>
      </c>
      <c r="H674" s="10">
        <f>60.7229 * CHOOSE(CONTROL!$C$9, $D$9, 100%, $F$9) + CHOOSE(CONTROL!$C$27, 0.0021, 0)</f>
        <v>60.725000000000001</v>
      </c>
      <c r="I674" s="10">
        <f>60.7229 * CHOOSE(CONTROL!$C$9, $D$9, 100%, $F$9) + CHOOSE(CONTROL!$C$27, 0.0021, 0)</f>
        <v>60.725000000000001</v>
      </c>
      <c r="J674" s="10">
        <f>60.7229 * CHOOSE(CONTROL!$C$9, $D$9, 100%, $F$9) + CHOOSE(CONTROL!$C$27, 0.0021, 0)</f>
        <v>60.725000000000001</v>
      </c>
      <c r="K674" s="10">
        <f>60.7229 * CHOOSE(CONTROL!$C$9, $D$9, 100%, $F$9) + CHOOSE(CONTROL!$C$27, 0.0021, 0)</f>
        <v>60.725000000000001</v>
      </c>
      <c r="L674" s="10"/>
    </row>
    <row r="675" spans="1:12" ht="15.75" x14ac:dyDescent="0.25">
      <c r="A675" s="13">
        <v>61848</v>
      </c>
      <c r="B675" s="10">
        <f>60.3003 * CHOOSE(CONTROL!$C$9, $D$9, 100%, $F$9) + CHOOSE(CONTROL!$C$27, 0.0021, 0)</f>
        <v>60.302399999999999</v>
      </c>
      <c r="C675" s="10">
        <f>59.8681 * CHOOSE(CONTROL!$C$9, $D$9, 100%, $F$9) + CHOOSE(CONTROL!$C$27, 0.0021, 0)</f>
        <v>59.870199999999997</v>
      </c>
      <c r="D675" s="10">
        <f>59.8681 * CHOOSE(CONTROL!$C$9, $D$9, 100%, $F$9) + CHOOSE(CONTROL!$C$27, 0.0021, 0)</f>
        <v>59.870199999999997</v>
      </c>
      <c r="E675" s="10">
        <f>59.7314 * CHOOSE(CONTROL!$C$9, $D$9, 100%, $F$9) + CHOOSE(CONTROL!$C$27, 0.0021, 0)</f>
        <v>59.733499999999999</v>
      </c>
      <c r="F675" s="10">
        <f>59.7314 * CHOOSE(CONTROL!$C$9, $D$9, 100%, $F$9) + CHOOSE(CONTROL!$C$27, 0.0021, 0)</f>
        <v>59.733499999999999</v>
      </c>
      <c r="G675" s="10">
        <f>60.0028 * CHOOSE(CONTROL!$C$9, $D$9, 100%, $F$9) + CHOOSE(CONTROL!$C$27, 0.0021, 0)</f>
        <v>60.004899999999999</v>
      </c>
      <c r="H675" s="10">
        <f>59.8681 * CHOOSE(CONTROL!$C$9, $D$9, 100%, $F$9) + CHOOSE(CONTROL!$C$27, 0.0021, 0)</f>
        <v>59.870199999999997</v>
      </c>
      <c r="I675" s="10">
        <f>59.8681 * CHOOSE(CONTROL!$C$9, $D$9, 100%, $F$9) + CHOOSE(CONTROL!$C$27, 0.0021, 0)</f>
        <v>59.870199999999997</v>
      </c>
      <c r="J675" s="10">
        <f>59.8681 * CHOOSE(CONTROL!$C$9, $D$9, 100%, $F$9) + CHOOSE(CONTROL!$C$27, 0.0021, 0)</f>
        <v>59.870199999999997</v>
      </c>
      <c r="K675" s="10">
        <f>59.8681 * CHOOSE(CONTROL!$C$9, $D$9, 100%, $F$9) + CHOOSE(CONTROL!$C$27, 0.0021, 0)</f>
        <v>59.870199999999997</v>
      </c>
      <c r="L675" s="10"/>
    </row>
    <row r="676" spans="1:12" ht="15.75" x14ac:dyDescent="0.25">
      <c r="A676" s="13">
        <v>61879</v>
      </c>
      <c r="B676" s="10">
        <f>61.5185 * CHOOSE(CONTROL!$C$9, $D$9, 100%, $F$9) + CHOOSE(CONTROL!$C$27, 0.0021, 0)</f>
        <v>61.520600000000002</v>
      </c>
      <c r="C676" s="10">
        <f>61.0863 * CHOOSE(CONTROL!$C$9, $D$9, 100%, $F$9) + CHOOSE(CONTROL!$C$27, 0.0021, 0)</f>
        <v>61.0884</v>
      </c>
      <c r="D676" s="10">
        <f>61.0863 * CHOOSE(CONTROL!$C$9, $D$9, 100%, $F$9) + CHOOSE(CONTROL!$C$27, 0.0021, 0)</f>
        <v>61.0884</v>
      </c>
      <c r="E676" s="10">
        <f>60.9496 * CHOOSE(CONTROL!$C$9, $D$9, 100%, $F$9) + CHOOSE(CONTROL!$C$27, 0.0021, 0)</f>
        <v>60.951699999999995</v>
      </c>
      <c r="F676" s="10">
        <f>60.9496 * CHOOSE(CONTROL!$C$9, $D$9, 100%, $F$9) + CHOOSE(CONTROL!$C$27, 0.0021, 0)</f>
        <v>60.951699999999995</v>
      </c>
      <c r="G676" s="10">
        <f>61.221 * CHOOSE(CONTROL!$C$9, $D$9, 100%, $F$9) + CHOOSE(CONTROL!$C$27, 0.0021, 0)</f>
        <v>61.223099999999995</v>
      </c>
      <c r="H676" s="10">
        <f>61.0863 * CHOOSE(CONTROL!$C$9, $D$9, 100%, $F$9) + CHOOSE(CONTROL!$C$27, 0.0021, 0)</f>
        <v>61.0884</v>
      </c>
      <c r="I676" s="10">
        <f>61.0863 * CHOOSE(CONTROL!$C$9, $D$9, 100%, $F$9) + CHOOSE(CONTROL!$C$27, 0.0021, 0)</f>
        <v>61.0884</v>
      </c>
      <c r="J676" s="10">
        <f>61.0863 * CHOOSE(CONTROL!$C$9, $D$9, 100%, $F$9) + CHOOSE(CONTROL!$C$27, 0.0021, 0)</f>
        <v>61.0884</v>
      </c>
      <c r="K676" s="10">
        <f>61.0863 * CHOOSE(CONTROL!$C$9, $D$9, 100%, $F$9) + CHOOSE(CONTROL!$C$27, 0.0021, 0)</f>
        <v>61.0884</v>
      </c>
      <c r="L676" s="10"/>
    </row>
    <row r="677" spans="1:12" ht="15.75" x14ac:dyDescent="0.25">
      <c r="A677" s="13">
        <v>61909</v>
      </c>
      <c r="B677" s="10">
        <f>62.2482 * CHOOSE(CONTROL!$C$9, $D$9, 100%, $F$9) + CHOOSE(CONTROL!$C$27, 0.0021, 0)</f>
        <v>62.250299999999996</v>
      </c>
      <c r="C677" s="10">
        <f>61.8159 * CHOOSE(CONTROL!$C$9, $D$9, 100%, $F$9) + CHOOSE(CONTROL!$C$27, 0.0021, 0)</f>
        <v>61.817999999999998</v>
      </c>
      <c r="D677" s="10">
        <f>61.8159 * CHOOSE(CONTROL!$C$9, $D$9, 100%, $F$9) + CHOOSE(CONTROL!$C$27, 0.0021, 0)</f>
        <v>61.817999999999998</v>
      </c>
      <c r="E677" s="10">
        <f>61.6793 * CHOOSE(CONTROL!$C$9, $D$9, 100%, $F$9) + CHOOSE(CONTROL!$C$27, 0.0021, 0)</f>
        <v>61.681399999999996</v>
      </c>
      <c r="F677" s="10">
        <f>61.6793 * CHOOSE(CONTROL!$C$9, $D$9, 100%, $F$9) + CHOOSE(CONTROL!$C$27, 0.0021, 0)</f>
        <v>61.681399999999996</v>
      </c>
      <c r="G677" s="10">
        <f>61.9506 * CHOOSE(CONTROL!$C$9, $D$9, 100%, $F$9) + CHOOSE(CONTROL!$C$27, 0.0021, 0)</f>
        <v>61.9527</v>
      </c>
      <c r="H677" s="10">
        <f>61.8159 * CHOOSE(CONTROL!$C$9, $D$9, 100%, $F$9) + CHOOSE(CONTROL!$C$27, 0.0021, 0)</f>
        <v>61.817999999999998</v>
      </c>
      <c r="I677" s="10">
        <f>61.8159 * CHOOSE(CONTROL!$C$9, $D$9, 100%, $F$9) + CHOOSE(CONTROL!$C$27, 0.0021, 0)</f>
        <v>61.817999999999998</v>
      </c>
      <c r="J677" s="10">
        <f>61.8159 * CHOOSE(CONTROL!$C$9, $D$9, 100%, $F$9) + CHOOSE(CONTROL!$C$27, 0.0021, 0)</f>
        <v>61.817999999999998</v>
      </c>
      <c r="K677" s="10">
        <f>61.8159 * CHOOSE(CONTROL!$C$9, $D$9, 100%, $F$9) + CHOOSE(CONTROL!$C$27, 0.0021, 0)</f>
        <v>61.817999999999998</v>
      </c>
      <c r="L677" s="10"/>
    </row>
    <row r="678" spans="1:12" ht="15.75" x14ac:dyDescent="0.25">
      <c r="A678" s="13">
        <v>61940</v>
      </c>
      <c r="B678" s="10">
        <f>63.4518 * CHOOSE(CONTROL!$C$9, $D$9, 100%, $F$9) + CHOOSE(CONTROL!$C$27, 0.0021, 0)</f>
        <v>63.453899999999997</v>
      </c>
      <c r="C678" s="10">
        <f>63.0196 * CHOOSE(CONTROL!$C$9, $D$9, 100%, $F$9) + CHOOSE(CONTROL!$C$27, 0.0021, 0)</f>
        <v>63.021699999999996</v>
      </c>
      <c r="D678" s="10">
        <f>63.0196 * CHOOSE(CONTROL!$C$9, $D$9, 100%, $F$9) + CHOOSE(CONTROL!$C$27, 0.0021, 0)</f>
        <v>63.021699999999996</v>
      </c>
      <c r="E678" s="10">
        <f>62.8829 * CHOOSE(CONTROL!$C$9, $D$9, 100%, $F$9) + CHOOSE(CONTROL!$C$27, 0.0021, 0)</f>
        <v>62.884999999999998</v>
      </c>
      <c r="F678" s="10">
        <f>62.8829 * CHOOSE(CONTROL!$C$9, $D$9, 100%, $F$9) + CHOOSE(CONTROL!$C$27, 0.0021, 0)</f>
        <v>62.884999999999998</v>
      </c>
      <c r="G678" s="10">
        <f>63.1543 * CHOOSE(CONTROL!$C$9, $D$9, 100%, $F$9) + CHOOSE(CONTROL!$C$27, 0.0021, 0)</f>
        <v>63.156399999999998</v>
      </c>
      <c r="H678" s="10">
        <f>63.0196 * CHOOSE(CONTROL!$C$9, $D$9, 100%, $F$9) + CHOOSE(CONTROL!$C$27, 0.0021, 0)</f>
        <v>63.021699999999996</v>
      </c>
      <c r="I678" s="10">
        <f>63.0196 * CHOOSE(CONTROL!$C$9, $D$9, 100%, $F$9) + CHOOSE(CONTROL!$C$27, 0.0021, 0)</f>
        <v>63.021699999999996</v>
      </c>
      <c r="J678" s="10">
        <f>63.0196 * CHOOSE(CONTROL!$C$9, $D$9, 100%, $F$9) + CHOOSE(CONTROL!$C$27, 0.0021, 0)</f>
        <v>63.021699999999996</v>
      </c>
      <c r="K678" s="10">
        <f>63.0196 * CHOOSE(CONTROL!$C$9, $D$9, 100%, $F$9) + CHOOSE(CONTROL!$C$27, 0.0021, 0)</f>
        <v>63.021699999999996</v>
      </c>
      <c r="L678" s="10"/>
    </row>
    <row r="679" spans="1:12" ht="15.75" x14ac:dyDescent="0.25">
      <c r="A679" s="13">
        <v>61971</v>
      </c>
      <c r="B679" s="10">
        <f>63.8192 * CHOOSE(CONTROL!$C$9, $D$9, 100%, $F$9) + CHOOSE(CONTROL!$C$27, 0.0021, 0)</f>
        <v>63.821300000000001</v>
      </c>
      <c r="C679" s="10">
        <f>63.387 * CHOOSE(CONTROL!$C$9, $D$9, 100%, $F$9) + CHOOSE(CONTROL!$C$27, 0.0021, 0)</f>
        <v>63.389099999999999</v>
      </c>
      <c r="D679" s="10">
        <f>63.387 * CHOOSE(CONTROL!$C$9, $D$9, 100%, $F$9) + CHOOSE(CONTROL!$C$27, 0.0021, 0)</f>
        <v>63.389099999999999</v>
      </c>
      <c r="E679" s="10">
        <f>63.2503 * CHOOSE(CONTROL!$C$9, $D$9, 100%, $F$9) + CHOOSE(CONTROL!$C$27, 0.0021, 0)</f>
        <v>63.252400000000002</v>
      </c>
      <c r="F679" s="10">
        <f>63.2503 * CHOOSE(CONTROL!$C$9, $D$9, 100%, $F$9) + CHOOSE(CONTROL!$C$27, 0.0021, 0)</f>
        <v>63.252400000000002</v>
      </c>
      <c r="G679" s="10">
        <f>63.5217 * CHOOSE(CONTROL!$C$9, $D$9, 100%, $F$9) + CHOOSE(CONTROL!$C$27, 0.0021, 0)</f>
        <v>63.523800000000001</v>
      </c>
      <c r="H679" s="10">
        <f>63.387 * CHOOSE(CONTROL!$C$9, $D$9, 100%, $F$9) + CHOOSE(CONTROL!$C$27, 0.0021, 0)</f>
        <v>63.389099999999999</v>
      </c>
      <c r="I679" s="10">
        <f>63.387 * CHOOSE(CONTROL!$C$9, $D$9, 100%, $F$9) + CHOOSE(CONTROL!$C$27, 0.0021, 0)</f>
        <v>63.389099999999999</v>
      </c>
      <c r="J679" s="10">
        <f>63.387 * CHOOSE(CONTROL!$C$9, $D$9, 100%, $F$9) + CHOOSE(CONTROL!$C$27, 0.0021, 0)</f>
        <v>63.389099999999999</v>
      </c>
      <c r="K679" s="10">
        <f>63.387 * CHOOSE(CONTROL!$C$9, $D$9, 100%, $F$9) + CHOOSE(CONTROL!$C$27, 0.0021, 0)</f>
        <v>63.389099999999999</v>
      </c>
      <c r="L679" s="10"/>
    </row>
    <row r="680" spans="1:12" ht="15.75" x14ac:dyDescent="0.25">
      <c r="A680" s="13">
        <v>62001</v>
      </c>
      <c r="B680" s="10">
        <f>65.0704 * CHOOSE(CONTROL!$C$9, $D$9, 100%, $F$9) + CHOOSE(CONTROL!$C$27, 0.0021, 0)</f>
        <v>65.072500000000005</v>
      </c>
      <c r="C680" s="10">
        <f>64.6381 * CHOOSE(CONTROL!$C$9, $D$9, 100%, $F$9) + CHOOSE(CONTROL!$C$27, 0.0021, 0)</f>
        <v>64.640199999999993</v>
      </c>
      <c r="D680" s="10">
        <f>64.6381 * CHOOSE(CONTROL!$C$9, $D$9, 100%, $F$9) + CHOOSE(CONTROL!$C$27, 0.0021, 0)</f>
        <v>64.640199999999993</v>
      </c>
      <c r="E680" s="10">
        <f>64.5015 * CHOOSE(CONTROL!$C$9, $D$9, 100%, $F$9) + CHOOSE(CONTROL!$C$27, 0.0021, 0)</f>
        <v>64.503599999999992</v>
      </c>
      <c r="F680" s="10">
        <f>64.5015 * CHOOSE(CONTROL!$C$9, $D$9, 100%, $F$9) + CHOOSE(CONTROL!$C$27, 0.0021, 0)</f>
        <v>64.503599999999992</v>
      </c>
      <c r="G680" s="10">
        <f>64.7728 * CHOOSE(CONTROL!$C$9, $D$9, 100%, $F$9) + CHOOSE(CONTROL!$C$27, 0.0021, 0)</f>
        <v>64.774900000000002</v>
      </c>
      <c r="H680" s="10">
        <f>64.6381 * CHOOSE(CONTROL!$C$9, $D$9, 100%, $F$9) + CHOOSE(CONTROL!$C$27, 0.0021, 0)</f>
        <v>64.640199999999993</v>
      </c>
      <c r="I680" s="10">
        <f>64.6381 * CHOOSE(CONTROL!$C$9, $D$9, 100%, $F$9) + CHOOSE(CONTROL!$C$27, 0.0021, 0)</f>
        <v>64.640199999999993</v>
      </c>
      <c r="J680" s="10">
        <f>64.6381 * CHOOSE(CONTROL!$C$9, $D$9, 100%, $F$9) + CHOOSE(CONTROL!$C$27, 0.0021, 0)</f>
        <v>64.640199999999993</v>
      </c>
      <c r="K680" s="10">
        <f>64.6381 * CHOOSE(CONTROL!$C$9, $D$9, 100%, $F$9) + CHOOSE(CONTROL!$C$27, 0.0021, 0)</f>
        <v>64.640199999999993</v>
      </c>
      <c r="L680" s="10"/>
    </row>
    <row r="681" spans="1:12" ht="15.75" x14ac:dyDescent="0.25">
      <c r="A681" s="13">
        <v>62032</v>
      </c>
      <c r="B681" s="10">
        <f>66.6541 * CHOOSE(CONTROL!$C$9, $D$9, 100%, $F$9) + CHOOSE(CONTROL!$C$27, 0.0021, 0)</f>
        <v>66.656199999999998</v>
      </c>
      <c r="C681" s="10">
        <f>66.2218 * CHOOSE(CONTROL!$C$9, $D$9, 100%, $F$9) + CHOOSE(CONTROL!$C$27, 0.0021, 0)</f>
        <v>66.2239</v>
      </c>
      <c r="D681" s="10">
        <f>66.2218 * CHOOSE(CONTROL!$C$9, $D$9, 100%, $F$9) + CHOOSE(CONTROL!$C$27, 0.0021, 0)</f>
        <v>66.2239</v>
      </c>
      <c r="E681" s="10">
        <f>66.0852 * CHOOSE(CONTROL!$C$9, $D$9, 100%, $F$9) + CHOOSE(CONTROL!$C$27, 0.0021, 0)</f>
        <v>66.087299999999999</v>
      </c>
      <c r="F681" s="10">
        <f>66.0852 * CHOOSE(CONTROL!$C$9, $D$9, 100%, $F$9) + CHOOSE(CONTROL!$C$27, 0.0021, 0)</f>
        <v>66.087299999999999</v>
      </c>
      <c r="G681" s="10">
        <f>66.3566 * CHOOSE(CONTROL!$C$9, $D$9, 100%, $F$9) + CHOOSE(CONTROL!$C$27, 0.0021, 0)</f>
        <v>66.358699999999999</v>
      </c>
      <c r="H681" s="10">
        <f>66.2218 * CHOOSE(CONTROL!$C$9, $D$9, 100%, $F$9) + CHOOSE(CONTROL!$C$27, 0.0021, 0)</f>
        <v>66.2239</v>
      </c>
      <c r="I681" s="10">
        <f>66.2218 * CHOOSE(CONTROL!$C$9, $D$9, 100%, $F$9) + CHOOSE(CONTROL!$C$27, 0.0021, 0)</f>
        <v>66.2239</v>
      </c>
      <c r="J681" s="10">
        <f>66.2218 * CHOOSE(CONTROL!$C$9, $D$9, 100%, $F$9) + CHOOSE(CONTROL!$C$27, 0.0021, 0)</f>
        <v>66.2239</v>
      </c>
      <c r="K681" s="10">
        <f>66.2218 * CHOOSE(CONTROL!$C$9, $D$9, 100%, $F$9) + CHOOSE(CONTROL!$C$27, 0.0021, 0)</f>
        <v>66.2239</v>
      </c>
      <c r="L681" s="10"/>
    </row>
    <row r="682" spans="1:12" ht="15.75" x14ac:dyDescent="0.25">
      <c r="A682" s="13">
        <v>62062</v>
      </c>
      <c r="B682" s="10">
        <f>66.8028 * CHOOSE(CONTROL!$C$9, $D$9, 100%, $F$9) + CHOOSE(CONTROL!$C$27, 0.0021, 0)</f>
        <v>66.804900000000004</v>
      </c>
      <c r="C682" s="10">
        <f>66.3705 * CHOOSE(CONTROL!$C$9, $D$9, 100%, $F$9) + CHOOSE(CONTROL!$C$27, 0.0021, 0)</f>
        <v>66.372600000000006</v>
      </c>
      <c r="D682" s="10">
        <f>66.3705 * CHOOSE(CONTROL!$C$9, $D$9, 100%, $F$9) + CHOOSE(CONTROL!$C$27, 0.0021, 0)</f>
        <v>66.372600000000006</v>
      </c>
      <c r="E682" s="10">
        <f>66.2339 * CHOOSE(CONTROL!$C$9, $D$9, 100%, $F$9) + CHOOSE(CONTROL!$C$27, 0.0021, 0)</f>
        <v>66.236000000000004</v>
      </c>
      <c r="F682" s="10">
        <f>66.2339 * CHOOSE(CONTROL!$C$9, $D$9, 100%, $F$9) + CHOOSE(CONTROL!$C$27, 0.0021, 0)</f>
        <v>66.236000000000004</v>
      </c>
      <c r="G682" s="10">
        <f>66.5052 * CHOOSE(CONTROL!$C$9, $D$9, 100%, $F$9) + CHOOSE(CONTROL!$C$27, 0.0021, 0)</f>
        <v>66.507300000000001</v>
      </c>
      <c r="H682" s="10">
        <f>66.3705 * CHOOSE(CONTROL!$C$9, $D$9, 100%, $F$9) + CHOOSE(CONTROL!$C$27, 0.0021, 0)</f>
        <v>66.372600000000006</v>
      </c>
      <c r="I682" s="10">
        <f>66.3705 * CHOOSE(CONTROL!$C$9, $D$9, 100%, $F$9) + CHOOSE(CONTROL!$C$27, 0.0021, 0)</f>
        <v>66.372600000000006</v>
      </c>
      <c r="J682" s="10">
        <f>66.3705 * CHOOSE(CONTROL!$C$9, $D$9, 100%, $F$9) + CHOOSE(CONTROL!$C$27, 0.0021, 0)</f>
        <v>66.372600000000006</v>
      </c>
      <c r="K682" s="10">
        <f>66.3705 * CHOOSE(CONTROL!$C$9, $D$9, 100%, $F$9) + CHOOSE(CONTROL!$C$27, 0.0021, 0)</f>
        <v>66.372600000000006</v>
      </c>
      <c r="L682" s="10"/>
    </row>
    <row r="683" spans="1:12" ht="15.75" x14ac:dyDescent="0.25">
      <c r="A683" s="13">
        <v>62093</v>
      </c>
      <c r="B683" s="10">
        <f>65.5379 * CHOOSE(CONTROL!$C$9, $D$9, 100%, $F$9) + CHOOSE(CONTROL!$C$27, 0.0021, 0)</f>
        <v>65.539999999999992</v>
      </c>
      <c r="C683" s="10">
        <f>65.1056 * CHOOSE(CONTROL!$C$9, $D$9, 100%, $F$9) + CHOOSE(CONTROL!$C$27, 0.0021, 0)</f>
        <v>65.107699999999994</v>
      </c>
      <c r="D683" s="10">
        <f>65.1056 * CHOOSE(CONTROL!$C$9, $D$9, 100%, $F$9) + CHOOSE(CONTROL!$C$27, 0.0021, 0)</f>
        <v>65.107699999999994</v>
      </c>
      <c r="E683" s="10">
        <f>64.969 * CHOOSE(CONTROL!$C$9, $D$9, 100%, $F$9) + CHOOSE(CONTROL!$C$27, 0.0021, 0)</f>
        <v>64.971099999999993</v>
      </c>
      <c r="F683" s="10">
        <f>64.969 * CHOOSE(CONTROL!$C$9, $D$9, 100%, $F$9) + CHOOSE(CONTROL!$C$27, 0.0021, 0)</f>
        <v>64.971099999999993</v>
      </c>
      <c r="G683" s="10">
        <f>65.2403 * CHOOSE(CONTROL!$C$9, $D$9, 100%, $F$9) + CHOOSE(CONTROL!$C$27, 0.0021, 0)</f>
        <v>65.242400000000004</v>
      </c>
      <c r="H683" s="10">
        <f>65.1056 * CHOOSE(CONTROL!$C$9, $D$9, 100%, $F$9) + CHOOSE(CONTROL!$C$27, 0.0021, 0)</f>
        <v>65.107699999999994</v>
      </c>
      <c r="I683" s="10">
        <f>65.1056 * CHOOSE(CONTROL!$C$9, $D$9, 100%, $F$9) + CHOOSE(CONTROL!$C$27, 0.0021, 0)</f>
        <v>65.107699999999994</v>
      </c>
      <c r="J683" s="10">
        <f>65.1056 * CHOOSE(CONTROL!$C$9, $D$9, 100%, $F$9) + CHOOSE(CONTROL!$C$27, 0.0021, 0)</f>
        <v>65.107699999999994</v>
      </c>
      <c r="K683" s="10">
        <f>65.1056 * CHOOSE(CONTROL!$C$9, $D$9, 100%, $F$9) + CHOOSE(CONTROL!$C$27, 0.0021, 0)</f>
        <v>65.107699999999994</v>
      </c>
      <c r="L683" s="10"/>
    </row>
    <row r="684" spans="1:12" ht="15.75" x14ac:dyDescent="0.25">
      <c r="A684" s="13">
        <v>62124</v>
      </c>
      <c r="B684" s="10">
        <f>64.5694 * CHOOSE(CONTROL!$C$9, $D$9, 100%, $F$9) + CHOOSE(CONTROL!$C$27, 0.0021, 0)</f>
        <v>64.5715</v>
      </c>
      <c r="C684" s="10">
        <f>64.1372 * CHOOSE(CONTROL!$C$9, $D$9, 100%, $F$9) + CHOOSE(CONTROL!$C$27, 0.0021, 0)</f>
        <v>64.139300000000006</v>
      </c>
      <c r="D684" s="10">
        <f>64.1372 * CHOOSE(CONTROL!$C$9, $D$9, 100%, $F$9) + CHOOSE(CONTROL!$C$27, 0.0021, 0)</f>
        <v>64.139300000000006</v>
      </c>
      <c r="E684" s="10">
        <f>64.0005 * CHOOSE(CONTROL!$C$9, $D$9, 100%, $F$9) + CHOOSE(CONTROL!$C$27, 0.0021, 0)</f>
        <v>64.002600000000001</v>
      </c>
      <c r="F684" s="10">
        <f>64.0005 * CHOOSE(CONTROL!$C$9, $D$9, 100%, $F$9) + CHOOSE(CONTROL!$C$27, 0.0021, 0)</f>
        <v>64.002600000000001</v>
      </c>
      <c r="G684" s="10">
        <f>64.2719 * CHOOSE(CONTROL!$C$9, $D$9, 100%, $F$9) + CHOOSE(CONTROL!$C$27, 0.0021, 0)</f>
        <v>64.274000000000001</v>
      </c>
      <c r="H684" s="10">
        <f>64.1372 * CHOOSE(CONTROL!$C$9, $D$9, 100%, $F$9) + CHOOSE(CONTROL!$C$27, 0.0021, 0)</f>
        <v>64.139300000000006</v>
      </c>
      <c r="I684" s="10">
        <f>64.1372 * CHOOSE(CONTROL!$C$9, $D$9, 100%, $F$9) + CHOOSE(CONTROL!$C$27, 0.0021, 0)</f>
        <v>64.139300000000006</v>
      </c>
      <c r="J684" s="10">
        <f>64.1372 * CHOOSE(CONTROL!$C$9, $D$9, 100%, $F$9) + CHOOSE(CONTROL!$C$27, 0.0021, 0)</f>
        <v>64.139300000000006</v>
      </c>
      <c r="K684" s="10">
        <f>64.1372 * CHOOSE(CONTROL!$C$9, $D$9, 100%, $F$9) + CHOOSE(CONTROL!$C$27, 0.0021, 0)</f>
        <v>64.139300000000006</v>
      </c>
      <c r="L684" s="10"/>
    </row>
    <row r="685" spans="1:12" ht="15.75" x14ac:dyDescent="0.25">
      <c r="A685" s="13">
        <v>62152</v>
      </c>
      <c r="B685" s="10">
        <f>62.8079 * CHOOSE(CONTROL!$C$9, $D$9, 100%, $F$9) + CHOOSE(CONTROL!$C$27, 0.0021, 0)</f>
        <v>62.809999999999995</v>
      </c>
      <c r="C685" s="10">
        <f>62.3756 * CHOOSE(CONTROL!$C$9, $D$9, 100%, $F$9) + CHOOSE(CONTROL!$C$27, 0.0021, 0)</f>
        <v>62.377699999999997</v>
      </c>
      <c r="D685" s="10">
        <f>62.3756 * CHOOSE(CONTROL!$C$9, $D$9, 100%, $F$9) + CHOOSE(CONTROL!$C$27, 0.0021, 0)</f>
        <v>62.377699999999997</v>
      </c>
      <c r="E685" s="10">
        <f>62.239 * CHOOSE(CONTROL!$C$9, $D$9, 100%, $F$9) + CHOOSE(CONTROL!$C$27, 0.0021, 0)</f>
        <v>62.241099999999996</v>
      </c>
      <c r="F685" s="10">
        <f>62.239 * CHOOSE(CONTROL!$C$9, $D$9, 100%, $F$9) + CHOOSE(CONTROL!$C$27, 0.0021, 0)</f>
        <v>62.241099999999996</v>
      </c>
      <c r="G685" s="10">
        <f>62.5104 * CHOOSE(CONTROL!$C$9, $D$9, 100%, $F$9) + CHOOSE(CONTROL!$C$27, 0.0021, 0)</f>
        <v>62.512499999999996</v>
      </c>
      <c r="H685" s="10">
        <f>62.3756 * CHOOSE(CONTROL!$C$9, $D$9, 100%, $F$9) + CHOOSE(CONTROL!$C$27, 0.0021, 0)</f>
        <v>62.377699999999997</v>
      </c>
      <c r="I685" s="10">
        <f>62.3756 * CHOOSE(CONTROL!$C$9, $D$9, 100%, $F$9) + CHOOSE(CONTROL!$C$27, 0.0021, 0)</f>
        <v>62.377699999999997</v>
      </c>
      <c r="J685" s="10">
        <f>62.3756 * CHOOSE(CONTROL!$C$9, $D$9, 100%, $F$9) + CHOOSE(CONTROL!$C$27, 0.0021, 0)</f>
        <v>62.377699999999997</v>
      </c>
      <c r="K685" s="10">
        <f>62.3756 * CHOOSE(CONTROL!$C$9, $D$9, 100%, $F$9) + CHOOSE(CONTROL!$C$27, 0.0021, 0)</f>
        <v>62.377699999999997</v>
      </c>
      <c r="L685" s="10"/>
    </row>
    <row r="686" spans="1:12" ht="15.75" x14ac:dyDescent="0.25">
      <c r="A686" s="13">
        <v>62183</v>
      </c>
      <c r="B686" s="10">
        <f>62.0807 * CHOOSE(CONTROL!$C$9, $D$9, 100%, $F$9) + CHOOSE(CONTROL!$C$27, 0.0021, 0)</f>
        <v>62.082799999999999</v>
      </c>
      <c r="C686" s="10">
        <f>61.6485 * CHOOSE(CONTROL!$C$9, $D$9, 100%, $F$9) + CHOOSE(CONTROL!$C$27, 0.0021, 0)</f>
        <v>61.650599999999997</v>
      </c>
      <c r="D686" s="10">
        <f>61.6485 * CHOOSE(CONTROL!$C$9, $D$9, 100%, $F$9) + CHOOSE(CONTROL!$C$27, 0.0021, 0)</f>
        <v>61.650599999999997</v>
      </c>
      <c r="E686" s="10">
        <f>61.5118 * CHOOSE(CONTROL!$C$9, $D$9, 100%, $F$9) + CHOOSE(CONTROL!$C$27, 0.0021, 0)</f>
        <v>61.5139</v>
      </c>
      <c r="F686" s="10">
        <f>61.5118 * CHOOSE(CONTROL!$C$9, $D$9, 100%, $F$9) + CHOOSE(CONTROL!$C$27, 0.0021, 0)</f>
        <v>61.5139</v>
      </c>
      <c r="G686" s="10">
        <f>61.7832 * CHOOSE(CONTROL!$C$9, $D$9, 100%, $F$9) + CHOOSE(CONTROL!$C$27, 0.0021, 0)</f>
        <v>61.785299999999999</v>
      </c>
      <c r="H686" s="10">
        <f>61.6485 * CHOOSE(CONTROL!$C$9, $D$9, 100%, $F$9) + CHOOSE(CONTROL!$C$27, 0.0021, 0)</f>
        <v>61.650599999999997</v>
      </c>
      <c r="I686" s="10">
        <f>61.6485 * CHOOSE(CONTROL!$C$9, $D$9, 100%, $F$9) + CHOOSE(CONTROL!$C$27, 0.0021, 0)</f>
        <v>61.650599999999997</v>
      </c>
      <c r="J686" s="10">
        <f>61.6485 * CHOOSE(CONTROL!$C$9, $D$9, 100%, $F$9) + CHOOSE(CONTROL!$C$27, 0.0021, 0)</f>
        <v>61.650599999999997</v>
      </c>
      <c r="K686" s="10">
        <f>61.6485 * CHOOSE(CONTROL!$C$9, $D$9, 100%, $F$9) + CHOOSE(CONTROL!$C$27, 0.0021, 0)</f>
        <v>61.650599999999997</v>
      </c>
      <c r="L686" s="10"/>
    </row>
    <row r="687" spans="1:12" ht="15.75" x14ac:dyDescent="0.25">
      <c r="A687" s="13">
        <v>62213</v>
      </c>
      <c r="B687" s="10">
        <f>61.2125 * CHOOSE(CONTROL!$C$9, $D$9, 100%, $F$9) + CHOOSE(CONTROL!$C$27, 0.0021, 0)</f>
        <v>61.214599999999997</v>
      </c>
      <c r="C687" s="10">
        <f>60.7802 * CHOOSE(CONTROL!$C$9, $D$9, 100%, $F$9) + CHOOSE(CONTROL!$C$27, 0.0021, 0)</f>
        <v>60.782299999999999</v>
      </c>
      <c r="D687" s="10">
        <f>60.7802 * CHOOSE(CONTROL!$C$9, $D$9, 100%, $F$9) + CHOOSE(CONTROL!$C$27, 0.0021, 0)</f>
        <v>60.782299999999999</v>
      </c>
      <c r="E687" s="10">
        <f>60.6436 * CHOOSE(CONTROL!$C$9, $D$9, 100%, $F$9) + CHOOSE(CONTROL!$C$27, 0.0021, 0)</f>
        <v>60.645699999999998</v>
      </c>
      <c r="F687" s="10">
        <f>60.6436 * CHOOSE(CONTROL!$C$9, $D$9, 100%, $F$9) + CHOOSE(CONTROL!$C$27, 0.0021, 0)</f>
        <v>60.645699999999998</v>
      </c>
      <c r="G687" s="10">
        <f>60.915 * CHOOSE(CONTROL!$C$9, $D$9, 100%, $F$9) + CHOOSE(CONTROL!$C$27, 0.0021, 0)</f>
        <v>60.917099999999998</v>
      </c>
      <c r="H687" s="10">
        <f>60.7802 * CHOOSE(CONTROL!$C$9, $D$9, 100%, $F$9) + CHOOSE(CONTROL!$C$27, 0.0021, 0)</f>
        <v>60.782299999999999</v>
      </c>
      <c r="I687" s="10">
        <f>60.7802 * CHOOSE(CONTROL!$C$9, $D$9, 100%, $F$9) + CHOOSE(CONTROL!$C$27, 0.0021, 0)</f>
        <v>60.782299999999999</v>
      </c>
      <c r="J687" s="10">
        <f>60.7802 * CHOOSE(CONTROL!$C$9, $D$9, 100%, $F$9) + CHOOSE(CONTROL!$C$27, 0.0021, 0)</f>
        <v>60.782299999999999</v>
      </c>
      <c r="K687" s="10">
        <f>60.7802 * CHOOSE(CONTROL!$C$9, $D$9, 100%, $F$9) + CHOOSE(CONTROL!$C$27, 0.0021, 0)</f>
        <v>60.782299999999999</v>
      </c>
      <c r="L687" s="10"/>
    </row>
    <row r="688" spans="1:12" ht="15.75" x14ac:dyDescent="0.25">
      <c r="A688" s="13">
        <v>62244</v>
      </c>
      <c r="B688" s="10">
        <f>62.4498 * CHOOSE(CONTROL!$C$9, $D$9, 100%, $F$9) + CHOOSE(CONTROL!$C$27, 0.0021, 0)</f>
        <v>62.451900000000002</v>
      </c>
      <c r="C688" s="10">
        <f>62.0176 * CHOOSE(CONTROL!$C$9, $D$9, 100%, $F$9) + CHOOSE(CONTROL!$C$27, 0.0021, 0)</f>
        <v>62.0197</v>
      </c>
      <c r="D688" s="10">
        <f>62.0176 * CHOOSE(CONTROL!$C$9, $D$9, 100%, $F$9) + CHOOSE(CONTROL!$C$27, 0.0021, 0)</f>
        <v>62.0197</v>
      </c>
      <c r="E688" s="10">
        <f>61.8809 * CHOOSE(CONTROL!$C$9, $D$9, 100%, $F$9) + CHOOSE(CONTROL!$C$27, 0.0021, 0)</f>
        <v>61.882999999999996</v>
      </c>
      <c r="F688" s="10">
        <f>61.8809 * CHOOSE(CONTROL!$C$9, $D$9, 100%, $F$9) + CHOOSE(CONTROL!$C$27, 0.0021, 0)</f>
        <v>61.882999999999996</v>
      </c>
      <c r="G688" s="10">
        <f>62.1523 * CHOOSE(CONTROL!$C$9, $D$9, 100%, $F$9) + CHOOSE(CONTROL!$C$27, 0.0021, 0)</f>
        <v>62.154399999999995</v>
      </c>
      <c r="H688" s="10">
        <f>62.0176 * CHOOSE(CONTROL!$C$9, $D$9, 100%, $F$9) + CHOOSE(CONTROL!$C$27, 0.0021, 0)</f>
        <v>62.0197</v>
      </c>
      <c r="I688" s="10">
        <f>62.0176 * CHOOSE(CONTROL!$C$9, $D$9, 100%, $F$9) + CHOOSE(CONTROL!$C$27, 0.0021, 0)</f>
        <v>62.0197</v>
      </c>
      <c r="J688" s="10">
        <f>62.0176 * CHOOSE(CONTROL!$C$9, $D$9, 100%, $F$9) + CHOOSE(CONTROL!$C$27, 0.0021, 0)</f>
        <v>62.0197</v>
      </c>
      <c r="K688" s="10">
        <f>62.0176 * CHOOSE(CONTROL!$C$9, $D$9, 100%, $F$9) + CHOOSE(CONTROL!$C$27, 0.0021, 0)</f>
        <v>62.0197</v>
      </c>
      <c r="L688" s="10"/>
    </row>
    <row r="689" spans="1:12" ht="15.75" x14ac:dyDescent="0.25">
      <c r="A689" s="13">
        <v>62274</v>
      </c>
      <c r="B689" s="10">
        <f>63.191 * CHOOSE(CONTROL!$C$9, $D$9, 100%, $F$9) + CHOOSE(CONTROL!$C$27, 0.0021, 0)</f>
        <v>63.193100000000001</v>
      </c>
      <c r="C689" s="10">
        <f>62.7587 * CHOOSE(CONTROL!$C$9, $D$9, 100%, $F$9) + CHOOSE(CONTROL!$C$27, 0.0021, 0)</f>
        <v>62.760799999999996</v>
      </c>
      <c r="D689" s="10">
        <f>62.7587 * CHOOSE(CONTROL!$C$9, $D$9, 100%, $F$9) + CHOOSE(CONTROL!$C$27, 0.0021, 0)</f>
        <v>62.760799999999996</v>
      </c>
      <c r="E689" s="10">
        <f>62.6221 * CHOOSE(CONTROL!$C$9, $D$9, 100%, $F$9) + CHOOSE(CONTROL!$C$27, 0.0021, 0)</f>
        <v>62.624200000000002</v>
      </c>
      <c r="F689" s="10">
        <f>62.6221 * CHOOSE(CONTROL!$C$9, $D$9, 100%, $F$9) + CHOOSE(CONTROL!$C$27, 0.0021, 0)</f>
        <v>62.624200000000002</v>
      </c>
      <c r="G689" s="10">
        <f>62.8934 * CHOOSE(CONTROL!$C$9, $D$9, 100%, $F$9) + CHOOSE(CONTROL!$C$27, 0.0021, 0)</f>
        <v>62.895499999999998</v>
      </c>
      <c r="H689" s="10">
        <f>62.7587 * CHOOSE(CONTROL!$C$9, $D$9, 100%, $F$9) + CHOOSE(CONTROL!$C$27, 0.0021, 0)</f>
        <v>62.760799999999996</v>
      </c>
      <c r="I689" s="10">
        <f>62.7587 * CHOOSE(CONTROL!$C$9, $D$9, 100%, $F$9) + CHOOSE(CONTROL!$C$27, 0.0021, 0)</f>
        <v>62.760799999999996</v>
      </c>
      <c r="J689" s="10">
        <f>62.7587 * CHOOSE(CONTROL!$C$9, $D$9, 100%, $F$9) + CHOOSE(CONTROL!$C$27, 0.0021, 0)</f>
        <v>62.760799999999996</v>
      </c>
      <c r="K689" s="10">
        <f>62.7587 * CHOOSE(CONTROL!$C$9, $D$9, 100%, $F$9) + CHOOSE(CONTROL!$C$27, 0.0021, 0)</f>
        <v>62.760799999999996</v>
      </c>
      <c r="L689" s="10"/>
    </row>
    <row r="690" spans="1:12" ht="15.75" x14ac:dyDescent="0.25">
      <c r="A690" s="13">
        <v>62305</v>
      </c>
      <c r="B690" s="10">
        <f>64.4135 * CHOOSE(CONTROL!$C$9, $D$9, 100%, $F$9) + CHOOSE(CONTROL!$C$27, 0.0021, 0)</f>
        <v>64.415599999999998</v>
      </c>
      <c r="C690" s="10">
        <f>63.9813 * CHOOSE(CONTROL!$C$9, $D$9, 100%, $F$9) + CHOOSE(CONTROL!$C$27, 0.0021, 0)</f>
        <v>63.983399999999996</v>
      </c>
      <c r="D690" s="10">
        <f>63.9813 * CHOOSE(CONTROL!$C$9, $D$9, 100%, $F$9) + CHOOSE(CONTROL!$C$27, 0.0021, 0)</f>
        <v>63.983399999999996</v>
      </c>
      <c r="E690" s="10">
        <f>63.8446 * CHOOSE(CONTROL!$C$9, $D$9, 100%, $F$9) + CHOOSE(CONTROL!$C$27, 0.0021, 0)</f>
        <v>63.846699999999998</v>
      </c>
      <c r="F690" s="10">
        <f>63.8446 * CHOOSE(CONTROL!$C$9, $D$9, 100%, $F$9) + CHOOSE(CONTROL!$C$27, 0.0021, 0)</f>
        <v>63.846699999999998</v>
      </c>
      <c r="G690" s="10">
        <f>64.116 * CHOOSE(CONTROL!$C$9, $D$9, 100%, $F$9) + CHOOSE(CONTROL!$C$27, 0.0021, 0)</f>
        <v>64.118099999999998</v>
      </c>
      <c r="H690" s="10">
        <f>63.9813 * CHOOSE(CONTROL!$C$9, $D$9, 100%, $F$9) + CHOOSE(CONTROL!$C$27, 0.0021, 0)</f>
        <v>63.983399999999996</v>
      </c>
      <c r="I690" s="10">
        <f>63.9813 * CHOOSE(CONTROL!$C$9, $D$9, 100%, $F$9) + CHOOSE(CONTROL!$C$27, 0.0021, 0)</f>
        <v>63.983399999999996</v>
      </c>
      <c r="J690" s="10">
        <f>63.9813 * CHOOSE(CONTROL!$C$9, $D$9, 100%, $F$9) + CHOOSE(CONTROL!$C$27, 0.0021, 0)</f>
        <v>63.983399999999996</v>
      </c>
      <c r="K690" s="10">
        <f>63.9813 * CHOOSE(CONTROL!$C$9, $D$9, 100%, $F$9) + CHOOSE(CONTROL!$C$27, 0.0021, 0)</f>
        <v>63.983399999999996</v>
      </c>
      <c r="L690" s="10"/>
    </row>
    <row r="691" spans="1:12" ht="15.75" x14ac:dyDescent="0.25">
      <c r="A691" s="13">
        <v>62336</v>
      </c>
      <c r="B691" s="10">
        <f>64.7867 * CHOOSE(CONTROL!$C$9, $D$9, 100%, $F$9) + CHOOSE(CONTROL!$C$27, 0.0021, 0)</f>
        <v>64.788799999999995</v>
      </c>
      <c r="C691" s="10">
        <f>64.3545 * CHOOSE(CONTROL!$C$9, $D$9, 100%, $F$9) + CHOOSE(CONTROL!$C$27, 0.0021, 0)</f>
        <v>64.3566</v>
      </c>
      <c r="D691" s="10">
        <f>64.3545 * CHOOSE(CONTROL!$C$9, $D$9, 100%, $F$9) + CHOOSE(CONTROL!$C$27, 0.0021, 0)</f>
        <v>64.3566</v>
      </c>
      <c r="E691" s="10">
        <f>64.2178 * CHOOSE(CONTROL!$C$9, $D$9, 100%, $F$9) + CHOOSE(CONTROL!$C$27, 0.0021, 0)</f>
        <v>64.219899999999996</v>
      </c>
      <c r="F691" s="10">
        <f>64.2178 * CHOOSE(CONTROL!$C$9, $D$9, 100%, $F$9) + CHOOSE(CONTROL!$C$27, 0.0021, 0)</f>
        <v>64.219899999999996</v>
      </c>
      <c r="G691" s="10">
        <f>64.4892 * CHOOSE(CONTROL!$C$9, $D$9, 100%, $F$9) + CHOOSE(CONTROL!$C$27, 0.0021, 0)</f>
        <v>64.491299999999995</v>
      </c>
      <c r="H691" s="10">
        <f>64.3545 * CHOOSE(CONTROL!$C$9, $D$9, 100%, $F$9) + CHOOSE(CONTROL!$C$27, 0.0021, 0)</f>
        <v>64.3566</v>
      </c>
      <c r="I691" s="10">
        <f>64.3545 * CHOOSE(CONTROL!$C$9, $D$9, 100%, $F$9) + CHOOSE(CONTROL!$C$27, 0.0021, 0)</f>
        <v>64.3566</v>
      </c>
      <c r="J691" s="10">
        <f>64.3545 * CHOOSE(CONTROL!$C$9, $D$9, 100%, $F$9) + CHOOSE(CONTROL!$C$27, 0.0021, 0)</f>
        <v>64.3566</v>
      </c>
      <c r="K691" s="10">
        <f>64.3545 * CHOOSE(CONTROL!$C$9, $D$9, 100%, $F$9) + CHOOSE(CONTROL!$C$27, 0.0021, 0)</f>
        <v>64.3566</v>
      </c>
      <c r="L691" s="10"/>
    </row>
    <row r="692" spans="1:12" ht="15.75" x14ac:dyDescent="0.25">
      <c r="A692" s="13">
        <v>62366</v>
      </c>
      <c r="B692" s="10">
        <f>66.0575 * CHOOSE(CONTROL!$C$9, $D$9, 100%, $F$9) + CHOOSE(CONTROL!$C$27, 0.0021, 0)</f>
        <v>66.059600000000003</v>
      </c>
      <c r="C692" s="10">
        <f>65.6253 * CHOOSE(CONTROL!$C$9, $D$9, 100%, $F$9) + CHOOSE(CONTROL!$C$27, 0.0021, 0)</f>
        <v>65.627399999999994</v>
      </c>
      <c r="D692" s="10">
        <f>65.6253 * CHOOSE(CONTROL!$C$9, $D$9, 100%, $F$9) + CHOOSE(CONTROL!$C$27, 0.0021, 0)</f>
        <v>65.627399999999994</v>
      </c>
      <c r="E692" s="10">
        <f>65.4886 * CHOOSE(CONTROL!$C$9, $D$9, 100%, $F$9) + CHOOSE(CONTROL!$C$27, 0.0021, 0)</f>
        <v>65.490700000000004</v>
      </c>
      <c r="F692" s="10">
        <f>65.4886 * CHOOSE(CONTROL!$C$9, $D$9, 100%, $F$9) + CHOOSE(CONTROL!$C$27, 0.0021, 0)</f>
        <v>65.490700000000004</v>
      </c>
      <c r="G692" s="10">
        <f>65.76 * CHOOSE(CONTROL!$C$9, $D$9, 100%, $F$9) + CHOOSE(CONTROL!$C$27, 0.0021, 0)</f>
        <v>65.762100000000004</v>
      </c>
      <c r="H692" s="10">
        <f>65.6253 * CHOOSE(CONTROL!$C$9, $D$9, 100%, $F$9) + CHOOSE(CONTROL!$C$27, 0.0021, 0)</f>
        <v>65.627399999999994</v>
      </c>
      <c r="I692" s="10">
        <f>65.6253 * CHOOSE(CONTROL!$C$9, $D$9, 100%, $F$9) + CHOOSE(CONTROL!$C$27, 0.0021, 0)</f>
        <v>65.627399999999994</v>
      </c>
      <c r="J692" s="10">
        <f>65.6253 * CHOOSE(CONTROL!$C$9, $D$9, 100%, $F$9) + CHOOSE(CONTROL!$C$27, 0.0021, 0)</f>
        <v>65.627399999999994</v>
      </c>
      <c r="K692" s="10">
        <f>65.6253 * CHOOSE(CONTROL!$C$9, $D$9, 100%, $F$9) + CHOOSE(CONTROL!$C$27, 0.0021, 0)</f>
        <v>65.627399999999994</v>
      </c>
      <c r="L692" s="10"/>
    </row>
    <row r="693" spans="1:12" ht="15.75" x14ac:dyDescent="0.25">
      <c r="A693" s="13">
        <v>62397</v>
      </c>
      <c r="B693" s="10">
        <f>67.6662 * CHOOSE(CONTROL!$C$9, $D$9, 100%, $F$9) + CHOOSE(CONTROL!$C$27, 0.0021, 0)</f>
        <v>67.668300000000002</v>
      </c>
      <c r="C693" s="10">
        <f>67.2339 * CHOOSE(CONTROL!$C$9, $D$9, 100%, $F$9) + CHOOSE(CONTROL!$C$27, 0.0021, 0)</f>
        <v>67.236000000000004</v>
      </c>
      <c r="D693" s="10">
        <f>67.2339 * CHOOSE(CONTROL!$C$9, $D$9, 100%, $F$9) + CHOOSE(CONTROL!$C$27, 0.0021, 0)</f>
        <v>67.236000000000004</v>
      </c>
      <c r="E693" s="10">
        <f>67.0973 * CHOOSE(CONTROL!$C$9, $D$9, 100%, $F$9) + CHOOSE(CONTROL!$C$27, 0.0021, 0)</f>
        <v>67.099400000000003</v>
      </c>
      <c r="F693" s="10">
        <f>67.0973 * CHOOSE(CONTROL!$C$9, $D$9, 100%, $F$9) + CHOOSE(CONTROL!$C$27, 0.0021, 0)</f>
        <v>67.099400000000003</v>
      </c>
      <c r="G693" s="10">
        <f>67.3686 * CHOOSE(CONTROL!$C$9, $D$9, 100%, $F$9) + CHOOSE(CONTROL!$C$27, 0.0021, 0)</f>
        <v>67.370699999999999</v>
      </c>
      <c r="H693" s="10">
        <f>67.2339 * CHOOSE(CONTROL!$C$9, $D$9, 100%, $F$9) + CHOOSE(CONTROL!$C$27, 0.0021, 0)</f>
        <v>67.236000000000004</v>
      </c>
      <c r="I693" s="10">
        <f>67.2339 * CHOOSE(CONTROL!$C$9, $D$9, 100%, $F$9) + CHOOSE(CONTROL!$C$27, 0.0021, 0)</f>
        <v>67.236000000000004</v>
      </c>
      <c r="J693" s="10">
        <f>67.2339 * CHOOSE(CONTROL!$C$9, $D$9, 100%, $F$9) + CHOOSE(CONTROL!$C$27, 0.0021, 0)</f>
        <v>67.236000000000004</v>
      </c>
      <c r="K693" s="10">
        <f>67.2339 * CHOOSE(CONTROL!$C$9, $D$9, 100%, $F$9) + CHOOSE(CONTROL!$C$27, 0.0021, 0)</f>
        <v>67.236000000000004</v>
      </c>
      <c r="L693" s="10"/>
    </row>
    <row r="694" spans="1:12" ht="15.75" x14ac:dyDescent="0.25">
      <c r="A694" s="13">
        <v>62427</v>
      </c>
      <c r="B694" s="10">
        <f>67.8172 * CHOOSE(CONTROL!$C$9, $D$9, 100%, $F$9) + CHOOSE(CONTROL!$C$27, 0.0021, 0)</f>
        <v>67.819299999999998</v>
      </c>
      <c r="C694" s="10">
        <f>67.3849 * CHOOSE(CONTROL!$C$9, $D$9, 100%, $F$9) + CHOOSE(CONTROL!$C$27, 0.0021, 0)</f>
        <v>67.387</v>
      </c>
      <c r="D694" s="10">
        <f>67.3849 * CHOOSE(CONTROL!$C$9, $D$9, 100%, $F$9) + CHOOSE(CONTROL!$C$27, 0.0021, 0)</f>
        <v>67.387</v>
      </c>
      <c r="E694" s="10">
        <f>67.2483 * CHOOSE(CONTROL!$C$9, $D$9, 100%, $F$9) + CHOOSE(CONTROL!$C$27, 0.0021, 0)</f>
        <v>67.250399999999999</v>
      </c>
      <c r="F694" s="10">
        <f>67.2483 * CHOOSE(CONTROL!$C$9, $D$9, 100%, $F$9) + CHOOSE(CONTROL!$C$27, 0.0021, 0)</f>
        <v>67.250399999999999</v>
      </c>
      <c r="G694" s="10">
        <f>67.5197 * CHOOSE(CONTROL!$C$9, $D$9, 100%, $F$9) + CHOOSE(CONTROL!$C$27, 0.0021, 0)</f>
        <v>67.521799999999999</v>
      </c>
      <c r="H694" s="10">
        <f>67.3849 * CHOOSE(CONTROL!$C$9, $D$9, 100%, $F$9) + CHOOSE(CONTROL!$C$27, 0.0021, 0)</f>
        <v>67.387</v>
      </c>
      <c r="I694" s="10">
        <f>67.3849 * CHOOSE(CONTROL!$C$9, $D$9, 100%, $F$9) + CHOOSE(CONTROL!$C$27, 0.0021, 0)</f>
        <v>67.387</v>
      </c>
      <c r="J694" s="10">
        <f>67.3849 * CHOOSE(CONTROL!$C$9, $D$9, 100%, $F$9) + CHOOSE(CONTROL!$C$27, 0.0021, 0)</f>
        <v>67.387</v>
      </c>
      <c r="K694" s="10">
        <f>67.3849 * CHOOSE(CONTROL!$C$9, $D$9, 100%, $F$9) + CHOOSE(CONTROL!$C$27, 0.0021, 0)</f>
        <v>67.387</v>
      </c>
      <c r="L694" s="10"/>
    </row>
    <row r="695" spans="1:12" ht="15.75" x14ac:dyDescent="0.25">
      <c r="A695" s="13">
        <v>62458</v>
      </c>
      <c r="B695" s="10">
        <f>66.5324 * CHOOSE(CONTROL!$C$9, $D$9, 100%, $F$9) + CHOOSE(CONTROL!$C$27, 0.0021, 0)</f>
        <v>66.534499999999994</v>
      </c>
      <c r="C695" s="10">
        <f>66.1002 * CHOOSE(CONTROL!$C$9, $D$9, 100%, $F$9) + CHOOSE(CONTROL!$C$27, 0.0021, 0)</f>
        <v>66.1023</v>
      </c>
      <c r="D695" s="10">
        <f>66.1002 * CHOOSE(CONTROL!$C$9, $D$9, 100%, $F$9) + CHOOSE(CONTROL!$C$27, 0.0021, 0)</f>
        <v>66.1023</v>
      </c>
      <c r="E695" s="10">
        <f>65.9635 * CHOOSE(CONTROL!$C$9, $D$9, 100%, $F$9) + CHOOSE(CONTROL!$C$27, 0.0021, 0)</f>
        <v>65.965599999999995</v>
      </c>
      <c r="F695" s="10">
        <f>65.9635 * CHOOSE(CONTROL!$C$9, $D$9, 100%, $F$9) + CHOOSE(CONTROL!$C$27, 0.0021, 0)</f>
        <v>65.965599999999995</v>
      </c>
      <c r="G695" s="10">
        <f>66.2349 * CHOOSE(CONTROL!$C$9, $D$9, 100%, $F$9) + CHOOSE(CONTROL!$C$27, 0.0021, 0)</f>
        <v>66.236999999999995</v>
      </c>
      <c r="H695" s="10">
        <f>66.1002 * CHOOSE(CONTROL!$C$9, $D$9, 100%, $F$9) + CHOOSE(CONTROL!$C$27, 0.0021, 0)</f>
        <v>66.1023</v>
      </c>
      <c r="I695" s="10">
        <f>66.1002 * CHOOSE(CONTROL!$C$9, $D$9, 100%, $F$9) + CHOOSE(CONTROL!$C$27, 0.0021, 0)</f>
        <v>66.1023</v>
      </c>
      <c r="J695" s="10">
        <f>66.1002 * CHOOSE(CONTROL!$C$9, $D$9, 100%, $F$9) + CHOOSE(CONTROL!$C$27, 0.0021, 0)</f>
        <v>66.1023</v>
      </c>
      <c r="K695" s="10">
        <f>66.1002 * CHOOSE(CONTROL!$C$9, $D$9, 100%, $F$9) + CHOOSE(CONTROL!$C$27, 0.0021, 0)</f>
        <v>66.1023</v>
      </c>
      <c r="L695" s="10"/>
    </row>
    <row r="696" spans="1:12" ht="15.75" x14ac:dyDescent="0.25">
      <c r="A696" s="13">
        <v>62489</v>
      </c>
      <c r="B696" s="10">
        <f>65.5487 * CHOOSE(CONTROL!$C$9, $D$9, 100%, $F$9) + CHOOSE(CONTROL!$C$27, 0.0021, 0)</f>
        <v>65.550799999999995</v>
      </c>
      <c r="C696" s="10">
        <f>65.1165 * CHOOSE(CONTROL!$C$9, $D$9, 100%, $F$9) + CHOOSE(CONTROL!$C$27, 0.0021, 0)</f>
        <v>65.118600000000001</v>
      </c>
      <c r="D696" s="10">
        <f>65.1165 * CHOOSE(CONTROL!$C$9, $D$9, 100%, $F$9) + CHOOSE(CONTROL!$C$27, 0.0021, 0)</f>
        <v>65.118600000000001</v>
      </c>
      <c r="E696" s="10">
        <f>64.9798 * CHOOSE(CONTROL!$C$9, $D$9, 100%, $F$9) + CHOOSE(CONTROL!$C$27, 0.0021, 0)</f>
        <v>64.981899999999996</v>
      </c>
      <c r="F696" s="10">
        <f>64.9798 * CHOOSE(CONTROL!$C$9, $D$9, 100%, $F$9) + CHOOSE(CONTROL!$C$27, 0.0021, 0)</f>
        <v>64.981899999999996</v>
      </c>
      <c r="G696" s="10">
        <f>65.2512 * CHOOSE(CONTROL!$C$9, $D$9, 100%, $F$9) + CHOOSE(CONTROL!$C$27, 0.0021, 0)</f>
        <v>65.253299999999996</v>
      </c>
      <c r="H696" s="10">
        <f>65.1165 * CHOOSE(CONTROL!$C$9, $D$9, 100%, $F$9) + CHOOSE(CONTROL!$C$27, 0.0021, 0)</f>
        <v>65.118600000000001</v>
      </c>
      <c r="I696" s="10">
        <f>65.1165 * CHOOSE(CONTROL!$C$9, $D$9, 100%, $F$9) + CHOOSE(CONTROL!$C$27, 0.0021, 0)</f>
        <v>65.118600000000001</v>
      </c>
      <c r="J696" s="10">
        <f>65.1165 * CHOOSE(CONTROL!$C$9, $D$9, 100%, $F$9) + CHOOSE(CONTROL!$C$27, 0.0021, 0)</f>
        <v>65.118600000000001</v>
      </c>
      <c r="K696" s="10">
        <f>65.1165 * CHOOSE(CONTROL!$C$9, $D$9, 100%, $F$9) + CHOOSE(CONTROL!$C$27, 0.0021, 0)</f>
        <v>65.118600000000001</v>
      </c>
      <c r="L696" s="10"/>
    </row>
    <row r="697" spans="1:12" ht="15.75" x14ac:dyDescent="0.25">
      <c r="A697" s="13">
        <v>62517</v>
      </c>
      <c r="B697" s="10">
        <f>63.7595 * CHOOSE(CONTROL!$C$9, $D$9, 100%, $F$9) + CHOOSE(CONTROL!$C$27, 0.0021, 0)</f>
        <v>63.761600000000001</v>
      </c>
      <c r="C697" s="10">
        <f>63.3272 * CHOOSE(CONTROL!$C$9, $D$9, 100%, $F$9) + CHOOSE(CONTROL!$C$27, 0.0021, 0)</f>
        <v>63.329299999999996</v>
      </c>
      <c r="D697" s="10">
        <f>63.3272 * CHOOSE(CONTROL!$C$9, $D$9, 100%, $F$9) + CHOOSE(CONTROL!$C$27, 0.0021, 0)</f>
        <v>63.329299999999996</v>
      </c>
      <c r="E697" s="10">
        <f>63.1906 * CHOOSE(CONTROL!$C$9, $D$9, 100%, $F$9) + CHOOSE(CONTROL!$C$27, 0.0021, 0)</f>
        <v>63.192700000000002</v>
      </c>
      <c r="F697" s="10">
        <f>63.1906 * CHOOSE(CONTROL!$C$9, $D$9, 100%, $F$9) + CHOOSE(CONTROL!$C$27, 0.0021, 0)</f>
        <v>63.192700000000002</v>
      </c>
      <c r="G697" s="10">
        <f>63.462 * CHOOSE(CONTROL!$C$9, $D$9, 100%, $F$9) + CHOOSE(CONTROL!$C$27, 0.0021, 0)</f>
        <v>63.464100000000002</v>
      </c>
      <c r="H697" s="10">
        <f>63.3272 * CHOOSE(CONTROL!$C$9, $D$9, 100%, $F$9) + CHOOSE(CONTROL!$C$27, 0.0021, 0)</f>
        <v>63.329299999999996</v>
      </c>
      <c r="I697" s="10">
        <f>63.3272 * CHOOSE(CONTROL!$C$9, $D$9, 100%, $F$9) + CHOOSE(CONTROL!$C$27, 0.0021, 0)</f>
        <v>63.329299999999996</v>
      </c>
      <c r="J697" s="10">
        <f>63.3272 * CHOOSE(CONTROL!$C$9, $D$9, 100%, $F$9) + CHOOSE(CONTROL!$C$27, 0.0021, 0)</f>
        <v>63.329299999999996</v>
      </c>
      <c r="K697" s="10">
        <f>63.3272 * CHOOSE(CONTROL!$C$9, $D$9, 100%, $F$9) + CHOOSE(CONTROL!$C$27, 0.0021, 0)</f>
        <v>63.329299999999996</v>
      </c>
      <c r="L697" s="10"/>
    </row>
    <row r="698" spans="1:12" ht="15.75" x14ac:dyDescent="0.25">
      <c r="A698" s="13">
        <v>62548</v>
      </c>
      <c r="B698" s="10">
        <f>63.0209 * CHOOSE(CONTROL!$C$9, $D$9, 100%, $F$9) + CHOOSE(CONTROL!$C$27, 0.0021, 0)</f>
        <v>63.022999999999996</v>
      </c>
      <c r="C698" s="10">
        <f>62.5887 * CHOOSE(CONTROL!$C$9, $D$9, 100%, $F$9) + CHOOSE(CONTROL!$C$27, 0.0021, 0)</f>
        <v>62.590800000000002</v>
      </c>
      <c r="D698" s="10">
        <f>62.5887 * CHOOSE(CONTROL!$C$9, $D$9, 100%, $F$9) + CHOOSE(CONTROL!$C$27, 0.0021, 0)</f>
        <v>62.590800000000002</v>
      </c>
      <c r="E698" s="10">
        <f>62.452 * CHOOSE(CONTROL!$C$9, $D$9, 100%, $F$9) + CHOOSE(CONTROL!$C$27, 0.0021, 0)</f>
        <v>62.454099999999997</v>
      </c>
      <c r="F698" s="10">
        <f>62.452 * CHOOSE(CONTROL!$C$9, $D$9, 100%, $F$9) + CHOOSE(CONTROL!$C$27, 0.0021, 0)</f>
        <v>62.454099999999997</v>
      </c>
      <c r="G698" s="10">
        <f>62.7234 * CHOOSE(CONTROL!$C$9, $D$9, 100%, $F$9) + CHOOSE(CONTROL!$C$27, 0.0021, 0)</f>
        <v>62.725499999999997</v>
      </c>
      <c r="H698" s="10">
        <f>62.5887 * CHOOSE(CONTROL!$C$9, $D$9, 100%, $F$9) + CHOOSE(CONTROL!$C$27, 0.0021, 0)</f>
        <v>62.590800000000002</v>
      </c>
      <c r="I698" s="10">
        <f>62.5887 * CHOOSE(CONTROL!$C$9, $D$9, 100%, $F$9) + CHOOSE(CONTROL!$C$27, 0.0021, 0)</f>
        <v>62.590800000000002</v>
      </c>
      <c r="J698" s="10">
        <f>62.5887 * CHOOSE(CONTROL!$C$9, $D$9, 100%, $F$9) + CHOOSE(CONTROL!$C$27, 0.0021, 0)</f>
        <v>62.590800000000002</v>
      </c>
      <c r="K698" s="10">
        <f>62.5887 * CHOOSE(CONTROL!$C$9, $D$9, 100%, $F$9) + CHOOSE(CONTROL!$C$27, 0.0021, 0)</f>
        <v>62.590800000000002</v>
      </c>
      <c r="L698" s="10"/>
    </row>
    <row r="699" spans="1:12" ht="15.75" x14ac:dyDescent="0.25">
      <c r="A699" s="13">
        <v>62578</v>
      </c>
      <c r="B699" s="10">
        <f>62.139 * CHOOSE(CONTROL!$C$9, $D$9, 100%, $F$9) + CHOOSE(CONTROL!$C$27, 0.0021, 0)</f>
        <v>62.141100000000002</v>
      </c>
      <c r="C699" s="10">
        <f>61.7068 * CHOOSE(CONTROL!$C$9, $D$9, 100%, $F$9) + CHOOSE(CONTROL!$C$27, 0.0021, 0)</f>
        <v>61.7089</v>
      </c>
      <c r="D699" s="10">
        <f>61.7068 * CHOOSE(CONTROL!$C$9, $D$9, 100%, $F$9) + CHOOSE(CONTROL!$C$27, 0.0021, 0)</f>
        <v>61.7089</v>
      </c>
      <c r="E699" s="10">
        <f>61.5701 * CHOOSE(CONTROL!$C$9, $D$9, 100%, $F$9) + CHOOSE(CONTROL!$C$27, 0.0021, 0)</f>
        <v>61.572199999999995</v>
      </c>
      <c r="F699" s="10">
        <f>61.5701 * CHOOSE(CONTROL!$C$9, $D$9, 100%, $F$9) + CHOOSE(CONTROL!$C$27, 0.0021, 0)</f>
        <v>61.572199999999995</v>
      </c>
      <c r="G699" s="10">
        <f>61.8415 * CHOOSE(CONTROL!$C$9, $D$9, 100%, $F$9) + CHOOSE(CONTROL!$C$27, 0.0021, 0)</f>
        <v>61.843600000000002</v>
      </c>
      <c r="H699" s="10">
        <f>61.7068 * CHOOSE(CONTROL!$C$9, $D$9, 100%, $F$9) + CHOOSE(CONTROL!$C$27, 0.0021, 0)</f>
        <v>61.7089</v>
      </c>
      <c r="I699" s="10">
        <f>61.7068 * CHOOSE(CONTROL!$C$9, $D$9, 100%, $F$9) + CHOOSE(CONTROL!$C$27, 0.0021, 0)</f>
        <v>61.7089</v>
      </c>
      <c r="J699" s="10">
        <f>61.7068 * CHOOSE(CONTROL!$C$9, $D$9, 100%, $F$9) + CHOOSE(CONTROL!$C$27, 0.0021, 0)</f>
        <v>61.7089</v>
      </c>
      <c r="K699" s="10">
        <f>61.7068 * CHOOSE(CONTROL!$C$9, $D$9, 100%, $F$9) + CHOOSE(CONTROL!$C$27, 0.0021, 0)</f>
        <v>61.7089</v>
      </c>
      <c r="L699" s="10"/>
    </row>
    <row r="700" spans="1:12" ht="15.75" x14ac:dyDescent="0.25">
      <c r="A700" s="13">
        <v>62609</v>
      </c>
      <c r="B700" s="10">
        <f>63.3958 * CHOOSE(CONTROL!$C$9, $D$9, 100%, $F$9) + CHOOSE(CONTROL!$C$27, 0.0021, 0)</f>
        <v>63.3979</v>
      </c>
      <c r="C700" s="10">
        <f>62.9636 * CHOOSE(CONTROL!$C$9, $D$9, 100%, $F$9) + CHOOSE(CONTROL!$C$27, 0.0021, 0)</f>
        <v>62.965699999999998</v>
      </c>
      <c r="D700" s="10">
        <f>62.9636 * CHOOSE(CONTROL!$C$9, $D$9, 100%, $F$9) + CHOOSE(CONTROL!$C$27, 0.0021, 0)</f>
        <v>62.965699999999998</v>
      </c>
      <c r="E700" s="10">
        <f>62.8269 * CHOOSE(CONTROL!$C$9, $D$9, 100%, $F$9) + CHOOSE(CONTROL!$C$27, 0.0021, 0)</f>
        <v>62.829000000000001</v>
      </c>
      <c r="F700" s="10">
        <f>62.8269 * CHOOSE(CONTROL!$C$9, $D$9, 100%, $F$9) + CHOOSE(CONTROL!$C$27, 0.0021, 0)</f>
        <v>62.829000000000001</v>
      </c>
      <c r="G700" s="10">
        <f>63.0983 * CHOOSE(CONTROL!$C$9, $D$9, 100%, $F$9) + CHOOSE(CONTROL!$C$27, 0.0021, 0)</f>
        <v>63.1004</v>
      </c>
      <c r="H700" s="10">
        <f>62.9636 * CHOOSE(CONTROL!$C$9, $D$9, 100%, $F$9) + CHOOSE(CONTROL!$C$27, 0.0021, 0)</f>
        <v>62.965699999999998</v>
      </c>
      <c r="I700" s="10">
        <f>62.9636 * CHOOSE(CONTROL!$C$9, $D$9, 100%, $F$9) + CHOOSE(CONTROL!$C$27, 0.0021, 0)</f>
        <v>62.965699999999998</v>
      </c>
      <c r="J700" s="10">
        <f>62.9636 * CHOOSE(CONTROL!$C$9, $D$9, 100%, $F$9) + CHOOSE(CONTROL!$C$27, 0.0021, 0)</f>
        <v>62.965699999999998</v>
      </c>
      <c r="K700" s="10">
        <f>62.9636 * CHOOSE(CONTROL!$C$9, $D$9, 100%, $F$9) + CHOOSE(CONTROL!$C$27, 0.0021, 0)</f>
        <v>62.965699999999998</v>
      </c>
      <c r="L700" s="10"/>
    </row>
    <row r="701" spans="1:12" ht="15.75" x14ac:dyDescent="0.25">
      <c r="A701" s="13">
        <v>62639</v>
      </c>
      <c r="B701" s="10">
        <f>64.1486 * CHOOSE(CONTROL!$C$9, $D$9, 100%, $F$9) + CHOOSE(CONTROL!$C$27, 0.0021, 0)</f>
        <v>64.150700000000001</v>
      </c>
      <c r="C701" s="10">
        <f>63.7163 * CHOOSE(CONTROL!$C$9, $D$9, 100%, $F$9) + CHOOSE(CONTROL!$C$27, 0.0021, 0)</f>
        <v>63.718399999999995</v>
      </c>
      <c r="D701" s="10">
        <f>63.7163 * CHOOSE(CONTROL!$C$9, $D$9, 100%, $F$9) + CHOOSE(CONTROL!$C$27, 0.0021, 0)</f>
        <v>63.718399999999995</v>
      </c>
      <c r="E701" s="10">
        <f>63.5797 * CHOOSE(CONTROL!$C$9, $D$9, 100%, $F$9) + CHOOSE(CONTROL!$C$27, 0.0021, 0)</f>
        <v>63.581800000000001</v>
      </c>
      <c r="F701" s="10">
        <f>63.5797 * CHOOSE(CONTROL!$C$9, $D$9, 100%, $F$9) + CHOOSE(CONTROL!$C$27, 0.0021, 0)</f>
        <v>63.581800000000001</v>
      </c>
      <c r="G701" s="10">
        <f>63.8511 * CHOOSE(CONTROL!$C$9, $D$9, 100%, $F$9) + CHOOSE(CONTROL!$C$27, 0.0021, 0)</f>
        <v>63.853200000000001</v>
      </c>
      <c r="H701" s="10">
        <f>63.7163 * CHOOSE(CONTROL!$C$9, $D$9, 100%, $F$9) + CHOOSE(CONTROL!$C$27, 0.0021, 0)</f>
        <v>63.718399999999995</v>
      </c>
      <c r="I701" s="10">
        <f>63.7163 * CHOOSE(CONTROL!$C$9, $D$9, 100%, $F$9) + CHOOSE(CONTROL!$C$27, 0.0021, 0)</f>
        <v>63.718399999999995</v>
      </c>
      <c r="J701" s="10">
        <f>63.7163 * CHOOSE(CONTROL!$C$9, $D$9, 100%, $F$9) + CHOOSE(CONTROL!$C$27, 0.0021, 0)</f>
        <v>63.718399999999995</v>
      </c>
      <c r="K701" s="10">
        <f>63.7163 * CHOOSE(CONTROL!$C$9, $D$9, 100%, $F$9) + CHOOSE(CONTROL!$C$27, 0.0021, 0)</f>
        <v>63.718399999999995</v>
      </c>
      <c r="L701" s="10"/>
    </row>
    <row r="702" spans="1:12" ht="15.75" x14ac:dyDescent="0.25">
      <c r="A702" s="13">
        <v>62670</v>
      </c>
      <c r="B702" s="10">
        <f>65.3904 * CHOOSE(CONTROL!$C$9, $D$9, 100%, $F$9) + CHOOSE(CONTROL!$C$27, 0.0021, 0)</f>
        <v>65.392499999999998</v>
      </c>
      <c r="C702" s="10">
        <f>64.9581 * CHOOSE(CONTROL!$C$9, $D$9, 100%, $F$9) + CHOOSE(CONTROL!$C$27, 0.0021, 0)</f>
        <v>64.9602</v>
      </c>
      <c r="D702" s="10">
        <f>64.9581 * CHOOSE(CONTROL!$C$9, $D$9, 100%, $F$9) + CHOOSE(CONTROL!$C$27, 0.0021, 0)</f>
        <v>64.9602</v>
      </c>
      <c r="E702" s="10">
        <f>64.8215 * CHOOSE(CONTROL!$C$9, $D$9, 100%, $F$9) + CHOOSE(CONTROL!$C$27, 0.0021, 0)</f>
        <v>64.823599999999999</v>
      </c>
      <c r="F702" s="10">
        <f>64.8215 * CHOOSE(CONTROL!$C$9, $D$9, 100%, $F$9) + CHOOSE(CONTROL!$C$27, 0.0021, 0)</f>
        <v>64.823599999999999</v>
      </c>
      <c r="G702" s="10">
        <f>65.0929 * CHOOSE(CONTROL!$C$9, $D$9, 100%, $F$9) + CHOOSE(CONTROL!$C$27, 0.0021, 0)</f>
        <v>65.094999999999999</v>
      </c>
      <c r="H702" s="10">
        <f>64.9581 * CHOOSE(CONTROL!$C$9, $D$9, 100%, $F$9) + CHOOSE(CONTROL!$C$27, 0.0021, 0)</f>
        <v>64.9602</v>
      </c>
      <c r="I702" s="10">
        <f>64.9581 * CHOOSE(CONTROL!$C$9, $D$9, 100%, $F$9) + CHOOSE(CONTROL!$C$27, 0.0021, 0)</f>
        <v>64.9602</v>
      </c>
      <c r="J702" s="10">
        <f>64.9581 * CHOOSE(CONTROL!$C$9, $D$9, 100%, $F$9) + CHOOSE(CONTROL!$C$27, 0.0021, 0)</f>
        <v>64.9602</v>
      </c>
      <c r="K702" s="10">
        <f>64.9581 * CHOOSE(CONTROL!$C$9, $D$9, 100%, $F$9) + CHOOSE(CONTROL!$C$27, 0.0021, 0)</f>
        <v>64.9602</v>
      </c>
      <c r="L702" s="10"/>
    </row>
    <row r="703" spans="1:12" ht="15.75" x14ac:dyDescent="0.25">
      <c r="A703" s="13">
        <v>62701</v>
      </c>
      <c r="B703" s="10">
        <f>65.7694 * CHOOSE(CONTROL!$C$9, $D$9, 100%, $F$9) + CHOOSE(CONTROL!$C$27, 0.0021, 0)</f>
        <v>65.771500000000003</v>
      </c>
      <c r="C703" s="10">
        <f>65.3372 * CHOOSE(CONTROL!$C$9, $D$9, 100%, $F$9) + CHOOSE(CONTROL!$C$27, 0.0021, 0)</f>
        <v>65.339299999999994</v>
      </c>
      <c r="D703" s="10">
        <f>65.3372 * CHOOSE(CONTROL!$C$9, $D$9, 100%, $F$9) + CHOOSE(CONTROL!$C$27, 0.0021, 0)</f>
        <v>65.339299999999994</v>
      </c>
      <c r="E703" s="10">
        <f>65.2005 * CHOOSE(CONTROL!$C$9, $D$9, 100%, $F$9) + CHOOSE(CONTROL!$C$27, 0.0021, 0)</f>
        <v>65.202600000000004</v>
      </c>
      <c r="F703" s="10">
        <f>65.2005 * CHOOSE(CONTROL!$C$9, $D$9, 100%, $F$9) + CHOOSE(CONTROL!$C$27, 0.0021, 0)</f>
        <v>65.202600000000004</v>
      </c>
      <c r="G703" s="10">
        <f>65.4719 * CHOOSE(CONTROL!$C$9, $D$9, 100%, $F$9) + CHOOSE(CONTROL!$C$27, 0.0021, 0)</f>
        <v>65.474000000000004</v>
      </c>
      <c r="H703" s="10">
        <f>65.3372 * CHOOSE(CONTROL!$C$9, $D$9, 100%, $F$9) + CHOOSE(CONTROL!$C$27, 0.0021, 0)</f>
        <v>65.339299999999994</v>
      </c>
      <c r="I703" s="10">
        <f>65.3372 * CHOOSE(CONTROL!$C$9, $D$9, 100%, $F$9) + CHOOSE(CONTROL!$C$27, 0.0021, 0)</f>
        <v>65.339299999999994</v>
      </c>
      <c r="J703" s="10">
        <f>65.3372 * CHOOSE(CONTROL!$C$9, $D$9, 100%, $F$9) + CHOOSE(CONTROL!$C$27, 0.0021, 0)</f>
        <v>65.339299999999994</v>
      </c>
      <c r="K703" s="10">
        <f>65.3372 * CHOOSE(CONTROL!$C$9, $D$9, 100%, $F$9) + CHOOSE(CONTROL!$C$27, 0.0021, 0)</f>
        <v>65.339299999999994</v>
      </c>
      <c r="L703" s="10"/>
    </row>
    <row r="704" spans="1:12" ht="15.75" x14ac:dyDescent="0.25">
      <c r="A704" s="13">
        <v>62731</v>
      </c>
      <c r="B704" s="10">
        <f>67.0602 * CHOOSE(CONTROL!$C$9, $D$9, 100%, $F$9) + CHOOSE(CONTROL!$C$27, 0.0021, 0)</f>
        <v>67.062299999999993</v>
      </c>
      <c r="C704" s="10">
        <f>66.628 * CHOOSE(CONTROL!$C$9, $D$9, 100%, $F$9) + CHOOSE(CONTROL!$C$27, 0.0021, 0)</f>
        <v>66.630099999999999</v>
      </c>
      <c r="D704" s="10">
        <f>66.628 * CHOOSE(CONTROL!$C$9, $D$9, 100%, $F$9) + CHOOSE(CONTROL!$C$27, 0.0021, 0)</f>
        <v>66.630099999999999</v>
      </c>
      <c r="E704" s="10">
        <f>66.4913 * CHOOSE(CONTROL!$C$9, $D$9, 100%, $F$9) + CHOOSE(CONTROL!$C$27, 0.0021, 0)</f>
        <v>66.493399999999994</v>
      </c>
      <c r="F704" s="10">
        <f>66.4913 * CHOOSE(CONTROL!$C$9, $D$9, 100%, $F$9) + CHOOSE(CONTROL!$C$27, 0.0021, 0)</f>
        <v>66.493399999999994</v>
      </c>
      <c r="G704" s="10">
        <f>66.7627 * CHOOSE(CONTROL!$C$9, $D$9, 100%, $F$9) + CHOOSE(CONTROL!$C$27, 0.0021, 0)</f>
        <v>66.764799999999994</v>
      </c>
      <c r="H704" s="10">
        <f>66.628 * CHOOSE(CONTROL!$C$9, $D$9, 100%, $F$9) + CHOOSE(CONTROL!$C$27, 0.0021, 0)</f>
        <v>66.630099999999999</v>
      </c>
      <c r="I704" s="10">
        <f>66.628 * CHOOSE(CONTROL!$C$9, $D$9, 100%, $F$9) + CHOOSE(CONTROL!$C$27, 0.0021, 0)</f>
        <v>66.630099999999999</v>
      </c>
      <c r="J704" s="10">
        <f>66.628 * CHOOSE(CONTROL!$C$9, $D$9, 100%, $F$9) + CHOOSE(CONTROL!$C$27, 0.0021, 0)</f>
        <v>66.630099999999999</v>
      </c>
      <c r="K704" s="10">
        <f>66.628 * CHOOSE(CONTROL!$C$9, $D$9, 100%, $F$9) + CHOOSE(CONTROL!$C$27, 0.0021, 0)</f>
        <v>66.630099999999999</v>
      </c>
      <c r="L704" s="10"/>
    </row>
    <row r="705" spans="1:12" ht="15.75" x14ac:dyDescent="0.25">
      <c r="A705" s="13">
        <v>62762</v>
      </c>
      <c r="B705" s="10">
        <f>68.6942 * CHOOSE(CONTROL!$C$9, $D$9, 100%, $F$9) + CHOOSE(CONTROL!$C$27, 0.0021, 0)</f>
        <v>68.696299999999994</v>
      </c>
      <c r="C705" s="10">
        <f>68.2619 * CHOOSE(CONTROL!$C$9, $D$9, 100%, $F$9) + CHOOSE(CONTROL!$C$27, 0.0021, 0)</f>
        <v>68.263999999999996</v>
      </c>
      <c r="D705" s="10">
        <f>68.2619 * CHOOSE(CONTROL!$C$9, $D$9, 100%, $F$9) + CHOOSE(CONTROL!$C$27, 0.0021, 0)</f>
        <v>68.263999999999996</v>
      </c>
      <c r="E705" s="10">
        <f>68.1253 * CHOOSE(CONTROL!$C$9, $D$9, 100%, $F$9) + CHOOSE(CONTROL!$C$27, 0.0021, 0)</f>
        <v>68.127399999999994</v>
      </c>
      <c r="F705" s="10">
        <f>68.1253 * CHOOSE(CONTROL!$C$9, $D$9, 100%, $F$9) + CHOOSE(CONTROL!$C$27, 0.0021, 0)</f>
        <v>68.127399999999994</v>
      </c>
      <c r="G705" s="10">
        <f>68.3966 * CHOOSE(CONTROL!$C$9, $D$9, 100%, $F$9) + CHOOSE(CONTROL!$C$27, 0.0021, 0)</f>
        <v>68.398700000000005</v>
      </c>
      <c r="H705" s="10">
        <f>68.2619 * CHOOSE(CONTROL!$C$9, $D$9, 100%, $F$9) + CHOOSE(CONTROL!$C$27, 0.0021, 0)</f>
        <v>68.263999999999996</v>
      </c>
      <c r="I705" s="10">
        <f>68.2619 * CHOOSE(CONTROL!$C$9, $D$9, 100%, $F$9) + CHOOSE(CONTROL!$C$27, 0.0021, 0)</f>
        <v>68.263999999999996</v>
      </c>
      <c r="J705" s="10">
        <f>68.2619 * CHOOSE(CONTROL!$C$9, $D$9, 100%, $F$9) + CHOOSE(CONTROL!$C$27, 0.0021, 0)</f>
        <v>68.263999999999996</v>
      </c>
      <c r="K705" s="10">
        <f>68.2619 * CHOOSE(CONTROL!$C$9, $D$9, 100%, $F$9) + CHOOSE(CONTROL!$C$27, 0.0021, 0)</f>
        <v>68.263999999999996</v>
      </c>
      <c r="L705" s="10"/>
    </row>
    <row r="706" spans="1:12" ht="15.75" x14ac:dyDescent="0.25">
      <c r="A706" s="13">
        <v>62792</v>
      </c>
      <c r="B706" s="10">
        <f>68.8476 * CHOOSE(CONTROL!$C$9, $D$9, 100%, $F$9) + CHOOSE(CONTROL!$C$27, 0.0021, 0)</f>
        <v>68.849699999999999</v>
      </c>
      <c r="C706" s="10">
        <f>68.4153 * CHOOSE(CONTROL!$C$9, $D$9, 100%, $F$9) + CHOOSE(CONTROL!$C$27, 0.0021, 0)</f>
        <v>68.417400000000001</v>
      </c>
      <c r="D706" s="10">
        <f>68.4153 * CHOOSE(CONTROL!$C$9, $D$9, 100%, $F$9) + CHOOSE(CONTROL!$C$27, 0.0021, 0)</f>
        <v>68.417400000000001</v>
      </c>
      <c r="E706" s="10">
        <f>68.2787 * CHOOSE(CONTROL!$C$9, $D$9, 100%, $F$9) + CHOOSE(CONTROL!$C$27, 0.0021, 0)</f>
        <v>68.280799999999999</v>
      </c>
      <c r="F706" s="10">
        <f>68.2787 * CHOOSE(CONTROL!$C$9, $D$9, 100%, $F$9) + CHOOSE(CONTROL!$C$27, 0.0021, 0)</f>
        <v>68.280799999999999</v>
      </c>
      <c r="G706" s="10">
        <f>68.55 * CHOOSE(CONTROL!$C$9, $D$9, 100%, $F$9) + CHOOSE(CONTROL!$C$27, 0.0021, 0)</f>
        <v>68.552099999999996</v>
      </c>
      <c r="H706" s="10">
        <f>68.4153 * CHOOSE(CONTROL!$C$9, $D$9, 100%, $F$9) + CHOOSE(CONTROL!$C$27, 0.0021, 0)</f>
        <v>68.417400000000001</v>
      </c>
      <c r="I706" s="10">
        <f>68.4153 * CHOOSE(CONTROL!$C$9, $D$9, 100%, $F$9) + CHOOSE(CONTROL!$C$27, 0.0021, 0)</f>
        <v>68.417400000000001</v>
      </c>
      <c r="J706" s="10">
        <f>68.4153 * CHOOSE(CONTROL!$C$9, $D$9, 100%, $F$9) + CHOOSE(CONTROL!$C$27, 0.0021, 0)</f>
        <v>68.417400000000001</v>
      </c>
      <c r="K706" s="10">
        <f>68.4153 * CHOOSE(CONTROL!$C$9, $D$9, 100%, $F$9) + CHOOSE(CONTROL!$C$27, 0.0021, 0)</f>
        <v>68.417400000000001</v>
      </c>
      <c r="L706" s="10"/>
    </row>
    <row r="707" spans="1:12" ht="15.75" x14ac:dyDescent="0.25">
      <c r="A707" s="13">
        <v>62823</v>
      </c>
      <c r="B707" s="10">
        <f>67.5426 * CHOOSE(CONTROL!$C$9, $D$9, 100%, $F$9) + CHOOSE(CONTROL!$C$27, 0.0021, 0)</f>
        <v>67.544699999999992</v>
      </c>
      <c r="C707" s="10">
        <f>67.1103 * CHOOSE(CONTROL!$C$9, $D$9, 100%, $F$9) + CHOOSE(CONTROL!$C$27, 0.0021, 0)</f>
        <v>67.112399999999994</v>
      </c>
      <c r="D707" s="10">
        <f>67.1103 * CHOOSE(CONTROL!$C$9, $D$9, 100%, $F$9) + CHOOSE(CONTROL!$C$27, 0.0021, 0)</f>
        <v>67.112399999999994</v>
      </c>
      <c r="E707" s="10">
        <f>66.9737 * CHOOSE(CONTROL!$C$9, $D$9, 100%, $F$9) + CHOOSE(CONTROL!$C$27, 0.0021, 0)</f>
        <v>66.975799999999992</v>
      </c>
      <c r="F707" s="10">
        <f>66.9737 * CHOOSE(CONTROL!$C$9, $D$9, 100%, $F$9) + CHOOSE(CONTROL!$C$27, 0.0021, 0)</f>
        <v>66.975799999999992</v>
      </c>
      <c r="G707" s="10">
        <f>67.245 * CHOOSE(CONTROL!$C$9, $D$9, 100%, $F$9) + CHOOSE(CONTROL!$C$27, 0.0021, 0)</f>
        <v>67.247100000000003</v>
      </c>
      <c r="H707" s="10">
        <f>67.1103 * CHOOSE(CONTROL!$C$9, $D$9, 100%, $F$9) + CHOOSE(CONTROL!$C$27, 0.0021, 0)</f>
        <v>67.112399999999994</v>
      </c>
      <c r="I707" s="10">
        <f>67.1103 * CHOOSE(CONTROL!$C$9, $D$9, 100%, $F$9) + CHOOSE(CONTROL!$C$27, 0.0021, 0)</f>
        <v>67.112399999999994</v>
      </c>
      <c r="J707" s="10">
        <f>67.1103 * CHOOSE(CONTROL!$C$9, $D$9, 100%, $F$9) + CHOOSE(CONTROL!$C$27, 0.0021, 0)</f>
        <v>67.112399999999994</v>
      </c>
      <c r="K707" s="10">
        <f>67.1103 * CHOOSE(CONTROL!$C$9, $D$9, 100%, $F$9) + CHOOSE(CONTROL!$C$27, 0.0021, 0)</f>
        <v>67.112399999999994</v>
      </c>
      <c r="L707" s="10"/>
    </row>
    <row r="708" spans="1:12" ht="15.75" x14ac:dyDescent="0.25">
      <c r="A708" s="13">
        <v>62854</v>
      </c>
      <c r="B708" s="10">
        <f>66.5434 * CHOOSE(CONTROL!$C$9, $D$9, 100%, $F$9) + CHOOSE(CONTROL!$C$27, 0.0021, 0)</f>
        <v>66.545500000000004</v>
      </c>
      <c r="C708" s="10">
        <f>66.1112 * CHOOSE(CONTROL!$C$9, $D$9, 100%, $F$9) + CHOOSE(CONTROL!$C$27, 0.0021, 0)</f>
        <v>66.113299999999995</v>
      </c>
      <c r="D708" s="10">
        <f>66.1112 * CHOOSE(CONTROL!$C$9, $D$9, 100%, $F$9) + CHOOSE(CONTROL!$C$27, 0.0021, 0)</f>
        <v>66.113299999999995</v>
      </c>
      <c r="E708" s="10">
        <f>65.9745 * CHOOSE(CONTROL!$C$9, $D$9, 100%, $F$9) + CHOOSE(CONTROL!$C$27, 0.0021, 0)</f>
        <v>65.976600000000005</v>
      </c>
      <c r="F708" s="10">
        <f>65.9745 * CHOOSE(CONTROL!$C$9, $D$9, 100%, $F$9) + CHOOSE(CONTROL!$C$27, 0.0021, 0)</f>
        <v>65.976600000000005</v>
      </c>
      <c r="G708" s="10">
        <f>66.2459 * CHOOSE(CONTROL!$C$9, $D$9, 100%, $F$9) + CHOOSE(CONTROL!$C$27, 0.0021, 0)</f>
        <v>66.248000000000005</v>
      </c>
      <c r="H708" s="10">
        <f>66.1112 * CHOOSE(CONTROL!$C$9, $D$9, 100%, $F$9) + CHOOSE(CONTROL!$C$27, 0.0021, 0)</f>
        <v>66.113299999999995</v>
      </c>
      <c r="I708" s="10">
        <f>66.1112 * CHOOSE(CONTROL!$C$9, $D$9, 100%, $F$9) + CHOOSE(CONTROL!$C$27, 0.0021, 0)</f>
        <v>66.113299999999995</v>
      </c>
      <c r="J708" s="10">
        <f>66.1112 * CHOOSE(CONTROL!$C$9, $D$9, 100%, $F$9) + CHOOSE(CONTROL!$C$27, 0.0021, 0)</f>
        <v>66.113299999999995</v>
      </c>
      <c r="K708" s="10">
        <f>66.1112 * CHOOSE(CONTROL!$C$9, $D$9, 100%, $F$9) + CHOOSE(CONTROL!$C$27, 0.0021, 0)</f>
        <v>66.113299999999995</v>
      </c>
      <c r="L708" s="10"/>
    </row>
    <row r="709" spans="1:12" ht="15.75" x14ac:dyDescent="0.25">
      <c r="A709" s="13">
        <v>62883</v>
      </c>
      <c r="B709" s="10">
        <f>64.7261 * CHOOSE(CONTROL!$C$9, $D$9, 100%, $F$9) + CHOOSE(CONTROL!$C$27, 0.0021, 0)</f>
        <v>64.728200000000001</v>
      </c>
      <c r="C709" s="10">
        <f>64.2938 * CHOOSE(CONTROL!$C$9, $D$9, 100%, $F$9) + CHOOSE(CONTROL!$C$27, 0.0021, 0)</f>
        <v>64.295900000000003</v>
      </c>
      <c r="D709" s="10">
        <f>64.2938 * CHOOSE(CONTROL!$C$9, $D$9, 100%, $F$9) + CHOOSE(CONTROL!$C$27, 0.0021, 0)</f>
        <v>64.295900000000003</v>
      </c>
      <c r="E709" s="10">
        <f>64.1572 * CHOOSE(CONTROL!$C$9, $D$9, 100%, $F$9) + CHOOSE(CONTROL!$C$27, 0.0021, 0)</f>
        <v>64.159300000000002</v>
      </c>
      <c r="F709" s="10">
        <f>64.1572 * CHOOSE(CONTROL!$C$9, $D$9, 100%, $F$9) + CHOOSE(CONTROL!$C$27, 0.0021, 0)</f>
        <v>64.159300000000002</v>
      </c>
      <c r="G709" s="10">
        <f>64.4285 * CHOOSE(CONTROL!$C$9, $D$9, 100%, $F$9) + CHOOSE(CONTROL!$C$27, 0.0021, 0)</f>
        <v>64.430599999999998</v>
      </c>
      <c r="H709" s="10">
        <f>64.2938 * CHOOSE(CONTROL!$C$9, $D$9, 100%, $F$9) + CHOOSE(CONTROL!$C$27, 0.0021, 0)</f>
        <v>64.295900000000003</v>
      </c>
      <c r="I709" s="10">
        <f>64.2938 * CHOOSE(CONTROL!$C$9, $D$9, 100%, $F$9) + CHOOSE(CONTROL!$C$27, 0.0021, 0)</f>
        <v>64.295900000000003</v>
      </c>
      <c r="J709" s="10">
        <f>64.2938 * CHOOSE(CONTROL!$C$9, $D$9, 100%, $F$9) + CHOOSE(CONTROL!$C$27, 0.0021, 0)</f>
        <v>64.295900000000003</v>
      </c>
      <c r="K709" s="10">
        <f>64.2938 * CHOOSE(CONTROL!$C$9, $D$9, 100%, $F$9) + CHOOSE(CONTROL!$C$27, 0.0021, 0)</f>
        <v>64.295900000000003</v>
      </c>
      <c r="L709" s="10"/>
    </row>
    <row r="710" spans="1:12" ht="15.75" x14ac:dyDescent="0.25">
      <c r="A710" s="13">
        <v>62914</v>
      </c>
      <c r="B710" s="10">
        <f>63.9759 * CHOOSE(CONTROL!$C$9, $D$9, 100%, $F$9) + CHOOSE(CONTROL!$C$27, 0.0021, 0)</f>
        <v>63.978000000000002</v>
      </c>
      <c r="C710" s="10">
        <f>63.5436 * CHOOSE(CONTROL!$C$9, $D$9, 100%, $F$9) + CHOOSE(CONTROL!$C$27, 0.0021, 0)</f>
        <v>63.545699999999997</v>
      </c>
      <c r="D710" s="10">
        <f>63.5436 * CHOOSE(CONTROL!$C$9, $D$9, 100%, $F$9) + CHOOSE(CONTROL!$C$27, 0.0021, 0)</f>
        <v>63.545699999999997</v>
      </c>
      <c r="E710" s="10">
        <f>63.407 * CHOOSE(CONTROL!$C$9, $D$9, 100%, $F$9) + CHOOSE(CONTROL!$C$27, 0.0021, 0)</f>
        <v>63.409099999999995</v>
      </c>
      <c r="F710" s="10">
        <f>63.407 * CHOOSE(CONTROL!$C$9, $D$9, 100%, $F$9) + CHOOSE(CONTROL!$C$27, 0.0021, 0)</f>
        <v>63.409099999999995</v>
      </c>
      <c r="G710" s="10">
        <f>63.6783 * CHOOSE(CONTROL!$C$9, $D$9, 100%, $F$9) + CHOOSE(CONTROL!$C$27, 0.0021, 0)</f>
        <v>63.680399999999999</v>
      </c>
      <c r="H710" s="10">
        <f>63.5436 * CHOOSE(CONTROL!$C$9, $D$9, 100%, $F$9) + CHOOSE(CONTROL!$C$27, 0.0021, 0)</f>
        <v>63.545699999999997</v>
      </c>
      <c r="I710" s="10">
        <f>63.5436 * CHOOSE(CONTROL!$C$9, $D$9, 100%, $F$9) + CHOOSE(CONTROL!$C$27, 0.0021, 0)</f>
        <v>63.545699999999997</v>
      </c>
      <c r="J710" s="10">
        <f>63.5436 * CHOOSE(CONTROL!$C$9, $D$9, 100%, $F$9) + CHOOSE(CONTROL!$C$27, 0.0021, 0)</f>
        <v>63.545699999999997</v>
      </c>
      <c r="K710" s="10">
        <f>63.5436 * CHOOSE(CONTROL!$C$9, $D$9, 100%, $F$9) + CHOOSE(CONTROL!$C$27, 0.0021, 0)</f>
        <v>63.545699999999997</v>
      </c>
      <c r="L710" s="10"/>
    </row>
    <row r="711" spans="1:12" ht="15.75" x14ac:dyDescent="0.25">
      <c r="A711" s="13">
        <v>62944</v>
      </c>
      <c r="B711" s="10">
        <f>63.0801 * CHOOSE(CONTROL!$C$9, $D$9, 100%, $F$9) + CHOOSE(CONTROL!$C$27, 0.0021, 0)</f>
        <v>63.0822</v>
      </c>
      <c r="C711" s="10">
        <f>62.6478 * CHOOSE(CONTROL!$C$9, $D$9, 100%, $F$9) + CHOOSE(CONTROL!$C$27, 0.0021, 0)</f>
        <v>62.649899999999995</v>
      </c>
      <c r="D711" s="10">
        <f>62.6478 * CHOOSE(CONTROL!$C$9, $D$9, 100%, $F$9) + CHOOSE(CONTROL!$C$27, 0.0021, 0)</f>
        <v>62.649899999999995</v>
      </c>
      <c r="E711" s="10">
        <f>62.5112 * CHOOSE(CONTROL!$C$9, $D$9, 100%, $F$9) + CHOOSE(CONTROL!$C$27, 0.0021, 0)</f>
        <v>62.513300000000001</v>
      </c>
      <c r="F711" s="10">
        <f>62.5112 * CHOOSE(CONTROL!$C$9, $D$9, 100%, $F$9) + CHOOSE(CONTROL!$C$27, 0.0021, 0)</f>
        <v>62.513300000000001</v>
      </c>
      <c r="G711" s="10">
        <f>62.7826 * CHOOSE(CONTROL!$C$9, $D$9, 100%, $F$9) + CHOOSE(CONTROL!$C$27, 0.0021, 0)</f>
        <v>62.784700000000001</v>
      </c>
      <c r="H711" s="10">
        <f>62.6478 * CHOOSE(CONTROL!$C$9, $D$9, 100%, $F$9) + CHOOSE(CONTROL!$C$27, 0.0021, 0)</f>
        <v>62.649899999999995</v>
      </c>
      <c r="I711" s="10">
        <f>62.6478 * CHOOSE(CONTROL!$C$9, $D$9, 100%, $F$9) + CHOOSE(CONTROL!$C$27, 0.0021, 0)</f>
        <v>62.649899999999995</v>
      </c>
      <c r="J711" s="10">
        <f>62.6478 * CHOOSE(CONTROL!$C$9, $D$9, 100%, $F$9) + CHOOSE(CONTROL!$C$27, 0.0021, 0)</f>
        <v>62.649899999999995</v>
      </c>
      <c r="K711" s="10">
        <f>62.6478 * CHOOSE(CONTROL!$C$9, $D$9, 100%, $F$9) + CHOOSE(CONTROL!$C$27, 0.0021, 0)</f>
        <v>62.649899999999995</v>
      </c>
      <c r="L711" s="10"/>
    </row>
    <row r="712" spans="1:12" ht="15.75" x14ac:dyDescent="0.25">
      <c r="A712" s="13">
        <v>62975</v>
      </c>
      <c r="B712" s="10">
        <f>64.3567 * CHOOSE(CONTROL!$C$9, $D$9, 100%, $F$9) + CHOOSE(CONTROL!$C$27, 0.0021, 0)</f>
        <v>64.358800000000002</v>
      </c>
      <c r="C712" s="10">
        <f>63.9244 * CHOOSE(CONTROL!$C$9, $D$9, 100%, $F$9) + CHOOSE(CONTROL!$C$27, 0.0021, 0)</f>
        <v>63.926499999999997</v>
      </c>
      <c r="D712" s="10">
        <f>63.9244 * CHOOSE(CONTROL!$C$9, $D$9, 100%, $F$9) + CHOOSE(CONTROL!$C$27, 0.0021, 0)</f>
        <v>63.926499999999997</v>
      </c>
      <c r="E712" s="10">
        <f>63.7878 * CHOOSE(CONTROL!$C$9, $D$9, 100%, $F$9) + CHOOSE(CONTROL!$C$27, 0.0021, 0)</f>
        <v>63.789899999999996</v>
      </c>
      <c r="F712" s="10">
        <f>63.7878 * CHOOSE(CONTROL!$C$9, $D$9, 100%, $F$9) + CHOOSE(CONTROL!$C$27, 0.0021, 0)</f>
        <v>63.789899999999996</v>
      </c>
      <c r="G712" s="10">
        <f>64.0591 * CHOOSE(CONTROL!$C$9, $D$9, 100%, $F$9) + CHOOSE(CONTROL!$C$27, 0.0021, 0)</f>
        <v>64.061199999999999</v>
      </c>
      <c r="H712" s="10">
        <f>63.9244 * CHOOSE(CONTROL!$C$9, $D$9, 100%, $F$9) + CHOOSE(CONTROL!$C$27, 0.0021, 0)</f>
        <v>63.926499999999997</v>
      </c>
      <c r="I712" s="10">
        <f>63.9244 * CHOOSE(CONTROL!$C$9, $D$9, 100%, $F$9) + CHOOSE(CONTROL!$C$27, 0.0021, 0)</f>
        <v>63.926499999999997</v>
      </c>
      <c r="J712" s="10">
        <f>63.9244 * CHOOSE(CONTROL!$C$9, $D$9, 100%, $F$9) + CHOOSE(CONTROL!$C$27, 0.0021, 0)</f>
        <v>63.926499999999997</v>
      </c>
      <c r="K712" s="10">
        <f>63.9244 * CHOOSE(CONTROL!$C$9, $D$9, 100%, $F$9) + CHOOSE(CONTROL!$C$27, 0.0021, 0)</f>
        <v>63.926499999999997</v>
      </c>
      <c r="L712" s="10"/>
    </row>
    <row r="713" spans="1:12" ht="15.75" x14ac:dyDescent="0.25">
      <c r="A713" s="13">
        <v>63005</v>
      </c>
      <c r="B713" s="10">
        <f>65.1213 * CHOOSE(CONTROL!$C$9, $D$9, 100%, $F$9) + CHOOSE(CONTROL!$C$27, 0.0021, 0)</f>
        <v>65.123400000000004</v>
      </c>
      <c r="C713" s="10">
        <f>64.689 * CHOOSE(CONTROL!$C$9, $D$9, 100%, $F$9) + CHOOSE(CONTROL!$C$27, 0.0021, 0)</f>
        <v>64.691099999999992</v>
      </c>
      <c r="D713" s="10">
        <f>64.689 * CHOOSE(CONTROL!$C$9, $D$9, 100%, $F$9) + CHOOSE(CONTROL!$C$27, 0.0021, 0)</f>
        <v>64.691099999999992</v>
      </c>
      <c r="E713" s="10">
        <f>64.5524 * CHOOSE(CONTROL!$C$9, $D$9, 100%, $F$9) + CHOOSE(CONTROL!$C$27, 0.0021, 0)</f>
        <v>64.554500000000004</v>
      </c>
      <c r="F713" s="10">
        <f>64.5524 * CHOOSE(CONTROL!$C$9, $D$9, 100%, $F$9) + CHOOSE(CONTROL!$C$27, 0.0021, 0)</f>
        <v>64.554500000000004</v>
      </c>
      <c r="G713" s="10">
        <f>64.8237 * CHOOSE(CONTROL!$C$9, $D$9, 100%, $F$9) + CHOOSE(CONTROL!$C$27, 0.0021, 0)</f>
        <v>64.825800000000001</v>
      </c>
      <c r="H713" s="10">
        <f>64.689 * CHOOSE(CONTROL!$C$9, $D$9, 100%, $F$9) + CHOOSE(CONTROL!$C$27, 0.0021, 0)</f>
        <v>64.691099999999992</v>
      </c>
      <c r="I713" s="10">
        <f>64.689 * CHOOSE(CONTROL!$C$9, $D$9, 100%, $F$9) + CHOOSE(CONTROL!$C$27, 0.0021, 0)</f>
        <v>64.691099999999992</v>
      </c>
      <c r="J713" s="10">
        <f>64.689 * CHOOSE(CONTROL!$C$9, $D$9, 100%, $F$9) + CHOOSE(CONTROL!$C$27, 0.0021, 0)</f>
        <v>64.691099999999992</v>
      </c>
      <c r="K713" s="10">
        <f>64.689 * CHOOSE(CONTROL!$C$9, $D$9, 100%, $F$9) + CHOOSE(CONTROL!$C$27, 0.0021, 0)</f>
        <v>64.691099999999992</v>
      </c>
      <c r="L713" s="10"/>
    </row>
    <row r="714" spans="1:12" ht="15.75" x14ac:dyDescent="0.25">
      <c r="A714" s="13">
        <v>63036</v>
      </c>
      <c r="B714" s="10">
        <f>66.3826 * CHOOSE(CONTROL!$C$9, $D$9, 100%, $F$9) + CHOOSE(CONTROL!$C$27, 0.0021, 0)</f>
        <v>66.384699999999995</v>
      </c>
      <c r="C714" s="10">
        <f>65.9504 * CHOOSE(CONTROL!$C$9, $D$9, 100%, $F$9) + CHOOSE(CONTROL!$C$27, 0.0021, 0)</f>
        <v>65.952500000000001</v>
      </c>
      <c r="D714" s="10">
        <f>65.9504 * CHOOSE(CONTROL!$C$9, $D$9, 100%, $F$9) + CHOOSE(CONTROL!$C$27, 0.0021, 0)</f>
        <v>65.952500000000001</v>
      </c>
      <c r="E714" s="10">
        <f>65.8137 * CHOOSE(CONTROL!$C$9, $D$9, 100%, $F$9) + CHOOSE(CONTROL!$C$27, 0.0021, 0)</f>
        <v>65.815799999999996</v>
      </c>
      <c r="F714" s="10">
        <f>65.8137 * CHOOSE(CONTROL!$C$9, $D$9, 100%, $F$9) + CHOOSE(CONTROL!$C$27, 0.0021, 0)</f>
        <v>65.815799999999996</v>
      </c>
      <c r="G714" s="10">
        <f>66.0851 * CHOOSE(CONTROL!$C$9, $D$9, 100%, $F$9) + CHOOSE(CONTROL!$C$27, 0.0021, 0)</f>
        <v>66.087199999999996</v>
      </c>
      <c r="H714" s="10">
        <f>65.9504 * CHOOSE(CONTROL!$C$9, $D$9, 100%, $F$9) + CHOOSE(CONTROL!$C$27, 0.0021, 0)</f>
        <v>65.952500000000001</v>
      </c>
      <c r="I714" s="10">
        <f>65.9504 * CHOOSE(CONTROL!$C$9, $D$9, 100%, $F$9) + CHOOSE(CONTROL!$C$27, 0.0021, 0)</f>
        <v>65.952500000000001</v>
      </c>
      <c r="J714" s="10">
        <f>65.9504 * CHOOSE(CONTROL!$C$9, $D$9, 100%, $F$9) + CHOOSE(CONTROL!$C$27, 0.0021, 0)</f>
        <v>65.952500000000001</v>
      </c>
      <c r="K714" s="10">
        <f>65.9504 * CHOOSE(CONTROL!$C$9, $D$9, 100%, $F$9) + CHOOSE(CONTROL!$C$27, 0.0021, 0)</f>
        <v>65.952500000000001</v>
      </c>
      <c r="L714" s="10"/>
    </row>
    <row r="715" spans="1:12" ht="15.75" x14ac:dyDescent="0.25">
      <c r="A715" s="13">
        <v>63067</v>
      </c>
      <c r="B715" s="10">
        <f>66.7676 * CHOOSE(CONTROL!$C$9, $D$9, 100%, $F$9) + CHOOSE(CONTROL!$C$27, 0.0021, 0)</f>
        <v>66.7697</v>
      </c>
      <c r="C715" s="10">
        <f>66.3354 * CHOOSE(CONTROL!$C$9, $D$9, 100%, $F$9) + CHOOSE(CONTROL!$C$27, 0.0021, 0)</f>
        <v>66.337500000000006</v>
      </c>
      <c r="D715" s="10">
        <f>66.3354 * CHOOSE(CONTROL!$C$9, $D$9, 100%, $F$9) + CHOOSE(CONTROL!$C$27, 0.0021, 0)</f>
        <v>66.337500000000006</v>
      </c>
      <c r="E715" s="10">
        <f>66.1987 * CHOOSE(CONTROL!$C$9, $D$9, 100%, $F$9) + CHOOSE(CONTROL!$C$27, 0.0021, 0)</f>
        <v>66.200800000000001</v>
      </c>
      <c r="F715" s="10">
        <f>66.1987 * CHOOSE(CONTROL!$C$9, $D$9, 100%, $F$9) + CHOOSE(CONTROL!$C$27, 0.0021, 0)</f>
        <v>66.200800000000001</v>
      </c>
      <c r="G715" s="10">
        <f>66.4701 * CHOOSE(CONTROL!$C$9, $D$9, 100%, $F$9) + CHOOSE(CONTROL!$C$27, 0.0021, 0)</f>
        <v>66.472200000000001</v>
      </c>
      <c r="H715" s="10">
        <f>66.3354 * CHOOSE(CONTROL!$C$9, $D$9, 100%, $F$9) + CHOOSE(CONTROL!$C$27, 0.0021, 0)</f>
        <v>66.337500000000006</v>
      </c>
      <c r="I715" s="10">
        <f>66.3354 * CHOOSE(CONTROL!$C$9, $D$9, 100%, $F$9) + CHOOSE(CONTROL!$C$27, 0.0021, 0)</f>
        <v>66.337500000000006</v>
      </c>
      <c r="J715" s="10">
        <f>66.3354 * CHOOSE(CONTROL!$C$9, $D$9, 100%, $F$9) + CHOOSE(CONTROL!$C$27, 0.0021, 0)</f>
        <v>66.337500000000006</v>
      </c>
      <c r="K715" s="10">
        <f>66.3354 * CHOOSE(CONTROL!$C$9, $D$9, 100%, $F$9) + CHOOSE(CONTROL!$C$27, 0.0021, 0)</f>
        <v>66.337500000000006</v>
      </c>
      <c r="L715" s="10"/>
    </row>
    <row r="716" spans="1:12" ht="15.75" x14ac:dyDescent="0.25">
      <c r="A716" s="13">
        <v>63097</v>
      </c>
      <c r="B716" s="10">
        <f>68.0787 * CHOOSE(CONTROL!$C$9, $D$9, 100%, $F$9) + CHOOSE(CONTROL!$C$27, 0.0021, 0)</f>
        <v>68.080799999999996</v>
      </c>
      <c r="C716" s="10">
        <f>67.6465 * CHOOSE(CONTROL!$C$9, $D$9, 100%, $F$9) + CHOOSE(CONTROL!$C$27, 0.0021, 0)</f>
        <v>67.648600000000002</v>
      </c>
      <c r="D716" s="10">
        <f>67.6465 * CHOOSE(CONTROL!$C$9, $D$9, 100%, $F$9) + CHOOSE(CONTROL!$C$27, 0.0021, 0)</f>
        <v>67.648600000000002</v>
      </c>
      <c r="E716" s="10">
        <f>67.5098 * CHOOSE(CONTROL!$C$9, $D$9, 100%, $F$9) + CHOOSE(CONTROL!$C$27, 0.0021, 0)</f>
        <v>67.511899999999997</v>
      </c>
      <c r="F716" s="10">
        <f>67.5098 * CHOOSE(CONTROL!$C$9, $D$9, 100%, $F$9) + CHOOSE(CONTROL!$C$27, 0.0021, 0)</f>
        <v>67.511899999999997</v>
      </c>
      <c r="G716" s="10">
        <f>67.7812 * CHOOSE(CONTROL!$C$9, $D$9, 100%, $F$9) + CHOOSE(CONTROL!$C$27, 0.0021, 0)</f>
        <v>67.783299999999997</v>
      </c>
      <c r="H716" s="10">
        <f>67.6465 * CHOOSE(CONTROL!$C$9, $D$9, 100%, $F$9) + CHOOSE(CONTROL!$C$27, 0.0021, 0)</f>
        <v>67.648600000000002</v>
      </c>
      <c r="I716" s="10">
        <f>67.6465 * CHOOSE(CONTROL!$C$9, $D$9, 100%, $F$9) + CHOOSE(CONTROL!$C$27, 0.0021, 0)</f>
        <v>67.648600000000002</v>
      </c>
      <c r="J716" s="10">
        <f>67.6465 * CHOOSE(CONTROL!$C$9, $D$9, 100%, $F$9) + CHOOSE(CONTROL!$C$27, 0.0021, 0)</f>
        <v>67.648600000000002</v>
      </c>
      <c r="K716" s="10">
        <f>67.6465 * CHOOSE(CONTROL!$C$9, $D$9, 100%, $F$9) + CHOOSE(CONTROL!$C$27, 0.0021, 0)</f>
        <v>67.648600000000002</v>
      </c>
      <c r="L716" s="10"/>
    </row>
    <row r="717" spans="1:12" ht="15.75" x14ac:dyDescent="0.25">
      <c r="A717" s="13">
        <v>63128</v>
      </c>
      <c r="B717" s="10">
        <f>69.7383 * CHOOSE(CONTROL!$C$9, $D$9, 100%, $F$9) + CHOOSE(CONTROL!$C$27, 0.0021, 0)</f>
        <v>69.740399999999994</v>
      </c>
      <c r="C717" s="10">
        <f>69.3061 * CHOOSE(CONTROL!$C$9, $D$9, 100%, $F$9) + CHOOSE(CONTROL!$C$27, 0.0021, 0)</f>
        <v>69.308199999999999</v>
      </c>
      <c r="D717" s="10">
        <f>69.3061 * CHOOSE(CONTROL!$C$9, $D$9, 100%, $F$9) + CHOOSE(CONTROL!$C$27, 0.0021, 0)</f>
        <v>69.308199999999999</v>
      </c>
      <c r="E717" s="10">
        <f>69.1694 * CHOOSE(CONTROL!$C$9, $D$9, 100%, $F$9) + CHOOSE(CONTROL!$C$27, 0.0021, 0)</f>
        <v>69.171499999999995</v>
      </c>
      <c r="F717" s="10">
        <f>69.1694 * CHOOSE(CONTROL!$C$9, $D$9, 100%, $F$9) + CHOOSE(CONTROL!$C$27, 0.0021, 0)</f>
        <v>69.171499999999995</v>
      </c>
      <c r="G717" s="10">
        <f>69.4408 * CHOOSE(CONTROL!$C$9, $D$9, 100%, $F$9) + CHOOSE(CONTROL!$C$27, 0.0021, 0)</f>
        <v>69.442899999999995</v>
      </c>
      <c r="H717" s="10">
        <f>69.3061 * CHOOSE(CONTROL!$C$9, $D$9, 100%, $F$9) + CHOOSE(CONTROL!$C$27, 0.0021, 0)</f>
        <v>69.308199999999999</v>
      </c>
      <c r="I717" s="10">
        <f>69.3061 * CHOOSE(CONTROL!$C$9, $D$9, 100%, $F$9) + CHOOSE(CONTROL!$C$27, 0.0021, 0)</f>
        <v>69.308199999999999</v>
      </c>
      <c r="J717" s="10">
        <f>69.3061 * CHOOSE(CONTROL!$C$9, $D$9, 100%, $F$9) + CHOOSE(CONTROL!$C$27, 0.0021, 0)</f>
        <v>69.308199999999999</v>
      </c>
      <c r="K717" s="10">
        <f>69.3061 * CHOOSE(CONTROL!$C$9, $D$9, 100%, $F$9) + CHOOSE(CONTROL!$C$27, 0.0021, 0)</f>
        <v>69.308199999999999</v>
      </c>
      <c r="L717" s="10"/>
    </row>
    <row r="718" spans="1:12" ht="15.75" x14ac:dyDescent="0.25">
      <c r="A718" s="13">
        <v>63158</v>
      </c>
      <c r="B718" s="10">
        <f>69.8941 * CHOOSE(CONTROL!$C$9, $D$9, 100%, $F$9) + CHOOSE(CONTROL!$C$27, 0.0021, 0)</f>
        <v>69.896199999999993</v>
      </c>
      <c r="C718" s="10">
        <f>69.4619 * CHOOSE(CONTROL!$C$9, $D$9, 100%, $F$9) + CHOOSE(CONTROL!$C$27, 0.0021, 0)</f>
        <v>69.463999999999999</v>
      </c>
      <c r="D718" s="10">
        <f>69.4619 * CHOOSE(CONTROL!$C$9, $D$9, 100%, $F$9) + CHOOSE(CONTROL!$C$27, 0.0021, 0)</f>
        <v>69.463999999999999</v>
      </c>
      <c r="E718" s="10">
        <f>69.3252 * CHOOSE(CONTROL!$C$9, $D$9, 100%, $F$9) + CHOOSE(CONTROL!$C$27, 0.0021, 0)</f>
        <v>69.327299999999994</v>
      </c>
      <c r="F718" s="10">
        <f>69.3252 * CHOOSE(CONTROL!$C$9, $D$9, 100%, $F$9) + CHOOSE(CONTROL!$C$27, 0.0021, 0)</f>
        <v>69.327299999999994</v>
      </c>
      <c r="G718" s="10">
        <f>69.5966 * CHOOSE(CONTROL!$C$9, $D$9, 100%, $F$9) + CHOOSE(CONTROL!$C$27, 0.0021, 0)</f>
        <v>69.598699999999994</v>
      </c>
      <c r="H718" s="10">
        <f>69.4619 * CHOOSE(CONTROL!$C$9, $D$9, 100%, $F$9) + CHOOSE(CONTROL!$C$27, 0.0021, 0)</f>
        <v>69.463999999999999</v>
      </c>
      <c r="I718" s="10">
        <f>69.4619 * CHOOSE(CONTROL!$C$9, $D$9, 100%, $F$9) + CHOOSE(CONTROL!$C$27, 0.0021, 0)</f>
        <v>69.463999999999999</v>
      </c>
      <c r="J718" s="10">
        <f>69.4619 * CHOOSE(CONTROL!$C$9, $D$9, 100%, $F$9) + CHOOSE(CONTROL!$C$27, 0.0021, 0)</f>
        <v>69.463999999999999</v>
      </c>
      <c r="K718" s="10">
        <f>69.4619 * CHOOSE(CONTROL!$C$9, $D$9, 100%, $F$9) + CHOOSE(CONTROL!$C$27, 0.0021, 0)</f>
        <v>69.463999999999999</v>
      </c>
      <c r="L718" s="10"/>
    </row>
    <row r="719" spans="1:12" ht="15.75" x14ac:dyDescent="0.25">
      <c r="A719" s="13">
        <v>63189</v>
      </c>
      <c r="B719" s="10">
        <f>68.5686 * CHOOSE(CONTROL!$C$9, $D$9, 100%, $F$9) + CHOOSE(CONTROL!$C$27, 0.0021, 0)</f>
        <v>68.570700000000002</v>
      </c>
      <c r="C719" s="10">
        <f>68.1364 * CHOOSE(CONTROL!$C$9, $D$9, 100%, $F$9) + CHOOSE(CONTROL!$C$27, 0.0021, 0)</f>
        <v>68.138499999999993</v>
      </c>
      <c r="D719" s="10">
        <f>68.1364 * CHOOSE(CONTROL!$C$9, $D$9, 100%, $F$9) + CHOOSE(CONTROL!$C$27, 0.0021, 0)</f>
        <v>68.138499999999993</v>
      </c>
      <c r="E719" s="10">
        <f>67.9997 * CHOOSE(CONTROL!$C$9, $D$9, 100%, $F$9) + CHOOSE(CONTROL!$C$27, 0.0021, 0)</f>
        <v>68.001800000000003</v>
      </c>
      <c r="F719" s="10">
        <f>67.9997 * CHOOSE(CONTROL!$C$9, $D$9, 100%, $F$9) + CHOOSE(CONTROL!$C$27, 0.0021, 0)</f>
        <v>68.001800000000003</v>
      </c>
      <c r="G719" s="10">
        <f>68.2711 * CHOOSE(CONTROL!$C$9, $D$9, 100%, $F$9) + CHOOSE(CONTROL!$C$27, 0.0021, 0)</f>
        <v>68.273200000000003</v>
      </c>
      <c r="H719" s="10">
        <f>68.1364 * CHOOSE(CONTROL!$C$9, $D$9, 100%, $F$9) + CHOOSE(CONTROL!$C$27, 0.0021, 0)</f>
        <v>68.138499999999993</v>
      </c>
      <c r="I719" s="10">
        <f>68.1364 * CHOOSE(CONTROL!$C$9, $D$9, 100%, $F$9) + CHOOSE(CONTROL!$C$27, 0.0021, 0)</f>
        <v>68.138499999999993</v>
      </c>
      <c r="J719" s="10">
        <f>68.1364 * CHOOSE(CONTROL!$C$9, $D$9, 100%, $F$9) + CHOOSE(CONTROL!$C$27, 0.0021, 0)</f>
        <v>68.138499999999993</v>
      </c>
      <c r="K719" s="10">
        <f>68.1364 * CHOOSE(CONTROL!$C$9, $D$9, 100%, $F$9) + CHOOSE(CONTROL!$C$27, 0.0021, 0)</f>
        <v>68.138499999999993</v>
      </c>
      <c r="L719" s="10"/>
    </row>
    <row r="720" spans="1:12" ht="15.75" x14ac:dyDescent="0.25">
      <c r="A720" s="13">
        <v>63220</v>
      </c>
      <c r="B720" s="10">
        <f>67.5538 * CHOOSE(CONTROL!$C$9, $D$9, 100%, $F$9) + CHOOSE(CONTROL!$C$27, 0.0021, 0)</f>
        <v>67.555899999999994</v>
      </c>
      <c r="C720" s="10">
        <f>67.1215 * CHOOSE(CONTROL!$C$9, $D$9, 100%, $F$9) + CHOOSE(CONTROL!$C$27, 0.0021, 0)</f>
        <v>67.123599999999996</v>
      </c>
      <c r="D720" s="10">
        <f>67.1215 * CHOOSE(CONTROL!$C$9, $D$9, 100%, $F$9) + CHOOSE(CONTROL!$C$27, 0.0021, 0)</f>
        <v>67.123599999999996</v>
      </c>
      <c r="E720" s="10">
        <f>66.9849 * CHOOSE(CONTROL!$C$9, $D$9, 100%, $F$9) + CHOOSE(CONTROL!$C$27, 0.0021, 0)</f>
        <v>66.986999999999995</v>
      </c>
      <c r="F720" s="10">
        <f>66.9849 * CHOOSE(CONTROL!$C$9, $D$9, 100%, $F$9) + CHOOSE(CONTROL!$C$27, 0.0021, 0)</f>
        <v>66.986999999999995</v>
      </c>
      <c r="G720" s="10">
        <f>67.2562 * CHOOSE(CONTROL!$C$9, $D$9, 100%, $F$9) + CHOOSE(CONTROL!$C$27, 0.0021, 0)</f>
        <v>67.258300000000006</v>
      </c>
      <c r="H720" s="10">
        <f>67.1215 * CHOOSE(CONTROL!$C$9, $D$9, 100%, $F$9) + CHOOSE(CONTROL!$C$27, 0.0021, 0)</f>
        <v>67.123599999999996</v>
      </c>
      <c r="I720" s="10">
        <f>67.1215 * CHOOSE(CONTROL!$C$9, $D$9, 100%, $F$9) + CHOOSE(CONTROL!$C$27, 0.0021, 0)</f>
        <v>67.123599999999996</v>
      </c>
      <c r="J720" s="10">
        <f>67.1215 * CHOOSE(CONTROL!$C$9, $D$9, 100%, $F$9) + CHOOSE(CONTROL!$C$27, 0.0021, 0)</f>
        <v>67.123599999999996</v>
      </c>
      <c r="K720" s="10">
        <f>67.1215 * CHOOSE(CONTROL!$C$9, $D$9, 100%, $F$9) + CHOOSE(CONTROL!$C$27, 0.0021, 0)</f>
        <v>67.123599999999996</v>
      </c>
      <c r="L720" s="10"/>
    </row>
    <row r="721" spans="1:12" ht="15.75" x14ac:dyDescent="0.25">
      <c r="A721" s="13">
        <v>63248</v>
      </c>
      <c r="B721" s="10">
        <f>65.7078 * CHOOSE(CONTROL!$C$9, $D$9, 100%, $F$9) + CHOOSE(CONTROL!$C$27, 0.0021, 0)</f>
        <v>65.709900000000005</v>
      </c>
      <c r="C721" s="10">
        <f>65.2756 * CHOOSE(CONTROL!$C$9, $D$9, 100%, $F$9) + CHOOSE(CONTROL!$C$27, 0.0021, 0)</f>
        <v>65.277699999999996</v>
      </c>
      <c r="D721" s="10">
        <f>65.2756 * CHOOSE(CONTROL!$C$9, $D$9, 100%, $F$9) + CHOOSE(CONTROL!$C$27, 0.0021, 0)</f>
        <v>65.277699999999996</v>
      </c>
      <c r="E721" s="10">
        <f>65.1389 * CHOOSE(CONTROL!$C$9, $D$9, 100%, $F$9) + CHOOSE(CONTROL!$C$27, 0.0021, 0)</f>
        <v>65.141000000000005</v>
      </c>
      <c r="F721" s="10">
        <f>65.1389 * CHOOSE(CONTROL!$C$9, $D$9, 100%, $F$9) + CHOOSE(CONTROL!$C$27, 0.0021, 0)</f>
        <v>65.141000000000005</v>
      </c>
      <c r="G721" s="10">
        <f>65.4103 * CHOOSE(CONTROL!$C$9, $D$9, 100%, $F$9) + CHOOSE(CONTROL!$C$27, 0.0021, 0)</f>
        <v>65.412400000000005</v>
      </c>
      <c r="H721" s="10">
        <f>65.2756 * CHOOSE(CONTROL!$C$9, $D$9, 100%, $F$9) + CHOOSE(CONTROL!$C$27, 0.0021, 0)</f>
        <v>65.277699999999996</v>
      </c>
      <c r="I721" s="10">
        <f>65.2756 * CHOOSE(CONTROL!$C$9, $D$9, 100%, $F$9) + CHOOSE(CONTROL!$C$27, 0.0021, 0)</f>
        <v>65.277699999999996</v>
      </c>
      <c r="J721" s="10">
        <f>65.2756 * CHOOSE(CONTROL!$C$9, $D$9, 100%, $F$9) + CHOOSE(CONTROL!$C$27, 0.0021, 0)</f>
        <v>65.277699999999996</v>
      </c>
      <c r="K721" s="10">
        <f>65.2756 * CHOOSE(CONTROL!$C$9, $D$9, 100%, $F$9) + CHOOSE(CONTROL!$C$27, 0.0021, 0)</f>
        <v>65.277699999999996</v>
      </c>
      <c r="L721" s="10"/>
    </row>
    <row r="722" spans="1:12" ht="15.75" x14ac:dyDescent="0.25">
      <c r="A722" s="13">
        <v>63279</v>
      </c>
      <c r="B722" s="10">
        <f>64.9458 * CHOOSE(CONTROL!$C$9, $D$9, 100%, $F$9) + CHOOSE(CONTROL!$C$27, 0.0021, 0)</f>
        <v>64.947900000000004</v>
      </c>
      <c r="C722" s="10">
        <f>64.5136 * CHOOSE(CONTROL!$C$9, $D$9, 100%, $F$9) + CHOOSE(CONTROL!$C$27, 0.0021, 0)</f>
        <v>64.515699999999995</v>
      </c>
      <c r="D722" s="10">
        <f>64.5136 * CHOOSE(CONTROL!$C$9, $D$9, 100%, $F$9) + CHOOSE(CONTROL!$C$27, 0.0021, 0)</f>
        <v>64.515699999999995</v>
      </c>
      <c r="E722" s="10">
        <f>64.3769 * CHOOSE(CONTROL!$C$9, $D$9, 100%, $F$9) + CHOOSE(CONTROL!$C$27, 0.0021, 0)</f>
        <v>64.379000000000005</v>
      </c>
      <c r="F722" s="10">
        <f>64.3769 * CHOOSE(CONTROL!$C$9, $D$9, 100%, $F$9) + CHOOSE(CONTROL!$C$27, 0.0021, 0)</f>
        <v>64.379000000000005</v>
      </c>
      <c r="G722" s="10">
        <f>64.6483 * CHOOSE(CONTROL!$C$9, $D$9, 100%, $F$9) + CHOOSE(CONTROL!$C$27, 0.0021, 0)</f>
        <v>64.650400000000005</v>
      </c>
      <c r="H722" s="10">
        <f>64.5136 * CHOOSE(CONTROL!$C$9, $D$9, 100%, $F$9) + CHOOSE(CONTROL!$C$27, 0.0021, 0)</f>
        <v>64.515699999999995</v>
      </c>
      <c r="I722" s="10">
        <f>64.5136 * CHOOSE(CONTROL!$C$9, $D$9, 100%, $F$9) + CHOOSE(CONTROL!$C$27, 0.0021, 0)</f>
        <v>64.515699999999995</v>
      </c>
      <c r="J722" s="10">
        <f>64.5136 * CHOOSE(CONTROL!$C$9, $D$9, 100%, $F$9) + CHOOSE(CONTROL!$C$27, 0.0021, 0)</f>
        <v>64.515699999999995</v>
      </c>
      <c r="K722" s="10">
        <f>64.5136 * CHOOSE(CONTROL!$C$9, $D$9, 100%, $F$9) + CHOOSE(CONTROL!$C$27, 0.0021, 0)</f>
        <v>64.515699999999995</v>
      </c>
      <c r="L722" s="10"/>
    </row>
    <row r="723" spans="1:12" ht="15.75" x14ac:dyDescent="0.25">
      <c r="A723" s="13">
        <v>63309</v>
      </c>
      <c r="B723" s="10">
        <f>64.036 * CHOOSE(CONTROL!$C$9, $D$9, 100%, $F$9) + CHOOSE(CONTROL!$C$27, 0.0021, 0)</f>
        <v>64.0381</v>
      </c>
      <c r="C723" s="10">
        <f>63.6037 * CHOOSE(CONTROL!$C$9, $D$9, 100%, $F$9) + CHOOSE(CONTROL!$C$27, 0.0021, 0)</f>
        <v>63.605800000000002</v>
      </c>
      <c r="D723" s="10">
        <f>63.6037 * CHOOSE(CONTROL!$C$9, $D$9, 100%, $F$9) + CHOOSE(CONTROL!$C$27, 0.0021, 0)</f>
        <v>63.605800000000002</v>
      </c>
      <c r="E723" s="10">
        <f>63.4671 * CHOOSE(CONTROL!$C$9, $D$9, 100%, $F$9) + CHOOSE(CONTROL!$C$27, 0.0021, 0)</f>
        <v>63.469200000000001</v>
      </c>
      <c r="F723" s="10">
        <f>63.4671 * CHOOSE(CONTROL!$C$9, $D$9, 100%, $F$9) + CHOOSE(CONTROL!$C$27, 0.0021, 0)</f>
        <v>63.469200000000001</v>
      </c>
      <c r="G723" s="10">
        <f>63.7384 * CHOOSE(CONTROL!$C$9, $D$9, 100%, $F$9) + CHOOSE(CONTROL!$C$27, 0.0021, 0)</f>
        <v>63.740499999999997</v>
      </c>
      <c r="H723" s="10">
        <f>63.6037 * CHOOSE(CONTROL!$C$9, $D$9, 100%, $F$9) + CHOOSE(CONTROL!$C$27, 0.0021, 0)</f>
        <v>63.605800000000002</v>
      </c>
      <c r="I723" s="10">
        <f>63.6037 * CHOOSE(CONTROL!$C$9, $D$9, 100%, $F$9) + CHOOSE(CONTROL!$C$27, 0.0021, 0)</f>
        <v>63.605800000000002</v>
      </c>
      <c r="J723" s="10">
        <f>63.6037 * CHOOSE(CONTROL!$C$9, $D$9, 100%, $F$9) + CHOOSE(CONTROL!$C$27, 0.0021, 0)</f>
        <v>63.605800000000002</v>
      </c>
      <c r="K723" s="10">
        <f>63.6037 * CHOOSE(CONTROL!$C$9, $D$9, 100%, $F$9) + CHOOSE(CONTROL!$C$27, 0.0021, 0)</f>
        <v>63.605800000000002</v>
      </c>
      <c r="L723" s="10"/>
    </row>
    <row r="724" spans="1:12" ht="15.75" x14ac:dyDescent="0.25">
      <c r="A724" s="13">
        <v>63340</v>
      </c>
      <c r="B724" s="10">
        <f>65.3326 * CHOOSE(CONTROL!$C$9, $D$9, 100%, $F$9) + CHOOSE(CONTROL!$C$27, 0.0021, 0)</f>
        <v>65.334699999999998</v>
      </c>
      <c r="C724" s="10">
        <f>64.9004 * CHOOSE(CONTROL!$C$9, $D$9, 100%, $F$9) + CHOOSE(CONTROL!$C$27, 0.0021, 0)</f>
        <v>64.902500000000003</v>
      </c>
      <c r="D724" s="10">
        <f>64.9004 * CHOOSE(CONTROL!$C$9, $D$9, 100%, $F$9) + CHOOSE(CONTROL!$C$27, 0.0021, 0)</f>
        <v>64.902500000000003</v>
      </c>
      <c r="E724" s="10">
        <f>64.7637 * CHOOSE(CONTROL!$C$9, $D$9, 100%, $F$9) + CHOOSE(CONTROL!$C$27, 0.0021, 0)</f>
        <v>64.765799999999999</v>
      </c>
      <c r="F724" s="10">
        <f>64.7637 * CHOOSE(CONTROL!$C$9, $D$9, 100%, $F$9) + CHOOSE(CONTROL!$C$27, 0.0021, 0)</f>
        <v>64.765799999999999</v>
      </c>
      <c r="G724" s="10">
        <f>65.0351 * CHOOSE(CONTROL!$C$9, $D$9, 100%, $F$9) + CHOOSE(CONTROL!$C$27, 0.0021, 0)</f>
        <v>65.037199999999999</v>
      </c>
      <c r="H724" s="10">
        <f>64.9004 * CHOOSE(CONTROL!$C$9, $D$9, 100%, $F$9) + CHOOSE(CONTROL!$C$27, 0.0021, 0)</f>
        <v>64.902500000000003</v>
      </c>
      <c r="I724" s="10">
        <f>64.9004 * CHOOSE(CONTROL!$C$9, $D$9, 100%, $F$9) + CHOOSE(CONTROL!$C$27, 0.0021, 0)</f>
        <v>64.902500000000003</v>
      </c>
      <c r="J724" s="10">
        <f>64.9004 * CHOOSE(CONTROL!$C$9, $D$9, 100%, $F$9) + CHOOSE(CONTROL!$C$27, 0.0021, 0)</f>
        <v>64.902500000000003</v>
      </c>
      <c r="K724" s="10">
        <f>64.9004 * CHOOSE(CONTROL!$C$9, $D$9, 100%, $F$9) + CHOOSE(CONTROL!$C$27, 0.0021, 0)</f>
        <v>64.902500000000003</v>
      </c>
      <c r="L724" s="10"/>
    </row>
    <row r="725" spans="1:12" ht="15.75" x14ac:dyDescent="0.25">
      <c r="A725" s="13">
        <v>63370</v>
      </c>
      <c r="B725" s="10">
        <f>66.1093 * CHOOSE(CONTROL!$C$9, $D$9, 100%, $F$9) + CHOOSE(CONTROL!$C$27, 0.0021, 0)</f>
        <v>66.111400000000003</v>
      </c>
      <c r="C725" s="10">
        <f>65.677 * CHOOSE(CONTROL!$C$9, $D$9, 100%, $F$9) + CHOOSE(CONTROL!$C$27, 0.0021, 0)</f>
        <v>65.679100000000005</v>
      </c>
      <c r="D725" s="10">
        <f>65.677 * CHOOSE(CONTROL!$C$9, $D$9, 100%, $F$9) + CHOOSE(CONTROL!$C$27, 0.0021, 0)</f>
        <v>65.679100000000005</v>
      </c>
      <c r="E725" s="10">
        <f>65.5404 * CHOOSE(CONTROL!$C$9, $D$9, 100%, $F$9) + CHOOSE(CONTROL!$C$27, 0.0021, 0)</f>
        <v>65.542500000000004</v>
      </c>
      <c r="F725" s="10">
        <f>65.5404 * CHOOSE(CONTROL!$C$9, $D$9, 100%, $F$9) + CHOOSE(CONTROL!$C$27, 0.0021, 0)</f>
        <v>65.542500000000004</v>
      </c>
      <c r="G725" s="10">
        <f>65.8117 * CHOOSE(CONTROL!$C$9, $D$9, 100%, $F$9) + CHOOSE(CONTROL!$C$27, 0.0021, 0)</f>
        <v>65.813800000000001</v>
      </c>
      <c r="H725" s="10">
        <f>65.677 * CHOOSE(CONTROL!$C$9, $D$9, 100%, $F$9) + CHOOSE(CONTROL!$C$27, 0.0021, 0)</f>
        <v>65.679100000000005</v>
      </c>
      <c r="I725" s="10">
        <f>65.677 * CHOOSE(CONTROL!$C$9, $D$9, 100%, $F$9) + CHOOSE(CONTROL!$C$27, 0.0021, 0)</f>
        <v>65.679100000000005</v>
      </c>
      <c r="J725" s="10">
        <f>65.677 * CHOOSE(CONTROL!$C$9, $D$9, 100%, $F$9) + CHOOSE(CONTROL!$C$27, 0.0021, 0)</f>
        <v>65.679100000000005</v>
      </c>
      <c r="K725" s="10">
        <f>65.677 * CHOOSE(CONTROL!$C$9, $D$9, 100%, $F$9) + CHOOSE(CONTROL!$C$27, 0.0021, 0)</f>
        <v>65.679100000000005</v>
      </c>
      <c r="L725" s="10"/>
    </row>
    <row r="726" spans="1:12" ht="15.75" x14ac:dyDescent="0.25">
      <c r="A726" s="13">
        <v>63401</v>
      </c>
      <c r="B726" s="10">
        <f>67.3904 * CHOOSE(CONTROL!$C$9, $D$9, 100%, $F$9) + CHOOSE(CONTROL!$C$27, 0.0021, 0)</f>
        <v>67.392499999999998</v>
      </c>
      <c r="C726" s="10">
        <f>66.9582 * CHOOSE(CONTROL!$C$9, $D$9, 100%, $F$9) + CHOOSE(CONTROL!$C$27, 0.0021, 0)</f>
        <v>66.960300000000004</v>
      </c>
      <c r="D726" s="10">
        <f>66.9582 * CHOOSE(CONTROL!$C$9, $D$9, 100%, $F$9) + CHOOSE(CONTROL!$C$27, 0.0021, 0)</f>
        <v>66.960300000000004</v>
      </c>
      <c r="E726" s="10">
        <f>66.8215 * CHOOSE(CONTROL!$C$9, $D$9, 100%, $F$9) + CHOOSE(CONTROL!$C$27, 0.0021, 0)</f>
        <v>66.823599999999999</v>
      </c>
      <c r="F726" s="10">
        <f>66.8215 * CHOOSE(CONTROL!$C$9, $D$9, 100%, $F$9) + CHOOSE(CONTROL!$C$27, 0.0021, 0)</f>
        <v>66.823599999999999</v>
      </c>
      <c r="G726" s="10">
        <f>67.0929 * CHOOSE(CONTROL!$C$9, $D$9, 100%, $F$9) + CHOOSE(CONTROL!$C$27, 0.0021, 0)</f>
        <v>67.094999999999999</v>
      </c>
      <c r="H726" s="10">
        <f>66.9582 * CHOOSE(CONTROL!$C$9, $D$9, 100%, $F$9) + CHOOSE(CONTROL!$C$27, 0.0021, 0)</f>
        <v>66.960300000000004</v>
      </c>
      <c r="I726" s="10">
        <f>66.9582 * CHOOSE(CONTROL!$C$9, $D$9, 100%, $F$9) + CHOOSE(CONTROL!$C$27, 0.0021, 0)</f>
        <v>66.960300000000004</v>
      </c>
      <c r="J726" s="10">
        <f>66.9582 * CHOOSE(CONTROL!$C$9, $D$9, 100%, $F$9) + CHOOSE(CONTROL!$C$27, 0.0021, 0)</f>
        <v>66.960300000000004</v>
      </c>
      <c r="K726" s="10">
        <f>66.9582 * CHOOSE(CONTROL!$C$9, $D$9, 100%, $F$9) + CHOOSE(CONTROL!$C$27, 0.0021, 0)</f>
        <v>66.960300000000004</v>
      </c>
      <c r="L726" s="10"/>
    </row>
    <row r="727" spans="1:12" ht="15.75" x14ac:dyDescent="0.25">
      <c r="A727" s="13">
        <v>63432</v>
      </c>
      <c r="B727" s="10">
        <f>67.7815 * CHOOSE(CONTROL!$C$9, $D$9, 100%, $F$9) + CHOOSE(CONTROL!$C$27, 0.0021, 0)</f>
        <v>67.783599999999993</v>
      </c>
      <c r="C727" s="10">
        <f>67.3492 * CHOOSE(CONTROL!$C$9, $D$9, 100%, $F$9) + CHOOSE(CONTROL!$C$27, 0.0021, 0)</f>
        <v>67.351299999999995</v>
      </c>
      <c r="D727" s="10">
        <f>67.3492 * CHOOSE(CONTROL!$C$9, $D$9, 100%, $F$9) + CHOOSE(CONTROL!$C$27, 0.0021, 0)</f>
        <v>67.351299999999995</v>
      </c>
      <c r="E727" s="10">
        <f>67.2126 * CHOOSE(CONTROL!$C$9, $D$9, 100%, $F$9) + CHOOSE(CONTROL!$C$27, 0.0021, 0)</f>
        <v>67.214699999999993</v>
      </c>
      <c r="F727" s="10">
        <f>67.2126 * CHOOSE(CONTROL!$C$9, $D$9, 100%, $F$9) + CHOOSE(CONTROL!$C$27, 0.0021, 0)</f>
        <v>67.214699999999993</v>
      </c>
      <c r="G727" s="10">
        <f>67.4839 * CHOOSE(CONTROL!$C$9, $D$9, 100%, $F$9) + CHOOSE(CONTROL!$C$27, 0.0021, 0)</f>
        <v>67.486000000000004</v>
      </c>
      <c r="H727" s="10">
        <f>67.3492 * CHOOSE(CONTROL!$C$9, $D$9, 100%, $F$9) + CHOOSE(CONTROL!$C$27, 0.0021, 0)</f>
        <v>67.351299999999995</v>
      </c>
      <c r="I727" s="10">
        <f>67.3492 * CHOOSE(CONTROL!$C$9, $D$9, 100%, $F$9) + CHOOSE(CONTROL!$C$27, 0.0021, 0)</f>
        <v>67.351299999999995</v>
      </c>
      <c r="J727" s="10">
        <f>67.3492 * CHOOSE(CONTROL!$C$9, $D$9, 100%, $F$9) + CHOOSE(CONTROL!$C$27, 0.0021, 0)</f>
        <v>67.351299999999995</v>
      </c>
      <c r="K727" s="10">
        <f>67.3492 * CHOOSE(CONTROL!$C$9, $D$9, 100%, $F$9) + CHOOSE(CONTROL!$C$27, 0.0021, 0)</f>
        <v>67.351299999999995</v>
      </c>
      <c r="L727" s="10"/>
    </row>
    <row r="728" spans="1:12" ht="15.75" x14ac:dyDescent="0.25">
      <c r="A728" s="13">
        <v>63462</v>
      </c>
      <c r="B728" s="10">
        <f>69.1132 * CHOOSE(CONTROL!$C$9, $D$9, 100%, $F$9) + CHOOSE(CONTROL!$C$27, 0.0021, 0)</f>
        <v>69.115300000000005</v>
      </c>
      <c r="C728" s="10">
        <f>68.6809 * CHOOSE(CONTROL!$C$9, $D$9, 100%, $F$9) + CHOOSE(CONTROL!$C$27, 0.0021, 0)</f>
        <v>68.682999999999993</v>
      </c>
      <c r="D728" s="10">
        <f>68.6809 * CHOOSE(CONTROL!$C$9, $D$9, 100%, $F$9) + CHOOSE(CONTROL!$C$27, 0.0021, 0)</f>
        <v>68.682999999999993</v>
      </c>
      <c r="E728" s="10">
        <f>68.5443 * CHOOSE(CONTROL!$C$9, $D$9, 100%, $F$9) + CHOOSE(CONTROL!$C$27, 0.0021, 0)</f>
        <v>68.546400000000006</v>
      </c>
      <c r="F728" s="10">
        <f>68.5443 * CHOOSE(CONTROL!$C$9, $D$9, 100%, $F$9) + CHOOSE(CONTROL!$C$27, 0.0021, 0)</f>
        <v>68.546400000000006</v>
      </c>
      <c r="G728" s="10">
        <f>68.8157 * CHOOSE(CONTROL!$C$9, $D$9, 100%, $F$9) + CHOOSE(CONTROL!$C$27, 0.0021, 0)</f>
        <v>68.817800000000005</v>
      </c>
      <c r="H728" s="10">
        <f>68.6809 * CHOOSE(CONTROL!$C$9, $D$9, 100%, $F$9) + CHOOSE(CONTROL!$C$27, 0.0021, 0)</f>
        <v>68.682999999999993</v>
      </c>
      <c r="I728" s="10">
        <f>68.6809 * CHOOSE(CONTROL!$C$9, $D$9, 100%, $F$9) + CHOOSE(CONTROL!$C$27, 0.0021, 0)</f>
        <v>68.682999999999993</v>
      </c>
      <c r="J728" s="10">
        <f>68.6809 * CHOOSE(CONTROL!$C$9, $D$9, 100%, $F$9) + CHOOSE(CONTROL!$C$27, 0.0021, 0)</f>
        <v>68.682999999999993</v>
      </c>
      <c r="K728" s="10">
        <f>68.6809 * CHOOSE(CONTROL!$C$9, $D$9, 100%, $F$9) + CHOOSE(CONTROL!$C$27, 0.0021, 0)</f>
        <v>68.682999999999993</v>
      </c>
      <c r="L728" s="10"/>
    </row>
    <row r="729" spans="1:12" ht="15.75" x14ac:dyDescent="0.25">
      <c r="A729" s="13">
        <v>63493</v>
      </c>
      <c r="B729" s="10">
        <f>70.7989 * CHOOSE(CONTROL!$C$9, $D$9, 100%, $F$9) + CHOOSE(CONTROL!$C$27, 0.0021, 0)</f>
        <v>70.801000000000002</v>
      </c>
      <c r="C729" s="10">
        <f>70.3667 * CHOOSE(CONTROL!$C$9, $D$9, 100%, $F$9) + CHOOSE(CONTROL!$C$27, 0.0021, 0)</f>
        <v>70.368799999999993</v>
      </c>
      <c r="D729" s="10">
        <f>70.3667 * CHOOSE(CONTROL!$C$9, $D$9, 100%, $F$9) + CHOOSE(CONTROL!$C$27, 0.0021, 0)</f>
        <v>70.368799999999993</v>
      </c>
      <c r="E729" s="10">
        <f>70.23 * CHOOSE(CONTROL!$C$9, $D$9, 100%, $F$9) + CHOOSE(CONTROL!$C$27, 0.0021, 0)</f>
        <v>70.232100000000003</v>
      </c>
      <c r="F729" s="10">
        <f>70.23 * CHOOSE(CONTROL!$C$9, $D$9, 100%, $F$9) + CHOOSE(CONTROL!$C$27, 0.0021, 0)</f>
        <v>70.232100000000003</v>
      </c>
      <c r="G729" s="10">
        <f>70.5014 * CHOOSE(CONTROL!$C$9, $D$9, 100%, $F$9) + CHOOSE(CONTROL!$C$27, 0.0021, 0)</f>
        <v>70.503500000000003</v>
      </c>
      <c r="H729" s="10">
        <f>70.3667 * CHOOSE(CONTROL!$C$9, $D$9, 100%, $F$9) + CHOOSE(CONTROL!$C$27, 0.0021, 0)</f>
        <v>70.368799999999993</v>
      </c>
      <c r="I729" s="10">
        <f>70.3667 * CHOOSE(CONTROL!$C$9, $D$9, 100%, $F$9) + CHOOSE(CONTROL!$C$27, 0.0021, 0)</f>
        <v>70.368799999999993</v>
      </c>
      <c r="J729" s="10">
        <f>70.3667 * CHOOSE(CONTROL!$C$9, $D$9, 100%, $F$9) + CHOOSE(CONTROL!$C$27, 0.0021, 0)</f>
        <v>70.368799999999993</v>
      </c>
      <c r="K729" s="10">
        <f>70.3667 * CHOOSE(CONTROL!$C$9, $D$9, 100%, $F$9) + CHOOSE(CONTROL!$C$27, 0.0021, 0)</f>
        <v>70.368799999999993</v>
      </c>
      <c r="L729" s="10"/>
    </row>
    <row r="730" spans="1:12" ht="15.75" x14ac:dyDescent="0.25">
      <c r="A730" s="13">
        <v>63523</v>
      </c>
      <c r="B730" s="10">
        <f>70.9572 * CHOOSE(CONTROL!$C$9, $D$9, 100%, $F$9) + CHOOSE(CONTROL!$C$27, 0.0021, 0)</f>
        <v>70.959299999999999</v>
      </c>
      <c r="C730" s="10">
        <f>70.5249 * CHOOSE(CONTROL!$C$9, $D$9, 100%, $F$9) + CHOOSE(CONTROL!$C$27, 0.0021, 0)</f>
        <v>70.527000000000001</v>
      </c>
      <c r="D730" s="10">
        <f>70.5249 * CHOOSE(CONTROL!$C$9, $D$9, 100%, $F$9) + CHOOSE(CONTROL!$C$27, 0.0021, 0)</f>
        <v>70.527000000000001</v>
      </c>
      <c r="E730" s="10">
        <f>70.3883 * CHOOSE(CONTROL!$C$9, $D$9, 100%, $F$9) + CHOOSE(CONTROL!$C$27, 0.0021, 0)</f>
        <v>70.3904</v>
      </c>
      <c r="F730" s="10">
        <f>70.3883 * CHOOSE(CONTROL!$C$9, $D$9, 100%, $F$9) + CHOOSE(CONTROL!$C$27, 0.0021, 0)</f>
        <v>70.3904</v>
      </c>
      <c r="G730" s="10">
        <f>70.6596 * CHOOSE(CONTROL!$C$9, $D$9, 100%, $F$9) + CHOOSE(CONTROL!$C$27, 0.0021, 0)</f>
        <v>70.661699999999996</v>
      </c>
      <c r="H730" s="10">
        <f>70.5249 * CHOOSE(CONTROL!$C$9, $D$9, 100%, $F$9) + CHOOSE(CONTROL!$C$27, 0.0021, 0)</f>
        <v>70.527000000000001</v>
      </c>
      <c r="I730" s="10">
        <f>70.5249 * CHOOSE(CONTROL!$C$9, $D$9, 100%, $F$9) + CHOOSE(CONTROL!$C$27, 0.0021, 0)</f>
        <v>70.527000000000001</v>
      </c>
      <c r="J730" s="10">
        <f>70.5249 * CHOOSE(CONTROL!$C$9, $D$9, 100%, $F$9) + CHOOSE(CONTROL!$C$27, 0.0021, 0)</f>
        <v>70.527000000000001</v>
      </c>
      <c r="K730" s="10">
        <f>70.5249 * CHOOSE(CONTROL!$C$9, $D$9, 100%, $F$9) + CHOOSE(CONTROL!$C$27, 0.0021, 0)</f>
        <v>70.527000000000001</v>
      </c>
      <c r="L730" s="10"/>
    </row>
    <row r="731" spans="1:12" ht="15.75" x14ac:dyDescent="0.25">
      <c r="A731" s="13">
        <v>63554</v>
      </c>
      <c r="B731" s="10">
        <f>69.6108 * CHOOSE(CONTROL!$C$9, $D$9, 100%, $F$9) + CHOOSE(CONTROL!$C$27, 0.0021, 0)</f>
        <v>69.612899999999996</v>
      </c>
      <c r="C731" s="10">
        <f>69.1786 * CHOOSE(CONTROL!$C$9, $D$9, 100%, $F$9) + CHOOSE(CONTROL!$C$27, 0.0021, 0)</f>
        <v>69.180700000000002</v>
      </c>
      <c r="D731" s="10">
        <f>69.1786 * CHOOSE(CONTROL!$C$9, $D$9, 100%, $F$9) + CHOOSE(CONTROL!$C$27, 0.0021, 0)</f>
        <v>69.180700000000002</v>
      </c>
      <c r="E731" s="10">
        <f>69.0419 * CHOOSE(CONTROL!$C$9, $D$9, 100%, $F$9) + CHOOSE(CONTROL!$C$27, 0.0021, 0)</f>
        <v>69.043999999999997</v>
      </c>
      <c r="F731" s="10">
        <f>69.0419 * CHOOSE(CONTROL!$C$9, $D$9, 100%, $F$9) + CHOOSE(CONTROL!$C$27, 0.0021, 0)</f>
        <v>69.043999999999997</v>
      </c>
      <c r="G731" s="10">
        <f>69.3133 * CHOOSE(CONTROL!$C$9, $D$9, 100%, $F$9) + CHOOSE(CONTROL!$C$27, 0.0021, 0)</f>
        <v>69.315399999999997</v>
      </c>
      <c r="H731" s="10">
        <f>69.1786 * CHOOSE(CONTROL!$C$9, $D$9, 100%, $F$9) + CHOOSE(CONTROL!$C$27, 0.0021, 0)</f>
        <v>69.180700000000002</v>
      </c>
      <c r="I731" s="10">
        <f>69.1786 * CHOOSE(CONTROL!$C$9, $D$9, 100%, $F$9) + CHOOSE(CONTROL!$C$27, 0.0021, 0)</f>
        <v>69.180700000000002</v>
      </c>
      <c r="J731" s="10">
        <f>69.1786 * CHOOSE(CONTROL!$C$9, $D$9, 100%, $F$9) + CHOOSE(CONTROL!$C$27, 0.0021, 0)</f>
        <v>69.180700000000002</v>
      </c>
      <c r="K731" s="10">
        <f>69.1786 * CHOOSE(CONTROL!$C$9, $D$9, 100%, $F$9) + CHOOSE(CONTROL!$C$27, 0.0021, 0)</f>
        <v>69.180700000000002</v>
      </c>
      <c r="L731" s="10"/>
    </row>
    <row r="732" spans="1:12" ht="15.75" x14ac:dyDescent="0.25">
      <c r="A732" s="13">
        <v>63585</v>
      </c>
      <c r="B732" s="10">
        <f>68.58 * CHOOSE(CONTROL!$C$9, $D$9, 100%, $F$9) + CHOOSE(CONTROL!$C$27, 0.0021, 0)</f>
        <v>68.582099999999997</v>
      </c>
      <c r="C732" s="10">
        <f>68.1478 * CHOOSE(CONTROL!$C$9, $D$9, 100%, $F$9) + CHOOSE(CONTROL!$C$27, 0.0021, 0)</f>
        <v>68.149900000000002</v>
      </c>
      <c r="D732" s="10">
        <f>68.1478 * CHOOSE(CONTROL!$C$9, $D$9, 100%, $F$9) + CHOOSE(CONTROL!$C$27, 0.0021, 0)</f>
        <v>68.149900000000002</v>
      </c>
      <c r="E732" s="10">
        <f>68.0111 * CHOOSE(CONTROL!$C$9, $D$9, 100%, $F$9) + CHOOSE(CONTROL!$C$27, 0.0021, 0)</f>
        <v>68.013199999999998</v>
      </c>
      <c r="F732" s="10">
        <f>68.0111 * CHOOSE(CONTROL!$C$9, $D$9, 100%, $F$9) + CHOOSE(CONTROL!$C$27, 0.0021, 0)</f>
        <v>68.013199999999998</v>
      </c>
      <c r="G732" s="10">
        <f>68.2825 * CHOOSE(CONTROL!$C$9, $D$9, 100%, $F$9) + CHOOSE(CONTROL!$C$27, 0.0021, 0)</f>
        <v>68.284599999999998</v>
      </c>
      <c r="H732" s="10">
        <f>68.1478 * CHOOSE(CONTROL!$C$9, $D$9, 100%, $F$9) + CHOOSE(CONTROL!$C$27, 0.0021, 0)</f>
        <v>68.149900000000002</v>
      </c>
      <c r="I732" s="10">
        <f>68.1478 * CHOOSE(CONTROL!$C$9, $D$9, 100%, $F$9) + CHOOSE(CONTROL!$C$27, 0.0021, 0)</f>
        <v>68.149900000000002</v>
      </c>
      <c r="J732" s="10">
        <f>68.1478 * CHOOSE(CONTROL!$C$9, $D$9, 100%, $F$9) + CHOOSE(CONTROL!$C$27, 0.0021, 0)</f>
        <v>68.149900000000002</v>
      </c>
      <c r="K732" s="10">
        <f>68.1478 * CHOOSE(CONTROL!$C$9, $D$9, 100%, $F$9) + CHOOSE(CONTROL!$C$27, 0.0021, 0)</f>
        <v>68.149900000000002</v>
      </c>
      <c r="L732" s="10"/>
    </row>
    <row r="733" spans="1:12" ht="15.75" x14ac:dyDescent="0.25">
      <c r="A733" s="13">
        <v>63613</v>
      </c>
      <c r="B733" s="10">
        <f>66.705 * CHOOSE(CONTROL!$C$9, $D$9, 100%, $F$9) + CHOOSE(CONTROL!$C$27, 0.0021, 0)</f>
        <v>66.707099999999997</v>
      </c>
      <c r="C733" s="10">
        <f>66.2728 * CHOOSE(CONTROL!$C$9, $D$9, 100%, $F$9) + CHOOSE(CONTROL!$C$27, 0.0021, 0)</f>
        <v>66.274900000000002</v>
      </c>
      <c r="D733" s="10">
        <f>66.2728 * CHOOSE(CONTROL!$C$9, $D$9, 100%, $F$9) + CHOOSE(CONTROL!$C$27, 0.0021, 0)</f>
        <v>66.274900000000002</v>
      </c>
      <c r="E733" s="10">
        <f>66.1361 * CHOOSE(CONTROL!$C$9, $D$9, 100%, $F$9) + CHOOSE(CONTROL!$C$27, 0.0021, 0)</f>
        <v>66.138199999999998</v>
      </c>
      <c r="F733" s="10">
        <f>66.1361 * CHOOSE(CONTROL!$C$9, $D$9, 100%, $F$9) + CHOOSE(CONTROL!$C$27, 0.0021, 0)</f>
        <v>66.138199999999998</v>
      </c>
      <c r="G733" s="10">
        <f>66.4075 * CHOOSE(CONTROL!$C$9, $D$9, 100%, $F$9) + CHOOSE(CONTROL!$C$27, 0.0021, 0)</f>
        <v>66.409599999999998</v>
      </c>
      <c r="H733" s="10">
        <f>66.2728 * CHOOSE(CONTROL!$C$9, $D$9, 100%, $F$9) + CHOOSE(CONTROL!$C$27, 0.0021, 0)</f>
        <v>66.274900000000002</v>
      </c>
      <c r="I733" s="10">
        <f>66.2728 * CHOOSE(CONTROL!$C$9, $D$9, 100%, $F$9) + CHOOSE(CONTROL!$C$27, 0.0021, 0)</f>
        <v>66.274900000000002</v>
      </c>
      <c r="J733" s="10">
        <f>66.2728 * CHOOSE(CONTROL!$C$9, $D$9, 100%, $F$9) + CHOOSE(CONTROL!$C$27, 0.0021, 0)</f>
        <v>66.274900000000002</v>
      </c>
      <c r="K733" s="10">
        <f>66.2728 * CHOOSE(CONTROL!$C$9, $D$9, 100%, $F$9) + CHOOSE(CONTROL!$C$27, 0.0021, 0)</f>
        <v>66.274900000000002</v>
      </c>
      <c r="L733" s="10"/>
    </row>
    <row r="734" spans="1:12" ht="15.75" x14ac:dyDescent="0.25">
      <c r="A734" s="13">
        <v>63644</v>
      </c>
      <c r="B734" s="10">
        <f>65.931 * CHOOSE(CONTROL!$C$9, $D$9, 100%, $F$9) + CHOOSE(CONTROL!$C$27, 0.0021, 0)</f>
        <v>65.933099999999996</v>
      </c>
      <c r="C734" s="10">
        <f>65.4988 * CHOOSE(CONTROL!$C$9, $D$9, 100%, $F$9) + CHOOSE(CONTROL!$C$27, 0.0021, 0)</f>
        <v>65.500900000000001</v>
      </c>
      <c r="D734" s="10">
        <f>65.4988 * CHOOSE(CONTROL!$C$9, $D$9, 100%, $F$9) + CHOOSE(CONTROL!$C$27, 0.0021, 0)</f>
        <v>65.500900000000001</v>
      </c>
      <c r="E734" s="10">
        <f>65.3621 * CHOOSE(CONTROL!$C$9, $D$9, 100%, $F$9) + CHOOSE(CONTROL!$C$27, 0.0021, 0)</f>
        <v>65.364199999999997</v>
      </c>
      <c r="F734" s="10">
        <f>65.3621 * CHOOSE(CONTROL!$C$9, $D$9, 100%, $F$9) + CHOOSE(CONTROL!$C$27, 0.0021, 0)</f>
        <v>65.364199999999997</v>
      </c>
      <c r="G734" s="10">
        <f>65.6335 * CHOOSE(CONTROL!$C$9, $D$9, 100%, $F$9) + CHOOSE(CONTROL!$C$27, 0.0021, 0)</f>
        <v>65.635599999999997</v>
      </c>
      <c r="H734" s="10">
        <f>65.4988 * CHOOSE(CONTROL!$C$9, $D$9, 100%, $F$9) + CHOOSE(CONTROL!$C$27, 0.0021, 0)</f>
        <v>65.500900000000001</v>
      </c>
      <c r="I734" s="10">
        <f>65.4988 * CHOOSE(CONTROL!$C$9, $D$9, 100%, $F$9) + CHOOSE(CONTROL!$C$27, 0.0021, 0)</f>
        <v>65.500900000000001</v>
      </c>
      <c r="J734" s="10">
        <f>65.4988 * CHOOSE(CONTROL!$C$9, $D$9, 100%, $F$9) + CHOOSE(CONTROL!$C$27, 0.0021, 0)</f>
        <v>65.500900000000001</v>
      </c>
      <c r="K734" s="10">
        <f>65.4988 * CHOOSE(CONTROL!$C$9, $D$9, 100%, $F$9) + CHOOSE(CONTROL!$C$27, 0.0021, 0)</f>
        <v>65.500900000000001</v>
      </c>
      <c r="L734" s="10"/>
    </row>
    <row r="735" spans="1:12" ht="15.75" x14ac:dyDescent="0.25">
      <c r="A735" s="13">
        <v>63674</v>
      </c>
      <c r="B735" s="10">
        <f>65.0069 * CHOOSE(CONTROL!$C$9, $D$9, 100%, $F$9) + CHOOSE(CONTROL!$C$27, 0.0021, 0)</f>
        <v>65.009</v>
      </c>
      <c r="C735" s="10">
        <f>64.5746 * CHOOSE(CONTROL!$C$9, $D$9, 100%, $F$9) + CHOOSE(CONTROL!$C$27, 0.0021, 0)</f>
        <v>64.576700000000002</v>
      </c>
      <c r="D735" s="10">
        <f>64.5746 * CHOOSE(CONTROL!$C$9, $D$9, 100%, $F$9) + CHOOSE(CONTROL!$C$27, 0.0021, 0)</f>
        <v>64.576700000000002</v>
      </c>
      <c r="E735" s="10">
        <f>64.438 * CHOOSE(CONTROL!$C$9, $D$9, 100%, $F$9) + CHOOSE(CONTROL!$C$27, 0.0021, 0)</f>
        <v>64.440100000000001</v>
      </c>
      <c r="F735" s="10">
        <f>64.438 * CHOOSE(CONTROL!$C$9, $D$9, 100%, $F$9) + CHOOSE(CONTROL!$C$27, 0.0021, 0)</f>
        <v>64.440100000000001</v>
      </c>
      <c r="G735" s="10">
        <f>64.7094 * CHOOSE(CONTROL!$C$9, $D$9, 100%, $F$9) + CHOOSE(CONTROL!$C$27, 0.0021, 0)</f>
        <v>64.711500000000001</v>
      </c>
      <c r="H735" s="10">
        <f>64.5746 * CHOOSE(CONTROL!$C$9, $D$9, 100%, $F$9) + CHOOSE(CONTROL!$C$27, 0.0021, 0)</f>
        <v>64.576700000000002</v>
      </c>
      <c r="I735" s="10">
        <f>64.5746 * CHOOSE(CONTROL!$C$9, $D$9, 100%, $F$9) + CHOOSE(CONTROL!$C$27, 0.0021, 0)</f>
        <v>64.576700000000002</v>
      </c>
      <c r="J735" s="10">
        <f>64.5746 * CHOOSE(CONTROL!$C$9, $D$9, 100%, $F$9) + CHOOSE(CONTROL!$C$27, 0.0021, 0)</f>
        <v>64.576700000000002</v>
      </c>
      <c r="K735" s="10">
        <f>64.5746 * CHOOSE(CONTROL!$C$9, $D$9, 100%, $F$9) + CHOOSE(CONTROL!$C$27, 0.0021, 0)</f>
        <v>64.576700000000002</v>
      </c>
      <c r="L735" s="10"/>
    </row>
    <row r="736" spans="1:12" ht="15.75" x14ac:dyDescent="0.25">
      <c r="A736" s="13">
        <v>63705</v>
      </c>
      <c r="B736" s="10">
        <f>66.3239 * CHOOSE(CONTROL!$C$9, $D$9, 100%, $F$9) + CHOOSE(CONTROL!$C$27, 0.0021, 0)</f>
        <v>66.325999999999993</v>
      </c>
      <c r="C736" s="10">
        <f>65.8917 * CHOOSE(CONTROL!$C$9, $D$9, 100%, $F$9) + CHOOSE(CONTROL!$C$27, 0.0021, 0)</f>
        <v>65.893799999999999</v>
      </c>
      <c r="D736" s="10">
        <f>65.8917 * CHOOSE(CONTROL!$C$9, $D$9, 100%, $F$9) + CHOOSE(CONTROL!$C$27, 0.0021, 0)</f>
        <v>65.893799999999999</v>
      </c>
      <c r="E736" s="10">
        <f>65.755 * CHOOSE(CONTROL!$C$9, $D$9, 100%, $F$9) + CHOOSE(CONTROL!$C$27, 0.0021, 0)</f>
        <v>65.757099999999994</v>
      </c>
      <c r="F736" s="10">
        <f>65.755 * CHOOSE(CONTROL!$C$9, $D$9, 100%, $F$9) + CHOOSE(CONTROL!$C$27, 0.0021, 0)</f>
        <v>65.757099999999994</v>
      </c>
      <c r="G736" s="10">
        <f>66.0264 * CHOOSE(CONTROL!$C$9, $D$9, 100%, $F$9) + CHOOSE(CONTROL!$C$27, 0.0021, 0)</f>
        <v>66.028499999999994</v>
      </c>
      <c r="H736" s="10">
        <f>65.8917 * CHOOSE(CONTROL!$C$9, $D$9, 100%, $F$9) + CHOOSE(CONTROL!$C$27, 0.0021, 0)</f>
        <v>65.893799999999999</v>
      </c>
      <c r="I736" s="10">
        <f>65.8917 * CHOOSE(CONTROL!$C$9, $D$9, 100%, $F$9) + CHOOSE(CONTROL!$C$27, 0.0021, 0)</f>
        <v>65.893799999999999</v>
      </c>
      <c r="J736" s="10">
        <f>65.8917 * CHOOSE(CONTROL!$C$9, $D$9, 100%, $F$9) + CHOOSE(CONTROL!$C$27, 0.0021, 0)</f>
        <v>65.893799999999999</v>
      </c>
      <c r="K736" s="10">
        <f>65.8917 * CHOOSE(CONTROL!$C$9, $D$9, 100%, $F$9) + CHOOSE(CONTROL!$C$27, 0.0021, 0)</f>
        <v>65.893799999999999</v>
      </c>
      <c r="L736" s="10"/>
    </row>
    <row r="737" spans="1:12" ht="15.75" x14ac:dyDescent="0.25">
      <c r="A737" s="13">
        <v>63735</v>
      </c>
      <c r="B737" s="10">
        <f>67.1128 * CHOOSE(CONTROL!$C$9, $D$9, 100%, $F$9) + CHOOSE(CONTROL!$C$27, 0.0021, 0)</f>
        <v>67.114899999999992</v>
      </c>
      <c r="C737" s="10">
        <f>66.6805 * CHOOSE(CONTROL!$C$9, $D$9, 100%, $F$9) + CHOOSE(CONTROL!$C$27, 0.0021, 0)</f>
        <v>66.682599999999994</v>
      </c>
      <c r="D737" s="10">
        <f>66.6805 * CHOOSE(CONTROL!$C$9, $D$9, 100%, $F$9) + CHOOSE(CONTROL!$C$27, 0.0021, 0)</f>
        <v>66.682599999999994</v>
      </c>
      <c r="E737" s="10">
        <f>66.5439 * CHOOSE(CONTROL!$C$9, $D$9, 100%, $F$9) + CHOOSE(CONTROL!$C$27, 0.0021, 0)</f>
        <v>66.545999999999992</v>
      </c>
      <c r="F737" s="10">
        <f>66.5439 * CHOOSE(CONTROL!$C$9, $D$9, 100%, $F$9) + CHOOSE(CONTROL!$C$27, 0.0021, 0)</f>
        <v>66.545999999999992</v>
      </c>
      <c r="G737" s="10">
        <f>66.8152 * CHOOSE(CONTROL!$C$9, $D$9, 100%, $F$9) + CHOOSE(CONTROL!$C$27, 0.0021, 0)</f>
        <v>66.817300000000003</v>
      </c>
      <c r="H737" s="10">
        <f>66.6805 * CHOOSE(CONTROL!$C$9, $D$9, 100%, $F$9) + CHOOSE(CONTROL!$C$27, 0.0021, 0)</f>
        <v>66.682599999999994</v>
      </c>
      <c r="I737" s="10">
        <f>66.6805 * CHOOSE(CONTROL!$C$9, $D$9, 100%, $F$9) + CHOOSE(CONTROL!$C$27, 0.0021, 0)</f>
        <v>66.682599999999994</v>
      </c>
      <c r="J737" s="10">
        <f>66.6805 * CHOOSE(CONTROL!$C$9, $D$9, 100%, $F$9) + CHOOSE(CONTROL!$C$27, 0.0021, 0)</f>
        <v>66.682599999999994</v>
      </c>
      <c r="K737" s="10">
        <f>66.6805 * CHOOSE(CONTROL!$C$9, $D$9, 100%, $F$9) + CHOOSE(CONTROL!$C$27, 0.0021, 0)</f>
        <v>66.682599999999994</v>
      </c>
      <c r="L737" s="10"/>
    </row>
    <row r="738" spans="1:12" ht="15.75" x14ac:dyDescent="0.25">
      <c r="A738" s="13">
        <v>63766</v>
      </c>
      <c r="B738" s="10">
        <f>68.4141 * CHOOSE(CONTROL!$C$9, $D$9, 100%, $F$9) + CHOOSE(CONTROL!$C$27, 0.0021, 0)</f>
        <v>68.416200000000003</v>
      </c>
      <c r="C738" s="10">
        <f>67.9818 * CHOOSE(CONTROL!$C$9, $D$9, 100%, $F$9) + CHOOSE(CONTROL!$C$27, 0.0021, 0)</f>
        <v>67.983900000000006</v>
      </c>
      <c r="D738" s="10">
        <f>67.9818 * CHOOSE(CONTROL!$C$9, $D$9, 100%, $F$9) + CHOOSE(CONTROL!$C$27, 0.0021, 0)</f>
        <v>67.983900000000006</v>
      </c>
      <c r="E738" s="10">
        <f>67.8452 * CHOOSE(CONTROL!$C$9, $D$9, 100%, $F$9) + CHOOSE(CONTROL!$C$27, 0.0021, 0)</f>
        <v>67.847300000000004</v>
      </c>
      <c r="F738" s="10">
        <f>67.8452 * CHOOSE(CONTROL!$C$9, $D$9, 100%, $F$9) + CHOOSE(CONTROL!$C$27, 0.0021, 0)</f>
        <v>67.847300000000004</v>
      </c>
      <c r="G738" s="10">
        <f>68.1166 * CHOOSE(CONTROL!$C$9, $D$9, 100%, $F$9) + CHOOSE(CONTROL!$C$27, 0.0021, 0)</f>
        <v>68.118700000000004</v>
      </c>
      <c r="H738" s="10">
        <f>67.9818 * CHOOSE(CONTROL!$C$9, $D$9, 100%, $F$9) + CHOOSE(CONTROL!$C$27, 0.0021, 0)</f>
        <v>67.983900000000006</v>
      </c>
      <c r="I738" s="10">
        <f>67.9818 * CHOOSE(CONTROL!$C$9, $D$9, 100%, $F$9) + CHOOSE(CONTROL!$C$27, 0.0021, 0)</f>
        <v>67.983900000000006</v>
      </c>
      <c r="J738" s="10">
        <f>67.9818 * CHOOSE(CONTROL!$C$9, $D$9, 100%, $F$9) + CHOOSE(CONTROL!$C$27, 0.0021, 0)</f>
        <v>67.983900000000006</v>
      </c>
      <c r="K738" s="10">
        <f>67.9818 * CHOOSE(CONTROL!$C$9, $D$9, 100%, $F$9) + CHOOSE(CONTROL!$C$27, 0.0021, 0)</f>
        <v>67.983900000000006</v>
      </c>
      <c r="L738" s="10"/>
    </row>
    <row r="739" spans="1:12" ht="15.75" x14ac:dyDescent="0.25">
      <c r="A739" s="13">
        <v>63797</v>
      </c>
      <c r="B739" s="10">
        <f>68.8113 * CHOOSE(CONTROL!$C$9, $D$9, 100%, $F$9) + CHOOSE(CONTROL!$C$27, 0.0021, 0)</f>
        <v>68.813400000000001</v>
      </c>
      <c r="C739" s="10">
        <f>68.379 * CHOOSE(CONTROL!$C$9, $D$9, 100%, $F$9) + CHOOSE(CONTROL!$C$27, 0.0021, 0)</f>
        <v>68.381100000000004</v>
      </c>
      <c r="D739" s="10">
        <f>68.379 * CHOOSE(CONTROL!$C$9, $D$9, 100%, $F$9) + CHOOSE(CONTROL!$C$27, 0.0021, 0)</f>
        <v>68.381100000000004</v>
      </c>
      <c r="E739" s="10">
        <f>68.2424 * CHOOSE(CONTROL!$C$9, $D$9, 100%, $F$9) + CHOOSE(CONTROL!$C$27, 0.0021, 0)</f>
        <v>68.244500000000002</v>
      </c>
      <c r="F739" s="10">
        <f>68.2424 * CHOOSE(CONTROL!$C$9, $D$9, 100%, $F$9) + CHOOSE(CONTROL!$C$27, 0.0021, 0)</f>
        <v>68.244500000000002</v>
      </c>
      <c r="G739" s="10">
        <f>68.5138 * CHOOSE(CONTROL!$C$9, $D$9, 100%, $F$9) + CHOOSE(CONTROL!$C$27, 0.0021, 0)</f>
        <v>68.515900000000002</v>
      </c>
      <c r="H739" s="10">
        <f>68.379 * CHOOSE(CONTROL!$C$9, $D$9, 100%, $F$9) + CHOOSE(CONTROL!$C$27, 0.0021, 0)</f>
        <v>68.381100000000004</v>
      </c>
      <c r="I739" s="10">
        <f>68.379 * CHOOSE(CONTROL!$C$9, $D$9, 100%, $F$9) + CHOOSE(CONTROL!$C$27, 0.0021, 0)</f>
        <v>68.381100000000004</v>
      </c>
      <c r="J739" s="10">
        <f>68.379 * CHOOSE(CONTROL!$C$9, $D$9, 100%, $F$9) + CHOOSE(CONTROL!$C$27, 0.0021, 0)</f>
        <v>68.381100000000004</v>
      </c>
      <c r="K739" s="10">
        <f>68.379 * CHOOSE(CONTROL!$C$9, $D$9, 100%, $F$9) + CHOOSE(CONTROL!$C$27, 0.0021, 0)</f>
        <v>68.381100000000004</v>
      </c>
      <c r="L739" s="10"/>
    </row>
    <row r="740" spans="1:12" ht="15.75" x14ac:dyDescent="0.25">
      <c r="A740" s="13">
        <v>63827</v>
      </c>
      <c r="B740" s="10">
        <f>70.1639 * CHOOSE(CONTROL!$C$9, $D$9, 100%, $F$9) + CHOOSE(CONTROL!$C$27, 0.0021, 0)</f>
        <v>70.165999999999997</v>
      </c>
      <c r="C740" s="10">
        <f>69.7317 * CHOOSE(CONTROL!$C$9, $D$9, 100%, $F$9) + CHOOSE(CONTROL!$C$27, 0.0021, 0)</f>
        <v>69.733800000000002</v>
      </c>
      <c r="D740" s="10">
        <f>69.7317 * CHOOSE(CONTROL!$C$9, $D$9, 100%, $F$9) + CHOOSE(CONTROL!$C$27, 0.0021, 0)</f>
        <v>69.733800000000002</v>
      </c>
      <c r="E740" s="10">
        <f>69.595 * CHOOSE(CONTROL!$C$9, $D$9, 100%, $F$9) + CHOOSE(CONTROL!$C$27, 0.0021, 0)</f>
        <v>69.597099999999998</v>
      </c>
      <c r="F740" s="10">
        <f>69.595 * CHOOSE(CONTROL!$C$9, $D$9, 100%, $F$9) + CHOOSE(CONTROL!$C$27, 0.0021, 0)</f>
        <v>69.597099999999998</v>
      </c>
      <c r="G740" s="10">
        <f>69.8664 * CHOOSE(CONTROL!$C$9, $D$9, 100%, $F$9) + CHOOSE(CONTROL!$C$27, 0.0021, 0)</f>
        <v>69.868499999999997</v>
      </c>
      <c r="H740" s="10">
        <f>69.7317 * CHOOSE(CONTROL!$C$9, $D$9, 100%, $F$9) + CHOOSE(CONTROL!$C$27, 0.0021, 0)</f>
        <v>69.733800000000002</v>
      </c>
      <c r="I740" s="10">
        <f>69.7317 * CHOOSE(CONTROL!$C$9, $D$9, 100%, $F$9) + CHOOSE(CONTROL!$C$27, 0.0021, 0)</f>
        <v>69.733800000000002</v>
      </c>
      <c r="J740" s="10">
        <f>69.7317 * CHOOSE(CONTROL!$C$9, $D$9, 100%, $F$9) + CHOOSE(CONTROL!$C$27, 0.0021, 0)</f>
        <v>69.733800000000002</v>
      </c>
      <c r="K740" s="10">
        <f>69.7317 * CHOOSE(CONTROL!$C$9, $D$9, 100%, $F$9) + CHOOSE(CONTROL!$C$27, 0.0021, 0)</f>
        <v>69.733800000000002</v>
      </c>
      <c r="L740" s="10"/>
    </row>
    <row r="741" spans="1:12" ht="15.75" x14ac:dyDescent="0.25">
      <c r="A741" s="13">
        <v>63858</v>
      </c>
      <c r="B741" s="10">
        <f>71.8762 * CHOOSE(CONTROL!$C$9, $D$9, 100%, $F$9) + CHOOSE(CONTROL!$C$27, 0.0021, 0)</f>
        <v>71.878299999999996</v>
      </c>
      <c r="C741" s="10">
        <f>71.4439 * CHOOSE(CONTROL!$C$9, $D$9, 100%, $F$9) + CHOOSE(CONTROL!$C$27, 0.0021, 0)</f>
        <v>71.445999999999998</v>
      </c>
      <c r="D741" s="10">
        <f>71.4439 * CHOOSE(CONTROL!$C$9, $D$9, 100%, $F$9) + CHOOSE(CONTROL!$C$27, 0.0021, 0)</f>
        <v>71.445999999999998</v>
      </c>
      <c r="E741" s="10">
        <f>71.3073 * CHOOSE(CONTROL!$C$9, $D$9, 100%, $F$9) + CHOOSE(CONTROL!$C$27, 0.0021, 0)</f>
        <v>71.309399999999997</v>
      </c>
      <c r="F741" s="10">
        <f>71.3073 * CHOOSE(CONTROL!$C$9, $D$9, 100%, $F$9) + CHOOSE(CONTROL!$C$27, 0.0021, 0)</f>
        <v>71.309399999999997</v>
      </c>
      <c r="G741" s="10">
        <f>71.5787 * CHOOSE(CONTROL!$C$9, $D$9, 100%, $F$9) + CHOOSE(CONTROL!$C$27, 0.0021, 0)</f>
        <v>71.580799999999996</v>
      </c>
      <c r="H741" s="10">
        <f>71.4439 * CHOOSE(CONTROL!$C$9, $D$9, 100%, $F$9) + CHOOSE(CONTROL!$C$27, 0.0021, 0)</f>
        <v>71.445999999999998</v>
      </c>
      <c r="I741" s="10">
        <f>71.4439 * CHOOSE(CONTROL!$C$9, $D$9, 100%, $F$9) + CHOOSE(CONTROL!$C$27, 0.0021, 0)</f>
        <v>71.445999999999998</v>
      </c>
      <c r="J741" s="10">
        <f>71.4439 * CHOOSE(CONTROL!$C$9, $D$9, 100%, $F$9) + CHOOSE(CONTROL!$C$27, 0.0021, 0)</f>
        <v>71.445999999999998</v>
      </c>
      <c r="K741" s="10">
        <f>71.4439 * CHOOSE(CONTROL!$C$9, $D$9, 100%, $F$9) + CHOOSE(CONTROL!$C$27, 0.0021, 0)</f>
        <v>71.445999999999998</v>
      </c>
      <c r="L741" s="10"/>
    </row>
    <row r="742" spans="1:12" ht="15.75" x14ac:dyDescent="0.25">
      <c r="A742" s="13">
        <v>63888</v>
      </c>
      <c r="B742" s="10">
        <f>72.0369 * CHOOSE(CONTROL!$C$9, $D$9, 100%, $F$9) + CHOOSE(CONTROL!$C$27, 0.0021, 0)</f>
        <v>72.039000000000001</v>
      </c>
      <c r="C742" s="10">
        <f>71.6047 * CHOOSE(CONTROL!$C$9, $D$9, 100%, $F$9) + CHOOSE(CONTROL!$C$27, 0.0021, 0)</f>
        <v>71.606799999999993</v>
      </c>
      <c r="D742" s="10">
        <f>71.6047 * CHOOSE(CONTROL!$C$9, $D$9, 100%, $F$9) + CHOOSE(CONTROL!$C$27, 0.0021, 0)</f>
        <v>71.606799999999993</v>
      </c>
      <c r="E742" s="10">
        <f>71.468 * CHOOSE(CONTROL!$C$9, $D$9, 100%, $F$9) + CHOOSE(CONTROL!$C$27, 0.0021, 0)</f>
        <v>71.470100000000002</v>
      </c>
      <c r="F742" s="10">
        <f>71.468 * CHOOSE(CONTROL!$C$9, $D$9, 100%, $F$9) + CHOOSE(CONTROL!$C$27, 0.0021, 0)</f>
        <v>71.470100000000002</v>
      </c>
      <c r="G742" s="10">
        <f>71.7394 * CHOOSE(CONTROL!$C$9, $D$9, 100%, $F$9) + CHOOSE(CONTROL!$C$27, 0.0021, 0)</f>
        <v>71.741500000000002</v>
      </c>
      <c r="H742" s="10">
        <f>71.6047 * CHOOSE(CONTROL!$C$9, $D$9, 100%, $F$9) + CHOOSE(CONTROL!$C$27, 0.0021, 0)</f>
        <v>71.606799999999993</v>
      </c>
      <c r="I742" s="10">
        <f>71.6047 * CHOOSE(CONTROL!$C$9, $D$9, 100%, $F$9) + CHOOSE(CONTROL!$C$27, 0.0021, 0)</f>
        <v>71.606799999999993</v>
      </c>
      <c r="J742" s="10">
        <f>71.6047 * CHOOSE(CONTROL!$C$9, $D$9, 100%, $F$9) + CHOOSE(CONTROL!$C$27, 0.0021, 0)</f>
        <v>71.606799999999993</v>
      </c>
      <c r="K742" s="10">
        <f>71.6047 * CHOOSE(CONTROL!$C$9, $D$9, 100%, $F$9) + CHOOSE(CONTROL!$C$27, 0.0021, 0)</f>
        <v>71.606799999999993</v>
      </c>
      <c r="L742" s="10"/>
    </row>
    <row r="743" spans="1:12" ht="15.75" x14ac:dyDescent="0.25">
      <c r="A743" s="13">
        <v>63919</v>
      </c>
      <c r="B743" s="10">
        <f>70.6694 * CHOOSE(CONTROL!$C$9, $D$9, 100%, $F$9) + CHOOSE(CONTROL!$C$27, 0.0021, 0)</f>
        <v>70.671499999999995</v>
      </c>
      <c r="C743" s="10">
        <f>70.2371 * CHOOSE(CONTROL!$C$9, $D$9, 100%, $F$9) + CHOOSE(CONTROL!$C$27, 0.0021, 0)</f>
        <v>70.239199999999997</v>
      </c>
      <c r="D743" s="10">
        <f>70.2371 * CHOOSE(CONTROL!$C$9, $D$9, 100%, $F$9) + CHOOSE(CONTROL!$C$27, 0.0021, 0)</f>
        <v>70.239199999999997</v>
      </c>
      <c r="E743" s="10">
        <f>70.1005 * CHOOSE(CONTROL!$C$9, $D$9, 100%, $F$9) + CHOOSE(CONTROL!$C$27, 0.0021, 0)</f>
        <v>70.102599999999995</v>
      </c>
      <c r="F743" s="10">
        <f>70.1005 * CHOOSE(CONTROL!$C$9, $D$9, 100%, $F$9) + CHOOSE(CONTROL!$C$27, 0.0021, 0)</f>
        <v>70.102599999999995</v>
      </c>
      <c r="G743" s="10">
        <f>70.3719 * CHOOSE(CONTROL!$C$9, $D$9, 100%, $F$9) + CHOOSE(CONTROL!$C$27, 0.0021, 0)</f>
        <v>70.373999999999995</v>
      </c>
      <c r="H743" s="10">
        <f>70.2371 * CHOOSE(CONTROL!$C$9, $D$9, 100%, $F$9) + CHOOSE(CONTROL!$C$27, 0.0021, 0)</f>
        <v>70.239199999999997</v>
      </c>
      <c r="I743" s="10">
        <f>70.2371 * CHOOSE(CONTROL!$C$9, $D$9, 100%, $F$9) + CHOOSE(CONTROL!$C$27, 0.0021, 0)</f>
        <v>70.239199999999997</v>
      </c>
      <c r="J743" s="10">
        <f>70.2371 * CHOOSE(CONTROL!$C$9, $D$9, 100%, $F$9) + CHOOSE(CONTROL!$C$27, 0.0021, 0)</f>
        <v>70.239199999999997</v>
      </c>
      <c r="K743" s="10">
        <f>70.2371 * CHOOSE(CONTROL!$C$9, $D$9, 100%, $F$9) + CHOOSE(CONTROL!$C$27, 0.0021, 0)</f>
        <v>70.239199999999997</v>
      </c>
      <c r="L743" s="10"/>
    </row>
    <row r="744" spans="1:12" ht="15.75" x14ac:dyDescent="0.25">
      <c r="A744" s="13">
        <v>63950</v>
      </c>
      <c r="B744" s="10">
        <f>69.6224 * CHOOSE(CONTROL!$C$9, $D$9, 100%, $F$9) + CHOOSE(CONTROL!$C$27, 0.0021, 0)</f>
        <v>69.624499999999998</v>
      </c>
      <c r="C744" s="10">
        <f>69.1901 * CHOOSE(CONTROL!$C$9, $D$9, 100%, $F$9) + CHOOSE(CONTROL!$C$27, 0.0021, 0)</f>
        <v>69.1922</v>
      </c>
      <c r="D744" s="10">
        <f>69.1901 * CHOOSE(CONTROL!$C$9, $D$9, 100%, $F$9) + CHOOSE(CONTROL!$C$27, 0.0021, 0)</f>
        <v>69.1922</v>
      </c>
      <c r="E744" s="10">
        <f>69.0535 * CHOOSE(CONTROL!$C$9, $D$9, 100%, $F$9) + CHOOSE(CONTROL!$C$27, 0.0021, 0)</f>
        <v>69.055599999999998</v>
      </c>
      <c r="F744" s="10">
        <f>69.0535 * CHOOSE(CONTROL!$C$9, $D$9, 100%, $F$9) + CHOOSE(CONTROL!$C$27, 0.0021, 0)</f>
        <v>69.055599999999998</v>
      </c>
      <c r="G744" s="10">
        <f>69.3248 * CHOOSE(CONTROL!$C$9, $D$9, 100%, $F$9) + CHOOSE(CONTROL!$C$27, 0.0021, 0)</f>
        <v>69.326899999999995</v>
      </c>
      <c r="H744" s="10">
        <f>69.1901 * CHOOSE(CONTROL!$C$9, $D$9, 100%, $F$9) + CHOOSE(CONTROL!$C$27, 0.0021, 0)</f>
        <v>69.1922</v>
      </c>
      <c r="I744" s="10">
        <f>69.1901 * CHOOSE(CONTROL!$C$9, $D$9, 100%, $F$9) + CHOOSE(CONTROL!$C$27, 0.0021, 0)</f>
        <v>69.1922</v>
      </c>
      <c r="J744" s="10">
        <f>69.1901 * CHOOSE(CONTROL!$C$9, $D$9, 100%, $F$9) + CHOOSE(CONTROL!$C$27, 0.0021, 0)</f>
        <v>69.1922</v>
      </c>
      <c r="K744" s="10">
        <f>69.1901 * CHOOSE(CONTROL!$C$9, $D$9, 100%, $F$9) + CHOOSE(CONTROL!$C$27, 0.0021, 0)</f>
        <v>69.1922</v>
      </c>
      <c r="L744" s="10"/>
    </row>
    <row r="745" spans="1:12" ht="15.75" x14ac:dyDescent="0.25">
      <c r="A745" s="13">
        <v>63978</v>
      </c>
      <c r="B745" s="10">
        <f>67.7179 * CHOOSE(CONTROL!$C$9, $D$9, 100%, $F$9) + CHOOSE(CONTROL!$C$27, 0.0021, 0)</f>
        <v>67.72</v>
      </c>
      <c r="C745" s="10">
        <f>67.2857 * CHOOSE(CONTROL!$C$9, $D$9, 100%, $F$9) + CHOOSE(CONTROL!$C$27, 0.0021, 0)</f>
        <v>67.287800000000004</v>
      </c>
      <c r="D745" s="10">
        <f>67.2857 * CHOOSE(CONTROL!$C$9, $D$9, 100%, $F$9) + CHOOSE(CONTROL!$C$27, 0.0021, 0)</f>
        <v>67.287800000000004</v>
      </c>
      <c r="E745" s="10">
        <f>67.149 * CHOOSE(CONTROL!$C$9, $D$9, 100%, $F$9) + CHOOSE(CONTROL!$C$27, 0.0021, 0)</f>
        <v>67.1511</v>
      </c>
      <c r="F745" s="10">
        <f>67.149 * CHOOSE(CONTROL!$C$9, $D$9, 100%, $F$9) + CHOOSE(CONTROL!$C$27, 0.0021, 0)</f>
        <v>67.1511</v>
      </c>
      <c r="G745" s="10">
        <f>67.4204 * CHOOSE(CONTROL!$C$9, $D$9, 100%, $F$9) + CHOOSE(CONTROL!$C$27, 0.0021, 0)</f>
        <v>67.422499999999999</v>
      </c>
      <c r="H745" s="10">
        <f>67.2857 * CHOOSE(CONTROL!$C$9, $D$9, 100%, $F$9) + CHOOSE(CONTROL!$C$27, 0.0021, 0)</f>
        <v>67.287800000000004</v>
      </c>
      <c r="I745" s="10">
        <f>67.2857 * CHOOSE(CONTROL!$C$9, $D$9, 100%, $F$9) + CHOOSE(CONTROL!$C$27, 0.0021, 0)</f>
        <v>67.287800000000004</v>
      </c>
      <c r="J745" s="10">
        <f>67.2857 * CHOOSE(CONTROL!$C$9, $D$9, 100%, $F$9) + CHOOSE(CONTROL!$C$27, 0.0021, 0)</f>
        <v>67.287800000000004</v>
      </c>
      <c r="K745" s="10">
        <f>67.2857 * CHOOSE(CONTROL!$C$9, $D$9, 100%, $F$9) + CHOOSE(CONTROL!$C$27, 0.0021, 0)</f>
        <v>67.287800000000004</v>
      </c>
      <c r="L745" s="10"/>
    </row>
    <row r="746" spans="1:12" ht="15.75" x14ac:dyDescent="0.25">
      <c r="A746" s="13">
        <v>64009</v>
      </c>
      <c r="B746" s="10">
        <f>66.9318 * CHOOSE(CONTROL!$C$9, $D$9, 100%, $F$9) + CHOOSE(CONTROL!$C$27, 0.0021, 0)</f>
        <v>66.933899999999994</v>
      </c>
      <c r="C746" s="10">
        <f>66.4995 * CHOOSE(CONTROL!$C$9, $D$9, 100%, $F$9) + CHOOSE(CONTROL!$C$27, 0.0021, 0)</f>
        <v>66.501599999999996</v>
      </c>
      <c r="D746" s="10">
        <f>66.4995 * CHOOSE(CONTROL!$C$9, $D$9, 100%, $F$9) + CHOOSE(CONTROL!$C$27, 0.0021, 0)</f>
        <v>66.501599999999996</v>
      </c>
      <c r="E746" s="10">
        <f>66.3629 * CHOOSE(CONTROL!$C$9, $D$9, 100%, $F$9) + CHOOSE(CONTROL!$C$27, 0.0021, 0)</f>
        <v>66.364999999999995</v>
      </c>
      <c r="F746" s="10">
        <f>66.3629 * CHOOSE(CONTROL!$C$9, $D$9, 100%, $F$9) + CHOOSE(CONTROL!$C$27, 0.0021, 0)</f>
        <v>66.364999999999995</v>
      </c>
      <c r="G746" s="10">
        <f>66.6342 * CHOOSE(CONTROL!$C$9, $D$9, 100%, $F$9) + CHOOSE(CONTROL!$C$27, 0.0021, 0)</f>
        <v>66.636300000000006</v>
      </c>
      <c r="H746" s="10">
        <f>66.4995 * CHOOSE(CONTROL!$C$9, $D$9, 100%, $F$9) + CHOOSE(CONTROL!$C$27, 0.0021, 0)</f>
        <v>66.501599999999996</v>
      </c>
      <c r="I746" s="10">
        <f>66.4995 * CHOOSE(CONTROL!$C$9, $D$9, 100%, $F$9) + CHOOSE(CONTROL!$C$27, 0.0021, 0)</f>
        <v>66.501599999999996</v>
      </c>
      <c r="J746" s="10">
        <f>66.4995 * CHOOSE(CONTROL!$C$9, $D$9, 100%, $F$9) + CHOOSE(CONTROL!$C$27, 0.0021, 0)</f>
        <v>66.501599999999996</v>
      </c>
      <c r="K746" s="10">
        <f>66.4995 * CHOOSE(CONTROL!$C$9, $D$9, 100%, $F$9) + CHOOSE(CONTROL!$C$27, 0.0021, 0)</f>
        <v>66.501599999999996</v>
      </c>
      <c r="L746" s="10"/>
    </row>
    <row r="747" spans="1:12" ht="15.75" x14ac:dyDescent="0.25">
      <c r="A747" s="13">
        <v>64039</v>
      </c>
      <c r="B747" s="10">
        <f>65.9931 * CHOOSE(CONTROL!$C$9, $D$9, 100%, $F$9) + CHOOSE(CONTROL!$C$27, 0.0021, 0)</f>
        <v>65.995199999999997</v>
      </c>
      <c r="C747" s="10">
        <f>65.5608 * CHOOSE(CONTROL!$C$9, $D$9, 100%, $F$9) + CHOOSE(CONTROL!$C$27, 0.0021, 0)</f>
        <v>65.562899999999999</v>
      </c>
      <c r="D747" s="10">
        <f>65.5608 * CHOOSE(CONTROL!$C$9, $D$9, 100%, $F$9) + CHOOSE(CONTROL!$C$27, 0.0021, 0)</f>
        <v>65.562899999999999</v>
      </c>
      <c r="E747" s="10">
        <f>65.4242 * CHOOSE(CONTROL!$C$9, $D$9, 100%, $F$9) + CHOOSE(CONTROL!$C$27, 0.0021, 0)</f>
        <v>65.426299999999998</v>
      </c>
      <c r="F747" s="10">
        <f>65.4242 * CHOOSE(CONTROL!$C$9, $D$9, 100%, $F$9) + CHOOSE(CONTROL!$C$27, 0.0021, 0)</f>
        <v>65.426299999999998</v>
      </c>
      <c r="G747" s="10">
        <f>65.6955 * CHOOSE(CONTROL!$C$9, $D$9, 100%, $F$9) + CHOOSE(CONTROL!$C$27, 0.0021, 0)</f>
        <v>65.697599999999994</v>
      </c>
      <c r="H747" s="10">
        <f>65.5608 * CHOOSE(CONTROL!$C$9, $D$9, 100%, $F$9) + CHOOSE(CONTROL!$C$27, 0.0021, 0)</f>
        <v>65.562899999999999</v>
      </c>
      <c r="I747" s="10">
        <f>65.5608 * CHOOSE(CONTROL!$C$9, $D$9, 100%, $F$9) + CHOOSE(CONTROL!$C$27, 0.0021, 0)</f>
        <v>65.562899999999999</v>
      </c>
      <c r="J747" s="10">
        <f>65.5608 * CHOOSE(CONTROL!$C$9, $D$9, 100%, $F$9) + CHOOSE(CONTROL!$C$27, 0.0021, 0)</f>
        <v>65.562899999999999</v>
      </c>
      <c r="K747" s="10">
        <f>65.5608 * CHOOSE(CONTROL!$C$9, $D$9, 100%, $F$9) + CHOOSE(CONTROL!$C$27, 0.0021, 0)</f>
        <v>65.562899999999999</v>
      </c>
      <c r="L747" s="10"/>
    </row>
    <row r="748" spans="1:12" ht="15.75" x14ac:dyDescent="0.25">
      <c r="A748" s="13">
        <v>64070</v>
      </c>
      <c r="B748" s="10">
        <f>67.3308 * CHOOSE(CONTROL!$C$9, $D$9, 100%, $F$9) + CHOOSE(CONTROL!$C$27, 0.0021, 0)</f>
        <v>67.332899999999995</v>
      </c>
      <c r="C748" s="10">
        <f>66.8986 * CHOOSE(CONTROL!$C$9, $D$9, 100%, $F$9) + CHOOSE(CONTROL!$C$27, 0.0021, 0)</f>
        <v>66.900700000000001</v>
      </c>
      <c r="D748" s="10">
        <f>66.8986 * CHOOSE(CONTROL!$C$9, $D$9, 100%, $F$9) + CHOOSE(CONTROL!$C$27, 0.0021, 0)</f>
        <v>66.900700000000001</v>
      </c>
      <c r="E748" s="10">
        <f>66.7619 * CHOOSE(CONTROL!$C$9, $D$9, 100%, $F$9) + CHOOSE(CONTROL!$C$27, 0.0021, 0)</f>
        <v>66.763999999999996</v>
      </c>
      <c r="F748" s="10">
        <f>66.7619 * CHOOSE(CONTROL!$C$9, $D$9, 100%, $F$9) + CHOOSE(CONTROL!$C$27, 0.0021, 0)</f>
        <v>66.763999999999996</v>
      </c>
      <c r="G748" s="10">
        <f>67.0333 * CHOOSE(CONTROL!$C$9, $D$9, 100%, $F$9) + CHOOSE(CONTROL!$C$27, 0.0021, 0)</f>
        <v>67.035399999999996</v>
      </c>
      <c r="H748" s="10">
        <f>66.8986 * CHOOSE(CONTROL!$C$9, $D$9, 100%, $F$9) + CHOOSE(CONTROL!$C$27, 0.0021, 0)</f>
        <v>66.900700000000001</v>
      </c>
      <c r="I748" s="10">
        <f>66.8986 * CHOOSE(CONTROL!$C$9, $D$9, 100%, $F$9) + CHOOSE(CONTROL!$C$27, 0.0021, 0)</f>
        <v>66.900700000000001</v>
      </c>
      <c r="J748" s="10">
        <f>66.8986 * CHOOSE(CONTROL!$C$9, $D$9, 100%, $F$9) + CHOOSE(CONTROL!$C$27, 0.0021, 0)</f>
        <v>66.900700000000001</v>
      </c>
      <c r="K748" s="10">
        <f>66.8986 * CHOOSE(CONTROL!$C$9, $D$9, 100%, $F$9) + CHOOSE(CONTROL!$C$27, 0.0021, 0)</f>
        <v>66.900700000000001</v>
      </c>
      <c r="L748" s="10"/>
    </row>
    <row r="749" spans="1:12" ht="15.75" x14ac:dyDescent="0.25">
      <c r="A749" s="13">
        <v>64100</v>
      </c>
      <c r="B749" s="10">
        <f>68.1321 * CHOOSE(CONTROL!$C$9, $D$9, 100%, $F$9) + CHOOSE(CONTROL!$C$27, 0.0021, 0)</f>
        <v>68.134199999999993</v>
      </c>
      <c r="C749" s="10">
        <f>67.6998 * CHOOSE(CONTROL!$C$9, $D$9, 100%, $F$9) + CHOOSE(CONTROL!$C$27, 0.0021, 0)</f>
        <v>67.701899999999995</v>
      </c>
      <c r="D749" s="10">
        <f>67.6998 * CHOOSE(CONTROL!$C$9, $D$9, 100%, $F$9) + CHOOSE(CONTROL!$C$27, 0.0021, 0)</f>
        <v>67.701899999999995</v>
      </c>
      <c r="E749" s="10">
        <f>67.5632 * CHOOSE(CONTROL!$C$9, $D$9, 100%, $F$9) + CHOOSE(CONTROL!$C$27, 0.0021, 0)</f>
        <v>67.565299999999993</v>
      </c>
      <c r="F749" s="10">
        <f>67.5632 * CHOOSE(CONTROL!$C$9, $D$9, 100%, $F$9) + CHOOSE(CONTROL!$C$27, 0.0021, 0)</f>
        <v>67.565299999999993</v>
      </c>
      <c r="G749" s="10">
        <f>67.8345 * CHOOSE(CONTROL!$C$9, $D$9, 100%, $F$9) + CHOOSE(CONTROL!$C$27, 0.0021, 0)</f>
        <v>67.836600000000004</v>
      </c>
      <c r="H749" s="10">
        <f>67.6998 * CHOOSE(CONTROL!$C$9, $D$9, 100%, $F$9) + CHOOSE(CONTROL!$C$27, 0.0021, 0)</f>
        <v>67.701899999999995</v>
      </c>
      <c r="I749" s="10">
        <f>67.6998 * CHOOSE(CONTROL!$C$9, $D$9, 100%, $F$9) + CHOOSE(CONTROL!$C$27, 0.0021, 0)</f>
        <v>67.701899999999995</v>
      </c>
      <c r="J749" s="10">
        <f>67.6998 * CHOOSE(CONTROL!$C$9, $D$9, 100%, $F$9) + CHOOSE(CONTROL!$C$27, 0.0021, 0)</f>
        <v>67.701899999999995</v>
      </c>
      <c r="K749" s="10">
        <f>67.6998 * CHOOSE(CONTROL!$C$9, $D$9, 100%, $F$9) + CHOOSE(CONTROL!$C$27, 0.0021, 0)</f>
        <v>67.701899999999995</v>
      </c>
      <c r="L749" s="10"/>
    </row>
    <row r="750" spans="1:12" ht="15.75" x14ac:dyDescent="0.25">
      <c r="A750" s="13">
        <v>64131</v>
      </c>
      <c r="B750" s="10">
        <f>69.4538 * CHOOSE(CONTROL!$C$9, $D$9, 100%, $F$9) + CHOOSE(CONTROL!$C$27, 0.0021, 0)</f>
        <v>69.4559</v>
      </c>
      <c r="C750" s="10">
        <f>69.0216 * CHOOSE(CONTROL!$C$9, $D$9, 100%, $F$9) + CHOOSE(CONTROL!$C$27, 0.0021, 0)</f>
        <v>69.023700000000005</v>
      </c>
      <c r="D750" s="10">
        <f>69.0216 * CHOOSE(CONTROL!$C$9, $D$9, 100%, $F$9) + CHOOSE(CONTROL!$C$27, 0.0021, 0)</f>
        <v>69.023700000000005</v>
      </c>
      <c r="E750" s="10">
        <f>68.8849 * CHOOSE(CONTROL!$C$9, $D$9, 100%, $F$9) + CHOOSE(CONTROL!$C$27, 0.0021, 0)</f>
        <v>68.887</v>
      </c>
      <c r="F750" s="10">
        <f>68.8849 * CHOOSE(CONTROL!$C$9, $D$9, 100%, $F$9) + CHOOSE(CONTROL!$C$27, 0.0021, 0)</f>
        <v>68.887</v>
      </c>
      <c r="G750" s="10">
        <f>69.1563 * CHOOSE(CONTROL!$C$9, $D$9, 100%, $F$9) + CHOOSE(CONTROL!$C$27, 0.0021, 0)</f>
        <v>69.1584</v>
      </c>
      <c r="H750" s="10">
        <f>69.0216 * CHOOSE(CONTROL!$C$9, $D$9, 100%, $F$9) + CHOOSE(CONTROL!$C$27, 0.0021, 0)</f>
        <v>69.023700000000005</v>
      </c>
      <c r="I750" s="10">
        <f>69.0216 * CHOOSE(CONTROL!$C$9, $D$9, 100%, $F$9) + CHOOSE(CONTROL!$C$27, 0.0021, 0)</f>
        <v>69.023700000000005</v>
      </c>
      <c r="J750" s="10">
        <f>69.0216 * CHOOSE(CONTROL!$C$9, $D$9, 100%, $F$9) + CHOOSE(CONTROL!$C$27, 0.0021, 0)</f>
        <v>69.023700000000005</v>
      </c>
      <c r="K750" s="10">
        <f>69.0216 * CHOOSE(CONTROL!$C$9, $D$9, 100%, $F$9) + CHOOSE(CONTROL!$C$27, 0.0021, 0)</f>
        <v>69.023700000000005</v>
      </c>
      <c r="L750" s="10"/>
    </row>
    <row r="751" spans="1:12" ht="15.75" x14ac:dyDescent="0.25">
      <c r="A751" s="13">
        <v>64162</v>
      </c>
      <c r="B751" s="10">
        <f>69.8573 * CHOOSE(CONTROL!$C$9, $D$9, 100%, $F$9) + CHOOSE(CONTROL!$C$27, 0.0021, 0)</f>
        <v>69.859399999999994</v>
      </c>
      <c r="C751" s="10">
        <f>69.425 * CHOOSE(CONTROL!$C$9, $D$9, 100%, $F$9) + CHOOSE(CONTROL!$C$27, 0.0021, 0)</f>
        <v>69.427099999999996</v>
      </c>
      <c r="D751" s="10">
        <f>69.425 * CHOOSE(CONTROL!$C$9, $D$9, 100%, $F$9) + CHOOSE(CONTROL!$C$27, 0.0021, 0)</f>
        <v>69.427099999999996</v>
      </c>
      <c r="E751" s="10">
        <f>69.2884 * CHOOSE(CONTROL!$C$9, $D$9, 100%, $F$9) + CHOOSE(CONTROL!$C$27, 0.0021, 0)</f>
        <v>69.290499999999994</v>
      </c>
      <c r="F751" s="10">
        <f>69.2884 * CHOOSE(CONTROL!$C$9, $D$9, 100%, $F$9) + CHOOSE(CONTROL!$C$27, 0.0021, 0)</f>
        <v>69.290499999999994</v>
      </c>
      <c r="G751" s="10">
        <f>69.5598 * CHOOSE(CONTROL!$C$9, $D$9, 100%, $F$9) + CHOOSE(CONTROL!$C$27, 0.0021, 0)</f>
        <v>69.561899999999994</v>
      </c>
      <c r="H751" s="10">
        <f>69.425 * CHOOSE(CONTROL!$C$9, $D$9, 100%, $F$9) + CHOOSE(CONTROL!$C$27, 0.0021, 0)</f>
        <v>69.427099999999996</v>
      </c>
      <c r="I751" s="10">
        <f>69.425 * CHOOSE(CONTROL!$C$9, $D$9, 100%, $F$9) + CHOOSE(CONTROL!$C$27, 0.0021, 0)</f>
        <v>69.427099999999996</v>
      </c>
      <c r="J751" s="10">
        <f>69.425 * CHOOSE(CONTROL!$C$9, $D$9, 100%, $F$9) + CHOOSE(CONTROL!$C$27, 0.0021, 0)</f>
        <v>69.427099999999996</v>
      </c>
      <c r="K751" s="10">
        <f>69.425 * CHOOSE(CONTROL!$C$9, $D$9, 100%, $F$9) + CHOOSE(CONTROL!$C$27, 0.0021, 0)</f>
        <v>69.427099999999996</v>
      </c>
      <c r="L751" s="10"/>
    </row>
    <row r="752" spans="1:12" ht="15.75" x14ac:dyDescent="0.25">
      <c r="A752" s="13">
        <v>64192</v>
      </c>
      <c r="B752" s="10">
        <f>71.2312 * CHOOSE(CONTROL!$C$9, $D$9, 100%, $F$9) + CHOOSE(CONTROL!$C$27, 0.0021, 0)</f>
        <v>71.2333</v>
      </c>
      <c r="C752" s="10">
        <f>70.799 * CHOOSE(CONTROL!$C$9, $D$9, 100%, $F$9) + CHOOSE(CONTROL!$C$27, 0.0021, 0)</f>
        <v>70.801100000000005</v>
      </c>
      <c r="D752" s="10">
        <f>70.799 * CHOOSE(CONTROL!$C$9, $D$9, 100%, $F$9) + CHOOSE(CONTROL!$C$27, 0.0021, 0)</f>
        <v>70.801100000000005</v>
      </c>
      <c r="E752" s="10">
        <f>70.6623 * CHOOSE(CONTROL!$C$9, $D$9, 100%, $F$9) + CHOOSE(CONTROL!$C$27, 0.0021, 0)</f>
        <v>70.664400000000001</v>
      </c>
      <c r="F752" s="10">
        <f>70.6623 * CHOOSE(CONTROL!$C$9, $D$9, 100%, $F$9) + CHOOSE(CONTROL!$C$27, 0.0021, 0)</f>
        <v>70.664400000000001</v>
      </c>
      <c r="G752" s="10">
        <f>70.9337 * CHOOSE(CONTROL!$C$9, $D$9, 100%, $F$9) + CHOOSE(CONTROL!$C$27, 0.0021, 0)</f>
        <v>70.9358</v>
      </c>
      <c r="H752" s="10">
        <f>70.799 * CHOOSE(CONTROL!$C$9, $D$9, 100%, $F$9) + CHOOSE(CONTROL!$C$27, 0.0021, 0)</f>
        <v>70.801100000000005</v>
      </c>
      <c r="I752" s="10">
        <f>70.799 * CHOOSE(CONTROL!$C$9, $D$9, 100%, $F$9) + CHOOSE(CONTROL!$C$27, 0.0021, 0)</f>
        <v>70.801100000000005</v>
      </c>
      <c r="J752" s="10">
        <f>70.799 * CHOOSE(CONTROL!$C$9, $D$9, 100%, $F$9) + CHOOSE(CONTROL!$C$27, 0.0021, 0)</f>
        <v>70.801100000000005</v>
      </c>
      <c r="K752" s="10">
        <f>70.799 * CHOOSE(CONTROL!$C$9, $D$9, 100%, $F$9) + CHOOSE(CONTROL!$C$27, 0.0021, 0)</f>
        <v>70.801100000000005</v>
      </c>
      <c r="L752" s="10"/>
    </row>
    <row r="753" spans="1:12" ht="15.75" x14ac:dyDescent="0.25">
      <c r="A753" s="13">
        <v>64223</v>
      </c>
      <c r="B753" s="10">
        <f>72.9704 * CHOOSE(CONTROL!$C$9, $D$9, 100%, $F$9) + CHOOSE(CONTROL!$C$27, 0.0021, 0)</f>
        <v>72.972499999999997</v>
      </c>
      <c r="C753" s="10">
        <f>72.5381 * CHOOSE(CONTROL!$C$9, $D$9, 100%, $F$9) + CHOOSE(CONTROL!$C$27, 0.0021, 0)</f>
        <v>72.540199999999999</v>
      </c>
      <c r="D753" s="10">
        <f>72.5381 * CHOOSE(CONTROL!$C$9, $D$9, 100%, $F$9) + CHOOSE(CONTROL!$C$27, 0.0021, 0)</f>
        <v>72.540199999999999</v>
      </c>
      <c r="E753" s="10">
        <f>72.4015 * CHOOSE(CONTROL!$C$9, $D$9, 100%, $F$9) + CHOOSE(CONTROL!$C$27, 0.0021, 0)</f>
        <v>72.403599999999997</v>
      </c>
      <c r="F753" s="10">
        <f>72.4015 * CHOOSE(CONTROL!$C$9, $D$9, 100%, $F$9) + CHOOSE(CONTROL!$C$27, 0.0021, 0)</f>
        <v>72.403599999999997</v>
      </c>
      <c r="G753" s="10">
        <f>72.6729 * CHOOSE(CONTROL!$C$9, $D$9, 100%, $F$9) + CHOOSE(CONTROL!$C$27, 0.0021, 0)</f>
        <v>72.674999999999997</v>
      </c>
      <c r="H753" s="10">
        <f>72.5381 * CHOOSE(CONTROL!$C$9, $D$9, 100%, $F$9) + CHOOSE(CONTROL!$C$27, 0.0021, 0)</f>
        <v>72.540199999999999</v>
      </c>
      <c r="I753" s="10">
        <f>72.5381 * CHOOSE(CONTROL!$C$9, $D$9, 100%, $F$9) + CHOOSE(CONTROL!$C$27, 0.0021, 0)</f>
        <v>72.540199999999999</v>
      </c>
      <c r="J753" s="10">
        <f>72.5381 * CHOOSE(CONTROL!$C$9, $D$9, 100%, $F$9) + CHOOSE(CONTROL!$C$27, 0.0021, 0)</f>
        <v>72.540199999999999</v>
      </c>
      <c r="K753" s="10">
        <f>72.5381 * CHOOSE(CONTROL!$C$9, $D$9, 100%, $F$9) + CHOOSE(CONTROL!$C$27, 0.0021, 0)</f>
        <v>72.540199999999999</v>
      </c>
      <c r="L753" s="10"/>
    </row>
    <row r="754" spans="1:12" ht="15.75" x14ac:dyDescent="0.25">
      <c r="A754" s="13">
        <v>64253</v>
      </c>
      <c r="B754" s="10">
        <f>73.1337 * CHOOSE(CONTROL!$C$9, $D$9, 100%, $F$9) + CHOOSE(CONTROL!$C$27, 0.0021, 0)</f>
        <v>73.135800000000003</v>
      </c>
      <c r="C754" s="10">
        <f>72.7014 * CHOOSE(CONTROL!$C$9, $D$9, 100%, $F$9) + CHOOSE(CONTROL!$C$27, 0.0021, 0)</f>
        <v>72.703500000000005</v>
      </c>
      <c r="D754" s="10">
        <f>72.7014 * CHOOSE(CONTROL!$C$9, $D$9, 100%, $F$9) + CHOOSE(CONTROL!$C$27, 0.0021, 0)</f>
        <v>72.703500000000005</v>
      </c>
      <c r="E754" s="10">
        <f>72.5647 * CHOOSE(CONTROL!$C$9, $D$9, 100%, $F$9) + CHOOSE(CONTROL!$C$27, 0.0021, 0)</f>
        <v>72.566800000000001</v>
      </c>
      <c r="F754" s="10">
        <f>72.5647 * CHOOSE(CONTROL!$C$9, $D$9, 100%, $F$9) + CHOOSE(CONTROL!$C$27, 0.0021, 0)</f>
        <v>72.566800000000001</v>
      </c>
      <c r="G754" s="10">
        <f>72.8361 * CHOOSE(CONTROL!$C$9, $D$9, 100%, $F$9) + CHOOSE(CONTROL!$C$27, 0.0021, 0)</f>
        <v>72.838200000000001</v>
      </c>
      <c r="H754" s="10">
        <f>72.7014 * CHOOSE(CONTROL!$C$9, $D$9, 100%, $F$9) + CHOOSE(CONTROL!$C$27, 0.0021, 0)</f>
        <v>72.703500000000005</v>
      </c>
      <c r="I754" s="10">
        <f>72.7014 * CHOOSE(CONTROL!$C$9, $D$9, 100%, $F$9) + CHOOSE(CONTROL!$C$27, 0.0021, 0)</f>
        <v>72.703500000000005</v>
      </c>
      <c r="J754" s="10">
        <f>72.7014 * CHOOSE(CONTROL!$C$9, $D$9, 100%, $F$9) + CHOOSE(CONTROL!$C$27, 0.0021, 0)</f>
        <v>72.703500000000005</v>
      </c>
      <c r="K754" s="10">
        <f>72.7014 * CHOOSE(CONTROL!$C$9, $D$9, 100%, $F$9) + CHOOSE(CONTROL!$C$27, 0.0021, 0)</f>
        <v>72.703500000000005</v>
      </c>
      <c r="L754" s="10"/>
    </row>
    <row r="755" spans="1:12" ht="15.75" x14ac:dyDescent="0.25">
      <c r="A755" s="13">
        <v>64284</v>
      </c>
      <c r="B755" s="10">
        <f>71.7446 * CHOOSE(CONTROL!$C$9, $D$9, 100%, $F$9) + CHOOSE(CONTROL!$C$27, 0.0021, 0)</f>
        <v>71.746700000000004</v>
      </c>
      <c r="C755" s="10">
        <f>71.3124 * CHOOSE(CONTROL!$C$9, $D$9, 100%, $F$9) + CHOOSE(CONTROL!$C$27, 0.0021, 0)</f>
        <v>71.314499999999995</v>
      </c>
      <c r="D755" s="10">
        <f>71.3124 * CHOOSE(CONTROL!$C$9, $D$9, 100%, $F$9) + CHOOSE(CONTROL!$C$27, 0.0021, 0)</f>
        <v>71.314499999999995</v>
      </c>
      <c r="E755" s="10">
        <f>71.1757 * CHOOSE(CONTROL!$C$9, $D$9, 100%, $F$9) + CHOOSE(CONTROL!$C$27, 0.0021, 0)</f>
        <v>71.177800000000005</v>
      </c>
      <c r="F755" s="10">
        <f>71.1757 * CHOOSE(CONTROL!$C$9, $D$9, 100%, $F$9) + CHOOSE(CONTROL!$C$27, 0.0021, 0)</f>
        <v>71.177800000000005</v>
      </c>
      <c r="G755" s="10">
        <f>71.4471 * CHOOSE(CONTROL!$C$9, $D$9, 100%, $F$9) + CHOOSE(CONTROL!$C$27, 0.0021, 0)</f>
        <v>71.449200000000005</v>
      </c>
      <c r="H755" s="10">
        <f>71.3124 * CHOOSE(CONTROL!$C$9, $D$9, 100%, $F$9) + CHOOSE(CONTROL!$C$27, 0.0021, 0)</f>
        <v>71.314499999999995</v>
      </c>
      <c r="I755" s="10">
        <f>71.3124 * CHOOSE(CONTROL!$C$9, $D$9, 100%, $F$9) + CHOOSE(CONTROL!$C$27, 0.0021, 0)</f>
        <v>71.314499999999995</v>
      </c>
      <c r="J755" s="10">
        <f>71.3124 * CHOOSE(CONTROL!$C$9, $D$9, 100%, $F$9) + CHOOSE(CONTROL!$C$27, 0.0021, 0)</f>
        <v>71.314499999999995</v>
      </c>
      <c r="K755" s="10">
        <f>71.3124 * CHOOSE(CONTROL!$C$9, $D$9, 100%, $F$9) + CHOOSE(CONTROL!$C$27, 0.0021, 0)</f>
        <v>71.314499999999995</v>
      </c>
      <c r="L755" s="10"/>
    </row>
    <row r="756" spans="1:12" ht="15.75" x14ac:dyDescent="0.25">
      <c r="A756" s="13">
        <v>64315</v>
      </c>
      <c r="B756" s="10">
        <f>70.6811 * CHOOSE(CONTROL!$C$9, $D$9, 100%, $F$9) + CHOOSE(CONTROL!$C$27, 0.0021, 0)</f>
        <v>70.683199999999999</v>
      </c>
      <c r="C756" s="10">
        <f>70.2489 * CHOOSE(CONTROL!$C$9, $D$9, 100%, $F$9) + CHOOSE(CONTROL!$C$27, 0.0021, 0)</f>
        <v>70.251000000000005</v>
      </c>
      <c r="D756" s="10">
        <f>70.2489 * CHOOSE(CONTROL!$C$9, $D$9, 100%, $F$9) + CHOOSE(CONTROL!$C$27, 0.0021, 0)</f>
        <v>70.251000000000005</v>
      </c>
      <c r="E756" s="10">
        <f>70.1122 * CHOOSE(CONTROL!$C$9, $D$9, 100%, $F$9) + CHOOSE(CONTROL!$C$27, 0.0021, 0)</f>
        <v>70.1143</v>
      </c>
      <c r="F756" s="10">
        <f>70.1122 * CHOOSE(CONTROL!$C$9, $D$9, 100%, $F$9) + CHOOSE(CONTROL!$C$27, 0.0021, 0)</f>
        <v>70.1143</v>
      </c>
      <c r="G756" s="10">
        <f>70.3836 * CHOOSE(CONTROL!$C$9, $D$9, 100%, $F$9) + CHOOSE(CONTROL!$C$27, 0.0021, 0)</f>
        <v>70.3857</v>
      </c>
      <c r="H756" s="10">
        <f>70.2489 * CHOOSE(CONTROL!$C$9, $D$9, 100%, $F$9) + CHOOSE(CONTROL!$C$27, 0.0021, 0)</f>
        <v>70.251000000000005</v>
      </c>
      <c r="I756" s="10">
        <f>70.2489 * CHOOSE(CONTROL!$C$9, $D$9, 100%, $F$9) + CHOOSE(CONTROL!$C$27, 0.0021, 0)</f>
        <v>70.251000000000005</v>
      </c>
      <c r="J756" s="10">
        <f>70.2489 * CHOOSE(CONTROL!$C$9, $D$9, 100%, $F$9) + CHOOSE(CONTROL!$C$27, 0.0021, 0)</f>
        <v>70.251000000000005</v>
      </c>
      <c r="K756" s="10">
        <f>70.2489 * CHOOSE(CONTROL!$C$9, $D$9, 100%, $F$9) + CHOOSE(CONTROL!$C$27, 0.0021, 0)</f>
        <v>70.251000000000005</v>
      </c>
      <c r="L756" s="10"/>
    </row>
    <row r="757" spans="1:12" ht="15.75" x14ac:dyDescent="0.25">
      <c r="A757" s="13">
        <v>64344</v>
      </c>
      <c r="B757" s="10">
        <f>68.7467 * CHOOSE(CONTROL!$C$9, $D$9, 100%, $F$9) + CHOOSE(CONTROL!$C$27, 0.0021, 0)</f>
        <v>68.748800000000003</v>
      </c>
      <c r="C757" s="10">
        <f>68.3145 * CHOOSE(CONTROL!$C$9, $D$9, 100%, $F$9) + CHOOSE(CONTROL!$C$27, 0.0021, 0)</f>
        <v>68.316599999999994</v>
      </c>
      <c r="D757" s="10">
        <f>68.3145 * CHOOSE(CONTROL!$C$9, $D$9, 100%, $F$9) + CHOOSE(CONTROL!$C$27, 0.0021, 0)</f>
        <v>68.316599999999994</v>
      </c>
      <c r="E757" s="10">
        <f>68.1778 * CHOOSE(CONTROL!$C$9, $D$9, 100%, $F$9) + CHOOSE(CONTROL!$C$27, 0.0021, 0)</f>
        <v>68.179900000000004</v>
      </c>
      <c r="F757" s="10">
        <f>68.1778 * CHOOSE(CONTROL!$C$9, $D$9, 100%, $F$9) + CHOOSE(CONTROL!$C$27, 0.0021, 0)</f>
        <v>68.179900000000004</v>
      </c>
      <c r="G757" s="10">
        <f>68.4492 * CHOOSE(CONTROL!$C$9, $D$9, 100%, $F$9) + CHOOSE(CONTROL!$C$27, 0.0021, 0)</f>
        <v>68.451300000000003</v>
      </c>
      <c r="H757" s="10">
        <f>68.3145 * CHOOSE(CONTROL!$C$9, $D$9, 100%, $F$9) + CHOOSE(CONTROL!$C$27, 0.0021, 0)</f>
        <v>68.316599999999994</v>
      </c>
      <c r="I757" s="10">
        <f>68.3145 * CHOOSE(CONTROL!$C$9, $D$9, 100%, $F$9) + CHOOSE(CONTROL!$C$27, 0.0021, 0)</f>
        <v>68.316599999999994</v>
      </c>
      <c r="J757" s="10">
        <f>68.3145 * CHOOSE(CONTROL!$C$9, $D$9, 100%, $F$9) + CHOOSE(CONTROL!$C$27, 0.0021, 0)</f>
        <v>68.316599999999994</v>
      </c>
      <c r="K757" s="10">
        <f>68.3145 * CHOOSE(CONTROL!$C$9, $D$9, 100%, $F$9) + CHOOSE(CONTROL!$C$27, 0.0021, 0)</f>
        <v>68.316599999999994</v>
      </c>
      <c r="L757" s="10"/>
    </row>
    <row r="758" spans="1:12" ht="15.75" x14ac:dyDescent="0.25">
      <c r="A758" s="13">
        <v>64375</v>
      </c>
      <c r="B758" s="10">
        <f>67.9482 * CHOOSE(CONTROL!$C$9, $D$9, 100%, $F$9) + CHOOSE(CONTROL!$C$27, 0.0021, 0)</f>
        <v>67.950299999999999</v>
      </c>
      <c r="C758" s="10">
        <f>67.516 * CHOOSE(CONTROL!$C$9, $D$9, 100%, $F$9) + CHOOSE(CONTROL!$C$27, 0.0021, 0)</f>
        <v>67.518100000000004</v>
      </c>
      <c r="D758" s="10">
        <f>67.516 * CHOOSE(CONTROL!$C$9, $D$9, 100%, $F$9) + CHOOSE(CONTROL!$C$27, 0.0021, 0)</f>
        <v>67.518100000000004</v>
      </c>
      <c r="E758" s="10">
        <f>67.3793 * CHOOSE(CONTROL!$C$9, $D$9, 100%, $F$9) + CHOOSE(CONTROL!$C$27, 0.0021, 0)</f>
        <v>67.381399999999999</v>
      </c>
      <c r="F758" s="10">
        <f>67.3793 * CHOOSE(CONTROL!$C$9, $D$9, 100%, $F$9) + CHOOSE(CONTROL!$C$27, 0.0021, 0)</f>
        <v>67.381399999999999</v>
      </c>
      <c r="G758" s="10">
        <f>67.6507 * CHOOSE(CONTROL!$C$9, $D$9, 100%, $F$9) + CHOOSE(CONTROL!$C$27, 0.0021, 0)</f>
        <v>67.652799999999999</v>
      </c>
      <c r="H758" s="10">
        <f>67.516 * CHOOSE(CONTROL!$C$9, $D$9, 100%, $F$9) + CHOOSE(CONTROL!$C$27, 0.0021, 0)</f>
        <v>67.518100000000004</v>
      </c>
      <c r="I758" s="10">
        <f>67.516 * CHOOSE(CONTROL!$C$9, $D$9, 100%, $F$9) + CHOOSE(CONTROL!$C$27, 0.0021, 0)</f>
        <v>67.518100000000004</v>
      </c>
      <c r="J758" s="10">
        <f>67.516 * CHOOSE(CONTROL!$C$9, $D$9, 100%, $F$9) + CHOOSE(CONTROL!$C$27, 0.0021, 0)</f>
        <v>67.518100000000004</v>
      </c>
      <c r="K758" s="10">
        <f>67.516 * CHOOSE(CONTROL!$C$9, $D$9, 100%, $F$9) + CHOOSE(CONTROL!$C$27, 0.0021, 0)</f>
        <v>67.518100000000004</v>
      </c>
      <c r="L758" s="10"/>
    </row>
    <row r="759" spans="1:12" ht="15.75" x14ac:dyDescent="0.25">
      <c r="A759" s="13">
        <v>64405</v>
      </c>
      <c r="B759" s="10">
        <f>66.9948 * CHOOSE(CONTROL!$C$9, $D$9, 100%, $F$9) + CHOOSE(CONTROL!$C$27, 0.0021, 0)</f>
        <v>66.996899999999997</v>
      </c>
      <c r="C759" s="10">
        <f>66.5625 * CHOOSE(CONTROL!$C$9, $D$9, 100%, $F$9) + CHOOSE(CONTROL!$C$27, 0.0021, 0)</f>
        <v>66.564599999999999</v>
      </c>
      <c r="D759" s="10">
        <f>66.5625 * CHOOSE(CONTROL!$C$9, $D$9, 100%, $F$9) + CHOOSE(CONTROL!$C$27, 0.0021, 0)</f>
        <v>66.564599999999999</v>
      </c>
      <c r="E759" s="10">
        <f>66.4259 * CHOOSE(CONTROL!$C$9, $D$9, 100%, $F$9) + CHOOSE(CONTROL!$C$27, 0.0021, 0)</f>
        <v>66.427999999999997</v>
      </c>
      <c r="F759" s="10">
        <f>66.4259 * CHOOSE(CONTROL!$C$9, $D$9, 100%, $F$9) + CHOOSE(CONTROL!$C$27, 0.0021, 0)</f>
        <v>66.427999999999997</v>
      </c>
      <c r="G759" s="10">
        <f>66.6972 * CHOOSE(CONTROL!$C$9, $D$9, 100%, $F$9) + CHOOSE(CONTROL!$C$27, 0.0021, 0)</f>
        <v>66.699299999999994</v>
      </c>
      <c r="H759" s="10">
        <f>66.5625 * CHOOSE(CONTROL!$C$9, $D$9, 100%, $F$9) + CHOOSE(CONTROL!$C$27, 0.0021, 0)</f>
        <v>66.564599999999999</v>
      </c>
      <c r="I759" s="10">
        <f>66.5625 * CHOOSE(CONTROL!$C$9, $D$9, 100%, $F$9) + CHOOSE(CONTROL!$C$27, 0.0021, 0)</f>
        <v>66.564599999999999</v>
      </c>
      <c r="J759" s="10">
        <f>66.5625 * CHOOSE(CONTROL!$C$9, $D$9, 100%, $F$9) + CHOOSE(CONTROL!$C$27, 0.0021, 0)</f>
        <v>66.564599999999999</v>
      </c>
      <c r="K759" s="10">
        <f>66.5625 * CHOOSE(CONTROL!$C$9, $D$9, 100%, $F$9) + CHOOSE(CONTROL!$C$27, 0.0021, 0)</f>
        <v>66.564599999999999</v>
      </c>
      <c r="L759" s="10"/>
    </row>
    <row r="760" spans="1:12" ht="15.75" x14ac:dyDescent="0.25">
      <c r="A760" s="13">
        <v>64436</v>
      </c>
      <c r="B760" s="10">
        <f>68.3535 * CHOOSE(CONTROL!$C$9, $D$9, 100%, $F$9) + CHOOSE(CONTROL!$C$27, 0.0021, 0)</f>
        <v>68.355599999999995</v>
      </c>
      <c r="C760" s="10">
        <f>67.9213 * CHOOSE(CONTROL!$C$9, $D$9, 100%, $F$9) + CHOOSE(CONTROL!$C$27, 0.0021, 0)</f>
        <v>67.923400000000001</v>
      </c>
      <c r="D760" s="10">
        <f>67.9213 * CHOOSE(CONTROL!$C$9, $D$9, 100%, $F$9) + CHOOSE(CONTROL!$C$27, 0.0021, 0)</f>
        <v>67.923400000000001</v>
      </c>
      <c r="E760" s="10">
        <f>67.7846 * CHOOSE(CONTROL!$C$9, $D$9, 100%, $F$9) + CHOOSE(CONTROL!$C$27, 0.0021, 0)</f>
        <v>67.786699999999996</v>
      </c>
      <c r="F760" s="10">
        <f>67.7846 * CHOOSE(CONTROL!$C$9, $D$9, 100%, $F$9) + CHOOSE(CONTROL!$C$27, 0.0021, 0)</f>
        <v>67.786699999999996</v>
      </c>
      <c r="G760" s="10">
        <f>68.056 * CHOOSE(CONTROL!$C$9, $D$9, 100%, $F$9) + CHOOSE(CONTROL!$C$27, 0.0021, 0)</f>
        <v>68.058099999999996</v>
      </c>
      <c r="H760" s="10">
        <f>67.9213 * CHOOSE(CONTROL!$C$9, $D$9, 100%, $F$9) + CHOOSE(CONTROL!$C$27, 0.0021, 0)</f>
        <v>67.923400000000001</v>
      </c>
      <c r="I760" s="10">
        <f>67.9213 * CHOOSE(CONTROL!$C$9, $D$9, 100%, $F$9) + CHOOSE(CONTROL!$C$27, 0.0021, 0)</f>
        <v>67.923400000000001</v>
      </c>
      <c r="J760" s="10">
        <f>67.9213 * CHOOSE(CONTROL!$C$9, $D$9, 100%, $F$9) + CHOOSE(CONTROL!$C$27, 0.0021, 0)</f>
        <v>67.923400000000001</v>
      </c>
      <c r="K760" s="10">
        <f>67.9213 * CHOOSE(CONTROL!$C$9, $D$9, 100%, $F$9) + CHOOSE(CONTROL!$C$27, 0.0021, 0)</f>
        <v>67.923400000000001</v>
      </c>
      <c r="L760" s="10"/>
    </row>
    <row r="761" spans="1:12" ht="15.75" x14ac:dyDescent="0.25">
      <c r="A761" s="13">
        <v>64466</v>
      </c>
      <c r="B761" s="10">
        <f>69.1674 * CHOOSE(CONTROL!$C$9, $D$9, 100%, $F$9) + CHOOSE(CONTROL!$C$27, 0.0021, 0)</f>
        <v>69.169499999999999</v>
      </c>
      <c r="C761" s="10">
        <f>68.7351 * CHOOSE(CONTROL!$C$9, $D$9, 100%, $F$9) + CHOOSE(CONTROL!$C$27, 0.0021, 0)</f>
        <v>68.737200000000001</v>
      </c>
      <c r="D761" s="10">
        <f>68.7351 * CHOOSE(CONTROL!$C$9, $D$9, 100%, $F$9) + CHOOSE(CONTROL!$C$27, 0.0021, 0)</f>
        <v>68.737200000000001</v>
      </c>
      <c r="E761" s="10">
        <f>68.5985 * CHOOSE(CONTROL!$C$9, $D$9, 100%, $F$9) + CHOOSE(CONTROL!$C$27, 0.0021, 0)</f>
        <v>68.6006</v>
      </c>
      <c r="F761" s="10">
        <f>68.5985 * CHOOSE(CONTROL!$C$9, $D$9, 100%, $F$9) + CHOOSE(CONTROL!$C$27, 0.0021, 0)</f>
        <v>68.6006</v>
      </c>
      <c r="G761" s="10">
        <f>68.8699 * CHOOSE(CONTROL!$C$9, $D$9, 100%, $F$9) + CHOOSE(CONTROL!$C$27, 0.0021, 0)</f>
        <v>68.872</v>
      </c>
      <c r="H761" s="10">
        <f>68.7351 * CHOOSE(CONTROL!$C$9, $D$9, 100%, $F$9) + CHOOSE(CONTROL!$C$27, 0.0021, 0)</f>
        <v>68.737200000000001</v>
      </c>
      <c r="I761" s="10">
        <f>68.7351 * CHOOSE(CONTROL!$C$9, $D$9, 100%, $F$9) + CHOOSE(CONTROL!$C$27, 0.0021, 0)</f>
        <v>68.737200000000001</v>
      </c>
      <c r="J761" s="10">
        <f>68.7351 * CHOOSE(CONTROL!$C$9, $D$9, 100%, $F$9) + CHOOSE(CONTROL!$C$27, 0.0021, 0)</f>
        <v>68.737200000000001</v>
      </c>
      <c r="K761" s="10">
        <f>68.7351 * CHOOSE(CONTROL!$C$9, $D$9, 100%, $F$9) + CHOOSE(CONTROL!$C$27, 0.0021, 0)</f>
        <v>68.737200000000001</v>
      </c>
      <c r="L761" s="10"/>
    </row>
    <row r="762" spans="1:12" ht="15.75" x14ac:dyDescent="0.25">
      <c r="A762" s="13">
        <v>64497</v>
      </c>
      <c r="B762" s="10">
        <f>70.51 * CHOOSE(CONTROL!$C$9, $D$9, 100%, $F$9) + CHOOSE(CONTROL!$C$27, 0.0021, 0)</f>
        <v>70.512100000000004</v>
      </c>
      <c r="C762" s="10">
        <f>70.0777 * CHOOSE(CONTROL!$C$9, $D$9, 100%, $F$9) + CHOOSE(CONTROL!$C$27, 0.0021, 0)</f>
        <v>70.079799999999992</v>
      </c>
      <c r="D762" s="10">
        <f>70.0777 * CHOOSE(CONTROL!$C$9, $D$9, 100%, $F$9) + CHOOSE(CONTROL!$C$27, 0.0021, 0)</f>
        <v>70.079799999999992</v>
      </c>
      <c r="E762" s="10">
        <f>69.941 * CHOOSE(CONTROL!$C$9, $D$9, 100%, $F$9) + CHOOSE(CONTROL!$C$27, 0.0021, 0)</f>
        <v>69.943100000000001</v>
      </c>
      <c r="F762" s="10">
        <f>69.941 * CHOOSE(CONTROL!$C$9, $D$9, 100%, $F$9) + CHOOSE(CONTROL!$C$27, 0.0021, 0)</f>
        <v>69.943100000000001</v>
      </c>
      <c r="G762" s="10">
        <f>70.2124 * CHOOSE(CONTROL!$C$9, $D$9, 100%, $F$9) + CHOOSE(CONTROL!$C$27, 0.0021, 0)</f>
        <v>70.214500000000001</v>
      </c>
      <c r="H762" s="10">
        <f>70.0777 * CHOOSE(CONTROL!$C$9, $D$9, 100%, $F$9) + CHOOSE(CONTROL!$C$27, 0.0021, 0)</f>
        <v>70.079799999999992</v>
      </c>
      <c r="I762" s="10">
        <f>70.0777 * CHOOSE(CONTROL!$C$9, $D$9, 100%, $F$9) + CHOOSE(CONTROL!$C$27, 0.0021, 0)</f>
        <v>70.079799999999992</v>
      </c>
      <c r="J762" s="10">
        <f>70.0777 * CHOOSE(CONTROL!$C$9, $D$9, 100%, $F$9) + CHOOSE(CONTROL!$C$27, 0.0021, 0)</f>
        <v>70.079799999999992</v>
      </c>
      <c r="K762" s="10">
        <f>70.0777 * CHOOSE(CONTROL!$C$9, $D$9, 100%, $F$9) + CHOOSE(CONTROL!$C$27, 0.0021, 0)</f>
        <v>70.079799999999992</v>
      </c>
      <c r="L762" s="10"/>
    </row>
    <row r="763" spans="1:12" ht="15.75" x14ac:dyDescent="0.25">
      <c r="A763" s="13">
        <v>64528</v>
      </c>
      <c r="B763" s="10">
        <f>70.9197 * CHOOSE(CONTROL!$C$9, $D$9, 100%, $F$9) + CHOOSE(CONTROL!$C$27, 0.0021, 0)</f>
        <v>70.921800000000005</v>
      </c>
      <c r="C763" s="10">
        <f>70.4875 * CHOOSE(CONTROL!$C$9, $D$9, 100%, $F$9) + CHOOSE(CONTROL!$C$27, 0.0021, 0)</f>
        <v>70.489599999999996</v>
      </c>
      <c r="D763" s="10">
        <f>70.4875 * CHOOSE(CONTROL!$C$9, $D$9, 100%, $F$9) + CHOOSE(CONTROL!$C$27, 0.0021, 0)</f>
        <v>70.489599999999996</v>
      </c>
      <c r="E763" s="10">
        <f>70.3508 * CHOOSE(CONTROL!$C$9, $D$9, 100%, $F$9) + CHOOSE(CONTROL!$C$27, 0.0021, 0)</f>
        <v>70.352900000000005</v>
      </c>
      <c r="F763" s="10">
        <f>70.3508 * CHOOSE(CONTROL!$C$9, $D$9, 100%, $F$9) + CHOOSE(CONTROL!$C$27, 0.0021, 0)</f>
        <v>70.352900000000005</v>
      </c>
      <c r="G763" s="10">
        <f>70.6222 * CHOOSE(CONTROL!$C$9, $D$9, 100%, $F$9) + CHOOSE(CONTROL!$C$27, 0.0021, 0)</f>
        <v>70.624300000000005</v>
      </c>
      <c r="H763" s="10">
        <f>70.4875 * CHOOSE(CONTROL!$C$9, $D$9, 100%, $F$9) + CHOOSE(CONTROL!$C$27, 0.0021, 0)</f>
        <v>70.489599999999996</v>
      </c>
      <c r="I763" s="10">
        <f>70.4875 * CHOOSE(CONTROL!$C$9, $D$9, 100%, $F$9) + CHOOSE(CONTROL!$C$27, 0.0021, 0)</f>
        <v>70.489599999999996</v>
      </c>
      <c r="J763" s="10">
        <f>70.4875 * CHOOSE(CONTROL!$C$9, $D$9, 100%, $F$9) + CHOOSE(CONTROL!$C$27, 0.0021, 0)</f>
        <v>70.489599999999996</v>
      </c>
      <c r="K763" s="10">
        <f>70.4875 * CHOOSE(CONTROL!$C$9, $D$9, 100%, $F$9) + CHOOSE(CONTROL!$C$27, 0.0021, 0)</f>
        <v>70.489599999999996</v>
      </c>
      <c r="L763" s="10"/>
    </row>
    <row r="764" spans="1:12" ht="15.75" x14ac:dyDescent="0.25">
      <c r="A764" s="13">
        <v>64558</v>
      </c>
      <c r="B764" s="10">
        <f>72.3153 * CHOOSE(CONTROL!$C$9, $D$9, 100%, $F$9) + CHOOSE(CONTROL!$C$27, 0.0021, 0)</f>
        <v>72.317399999999992</v>
      </c>
      <c r="C764" s="10">
        <f>71.883 * CHOOSE(CONTROL!$C$9, $D$9, 100%, $F$9) + CHOOSE(CONTROL!$C$27, 0.0021, 0)</f>
        <v>71.885099999999994</v>
      </c>
      <c r="D764" s="10">
        <f>71.883 * CHOOSE(CONTROL!$C$9, $D$9, 100%, $F$9) + CHOOSE(CONTROL!$C$27, 0.0021, 0)</f>
        <v>71.885099999999994</v>
      </c>
      <c r="E764" s="10">
        <f>71.7464 * CHOOSE(CONTROL!$C$9, $D$9, 100%, $F$9) + CHOOSE(CONTROL!$C$27, 0.0021, 0)</f>
        <v>71.748499999999993</v>
      </c>
      <c r="F764" s="10">
        <f>71.7464 * CHOOSE(CONTROL!$C$9, $D$9, 100%, $F$9) + CHOOSE(CONTROL!$C$27, 0.0021, 0)</f>
        <v>71.748499999999993</v>
      </c>
      <c r="G764" s="10">
        <f>72.0178 * CHOOSE(CONTROL!$C$9, $D$9, 100%, $F$9) + CHOOSE(CONTROL!$C$27, 0.0021, 0)</f>
        <v>72.019899999999993</v>
      </c>
      <c r="H764" s="10">
        <f>71.883 * CHOOSE(CONTROL!$C$9, $D$9, 100%, $F$9) + CHOOSE(CONTROL!$C$27, 0.0021, 0)</f>
        <v>71.885099999999994</v>
      </c>
      <c r="I764" s="10">
        <f>71.883 * CHOOSE(CONTROL!$C$9, $D$9, 100%, $F$9) + CHOOSE(CONTROL!$C$27, 0.0021, 0)</f>
        <v>71.885099999999994</v>
      </c>
      <c r="J764" s="10">
        <f>71.883 * CHOOSE(CONTROL!$C$9, $D$9, 100%, $F$9) + CHOOSE(CONTROL!$C$27, 0.0021, 0)</f>
        <v>71.885099999999994</v>
      </c>
      <c r="K764" s="10">
        <f>71.883 * CHOOSE(CONTROL!$C$9, $D$9, 100%, $F$9) + CHOOSE(CONTROL!$C$27, 0.0021, 0)</f>
        <v>71.885099999999994</v>
      </c>
      <c r="L764" s="10"/>
    </row>
    <row r="765" spans="1:12" ht="15.75" x14ac:dyDescent="0.25">
      <c r="A765" s="13">
        <v>64589</v>
      </c>
      <c r="B765" s="10">
        <f>74.0818 * CHOOSE(CONTROL!$C$9, $D$9, 100%, $F$9) + CHOOSE(CONTROL!$C$27, 0.0021, 0)</f>
        <v>74.0839</v>
      </c>
      <c r="C765" s="10">
        <f>73.6495 * CHOOSE(CONTROL!$C$9, $D$9, 100%, $F$9) + CHOOSE(CONTROL!$C$27, 0.0021, 0)</f>
        <v>73.651600000000002</v>
      </c>
      <c r="D765" s="10">
        <f>73.6495 * CHOOSE(CONTROL!$C$9, $D$9, 100%, $F$9) + CHOOSE(CONTROL!$C$27, 0.0021, 0)</f>
        <v>73.651600000000002</v>
      </c>
      <c r="E765" s="10">
        <f>73.5129 * CHOOSE(CONTROL!$C$9, $D$9, 100%, $F$9) + CHOOSE(CONTROL!$C$27, 0.0021, 0)</f>
        <v>73.515000000000001</v>
      </c>
      <c r="F765" s="10">
        <f>73.5129 * CHOOSE(CONTROL!$C$9, $D$9, 100%, $F$9) + CHOOSE(CONTROL!$C$27, 0.0021, 0)</f>
        <v>73.515000000000001</v>
      </c>
      <c r="G765" s="10">
        <f>73.7843 * CHOOSE(CONTROL!$C$9, $D$9, 100%, $F$9) + CHOOSE(CONTROL!$C$27, 0.0021, 0)</f>
        <v>73.7864</v>
      </c>
      <c r="H765" s="10">
        <f>73.6495 * CHOOSE(CONTROL!$C$9, $D$9, 100%, $F$9) + CHOOSE(CONTROL!$C$27, 0.0021, 0)</f>
        <v>73.651600000000002</v>
      </c>
      <c r="I765" s="10">
        <f>73.6495 * CHOOSE(CONTROL!$C$9, $D$9, 100%, $F$9) + CHOOSE(CONTROL!$C$27, 0.0021, 0)</f>
        <v>73.651600000000002</v>
      </c>
      <c r="J765" s="10">
        <f>73.6495 * CHOOSE(CONTROL!$C$9, $D$9, 100%, $F$9) + CHOOSE(CONTROL!$C$27, 0.0021, 0)</f>
        <v>73.651600000000002</v>
      </c>
      <c r="K765" s="10">
        <f>73.6495 * CHOOSE(CONTROL!$C$9, $D$9, 100%, $F$9) + CHOOSE(CONTROL!$C$27, 0.0021, 0)</f>
        <v>73.651600000000002</v>
      </c>
      <c r="L765" s="10"/>
    </row>
    <row r="766" spans="1:12" ht="15.75" x14ac:dyDescent="0.25">
      <c r="A766" s="13">
        <v>64619</v>
      </c>
      <c r="B766" s="10">
        <f>74.2476 * CHOOSE(CONTROL!$C$9, $D$9, 100%, $F$9) + CHOOSE(CONTROL!$C$27, 0.0021, 0)</f>
        <v>74.249700000000004</v>
      </c>
      <c r="C766" s="10">
        <f>73.8154 * CHOOSE(CONTROL!$C$9, $D$9, 100%, $F$9) + CHOOSE(CONTROL!$C$27, 0.0021, 0)</f>
        <v>73.817499999999995</v>
      </c>
      <c r="D766" s="10">
        <f>73.8154 * CHOOSE(CONTROL!$C$9, $D$9, 100%, $F$9) + CHOOSE(CONTROL!$C$27, 0.0021, 0)</f>
        <v>73.817499999999995</v>
      </c>
      <c r="E766" s="10">
        <f>73.6787 * CHOOSE(CONTROL!$C$9, $D$9, 100%, $F$9) + CHOOSE(CONTROL!$C$27, 0.0021, 0)</f>
        <v>73.680800000000005</v>
      </c>
      <c r="F766" s="10">
        <f>73.6787 * CHOOSE(CONTROL!$C$9, $D$9, 100%, $F$9) + CHOOSE(CONTROL!$C$27, 0.0021, 0)</f>
        <v>73.680800000000005</v>
      </c>
      <c r="G766" s="10">
        <f>73.9501 * CHOOSE(CONTROL!$C$9, $D$9, 100%, $F$9) + CHOOSE(CONTROL!$C$27, 0.0021, 0)</f>
        <v>73.952200000000005</v>
      </c>
      <c r="H766" s="10">
        <f>73.8154 * CHOOSE(CONTROL!$C$9, $D$9, 100%, $F$9) + CHOOSE(CONTROL!$C$27, 0.0021, 0)</f>
        <v>73.817499999999995</v>
      </c>
      <c r="I766" s="10">
        <f>73.8154 * CHOOSE(CONTROL!$C$9, $D$9, 100%, $F$9) + CHOOSE(CONTROL!$C$27, 0.0021, 0)</f>
        <v>73.817499999999995</v>
      </c>
      <c r="J766" s="10">
        <f>73.8154 * CHOOSE(CONTROL!$C$9, $D$9, 100%, $F$9) + CHOOSE(CONTROL!$C$27, 0.0021, 0)</f>
        <v>73.817499999999995</v>
      </c>
      <c r="K766" s="10">
        <f>73.8154 * CHOOSE(CONTROL!$C$9, $D$9, 100%, $F$9) + CHOOSE(CONTROL!$C$27, 0.0021, 0)</f>
        <v>73.817499999999995</v>
      </c>
      <c r="L766" s="10"/>
    </row>
    <row r="767" spans="1:12" ht="15.75" x14ac:dyDescent="0.25">
      <c r="A767" s="13">
        <v>64650</v>
      </c>
      <c r="B767" s="10">
        <f>72.8368 * CHOOSE(CONTROL!$C$9, $D$9, 100%, $F$9) + CHOOSE(CONTROL!$C$27, 0.0021, 0)</f>
        <v>72.838899999999995</v>
      </c>
      <c r="C767" s="10">
        <f>72.4045 * CHOOSE(CONTROL!$C$9, $D$9, 100%, $F$9) + CHOOSE(CONTROL!$C$27, 0.0021, 0)</f>
        <v>72.406599999999997</v>
      </c>
      <c r="D767" s="10">
        <f>72.4045 * CHOOSE(CONTROL!$C$9, $D$9, 100%, $F$9) + CHOOSE(CONTROL!$C$27, 0.0021, 0)</f>
        <v>72.406599999999997</v>
      </c>
      <c r="E767" s="10">
        <f>72.2678 * CHOOSE(CONTROL!$C$9, $D$9, 100%, $F$9) + CHOOSE(CONTROL!$C$27, 0.0021, 0)</f>
        <v>72.269899999999993</v>
      </c>
      <c r="F767" s="10">
        <f>72.2678 * CHOOSE(CONTROL!$C$9, $D$9, 100%, $F$9) + CHOOSE(CONTROL!$C$27, 0.0021, 0)</f>
        <v>72.269899999999993</v>
      </c>
      <c r="G767" s="10">
        <f>72.5392 * CHOOSE(CONTROL!$C$9, $D$9, 100%, $F$9) + CHOOSE(CONTROL!$C$27, 0.0021, 0)</f>
        <v>72.541299999999993</v>
      </c>
      <c r="H767" s="10">
        <f>72.4045 * CHOOSE(CONTROL!$C$9, $D$9, 100%, $F$9) + CHOOSE(CONTROL!$C$27, 0.0021, 0)</f>
        <v>72.406599999999997</v>
      </c>
      <c r="I767" s="10">
        <f>72.4045 * CHOOSE(CONTROL!$C$9, $D$9, 100%, $F$9) + CHOOSE(CONTROL!$C$27, 0.0021, 0)</f>
        <v>72.406599999999997</v>
      </c>
      <c r="J767" s="10">
        <f>72.4045 * CHOOSE(CONTROL!$C$9, $D$9, 100%, $F$9) + CHOOSE(CONTROL!$C$27, 0.0021, 0)</f>
        <v>72.406599999999997</v>
      </c>
      <c r="K767" s="10">
        <f>72.4045 * CHOOSE(CONTROL!$C$9, $D$9, 100%, $F$9) + CHOOSE(CONTROL!$C$27, 0.0021, 0)</f>
        <v>72.406599999999997</v>
      </c>
      <c r="L767" s="10"/>
    </row>
    <row r="768" spans="1:12" ht="15.75" x14ac:dyDescent="0.25">
      <c r="A768" s="13">
        <v>64681</v>
      </c>
      <c r="B768" s="10">
        <f>71.7565 * CHOOSE(CONTROL!$C$9, $D$9, 100%, $F$9) + CHOOSE(CONTROL!$C$27, 0.0021, 0)</f>
        <v>71.758600000000001</v>
      </c>
      <c r="C768" s="10">
        <f>71.3243 * CHOOSE(CONTROL!$C$9, $D$9, 100%, $F$9) + CHOOSE(CONTROL!$C$27, 0.0021, 0)</f>
        <v>71.326399999999992</v>
      </c>
      <c r="D768" s="10">
        <f>71.3243 * CHOOSE(CONTROL!$C$9, $D$9, 100%, $F$9) + CHOOSE(CONTROL!$C$27, 0.0021, 0)</f>
        <v>71.326399999999992</v>
      </c>
      <c r="E768" s="10">
        <f>71.1876 * CHOOSE(CONTROL!$C$9, $D$9, 100%, $F$9) + CHOOSE(CONTROL!$C$27, 0.0021, 0)</f>
        <v>71.189700000000002</v>
      </c>
      <c r="F768" s="10">
        <f>71.1876 * CHOOSE(CONTROL!$C$9, $D$9, 100%, $F$9) + CHOOSE(CONTROL!$C$27, 0.0021, 0)</f>
        <v>71.189700000000002</v>
      </c>
      <c r="G768" s="10">
        <f>71.459 * CHOOSE(CONTROL!$C$9, $D$9, 100%, $F$9) + CHOOSE(CONTROL!$C$27, 0.0021, 0)</f>
        <v>71.461100000000002</v>
      </c>
      <c r="H768" s="10">
        <f>71.3243 * CHOOSE(CONTROL!$C$9, $D$9, 100%, $F$9) + CHOOSE(CONTROL!$C$27, 0.0021, 0)</f>
        <v>71.326399999999992</v>
      </c>
      <c r="I768" s="10">
        <f>71.3243 * CHOOSE(CONTROL!$C$9, $D$9, 100%, $F$9) + CHOOSE(CONTROL!$C$27, 0.0021, 0)</f>
        <v>71.326399999999992</v>
      </c>
      <c r="J768" s="10">
        <f>71.3243 * CHOOSE(CONTROL!$C$9, $D$9, 100%, $F$9) + CHOOSE(CONTROL!$C$27, 0.0021, 0)</f>
        <v>71.326399999999992</v>
      </c>
      <c r="K768" s="10">
        <f>71.3243 * CHOOSE(CONTROL!$C$9, $D$9, 100%, $F$9) + CHOOSE(CONTROL!$C$27, 0.0021, 0)</f>
        <v>71.326399999999992</v>
      </c>
      <c r="L768" s="10"/>
    </row>
    <row r="769" spans="1:12" ht="15.75" x14ac:dyDescent="0.25">
      <c r="A769" s="13">
        <v>64709</v>
      </c>
      <c r="B769" s="10">
        <f>69.7917 * CHOOSE(CONTROL!$C$9, $D$9, 100%, $F$9) + CHOOSE(CONTROL!$C$27, 0.0021, 0)</f>
        <v>69.793800000000005</v>
      </c>
      <c r="C769" s="10">
        <f>69.3595 * CHOOSE(CONTROL!$C$9, $D$9, 100%, $F$9) + CHOOSE(CONTROL!$C$27, 0.0021, 0)</f>
        <v>69.361599999999996</v>
      </c>
      <c r="D769" s="10">
        <f>69.3595 * CHOOSE(CONTROL!$C$9, $D$9, 100%, $F$9) + CHOOSE(CONTROL!$C$27, 0.0021, 0)</f>
        <v>69.361599999999996</v>
      </c>
      <c r="E769" s="10">
        <f>69.2228 * CHOOSE(CONTROL!$C$9, $D$9, 100%, $F$9) + CHOOSE(CONTROL!$C$27, 0.0021, 0)</f>
        <v>69.224900000000005</v>
      </c>
      <c r="F769" s="10">
        <f>69.2228 * CHOOSE(CONTROL!$C$9, $D$9, 100%, $F$9) + CHOOSE(CONTROL!$C$27, 0.0021, 0)</f>
        <v>69.224900000000005</v>
      </c>
      <c r="G769" s="10">
        <f>69.4942 * CHOOSE(CONTROL!$C$9, $D$9, 100%, $F$9) + CHOOSE(CONTROL!$C$27, 0.0021, 0)</f>
        <v>69.496300000000005</v>
      </c>
      <c r="H769" s="10">
        <f>69.3595 * CHOOSE(CONTROL!$C$9, $D$9, 100%, $F$9) + CHOOSE(CONTROL!$C$27, 0.0021, 0)</f>
        <v>69.361599999999996</v>
      </c>
      <c r="I769" s="10">
        <f>69.3595 * CHOOSE(CONTROL!$C$9, $D$9, 100%, $F$9) + CHOOSE(CONTROL!$C$27, 0.0021, 0)</f>
        <v>69.361599999999996</v>
      </c>
      <c r="J769" s="10">
        <f>69.3595 * CHOOSE(CONTROL!$C$9, $D$9, 100%, $F$9) + CHOOSE(CONTROL!$C$27, 0.0021, 0)</f>
        <v>69.361599999999996</v>
      </c>
      <c r="K769" s="10">
        <f>69.3595 * CHOOSE(CONTROL!$C$9, $D$9, 100%, $F$9) + CHOOSE(CONTROL!$C$27, 0.0021, 0)</f>
        <v>69.361599999999996</v>
      </c>
      <c r="L769" s="10"/>
    </row>
    <row r="770" spans="1:12" ht="15.75" x14ac:dyDescent="0.25">
      <c r="A770" s="13">
        <v>64740</v>
      </c>
      <c r="B770" s="10">
        <f>68.9806 * CHOOSE(CONTROL!$C$9, $D$9, 100%, $F$9) + CHOOSE(CONTROL!$C$27, 0.0021, 0)</f>
        <v>68.982699999999994</v>
      </c>
      <c r="C770" s="10">
        <f>68.5484 * CHOOSE(CONTROL!$C$9, $D$9, 100%, $F$9) + CHOOSE(CONTROL!$C$27, 0.0021, 0)</f>
        <v>68.5505</v>
      </c>
      <c r="D770" s="10">
        <f>68.5484 * CHOOSE(CONTROL!$C$9, $D$9, 100%, $F$9) + CHOOSE(CONTROL!$C$27, 0.0021, 0)</f>
        <v>68.5505</v>
      </c>
      <c r="E770" s="10">
        <f>68.4117 * CHOOSE(CONTROL!$C$9, $D$9, 100%, $F$9) + CHOOSE(CONTROL!$C$27, 0.0021, 0)</f>
        <v>68.413799999999995</v>
      </c>
      <c r="F770" s="10">
        <f>68.4117 * CHOOSE(CONTROL!$C$9, $D$9, 100%, $F$9) + CHOOSE(CONTROL!$C$27, 0.0021, 0)</f>
        <v>68.413799999999995</v>
      </c>
      <c r="G770" s="10">
        <f>68.6831 * CHOOSE(CONTROL!$C$9, $D$9, 100%, $F$9) + CHOOSE(CONTROL!$C$27, 0.0021, 0)</f>
        <v>68.685199999999995</v>
      </c>
      <c r="H770" s="10">
        <f>68.5484 * CHOOSE(CONTROL!$C$9, $D$9, 100%, $F$9) + CHOOSE(CONTROL!$C$27, 0.0021, 0)</f>
        <v>68.5505</v>
      </c>
      <c r="I770" s="10">
        <f>68.5484 * CHOOSE(CONTROL!$C$9, $D$9, 100%, $F$9) + CHOOSE(CONTROL!$C$27, 0.0021, 0)</f>
        <v>68.5505</v>
      </c>
      <c r="J770" s="10">
        <f>68.5484 * CHOOSE(CONTROL!$C$9, $D$9, 100%, $F$9) + CHOOSE(CONTROL!$C$27, 0.0021, 0)</f>
        <v>68.5505</v>
      </c>
      <c r="K770" s="10">
        <f>68.5484 * CHOOSE(CONTROL!$C$9, $D$9, 100%, $F$9) + CHOOSE(CONTROL!$C$27, 0.0021, 0)</f>
        <v>68.5505</v>
      </c>
      <c r="L770" s="10"/>
    </row>
    <row r="771" spans="1:12" ht="15.75" x14ac:dyDescent="0.25">
      <c r="A771" s="13">
        <v>64770</v>
      </c>
      <c r="B771" s="10">
        <f>68.0122 * CHOOSE(CONTROL!$C$9, $D$9, 100%, $F$9) + CHOOSE(CONTROL!$C$27, 0.0021, 0)</f>
        <v>68.014300000000006</v>
      </c>
      <c r="C771" s="10">
        <f>67.58 * CHOOSE(CONTROL!$C$9, $D$9, 100%, $F$9) + CHOOSE(CONTROL!$C$27, 0.0021, 0)</f>
        <v>67.582099999999997</v>
      </c>
      <c r="D771" s="10">
        <f>67.58 * CHOOSE(CONTROL!$C$9, $D$9, 100%, $F$9) + CHOOSE(CONTROL!$C$27, 0.0021, 0)</f>
        <v>67.582099999999997</v>
      </c>
      <c r="E771" s="10">
        <f>67.4433 * CHOOSE(CONTROL!$C$9, $D$9, 100%, $F$9) + CHOOSE(CONTROL!$C$27, 0.0021, 0)</f>
        <v>67.445399999999992</v>
      </c>
      <c r="F771" s="10">
        <f>67.4433 * CHOOSE(CONTROL!$C$9, $D$9, 100%, $F$9) + CHOOSE(CONTROL!$C$27, 0.0021, 0)</f>
        <v>67.445399999999992</v>
      </c>
      <c r="G771" s="10">
        <f>67.7147 * CHOOSE(CONTROL!$C$9, $D$9, 100%, $F$9) + CHOOSE(CONTROL!$C$27, 0.0021, 0)</f>
        <v>67.716799999999992</v>
      </c>
      <c r="H771" s="10">
        <f>67.58 * CHOOSE(CONTROL!$C$9, $D$9, 100%, $F$9) + CHOOSE(CONTROL!$C$27, 0.0021, 0)</f>
        <v>67.582099999999997</v>
      </c>
      <c r="I771" s="10">
        <f>67.58 * CHOOSE(CONTROL!$C$9, $D$9, 100%, $F$9) + CHOOSE(CONTROL!$C$27, 0.0021, 0)</f>
        <v>67.582099999999997</v>
      </c>
      <c r="J771" s="10">
        <f>67.58 * CHOOSE(CONTROL!$C$9, $D$9, 100%, $F$9) + CHOOSE(CONTROL!$C$27, 0.0021, 0)</f>
        <v>67.582099999999997</v>
      </c>
      <c r="K771" s="10">
        <f>67.58 * CHOOSE(CONTROL!$C$9, $D$9, 100%, $F$9) + CHOOSE(CONTROL!$C$27, 0.0021, 0)</f>
        <v>67.582099999999997</v>
      </c>
      <c r="L771" s="10"/>
    </row>
    <row r="772" spans="1:12" ht="15.75" x14ac:dyDescent="0.25">
      <c r="A772" s="13">
        <v>64801</v>
      </c>
      <c r="B772" s="10">
        <f>69.3923 * CHOOSE(CONTROL!$C$9, $D$9, 100%, $F$9) + CHOOSE(CONTROL!$C$27, 0.0021, 0)</f>
        <v>69.394400000000005</v>
      </c>
      <c r="C772" s="10">
        <f>68.9601 * CHOOSE(CONTROL!$C$9, $D$9, 100%, $F$9) + CHOOSE(CONTROL!$C$27, 0.0021, 0)</f>
        <v>68.962199999999996</v>
      </c>
      <c r="D772" s="10">
        <f>68.9601 * CHOOSE(CONTROL!$C$9, $D$9, 100%, $F$9) + CHOOSE(CONTROL!$C$27, 0.0021, 0)</f>
        <v>68.962199999999996</v>
      </c>
      <c r="E772" s="10">
        <f>68.8234 * CHOOSE(CONTROL!$C$9, $D$9, 100%, $F$9) + CHOOSE(CONTROL!$C$27, 0.0021, 0)</f>
        <v>68.825500000000005</v>
      </c>
      <c r="F772" s="10">
        <f>68.8234 * CHOOSE(CONTROL!$C$9, $D$9, 100%, $F$9) + CHOOSE(CONTROL!$C$27, 0.0021, 0)</f>
        <v>68.825500000000005</v>
      </c>
      <c r="G772" s="10">
        <f>69.0948 * CHOOSE(CONTROL!$C$9, $D$9, 100%, $F$9) + CHOOSE(CONTROL!$C$27, 0.0021, 0)</f>
        <v>69.096900000000005</v>
      </c>
      <c r="H772" s="10">
        <f>68.9601 * CHOOSE(CONTROL!$C$9, $D$9, 100%, $F$9) + CHOOSE(CONTROL!$C$27, 0.0021, 0)</f>
        <v>68.962199999999996</v>
      </c>
      <c r="I772" s="10">
        <f>68.9601 * CHOOSE(CONTROL!$C$9, $D$9, 100%, $F$9) + CHOOSE(CONTROL!$C$27, 0.0021, 0)</f>
        <v>68.962199999999996</v>
      </c>
      <c r="J772" s="10">
        <f>68.9601 * CHOOSE(CONTROL!$C$9, $D$9, 100%, $F$9) + CHOOSE(CONTROL!$C$27, 0.0021, 0)</f>
        <v>68.962199999999996</v>
      </c>
      <c r="K772" s="10">
        <f>68.9601 * CHOOSE(CONTROL!$C$9, $D$9, 100%, $F$9) + CHOOSE(CONTROL!$C$27, 0.0021, 0)</f>
        <v>68.962199999999996</v>
      </c>
      <c r="L772" s="10"/>
    </row>
    <row r="773" spans="1:12" ht="15.75" x14ac:dyDescent="0.25">
      <c r="A773" s="13">
        <v>64831</v>
      </c>
      <c r="B773" s="10">
        <f>70.219 * CHOOSE(CONTROL!$C$9, $D$9, 100%, $F$9) + CHOOSE(CONTROL!$C$27, 0.0021, 0)</f>
        <v>70.221099999999993</v>
      </c>
      <c r="C773" s="10">
        <f>69.7868 * CHOOSE(CONTROL!$C$9, $D$9, 100%, $F$9) + CHOOSE(CONTROL!$C$27, 0.0021, 0)</f>
        <v>69.788899999999998</v>
      </c>
      <c r="D773" s="10">
        <f>69.7868 * CHOOSE(CONTROL!$C$9, $D$9, 100%, $F$9) + CHOOSE(CONTROL!$C$27, 0.0021, 0)</f>
        <v>69.788899999999998</v>
      </c>
      <c r="E773" s="10">
        <f>69.6501 * CHOOSE(CONTROL!$C$9, $D$9, 100%, $F$9) + CHOOSE(CONTROL!$C$27, 0.0021, 0)</f>
        <v>69.652199999999993</v>
      </c>
      <c r="F773" s="10">
        <f>69.6501 * CHOOSE(CONTROL!$C$9, $D$9, 100%, $F$9) + CHOOSE(CONTROL!$C$27, 0.0021, 0)</f>
        <v>69.652199999999993</v>
      </c>
      <c r="G773" s="10">
        <f>69.9215 * CHOOSE(CONTROL!$C$9, $D$9, 100%, $F$9) + CHOOSE(CONTROL!$C$27, 0.0021, 0)</f>
        <v>69.923599999999993</v>
      </c>
      <c r="H773" s="10">
        <f>69.7868 * CHOOSE(CONTROL!$C$9, $D$9, 100%, $F$9) + CHOOSE(CONTROL!$C$27, 0.0021, 0)</f>
        <v>69.788899999999998</v>
      </c>
      <c r="I773" s="10">
        <f>69.7868 * CHOOSE(CONTROL!$C$9, $D$9, 100%, $F$9) + CHOOSE(CONTROL!$C$27, 0.0021, 0)</f>
        <v>69.788899999999998</v>
      </c>
      <c r="J773" s="10">
        <f>69.7868 * CHOOSE(CONTROL!$C$9, $D$9, 100%, $F$9) + CHOOSE(CONTROL!$C$27, 0.0021, 0)</f>
        <v>69.788899999999998</v>
      </c>
      <c r="K773" s="10">
        <f>69.7868 * CHOOSE(CONTROL!$C$9, $D$9, 100%, $F$9) + CHOOSE(CONTROL!$C$27, 0.0021, 0)</f>
        <v>69.788899999999998</v>
      </c>
      <c r="L773" s="10"/>
    </row>
    <row r="774" spans="1:12" ht="15.75" x14ac:dyDescent="0.25">
      <c r="A774" s="13">
        <v>64862</v>
      </c>
      <c r="B774" s="10">
        <f>71.5827 * CHOOSE(CONTROL!$C$9, $D$9, 100%, $F$9) + CHOOSE(CONTROL!$C$27, 0.0021, 0)</f>
        <v>71.584800000000001</v>
      </c>
      <c r="C774" s="10">
        <f>71.1504 * CHOOSE(CONTROL!$C$9, $D$9, 100%, $F$9) + CHOOSE(CONTROL!$C$27, 0.0021, 0)</f>
        <v>71.152500000000003</v>
      </c>
      <c r="D774" s="10">
        <f>71.1504 * CHOOSE(CONTROL!$C$9, $D$9, 100%, $F$9) + CHOOSE(CONTROL!$C$27, 0.0021, 0)</f>
        <v>71.152500000000003</v>
      </c>
      <c r="E774" s="10">
        <f>71.0138 * CHOOSE(CONTROL!$C$9, $D$9, 100%, $F$9) + CHOOSE(CONTROL!$C$27, 0.0021, 0)</f>
        <v>71.015900000000002</v>
      </c>
      <c r="F774" s="10">
        <f>71.0138 * CHOOSE(CONTROL!$C$9, $D$9, 100%, $F$9) + CHOOSE(CONTROL!$C$27, 0.0021, 0)</f>
        <v>71.015900000000002</v>
      </c>
      <c r="G774" s="10">
        <f>71.2851 * CHOOSE(CONTROL!$C$9, $D$9, 100%, $F$9) + CHOOSE(CONTROL!$C$27, 0.0021, 0)</f>
        <v>71.287199999999999</v>
      </c>
      <c r="H774" s="10">
        <f>71.1504 * CHOOSE(CONTROL!$C$9, $D$9, 100%, $F$9) + CHOOSE(CONTROL!$C$27, 0.0021, 0)</f>
        <v>71.152500000000003</v>
      </c>
      <c r="I774" s="10">
        <f>71.1504 * CHOOSE(CONTROL!$C$9, $D$9, 100%, $F$9) + CHOOSE(CONTROL!$C$27, 0.0021, 0)</f>
        <v>71.152500000000003</v>
      </c>
      <c r="J774" s="10">
        <f>71.1504 * CHOOSE(CONTROL!$C$9, $D$9, 100%, $F$9) + CHOOSE(CONTROL!$C$27, 0.0021, 0)</f>
        <v>71.152500000000003</v>
      </c>
      <c r="K774" s="10">
        <f>71.1504 * CHOOSE(CONTROL!$C$9, $D$9, 100%, $F$9) + CHOOSE(CONTROL!$C$27, 0.0021, 0)</f>
        <v>71.152500000000003</v>
      </c>
      <c r="L774" s="10"/>
    </row>
    <row r="775" spans="1:12" ht="15.75" x14ac:dyDescent="0.25">
      <c r="A775" s="13">
        <v>64893</v>
      </c>
      <c r="B775" s="10">
        <f>71.9989 * CHOOSE(CONTROL!$C$9, $D$9, 100%, $F$9) + CHOOSE(CONTROL!$C$27, 0.0021, 0)</f>
        <v>72.001000000000005</v>
      </c>
      <c r="C775" s="10">
        <f>71.5667 * CHOOSE(CONTROL!$C$9, $D$9, 100%, $F$9) + CHOOSE(CONTROL!$C$27, 0.0021, 0)</f>
        <v>71.568799999999996</v>
      </c>
      <c r="D775" s="10">
        <f>71.5667 * CHOOSE(CONTROL!$C$9, $D$9, 100%, $F$9) + CHOOSE(CONTROL!$C$27, 0.0021, 0)</f>
        <v>71.568799999999996</v>
      </c>
      <c r="E775" s="10">
        <f>71.43 * CHOOSE(CONTROL!$C$9, $D$9, 100%, $F$9) + CHOOSE(CONTROL!$C$27, 0.0021, 0)</f>
        <v>71.432100000000005</v>
      </c>
      <c r="F775" s="10">
        <f>71.43 * CHOOSE(CONTROL!$C$9, $D$9, 100%, $F$9) + CHOOSE(CONTROL!$C$27, 0.0021, 0)</f>
        <v>71.432100000000005</v>
      </c>
      <c r="G775" s="10">
        <f>71.7014 * CHOOSE(CONTROL!$C$9, $D$9, 100%, $F$9) + CHOOSE(CONTROL!$C$27, 0.0021, 0)</f>
        <v>71.703500000000005</v>
      </c>
      <c r="H775" s="10">
        <f>71.5667 * CHOOSE(CONTROL!$C$9, $D$9, 100%, $F$9) + CHOOSE(CONTROL!$C$27, 0.0021, 0)</f>
        <v>71.568799999999996</v>
      </c>
      <c r="I775" s="10">
        <f>71.5667 * CHOOSE(CONTROL!$C$9, $D$9, 100%, $F$9) + CHOOSE(CONTROL!$C$27, 0.0021, 0)</f>
        <v>71.568799999999996</v>
      </c>
      <c r="J775" s="10">
        <f>71.5667 * CHOOSE(CONTROL!$C$9, $D$9, 100%, $F$9) + CHOOSE(CONTROL!$C$27, 0.0021, 0)</f>
        <v>71.568799999999996</v>
      </c>
      <c r="K775" s="10">
        <f>71.5667 * CHOOSE(CONTROL!$C$9, $D$9, 100%, $F$9) + CHOOSE(CONTROL!$C$27, 0.0021, 0)</f>
        <v>71.568799999999996</v>
      </c>
      <c r="L775" s="10"/>
    </row>
    <row r="776" spans="1:12" ht="15.75" x14ac:dyDescent="0.25">
      <c r="A776" s="13">
        <v>64923</v>
      </c>
      <c r="B776" s="10">
        <f>73.4164 * CHOOSE(CONTROL!$C$9, $D$9, 100%, $F$9) + CHOOSE(CONTROL!$C$27, 0.0021, 0)</f>
        <v>73.418499999999995</v>
      </c>
      <c r="C776" s="10">
        <f>72.9841 * CHOOSE(CONTROL!$C$9, $D$9, 100%, $F$9) + CHOOSE(CONTROL!$C$27, 0.0021, 0)</f>
        <v>72.986199999999997</v>
      </c>
      <c r="D776" s="10">
        <f>72.9841 * CHOOSE(CONTROL!$C$9, $D$9, 100%, $F$9) + CHOOSE(CONTROL!$C$27, 0.0021, 0)</f>
        <v>72.986199999999997</v>
      </c>
      <c r="E776" s="10">
        <f>72.8475 * CHOOSE(CONTROL!$C$9, $D$9, 100%, $F$9) + CHOOSE(CONTROL!$C$27, 0.0021, 0)</f>
        <v>72.849599999999995</v>
      </c>
      <c r="F776" s="10">
        <f>72.8475 * CHOOSE(CONTROL!$C$9, $D$9, 100%, $F$9) + CHOOSE(CONTROL!$C$27, 0.0021, 0)</f>
        <v>72.849599999999995</v>
      </c>
      <c r="G776" s="10">
        <f>73.1189 * CHOOSE(CONTROL!$C$9, $D$9, 100%, $F$9) + CHOOSE(CONTROL!$C$27, 0.0021, 0)</f>
        <v>73.120999999999995</v>
      </c>
      <c r="H776" s="10">
        <f>72.9841 * CHOOSE(CONTROL!$C$9, $D$9, 100%, $F$9) + CHOOSE(CONTROL!$C$27, 0.0021, 0)</f>
        <v>72.986199999999997</v>
      </c>
      <c r="I776" s="10">
        <f>72.9841 * CHOOSE(CONTROL!$C$9, $D$9, 100%, $F$9) + CHOOSE(CONTROL!$C$27, 0.0021, 0)</f>
        <v>72.986199999999997</v>
      </c>
      <c r="J776" s="10">
        <f>72.9841 * CHOOSE(CONTROL!$C$9, $D$9, 100%, $F$9) + CHOOSE(CONTROL!$C$27, 0.0021, 0)</f>
        <v>72.986199999999997</v>
      </c>
      <c r="K776" s="10">
        <f>72.9841 * CHOOSE(CONTROL!$C$9, $D$9, 100%, $F$9) + CHOOSE(CONTROL!$C$27, 0.0021, 0)</f>
        <v>72.986199999999997</v>
      </c>
      <c r="L776" s="10"/>
    </row>
    <row r="777" spans="1:12" ht="15.75" x14ac:dyDescent="0.25">
      <c r="A777" s="13">
        <v>64954</v>
      </c>
      <c r="B777" s="10">
        <f>75.2107 * CHOOSE(CONTROL!$C$9, $D$9, 100%, $F$9) + CHOOSE(CONTROL!$C$27, 0.0021, 0)</f>
        <v>75.212800000000001</v>
      </c>
      <c r="C777" s="10">
        <f>74.7784 * CHOOSE(CONTROL!$C$9, $D$9, 100%, $F$9) + CHOOSE(CONTROL!$C$27, 0.0021, 0)</f>
        <v>74.780500000000004</v>
      </c>
      <c r="D777" s="10">
        <f>74.7784 * CHOOSE(CONTROL!$C$9, $D$9, 100%, $F$9) + CHOOSE(CONTROL!$C$27, 0.0021, 0)</f>
        <v>74.780500000000004</v>
      </c>
      <c r="E777" s="10">
        <f>74.6418 * CHOOSE(CONTROL!$C$9, $D$9, 100%, $F$9) + CHOOSE(CONTROL!$C$27, 0.0021, 0)</f>
        <v>74.643900000000002</v>
      </c>
      <c r="F777" s="10">
        <f>74.6418 * CHOOSE(CONTROL!$C$9, $D$9, 100%, $F$9) + CHOOSE(CONTROL!$C$27, 0.0021, 0)</f>
        <v>74.643900000000002</v>
      </c>
      <c r="G777" s="10">
        <f>74.9131 * CHOOSE(CONTROL!$C$9, $D$9, 100%, $F$9) + CHOOSE(CONTROL!$C$27, 0.0021, 0)</f>
        <v>74.915199999999999</v>
      </c>
      <c r="H777" s="10">
        <f>74.7784 * CHOOSE(CONTROL!$C$9, $D$9, 100%, $F$9) + CHOOSE(CONTROL!$C$27, 0.0021, 0)</f>
        <v>74.780500000000004</v>
      </c>
      <c r="I777" s="10">
        <f>74.7784 * CHOOSE(CONTROL!$C$9, $D$9, 100%, $F$9) + CHOOSE(CONTROL!$C$27, 0.0021, 0)</f>
        <v>74.780500000000004</v>
      </c>
      <c r="J777" s="10">
        <f>74.7784 * CHOOSE(CONTROL!$C$9, $D$9, 100%, $F$9) + CHOOSE(CONTROL!$C$27, 0.0021, 0)</f>
        <v>74.780500000000004</v>
      </c>
      <c r="K777" s="10">
        <f>74.7784 * CHOOSE(CONTROL!$C$9, $D$9, 100%, $F$9) + CHOOSE(CONTROL!$C$27, 0.0021, 0)</f>
        <v>74.780500000000004</v>
      </c>
      <c r="L777" s="10"/>
    </row>
    <row r="778" spans="1:12" ht="15.75" x14ac:dyDescent="0.25">
      <c r="A778" s="13">
        <v>64984</v>
      </c>
      <c r="B778" s="10">
        <f>75.3791 * CHOOSE(CONTROL!$C$9, $D$9, 100%, $F$9) + CHOOSE(CONTROL!$C$27, 0.0021, 0)</f>
        <v>75.381199999999993</v>
      </c>
      <c r="C778" s="10">
        <f>74.9469 * CHOOSE(CONTROL!$C$9, $D$9, 100%, $F$9) + CHOOSE(CONTROL!$C$27, 0.0021, 0)</f>
        <v>74.948999999999998</v>
      </c>
      <c r="D778" s="10">
        <f>74.9469 * CHOOSE(CONTROL!$C$9, $D$9, 100%, $F$9) + CHOOSE(CONTROL!$C$27, 0.0021, 0)</f>
        <v>74.948999999999998</v>
      </c>
      <c r="E778" s="10">
        <f>74.8102 * CHOOSE(CONTROL!$C$9, $D$9, 100%, $F$9) + CHOOSE(CONTROL!$C$27, 0.0021, 0)</f>
        <v>74.812299999999993</v>
      </c>
      <c r="F778" s="10">
        <f>74.8102 * CHOOSE(CONTROL!$C$9, $D$9, 100%, $F$9) + CHOOSE(CONTROL!$C$27, 0.0021, 0)</f>
        <v>74.812299999999993</v>
      </c>
      <c r="G778" s="10">
        <f>75.0816 * CHOOSE(CONTROL!$C$9, $D$9, 100%, $F$9) + CHOOSE(CONTROL!$C$27, 0.0021, 0)</f>
        <v>75.083699999999993</v>
      </c>
      <c r="H778" s="10">
        <f>74.9469 * CHOOSE(CONTROL!$C$9, $D$9, 100%, $F$9) + CHOOSE(CONTROL!$C$27, 0.0021, 0)</f>
        <v>74.948999999999998</v>
      </c>
      <c r="I778" s="10">
        <f>74.9469 * CHOOSE(CONTROL!$C$9, $D$9, 100%, $F$9) + CHOOSE(CONTROL!$C$27, 0.0021, 0)</f>
        <v>74.948999999999998</v>
      </c>
      <c r="J778" s="10">
        <f>74.9469 * CHOOSE(CONTROL!$C$9, $D$9, 100%, $F$9) + CHOOSE(CONTROL!$C$27, 0.0021, 0)</f>
        <v>74.948999999999998</v>
      </c>
      <c r="K778" s="10">
        <f>74.9469 * CHOOSE(CONTROL!$C$9, $D$9, 100%, $F$9) + CHOOSE(CONTROL!$C$27, 0.0021, 0)</f>
        <v>74.948999999999998</v>
      </c>
      <c r="L778" s="10"/>
    </row>
    <row r="779" spans="1:12" ht="15.75" x14ac:dyDescent="0.25">
      <c r="A779" s="13">
        <v>65015</v>
      </c>
      <c r="B779" s="10">
        <f>73.9461 * CHOOSE(CONTROL!$C$9, $D$9, 100%, $F$9) + CHOOSE(CONTROL!$C$27, 0.0021, 0)</f>
        <v>73.9482</v>
      </c>
      <c r="C779" s="10">
        <f>73.5138 * CHOOSE(CONTROL!$C$9, $D$9, 100%, $F$9) + CHOOSE(CONTROL!$C$27, 0.0021, 0)</f>
        <v>73.515900000000002</v>
      </c>
      <c r="D779" s="10">
        <f>73.5138 * CHOOSE(CONTROL!$C$9, $D$9, 100%, $F$9) + CHOOSE(CONTROL!$C$27, 0.0021, 0)</f>
        <v>73.515900000000002</v>
      </c>
      <c r="E779" s="10">
        <f>73.3771 * CHOOSE(CONTROL!$C$9, $D$9, 100%, $F$9) + CHOOSE(CONTROL!$C$27, 0.0021, 0)</f>
        <v>73.379199999999997</v>
      </c>
      <c r="F779" s="10">
        <f>73.3771 * CHOOSE(CONTROL!$C$9, $D$9, 100%, $F$9) + CHOOSE(CONTROL!$C$27, 0.0021, 0)</f>
        <v>73.379199999999997</v>
      </c>
      <c r="G779" s="10">
        <f>73.6485 * CHOOSE(CONTROL!$C$9, $D$9, 100%, $F$9) + CHOOSE(CONTROL!$C$27, 0.0021, 0)</f>
        <v>73.650599999999997</v>
      </c>
      <c r="H779" s="10">
        <f>73.5138 * CHOOSE(CONTROL!$C$9, $D$9, 100%, $F$9) + CHOOSE(CONTROL!$C$27, 0.0021, 0)</f>
        <v>73.515900000000002</v>
      </c>
      <c r="I779" s="10">
        <f>73.5138 * CHOOSE(CONTROL!$C$9, $D$9, 100%, $F$9) + CHOOSE(CONTROL!$C$27, 0.0021, 0)</f>
        <v>73.515900000000002</v>
      </c>
      <c r="J779" s="10">
        <f>73.5138 * CHOOSE(CONTROL!$C$9, $D$9, 100%, $F$9) + CHOOSE(CONTROL!$C$27, 0.0021, 0)</f>
        <v>73.515900000000002</v>
      </c>
      <c r="K779" s="10">
        <f>73.5138 * CHOOSE(CONTROL!$C$9, $D$9, 100%, $F$9) + CHOOSE(CONTROL!$C$27, 0.0021, 0)</f>
        <v>73.515900000000002</v>
      </c>
      <c r="L779" s="10"/>
    </row>
    <row r="780" spans="1:12" ht="15.75" x14ac:dyDescent="0.25">
      <c r="A780" s="13">
        <v>65046</v>
      </c>
      <c r="B780" s="10">
        <f>72.8489 * CHOOSE(CONTROL!$C$9, $D$9, 100%, $F$9) + CHOOSE(CONTROL!$C$27, 0.0021, 0)</f>
        <v>72.850999999999999</v>
      </c>
      <c r="C780" s="10">
        <f>72.4166 * CHOOSE(CONTROL!$C$9, $D$9, 100%, $F$9) + CHOOSE(CONTROL!$C$27, 0.0021, 0)</f>
        <v>72.418700000000001</v>
      </c>
      <c r="D780" s="10">
        <f>72.4166 * CHOOSE(CONTROL!$C$9, $D$9, 100%, $F$9) + CHOOSE(CONTROL!$C$27, 0.0021, 0)</f>
        <v>72.418700000000001</v>
      </c>
      <c r="E780" s="10">
        <f>72.28 * CHOOSE(CONTROL!$C$9, $D$9, 100%, $F$9) + CHOOSE(CONTROL!$C$27, 0.0021, 0)</f>
        <v>72.2821</v>
      </c>
      <c r="F780" s="10">
        <f>72.28 * CHOOSE(CONTROL!$C$9, $D$9, 100%, $F$9) + CHOOSE(CONTROL!$C$27, 0.0021, 0)</f>
        <v>72.2821</v>
      </c>
      <c r="G780" s="10">
        <f>72.5513 * CHOOSE(CONTROL!$C$9, $D$9, 100%, $F$9) + CHOOSE(CONTROL!$C$27, 0.0021, 0)</f>
        <v>72.553399999999996</v>
      </c>
      <c r="H780" s="10">
        <f>72.4166 * CHOOSE(CONTROL!$C$9, $D$9, 100%, $F$9) + CHOOSE(CONTROL!$C$27, 0.0021, 0)</f>
        <v>72.418700000000001</v>
      </c>
      <c r="I780" s="10">
        <f>72.4166 * CHOOSE(CONTROL!$C$9, $D$9, 100%, $F$9) + CHOOSE(CONTROL!$C$27, 0.0021, 0)</f>
        <v>72.418700000000001</v>
      </c>
      <c r="J780" s="10">
        <f>72.4166 * CHOOSE(CONTROL!$C$9, $D$9, 100%, $F$9) + CHOOSE(CONTROL!$C$27, 0.0021, 0)</f>
        <v>72.418700000000001</v>
      </c>
      <c r="K780" s="10">
        <f>72.4166 * CHOOSE(CONTROL!$C$9, $D$9, 100%, $F$9) + CHOOSE(CONTROL!$C$27, 0.0021, 0)</f>
        <v>72.418700000000001</v>
      </c>
      <c r="L780" s="10"/>
    </row>
    <row r="781" spans="1:12" ht="15.75" x14ac:dyDescent="0.25">
      <c r="A781" s="13">
        <v>65074</v>
      </c>
      <c r="B781" s="10">
        <f>70.8531 * CHOOSE(CONTROL!$C$9, $D$9, 100%, $F$9) + CHOOSE(CONTROL!$C$27, 0.0021, 0)</f>
        <v>70.855199999999996</v>
      </c>
      <c r="C781" s="10">
        <f>70.4209 * CHOOSE(CONTROL!$C$9, $D$9, 100%, $F$9) + CHOOSE(CONTROL!$C$27, 0.0021, 0)</f>
        <v>70.423000000000002</v>
      </c>
      <c r="D781" s="10">
        <f>70.4209 * CHOOSE(CONTROL!$C$9, $D$9, 100%, $F$9) + CHOOSE(CONTROL!$C$27, 0.0021, 0)</f>
        <v>70.423000000000002</v>
      </c>
      <c r="E781" s="10">
        <f>70.2842 * CHOOSE(CONTROL!$C$9, $D$9, 100%, $F$9) + CHOOSE(CONTROL!$C$27, 0.0021, 0)</f>
        <v>70.286299999999997</v>
      </c>
      <c r="F781" s="10">
        <f>70.2842 * CHOOSE(CONTROL!$C$9, $D$9, 100%, $F$9) + CHOOSE(CONTROL!$C$27, 0.0021, 0)</f>
        <v>70.286299999999997</v>
      </c>
      <c r="G781" s="10">
        <f>70.5556 * CHOOSE(CONTROL!$C$9, $D$9, 100%, $F$9) + CHOOSE(CONTROL!$C$27, 0.0021, 0)</f>
        <v>70.557699999999997</v>
      </c>
      <c r="H781" s="10">
        <f>70.4209 * CHOOSE(CONTROL!$C$9, $D$9, 100%, $F$9) + CHOOSE(CONTROL!$C$27, 0.0021, 0)</f>
        <v>70.423000000000002</v>
      </c>
      <c r="I781" s="10">
        <f>70.4209 * CHOOSE(CONTROL!$C$9, $D$9, 100%, $F$9) + CHOOSE(CONTROL!$C$27, 0.0021, 0)</f>
        <v>70.423000000000002</v>
      </c>
      <c r="J781" s="10">
        <f>70.4209 * CHOOSE(CONTROL!$C$9, $D$9, 100%, $F$9) + CHOOSE(CONTROL!$C$27, 0.0021, 0)</f>
        <v>70.423000000000002</v>
      </c>
      <c r="K781" s="10">
        <f>70.4209 * CHOOSE(CONTROL!$C$9, $D$9, 100%, $F$9) + CHOOSE(CONTROL!$C$27, 0.0021, 0)</f>
        <v>70.423000000000002</v>
      </c>
      <c r="L781" s="10"/>
    </row>
    <row r="782" spans="1:12" ht="15.75" x14ac:dyDescent="0.25">
      <c r="A782" s="13">
        <v>65105</v>
      </c>
      <c r="B782" s="10">
        <f>70.0293 * CHOOSE(CONTROL!$C$9, $D$9, 100%, $F$9) + CHOOSE(CONTROL!$C$27, 0.0021, 0)</f>
        <v>70.031400000000005</v>
      </c>
      <c r="C782" s="10">
        <f>69.5971 * CHOOSE(CONTROL!$C$9, $D$9, 100%, $F$9) + CHOOSE(CONTROL!$C$27, 0.0021, 0)</f>
        <v>69.599199999999996</v>
      </c>
      <c r="D782" s="10">
        <f>69.5971 * CHOOSE(CONTROL!$C$9, $D$9, 100%, $F$9) + CHOOSE(CONTROL!$C$27, 0.0021, 0)</f>
        <v>69.599199999999996</v>
      </c>
      <c r="E782" s="10">
        <f>69.4604 * CHOOSE(CONTROL!$C$9, $D$9, 100%, $F$9) + CHOOSE(CONTROL!$C$27, 0.0021, 0)</f>
        <v>69.462500000000006</v>
      </c>
      <c r="F782" s="10">
        <f>69.4604 * CHOOSE(CONTROL!$C$9, $D$9, 100%, $F$9) + CHOOSE(CONTROL!$C$27, 0.0021, 0)</f>
        <v>69.462500000000006</v>
      </c>
      <c r="G782" s="10">
        <f>69.7318 * CHOOSE(CONTROL!$C$9, $D$9, 100%, $F$9) + CHOOSE(CONTROL!$C$27, 0.0021, 0)</f>
        <v>69.733900000000006</v>
      </c>
      <c r="H782" s="10">
        <f>69.5971 * CHOOSE(CONTROL!$C$9, $D$9, 100%, $F$9) + CHOOSE(CONTROL!$C$27, 0.0021, 0)</f>
        <v>69.599199999999996</v>
      </c>
      <c r="I782" s="10">
        <f>69.5971 * CHOOSE(CONTROL!$C$9, $D$9, 100%, $F$9) + CHOOSE(CONTROL!$C$27, 0.0021, 0)</f>
        <v>69.599199999999996</v>
      </c>
      <c r="J782" s="10">
        <f>69.5971 * CHOOSE(CONTROL!$C$9, $D$9, 100%, $F$9) + CHOOSE(CONTROL!$C$27, 0.0021, 0)</f>
        <v>69.599199999999996</v>
      </c>
      <c r="K782" s="10">
        <f>69.5971 * CHOOSE(CONTROL!$C$9, $D$9, 100%, $F$9) + CHOOSE(CONTROL!$C$27, 0.0021, 0)</f>
        <v>69.599199999999996</v>
      </c>
      <c r="L782" s="10"/>
    </row>
    <row r="783" spans="1:12" ht="15.75" x14ac:dyDescent="0.25">
      <c r="A783" s="13">
        <v>65135</v>
      </c>
      <c r="B783" s="10">
        <f>69.0456 * CHOOSE(CONTROL!$C$9, $D$9, 100%, $F$9) + CHOOSE(CONTROL!$C$27, 0.0021, 0)</f>
        <v>69.047699999999992</v>
      </c>
      <c r="C783" s="10">
        <f>68.6134 * CHOOSE(CONTROL!$C$9, $D$9, 100%, $F$9) + CHOOSE(CONTROL!$C$27, 0.0021, 0)</f>
        <v>68.615499999999997</v>
      </c>
      <c r="D783" s="10">
        <f>68.6134 * CHOOSE(CONTROL!$C$9, $D$9, 100%, $F$9) + CHOOSE(CONTROL!$C$27, 0.0021, 0)</f>
        <v>68.615499999999997</v>
      </c>
      <c r="E783" s="10">
        <f>68.4767 * CHOOSE(CONTROL!$C$9, $D$9, 100%, $F$9) + CHOOSE(CONTROL!$C$27, 0.0021, 0)</f>
        <v>68.478799999999993</v>
      </c>
      <c r="F783" s="10">
        <f>68.4767 * CHOOSE(CONTROL!$C$9, $D$9, 100%, $F$9) + CHOOSE(CONTROL!$C$27, 0.0021, 0)</f>
        <v>68.478799999999993</v>
      </c>
      <c r="G783" s="10">
        <f>68.7481 * CHOOSE(CONTROL!$C$9, $D$9, 100%, $F$9) + CHOOSE(CONTROL!$C$27, 0.0021, 0)</f>
        <v>68.750199999999992</v>
      </c>
      <c r="H783" s="10">
        <f>68.6134 * CHOOSE(CONTROL!$C$9, $D$9, 100%, $F$9) + CHOOSE(CONTROL!$C$27, 0.0021, 0)</f>
        <v>68.615499999999997</v>
      </c>
      <c r="I783" s="10">
        <f>68.6134 * CHOOSE(CONTROL!$C$9, $D$9, 100%, $F$9) + CHOOSE(CONTROL!$C$27, 0.0021, 0)</f>
        <v>68.615499999999997</v>
      </c>
      <c r="J783" s="10">
        <f>68.6134 * CHOOSE(CONTROL!$C$9, $D$9, 100%, $F$9) + CHOOSE(CONTROL!$C$27, 0.0021, 0)</f>
        <v>68.615499999999997</v>
      </c>
      <c r="K783" s="10">
        <f>68.6134 * CHOOSE(CONTROL!$C$9, $D$9, 100%, $F$9) + CHOOSE(CONTROL!$C$27, 0.0021, 0)</f>
        <v>68.615499999999997</v>
      </c>
      <c r="L783" s="10"/>
    </row>
    <row r="784" spans="1:12" ht="15.75" x14ac:dyDescent="0.25">
      <c r="A784" s="13">
        <v>65166</v>
      </c>
      <c r="B784" s="10">
        <f>70.4475 * CHOOSE(CONTROL!$C$9, $D$9, 100%, $F$9) + CHOOSE(CONTROL!$C$27, 0.0021, 0)</f>
        <v>70.449600000000004</v>
      </c>
      <c r="C784" s="10">
        <f>70.0152 * CHOOSE(CONTROL!$C$9, $D$9, 100%, $F$9) + CHOOSE(CONTROL!$C$27, 0.0021, 0)</f>
        <v>70.017299999999992</v>
      </c>
      <c r="D784" s="10">
        <f>70.0152 * CHOOSE(CONTROL!$C$9, $D$9, 100%, $F$9) + CHOOSE(CONTROL!$C$27, 0.0021, 0)</f>
        <v>70.017299999999992</v>
      </c>
      <c r="E784" s="10">
        <f>69.8786 * CHOOSE(CONTROL!$C$9, $D$9, 100%, $F$9) + CHOOSE(CONTROL!$C$27, 0.0021, 0)</f>
        <v>69.880700000000004</v>
      </c>
      <c r="F784" s="10">
        <f>69.8786 * CHOOSE(CONTROL!$C$9, $D$9, 100%, $F$9) + CHOOSE(CONTROL!$C$27, 0.0021, 0)</f>
        <v>69.880700000000004</v>
      </c>
      <c r="G784" s="10">
        <f>70.15 * CHOOSE(CONTROL!$C$9, $D$9, 100%, $F$9) + CHOOSE(CONTROL!$C$27, 0.0021, 0)</f>
        <v>70.152100000000004</v>
      </c>
      <c r="H784" s="10">
        <f>70.0152 * CHOOSE(CONTROL!$C$9, $D$9, 100%, $F$9) + CHOOSE(CONTROL!$C$27, 0.0021, 0)</f>
        <v>70.017299999999992</v>
      </c>
      <c r="I784" s="10">
        <f>70.0152 * CHOOSE(CONTROL!$C$9, $D$9, 100%, $F$9) + CHOOSE(CONTROL!$C$27, 0.0021, 0)</f>
        <v>70.017299999999992</v>
      </c>
      <c r="J784" s="10">
        <f>70.0152 * CHOOSE(CONTROL!$C$9, $D$9, 100%, $F$9) + CHOOSE(CONTROL!$C$27, 0.0021, 0)</f>
        <v>70.017299999999992</v>
      </c>
      <c r="K784" s="10">
        <f>70.0152 * CHOOSE(CONTROL!$C$9, $D$9, 100%, $F$9) + CHOOSE(CONTROL!$C$27, 0.0021, 0)</f>
        <v>70.017299999999992</v>
      </c>
      <c r="L784" s="10"/>
    </row>
    <row r="785" spans="1:12" ht="15.75" x14ac:dyDescent="0.25">
      <c r="A785" s="13">
        <v>65196</v>
      </c>
      <c r="B785" s="10">
        <f>71.2871 * CHOOSE(CONTROL!$C$9, $D$9, 100%, $F$9) + CHOOSE(CONTROL!$C$27, 0.0021, 0)</f>
        <v>71.289199999999994</v>
      </c>
      <c r="C785" s="10">
        <f>70.8549 * CHOOSE(CONTROL!$C$9, $D$9, 100%, $F$9) + CHOOSE(CONTROL!$C$27, 0.0021, 0)</f>
        <v>70.856999999999999</v>
      </c>
      <c r="D785" s="10">
        <f>70.8549 * CHOOSE(CONTROL!$C$9, $D$9, 100%, $F$9) + CHOOSE(CONTROL!$C$27, 0.0021, 0)</f>
        <v>70.856999999999999</v>
      </c>
      <c r="E785" s="10">
        <f>70.7182 * CHOOSE(CONTROL!$C$9, $D$9, 100%, $F$9) + CHOOSE(CONTROL!$C$27, 0.0021, 0)</f>
        <v>70.720299999999995</v>
      </c>
      <c r="F785" s="10">
        <f>70.7182 * CHOOSE(CONTROL!$C$9, $D$9, 100%, $F$9) + CHOOSE(CONTROL!$C$27, 0.0021, 0)</f>
        <v>70.720299999999995</v>
      </c>
      <c r="G785" s="10">
        <f>70.9896 * CHOOSE(CONTROL!$C$9, $D$9, 100%, $F$9) + CHOOSE(CONTROL!$C$27, 0.0021, 0)</f>
        <v>70.991699999999994</v>
      </c>
      <c r="H785" s="10">
        <f>70.8549 * CHOOSE(CONTROL!$C$9, $D$9, 100%, $F$9) + CHOOSE(CONTROL!$C$27, 0.0021, 0)</f>
        <v>70.856999999999999</v>
      </c>
      <c r="I785" s="10">
        <f>70.8549 * CHOOSE(CONTROL!$C$9, $D$9, 100%, $F$9) + CHOOSE(CONTROL!$C$27, 0.0021, 0)</f>
        <v>70.856999999999999</v>
      </c>
      <c r="J785" s="10">
        <f>70.8549 * CHOOSE(CONTROL!$C$9, $D$9, 100%, $F$9) + CHOOSE(CONTROL!$C$27, 0.0021, 0)</f>
        <v>70.856999999999999</v>
      </c>
      <c r="K785" s="10">
        <f>70.8549 * CHOOSE(CONTROL!$C$9, $D$9, 100%, $F$9) + CHOOSE(CONTROL!$C$27, 0.0021, 0)</f>
        <v>70.856999999999999</v>
      </c>
      <c r="L785" s="10"/>
    </row>
    <row r="786" spans="1:12" ht="15.75" x14ac:dyDescent="0.25">
      <c r="A786" s="13">
        <v>65227</v>
      </c>
      <c r="B786" s="10">
        <f>72.6723 * CHOOSE(CONTROL!$C$9, $D$9, 100%, $F$9) + CHOOSE(CONTROL!$C$27, 0.0021, 0)</f>
        <v>72.674400000000006</v>
      </c>
      <c r="C786" s="10">
        <f>72.24 * CHOOSE(CONTROL!$C$9, $D$9, 100%, $F$9) + CHOOSE(CONTROL!$C$27, 0.0021, 0)</f>
        <v>72.242099999999994</v>
      </c>
      <c r="D786" s="10">
        <f>72.24 * CHOOSE(CONTROL!$C$9, $D$9, 100%, $F$9) + CHOOSE(CONTROL!$C$27, 0.0021, 0)</f>
        <v>72.242099999999994</v>
      </c>
      <c r="E786" s="10">
        <f>72.1033 * CHOOSE(CONTROL!$C$9, $D$9, 100%, $F$9) + CHOOSE(CONTROL!$C$27, 0.0021, 0)</f>
        <v>72.105400000000003</v>
      </c>
      <c r="F786" s="10">
        <f>72.1033 * CHOOSE(CONTROL!$C$9, $D$9, 100%, $F$9) + CHOOSE(CONTROL!$C$27, 0.0021, 0)</f>
        <v>72.105400000000003</v>
      </c>
      <c r="G786" s="10">
        <f>72.3747 * CHOOSE(CONTROL!$C$9, $D$9, 100%, $F$9) + CHOOSE(CONTROL!$C$27, 0.0021, 0)</f>
        <v>72.376800000000003</v>
      </c>
      <c r="H786" s="10">
        <f>72.24 * CHOOSE(CONTROL!$C$9, $D$9, 100%, $F$9) + CHOOSE(CONTROL!$C$27, 0.0021, 0)</f>
        <v>72.242099999999994</v>
      </c>
      <c r="I786" s="10">
        <f>72.24 * CHOOSE(CONTROL!$C$9, $D$9, 100%, $F$9) + CHOOSE(CONTROL!$C$27, 0.0021, 0)</f>
        <v>72.242099999999994</v>
      </c>
      <c r="J786" s="10">
        <f>72.24 * CHOOSE(CONTROL!$C$9, $D$9, 100%, $F$9) + CHOOSE(CONTROL!$C$27, 0.0021, 0)</f>
        <v>72.242099999999994</v>
      </c>
      <c r="K786" s="10">
        <f>72.24 * CHOOSE(CONTROL!$C$9, $D$9, 100%, $F$9) + CHOOSE(CONTROL!$C$27, 0.0021, 0)</f>
        <v>72.242099999999994</v>
      </c>
      <c r="L786" s="10"/>
    </row>
    <row r="787" spans="1:12" ht="15.75" x14ac:dyDescent="0.25">
      <c r="A787" s="13">
        <v>65258</v>
      </c>
      <c r="B787" s="10">
        <f>73.095 * CHOOSE(CONTROL!$C$9, $D$9, 100%, $F$9) + CHOOSE(CONTROL!$C$27, 0.0021, 0)</f>
        <v>73.097099999999998</v>
      </c>
      <c r="C787" s="10">
        <f>72.6628 * CHOOSE(CONTROL!$C$9, $D$9, 100%, $F$9) + CHOOSE(CONTROL!$C$27, 0.0021, 0)</f>
        <v>72.664900000000003</v>
      </c>
      <c r="D787" s="10">
        <f>72.6628 * CHOOSE(CONTROL!$C$9, $D$9, 100%, $F$9) + CHOOSE(CONTROL!$C$27, 0.0021, 0)</f>
        <v>72.664900000000003</v>
      </c>
      <c r="E787" s="10">
        <f>72.5261 * CHOOSE(CONTROL!$C$9, $D$9, 100%, $F$9) + CHOOSE(CONTROL!$C$27, 0.0021, 0)</f>
        <v>72.528199999999998</v>
      </c>
      <c r="F787" s="10">
        <f>72.5261 * CHOOSE(CONTROL!$C$9, $D$9, 100%, $F$9) + CHOOSE(CONTROL!$C$27, 0.0021, 0)</f>
        <v>72.528199999999998</v>
      </c>
      <c r="G787" s="10">
        <f>72.7975 * CHOOSE(CONTROL!$C$9, $D$9, 100%, $F$9) + CHOOSE(CONTROL!$C$27, 0.0021, 0)</f>
        <v>72.799599999999998</v>
      </c>
      <c r="H787" s="10">
        <f>72.6628 * CHOOSE(CONTROL!$C$9, $D$9, 100%, $F$9) + CHOOSE(CONTROL!$C$27, 0.0021, 0)</f>
        <v>72.664900000000003</v>
      </c>
      <c r="I787" s="10">
        <f>72.6628 * CHOOSE(CONTROL!$C$9, $D$9, 100%, $F$9) + CHOOSE(CONTROL!$C$27, 0.0021, 0)</f>
        <v>72.664900000000003</v>
      </c>
      <c r="J787" s="10">
        <f>72.6628 * CHOOSE(CONTROL!$C$9, $D$9, 100%, $F$9) + CHOOSE(CONTROL!$C$27, 0.0021, 0)</f>
        <v>72.664900000000003</v>
      </c>
      <c r="K787" s="10">
        <f>72.6628 * CHOOSE(CONTROL!$C$9, $D$9, 100%, $F$9) + CHOOSE(CONTROL!$C$27, 0.0021, 0)</f>
        <v>72.664900000000003</v>
      </c>
      <c r="L787" s="10"/>
    </row>
    <row r="788" spans="1:12" ht="15.75" x14ac:dyDescent="0.25">
      <c r="A788" s="13">
        <v>65288</v>
      </c>
      <c r="B788" s="10">
        <f>74.5348 * CHOOSE(CONTROL!$C$9, $D$9, 100%, $F$9) + CHOOSE(CONTROL!$C$27, 0.0021, 0)</f>
        <v>74.536900000000003</v>
      </c>
      <c r="C788" s="10">
        <f>74.1026 * CHOOSE(CONTROL!$C$9, $D$9, 100%, $F$9) + CHOOSE(CONTROL!$C$27, 0.0021, 0)</f>
        <v>74.104699999999994</v>
      </c>
      <c r="D788" s="10">
        <f>74.1026 * CHOOSE(CONTROL!$C$9, $D$9, 100%, $F$9) + CHOOSE(CONTROL!$C$27, 0.0021, 0)</f>
        <v>74.104699999999994</v>
      </c>
      <c r="E788" s="10">
        <f>73.9659 * CHOOSE(CONTROL!$C$9, $D$9, 100%, $F$9) + CHOOSE(CONTROL!$C$27, 0.0021, 0)</f>
        <v>73.968000000000004</v>
      </c>
      <c r="F788" s="10">
        <f>73.9659 * CHOOSE(CONTROL!$C$9, $D$9, 100%, $F$9) + CHOOSE(CONTROL!$C$27, 0.0021, 0)</f>
        <v>73.968000000000004</v>
      </c>
      <c r="G788" s="10">
        <f>74.2373 * CHOOSE(CONTROL!$C$9, $D$9, 100%, $F$9) + CHOOSE(CONTROL!$C$27, 0.0021, 0)</f>
        <v>74.239400000000003</v>
      </c>
      <c r="H788" s="10">
        <f>74.1026 * CHOOSE(CONTROL!$C$9, $D$9, 100%, $F$9) + CHOOSE(CONTROL!$C$27, 0.0021, 0)</f>
        <v>74.104699999999994</v>
      </c>
      <c r="I788" s="10">
        <f>74.1026 * CHOOSE(CONTROL!$C$9, $D$9, 100%, $F$9) + CHOOSE(CONTROL!$C$27, 0.0021, 0)</f>
        <v>74.104699999999994</v>
      </c>
      <c r="J788" s="10">
        <f>74.1026 * CHOOSE(CONTROL!$C$9, $D$9, 100%, $F$9) + CHOOSE(CONTROL!$C$27, 0.0021, 0)</f>
        <v>74.104699999999994</v>
      </c>
      <c r="K788" s="10">
        <f>74.1026 * CHOOSE(CONTROL!$C$9, $D$9, 100%, $F$9) + CHOOSE(CONTROL!$C$27, 0.0021, 0)</f>
        <v>74.104699999999994</v>
      </c>
      <c r="L788" s="10"/>
    </row>
    <row r="789" spans="1:12" ht="15.75" x14ac:dyDescent="0.25">
      <c r="A789" s="13">
        <v>65319</v>
      </c>
      <c r="B789" s="10">
        <f>76.3573 * CHOOSE(CONTROL!$C$9, $D$9, 100%, $F$9) + CHOOSE(CONTROL!$C$27, 0.0021, 0)</f>
        <v>76.359399999999994</v>
      </c>
      <c r="C789" s="10">
        <f>75.9251 * CHOOSE(CONTROL!$C$9, $D$9, 100%, $F$9) + CHOOSE(CONTROL!$C$27, 0.0021, 0)</f>
        <v>75.927199999999999</v>
      </c>
      <c r="D789" s="10">
        <f>75.9251 * CHOOSE(CONTROL!$C$9, $D$9, 100%, $F$9) + CHOOSE(CONTROL!$C$27, 0.0021, 0)</f>
        <v>75.927199999999999</v>
      </c>
      <c r="E789" s="10">
        <f>75.7884 * CHOOSE(CONTROL!$C$9, $D$9, 100%, $F$9) + CHOOSE(CONTROL!$C$27, 0.0021, 0)</f>
        <v>75.790499999999994</v>
      </c>
      <c r="F789" s="10">
        <f>75.7884 * CHOOSE(CONTROL!$C$9, $D$9, 100%, $F$9) + CHOOSE(CONTROL!$C$27, 0.0021, 0)</f>
        <v>75.790499999999994</v>
      </c>
      <c r="G789" s="10">
        <f>76.0598 * CHOOSE(CONTROL!$C$9, $D$9, 100%, $F$9) + CHOOSE(CONTROL!$C$27, 0.0021, 0)</f>
        <v>76.061899999999994</v>
      </c>
      <c r="H789" s="10">
        <f>75.9251 * CHOOSE(CONTROL!$C$9, $D$9, 100%, $F$9) + CHOOSE(CONTROL!$C$27, 0.0021, 0)</f>
        <v>75.927199999999999</v>
      </c>
      <c r="I789" s="10">
        <f>75.9251 * CHOOSE(CONTROL!$C$9, $D$9, 100%, $F$9) + CHOOSE(CONTROL!$C$27, 0.0021, 0)</f>
        <v>75.927199999999999</v>
      </c>
      <c r="J789" s="10">
        <f>75.9251 * CHOOSE(CONTROL!$C$9, $D$9, 100%, $F$9) + CHOOSE(CONTROL!$C$27, 0.0021, 0)</f>
        <v>75.927199999999999</v>
      </c>
      <c r="K789" s="10">
        <f>75.9251 * CHOOSE(CONTROL!$C$9, $D$9, 100%, $F$9) + CHOOSE(CONTROL!$C$27, 0.0021, 0)</f>
        <v>75.927199999999999</v>
      </c>
      <c r="L789" s="10"/>
    </row>
    <row r="790" spans="1:12" ht="15.75" x14ac:dyDescent="0.25">
      <c r="A790" s="13">
        <v>65349</v>
      </c>
      <c r="B790" s="10">
        <f>76.5284 * CHOOSE(CONTROL!$C$9, $D$9, 100%, $F$9) + CHOOSE(CONTROL!$C$27, 0.0021, 0)</f>
        <v>76.530500000000004</v>
      </c>
      <c r="C790" s="10">
        <f>76.0962 * CHOOSE(CONTROL!$C$9, $D$9, 100%, $F$9) + CHOOSE(CONTROL!$C$27, 0.0021, 0)</f>
        <v>76.098299999999995</v>
      </c>
      <c r="D790" s="10">
        <f>76.0962 * CHOOSE(CONTROL!$C$9, $D$9, 100%, $F$9) + CHOOSE(CONTROL!$C$27, 0.0021, 0)</f>
        <v>76.098299999999995</v>
      </c>
      <c r="E790" s="10">
        <f>75.9595 * CHOOSE(CONTROL!$C$9, $D$9, 100%, $F$9) + CHOOSE(CONTROL!$C$27, 0.0021, 0)</f>
        <v>75.961600000000004</v>
      </c>
      <c r="F790" s="10">
        <f>75.9595 * CHOOSE(CONTROL!$C$9, $D$9, 100%, $F$9) + CHOOSE(CONTROL!$C$27, 0.0021, 0)</f>
        <v>75.961600000000004</v>
      </c>
      <c r="G790" s="10">
        <f>76.2309 * CHOOSE(CONTROL!$C$9, $D$9, 100%, $F$9) + CHOOSE(CONTROL!$C$27, 0.0021, 0)</f>
        <v>76.233000000000004</v>
      </c>
      <c r="H790" s="10">
        <f>76.0962 * CHOOSE(CONTROL!$C$9, $D$9, 100%, $F$9) + CHOOSE(CONTROL!$C$27, 0.0021, 0)</f>
        <v>76.098299999999995</v>
      </c>
      <c r="I790" s="10">
        <f>76.0962 * CHOOSE(CONTROL!$C$9, $D$9, 100%, $F$9) + CHOOSE(CONTROL!$C$27, 0.0021, 0)</f>
        <v>76.098299999999995</v>
      </c>
      <c r="J790" s="10">
        <f>76.0962 * CHOOSE(CONTROL!$C$9, $D$9, 100%, $F$9) + CHOOSE(CONTROL!$C$27, 0.0021, 0)</f>
        <v>76.098299999999995</v>
      </c>
      <c r="K790" s="10">
        <f>76.0962 * CHOOSE(CONTROL!$C$9, $D$9, 100%, $F$9) + CHOOSE(CONTROL!$C$27, 0.0021, 0)</f>
        <v>76.098299999999995</v>
      </c>
      <c r="L790" s="10"/>
    </row>
    <row r="791" spans="1:12" ht="15.75" x14ac:dyDescent="0.25">
      <c r="A791" s="13">
        <v>65380</v>
      </c>
      <c r="B791" s="10">
        <f>75.0728 * CHOOSE(CONTROL!$C$9, $D$9, 100%, $F$9) + CHOOSE(CONTROL!$C$27, 0.0021, 0)</f>
        <v>75.0749</v>
      </c>
      <c r="C791" s="10">
        <f>74.6406 * CHOOSE(CONTROL!$C$9, $D$9, 100%, $F$9) + CHOOSE(CONTROL!$C$27, 0.0021, 0)</f>
        <v>74.642700000000005</v>
      </c>
      <c r="D791" s="10">
        <f>74.6406 * CHOOSE(CONTROL!$C$9, $D$9, 100%, $F$9) + CHOOSE(CONTROL!$C$27, 0.0021, 0)</f>
        <v>74.642700000000005</v>
      </c>
      <c r="E791" s="10">
        <f>74.5039 * CHOOSE(CONTROL!$C$9, $D$9, 100%, $F$9) + CHOOSE(CONTROL!$C$27, 0.0021, 0)</f>
        <v>74.506</v>
      </c>
      <c r="F791" s="10">
        <f>74.5039 * CHOOSE(CONTROL!$C$9, $D$9, 100%, $F$9) + CHOOSE(CONTROL!$C$27, 0.0021, 0)</f>
        <v>74.506</v>
      </c>
      <c r="G791" s="10">
        <f>74.7753 * CHOOSE(CONTROL!$C$9, $D$9, 100%, $F$9) + CHOOSE(CONTROL!$C$27, 0.0021, 0)</f>
        <v>74.7774</v>
      </c>
      <c r="H791" s="10">
        <f>74.6406 * CHOOSE(CONTROL!$C$9, $D$9, 100%, $F$9) + CHOOSE(CONTROL!$C$27, 0.0021, 0)</f>
        <v>74.642700000000005</v>
      </c>
      <c r="I791" s="10">
        <f>74.6406 * CHOOSE(CONTROL!$C$9, $D$9, 100%, $F$9) + CHOOSE(CONTROL!$C$27, 0.0021, 0)</f>
        <v>74.642700000000005</v>
      </c>
      <c r="J791" s="10">
        <f>74.6406 * CHOOSE(CONTROL!$C$9, $D$9, 100%, $F$9) + CHOOSE(CONTROL!$C$27, 0.0021, 0)</f>
        <v>74.642700000000005</v>
      </c>
      <c r="K791" s="10">
        <f>74.6406 * CHOOSE(CONTROL!$C$9, $D$9, 100%, $F$9) + CHOOSE(CONTROL!$C$27, 0.0021, 0)</f>
        <v>74.642700000000005</v>
      </c>
      <c r="L791" s="10"/>
    </row>
    <row r="792" spans="1:12" ht="15.75" x14ac:dyDescent="0.25">
      <c r="A792" s="13">
        <v>65411</v>
      </c>
      <c r="B792" s="10">
        <f>73.9584 * CHOOSE(CONTROL!$C$9, $D$9, 100%, $F$9) + CHOOSE(CONTROL!$C$27, 0.0021, 0)</f>
        <v>73.960499999999996</v>
      </c>
      <c r="C792" s="10">
        <f>73.5261 * CHOOSE(CONTROL!$C$9, $D$9, 100%, $F$9) + CHOOSE(CONTROL!$C$27, 0.0021, 0)</f>
        <v>73.528199999999998</v>
      </c>
      <c r="D792" s="10">
        <f>73.5261 * CHOOSE(CONTROL!$C$9, $D$9, 100%, $F$9) + CHOOSE(CONTROL!$C$27, 0.0021, 0)</f>
        <v>73.528199999999998</v>
      </c>
      <c r="E792" s="10">
        <f>73.3894 * CHOOSE(CONTROL!$C$9, $D$9, 100%, $F$9) + CHOOSE(CONTROL!$C$27, 0.0021, 0)</f>
        <v>73.391499999999994</v>
      </c>
      <c r="F792" s="10">
        <f>73.3894 * CHOOSE(CONTROL!$C$9, $D$9, 100%, $F$9) + CHOOSE(CONTROL!$C$27, 0.0021, 0)</f>
        <v>73.391499999999994</v>
      </c>
      <c r="G792" s="10">
        <f>73.6608 * CHOOSE(CONTROL!$C$9, $D$9, 100%, $F$9) + CHOOSE(CONTROL!$C$27, 0.0021, 0)</f>
        <v>73.662899999999993</v>
      </c>
      <c r="H792" s="10">
        <f>73.5261 * CHOOSE(CONTROL!$C$9, $D$9, 100%, $F$9) + CHOOSE(CONTROL!$C$27, 0.0021, 0)</f>
        <v>73.528199999999998</v>
      </c>
      <c r="I792" s="10">
        <f>73.5261 * CHOOSE(CONTROL!$C$9, $D$9, 100%, $F$9) + CHOOSE(CONTROL!$C$27, 0.0021, 0)</f>
        <v>73.528199999999998</v>
      </c>
      <c r="J792" s="10">
        <f>73.5261 * CHOOSE(CONTROL!$C$9, $D$9, 100%, $F$9) + CHOOSE(CONTROL!$C$27, 0.0021, 0)</f>
        <v>73.528199999999998</v>
      </c>
      <c r="K792" s="10">
        <f>73.5261 * CHOOSE(CONTROL!$C$9, $D$9, 100%, $F$9) + CHOOSE(CONTROL!$C$27, 0.0021, 0)</f>
        <v>73.528199999999998</v>
      </c>
      <c r="L792" s="10"/>
    </row>
    <row r="793" spans="1:12" ht="15.75" x14ac:dyDescent="0.25">
      <c r="A793" s="13">
        <v>65439</v>
      </c>
      <c r="B793" s="10">
        <f>71.9313 * CHOOSE(CONTROL!$C$9, $D$9, 100%, $F$9) + CHOOSE(CONTROL!$C$27, 0.0021, 0)</f>
        <v>71.933399999999992</v>
      </c>
      <c r="C793" s="10">
        <f>71.499 * CHOOSE(CONTROL!$C$9, $D$9, 100%, $F$9) + CHOOSE(CONTROL!$C$27, 0.0021, 0)</f>
        <v>71.501099999999994</v>
      </c>
      <c r="D793" s="10">
        <f>71.499 * CHOOSE(CONTROL!$C$9, $D$9, 100%, $F$9) + CHOOSE(CONTROL!$C$27, 0.0021, 0)</f>
        <v>71.501099999999994</v>
      </c>
      <c r="E793" s="10">
        <f>71.3623 * CHOOSE(CONTROL!$C$9, $D$9, 100%, $F$9) + CHOOSE(CONTROL!$C$27, 0.0021, 0)</f>
        <v>71.364400000000003</v>
      </c>
      <c r="F793" s="10">
        <f>71.3623 * CHOOSE(CONTROL!$C$9, $D$9, 100%, $F$9) + CHOOSE(CONTROL!$C$27, 0.0021, 0)</f>
        <v>71.364400000000003</v>
      </c>
      <c r="G793" s="10">
        <f>71.6337 * CHOOSE(CONTROL!$C$9, $D$9, 100%, $F$9) + CHOOSE(CONTROL!$C$27, 0.0021, 0)</f>
        <v>71.635800000000003</v>
      </c>
      <c r="H793" s="10">
        <f>71.499 * CHOOSE(CONTROL!$C$9, $D$9, 100%, $F$9) + CHOOSE(CONTROL!$C$27, 0.0021, 0)</f>
        <v>71.501099999999994</v>
      </c>
      <c r="I793" s="10">
        <f>71.499 * CHOOSE(CONTROL!$C$9, $D$9, 100%, $F$9) + CHOOSE(CONTROL!$C$27, 0.0021, 0)</f>
        <v>71.501099999999994</v>
      </c>
      <c r="J793" s="10">
        <f>71.499 * CHOOSE(CONTROL!$C$9, $D$9, 100%, $F$9) + CHOOSE(CONTROL!$C$27, 0.0021, 0)</f>
        <v>71.501099999999994</v>
      </c>
      <c r="K793" s="10">
        <f>71.499 * CHOOSE(CONTROL!$C$9, $D$9, 100%, $F$9) + CHOOSE(CONTROL!$C$27, 0.0021, 0)</f>
        <v>71.501099999999994</v>
      </c>
      <c r="L793" s="10"/>
    </row>
    <row r="794" spans="1:12" ht="15.75" x14ac:dyDescent="0.25">
      <c r="A794" s="13">
        <v>65470</v>
      </c>
      <c r="B794" s="10">
        <f>71.0945 * CHOOSE(CONTROL!$C$9, $D$9, 100%, $F$9) + CHOOSE(CONTROL!$C$27, 0.0021, 0)</f>
        <v>71.096599999999995</v>
      </c>
      <c r="C794" s="10">
        <f>70.6622 * CHOOSE(CONTROL!$C$9, $D$9, 100%, $F$9) + CHOOSE(CONTROL!$C$27, 0.0021, 0)</f>
        <v>70.664299999999997</v>
      </c>
      <c r="D794" s="10">
        <f>70.6622 * CHOOSE(CONTROL!$C$9, $D$9, 100%, $F$9) + CHOOSE(CONTROL!$C$27, 0.0021, 0)</f>
        <v>70.664299999999997</v>
      </c>
      <c r="E794" s="10">
        <f>70.5256 * CHOOSE(CONTROL!$C$9, $D$9, 100%, $F$9) + CHOOSE(CONTROL!$C$27, 0.0021, 0)</f>
        <v>70.527699999999996</v>
      </c>
      <c r="F794" s="10">
        <f>70.5256 * CHOOSE(CONTROL!$C$9, $D$9, 100%, $F$9) + CHOOSE(CONTROL!$C$27, 0.0021, 0)</f>
        <v>70.527699999999996</v>
      </c>
      <c r="G794" s="10">
        <f>70.7969 * CHOOSE(CONTROL!$C$9, $D$9, 100%, $F$9) + CHOOSE(CONTROL!$C$27, 0.0021, 0)</f>
        <v>70.798999999999992</v>
      </c>
      <c r="H794" s="10">
        <f>70.6622 * CHOOSE(CONTROL!$C$9, $D$9, 100%, $F$9) + CHOOSE(CONTROL!$C$27, 0.0021, 0)</f>
        <v>70.664299999999997</v>
      </c>
      <c r="I794" s="10">
        <f>70.6622 * CHOOSE(CONTROL!$C$9, $D$9, 100%, $F$9) + CHOOSE(CONTROL!$C$27, 0.0021, 0)</f>
        <v>70.664299999999997</v>
      </c>
      <c r="J794" s="10">
        <f>70.6622 * CHOOSE(CONTROL!$C$9, $D$9, 100%, $F$9) + CHOOSE(CONTROL!$C$27, 0.0021, 0)</f>
        <v>70.664299999999997</v>
      </c>
      <c r="K794" s="10">
        <f>70.6622 * CHOOSE(CONTROL!$C$9, $D$9, 100%, $F$9) + CHOOSE(CONTROL!$C$27, 0.0021, 0)</f>
        <v>70.664299999999997</v>
      </c>
      <c r="L794" s="10"/>
    </row>
    <row r="795" spans="1:12" ht="15.75" x14ac:dyDescent="0.25">
      <c r="A795" s="13">
        <v>65500</v>
      </c>
      <c r="B795" s="10">
        <f>70.0953 * CHOOSE(CONTROL!$C$9, $D$9, 100%, $F$9) + CHOOSE(CONTROL!$C$27, 0.0021, 0)</f>
        <v>70.097399999999993</v>
      </c>
      <c r="C795" s="10">
        <f>69.6631 * CHOOSE(CONTROL!$C$9, $D$9, 100%, $F$9) + CHOOSE(CONTROL!$C$27, 0.0021, 0)</f>
        <v>69.665199999999999</v>
      </c>
      <c r="D795" s="10">
        <f>69.6631 * CHOOSE(CONTROL!$C$9, $D$9, 100%, $F$9) + CHOOSE(CONTROL!$C$27, 0.0021, 0)</f>
        <v>69.665199999999999</v>
      </c>
      <c r="E795" s="10">
        <f>69.5264 * CHOOSE(CONTROL!$C$9, $D$9, 100%, $F$9) + CHOOSE(CONTROL!$C$27, 0.0021, 0)</f>
        <v>69.528499999999994</v>
      </c>
      <c r="F795" s="10">
        <f>69.5264 * CHOOSE(CONTROL!$C$9, $D$9, 100%, $F$9) + CHOOSE(CONTROL!$C$27, 0.0021, 0)</f>
        <v>69.528499999999994</v>
      </c>
      <c r="G795" s="10">
        <f>69.7978 * CHOOSE(CONTROL!$C$9, $D$9, 100%, $F$9) + CHOOSE(CONTROL!$C$27, 0.0021, 0)</f>
        <v>69.799899999999994</v>
      </c>
      <c r="H795" s="10">
        <f>69.6631 * CHOOSE(CONTROL!$C$9, $D$9, 100%, $F$9) + CHOOSE(CONTROL!$C$27, 0.0021, 0)</f>
        <v>69.665199999999999</v>
      </c>
      <c r="I795" s="10">
        <f>69.6631 * CHOOSE(CONTROL!$C$9, $D$9, 100%, $F$9) + CHOOSE(CONTROL!$C$27, 0.0021, 0)</f>
        <v>69.665199999999999</v>
      </c>
      <c r="J795" s="10">
        <f>69.6631 * CHOOSE(CONTROL!$C$9, $D$9, 100%, $F$9) + CHOOSE(CONTROL!$C$27, 0.0021, 0)</f>
        <v>69.665199999999999</v>
      </c>
      <c r="K795" s="10">
        <f>69.6631 * CHOOSE(CONTROL!$C$9, $D$9, 100%, $F$9) + CHOOSE(CONTROL!$C$27, 0.0021, 0)</f>
        <v>69.665199999999999</v>
      </c>
      <c r="L795" s="10"/>
    </row>
    <row r="796" spans="1:12" ht="15.75" x14ac:dyDescent="0.25">
      <c r="A796" s="13">
        <v>65531</v>
      </c>
      <c r="B796" s="10">
        <f>71.5192 * CHOOSE(CONTROL!$C$9, $D$9, 100%, $F$9) + CHOOSE(CONTROL!$C$27, 0.0021, 0)</f>
        <v>71.521299999999997</v>
      </c>
      <c r="C796" s="10">
        <f>71.087 * CHOOSE(CONTROL!$C$9, $D$9, 100%, $F$9) + CHOOSE(CONTROL!$C$27, 0.0021, 0)</f>
        <v>71.089100000000002</v>
      </c>
      <c r="D796" s="10">
        <f>71.087 * CHOOSE(CONTROL!$C$9, $D$9, 100%, $F$9) + CHOOSE(CONTROL!$C$27, 0.0021, 0)</f>
        <v>71.089100000000002</v>
      </c>
      <c r="E796" s="10">
        <f>70.9503 * CHOOSE(CONTROL!$C$9, $D$9, 100%, $F$9) + CHOOSE(CONTROL!$C$27, 0.0021, 0)</f>
        <v>70.952399999999997</v>
      </c>
      <c r="F796" s="10">
        <f>70.9503 * CHOOSE(CONTROL!$C$9, $D$9, 100%, $F$9) + CHOOSE(CONTROL!$C$27, 0.0021, 0)</f>
        <v>70.952399999999997</v>
      </c>
      <c r="G796" s="10">
        <f>71.2217 * CHOOSE(CONTROL!$C$9, $D$9, 100%, $F$9) + CHOOSE(CONTROL!$C$27, 0.0021, 0)</f>
        <v>71.223799999999997</v>
      </c>
      <c r="H796" s="10">
        <f>71.087 * CHOOSE(CONTROL!$C$9, $D$9, 100%, $F$9) + CHOOSE(CONTROL!$C$27, 0.0021, 0)</f>
        <v>71.089100000000002</v>
      </c>
      <c r="I796" s="10">
        <f>71.087 * CHOOSE(CONTROL!$C$9, $D$9, 100%, $F$9) + CHOOSE(CONTROL!$C$27, 0.0021, 0)</f>
        <v>71.089100000000002</v>
      </c>
      <c r="J796" s="10">
        <f>71.087 * CHOOSE(CONTROL!$C$9, $D$9, 100%, $F$9) + CHOOSE(CONTROL!$C$27, 0.0021, 0)</f>
        <v>71.089100000000002</v>
      </c>
      <c r="K796" s="10">
        <f>71.087 * CHOOSE(CONTROL!$C$9, $D$9, 100%, $F$9) + CHOOSE(CONTROL!$C$27, 0.0021, 0)</f>
        <v>71.089100000000002</v>
      </c>
      <c r="L796" s="10"/>
    </row>
    <row r="797" spans="1:12" ht="15.75" x14ac:dyDescent="0.25">
      <c r="A797" s="13">
        <v>65561</v>
      </c>
      <c r="B797" s="10">
        <f>72.3721 * CHOOSE(CONTROL!$C$9, $D$9, 100%, $F$9) + CHOOSE(CONTROL!$C$27, 0.0021, 0)</f>
        <v>72.374200000000002</v>
      </c>
      <c r="C797" s="10">
        <f>71.9398 * CHOOSE(CONTROL!$C$9, $D$9, 100%, $F$9) + CHOOSE(CONTROL!$C$27, 0.0021, 0)</f>
        <v>71.941900000000004</v>
      </c>
      <c r="D797" s="10">
        <f>71.9398 * CHOOSE(CONTROL!$C$9, $D$9, 100%, $F$9) + CHOOSE(CONTROL!$C$27, 0.0021, 0)</f>
        <v>71.941900000000004</v>
      </c>
      <c r="E797" s="10">
        <f>71.8032 * CHOOSE(CONTROL!$C$9, $D$9, 100%, $F$9) + CHOOSE(CONTROL!$C$27, 0.0021, 0)</f>
        <v>71.805300000000003</v>
      </c>
      <c r="F797" s="10">
        <f>71.8032 * CHOOSE(CONTROL!$C$9, $D$9, 100%, $F$9) + CHOOSE(CONTROL!$C$27, 0.0021, 0)</f>
        <v>71.805300000000003</v>
      </c>
      <c r="G797" s="10">
        <f>72.0745 * CHOOSE(CONTROL!$C$9, $D$9, 100%, $F$9) + CHOOSE(CONTROL!$C$27, 0.0021, 0)</f>
        <v>72.076599999999999</v>
      </c>
      <c r="H797" s="10">
        <f>71.9398 * CHOOSE(CONTROL!$C$9, $D$9, 100%, $F$9) + CHOOSE(CONTROL!$C$27, 0.0021, 0)</f>
        <v>71.941900000000004</v>
      </c>
      <c r="I797" s="10">
        <f>71.9398 * CHOOSE(CONTROL!$C$9, $D$9, 100%, $F$9) + CHOOSE(CONTROL!$C$27, 0.0021, 0)</f>
        <v>71.941900000000004</v>
      </c>
      <c r="J797" s="10">
        <f>71.9398 * CHOOSE(CONTROL!$C$9, $D$9, 100%, $F$9) + CHOOSE(CONTROL!$C$27, 0.0021, 0)</f>
        <v>71.941900000000004</v>
      </c>
      <c r="K797" s="10">
        <f>71.9398 * CHOOSE(CONTROL!$C$9, $D$9, 100%, $F$9) + CHOOSE(CONTROL!$C$27, 0.0021, 0)</f>
        <v>71.941900000000004</v>
      </c>
      <c r="L797" s="10"/>
    </row>
    <row r="798" spans="1:12" ht="15.75" x14ac:dyDescent="0.25">
      <c r="A798" s="13">
        <v>65592</v>
      </c>
      <c r="B798" s="10">
        <f>73.779 * CHOOSE(CONTROL!$C$9, $D$9, 100%, $F$9) + CHOOSE(CONTROL!$C$27, 0.0021, 0)</f>
        <v>73.781099999999995</v>
      </c>
      <c r="C798" s="10">
        <f>73.3467 * CHOOSE(CONTROL!$C$9, $D$9, 100%, $F$9) + CHOOSE(CONTROL!$C$27, 0.0021, 0)</f>
        <v>73.348799999999997</v>
      </c>
      <c r="D798" s="10">
        <f>73.3467 * CHOOSE(CONTROL!$C$9, $D$9, 100%, $F$9) + CHOOSE(CONTROL!$C$27, 0.0021, 0)</f>
        <v>73.348799999999997</v>
      </c>
      <c r="E798" s="10">
        <f>73.2101 * CHOOSE(CONTROL!$C$9, $D$9, 100%, $F$9) + CHOOSE(CONTROL!$C$27, 0.0021, 0)</f>
        <v>73.212199999999996</v>
      </c>
      <c r="F798" s="10">
        <f>73.2101 * CHOOSE(CONTROL!$C$9, $D$9, 100%, $F$9) + CHOOSE(CONTROL!$C$27, 0.0021, 0)</f>
        <v>73.212199999999996</v>
      </c>
      <c r="G798" s="10">
        <f>73.4814 * CHOOSE(CONTROL!$C$9, $D$9, 100%, $F$9) + CHOOSE(CONTROL!$C$27, 0.0021, 0)</f>
        <v>73.483499999999992</v>
      </c>
      <c r="H798" s="10">
        <f>73.3467 * CHOOSE(CONTROL!$C$9, $D$9, 100%, $F$9) + CHOOSE(CONTROL!$C$27, 0.0021, 0)</f>
        <v>73.348799999999997</v>
      </c>
      <c r="I798" s="10">
        <f>73.3467 * CHOOSE(CONTROL!$C$9, $D$9, 100%, $F$9) + CHOOSE(CONTROL!$C$27, 0.0021, 0)</f>
        <v>73.348799999999997</v>
      </c>
      <c r="J798" s="10">
        <f>73.3467 * CHOOSE(CONTROL!$C$9, $D$9, 100%, $F$9) + CHOOSE(CONTROL!$C$27, 0.0021, 0)</f>
        <v>73.348799999999997</v>
      </c>
      <c r="K798" s="10">
        <f>73.3467 * CHOOSE(CONTROL!$C$9, $D$9, 100%, $F$9) + CHOOSE(CONTROL!$C$27, 0.0021, 0)</f>
        <v>73.348799999999997</v>
      </c>
      <c r="L798" s="10"/>
    </row>
    <row r="799" spans="1:12" ht="15.75" x14ac:dyDescent="0.25">
      <c r="A799" s="13">
        <v>65623</v>
      </c>
      <c r="B799" s="10">
        <f>74.2084 * CHOOSE(CONTROL!$C$9, $D$9, 100%, $F$9) + CHOOSE(CONTROL!$C$27, 0.0021, 0)</f>
        <v>74.210499999999996</v>
      </c>
      <c r="C799" s="10">
        <f>73.7762 * CHOOSE(CONTROL!$C$9, $D$9, 100%, $F$9) + CHOOSE(CONTROL!$C$27, 0.0021, 0)</f>
        <v>73.778300000000002</v>
      </c>
      <c r="D799" s="10">
        <f>73.7762 * CHOOSE(CONTROL!$C$9, $D$9, 100%, $F$9) + CHOOSE(CONTROL!$C$27, 0.0021, 0)</f>
        <v>73.778300000000002</v>
      </c>
      <c r="E799" s="10">
        <f>73.6395 * CHOOSE(CONTROL!$C$9, $D$9, 100%, $F$9) + CHOOSE(CONTROL!$C$27, 0.0021, 0)</f>
        <v>73.641599999999997</v>
      </c>
      <c r="F799" s="10">
        <f>73.6395 * CHOOSE(CONTROL!$C$9, $D$9, 100%, $F$9) + CHOOSE(CONTROL!$C$27, 0.0021, 0)</f>
        <v>73.641599999999997</v>
      </c>
      <c r="G799" s="10">
        <f>73.9109 * CHOOSE(CONTROL!$C$9, $D$9, 100%, $F$9) + CHOOSE(CONTROL!$C$27, 0.0021, 0)</f>
        <v>73.912999999999997</v>
      </c>
      <c r="H799" s="10">
        <f>73.7762 * CHOOSE(CONTROL!$C$9, $D$9, 100%, $F$9) + CHOOSE(CONTROL!$C$27, 0.0021, 0)</f>
        <v>73.778300000000002</v>
      </c>
      <c r="I799" s="10">
        <f>73.7762 * CHOOSE(CONTROL!$C$9, $D$9, 100%, $F$9) + CHOOSE(CONTROL!$C$27, 0.0021, 0)</f>
        <v>73.778300000000002</v>
      </c>
      <c r="J799" s="10">
        <f>73.7762 * CHOOSE(CONTROL!$C$9, $D$9, 100%, $F$9) + CHOOSE(CONTROL!$C$27, 0.0021, 0)</f>
        <v>73.778300000000002</v>
      </c>
      <c r="K799" s="10">
        <f>73.7762 * CHOOSE(CONTROL!$C$9, $D$9, 100%, $F$9) + CHOOSE(CONTROL!$C$27, 0.0021, 0)</f>
        <v>73.778300000000002</v>
      </c>
      <c r="L799" s="10"/>
    </row>
    <row r="800" spans="1:12" ht="15.75" x14ac:dyDescent="0.25">
      <c r="A800" s="13">
        <v>65653</v>
      </c>
      <c r="B800" s="10">
        <f>75.6708 * CHOOSE(CONTROL!$C$9, $D$9, 100%, $F$9) + CHOOSE(CONTROL!$C$27, 0.0021, 0)</f>
        <v>75.672899999999998</v>
      </c>
      <c r="C800" s="10">
        <f>75.2386 * CHOOSE(CONTROL!$C$9, $D$9, 100%, $F$9) + CHOOSE(CONTROL!$C$27, 0.0021, 0)</f>
        <v>75.240700000000004</v>
      </c>
      <c r="D800" s="10">
        <f>75.2386 * CHOOSE(CONTROL!$C$9, $D$9, 100%, $F$9) + CHOOSE(CONTROL!$C$27, 0.0021, 0)</f>
        <v>75.240700000000004</v>
      </c>
      <c r="E800" s="10">
        <f>75.1019 * CHOOSE(CONTROL!$C$9, $D$9, 100%, $F$9) + CHOOSE(CONTROL!$C$27, 0.0021, 0)</f>
        <v>75.103999999999999</v>
      </c>
      <c r="F800" s="10">
        <f>75.1019 * CHOOSE(CONTROL!$C$9, $D$9, 100%, $F$9) + CHOOSE(CONTROL!$C$27, 0.0021, 0)</f>
        <v>75.103999999999999</v>
      </c>
      <c r="G800" s="10">
        <f>75.3733 * CHOOSE(CONTROL!$C$9, $D$9, 100%, $F$9) + CHOOSE(CONTROL!$C$27, 0.0021, 0)</f>
        <v>75.375399999999999</v>
      </c>
      <c r="H800" s="10">
        <f>75.2386 * CHOOSE(CONTROL!$C$9, $D$9, 100%, $F$9) + CHOOSE(CONTROL!$C$27, 0.0021, 0)</f>
        <v>75.240700000000004</v>
      </c>
      <c r="I800" s="10">
        <f>75.2386 * CHOOSE(CONTROL!$C$9, $D$9, 100%, $F$9) + CHOOSE(CONTROL!$C$27, 0.0021, 0)</f>
        <v>75.240700000000004</v>
      </c>
      <c r="J800" s="10">
        <f>75.2386 * CHOOSE(CONTROL!$C$9, $D$9, 100%, $F$9) + CHOOSE(CONTROL!$C$27, 0.0021, 0)</f>
        <v>75.240700000000004</v>
      </c>
      <c r="K800" s="10">
        <f>75.2386 * CHOOSE(CONTROL!$C$9, $D$9, 100%, $F$9) + CHOOSE(CONTROL!$C$27, 0.0021, 0)</f>
        <v>75.240700000000004</v>
      </c>
      <c r="L800" s="10"/>
    </row>
    <row r="801" spans="1:12" ht="15.75" x14ac:dyDescent="0.25">
      <c r="A801" s="13">
        <v>65684</v>
      </c>
      <c r="B801" s="10">
        <f>77.522 * CHOOSE(CONTROL!$C$9, $D$9, 100%, $F$9) + CHOOSE(CONTROL!$C$27, 0.0021, 0)</f>
        <v>77.524100000000004</v>
      </c>
      <c r="C801" s="10">
        <f>77.0897 * CHOOSE(CONTROL!$C$9, $D$9, 100%, $F$9) + CHOOSE(CONTROL!$C$27, 0.0021, 0)</f>
        <v>77.091799999999992</v>
      </c>
      <c r="D801" s="10">
        <f>77.0897 * CHOOSE(CONTROL!$C$9, $D$9, 100%, $F$9) + CHOOSE(CONTROL!$C$27, 0.0021, 0)</f>
        <v>77.091799999999992</v>
      </c>
      <c r="E801" s="10">
        <f>76.9531 * CHOOSE(CONTROL!$C$9, $D$9, 100%, $F$9) + CHOOSE(CONTROL!$C$27, 0.0021, 0)</f>
        <v>76.955200000000005</v>
      </c>
      <c r="F801" s="10">
        <f>76.9531 * CHOOSE(CONTROL!$C$9, $D$9, 100%, $F$9) + CHOOSE(CONTROL!$C$27, 0.0021, 0)</f>
        <v>76.955200000000005</v>
      </c>
      <c r="G801" s="10">
        <f>77.2244 * CHOOSE(CONTROL!$C$9, $D$9, 100%, $F$9) + CHOOSE(CONTROL!$C$27, 0.0021, 0)</f>
        <v>77.226500000000001</v>
      </c>
      <c r="H801" s="10">
        <f>77.0897 * CHOOSE(CONTROL!$C$9, $D$9, 100%, $F$9) + CHOOSE(CONTROL!$C$27, 0.0021, 0)</f>
        <v>77.091799999999992</v>
      </c>
      <c r="I801" s="10">
        <f>77.0897 * CHOOSE(CONTROL!$C$9, $D$9, 100%, $F$9) + CHOOSE(CONTROL!$C$27, 0.0021, 0)</f>
        <v>77.091799999999992</v>
      </c>
      <c r="J801" s="10">
        <f>77.0897 * CHOOSE(CONTROL!$C$9, $D$9, 100%, $F$9) + CHOOSE(CONTROL!$C$27, 0.0021, 0)</f>
        <v>77.091799999999992</v>
      </c>
      <c r="K801" s="10">
        <f>77.0897 * CHOOSE(CONTROL!$C$9, $D$9, 100%, $F$9) + CHOOSE(CONTROL!$C$27, 0.0021, 0)</f>
        <v>77.091799999999992</v>
      </c>
      <c r="L801" s="10"/>
    </row>
    <row r="802" spans="1:12" ht="15.75" x14ac:dyDescent="0.25">
      <c r="A802" s="13">
        <v>65714</v>
      </c>
      <c r="B802" s="10">
        <f>77.6958 * CHOOSE(CONTROL!$C$9, $D$9, 100%, $F$9) + CHOOSE(CONTROL!$C$27, 0.0021, 0)</f>
        <v>77.697900000000004</v>
      </c>
      <c r="C802" s="10">
        <f>77.2635 * CHOOSE(CONTROL!$C$9, $D$9, 100%, $F$9) + CHOOSE(CONTROL!$C$27, 0.0021, 0)</f>
        <v>77.265599999999992</v>
      </c>
      <c r="D802" s="10">
        <f>77.2635 * CHOOSE(CONTROL!$C$9, $D$9, 100%, $F$9) + CHOOSE(CONTROL!$C$27, 0.0021, 0)</f>
        <v>77.265599999999992</v>
      </c>
      <c r="E802" s="10">
        <f>77.1269 * CHOOSE(CONTROL!$C$9, $D$9, 100%, $F$9) + CHOOSE(CONTROL!$C$27, 0.0021, 0)</f>
        <v>77.129000000000005</v>
      </c>
      <c r="F802" s="10">
        <f>77.1269 * CHOOSE(CONTROL!$C$9, $D$9, 100%, $F$9) + CHOOSE(CONTROL!$C$27, 0.0021, 0)</f>
        <v>77.129000000000005</v>
      </c>
      <c r="G802" s="10">
        <f>77.3982 * CHOOSE(CONTROL!$C$9, $D$9, 100%, $F$9) + CHOOSE(CONTROL!$C$27, 0.0021, 0)</f>
        <v>77.400300000000001</v>
      </c>
      <c r="H802" s="10">
        <f>77.2635 * CHOOSE(CONTROL!$C$9, $D$9, 100%, $F$9) + CHOOSE(CONTROL!$C$27, 0.0021, 0)</f>
        <v>77.265599999999992</v>
      </c>
      <c r="I802" s="10">
        <f>77.2635 * CHOOSE(CONTROL!$C$9, $D$9, 100%, $F$9) + CHOOSE(CONTROL!$C$27, 0.0021, 0)</f>
        <v>77.265599999999992</v>
      </c>
      <c r="J802" s="10">
        <f>77.2635 * CHOOSE(CONTROL!$C$9, $D$9, 100%, $F$9) + CHOOSE(CONTROL!$C$27, 0.0021, 0)</f>
        <v>77.265599999999992</v>
      </c>
      <c r="K802" s="10">
        <f>77.2635 * CHOOSE(CONTROL!$C$9, $D$9, 100%, $F$9) + CHOOSE(CONTROL!$C$27, 0.0021, 0)</f>
        <v>77.265599999999992</v>
      </c>
      <c r="L802" s="10"/>
    </row>
    <row r="803" spans="1:12" ht="15.75" x14ac:dyDescent="0.25">
      <c r="A803" s="13">
        <v>65745</v>
      </c>
      <c r="B803" s="10">
        <f>76.2173 * CHOOSE(CONTROL!$C$9, $D$9, 100%, $F$9) + CHOOSE(CONTROL!$C$27, 0.0021, 0)</f>
        <v>76.219399999999993</v>
      </c>
      <c r="C803" s="10">
        <f>75.785 * CHOOSE(CONTROL!$C$9, $D$9, 100%, $F$9) + CHOOSE(CONTROL!$C$27, 0.0021, 0)</f>
        <v>75.787099999999995</v>
      </c>
      <c r="D803" s="10">
        <f>75.785 * CHOOSE(CONTROL!$C$9, $D$9, 100%, $F$9) + CHOOSE(CONTROL!$C$27, 0.0021, 0)</f>
        <v>75.787099999999995</v>
      </c>
      <c r="E803" s="10">
        <f>75.6484 * CHOOSE(CONTROL!$C$9, $D$9, 100%, $F$9) + CHOOSE(CONTROL!$C$27, 0.0021, 0)</f>
        <v>75.650499999999994</v>
      </c>
      <c r="F803" s="10">
        <f>75.6484 * CHOOSE(CONTROL!$C$9, $D$9, 100%, $F$9) + CHOOSE(CONTROL!$C$27, 0.0021, 0)</f>
        <v>75.650499999999994</v>
      </c>
      <c r="G803" s="10">
        <f>75.9197 * CHOOSE(CONTROL!$C$9, $D$9, 100%, $F$9) + CHOOSE(CONTROL!$C$27, 0.0021, 0)</f>
        <v>75.921800000000005</v>
      </c>
      <c r="H803" s="10">
        <f>75.785 * CHOOSE(CONTROL!$C$9, $D$9, 100%, $F$9) + CHOOSE(CONTROL!$C$27, 0.0021, 0)</f>
        <v>75.787099999999995</v>
      </c>
      <c r="I803" s="10">
        <f>75.785 * CHOOSE(CONTROL!$C$9, $D$9, 100%, $F$9) + CHOOSE(CONTROL!$C$27, 0.0021, 0)</f>
        <v>75.787099999999995</v>
      </c>
      <c r="J803" s="10">
        <f>75.785 * CHOOSE(CONTROL!$C$9, $D$9, 100%, $F$9) + CHOOSE(CONTROL!$C$27, 0.0021, 0)</f>
        <v>75.787099999999995</v>
      </c>
      <c r="K803" s="10">
        <f>75.785 * CHOOSE(CONTROL!$C$9, $D$9, 100%, $F$9) + CHOOSE(CONTROL!$C$27, 0.0021, 0)</f>
        <v>75.787099999999995</v>
      </c>
      <c r="L803" s="10"/>
    </row>
    <row r="804" spans="1:12" ht="15.75" x14ac:dyDescent="0.25">
      <c r="A804" s="13">
        <v>65776</v>
      </c>
      <c r="B804" s="10">
        <f>75.0853 * CHOOSE(CONTROL!$C$9, $D$9, 100%, $F$9) + CHOOSE(CONTROL!$C$27, 0.0021, 0)</f>
        <v>75.087400000000002</v>
      </c>
      <c r="C804" s="10">
        <f>74.6531 * CHOOSE(CONTROL!$C$9, $D$9, 100%, $F$9) + CHOOSE(CONTROL!$C$27, 0.0021, 0)</f>
        <v>74.655199999999994</v>
      </c>
      <c r="D804" s="10">
        <f>74.6531 * CHOOSE(CONTROL!$C$9, $D$9, 100%, $F$9) + CHOOSE(CONTROL!$C$27, 0.0021, 0)</f>
        <v>74.655199999999994</v>
      </c>
      <c r="E804" s="10">
        <f>74.5164 * CHOOSE(CONTROL!$C$9, $D$9, 100%, $F$9) + CHOOSE(CONTROL!$C$27, 0.0021, 0)</f>
        <v>74.518500000000003</v>
      </c>
      <c r="F804" s="10">
        <f>74.5164 * CHOOSE(CONTROL!$C$9, $D$9, 100%, $F$9) + CHOOSE(CONTROL!$C$27, 0.0021, 0)</f>
        <v>74.518500000000003</v>
      </c>
      <c r="G804" s="10">
        <f>74.7878 * CHOOSE(CONTROL!$C$9, $D$9, 100%, $F$9) + CHOOSE(CONTROL!$C$27, 0.0021, 0)</f>
        <v>74.789900000000003</v>
      </c>
      <c r="H804" s="10">
        <f>74.6531 * CHOOSE(CONTROL!$C$9, $D$9, 100%, $F$9) + CHOOSE(CONTROL!$C$27, 0.0021, 0)</f>
        <v>74.655199999999994</v>
      </c>
      <c r="I804" s="10">
        <f>74.6531 * CHOOSE(CONTROL!$C$9, $D$9, 100%, $F$9) + CHOOSE(CONTROL!$C$27, 0.0021, 0)</f>
        <v>74.655199999999994</v>
      </c>
      <c r="J804" s="10">
        <f>74.6531 * CHOOSE(CONTROL!$C$9, $D$9, 100%, $F$9) + CHOOSE(CONTROL!$C$27, 0.0021, 0)</f>
        <v>74.655199999999994</v>
      </c>
      <c r="K804" s="10">
        <f>74.6531 * CHOOSE(CONTROL!$C$9, $D$9, 100%, $F$9) + CHOOSE(CONTROL!$C$27, 0.0021, 0)</f>
        <v>74.655199999999994</v>
      </c>
      <c r="L804" s="10"/>
    </row>
    <row r="805" spans="1:12" ht="15.75" x14ac:dyDescent="0.25">
      <c r="A805" s="13">
        <v>65805</v>
      </c>
      <c r="B805" s="10">
        <f>73.0263 * CHOOSE(CONTROL!$C$9, $D$9, 100%, $F$9) + CHOOSE(CONTROL!$C$27, 0.0021, 0)</f>
        <v>73.028400000000005</v>
      </c>
      <c r="C805" s="10">
        <f>72.5941 * CHOOSE(CONTROL!$C$9, $D$9, 100%, $F$9) + CHOOSE(CONTROL!$C$27, 0.0021, 0)</f>
        <v>72.596199999999996</v>
      </c>
      <c r="D805" s="10">
        <f>72.5941 * CHOOSE(CONTROL!$C$9, $D$9, 100%, $F$9) + CHOOSE(CONTROL!$C$27, 0.0021, 0)</f>
        <v>72.596199999999996</v>
      </c>
      <c r="E805" s="10">
        <f>72.4574 * CHOOSE(CONTROL!$C$9, $D$9, 100%, $F$9) + CHOOSE(CONTROL!$C$27, 0.0021, 0)</f>
        <v>72.459500000000006</v>
      </c>
      <c r="F805" s="10">
        <f>72.4574 * CHOOSE(CONTROL!$C$9, $D$9, 100%, $F$9) + CHOOSE(CONTROL!$C$27, 0.0021, 0)</f>
        <v>72.459500000000006</v>
      </c>
      <c r="G805" s="10">
        <f>72.7288 * CHOOSE(CONTROL!$C$9, $D$9, 100%, $F$9) + CHOOSE(CONTROL!$C$27, 0.0021, 0)</f>
        <v>72.730900000000005</v>
      </c>
      <c r="H805" s="10">
        <f>72.5941 * CHOOSE(CONTROL!$C$9, $D$9, 100%, $F$9) + CHOOSE(CONTROL!$C$27, 0.0021, 0)</f>
        <v>72.596199999999996</v>
      </c>
      <c r="I805" s="10">
        <f>72.5941 * CHOOSE(CONTROL!$C$9, $D$9, 100%, $F$9) + CHOOSE(CONTROL!$C$27, 0.0021, 0)</f>
        <v>72.596199999999996</v>
      </c>
      <c r="J805" s="10">
        <f>72.5941 * CHOOSE(CONTROL!$C$9, $D$9, 100%, $F$9) + CHOOSE(CONTROL!$C$27, 0.0021, 0)</f>
        <v>72.596199999999996</v>
      </c>
      <c r="K805" s="10">
        <f>72.5941 * CHOOSE(CONTROL!$C$9, $D$9, 100%, $F$9) + CHOOSE(CONTROL!$C$27, 0.0021, 0)</f>
        <v>72.596199999999996</v>
      </c>
      <c r="L805" s="10"/>
    </row>
    <row r="806" spans="1:12" ht="15.75" x14ac:dyDescent="0.25">
      <c r="A806" s="13">
        <v>65836</v>
      </c>
      <c r="B806" s="10">
        <f>72.1764 * CHOOSE(CONTROL!$C$9, $D$9, 100%, $F$9) + CHOOSE(CONTROL!$C$27, 0.0021, 0)</f>
        <v>72.1785</v>
      </c>
      <c r="C806" s="10">
        <f>71.7441 * CHOOSE(CONTROL!$C$9, $D$9, 100%, $F$9) + CHOOSE(CONTROL!$C$27, 0.0021, 0)</f>
        <v>71.746200000000002</v>
      </c>
      <c r="D806" s="10">
        <f>71.7441 * CHOOSE(CONTROL!$C$9, $D$9, 100%, $F$9) + CHOOSE(CONTROL!$C$27, 0.0021, 0)</f>
        <v>71.746200000000002</v>
      </c>
      <c r="E806" s="10">
        <f>71.6075 * CHOOSE(CONTROL!$C$9, $D$9, 100%, $F$9) + CHOOSE(CONTROL!$C$27, 0.0021, 0)</f>
        <v>71.6096</v>
      </c>
      <c r="F806" s="10">
        <f>71.6075 * CHOOSE(CONTROL!$C$9, $D$9, 100%, $F$9) + CHOOSE(CONTROL!$C$27, 0.0021, 0)</f>
        <v>71.6096</v>
      </c>
      <c r="G806" s="10">
        <f>71.8788 * CHOOSE(CONTROL!$C$9, $D$9, 100%, $F$9) + CHOOSE(CONTROL!$C$27, 0.0021, 0)</f>
        <v>71.880899999999997</v>
      </c>
      <c r="H806" s="10">
        <f>71.7441 * CHOOSE(CONTROL!$C$9, $D$9, 100%, $F$9) + CHOOSE(CONTROL!$C$27, 0.0021, 0)</f>
        <v>71.746200000000002</v>
      </c>
      <c r="I806" s="10">
        <f>71.7441 * CHOOSE(CONTROL!$C$9, $D$9, 100%, $F$9) + CHOOSE(CONTROL!$C$27, 0.0021, 0)</f>
        <v>71.746200000000002</v>
      </c>
      <c r="J806" s="10">
        <f>71.7441 * CHOOSE(CONTROL!$C$9, $D$9, 100%, $F$9) + CHOOSE(CONTROL!$C$27, 0.0021, 0)</f>
        <v>71.746200000000002</v>
      </c>
      <c r="K806" s="10">
        <f>71.7441 * CHOOSE(CONTROL!$C$9, $D$9, 100%, $F$9) + CHOOSE(CONTROL!$C$27, 0.0021, 0)</f>
        <v>71.746200000000002</v>
      </c>
      <c r="L806" s="10"/>
    </row>
    <row r="807" spans="1:12" ht="15.75" x14ac:dyDescent="0.25">
      <c r="A807" s="13">
        <v>65866</v>
      </c>
      <c r="B807" s="10">
        <f>71.1615 * CHOOSE(CONTROL!$C$9, $D$9, 100%, $F$9) + CHOOSE(CONTROL!$C$27, 0.0021, 0)</f>
        <v>71.163600000000002</v>
      </c>
      <c r="C807" s="10">
        <f>70.7293 * CHOOSE(CONTROL!$C$9, $D$9, 100%, $F$9) + CHOOSE(CONTROL!$C$27, 0.0021, 0)</f>
        <v>70.731399999999994</v>
      </c>
      <c r="D807" s="10">
        <f>70.7293 * CHOOSE(CONTROL!$C$9, $D$9, 100%, $F$9) + CHOOSE(CONTROL!$C$27, 0.0021, 0)</f>
        <v>70.731399999999994</v>
      </c>
      <c r="E807" s="10">
        <f>70.5926 * CHOOSE(CONTROL!$C$9, $D$9, 100%, $F$9) + CHOOSE(CONTROL!$C$27, 0.0021, 0)</f>
        <v>70.594700000000003</v>
      </c>
      <c r="F807" s="10">
        <f>70.5926 * CHOOSE(CONTROL!$C$9, $D$9, 100%, $F$9) + CHOOSE(CONTROL!$C$27, 0.0021, 0)</f>
        <v>70.594700000000003</v>
      </c>
      <c r="G807" s="10">
        <f>70.864 * CHOOSE(CONTROL!$C$9, $D$9, 100%, $F$9) + CHOOSE(CONTROL!$C$27, 0.0021, 0)</f>
        <v>70.866100000000003</v>
      </c>
      <c r="H807" s="10">
        <f>70.7293 * CHOOSE(CONTROL!$C$9, $D$9, 100%, $F$9) + CHOOSE(CONTROL!$C$27, 0.0021, 0)</f>
        <v>70.731399999999994</v>
      </c>
      <c r="I807" s="10">
        <f>70.7293 * CHOOSE(CONTROL!$C$9, $D$9, 100%, $F$9) + CHOOSE(CONTROL!$C$27, 0.0021, 0)</f>
        <v>70.731399999999994</v>
      </c>
      <c r="J807" s="10">
        <f>70.7293 * CHOOSE(CONTROL!$C$9, $D$9, 100%, $F$9) + CHOOSE(CONTROL!$C$27, 0.0021, 0)</f>
        <v>70.731399999999994</v>
      </c>
      <c r="K807" s="10">
        <f>70.7293 * CHOOSE(CONTROL!$C$9, $D$9, 100%, $F$9) + CHOOSE(CONTROL!$C$27, 0.0021, 0)</f>
        <v>70.731399999999994</v>
      </c>
      <c r="L807" s="10"/>
    </row>
    <row r="808" spans="1:12" ht="15.75" x14ac:dyDescent="0.25">
      <c r="A808" s="13">
        <v>65897</v>
      </c>
      <c r="B808" s="10">
        <f>72.6078 * CHOOSE(CONTROL!$C$9, $D$9, 100%, $F$9) + CHOOSE(CONTROL!$C$27, 0.0021, 0)</f>
        <v>72.609899999999996</v>
      </c>
      <c r="C808" s="10">
        <f>72.1756 * CHOOSE(CONTROL!$C$9, $D$9, 100%, $F$9) + CHOOSE(CONTROL!$C$27, 0.0021, 0)</f>
        <v>72.177700000000002</v>
      </c>
      <c r="D808" s="10">
        <f>72.1756 * CHOOSE(CONTROL!$C$9, $D$9, 100%, $F$9) + CHOOSE(CONTROL!$C$27, 0.0021, 0)</f>
        <v>72.177700000000002</v>
      </c>
      <c r="E808" s="10">
        <f>72.0389 * CHOOSE(CONTROL!$C$9, $D$9, 100%, $F$9) + CHOOSE(CONTROL!$C$27, 0.0021, 0)</f>
        <v>72.040999999999997</v>
      </c>
      <c r="F808" s="10">
        <f>72.0389 * CHOOSE(CONTROL!$C$9, $D$9, 100%, $F$9) + CHOOSE(CONTROL!$C$27, 0.0021, 0)</f>
        <v>72.040999999999997</v>
      </c>
      <c r="G808" s="10">
        <f>72.3103 * CHOOSE(CONTROL!$C$9, $D$9, 100%, $F$9) + CHOOSE(CONTROL!$C$27, 0.0021, 0)</f>
        <v>72.312399999999997</v>
      </c>
      <c r="H808" s="10">
        <f>72.1756 * CHOOSE(CONTROL!$C$9, $D$9, 100%, $F$9) + CHOOSE(CONTROL!$C$27, 0.0021, 0)</f>
        <v>72.177700000000002</v>
      </c>
      <c r="I808" s="10">
        <f>72.1756 * CHOOSE(CONTROL!$C$9, $D$9, 100%, $F$9) + CHOOSE(CONTROL!$C$27, 0.0021, 0)</f>
        <v>72.177700000000002</v>
      </c>
      <c r="J808" s="10">
        <f>72.1756 * CHOOSE(CONTROL!$C$9, $D$9, 100%, $F$9) + CHOOSE(CONTROL!$C$27, 0.0021, 0)</f>
        <v>72.177700000000002</v>
      </c>
      <c r="K808" s="10">
        <f>72.1756 * CHOOSE(CONTROL!$C$9, $D$9, 100%, $F$9) + CHOOSE(CONTROL!$C$27, 0.0021, 0)</f>
        <v>72.177700000000002</v>
      </c>
      <c r="L808" s="10"/>
    </row>
    <row r="809" spans="1:12" ht="15.75" x14ac:dyDescent="0.25">
      <c r="A809" s="13">
        <v>65927</v>
      </c>
      <c r="B809" s="10">
        <f>73.4741 * CHOOSE(CONTROL!$C$9, $D$9, 100%, $F$9) + CHOOSE(CONTROL!$C$27, 0.0021, 0)</f>
        <v>73.476200000000006</v>
      </c>
      <c r="C809" s="10">
        <f>73.0418 * CHOOSE(CONTROL!$C$9, $D$9, 100%, $F$9) + CHOOSE(CONTROL!$C$27, 0.0021, 0)</f>
        <v>73.043899999999994</v>
      </c>
      <c r="D809" s="10">
        <f>73.0418 * CHOOSE(CONTROL!$C$9, $D$9, 100%, $F$9) + CHOOSE(CONTROL!$C$27, 0.0021, 0)</f>
        <v>73.043899999999994</v>
      </c>
      <c r="E809" s="10">
        <f>72.9052 * CHOOSE(CONTROL!$C$9, $D$9, 100%, $F$9) + CHOOSE(CONTROL!$C$27, 0.0021, 0)</f>
        <v>72.907299999999992</v>
      </c>
      <c r="F809" s="10">
        <f>72.9052 * CHOOSE(CONTROL!$C$9, $D$9, 100%, $F$9) + CHOOSE(CONTROL!$C$27, 0.0021, 0)</f>
        <v>72.907299999999992</v>
      </c>
      <c r="G809" s="10">
        <f>73.1765 * CHOOSE(CONTROL!$C$9, $D$9, 100%, $F$9) + CHOOSE(CONTROL!$C$27, 0.0021, 0)</f>
        <v>73.178600000000003</v>
      </c>
      <c r="H809" s="10">
        <f>73.0418 * CHOOSE(CONTROL!$C$9, $D$9, 100%, $F$9) + CHOOSE(CONTROL!$C$27, 0.0021, 0)</f>
        <v>73.043899999999994</v>
      </c>
      <c r="I809" s="10">
        <f>73.0418 * CHOOSE(CONTROL!$C$9, $D$9, 100%, $F$9) + CHOOSE(CONTROL!$C$27, 0.0021, 0)</f>
        <v>73.043899999999994</v>
      </c>
      <c r="J809" s="10">
        <f>73.0418 * CHOOSE(CONTROL!$C$9, $D$9, 100%, $F$9) + CHOOSE(CONTROL!$C$27, 0.0021, 0)</f>
        <v>73.043899999999994</v>
      </c>
      <c r="K809" s="10">
        <f>73.0418 * CHOOSE(CONTROL!$C$9, $D$9, 100%, $F$9) + CHOOSE(CONTROL!$C$27, 0.0021, 0)</f>
        <v>73.043899999999994</v>
      </c>
      <c r="L809" s="10"/>
    </row>
    <row r="810" spans="1:12" ht="15.75" x14ac:dyDescent="0.25">
      <c r="A810" s="13">
        <v>65958</v>
      </c>
      <c r="B810" s="10">
        <f>74.9031 * CHOOSE(CONTROL!$C$9, $D$9, 100%, $F$9) + CHOOSE(CONTROL!$C$27, 0.0021, 0)</f>
        <v>74.905199999999994</v>
      </c>
      <c r="C810" s="10">
        <f>74.4708 * CHOOSE(CONTROL!$C$9, $D$9, 100%, $F$9) + CHOOSE(CONTROL!$C$27, 0.0021, 0)</f>
        <v>74.472899999999996</v>
      </c>
      <c r="D810" s="10">
        <f>74.4708 * CHOOSE(CONTROL!$C$9, $D$9, 100%, $F$9) + CHOOSE(CONTROL!$C$27, 0.0021, 0)</f>
        <v>74.472899999999996</v>
      </c>
      <c r="E810" s="10">
        <f>74.3342 * CHOOSE(CONTROL!$C$9, $D$9, 100%, $F$9) + CHOOSE(CONTROL!$C$27, 0.0021, 0)</f>
        <v>74.336299999999994</v>
      </c>
      <c r="F810" s="10">
        <f>74.3342 * CHOOSE(CONTROL!$C$9, $D$9, 100%, $F$9) + CHOOSE(CONTROL!$C$27, 0.0021, 0)</f>
        <v>74.336299999999994</v>
      </c>
      <c r="G810" s="10">
        <f>74.6056 * CHOOSE(CONTROL!$C$9, $D$9, 100%, $F$9) + CHOOSE(CONTROL!$C$27, 0.0021, 0)</f>
        <v>74.607699999999994</v>
      </c>
      <c r="H810" s="10">
        <f>74.4708 * CHOOSE(CONTROL!$C$9, $D$9, 100%, $F$9) + CHOOSE(CONTROL!$C$27, 0.0021, 0)</f>
        <v>74.472899999999996</v>
      </c>
      <c r="I810" s="10">
        <f>74.4708 * CHOOSE(CONTROL!$C$9, $D$9, 100%, $F$9) + CHOOSE(CONTROL!$C$27, 0.0021, 0)</f>
        <v>74.472899999999996</v>
      </c>
      <c r="J810" s="10">
        <f>74.4708 * CHOOSE(CONTROL!$C$9, $D$9, 100%, $F$9) + CHOOSE(CONTROL!$C$27, 0.0021, 0)</f>
        <v>74.472899999999996</v>
      </c>
      <c r="K810" s="10">
        <f>74.4708 * CHOOSE(CONTROL!$C$9, $D$9, 100%, $F$9) + CHOOSE(CONTROL!$C$27, 0.0021, 0)</f>
        <v>74.472899999999996</v>
      </c>
      <c r="L810" s="10"/>
    </row>
    <row r="811" spans="1:12" ht="15.75" x14ac:dyDescent="0.25">
      <c r="A811" s="13">
        <v>65989</v>
      </c>
      <c r="B811" s="10">
        <f>75.3393 * CHOOSE(CONTROL!$C$9, $D$9, 100%, $F$9) + CHOOSE(CONTROL!$C$27, 0.0021, 0)</f>
        <v>75.341399999999993</v>
      </c>
      <c r="C811" s="10">
        <f>74.907 * CHOOSE(CONTROL!$C$9, $D$9, 100%, $F$9) + CHOOSE(CONTROL!$C$27, 0.0021, 0)</f>
        <v>74.909099999999995</v>
      </c>
      <c r="D811" s="10">
        <f>74.907 * CHOOSE(CONTROL!$C$9, $D$9, 100%, $F$9) + CHOOSE(CONTROL!$C$27, 0.0021, 0)</f>
        <v>74.909099999999995</v>
      </c>
      <c r="E811" s="10">
        <f>74.7704 * CHOOSE(CONTROL!$C$9, $D$9, 100%, $F$9) + CHOOSE(CONTROL!$C$27, 0.0021, 0)</f>
        <v>74.772499999999994</v>
      </c>
      <c r="F811" s="10">
        <f>74.7704 * CHOOSE(CONTROL!$C$9, $D$9, 100%, $F$9) + CHOOSE(CONTROL!$C$27, 0.0021, 0)</f>
        <v>74.772499999999994</v>
      </c>
      <c r="G811" s="10">
        <f>75.0417 * CHOOSE(CONTROL!$C$9, $D$9, 100%, $F$9) + CHOOSE(CONTROL!$C$27, 0.0021, 0)</f>
        <v>75.043800000000005</v>
      </c>
      <c r="H811" s="10">
        <f>74.907 * CHOOSE(CONTROL!$C$9, $D$9, 100%, $F$9) + CHOOSE(CONTROL!$C$27, 0.0021, 0)</f>
        <v>74.909099999999995</v>
      </c>
      <c r="I811" s="10">
        <f>74.907 * CHOOSE(CONTROL!$C$9, $D$9, 100%, $F$9) + CHOOSE(CONTROL!$C$27, 0.0021, 0)</f>
        <v>74.909099999999995</v>
      </c>
      <c r="J811" s="10">
        <f>74.907 * CHOOSE(CONTROL!$C$9, $D$9, 100%, $F$9) + CHOOSE(CONTROL!$C$27, 0.0021, 0)</f>
        <v>74.909099999999995</v>
      </c>
      <c r="K811" s="10">
        <f>74.907 * CHOOSE(CONTROL!$C$9, $D$9, 100%, $F$9) + CHOOSE(CONTROL!$C$27, 0.0021, 0)</f>
        <v>74.909099999999995</v>
      </c>
      <c r="L811" s="10"/>
    </row>
    <row r="812" spans="1:12" ht="15.75" x14ac:dyDescent="0.25">
      <c r="A812" s="13">
        <v>66019</v>
      </c>
      <c r="B812" s="10">
        <f>76.8247 * CHOOSE(CONTROL!$C$9, $D$9, 100%, $F$9) + CHOOSE(CONTROL!$C$27, 0.0021, 0)</f>
        <v>76.826800000000006</v>
      </c>
      <c r="C812" s="10">
        <f>76.3924 * CHOOSE(CONTROL!$C$9, $D$9, 100%, $F$9) + CHOOSE(CONTROL!$C$27, 0.0021, 0)</f>
        <v>76.394499999999994</v>
      </c>
      <c r="D812" s="10">
        <f>76.3924 * CHOOSE(CONTROL!$C$9, $D$9, 100%, $F$9) + CHOOSE(CONTROL!$C$27, 0.0021, 0)</f>
        <v>76.394499999999994</v>
      </c>
      <c r="E812" s="10">
        <f>76.2558 * CHOOSE(CONTROL!$C$9, $D$9, 100%, $F$9) + CHOOSE(CONTROL!$C$27, 0.0021, 0)</f>
        <v>76.257899999999992</v>
      </c>
      <c r="F812" s="10">
        <f>76.2558 * CHOOSE(CONTROL!$C$9, $D$9, 100%, $F$9) + CHOOSE(CONTROL!$C$27, 0.0021, 0)</f>
        <v>76.257899999999992</v>
      </c>
      <c r="G812" s="10">
        <f>76.5272 * CHOOSE(CONTROL!$C$9, $D$9, 100%, $F$9) + CHOOSE(CONTROL!$C$27, 0.0021, 0)</f>
        <v>76.529299999999992</v>
      </c>
      <c r="H812" s="10">
        <f>76.3924 * CHOOSE(CONTROL!$C$9, $D$9, 100%, $F$9) + CHOOSE(CONTROL!$C$27, 0.0021, 0)</f>
        <v>76.394499999999994</v>
      </c>
      <c r="I812" s="10">
        <f>76.3924 * CHOOSE(CONTROL!$C$9, $D$9, 100%, $F$9) + CHOOSE(CONTROL!$C$27, 0.0021, 0)</f>
        <v>76.394499999999994</v>
      </c>
      <c r="J812" s="10">
        <f>76.3924 * CHOOSE(CONTROL!$C$9, $D$9, 100%, $F$9) + CHOOSE(CONTROL!$C$27, 0.0021, 0)</f>
        <v>76.394499999999994</v>
      </c>
      <c r="K812" s="10">
        <f>76.3924 * CHOOSE(CONTROL!$C$9, $D$9, 100%, $F$9) + CHOOSE(CONTROL!$C$27, 0.0021, 0)</f>
        <v>76.394499999999994</v>
      </c>
      <c r="L812" s="10"/>
    </row>
    <row r="813" spans="1:12" ht="15.75" x14ac:dyDescent="0.25">
      <c r="A813" s="13">
        <v>66050</v>
      </c>
      <c r="B813" s="10">
        <f>78.705 * CHOOSE(CONTROL!$C$9, $D$9, 100%, $F$9) + CHOOSE(CONTROL!$C$27, 0.0021, 0)</f>
        <v>78.707099999999997</v>
      </c>
      <c r="C813" s="10">
        <f>78.2727 * CHOOSE(CONTROL!$C$9, $D$9, 100%, $F$9) + CHOOSE(CONTROL!$C$27, 0.0021, 0)</f>
        <v>78.274799999999999</v>
      </c>
      <c r="D813" s="10">
        <f>78.2727 * CHOOSE(CONTROL!$C$9, $D$9, 100%, $F$9) + CHOOSE(CONTROL!$C$27, 0.0021, 0)</f>
        <v>78.274799999999999</v>
      </c>
      <c r="E813" s="10">
        <f>78.136 * CHOOSE(CONTROL!$C$9, $D$9, 100%, $F$9) + CHOOSE(CONTROL!$C$27, 0.0021, 0)</f>
        <v>78.138099999999994</v>
      </c>
      <c r="F813" s="10">
        <f>78.136 * CHOOSE(CONTROL!$C$9, $D$9, 100%, $F$9) + CHOOSE(CONTROL!$C$27, 0.0021, 0)</f>
        <v>78.138099999999994</v>
      </c>
      <c r="G813" s="10">
        <f>78.4074 * CHOOSE(CONTROL!$C$9, $D$9, 100%, $F$9) + CHOOSE(CONTROL!$C$27, 0.0021, 0)</f>
        <v>78.409499999999994</v>
      </c>
      <c r="H813" s="10">
        <f>78.2727 * CHOOSE(CONTROL!$C$9, $D$9, 100%, $F$9) + CHOOSE(CONTROL!$C$27, 0.0021, 0)</f>
        <v>78.274799999999999</v>
      </c>
      <c r="I813" s="10">
        <f>78.2727 * CHOOSE(CONTROL!$C$9, $D$9, 100%, $F$9) + CHOOSE(CONTROL!$C$27, 0.0021, 0)</f>
        <v>78.274799999999999</v>
      </c>
      <c r="J813" s="10">
        <f>78.2727 * CHOOSE(CONTROL!$C$9, $D$9, 100%, $F$9) + CHOOSE(CONTROL!$C$27, 0.0021, 0)</f>
        <v>78.274799999999999</v>
      </c>
      <c r="K813" s="10">
        <f>78.2727 * CHOOSE(CONTROL!$C$9, $D$9, 100%, $F$9) + CHOOSE(CONTROL!$C$27, 0.0021, 0)</f>
        <v>78.274799999999999</v>
      </c>
      <c r="L813" s="10"/>
    </row>
    <row r="814" spans="1:12" ht="15.75" x14ac:dyDescent="0.25">
      <c r="A814" s="13">
        <v>66080</v>
      </c>
      <c r="B814" s="10">
        <f>78.8815 * CHOOSE(CONTROL!$C$9, $D$9, 100%, $F$9) + CHOOSE(CONTROL!$C$27, 0.0021, 0)</f>
        <v>78.883600000000001</v>
      </c>
      <c r="C814" s="10">
        <f>78.4492 * CHOOSE(CONTROL!$C$9, $D$9, 100%, $F$9) + CHOOSE(CONTROL!$C$27, 0.0021, 0)</f>
        <v>78.451300000000003</v>
      </c>
      <c r="D814" s="10">
        <f>78.4492 * CHOOSE(CONTROL!$C$9, $D$9, 100%, $F$9) + CHOOSE(CONTROL!$C$27, 0.0021, 0)</f>
        <v>78.451300000000003</v>
      </c>
      <c r="E814" s="10">
        <f>78.3126 * CHOOSE(CONTROL!$C$9, $D$9, 100%, $F$9) + CHOOSE(CONTROL!$C$27, 0.0021, 0)</f>
        <v>78.314700000000002</v>
      </c>
      <c r="F814" s="10">
        <f>78.3126 * CHOOSE(CONTROL!$C$9, $D$9, 100%, $F$9) + CHOOSE(CONTROL!$C$27, 0.0021, 0)</f>
        <v>78.314700000000002</v>
      </c>
      <c r="G814" s="10">
        <f>78.5839 * CHOOSE(CONTROL!$C$9, $D$9, 100%, $F$9) + CHOOSE(CONTROL!$C$27, 0.0021, 0)</f>
        <v>78.585999999999999</v>
      </c>
      <c r="H814" s="10">
        <f>78.4492 * CHOOSE(CONTROL!$C$9, $D$9, 100%, $F$9) + CHOOSE(CONTROL!$C$27, 0.0021, 0)</f>
        <v>78.451300000000003</v>
      </c>
      <c r="I814" s="10">
        <f>78.4492 * CHOOSE(CONTROL!$C$9, $D$9, 100%, $F$9) + CHOOSE(CONTROL!$C$27, 0.0021, 0)</f>
        <v>78.451300000000003</v>
      </c>
      <c r="J814" s="10">
        <f>78.4492 * CHOOSE(CONTROL!$C$9, $D$9, 100%, $F$9) + CHOOSE(CONTROL!$C$27, 0.0021, 0)</f>
        <v>78.451300000000003</v>
      </c>
      <c r="K814" s="10">
        <f>78.4492 * CHOOSE(CONTROL!$C$9, $D$9, 100%, $F$9) + CHOOSE(CONTROL!$C$27, 0.0021, 0)</f>
        <v>78.451300000000003</v>
      </c>
      <c r="L814" s="10"/>
    </row>
    <row r="815" spans="1:12" ht="15.75" x14ac:dyDescent="0.25">
      <c r="A815" s="13">
        <v>66111</v>
      </c>
      <c r="B815" s="10">
        <f>77.3797 * CHOOSE(CONTROL!$C$9, $D$9, 100%, $F$9) + CHOOSE(CONTROL!$C$27, 0.0021, 0)</f>
        <v>77.381799999999998</v>
      </c>
      <c r="C815" s="10">
        <f>76.9475 * CHOOSE(CONTROL!$C$9, $D$9, 100%, $F$9) + CHOOSE(CONTROL!$C$27, 0.0021, 0)</f>
        <v>76.949600000000004</v>
      </c>
      <c r="D815" s="10">
        <f>76.9475 * CHOOSE(CONTROL!$C$9, $D$9, 100%, $F$9) + CHOOSE(CONTROL!$C$27, 0.0021, 0)</f>
        <v>76.949600000000004</v>
      </c>
      <c r="E815" s="10">
        <f>76.8108 * CHOOSE(CONTROL!$C$9, $D$9, 100%, $F$9) + CHOOSE(CONTROL!$C$27, 0.0021, 0)</f>
        <v>76.812899999999999</v>
      </c>
      <c r="F815" s="10">
        <f>76.8108 * CHOOSE(CONTROL!$C$9, $D$9, 100%, $F$9) + CHOOSE(CONTROL!$C$27, 0.0021, 0)</f>
        <v>76.812899999999999</v>
      </c>
      <c r="G815" s="10">
        <f>77.0822 * CHOOSE(CONTROL!$C$9, $D$9, 100%, $F$9) + CHOOSE(CONTROL!$C$27, 0.0021, 0)</f>
        <v>77.084299999999999</v>
      </c>
      <c r="H815" s="10">
        <f>76.9475 * CHOOSE(CONTROL!$C$9, $D$9, 100%, $F$9) + CHOOSE(CONTROL!$C$27, 0.0021, 0)</f>
        <v>76.949600000000004</v>
      </c>
      <c r="I815" s="10">
        <f>76.9475 * CHOOSE(CONTROL!$C$9, $D$9, 100%, $F$9) + CHOOSE(CONTROL!$C$27, 0.0021, 0)</f>
        <v>76.949600000000004</v>
      </c>
      <c r="J815" s="10">
        <f>76.9475 * CHOOSE(CONTROL!$C$9, $D$9, 100%, $F$9) + CHOOSE(CONTROL!$C$27, 0.0021, 0)</f>
        <v>76.949600000000004</v>
      </c>
      <c r="K815" s="10">
        <f>76.9475 * CHOOSE(CONTROL!$C$9, $D$9, 100%, $F$9) + CHOOSE(CONTROL!$C$27, 0.0021, 0)</f>
        <v>76.949600000000004</v>
      </c>
      <c r="L815" s="10"/>
    </row>
    <row r="816" spans="1:12" ht="15.75" x14ac:dyDescent="0.25">
      <c r="A816" s="13">
        <v>66142</v>
      </c>
      <c r="B816" s="10">
        <f>76.23 * CHOOSE(CONTROL!$C$9, $D$9, 100%, $F$9) + CHOOSE(CONTROL!$C$27, 0.0021, 0)</f>
        <v>76.232100000000003</v>
      </c>
      <c r="C816" s="10">
        <f>75.7977 * CHOOSE(CONTROL!$C$9, $D$9, 100%, $F$9) + CHOOSE(CONTROL!$C$27, 0.0021, 0)</f>
        <v>75.799800000000005</v>
      </c>
      <c r="D816" s="10">
        <f>75.7977 * CHOOSE(CONTROL!$C$9, $D$9, 100%, $F$9) + CHOOSE(CONTROL!$C$27, 0.0021, 0)</f>
        <v>75.799800000000005</v>
      </c>
      <c r="E816" s="10">
        <f>75.6611 * CHOOSE(CONTROL!$C$9, $D$9, 100%, $F$9) + CHOOSE(CONTROL!$C$27, 0.0021, 0)</f>
        <v>75.663200000000003</v>
      </c>
      <c r="F816" s="10">
        <f>75.6611 * CHOOSE(CONTROL!$C$9, $D$9, 100%, $F$9) + CHOOSE(CONTROL!$C$27, 0.0021, 0)</f>
        <v>75.663200000000003</v>
      </c>
      <c r="G816" s="10">
        <f>75.9324 * CHOOSE(CONTROL!$C$9, $D$9, 100%, $F$9) + CHOOSE(CONTROL!$C$27, 0.0021, 0)</f>
        <v>75.9345</v>
      </c>
      <c r="H816" s="10">
        <f>75.7977 * CHOOSE(CONTROL!$C$9, $D$9, 100%, $F$9) + CHOOSE(CONTROL!$C$27, 0.0021, 0)</f>
        <v>75.799800000000005</v>
      </c>
      <c r="I816" s="10">
        <f>75.7977 * CHOOSE(CONTROL!$C$9, $D$9, 100%, $F$9) + CHOOSE(CONTROL!$C$27, 0.0021, 0)</f>
        <v>75.799800000000005</v>
      </c>
      <c r="J816" s="10">
        <f>75.7977 * CHOOSE(CONTROL!$C$9, $D$9, 100%, $F$9) + CHOOSE(CONTROL!$C$27, 0.0021, 0)</f>
        <v>75.799800000000005</v>
      </c>
      <c r="K816" s="10">
        <f>75.7977 * CHOOSE(CONTROL!$C$9, $D$9, 100%, $F$9) + CHOOSE(CONTROL!$C$27, 0.0021, 0)</f>
        <v>75.799800000000005</v>
      </c>
      <c r="L816" s="10"/>
    </row>
    <row r="817" spans="1:12" ht="15.75" x14ac:dyDescent="0.25">
      <c r="A817" s="13">
        <v>66170</v>
      </c>
      <c r="B817" s="10">
        <f>74.1386 * CHOOSE(CONTROL!$C$9, $D$9, 100%, $F$9) + CHOOSE(CONTROL!$C$27, 0.0021, 0)</f>
        <v>74.140699999999995</v>
      </c>
      <c r="C817" s="10">
        <f>73.7064 * CHOOSE(CONTROL!$C$9, $D$9, 100%, $F$9) + CHOOSE(CONTROL!$C$27, 0.0021, 0)</f>
        <v>73.708500000000001</v>
      </c>
      <c r="D817" s="10">
        <f>73.7064 * CHOOSE(CONTROL!$C$9, $D$9, 100%, $F$9) + CHOOSE(CONTROL!$C$27, 0.0021, 0)</f>
        <v>73.708500000000001</v>
      </c>
      <c r="E817" s="10">
        <f>73.5697 * CHOOSE(CONTROL!$C$9, $D$9, 100%, $F$9) + CHOOSE(CONTROL!$C$27, 0.0021, 0)</f>
        <v>73.571799999999996</v>
      </c>
      <c r="F817" s="10">
        <f>73.5697 * CHOOSE(CONTROL!$C$9, $D$9, 100%, $F$9) + CHOOSE(CONTROL!$C$27, 0.0021, 0)</f>
        <v>73.571799999999996</v>
      </c>
      <c r="G817" s="10">
        <f>73.8411 * CHOOSE(CONTROL!$C$9, $D$9, 100%, $F$9) + CHOOSE(CONTROL!$C$27, 0.0021, 0)</f>
        <v>73.843199999999996</v>
      </c>
      <c r="H817" s="10">
        <f>73.7064 * CHOOSE(CONTROL!$C$9, $D$9, 100%, $F$9) + CHOOSE(CONTROL!$C$27, 0.0021, 0)</f>
        <v>73.708500000000001</v>
      </c>
      <c r="I817" s="10">
        <f>73.7064 * CHOOSE(CONTROL!$C$9, $D$9, 100%, $F$9) + CHOOSE(CONTROL!$C$27, 0.0021, 0)</f>
        <v>73.708500000000001</v>
      </c>
      <c r="J817" s="10">
        <f>73.7064 * CHOOSE(CONTROL!$C$9, $D$9, 100%, $F$9) + CHOOSE(CONTROL!$C$27, 0.0021, 0)</f>
        <v>73.708500000000001</v>
      </c>
      <c r="K817" s="10">
        <f>73.7064 * CHOOSE(CONTROL!$C$9, $D$9, 100%, $F$9) + CHOOSE(CONTROL!$C$27, 0.0021, 0)</f>
        <v>73.708500000000001</v>
      </c>
      <c r="L817" s="10"/>
    </row>
    <row r="818" spans="1:12" ht="15.75" x14ac:dyDescent="0.25">
      <c r="A818" s="13">
        <v>66201</v>
      </c>
      <c r="B818" s="10">
        <f>73.2753 * CHOOSE(CONTROL!$C$9, $D$9, 100%, $F$9) + CHOOSE(CONTROL!$C$27, 0.0021, 0)</f>
        <v>73.2774</v>
      </c>
      <c r="C818" s="10">
        <f>72.8431 * CHOOSE(CONTROL!$C$9, $D$9, 100%, $F$9) + CHOOSE(CONTROL!$C$27, 0.0021, 0)</f>
        <v>72.845200000000006</v>
      </c>
      <c r="D818" s="10">
        <f>72.8431 * CHOOSE(CONTROL!$C$9, $D$9, 100%, $F$9) + CHOOSE(CONTROL!$C$27, 0.0021, 0)</f>
        <v>72.845200000000006</v>
      </c>
      <c r="E818" s="10">
        <f>72.7064 * CHOOSE(CONTROL!$C$9, $D$9, 100%, $F$9) + CHOOSE(CONTROL!$C$27, 0.0021, 0)</f>
        <v>72.708500000000001</v>
      </c>
      <c r="F818" s="10">
        <f>72.7064 * CHOOSE(CONTROL!$C$9, $D$9, 100%, $F$9) + CHOOSE(CONTROL!$C$27, 0.0021, 0)</f>
        <v>72.708500000000001</v>
      </c>
      <c r="G818" s="10">
        <f>72.9778 * CHOOSE(CONTROL!$C$9, $D$9, 100%, $F$9) + CHOOSE(CONTROL!$C$27, 0.0021, 0)</f>
        <v>72.979900000000001</v>
      </c>
      <c r="H818" s="10">
        <f>72.8431 * CHOOSE(CONTROL!$C$9, $D$9, 100%, $F$9) + CHOOSE(CONTROL!$C$27, 0.0021, 0)</f>
        <v>72.845200000000006</v>
      </c>
      <c r="I818" s="10">
        <f>72.8431 * CHOOSE(CONTROL!$C$9, $D$9, 100%, $F$9) + CHOOSE(CONTROL!$C$27, 0.0021, 0)</f>
        <v>72.845200000000006</v>
      </c>
      <c r="J818" s="10">
        <f>72.8431 * CHOOSE(CONTROL!$C$9, $D$9, 100%, $F$9) + CHOOSE(CONTROL!$C$27, 0.0021, 0)</f>
        <v>72.845200000000006</v>
      </c>
      <c r="K818" s="10">
        <f>72.8431 * CHOOSE(CONTROL!$C$9, $D$9, 100%, $F$9) + CHOOSE(CONTROL!$C$27, 0.0021, 0)</f>
        <v>72.845200000000006</v>
      </c>
      <c r="L818" s="10"/>
    </row>
    <row r="819" spans="1:12" ht="15.75" x14ac:dyDescent="0.25">
      <c r="A819" s="13">
        <v>66231</v>
      </c>
      <c r="B819" s="10">
        <f>72.2445 * CHOOSE(CONTROL!$C$9, $D$9, 100%, $F$9) + CHOOSE(CONTROL!$C$27, 0.0021, 0)</f>
        <v>72.246600000000001</v>
      </c>
      <c r="C819" s="10">
        <f>71.8122 * CHOOSE(CONTROL!$C$9, $D$9, 100%, $F$9) + CHOOSE(CONTROL!$C$27, 0.0021, 0)</f>
        <v>71.814300000000003</v>
      </c>
      <c r="D819" s="10">
        <f>71.8122 * CHOOSE(CONTROL!$C$9, $D$9, 100%, $F$9) + CHOOSE(CONTROL!$C$27, 0.0021, 0)</f>
        <v>71.814300000000003</v>
      </c>
      <c r="E819" s="10">
        <f>71.6756 * CHOOSE(CONTROL!$C$9, $D$9, 100%, $F$9) + CHOOSE(CONTROL!$C$27, 0.0021, 0)</f>
        <v>71.677700000000002</v>
      </c>
      <c r="F819" s="10">
        <f>71.6756 * CHOOSE(CONTROL!$C$9, $D$9, 100%, $F$9) + CHOOSE(CONTROL!$C$27, 0.0021, 0)</f>
        <v>71.677700000000002</v>
      </c>
      <c r="G819" s="10">
        <f>71.947 * CHOOSE(CONTROL!$C$9, $D$9, 100%, $F$9) + CHOOSE(CONTROL!$C$27, 0.0021, 0)</f>
        <v>71.949100000000001</v>
      </c>
      <c r="H819" s="10">
        <f>71.8122 * CHOOSE(CONTROL!$C$9, $D$9, 100%, $F$9) + CHOOSE(CONTROL!$C$27, 0.0021, 0)</f>
        <v>71.814300000000003</v>
      </c>
      <c r="I819" s="10">
        <f>71.8122 * CHOOSE(CONTROL!$C$9, $D$9, 100%, $F$9) + CHOOSE(CONTROL!$C$27, 0.0021, 0)</f>
        <v>71.814300000000003</v>
      </c>
      <c r="J819" s="10">
        <f>71.8122 * CHOOSE(CONTROL!$C$9, $D$9, 100%, $F$9) + CHOOSE(CONTROL!$C$27, 0.0021, 0)</f>
        <v>71.814300000000003</v>
      </c>
      <c r="K819" s="10">
        <f>71.8122 * CHOOSE(CONTROL!$C$9, $D$9, 100%, $F$9) + CHOOSE(CONTROL!$C$27, 0.0021, 0)</f>
        <v>71.814300000000003</v>
      </c>
      <c r="L819" s="10"/>
    </row>
    <row r="820" spans="1:12" ht="15.75" x14ac:dyDescent="0.25">
      <c r="A820" s="13">
        <v>66262</v>
      </c>
      <c r="B820" s="10">
        <f>73.7135 * CHOOSE(CONTROL!$C$9, $D$9, 100%, $F$9) + CHOOSE(CONTROL!$C$27, 0.0021, 0)</f>
        <v>73.715599999999995</v>
      </c>
      <c r="C820" s="10">
        <f>73.2813 * CHOOSE(CONTROL!$C$9, $D$9, 100%, $F$9) + CHOOSE(CONTROL!$C$27, 0.0021, 0)</f>
        <v>73.2834</v>
      </c>
      <c r="D820" s="10">
        <f>73.2813 * CHOOSE(CONTROL!$C$9, $D$9, 100%, $F$9) + CHOOSE(CONTROL!$C$27, 0.0021, 0)</f>
        <v>73.2834</v>
      </c>
      <c r="E820" s="10">
        <f>73.1446 * CHOOSE(CONTROL!$C$9, $D$9, 100%, $F$9) + CHOOSE(CONTROL!$C$27, 0.0021, 0)</f>
        <v>73.146699999999996</v>
      </c>
      <c r="F820" s="10">
        <f>73.1446 * CHOOSE(CONTROL!$C$9, $D$9, 100%, $F$9) + CHOOSE(CONTROL!$C$27, 0.0021, 0)</f>
        <v>73.146699999999996</v>
      </c>
      <c r="G820" s="10">
        <f>73.416 * CHOOSE(CONTROL!$C$9, $D$9, 100%, $F$9) + CHOOSE(CONTROL!$C$27, 0.0021, 0)</f>
        <v>73.418099999999995</v>
      </c>
      <c r="H820" s="10">
        <f>73.2813 * CHOOSE(CONTROL!$C$9, $D$9, 100%, $F$9) + CHOOSE(CONTROL!$C$27, 0.0021, 0)</f>
        <v>73.2834</v>
      </c>
      <c r="I820" s="10">
        <f>73.2813 * CHOOSE(CONTROL!$C$9, $D$9, 100%, $F$9) + CHOOSE(CONTROL!$C$27, 0.0021, 0)</f>
        <v>73.2834</v>
      </c>
      <c r="J820" s="10">
        <f>73.2813 * CHOOSE(CONTROL!$C$9, $D$9, 100%, $F$9) + CHOOSE(CONTROL!$C$27, 0.0021, 0)</f>
        <v>73.2834</v>
      </c>
      <c r="K820" s="10">
        <f>73.2813 * CHOOSE(CONTROL!$C$9, $D$9, 100%, $F$9) + CHOOSE(CONTROL!$C$27, 0.0021, 0)</f>
        <v>73.2834</v>
      </c>
      <c r="L820" s="10"/>
    </row>
    <row r="821" spans="1:12" ht="15.75" x14ac:dyDescent="0.25">
      <c r="A821" s="13">
        <v>66292</v>
      </c>
      <c r="B821" s="10">
        <f>74.5934 * CHOOSE(CONTROL!$C$9, $D$9, 100%, $F$9) + CHOOSE(CONTROL!$C$27, 0.0021, 0)</f>
        <v>74.595500000000001</v>
      </c>
      <c r="C821" s="10">
        <f>74.1612 * CHOOSE(CONTROL!$C$9, $D$9, 100%, $F$9) + CHOOSE(CONTROL!$C$27, 0.0021, 0)</f>
        <v>74.163299999999992</v>
      </c>
      <c r="D821" s="10">
        <f>74.1612 * CHOOSE(CONTROL!$C$9, $D$9, 100%, $F$9) + CHOOSE(CONTROL!$C$27, 0.0021, 0)</f>
        <v>74.163299999999992</v>
      </c>
      <c r="E821" s="10">
        <f>74.0245 * CHOOSE(CONTROL!$C$9, $D$9, 100%, $F$9) + CHOOSE(CONTROL!$C$27, 0.0021, 0)</f>
        <v>74.026600000000002</v>
      </c>
      <c r="F821" s="10">
        <f>74.0245 * CHOOSE(CONTROL!$C$9, $D$9, 100%, $F$9) + CHOOSE(CONTROL!$C$27, 0.0021, 0)</f>
        <v>74.026600000000002</v>
      </c>
      <c r="G821" s="10">
        <f>74.2959 * CHOOSE(CONTROL!$C$9, $D$9, 100%, $F$9) + CHOOSE(CONTROL!$C$27, 0.0021, 0)</f>
        <v>74.298000000000002</v>
      </c>
      <c r="H821" s="10">
        <f>74.1612 * CHOOSE(CONTROL!$C$9, $D$9, 100%, $F$9) + CHOOSE(CONTROL!$C$27, 0.0021, 0)</f>
        <v>74.163299999999992</v>
      </c>
      <c r="I821" s="10">
        <f>74.1612 * CHOOSE(CONTROL!$C$9, $D$9, 100%, $F$9) + CHOOSE(CONTROL!$C$27, 0.0021, 0)</f>
        <v>74.163299999999992</v>
      </c>
      <c r="J821" s="10">
        <f>74.1612 * CHOOSE(CONTROL!$C$9, $D$9, 100%, $F$9) + CHOOSE(CONTROL!$C$27, 0.0021, 0)</f>
        <v>74.163299999999992</v>
      </c>
      <c r="K821" s="10">
        <f>74.1612 * CHOOSE(CONTROL!$C$9, $D$9, 100%, $F$9) + CHOOSE(CONTROL!$C$27, 0.0021, 0)</f>
        <v>74.163299999999992</v>
      </c>
      <c r="L821" s="10"/>
    </row>
    <row r="822" spans="1:12" ht="15.75" x14ac:dyDescent="0.25">
      <c r="A822" s="13">
        <v>66323</v>
      </c>
      <c r="B822" s="10">
        <f>76.0449 * CHOOSE(CONTROL!$C$9, $D$9, 100%, $F$9) + CHOOSE(CONTROL!$C$27, 0.0021, 0)</f>
        <v>76.046999999999997</v>
      </c>
      <c r="C822" s="10">
        <f>75.6126 * CHOOSE(CONTROL!$C$9, $D$9, 100%, $F$9) + CHOOSE(CONTROL!$C$27, 0.0021, 0)</f>
        <v>75.614699999999999</v>
      </c>
      <c r="D822" s="10">
        <f>75.6126 * CHOOSE(CONTROL!$C$9, $D$9, 100%, $F$9) + CHOOSE(CONTROL!$C$27, 0.0021, 0)</f>
        <v>75.614699999999999</v>
      </c>
      <c r="E822" s="10">
        <f>75.476 * CHOOSE(CONTROL!$C$9, $D$9, 100%, $F$9) + CHOOSE(CONTROL!$C$27, 0.0021, 0)</f>
        <v>75.478099999999998</v>
      </c>
      <c r="F822" s="10">
        <f>75.476 * CHOOSE(CONTROL!$C$9, $D$9, 100%, $F$9) + CHOOSE(CONTROL!$C$27, 0.0021, 0)</f>
        <v>75.478099999999998</v>
      </c>
      <c r="G822" s="10">
        <f>75.7474 * CHOOSE(CONTROL!$C$9, $D$9, 100%, $F$9) + CHOOSE(CONTROL!$C$27, 0.0021, 0)</f>
        <v>75.749499999999998</v>
      </c>
      <c r="H822" s="10">
        <f>75.6126 * CHOOSE(CONTROL!$C$9, $D$9, 100%, $F$9) + CHOOSE(CONTROL!$C$27, 0.0021, 0)</f>
        <v>75.614699999999999</v>
      </c>
      <c r="I822" s="10">
        <f>75.6126 * CHOOSE(CONTROL!$C$9, $D$9, 100%, $F$9) + CHOOSE(CONTROL!$C$27, 0.0021, 0)</f>
        <v>75.614699999999999</v>
      </c>
      <c r="J822" s="10">
        <f>75.6126 * CHOOSE(CONTROL!$C$9, $D$9, 100%, $F$9) + CHOOSE(CONTROL!$C$27, 0.0021, 0)</f>
        <v>75.614699999999999</v>
      </c>
      <c r="K822" s="10">
        <f>75.6126 * CHOOSE(CONTROL!$C$9, $D$9, 100%, $F$9) + CHOOSE(CONTROL!$C$27, 0.0021, 0)</f>
        <v>75.614699999999999</v>
      </c>
      <c r="L822" s="10"/>
    </row>
    <row r="823" spans="1:12" ht="15.75" x14ac:dyDescent="0.25">
      <c r="A823" s="13">
        <v>66354</v>
      </c>
      <c r="B823" s="10">
        <f>76.4879 * CHOOSE(CONTROL!$C$9, $D$9, 100%, $F$9) + CHOOSE(CONTROL!$C$27, 0.0021, 0)</f>
        <v>76.489999999999995</v>
      </c>
      <c r="C823" s="10">
        <f>76.0557 * CHOOSE(CONTROL!$C$9, $D$9, 100%, $F$9) + CHOOSE(CONTROL!$C$27, 0.0021, 0)</f>
        <v>76.0578</v>
      </c>
      <c r="D823" s="10">
        <f>76.0557 * CHOOSE(CONTROL!$C$9, $D$9, 100%, $F$9) + CHOOSE(CONTROL!$C$27, 0.0021, 0)</f>
        <v>76.0578</v>
      </c>
      <c r="E823" s="10">
        <f>75.919 * CHOOSE(CONTROL!$C$9, $D$9, 100%, $F$9) + CHOOSE(CONTROL!$C$27, 0.0021, 0)</f>
        <v>75.921099999999996</v>
      </c>
      <c r="F823" s="10">
        <f>75.919 * CHOOSE(CONTROL!$C$9, $D$9, 100%, $F$9) + CHOOSE(CONTROL!$C$27, 0.0021, 0)</f>
        <v>75.921099999999996</v>
      </c>
      <c r="G823" s="10">
        <f>76.1904 * CHOOSE(CONTROL!$C$9, $D$9, 100%, $F$9) + CHOOSE(CONTROL!$C$27, 0.0021, 0)</f>
        <v>76.192499999999995</v>
      </c>
      <c r="H823" s="10">
        <f>76.0557 * CHOOSE(CONTROL!$C$9, $D$9, 100%, $F$9) + CHOOSE(CONTROL!$C$27, 0.0021, 0)</f>
        <v>76.0578</v>
      </c>
      <c r="I823" s="10">
        <f>76.0557 * CHOOSE(CONTROL!$C$9, $D$9, 100%, $F$9) + CHOOSE(CONTROL!$C$27, 0.0021, 0)</f>
        <v>76.0578</v>
      </c>
      <c r="J823" s="10">
        <f>76.0557 * CHOOSE(CONTROL!$C$9, $D$9, 100%, $F$9) + CHOOSE(CONTROL!$C$27, 0.0021, 0)</f>
        <v>76.0578</v>
      </c>
      <c r="K823" s="10">
        <f>76.0557 * CHOOSE(CONTROL!$C$9, $D$9, 100%, $F$9) + CHOOSE(CONTROL!$C$27, 0.0021, 0)</f>
        <v>76.0578</v>
      </c>
      <c r="L823" s="10"/>
    </row>
    <row r="824" spans="1:12" ht="15.75" x14ac:dyDescent="0.25">
      <c r="A824" s="13">
        <v>66384</v>
      </c>
      <c r="B824" s="10">
        <f>77.9967 * CHOOSE(CONTROL!$C$9, $D$9, 100%, $F$9) + CHOOSE(CONTROL!$C$27, 0.0021, 0)</f>
        <v>77.998800000000003</v>
      </c>
      <c r="C824" s="10">
        <f>77.5645 * CHOOSE(CONTROL!$C$9, $D$9, 100%, $F$9) + CHOOSE(CONTROL!$C$27, 0.0021, 0)</f>
        <v>77.566599999999994</v>
      </c>
      <c r="D824" s="10">
        <f>77.5645 * CHOOSE(CONTROL!$C$9, $D$9, 100%, $F$9) + CHOOSE(CONTROL!$C$27, 0.0021, 0)</f>
        <v>77.566599999999994</v>
      </c>
      <c r="E824" s="10">
        <f>77.4278 * CHOOSE(CONTROL!$C$9, $D$9, 100%, $F$9) + CHOOSE(CONTROL!$C$27, 0.0021, 0)</f>
        <v>77.429900000000004</v>
      </c>
      <c r="F824" s="10">
        <f>77.4278 * CHOOSE(CONTROL!$C$9, $D$9, 100%, $F$9) + CHOOSE(CONTROL!$C$27, 0.0021, 0)</f>
        <v>77.429900000000004</v>
      </c>
      <c r="G824" s="10">
        <f>77.6992 * CHOOSE(CONTROL!$C$9, $D$9, 100%, $F$9) + CHOOSE(CONTROL!$C$27, 0.0021, 0)</f>
        <v>77.701300000000003</v>
      </c>
      <c r="H824" s="10">
        <f>77.5645 * CHOOSE(CONTROL!$C$9, $D$9, 100%, $F$9) + CHOOSE(CONTROL!$C$27, 0.0021, 0)</f>
        <v>77.566599999999994</v>
      </c>
      <c r="I824" s="10">
        <f>77.5645 * CHOOSE(CONTROL!$C$9, $D$9, 100%, $F$9) + CHOOSE(CONTROL!$C$27, 0.0021, 0)</f>
        <v>77.566599999999994</v>
      </c>
      <c r="J824" s="10">
        <f>77.5645 * CHOOSE(CONTROL!$C$9, $D$9, 100%, $F$9) + CHOOSE(CONTROL!$C$27, 0.0021, 0)</f>
        <v>77.566599999999994</v>
      </c>
      <c r="K824" s="10">
        <f>77.5645 * CHOOSE(CONTROL!$C$9, $D$9, 100%, $F$9) + CHOOSE(CONTROL!$C$27, 0.0021, 0)</f>
        <v>77.566599999999994</v>
      </c>
      <c r="L824" s="10"/>
    </row>
    <row r="825" spans="1:12" ht="15.75" x14ac:dyDescent="0.25">
      <c r="A825" s="13">
        <v>66415</v>
      </c>
      <c r="B825" s="10">
        <f>79.9065 * CHOOSE(CONTROL!$C$9, $D$9, 100%, $F$9) + CHOOSE(CONTROL!$C$27, 0.0021, 0)</f>
        <v>79.908599999999993</v>
      </c>
      <c r="C825" s="10">
        <f>79.4743 * CHOOSE(CONTROL!$C$9, $D$9, 100%, $F$9) + CHOOSE(CONTROL!$C$27, 0.0021, 0)</f>
        <v>79.476399999999998</v>
      </c>
      <c r="D825" s="10">
        <f>79.4743 * CHOOSE(CONTROL!$C$9, $D$9, 100%, $F$9) + CHOOSE(CONTROL!$C$27, 0.0021, 0)</f>
        <v>79.476399999999998</v>
      </c>
      <c r="E825" s="10">
        <f>79.3376 * CHOOSE(CONTROL!$C$9, $D$9, 100%, $F$9) + CHOOSE(CONTROL!$C$27, 0.0021, 0)</f>
        <v>79.339699999999993</v>
      </c>
      <c r="F825" s="10">
        <f>79.3376 * CHOOSE(CONTROL!$C$9, $D$9, 100%, $F$9) + CHOOSE(CONTROL!$C$27, 0.0021, 0)</f>
        <v>79.339699999999993</v>
      </c>
      <c r="G825" s="10">
        <f>79.609 * CHOOSE(CONTROL!$C$9, $D$9, 100%, $F$9) + CHOOSE(CONTROL!$C$27, 0.0021, 0)</f>
        <v>79.611099999999993</v>
      </c>
      <c r="H825" s="10">
        <f>79.4743 * CHOOSE(CONTROL!$C$9, $D$9, 100%, $F$9) + CHOOSE(CONTROL!$C$27, 0.0021, 0)</f>
        <v>79.476399999999998</v>
      </c>
      <c r="I825" s="10">
        <f>79.4743 * CHOOSE(CONTROL!$C$9, $D$9, 100%, $F$9) + CHOOSE(CONTROL!$C$27, 0.0021, 0)</f>
        <v>79.476399999999998</v>
      </c>
      <c r="J825" s="10">
        <f>79.4743 * CHOOSE(CONTROL!$C$9, $D$9, 100%, $F$9) + CHOOSE(CONTROL!$C$27, 0.0021, 0)</f>
        <v>79.476399999999998</v>
      </c>
      <c r="K825" s="10">
        <f>79.4743 * CHOOSE(CONTROL!$C$9, $D$9, 100%, $F$9) + CHOOSE(CONTROL!$C$27, 0.0021, 0)</f>
        <v>79.476399999999998</v>
      </c>
      <c r="L825" s="10"/>
    </row>
    <row r="826" spans="1:12" ht="15.75" x14ac:dyDescent="0.25">
      <c r="A826" s="13">
        <v>66445</v>
      </c>
      <c r="B826" s="10">
        <f>80.0858 * CHOOSE(CONTROL!$C$9, $D$9, 100%, $F$9) + CHOOSE(CONTROL!$C$27, 0.0021, 0)</f>
        <v>80.087900000000005</v>
      </c>
      <c r="C826" s="10">
        <f>79.6536 * CHOOSE(CONTROL!$C$9, $D$9, 100%, $F$9) + CHOOSE(CONTROL!$C$27, 0.0021, 0)</f>
        <v>79.655699999999996</v>
      </c>
      <c r="D826" s="10">
        <f>79.6536 * CHOOSE(CONTROL!$C$9, $D$9, 100%, $F$9) + CHOOSE(CONTROL!$C$27, 0.0021, 0)</f>
        <v>79.655699999999996</v>
      </c>
      <c r="E826" s="10">
        <f>79.5169 * CHOOSE(CONTROL!$C$9, $D$9, 100%, $F$9) + CHOOSE(CONTROL!$C$27, 0.0021, 0)</f>
        <v>79.519000000000005</v>
      </c>
      <c r="F826" s="10">
        <f>79.5169 * CHOOSE(CONTROL!$C$9, $D$9, 100%, $F$9) + CHOOSE(CONTROL!$C$27, 0.0021, 0)</f>
        <v>79.519000000000005</v>
      </c>
      <c r="G826" s="10">
        <f>79.7883 * CHOOSE(CONTROL!$C$9, $D$9, 100%, $F$9) + CHOOSE(CONTROL!$C$27, 0.0021, 0)</f>
        <v>79.790400000000005</v>
      </c>
      <c r="H826" s="10">
        <f>79.6536 * CHOOSE(CONTROL!$C$9, $D$9, 100%, $F$9) + CHOOSE(CONTROL!$C$27, 0.0021, 0)</f>
        <v>79.655699999999996</v>
      </c>
      <c r="I826" s="10">
        <f>79.6536 * CHOOSE(CONTROL!$C$9, $D$9, 100%, $F$9) + CHOOSE(CONTROL!$C$27, 0.0021, 0)</f>
        <v>79.655699999999996</v>
      </c>
      <c r="J826" s="10">
        <f>79.6536 * CHOOSE(CONTROL!$C$9, $D$9, 100%, $F$9) + CHOOSE(CONTROL!$C$27, 0.0021, 0)</f>
        <v>79.655699999999996</v>
      </c>
      <c r="K826" s="10">
        <f>79.6536 * CHOOSE(CONTROL!$C$9, $D$9, 100%, $F$9) + CHOOSE(CONTROL!$C$27, 0.0021, 0)</f>
        <v>79.655699999999996</v>
      </c>
      <c r="L826" s="10"/>
    </row>
    <row r="827" spans="1:12" ht="15.75" x14ac:dyDescent="0.25">
      <c r="A827" s="13">
        <v>66476</v>
      </c>
      <c r="B827" s="10">
        <f>78.5605 * CHOOSE(CONTROL!$C$9, $D$9, 100%, $F$9) + CHOOSE(CONTROL!$C$27, 0.0021, 0)</f>
        <v>78.562600000000003</v>
      </c>
      <c r="C827" s="10">
        <f>78.1282 * CHOOSE(CONTROL!$C$9, $D$9, 100%, $F$9) + CHOOSE(CONTROL!$C$27, 0.0021, 0)</f>
        <v>78.130300000000005</v>
      </c>
      <c r="D827" s="10">
        <f>78.1282 * CHOOSE(CONTROL!$C$9, $D$9, 100%, $F$9) + CHOOSE(CONTROL!$C$27, 0.0021, 0)</f>
        <v>78.130300000000005</v>
      </c>
      <c r="E827" s="10">
        <f>77.9916 * CHOOSE(CONTROL!$C$9, $D$9, 100%, $F$9) + CHOOSE(CONTROL!$C$27, 0.0021, 0)</f>
        <v>77.993700000000004</v>
      </c>
      <c r="F827" s="10">
        <f>77.9916 * CHOOSE(CONTROL!$C$9, $D$9, 100%, $F$9) + CHOOSE(CONTROL!$C$27, 0.0021, 0)</f>
        <v>77.993700000000004</v>
      </c>
      <c r="G827" s="10">
        <f>78.2629 * CHOOSE(CONTROL!$C$9, $D$9, 100%, $F$9) + CHOOSE(CONTROL!$C$27, 0.0021, 0)</f>
        <v>78.265000000000001</v>
      </c>
      <c r="H827" s="10">
        <f>78.1282 * CHOOSE(CONTROL!$C$9, $D$9, 100%, $F$9) + CHOOSE(CONTROL!$C$27, 0.0021, 0)</f>
        <v>78.130300000000005</v>
      </c>
      <c r="I827" s="10">
        <f>78.1282 * CHOOSE(CONTROL!$C$9, $D$9, 100%, $F$9) + CHOOSE(CONTROL!$C$27, 0.0021, 0)</f>
        <v>78.130300000000005</v>
      </c>
      <c r="J827" s="10">
        <f>78.1282 * CHOOSE(CONTROL!$C$9, $D$9, 100%, $F$9) + CHOOSE(CONTROL!$C$27, 0.0021, 0)</f>
        <v>78.130300000000005</v>
      </c>
      <c r="K827" s="10">
        <f>78.1282 * CHOOSE(CONTROL!$C$9, $D$9, 100%, $F$9) + CHOOSE(CONTROL!$C$27, 0.0021, 0)</f>
        <v>78.130300000000005</v>
      </c>
      <c r="L827" s="10"/>
    </row>
    <row r="828" spans="1:12" ht="15.75" x14ac:dyDescent="0.25">
      <c r="A828" s="13">
        <v>66507</v>
      </c>
      <c r="B828" s="10">
        <f>77.3926 * CHOOSE(CONTROL!$C$9, $D$9, 100%, $F$9) + CHOOSE(CONTROL!$C$27, 0.0021, 0)</f>
        <v>77.3947</v>
      </c>
      <c r="C828" s="10">
        <f>76.9604 * CHOOSE(CONTROL!$C$9, $D$9, 100%, $F$9) + CHOOSE(CONTROL!$C$27, 0.0021, 0)</f>
        <v>76.962500000000006</v>
      </c>
      <c r="D828" s="10">
        <f>76.9604 * CHOOSE(CONTROL!$C$9, $D$9, 100%, $F$9) + CHOOSE(CONTROL!$C$27, 0.0021, 0)</f>
        <v>76.962500000000006</v>
      </c>
      <c r="E828" s="10">
        <f>76.8237 * CHOOSE(CONTROL!$C$9, $D$9, 100%, $F$9) + CHOOSE(CONTROL!$C$27, 0.0021, 0)</f>
        <v>76.825800000000001</v>
      </c>
      <c r="F828" s="10">
        <f>76.8237 * CHOOSE(CONTROL!$C$9, $D$9, 100%, $F$9) + CHOOSE(CONTROL!$C$27, 0.0021, 0)</f>
        <v>76.825800000000001</v>
      </c>
      <c r="G828" s="10">
        <f>77.0951 * CHOOSE(CONTROL!$C$9, $D$9, 100%, $F$9) + CHOOSE(CONTROL!$C$27, 0.0021, 0)</f>
        <v>77.097200000000001</v>
      </c>
      <c r="H828" s="10">
        <f>76.9604 * CHOOSE(CONTROL!$C$9, $D$9, 100%, $F$9) + CHOOSE(CONTROL!$C$27, 0.0021, 0)</f>
        <v>76.962500000000006</v>
      </c>
      <c r="I828" s="10">
        <f>76.9604 * CHOOSE(CONTROL!$C$9, $D$9, 100%, $F$9) + CHOOSE(CONTROL!$C$27, 0.0021, 0)</f>
        <v>76.962500000000006</v>
      </c>
      <c r="J828" s="10">
        <f>76.9604 * CHOOSE(CONTROL!$C$9, $D$9, 100%, $F$9) + CHOOSE(CONTROL!$C$27, 0.0021, 0)</f>
        <v>76.962500000000006</v>
      </c>
      <c r="K828" s="10">
        <f>76.9604 * CHOOSE(CONTROL!$C$9, $D$9, 100%, $F$9) + CHOOSE(CONTROL!$C$27, 0.0021, 0)</f>
        <v>76.962500000000006</v>
      </c>
      <c r="L828" s="10"/>
    </row>
    <row r="829" spans="1:12" ht="15.75" x14ac:dyDescent="0.25">
      <c r="A829" s="13">
        <v>66535</v>
      </c>
      <c r="B829" s="10">
        <f>75.2684 * CHOOSE(CONTROL!$C$9, $D$9, 100%, $F$9) + CHOOSE(CONTROL!$C$27, 0.0021, 0)</f>
        <v>75.270499999999998</v>
      </c>
      <c r="C829" s="10">
        <f>74.8361 * CHOOSE(CONTROL!$C$9, $D$9, 100%, $F$9) + CHOOSE(CONTROL!$C$27, 0.0021, 0)</f>
        <v>74.838200000000001</v>
      </c>
      <c r="D829" s="10">
        <f>74.8361 * CHOOSE(CONTROL!$C$9, $D$9, 100%, $F$9) + CHOOSE(CONTROL!$C$27, 0.0021, 0)</f>
        <v>74.838200000000001</v>
      </c>
      <c r="E829" s="10">
        <f>74.6995 * CHOOSE(CONTROL!$C$9, $D$9, 100%, $F$9) + CHOOSE(CONTROL!$C$27, 0.0021, 0)</f>
        <v>74.701599999999999</v>
      </c>
      <c r="F829" s="10">
        <f>74.6995 * CHOOSE(CONTROL!$C$9, $D$9, 100%, $F$9) + CHOOSE(CONTROL!$C$27, 0.0021, 0)</f>
        <v>74.701599999999999</v>
      </c>
      <c r="G829" s="10">
        <f>74.9709 * CHOOSE(CONTROL!$C$9, $D$9, 100%, $F$9) + CHOOSE(CONTROL!$C$27, 0.0021, 0)</f>
        <v>74.972999999999999</v>
      </c>
      <c r="H829" s="10">
        <f>74.8361 * CHOOSE(CONTROL!$C$9, $D$9, 100%, $F$9) + CHOOSE(CONTROL!$C$27, 0.0021, 0)</f>
        <v>74.838200000000001</v>
      </c>
      <c r="I829" s="10">
        <f>74.8361 * CHOOSE(CONTROL!$C$9, $D$9, 100%, $F$9) + CHOOSE(CONTROL!$C$27, 0.0021, 0)</f>
        <v>74.838200000000001</v>
      </c>
      <c r="J829" s="10">
        <f>74.8361 * CHOOSE(CONTROL!$C$9, $D$9, 100%, $F$9) + CHOOSE(CONTROL!$C$27, 0.0021, 0)</f>
        <v>74.838200000000001</v>
      </c>
      <c r="K829" s="10">
        <f>74.8361 * CHOOSE(CONTROL!$C$9, $D$9, 100%, $F$9) + CHOOSE(CONTROL!$C$27, 0.0021, 0)</f>
        <v>74.838200000000001</v>
      </c>
      <c r="L829" s="10"/>
    </row>
    <row r="830" spans="1:12" ht="15.75" x14ac:dyDescent="0.25">
      <c r="A830" s="13">
        <v>66566</v>
      </c>
      <c r="B830" s="10">
        <f>74.3915 * CHOOSE(CONTROL!$C$9, $D$9, 100%, $F$9) + CHOOSE(CONTROL!$C$27, 0.0021, 0)</f>
        <v>74.393599999999992</v>
      </c>
      <c r="C830" s="10">
        <f>73.9593 * CHOOSE(CONTROL!$C$9, $D$9, 100%, $F$9) + CHOOSE(CONTROL!$C$27, 0.0021, 0)</f>
        <v>73.961399999999998</v>
      </c>
      <c r="D830" s="10">
        <f>73.9593 * CHOOSE(CONTROL!$C$9, $D$9, 100%, $F$9) + CHOOSE(CONTROL!$C$27, 0.0021, 0)</f>
        <v>73.961399999999998</v>
      </c>
      <c r="E830" s="10">
        <f>73.8226 * CHOOSE(CONTROL!$C$9, $D$9, 100%, $F$9) + CHOOSE(CONTROL!$C$27, 0.0021, 0)</f>
        <v>73.824699999999993</v>
      </c>
      <c r="F830" s="10">
        <f>73.8226 * CHOOSE(CONTROL!$C$9, $D$9, 100%, $F$9) + CHOOSE(CONTROL!$C$27, 0.0021, 0)</f>
        <v>73.824699999999993</v>
      </c>
      <c r="G830" s="10">
        <f>74.094 * CHOOSE(CONTROL!$C$9, $D$9, 100%, $F$9) + CHOOSE(CONTROL!$C$27, 0.0021, 0)</f>
        <v>74.096099999999993</v>
      </c>
      <c r="H830" s="10">
        <f>73.9593 * CHOOSE(CONTROL!$C$9, $D$9, 100%, $F$9) + CHOOSE(CONTROL!$C$27, 0.0021, 0)</f>
        <v>73.961399999999998</v>
      </c>
      <c r="I830" s="10">
        <f>73.9593 * CHOOSE(CONTROL!$C$9, $D$9, 100%, $F$9) + CHOOSE(CONTROL!$C$27, 0.0021, 0)</f>
        <v>73.961399999999998</v>
      </c>
      <c r="J830" s="10">
        <f>73.9593 * CHOOSE(CONTROL!$C$9, $D$9, 100%, $F$9) + CHOOSE(CONTROL!$C$27, 0.0021, 0)</f>
        <v>73.961399999999998</v>
      </c>
      <c r="K830" s="10">
        <f>73.9593 * CHOOSE(CONTROL!$C$9, $D$9, 100%, $F$9) + CHOOSE(CONTROL!$C$27, 0.0021, 0)</f>
        <v>73.961399999999998</v>
      </c>
      <c r="L830" s="10"/>
    </row>
    <row r="831" spans="1:12" ht="15.75" x14ac:dyDescent="0.25">
      <c r="A831" s="13">
        <v>66596</v>
      </c>
      <c r="B831" s="10">
        <f>73.3445 * CHOOSE(CONTROL!$C$9, $D$9, 100%, $F$9) + CHOOSE(CONTROL!$C$27, 0.0021, 0)</f>
        <v>73.346599999999995</v>
      </c>
      <c r="C831" s="10">
        <f>72.9122 * CHOOSE(CONTROL!$C$9, $D$9, 100%, $F$9) + CHOOSE(CONTROL!$C$27, 0.0021, 0)</f>
        <v>72.914299999999997</v>
      </c>
      <c r="D831" s="10">
        <f>72.9122 * CHOOSE(CONTROL!$C$9, $D$9, 100%, $F$9) + CHOOSE(CONTROL!$C$27, 0.0021, 0)</f>
        <v>72.914299999999997</v>
      </c>
      <c r="E831" s="10">
        <f>72.7756 * CHOOSE(CONTROL!$C$9, $D$9, 100%, $F$9) + CHOOSE(CONTROL!$C$27, 0.0021, 0)</f>
        <v>72.777699999999996</v>
      </c>
      <c r="F831" s="10">
        <f>72.7756 * CHOOSE(CONTROL!$C$9, $D$9, 100%, $F$9) + CHOOSE(CONTROL!$C$27, 0.0021, 0)</f>
        <v>72.777699999999996</v>
      </c>
      <c r="G831" s="10">
        <f>73.047 * CHOOSE(CONTROL!$C$9, $D$9, 100%, $F$9) + CHOOSE(CONTROL!$C$27, 0.0021, 0)</f>
        <v>73.049099999999996</v>
      </c>
      <c r="H831" s="10">
        <f>72.9122 * CHOOSE(CONTROL!$C$9, $D$9, 100%, $F$9) + CHOOSE(CONTROL!$C$27, 0.0021, 0)</f>
        <v>72.914299999999997</v>
      </c>
      <c r="I831" s="10">
        <f>72.9122 * CHOOSE(CONTROL!$C$9, $D$9, 100%, $F$9) + CHOOSE(CONTROL!$C$27, 0.0021, 0)</f>
        <v>72.914299999999997</v>
      </c>
      <c r="J831" s="10">
        <f>72.9122 * CHOOSE(CONTROL!$C$9, $D$9, 100%, $F$9) + CHOOSE(CONTROL!$C$27, 0.0021, 0)</f>
        <v>72.914299999999997</v>
      </c>
      <c r="K831" s="10">
        <f>72.9122 * CHOOSE(CONTROL!$C$9, $D$9, 100%, $F$9) + CHOOSE(CONTROL!$C$27, 0.0021, 0)</f>
        <v>72.914299999999997</v>
      </c>
      <c r="L831" s="10"/>
    </row>
    <row r="832" spans="1:12" ht="15.75" x14ac:dyDescent="0.25">
      <c r="A832" s="13">
        <v>66627</v>
      </c>
      <c r="B832" s="10">
        <f>74.8366 * CHOOSE(CONTROL!$C$9, $D$9, 100%, $F$9) + CHOOSE(CONTROL!$C$27, 0.0021, 0)</f>
        <v>74.838700000000003</v>
      </c>
      <c r="C832" s="10">
        <f>74.4044 * CHOOSE(CONTROL!$C$9, $D$9, 100%, $F$9) + CHOOSE(CONTROL!$C$27, 0.0021, 0)</f>
        <v>74.406499999999994</v>
      </c>
      <c r="D832" s="10">
        <f>74.4044 * CHOOSE(CONTROL!$C$9, $D$9, 100%, $F$9) + CHOOSE(CONTROL!$C$27, 0.0021, 0)</f>
        <v>74.406499999999994</v>
      </c>
      <c r="E832" s="10">
        <f>74.2677 * CHOOSE(CONTROL!$C$9, $D$9, 100%, $F$9) + CHOOSE(CONTROL!$C$27, 0.0021, 0)</f>
        <v>74.269800000000004</v>
      </c>
      <c r="F832" s="10">
        <f>74.2677 * CHOOSE(CONTROL!$C$9, $D$9, 100%, $F$9) + CHOOSE(CONTROL!$C$27, 0.0021, 0)</f>
        <v>74.269800000000004</v>
      </c>
      <c r="G832" s="10">
        <f>74.5391 * CHOOSE(CONTROL!$C$9, $D$9, 100%, $F$9) + CHOOSE(CONTROL!$C$27, 0.0021, 0)</f>
        <v>74.541200000000003</v>
      </c>
      <c r="H832" s="10">
        <f>74.4044 * CHOOSE(CONTROL!$C$9, $D$9, 100%, $F$9) + CHOOSE(CONTROL!$C$27, 0.0021, 0)</f>
        <v>74.406499999999994</v>
      </c>
      <c r="I832" s="10">
        <f>74.4044 * CHOOSE(CONTROL!$C$9, $D$9, 100%, $F$9) + CHOOSE(CONTROL!$C$27, 0.0021, 0)</f>
        <v>74.406499999999994</v>
      </c>
      <c r="J832" s="10">
        <f>74.4044 * CHOOSE(CONTROL!$C$9, $D$9, 100%, $F$9) + CHOOSE(CONTROL!$C$27, 0.0021, 0)</f>
        <v>74.406499999999994</v>
      </c>
      <c r="K832" s="10">
        <f>74.4044 * CHOOSE(CONTROL!$C$9, $D$9, 100%, $F$9) + CHOOSE(CONTROL!$C$27, 0.0021, 0)</f>
        <v>74.406499999999994</v>
      </c>
      <c r="L832" s="10"/>
    </row>
    <row r="833" spans="1:12" ht="15.75" x14ac:dyDescent="0.25">
      <c r="A833" s="13">
        <v>66657</v>
      </c>
      <c r="B833" s="10">
        <f>75.7303 * CHOOSE(CONTROL!$C$9, $D$9, 100%, $F$9) + CHOOSE(CONTROL!$C$27, 0.0021, 0)</f>
        <v>75.732399999999998</v>
      </c>
      <c r="C833" s="10">
        <f>75.2981 * CHOOSE(CONTROL!$C$9, $D$9, 100%, $F$9) + CHOOSE(CONTROL!$C$27, 0.0021, 0)</f>
        <v>75.300200000000004</v>
      </c>
      <c r="D833" s="10">
        <f>75.2981 * CHOOSE(CONTROL!$C$9, $D$9, 100%, $F$9) + CHOOSE(CONTROL!$C$27, 0.0021, 0)</f>
        <v>75.300200000000004</v>
      </c>
      <c r="E833" s="10">
        <f>75.1614 * CHOOSE(CONTROL!$C$9, $D$9, 100%, $F$9) + CHOOSE(CONTROL!$C$27, 0.0021, 0)</f>
        <v>75.163499999999999</v>
      </c>
      <c r="F833" s="10">
        <f>75.1614 * CHOOSE(CONTROL!$C$9, $D$9, 100%, $F$9) + CHOOSE(CONTROL!$C$27, 0.0021, 0)</f>
        <v>75.163499999999999</v>
      </c>
      <c r="G833" s="10">
        <f>75.4328 * CHOOSE(CONTROL!$C$9, $D$9, 100%, $F$9) + CHOOSE(CONTROL!$C$27, 0.0021, 0)</f>
        <v>75.434899999999999</v>
      </c>
      <c r="H833" s="10">
        <f>75.2981 * CHOOSE(CONTROL!$C$9, $D$9, 100%, $F$9) + CHOOSE(CONTROL!$C$27, 0.0021, 0)</f>
        <v>75.300200000000004</v>
      </c>
      <c r="I833" s="10">
        <f>75.2981 * CHOOSE(CONTROL!$C$9, $D$9, 100%, $F$9) + CHOOSE(CONTROL!$C$27, 0.0021, 0)</f>
        <v>75.300200000000004</v>
      </c>
      <c r="J833" s="10">
        <f>75.2981 * CHOOSE(CONTROL!$C$9, $D$9, 100%, $F$9) + CHOOSE(CONTROL!$C$27, 0.0021, 0)</f>
        <v>75.300200000000004</v>
      </c>
      <c r="K833" s="10">
        <f>75.2981 * CHOOSE(CONTROL!$C$9, $D$9, 100%, $F$9) + CHOOSE(CONTROL!$C$27, 0.0021, 0)</f>
        <v>75.300200000000004</v>
      </c>
      <c r="L833" s="10"/>
    </row>
    <row r="834" spans="1:12" ht="15.75" x14ac:dyDescent="0.25">
      <c r="A834" s="13">
        <v>66688</v>
      </c>
      <c r="B834" s="10">
        <f>77.2046 * CHOOSE(CONTROL!$C$9, $D$9, 100%, $F$9) + CHOOSE(CONTROL!$C$27, 0.0021, 0)</f>
        <v>77.206699999999998</v>
      </c>
      <c r="C834" s="10">
        <f>76.7724 * CHOOSE(CONTROL!$C$9, $D$9, 100%, $F$9) + CHOOSE(CONTROL!$C$27, 0.0021, 0)</f>
        <v>76.774500000000003</v>
      </c>
      <c r="D834" s="10">
        <f>76.7724 * CHOOSE(CONTROL!$C$9, $D$9, 100%, $F$9) + CHOOSE(CONTROL!$C$27, 0.0021, 0)</f>
        <v>76.774500000000003</v>
      </c>
      <c r="E834" s="10">
        <f>76.6357 * CHOOSE(CONTROL!$C$9, $D$9, 100%, $F$9) + CHOOSE(CONTROL!$C$27, 0.0021, 0)</f>
        <v>76.637799999999999</v>
      </c>
      <c r="F834" s="10">
        <f>76.6357 * CHOOSE(CONTROL!$C$9, $D$9, 100%, $F$9) + CHOOSE(CONTROL!$C$27, 0.0021, 0)</f>
        <v>76.637799999999999</v>
      </c>
      <c r="G834" s="10">
        <f>76.9071 * CHOOSE(CONTROL!$C$9, $D$9, 100%, $F$9) + CHOOSE(CONTROL!$C$27, 0.0021, 0)</f>
        <v>76.909199999999998</v>
      </c>
      <c r="H834" s="10">
        <f>76.7724 * CHOOSE(CONTROL!$C$9, $D$9, 100%, $F$9) + CHOOSE(CONTROL!$C$27, 0.0021, 0)</f>
        <v>76.774500000000003</v>
      </c>
      <c r="I834" s="10">
        <f>76.7724 * CHOOSE(CONTROL!$C$9, $D$9, 100%, $F$9) + CHOOSE(CONTROL!$C$27, 0.0021, 0)</f>
        <v>76.774500000000003</v>
      </c>
      <c r="J834" s="10">
        <f>76.7724 * CHOOSE(CONTROL!$C$9, $D$9, 100%, $F$9) + CHOOSE(CONTROL!$C$27, 0.0021, 0)</f>
        <v>76.774500000000003</v>
      </c>
      <c r="K834" s="10">
        <f>76.7724 * CHOOSE(CONTROL!$C$9, $D$9, 100%, $F$9) + CHOOSE(CONTROL!$C$27, 0.0021, 0)</f>
        <v>76.774500000000003</v>
      </c>
      <c r="L834" s="10"/>
    </row>
    <row r="835" spans="1:12" ht="15.75" x14ac:dyDescent="0.25">
      <c r="A835" s="13">
        <v>66719</v>
      </c>
      <c r="B835" s="10">
        <f>77.6547 * CHOOSE(CONTROL!$C$9, $D$9, 100%, $F$9) + CHOOSE(CONTROL!$C$27, 0.0021, 0)</f>
        <v>77.656800000000004</v>
      </c>
      <c r="C835" s="10">
        <f>77.2224 * CHOOSE(CONTROL!$C$9, $D$9, 100%, $F$9) + CHOOSE(CONTROL!$C$27, 0.0021, 0)</f>
        <v>77.224499999999992</v>
      </c>
      <c r="D835" s="10">
        <f>77.2224 * CHOOSE(CONTROL!$C$9, $D$9, 100%, $F$9) + CHOOSE(CONTROL!$C$27, 0.0021, 0)</f>
        <v>77.224499999999992</v>
      </c>
      <c r="E835" s="10">
        <f>77.0857 * CHOOSE(CONTROL!$C$9, $D$9, 100%, $F$9) + CHOOSE(CONTROL!$C$27, 0.0021, 0)</f>
        <v>77.087800000000001</v>
      </c>
      <c r="F835" s="10">
        <f>77.0857 * CHOOSE(CONTROL!$C$9, $D$9, 100%, $F$9) + CHOOSE(CONTROL!$C$27, 0.0021, 0)</f>
        <v>77.087800000000001</v>
      </c>
      <c r="G835" s="10">
        <f>77.3571 * CHOOSE(CONTROL!$C$9, $D$9, 100%, $F$9) + CHOOSE(CONTROL!$C$27, 0.0021, 0)</f>
        <v>77.359200000000001</v>
      </c>
      <c r="H835" s="10">
        <f>77.2224 * CHOOSE(CONTROL!$C$9, $D$9, 100%, $F$9) + CHOOSE(CONTROL!$C$27, 0.0021, 0)</f>
        <v>77.224499999999992</v>
      </c>
      <c r="I835" s="10">
        <f>77.2224 * CHOOSE(CONTROL!$C$9, $D$9, 100%, $F$9) + CHOOSE(CONTROL!$C$27, 0.0021, 0)</f>
        <v>77.224499999999992</v>
      </c>
      <c r="J835" s="10">
        <f>77.2224 * CHOOSE(CONTROL!$C$9, $D$9, 100%, $F$9) + CHOOSE(CONTROL!$C$27, 0.0021, 0)</f>
        <v>77.224499999999992</v>
      </c>
      <c r="K835" s="10">
        <f>77.2224 * CHOOSE(CONTROL!$C$9, $D$9, 100%, $F$9) + CHOOSE(CONTROL!$C$27, 0.0021, 0)</f>
        <v>77.224499999999992</v>
      </c>
      <c r="L835" s="10"/>
    </row>
    <row r="836" spans="1:12" ht="15.75" x14ac:dyDescent="0.25">
      <c r="A836" s="13">
        <v>66749</v>
      </c>
      <c r="B836" s="10">
        <f>79.1871 * CHOOSE(CONTROL!$C$9, $D$9, 100%, $F$9) + CHOOSE(CONTROL!$C$27, 0.0021, 0)</f>
        <v>79.1892</v>
      </c>
      <c r="C836" s="10">
        <f>78.7549 * CHOOSE(CONTROL!$C$9, $D$9, 100%, $F$9) + CHOOSE(CONTROL!$C$27, 0.0021, 0)</f>
        <v>78.757000000000005</v>
      </c>
      <c r="D836" s="10">
        <f>78.7549 * CHOOSE(CONTROL!$C$9, $D$9, 100%, $F$9) + CHOOSE(CONTROL!$C$27, 0.0021, 0)</f>
        <v>78.757000000000005</v>
      </c>
      <c r="E836" s="10">
        <f>78.6182 * CHOOSE(CONTROL!$C$9, $D$9, 100%, $F$9) + CHOOSE(CONTROL!$C$27, 0.0021, 0)</f>
        <v>78.6203</v>
      </c>
      <c r="F836" s="10">
        <f>78.6182 * CHOOSE(CONTROL!$C$9, $D$9, 100%, $F$9) + CHOOSE(CONTROL!$C$27, 0.0021, 0)</f>
        <v>78.6203</v>
      </c>
      <c r="G836" s="10">
        <f>78.8896 * CHOOSE(CONTROL!$C$9, $D$9, 100%, $F$9) + CHOOSE(CONTROL!$C$27, 0.0021, 0)</f>
        <v>78.8917</v>
      </c>
      <c r="H836" s="10">
        <f>78.7549 * CHOOSE(CONTROL!$C$9, $D$9, 100%, $F$9) + CHOOSE(CONTROL!$C$27, 0.0021, 0)</f>
        <v>78.757000000000005</v>
      </c>
      <c r="I836" s="10">
        <f>78.7549 * CHOOSE(CONTROL!$C$9, $D$9, 100%, $F$9) + CHOOSE(CONTROL!$C$27, 0.0021, 0)</f>
        <v>78.757000000000005</v>
      </c>
      <c r="J836" s="10">
        <f>78.7549 * CHOOSE(CONTROL!$C$9, $D$9, 100%, $F$9) + CHOOSE(CONTROL!$C$27, 0.0021, 0)</f>
        <v>78.757000000000005</v>
      </c>
      <c r="K836" s="10">
        <f>78.7549 * CHOOSE(CONTROL!$C$9, $D$9, 100%, $F$9) + CHOOSE(CONTROL!$C$27, 0.0021, 0)</f>
        <v>78.757000000000005</v>
      </c>
      <c r="L836" s="10"/>
    </row>
    <row r="837" spans="1:12" ht="15.75" x14ac:dyDescent="0.25">
      <c r="A837" s="13">
        <v>66780</v>
      </c>
      <c r="B837" s="10">
        <f>81.127 * CHOOSE(CONTROL!$C$9, $D$9, 100%, $F$9) + CHOOSE(CONTROL!$C$27, 0.0021, 0)</f>
        <v>81.129099999999994</v>
      </c>
      <c r="C837" s="10">
        <f>80.6948 * CHOOSE(CONTROL!$C$9, $D$9, 100%, $F$9) + CHOOSE(CONTROL!$C$27, 0.0021, 0)</f>
        <v>80.696899999999999</v>
      </c>
      <c r="D837" s="10">
        <f>80.6948 * CHOOSE(CONTROL!$C$9, $D$9, 100%, $F$9) + CHOOSE(CONTROL!$C$27, 0.0021, 0)</f>
        <v>80.696899999999999</v>
      </c>
      <c r="E837" s="10">
        <f>80.5581 * CHOOSE(CONTROL!$C$9, $D$9, 100%, $F$9) + CHOOSE(CONTROL!$C$27, 0.0021, 0)</f>
        <v>80.560199999999995</v>
      </c>
      <c r="F837" s="10">
        <f>80.5581 * CHOOSE(CONTROL!$C$9, $D$9, 100%, $F$9) + CHOOSE(CONTROL!$C$27, 0.0021, 0)</f>
        <v>80.560199999999995</v>
      </c>
      <c r="G837" s="10">
        <f>80.8295 * CHOOSE(CONTROL!$C$9, $D$9, 100%, $F$9) + CHOOSE(CONTROL!$C$27, 0.0021, 0)</f>
        <v>80.831599999999995</v>
      </c>
      <c r="H837" s="10">
        <f>80.6948 * CHOOSE(CONTROL!$C$9, $D$9, 100%, $F$9) + CHOOSE(CONTROL!$C$27, 0.0021, 0)</f>
        <v>80.696899999999999</v>
      </c>
      <c r="I837" s="10">
        <f>80.6948 * CHOOSE(CONTROL!$C$9, $D$9, 100%, $F$9) + CHOOSE(CONTROL!$C$27, 0.0021, 0)</f>
        <v>80.696899999999999</v>
      </c>
      <c r="J837" s="10">
        <f>80.6948 * CHOOSE(CONTROL!$C$9, $D$9, 100%, $F$9) + CHOOSE(CONTROL!$C$27, 0.0021, 0)</f>
        <v>80.696899999999999</v>
      </c>
      <c r="K837" s="10">
        <f>80.6948 * CHOOSE(CONTROL!$C$9, $D$9, 100%, $F$9) + CHOOSE(CONTROL!$C$27, 0.0021, 0)</f>
        <v>80.696899999999999</v>
      </c>
      <c r="L837" s="10"/>
    </row>
    <row r="838" spans="1:12" ht="15.75" x14ac:dyDescent="0.25">
      <c r="A838" s="13">
        <v>66810</v>
      </c>
      <c r="B838" s="10">
        <f>81.3091 * CHOOSE(CONTROL!$C$9, $D$9, 100%, $F$9) + CHOOSE(CONTROL!$C$27, 0.0021, 0)</f>
        <v>81.311199999999999</v>
      </c>
      <c r="C838" s="10">
        <f>80.8769 * CHOOSE(CONTROL!$C$9, $D$9, 100%, $F$9) + CHOOSE(CONTROL!$C$27, 0.0021, 0)</f>
        <v>80.879000000000005</v>
      </c>
      <c r="D838" s="10">
        <f>80.8769 * CHOOSE(CONTROL!$C$9, $D$9, 100%, $F$9) + CHOOSE(CONTROL!$C$27, 0.0021, 0)</f>
        <v>80.879000000000005</v>
      </c>
      <c r="E838" s="10">
        <f>80.7402 * CHOOSE(CONTROL!$C$9, $D$9, 100%, $F$9) + CHOOSE(CONTROL!$C$27, 0.0021, 0)</f>
        <v>80.7423</v>
      </c>
      <c r="F838" s="10">
        <f>80.7402 * CHOOSE(CONTROL!$C$9, $D$9, 100%, $F$9) + CHOOSE(CONTROL!$C$27, 0.0021, 0)</f>
        <v>80.7423</v>
      </c>
      <c r="G838" s="10">
        <f>81.0116 * CHOOSE(CONTROL!$C$9, $D$9, 100%, $F$9) + CHOOSE(CONTROL!$C$27, 0.0021, 0)</f>
        <v>81.0137</v>
      </c>
      <c r="H838" s="10">
        <f>80.8769 * CHOOSE(CONTROL!$C$9, $D$9, 100%, $F$9) + CHOOSE(CONTROL!$C$27, 0.0021, 0)</f>
        <v>80.879000000000005</v>
      </c>
      <c r="I838" s="10">
        <f>80.8769 * CHOOSE(CONTROL!$C$9, $D$9, 100%, $F$9) + CHOOSE(CONTROL!$C$27, 0.0021, 0)</f>
        <v>80.879000000000005</v>
      </c>
      <c r="J838" s="10">
        <f>80.8769 * CHOOSE(CONTROL!$C$9, $D$9, 100%, $F$9) + CHOOSE(CONTROL!$C$27, 0.0021, 0)</f>
        <v>80.879000000000005</v>
      </c>
      <c r="K838" s="10">
        <f>80.8769 * CHOOSE(CONTROL!$C$9, $D$9, 100%, $F$9) + CHOOSE(CONTROL!$C$27, 0.0021, 0)</f>
        <v>80.879000000000005</v>
      </c>
      <c r="L838" s="10"/>
    </row>
    <row r="839" spans="1:12" ht="15.75" x14ac:dyDescent="0.25">
      <c r="A839" s="13">
        <v>66841</v>
      </c>
      <c r="B839" s="10">
        <f>79.7598 * CHOOSE(CONTROL!$C$9, $D$9, 100%, $F$9) + CHOOSE(CONTROL!$C$27, 0.0021, 0)</f>
        <v>79.761899999999997</v>
      </c>
      <c r="C839" s="10">
        <f>79.3275 * CHOOSE(CONTROL!$C$9, $D$9, 100%, $F$9) + CHOOSE(CONTROL!$C$27, 0.0021, 0)</f>
        <v>79.329599999999999</v>
      </c>
      <c r="D839" s="10">
        <f>79.3275 * CHOOSE(CONTROL!$C$9, $D$9, 100%, $F$9) + CHOOSE(CONTROL!$C$27, 0.0021, 0)</f>
        <v>79.329599999999999</v>
      </c>
      <c r="E839" s="10">
        <f>79.1909 * CHOOSE(CONTROL!$C$9, $D$9, 100%, $F$9) + CHOOSE(CONTROL!$C$27, 0.0021, 0)</f>
        <v>79.192999999999998</v>
      </c>
      <c r="F839" s="10">
        <f>79.1909 * CHOOSE(CONTROL!$C$9, $D$9, 100%, $F$9) + CHOOSE(CONTROL!$C$27, 0.0021, 0)</f>
        <v>79.192999999999998</v>
      </c>
      <c r="G839" s="10">
        <f>79.4623 * CHOOSE(CONTROL!$C$9, $D$9, 100%, $F$9) + CHOOSE(CONTROL!$C$27, 0.0021, 0)</f>
        <v>79.464399999999998</v>
      </c>
      <c r="H839" s="10">
        <f>79.3275 * CHOOSE(CONTROL!$C$9, $D$9, 100%, $F$9) + CHOOSE(CONTROL!$C$27, 0.0021, 0)</f>
        <v>79.329599999999999</v>
      </c>
      <c r="I839" s="10">
        <f>79.3275 * CHOOSE(CONTROL!$C$9, $D$9, 100%, $F$9) + CHOOSE(CONTROL!$C$27, 0.0021, 0)</f>
        <v>79.329599999999999</v>
      </c>
      <c r="J839" s="10">
        <f>79.3275 * CHOOSE(CONTROL!$C$9, $D$9, 100%, $F$9) + CHOOSE(CONTROL!$C$27, 0.0021, 0)</f>
        <v>79.329599999999999</v>
      </c>
      <c r="K839" s="10">
        <f>79.3275 * CHOOSE(CONTROL!$C$9, $D$9, 100%, $F$9) + CHOOSE(CONTROL!$C$27, 0.0021, 0)</f>
        <v>79.329599999999999</v>
      </c>
      <c r="L839" s="10"/>
    </row>
    <row r="840" spans="1:12" ht="15.75" x14ac:dyDescent="0.25">
      <c r="A840" s="13">
        <v>66872</v>
      </c>
      <c r="B840" s="10">
        <f>78.5736 * CHOOSE(CONTROL!$C$9, $D$9, 100%, $F$9) + CHOOSE(CONTROL!$C$27, 0.0021, 0)</f>
        <v>78.575699999999998</v>
      </c>
      <c r="C840" s="10">
        <f>78.1413 * CHOOSE(CONTROL!$C$9, $D$9, 100%, $F$9) + CHOOSE(CONTROL!$C$27, 0.0021, 0)</f>
        <v>78.1434</v>
      </c>
      <c r="D840" s="10">
        <f>78.1413 * CHOOSE(CONTROL!$C$9, $D$9, 100%, $F$9) + CHOOSE(CONTROL!$C$27, 0.0021, 0)</f>
        <v>78.1434</v>
      </c>
      <c r="E840" s="10">
        <f>78.0047 * CHOOSE(CONTROL!$C$9, $D$9, 100%, $F$9) + CHOOSE(CONTROL!$C$27, 0.0021, 0)</f>
        <v>78.006799999999998</v>
      </c>
      <c r="F840" s="10">
        <f>78.0047 * CHOOSE(CONTROL!$C$9, $D$9, 100%, $F$9) + CHOOSE(CONTROL!$C$27, 0.0021, 0)</f>
        <v>78.006799999999998</v>
      </c>
      <c r="G840" s="10">
        <f>78.276 * CHOOSE(CONTROL!$C$9, $D$9, 100%, $F$9) + CHOOSE(CONTROL!$C$27, 0.0021, 0)</f>
        <v>78.278099999999995</v>
      </c>
      <c r="H840" s="10">
        <f>78.1413 * CHOOSE(CONTROL!$C$9, $D$9, 100%, $F$9) + CHOOSE(CONTROL!$C$27, 0.0021, 0)</f>
        <v>78.1434</v>
      </c>
      <c r="I840" s="10">
        <f>78.1413 * CHOOSE(CONTROL!$C$9, $D$9, 100%, $F$9) + CHOOSE(CONTROL!$C$27, 0.0021, 0)</f>
        <v>78.1434</v>
      </c>
      <c r="J840" s="10">
        <f>78.1413 * CHOOSE(CONTROL!$C$9, $D$9, 100%, $F$9) + CHOOSE(CONTROL!$C$27, 0.0021, 0)</f>
        <v>78.1434</v>
      </c>
      <c r="K840" s="10">
        <f>78.1413 * CHOOSE(CONTROL!$C$9, $D$9, 100%, $F$9) + CHOOSE(CONTROL!$C$27, 0.0021, 0)</f>
        <v>78.1434</v>
      </c>
      <c r="L840" s="10"/>
    </row>
    <row r="841" spans="1:12" ht="15.75" x14ac:dyDescent="0.25">
      <c r="A841" s="13">
        <v>66900</v>
      </c>
      <c r="B841" s="10">
        <f>76.4159 * CHOOSE(CONTROL!$C$9, $D$9, 100%, $F$9) + CHOOSE(CONTROL!$C$27, 0.0021, 0)</f>
        <v>76.417999999999992</v>
      </c>
      <c r="C841" s="10">
        <f>75.9837 * CHOOSE(CONTROL!$C$9, $D$9, 100%, $F$9) + CHOOSE(CONTROL!$C$27, 0.0021, 0)</f>
        <v>75.985799999999998</v>
      </c>
      <c r="D841" s="10">
        <f>75.9837 * CHOOSE(CONTROL!$C$9, $D$9, 100%, $F$9) + CHOOSE(CONTROL!$C$27, 0.0021, 0)</f>
        <v>75.985799999999998</v>
      </c>
      <c r="E841" s="10">
        <f>75.847 * CHOOSE(CONTROL!$C$9, $D$9, 100%, $F$9) + CHOOSE(CONTROL!$C$27, 0.0021, 0)</f>
        <v>75.849099999999993</v>
      </c>
      <c r="F841" s="10">
        <f>75.847 * CHOOSE(CONTROL!$C$9, $D$9, 100%, $F$9) + CHOOSE(CONTROL!$C$27, 0.0021, 0)</f>
        <v>75.849099999999993</v>
      </c>
      <c r="G841" s="10">
        <f>76.1184 * CHOOSE(CONTROL!$C$9, $D$9, 100%, $F$9) + CHOOSE(CONTROL!$C$27, 0.0021, 0)</f>
        <v>76.120499999999993</v>
      </c>
      <c r="H841" s="10">
        <f>75.9837 * CHOOSE(CONTROL!$C$9, $D$9, 100%, $F$9) + CHOOSE(CONTROL!$C$27, 0.0021, 0)</f>
        <v>75.985799999999998</v>
      </c>
      <c r="I841" s="10">
        <f>75.9837 * CHOOSE(CONTROL!$C$9, $D$9, 100%, $F$9) + CHOOSE(CONTROL!$C$27, 0.0021, 0)</f>
        <v>75.985799999999998</v>
      </c>
      <c r="J841" s="10">
        <f>75.9837 * CHOOSE(CONTROL!$C$9, $D$9, 100%, $F$9) + CHOOSE(CONTROL!$C$27, 0.0021, 0)</f>
        <v>75.985799999999998</v>
      </c>
      <c r="K841" s="10">
        <f>75.9837 * CHOOSE(CONTROL!$C$9, $D$9, 100%, $F$9) + CHOOSE(CONTROL!$C$27, 0.0021, 0)</f>
        <v>75.985799999999998</v>
      </c>
      <c r="L841" s="10"/>
    </row>
    <row r="842" spans="1:12" ht="15.75" x14ac:dyDescent="0.25">
      <c r="A842" s="13">
        <v>66931</v>
      </c>
      <c r="B842" s="10">
        <f>75.5253 * CHOOSE(CONTROL!$C$9, $D$9, 100%, $F$9) + CHOOSE(CONTROL!$C$27, 0.0021, 0)</f>
        <v>75.5274</v>
      </c>
      <c r="C842" s="10">
        <f>75.093 * CHOOSE(CONTROL!$C$9, $D$9, 100%, $F$9) + CHOOSE(CONTROL!$C$27, 0.0021, 0)</f>
        <v>75.095100000000002</v>
      </c>
      <c r="D842" s="10">
        <f>75.093 * CHOOSE(CONTROL!$C$9, $D$9, 100%, $F$9) + CHOOSE(CONTROL!$C$27, 0.0021, 0)</f>
        <v>75.095100000000002</v>
      </c>
      <c r="E842" s="10">
        <f>74.9563 * CHOOSE(CONTROL!$C$9, $D$9, 100%, $F$9) + CHOOSE(CONTROL!$C$27, 0.0021, 0)</f>
        <v>74.958399999999997</v>
      </c>
      <c r="F842" s="10">
        <f>74.9563 * CHOOSE(CONTROL!$C$9, $D$9, 100%, $F$9) + CHOOSE(CONTROL!$C$27, 0.0021, 0)</f>
        <v>74.958399999999997</v>
      </c>
      <c r="G842" s="10">
        <f>75.2277 * CHOOSE(CONTROL!$C$9, $D$9, 100%, $F$9) + CHOOSE(CONTROL!$C$27, 0.0021, 0)</f>
        <v>75.229799999999997</v>
      </c>
      <c r="H842" s="10">
        <f>75.093 * CHOOSE(CONTROL!$C$9, $D$9, 100%, $F$9) + CHOOSE(CONTROL!$C$27, 0.0021, 0)</f>
        <v>75.095100000000002</v>
      </c>
      <c r="I842" s="10">
        <f>75.093 * CHOOSE(CONTROL!$C$9, $D$9, 100%, $F$9) + CHOOSE(CONTROL!$C$27, 0.0021, 0)</f>
        <v>75.095100000000002</v>
      </c>
      <c r="J842" s="10">
        <f>75.093 * CHOOSE(CONTROL!$C$9, $D$9, 100%, $F$9) + CHOOSE(CONTROL!$C$27, 0.0021, 0)</f>
        <v>75.095100000000002</v>
      </c>
      <c r="K842" s="10">
        <f>75.093 * CHOOSE(CONTROL!$C$9, $D$9, 100%, $F$9) + CHOOSE(CONTROL!$C$27, 0.0021, 0)</f>
        <v>75.095100000000002</v>
      </c>
      <c r="L842" s="10"/>
    </row>
    <row r="843" spans="1:12" ht="15.75" x14ac:dyDescent="0.25">
      <c r="A843" s="13">
        <v>66961</v>
      </c>
      <c r="B843" s="10">
        <f>74.4618 * CHOOSE(CONTROL!$C$9, $D$9, 100%, $F$9) + CHOOSE(CONTROL!$C$27, 0.0021, 0)</f>
        <v>74.463899999999995</v>
      </c>
      <c r="C843" s="10">
        <f>74.0295 * CHOOSE(CONTROL!$C$9, $D$9, 100%, $F$9) + CHOOSE(CONTROL!$C$27, 0.0021, 0)</f>
        <v>74.031599999999997</v>
      </c>
      <c r="D843" s="10">
        <f>74.0295 * CHOOSE(CONTROL!$C$9, $D$9, 100%, $F$9) + CHOOSE(CONTROL!$C$27, 0.0021, 0)</f>
        <v>74.031599999999997</v>
      </c>
      <c r="E843" s="10">
        <f>73.8929 * CHOOSE(CONTROL!$C$9, $D$9, 100%, $F$9) + CHOOSE(CONTROL!$C$27, 0.0021, 0)</f>
        <v>73.894999999999996</v>
      </c>
      <c r="F843" s="10">
        <f>73.8929 * CHOOSE(CONTROL!$C$9, $D$9, 100%, $F$9) + CHOOSE(CONTROL!$C$27, 0.0021, 0)</f>
        <v>73.894999999999996</v>
      </c>
      <c r="G843" s="10">
        <f>74.1642 * CHOOSE(CONTROL!$C$9, $D$9, 100%, $F$9) + CHOOSE(CONTROL!$C$27, 0.0021, 0)</f>
        <v>74.166299999999993</v>
      </c>
      <c r="H843" s="10">
        <f>74.0295 * CHOOSE(CONTROL!$C$9, $D$9, 100%, $F$9) + CHOOSE(CONTROL!$C$27, 0.0021, 0)</f>
        <v>74.031599999999997</v>
      </c>
      <c r="I843" s="10">
        <f>74.0295 * CHOOSE(CONTROL!$C$9, $D$9, 100%, $F$9) + CHOOSE(CONTROL!$C$27, 0.0021, 0)</f>
        <v>74.031599999999997</v>
      </c>
      <c r="J843" s="10">
        <f>74.0295 * CHOOSE(CONTROL!$C$9, $D$9, 100%, $F$9) + CHOOSE(CONTROL!$C$27, 0.0021, 0)</f>
        <v>74.031599999999997</v>
      </c>
      <c r="K843" s="10">
        <f>74.0295 * CHOOSE(CONTROL!$C$9, $D$9, 100%, $F$9) + CHOOSE(CONTROL!$C$27, 0.0021, 0)</f>
        <v>74.031599999999997</v>
      </c>
      <c r="L843" s="10"/>
    </row>
    <row r="844" spans="1:12" ht="15.75" x14ac:dyDescent="0.25">
      <c r="A844" s="13">
        <v>66992</v>
      </c>
      <c r="B844" s="10">
        <f>75.9774 * CHOOSE(CONTROL!$C$9, $D$9, 100%, $F$9) + CHOOSE(CONTROL!$C$27, 0.0021, 0)</f>
        <v>75.979500000000002</v>
      </c>
      <c r="C844" s="10">
        <f>75.5451 * CHOOSE(CONTROL!$C$9, $D$9, 100%, $F$9) + CHOOSE(CONTROL!$C$27, 0.0021, 0)</f>
        <v>75.547200000000004</v>
      </c>
      <c r="D844" s="10">
        <f>75.5451 * CHOOSE(CONTROL!$C$9, $D$9, 100%, $F$9) + CHOOSE(CONTROL!$C$27, 0.0021, 0)</f>
        <v>75.547200000000004</v>
      </c>
      <c r="E844" s="10">
        <f>75.4085 * CHOOSE(CONTROL!$C$9, $D$9, 100%, $F$9) + CHOOSE(CONTROL!$C$27, 0.0021, 0)</f>
        <v>75.410600000000002</v>
      </c>
      <c r="F844" s="10">
        <f>75.4085 * CHOOSE(CONTROL!$C$9, $D$9, 100%, $F$9) + CHOOSE(CONTROL!$C$27, 0.0021, 0)</f>
        <v>75.410600000000002</v>
      </c>
      <c r="G844" s="10">
        <f>75.6798 * CHOOSE(CONTROL!$C$9, $D$9, 100%, $F$9) + CHOOSE(CONTROL!$C$27, 0.0021, 0)</f>
        <v>75.681899999999999</v>
      </c>
      <c r="H844" s="10">
        <f>75.5451 * CHOOSE(CONTROL!$C$9, $D$9, 100%, $F$9) + CHOOSE(CONTROL!$C$27, 0.0021, 0)</f>
        <v>75.547200000000004</v>
      </c>
      <c r="I844" s="10">
        <f>75.5451 * CHOOSE(CONTROL!$C$9, $D$9, 100%, $F$9) + CHOOSE(CONTROL!$C$27, 0.0021, 0)</f>
        <v>75.547200000000004</v>
      </c>
      <c r="J844" s="10">
        <f>75.5451 * CHOOSE(CONTROL!$C$9, $D$9, 100%, $F$9) + CHOOSE(CONTROL!$C$27, 0.0021, 0)</f>
        <v>75.547200000000004</v>
      </c>
      <c r="K844" s="10">
        <f>75.5451 * CHOOSE(CONTROL!$C$9, $D$9, 100%, $F$9) + CHOOSE(CONTROL!$C$27, 0.0021, 0)</f>
        <v>75.547200000000004</v>
      </c>
      <c r="L844" s="10"/>
    </row>
    <row r="845" spans="1:12" ht="15.75" x14ac:dyDescent="0.25">
      <c r="A845" s="13">
        <v>67022</v>
      </c>
      <c r="B845" s="10">
        <f>76.8851 * CHOOSE(CONTROL!$C$9, $D$9, 100%, $F$9) + CHOOSE(CONTROL!$C$27, 0.0021, 0)</f>
        <v>76.887199999999993</v>
      </c>
      <c r="C845" s="10">
        <f>76.4529 * CHOOSE(CONTROL!$C$9, $D$9, 100%, $F$9) + CHOOSE(CONTROL!$C$27, 0.0021, 0)</f>
        <v>76.454999999999998</v>
      </c>
      <c r="D845" s="10">
        <f>76.4529 * CHOOSE(CONTROL!$C$9, $D$9, 100%, $F$9) + CHOOSE(CONTROL!$C$27, 0.0021, 0)</f>
        <v>76.454999999999998</v>
      </c>
      <c r="E845" s="10">
        <f>76.3162 * CHOOSE(CONTROL!$C$9, $D$9, 100%, $F$9) + CHOOSE(CONTROL!$C$27, 0.0021, 0)</f>
        <v>76.318299999999994</v>
      </c>
      <c r="F845" s="10">
        <f>76.3162 * CHOOSE(CONTROL!$C$9, $D$9, 100%, $F$9) + CHOOSE(CONTROL!$C$27, 0.0021, 0)</f>
        <v>76.318299999999994</v>
      </c>
      <c r="G845" s="10">
        <f>76.5876 * CHOOSE(CONTROL!$C$9, $D$9, 100%, $F$9) + CHOOSE(CONTROL!$C$27, 0.0021, 0)</f>
        <v>76.589699999999993</v>
      </c>
      <c r="H845" s="10">
        <f>76.4529 * CHOOSE(CONTROL!$C$9, $D$9, 100%, $F$9) + CHOOSE(CONTROL!$C$27, 0.0021, 0)</f>
        <v>76.454999999999998</v>
      </c>
      <c r="I845" s="10">
        <f>76.4529 * CHOOSE(CONTROL!$C$9, $D$9, 100%, $F$9) + CHOOSE(CONTROL!$C$27, 0.0021, 0)</f>
        <v>76.454999999999998</v>
      </c>
      <c r="J845" s="10">
        <f>76.4529 * CHOOSE(CONTROL!$C$9, $D$9, 100%, $F$9) + CHOOSE(CONTROL!$C$27, 0.0021, 0)</f>
        <v>76.454999999999998</v>
      </c>
      <c r="K845" s="10">
        <f>76.4529 * CHOOSE(CONTROL!$C$9, $D$9, 100%, $F$9) + CHOOSE(CONTROL!$C$27, 0.0021, 0)</f>
        <v>76.454999999999998</v>
      </c>
      <c r="L845" s="10"/>
    </row>
    <row r="846" spans="1:12" ht="15.75" x14ac:dyDescent="0.25">
      <c r="A846" s="13">
        <v>67053</v>
      </c>
      <c r="B846" s="10">
        <f>78.3826 * CHOOSE(CONTROL!$C$9, $D$9, 100%, $F$9) + CHOOSE(CONTROL!$C$27, 0.0021, 0)</f>
        <v>78.384699999999995</v>
      </c>
      <c r="C846" s="10">
        <f>77.9504 * CHOOSE(CONTROL!$C$9, $D$9, 100%, $F$9) + CHOOSE(CONTROL!$C$27, 0.0021, 0)</f>
        <v>77.952500000000001</v>
      </c>
      <c r="D846" s="10">
        <f>77.9504 * CHOOSE(CONTROL!$C$9, $D$9, 100%, $F$9) + CHOOSE(CONTROL!$C$27, 0.0021, 0)</f>
        <v>77.952500000000001</v>
      </c>
      <c r="E846" s="10">
        <f>77.8137 * CHOOSE(CONTROL!$C$9, $D$9, 100%, $F$9) + CHOOSE(CONTROL!$C$27, 0.0021, 0)</f>
        <v>77.815799999999996</v>
      </c>
      <c r="F846" s="10">
        <f>77.8137 * CHOOSE(CONTROL!$C$9, $D$9, 100%, $F$9) + CHOOSE(CONTROL!$C$27, 0.0021, 0)</f>
        <v>77.815799999999996</v>
      </c>
      <c r="G846" s="10">
        <f>78.0851 * CHOOSE(CONTROL!$C$9, $D$9, 100%, $F$9) + CHOOSE(CONTROL!$C$27, 0.0021, 0)</f>
        <v>78.087199999999996</v>
      </c>
      <c r="H846" s="10">
        <f>77.9504 * CHOOSE(CONTROL!$C$9, $D$9, 100%, $F$9) + CHOOSE(CONTROL!$C$27, 0.0021, 0)</f>
        <v>77.952500000000001</v>
      </c>
      <c r="I846" s="10">
        <f>77.9504 * CHOOSE(CONTROL!$C$9, $D$9, 100%, $F$9) + CHOOSE(CONTROL!$C$27, 0.0021, 0)</f>
        <v>77.952500000000001</v>
      </c>
      <c r="J846" s="10">
        <f>77.9504 * CHOOSE(CONTROL!$C$9, $D$9, 100%, $F$9) + CHOOSE(CONTROL!$C$27, 0.0021, 0)</f>
        <v>77.952500000000001</v>
      </c>
      <c r="K846" s="10">
        <f>77.9504 * CHOOSE(CONTROL!$C$9, $D$9, 100%, $F$9) + CHOOSE(CONTROL!$C$27, 0.0021, 0)</f>
        <v>77.952500000000001</v>
      </c>
      <c r="L846" s="10"/>
    </row>
    <row r="847" spans="1:12" ht="15.75" x14ac:dyDescent="0.25">
      <c r="A847" s="13">
        <v>67084</v>
      </c>
      <c r="B847" s="10">
        <f>78.8397 * CHOOSE(CONTROL!$C$9, $D$9, 100%, $F$9) + CHOOSE(CONTROL!$C$27, 0.0021, 0)</f>
        <v>78.841799999999992</v>
      </c>
      <c r="C847" s="10">
        <f>78.4075 * CHOOSE(CONTROL!$C$9, $D$9, 100%, $F$9) + CHOOSE(CONTROL!$C$27, 0.0021, 0)</f>
        <v>78.409599999999998</v>
      </c>
      <c r="D847" s="10">
        <f>78.4075 * CHOOSE(CONTROL!$C$9, $D$9, 100%, $F$9) + CHOOSE(CONTROL!$C$27, 0.0021, 0)</f>
        <v>78.409599999999998</v>
      </c>
      <c r="E847" s="10">
        <f>78.2708 * CHOOSE(CONTROL!$C$9, $D$9, 100%, $F$9) + CHOOSE(CONTROL!$C$27, 0.0021, 0)</f>
        <v>78.272899999999993</v>
      </c>
      <c r="F847" s="10">
        <f>78.2708 * CHOOSE(CONTROL!$C$9, $D$9, 100%, $F$9) + CHOOSE(CONTROL!$C$27, 0.0021, 0)</f>
        <v>78.272899999999993</v>
      </c>
      <c r="G847" s="10">
        <f>78.5422 * CHOOSE(CONTROL!$C$9, $D$9, 100%, $F$9) + CHOOSE(CONTROL!$C$27, 0.0021, 0)</f>
        <v>78.544299999999993</v>
      </c>
      <c r="H847" s="10">
        <f>78.4075 * CHOOSE(CONTROL!$C$9, $D$9, 100%, $F$9) + CHOOSE(CONTROL!$C$27, 0.0021, 0)</f>
        <v>78.409599999999998</v>
      </c>
      <c r="I847" s="10">
        <f>78.4075 * CHOOSE(CONTROL!$C$9, $D$9, 100%, $F$9) + CHOOSE(CONTROL!$C$27, 0.0021, 0)</f>
        <v>78.409599999999998</v>
      </c>
      <c r="J847" s="10">
        <f>78.4075 * CHOOSE(CONTROL!$C$9, $D$9, 100%, $F$9) + CHOOSE(CONTROL!$C$27, 0.0021, 0)</f>
        <v>78.409599999999998</v>
      </c>
      <c r="K847" s="10">
        <f>78.4075 * CHOOSE(CONTROL!$C$9, $D$9, 100%, $F$9) + CHOOSE(CONTROL!$C$27, 0.0021, 0)</f>
        <v>78.409599999999998</v>
      </c>
      <c r="L847" s="10"/>
    </row>
    <row r="848" spans="1:12" ht="15.75" x14ac:dyDescent="0.25">
      <c r="A848" s="13">
        <v>67114</v>
      </c>
      <c r="B848" s="10">
        <f>80.3963 * CHOOSE(CONTROL!$C$9, $D$9, 100%, $F$9) + CHOOSE(CONTROL!$C$27, 0.0021, 0)</f>
        <v>80.398399999999995</v>
      </c>
      <c r="C848" s="10">
        <f>79.9641 * CHOOSE(CONTROL!$C$9, $D$9, 100%, $F$9) + CHOOSE(CONTROL!$C$27, 0.0021, 0)</f>
        <v>79.966200000000001</v>
      </c>
      <c r="D848" s="10">
        <f>79.9641 * CHOOSE(CONTROL!$C$9, $D$9, 100%, $F$9) + CHOOSE(CONTROL!$C$27, 0.0021, 0)</f>
        <v>79.966200000000001</v>
      </c>
      <c r="E848" s="10">
        <f>79.8274 * CHOOSE(CONTROL!$C$9, $D$9, 100%, $F$9) + CHOOSE(CONTROL!$C$27, 0.0021, 0)</f>
        <v>79.829499999999996</v>
      </c>
      <c r="F848" s="10">
        <f>79.8274 * CHOOSE(CONTROL!$C$9, $D$9, 100%, $F$9) + CHOOSE(CONTROL!$C$27, 0.0021, 0)</f>
        <v>79.829499999999996</v>
      </c>
      <c r="G848" s="10">
        <f>80.0988 * CHOOSE(CONTROL!$C$9, $D$9, 100%, $F$9) + CHOOSE(CONTROL!$C$27, 0.0021, 0)</f>
        <v>80.100899999999996</v>
      </c>
      <c r="H848" s="10">
        <f>79.9641 * CHOOSE(CONTROL!$C$9, $D$9, 100%, $F$9) + CHOOSE(CONTROL!$C$27, 0.0021, 0)</f>
        <v>79.966200000000001</v>
      </c>
      <c r="I848" s="10">
        <f>79.9641 * CHOOSE(CONTROL!$C$9, $D$9, 100%, $F$9) + CHOOSE(CONTROL!$C$27, 0.0021, 0)</f>
        <v>79.966200000000001</v>
      </c>
      <c r="J848" s="10">
        <f>79.9641 * CHOOSE(CONTROL!$C$9, $D$9, 100%, $F$9) + CHOOSE(CONTROL!$C$27, 0.0021, 0)</f>
        <v>79.966200000000001</v>
      </c>
      <c r="K848" s="10">
        <f>79.9641 * CHOOSE(CONTROL!$C$9, $D$9, 100%, $F$9) + CHOOSE(CONTROL!$C$27, 0.0021, 0)</f>
        <v>79.966200000000001</v>
      </c>
      <c r="L848" s="10"/>
    </row>
    <row r="849" spans="1:12" ht="15.75" x14ac:dyDescent="0.25">
      <c r="A849" s="13">
        <v>67145</v>
      </c>
      <c r="B849" s="10">
        <f>82.3667 * CHOOSE(CONTROL!$C$9, $D$9, 100%, $F$9) + CHOOSE(CONTROL!$C$27, 0.0021, 0)</f>
        <v>82.368799999999993</v>
      </c>
      <c r="C849" s="10">
        <f>81.9344 * CHOOSE(CONTROL!$C$9, $D$9, 100%, $F$9) + CHOOSE(CONTROL!$C$27, 0.0021, 0)</f>
        <v>81.936499999999995</v>
      </c>
      <c r="D849" s="10">
        <f>81.9344 * CHOOSE(CONTROL!$C$9, $D$9, 100%, $F$9) + CHOOSE(CONTROL!$C$27, 0.0021, 0)</f>
        <v>81.936499999999995</v>
      </c>
      <c r="E849" s="10">
        <f>81.7978 * CHOOSE(CONTROL!$C$9, $D$9, 100%, $F$9) + CHOOSE(CONTROL!$C$27, 0.0021, 0)</f>
        <v>81.799899999999994</v>
      </c>
      <c r="F849" s="10">
        <f>81.7978 * CHOOSE(CONTROL!$C$9, $D$9, 100%, $F$9) + CHOOSE(CONTROL!$C$27, 0.0021, 0)</f>
        <v>81.799899999999994</v>
      </c>
      <c r="G849" s="10">
        <f>82.0692 * CHOOSE(CONTROL!$C$9, $D$9, 100%, $F$9) + CHOOSE(CONTROL!$C$27, 0.0021, 0)</f>
        <v>82.071299999999994</v>
      </c>
      <c r="H849" s="10">
        <f>81.9344 * CHOOSE(CONTROL!$C$9, $D$9, 100%, $F$9) + CHOOSE(CONTROL!$C$27, 0.0021, 0)</f>
        <v>81.936499999999995</v>
      </c>
      <c r="I849" s="10">
        <f>81.9344 * CHOOSE(CONTROL!$C$9, $D$9, 100%, $F$9) + CHOOSE(CONTROL!$C$27, 0.0021, 0)</f>
        <v>81.936499999999995</v>
      </c>
      <c r="J849" s="10">
        <f>81.9344 * CHOOSE(CONTROL!$C$9, $D$9, 100%, $F$9) + CHOOSE(CONTROL!$C$27, 0.0021, 0)</f>
        <v>81.936499999999995</v>
      </c>
      <c r="K849" s="10">
        <f>81.9344 * CHOOSE(CONTROL!$C$9, $D$9, 100%, $F$9) + CHOOSE(CONTROL!$C$27, 0.0021, 0)</f>
        <v>81.936499999999995</v>
      </c>
      <c r="L849" s="10"/>
    </row>
    <row r="850" spans="1:12" ht="15.75" x14ac:dyDescent="0.25">
      <c r="A850" s="13">
        <v>67175</v>
      </c>
      <c r="B850" s="10">
        <f>82.5517 * CHOOSE(CONTROL!$C$9, $D$9, 100%, $F$9) + CHOOSE(CONTROL!$C$27, 0.0021, 0)</f>
        <v>82.553799999999995</v>
      </c>
      <c r="C850" s="10">
        <f>82.1194 * CHOOSE(CONTROL!$C$9, $D$9, 100%, $F$9) + CHOOSE(CONTROL!$C$27, 0.0021, 0)</f>
        <v>82.121499999999997</v>
      </c>
      <c r="D850" s="10">
        <f>82.1194 * CHOOSE(CONTROL!$C$9, $D$9, 100%, $F$9) + CHOOSE(CONTROL!$C$27, 0.0021, 0)</f>
        <v>82.121499999999997</v>
      </c>
      <c r="E850" s="10">
        <f>81.9828 * CHOOSE(CONTROL!$C$9, $D$9, 100%, $F$9) + CHOOSE(CONTROL!$C$27, 0.0021, 0)</f>
        <v>81.984899999999996</v>
      </c>
      <c r="F850" s="10">
        <f>81.9828 * CHOOSE(CONTROL!$C$9, $D$9, 100%, $F$9) + CHOOSE(CONTROL!$C$27, 0.0021, 0)</f>
        <v>81.984899999999996</v>
      </c>
      <c r="G850" s="10">
        <f>82.2541 * CHOOSE(CONTROL!$C$9, $D$9, 100%, $F$9) + CHOOSE(CONTROL!$C$27, 0.0021, 0)</f>
        <v>82.256199999999993</v>
      </c>
      <c r="H850" s="10">
        <f>82.1194 * CHOOSE(CONTROL!$C$9, $D$9, 100%, $F$9) + CHOOSE(CONTROL!$C$27, 0.0021, 0)</f>
        <v>82.121499999999997</v>
      </c>
      <c r="I850" s="10">
        <f>82.1194 * CHOOSE(CONTROL!$C$9, $D$9, 100%, $F$9) + CHOOSE(CONTROL!$C$27, 0.0021, 0)</f>
        <v>82.121499999999997</v>
      </c>
      <c r="J850" s="10">
        <f>82.1194 * CHOOSE(CONTROL!$C$9, $D$9, 100%, $F$9) + CHOOSE(CONTROL!$C$27, 0.0021, 0)</f>
        <v>82.121499999999997</v>
      </c>
      <c r="K850" s="10">
        <f>82.1194 * CHOOSE(CONTROL!$C$9, $D$9, 100%, $F$9) + CHOOSE(CONTROL!$C$27, 0.0021, 0)</f>
        <v>82.121499999999997</v>
      </c>
      <c r="L850" s="10"/>
    </row>
    <row r="851" spans="1:12" ht="15.75" x14ac:dyDescent="0.25">
      <c r="A851" s="13">
        <v>67206</v>
      </c>
      <c r="B851" s="10">
        <f>80.978 * CHOOSE(CONTROL!$C$9, $D$9, 100%, $F$9) + CHOOSE(CONTROL!$C$27, 0.0021, 0)</f>
        <v>80.980099999999993</v>
      </c>
      <c r="C851" s="10">
        <f>80.5457 * CHOOSE(CONTROL!$C$9, $D$9, 100%, $F$9) + CHOOSE(CONTROL!$C$27, 0.0021, 0)</f>
        <v>80.547799999999995</v>
      </c>
      <c r="D851" s="10">
        <f>80.5457 * CHOOSE(CONTROL!$C$9, $D$9, 100%, $F$9) + CHOOSE(CONTROL!$C$27, 0.0021, 0)</f>
        <v>80.547799999999995</v>
      </c>
      <c r="E851" s="10">
        <f>80.4091 * CHOOSE(CONTROL!$C$9, $D$9, 100%, $F$9) + CHOOSE(CONTROL!$C$27, 0.0021, 0)</f>
        <v>80.411199999999994</v>
      </c>
      <c r="F851" s="10">
        <f>80.4091 * CHOOSE(CONTROL!$C$9, $D$9, 100%, $F$9) + CHOOSE(CONTROL!$C$27, 0.0021, 0)</f>
        <v>80.411199999999994</v>
      </c>
      <c r="G851" s="10">
        <f>80.6804 * CHOOSE(CONTROL!$C$9, $D$9, 100%, $F$9) + CHOOSE(CONTROL!$C$27, 0.0021, 0)</f>
        <v>80.682500000000005</v>
      </c>
      <c r="H851" s="10">
        <f>80.5457 * CHOOSE(CONTROL!$C$9, $D$9, 100%, $F$9) + CHOOSE(CONTROL!$C$27, 0.0021, 0)</f>
        <v>80.547799999999995</v>
      </c>
      <c r="I851" s="10">
        <f>80.5457 * CHOOSE(CONTROL!$C$9, $D$9, 100%, $F$9) + CHOOSE(CONTROL!$C$27, 0.0021, 0)</f>
        <v>80.547799999999995</v>
      </c>
      <c r="J851" s="10">
        <f>80.5457 * CHOOSE(CONTROL!$C$9, $D$9, 100%, $F$9) + CHOOSE(CONTROL!$C$27, 0.0021, 0)</f>
        <v>80.547799999999995</v>
      </c>
      <c r="K851" s="10">
        <f>80.5457 * CHOOSE(CONTROL!$C$9, $D$9, 100%, $F$9) + CHOOSE(CONTROL!$C$27, 0.0021, 0)</f>
        <v>80.547799999999995</v>
      </c>
      <c r="L851" s="10"/>
    </row>
    <row r="852" spans="1:12" ht="15.75" x14ac:dyDescent="0.25">
      <c r="A852" s="13">
        <v>67237</v>
      </c>
      <c r="B852" s="10">
        <f>79.7731 * CHOOSE(CONTROL!$C$9, $D$9, 100%, $F$9) + CHOOSE(CONTROL!$C$27, 0.0021, 0)</f>
        <v>79.775199999999998</v>
      </c>
      <c r="C852" s="10">
        <f>79.3408 * CHOOSE(CONTROL!$C$9, $D$9, 100%, $F$9) + CHOOSE(CONTROL!$C$27, 0.0021, 0)</f>
        <v>79.3429</v>
      </c>
      <c r="D852" s="10">
        <f>79.3408 * CHOOSE(CONTROL!$C$9, $D$9, 100%, $F$9) + CHOOSE(CONTROL!$C$27, 0.0021, 0)</f>
        <v>79.3429</v>
      </c>
      <c r="E852" s="10">
        <f>79.2042 * CHOOSE(CONTROL!$C$9, $D$9, 100%, $F$9) + CHOOSE(CONTROL!$C$27, 0.0021, 0)</f>
        <v>79.206299999999999</v>
      </c>
      <c r="F852" s="10">
        <f>79.2042 * CHOOSE(CONTROL!$C$9, $D$9, 100%, $F$9) + CHOOSE(CONTROL!$C$27, 0.0021, 0)</f>
        <v>79.206299999999999</v>
      </c>
      <c r="G852" s="10">
        <f>79.4756 * CHOOSE(CONTROL!$C$9, $D$9, 100%, $F$9) + CHOOSE(CONTROL!$C$27, 0.0021, 0)</f>
        <v>79.477699999999999</v>
      </c>
      <c r="H852" s="10">
        <f>79.3408 * CHOOSE(CONTROL!$C$9, $D$9, 100%, $F$9) + CHOOSE(CONTROL!$C$27, 0.0021, 0)</f>
        <v>79.3429</v>
      </c>
      <c r="I852" s="10">
        <f>79.3408 * CHOOSE(CONTROL!$C$9, $D$9, 100%, $F$9) + CHOOSE(CONTROL!$C$27, 0.0021, 0)</f>
        <v>79.3429</v>
      </c>
      <c r="J852" s="10">
        <f>79.3408 * CHOOSE(CONTROL!$C$9, $D$9, 100%, $F$9) + CHOOSE(CONTROL!$C$27, 0.0021, 0)</f>
        <v>79.3429</v>
      </c>
      <c r="K852" s="10">
        <f>79.3408 * CHOOSE(CONTROL!$C$9, $D$9, 100%, $F$9) + CHOOSE(CONTROL!$C$27, 0.0021, 0)</f>
        <v>79.3429</v>
      </c>
      <c r="L852" s="10"/>
    </row>
    <row r="853" spans="1:12" ht="15.75" x14ac:dyDescent="0.25">
      <c r="A853" s="13">
        <v>67266</v>
      </c>
      <c r="B853" s="10">
        <f>77.5815 * CHOOSE(CONTROL!$C$9, $D$9, 100%, $F$9) + CHOOSE(CONTROL!$C$27, 0.0021, 0)</f>
        <v>77.583600000000004</v>
      </c>
      <c r="C853" s="10">
        <f>77.1493 * CHOOSE(CONTROL!$C$9, $D$9, 100%, $F$9) + CHOOSE(CONTROL!$C$27, 0.0021, 0)</f>
        <v>77.151399999999995</v>
      </c>
      <c r="D853" s="10">
        <f>77.1493 * CHOOSE(CONTROL!$C$9, $D$9, 100%, $F$9) + CHOOSE(CONTROL!$C$27, 0.0021, 0)</f>
        <v>77.151399999999995</v>
      </c>
      <c r="E853" s="10">
        <f>77.0126 * CHOOSE(CONTROL!$C$9, $D$9, 100%, $F$9) + CHOOSE(CONTROL!$C$27, 0.0021, 0)</f>
        <v>77.014700000000005</v>
      </c>
      <c r="F853" s="10">
        <f>77.0126 * CHOOSE(CONTROL!$C$9, $D$9, 100%, $F$9) + CHOOSE(CONTROL!$C$27, 0.0021, 0)</f>
        <v>77.014700000000005</v>
      </c>
      <c r="G853" s="10">
        <f>77.284 * CHOOSE(CONTROL!$C$9, $D$9, 100%, $F$9) + CHOOSE(CONTROL!$C$27, 0.0021, 0)</f>
        <v>77.286100000000005</v>
      </c>
      <c r="H853" s="10">
        <f>77.1493 * CHOOSE(CONTROL!$C$9, $D$9, 100%, $F$9) + CHOOSE(CONTROL!$C$27, 0.0021, 0)</f>
        <v>77.151399999999995</v>
      </c>
      <c r="I853" s="10">
        <f>77.1493 * CHOOSE(CONTROL!$C$9, $D$9, 100%, $F$9) + CHOOSE(CONTROL!$C$27, 0.0021, 0)</f>
        <v>77.151399999999995</v>
      </c>
      <c r="J853" s="10">
        <f>77.1493 * CHOOSE(CONTROL!$C$9, $D$9, 100%, $F$9) + CHOOSE(CONTROL!$C$27, 0.0021, 0)</f>
        <v>77.151399999999995</v>
      </c>
      <c r="K853" s="10">
        <f>77.1493 * CHOOSE(CONTROL!$C$9, $D$9, 100%, $F$9) + CHOOSE(CONTROL!$C$27, 0.0021, 0)</f>
        <v>77.151399999999995</v>
      </c>
      <c r="L853" s="10"/>
    </row>
    <row r="854" spans="1:12" ht="15.75" x14ac:dyDescent="0.25">
      <c r="A854" s="13">
        <v>67297</v>
      </c>
      <c r="B854" s="10">
        <f>76.6768 * CHOOSE(CONTROL!$C$9, $D$9, 100%, $F$9) + CHOOSE(CONTROL!$C$27, 0.0021, 0)</f>
        <v>76.678899999999999</v>
      </c>
      <c r="C854" s="10">
        <f>76.2446 * CHOOSE(CONTROL!$C$9, $D$9, 100%, $F$9) + CHOOSE(CONTROL!$C$27, 0.0021, 0)</f>
        <v>76.246700000000004</v>
      </c>
      <c r="D854" s="10">
        <f>76.2446 * CHOOSE(CONTROL!$C$9, $D$9, 100%, $F$9) + CHOOSE(CONTROL!$C$27, 0.0021, 0)</f>
        <v>76.246700000000004</v>
      </c>
      <c r="E854" s="10">
        <f>76.1079 * CHOOSE(CONTROL!$C$9, $D$9, 100%, $F$9) + CHOOSE(CONTROL!$C$27, 0.0021, 0)</f>
        <v>76.11</v>
      </c>
      <c r="F854" s="10">
        <f>76.1079 * CHOOSE(CONTROL!$C$9, $D$9, 100%, $F$9) + CHOOSE(CONTROL!$C$27, 0.0021, 0)</f>
        <v>76.11</v>
      </c>
      <c r="G854" s="10">
        <f>76.3793 * CHOOSE(CONTROL!$C$9, $D$9, 100%, $F$9) + CHOOSE(CONTROL!$C$27, 0.0021, 0)</f>
        <v>76.381399999999999</v>
      </c>
      <c r="H854" s="10">
        <f>76.2446 * CHOOSE(CONTROL!$C$9, $D$9, 100%, $F$9) + CHOOSE(CONTROL!$C$27, 0.0021, 0)</f>
        <v>76.246700000000004</v>
      </c>
      <c r="I854" s="10">
        <f>76.2446 * CHOOSE(CONTROL!$C$9, $D$9, 100%, $F$9) + CHOOSE(CONTROL!$C$27, 0.0021, 0)</f>
        <v>76.246700000000004</v>
      </c>
      <c r="J854" s="10">
        <f>76.2446 * CHOOSE(CONTROL!$C$9, $D$9, 100%, $F$9) + CHOOSE(CONTROL!$C$27, 0.0021, 0)</f>
        <v>76.246700000000004</v>
      </c>
      <c r="K854" s="10">
        <f>76.2446 * CHOOSE(CONTROL!$C$9, $D$9, 100%, $F$9) + CHOOSE(CONTROL!$C$27, 0.0021, 0)</f>
        <v>76.246700000000004</v>
      </c>
      <c r="L854" s="10"/>
    </row>
    <row r="855" spans="1:12" ht="15.75" x14ac:dyDescent="0.25">
      <c r="A855" s="13">
        <v>67327</v>
      </c>
      <c r="B855" s="10">
        <f>75.5966 * CHOOSE(CONTROL!$C$9, $D$9, 100%, $F$9) + CHOOSE(CONTROL!$C$27, 0.0021, 0)</f>
        <v>75.598699999999994</v>
      </c>
      <c r="C855" s="10">
        <f>75.1644 * CHOOSE(CONTROL!$C$9, $D$9, 100%, $F$9) + CHOOSE(CONTROL!$C$27, 0.0021, 0)</f>
        <v>75.166499999999999</v>
      </c>
      <c r="D855" s="10">
        <f>75.1644 * CHOOSE(CONTROL!$C$9, $D$9, 100%, $F$9) + CHOOSE(CONTROL!$C$27, 0.0021, 0)</f>
        <v>75.166499999999999</v>
      </c>
      <c r="E855" s="10">
        <f>75.0277 * CHOOSE(CONTROL!$C$9, $D$9, 100%, $F$9) + CHOOSE(CONTROL!$C$27, 0.0021, 0)</f>
        <v>75.029799999999994</v>
      </c>
      <c r="F855" s="10">
        <f>75.0277 * CHOOSE(CONTROL!$C$9, $D$9, 100%, $F$9) + CHOOSE(CONTROL!$C$27, 0.0021, 0)</f>
        <v>75.029799999999994</v>
      </c>
      <c r="G855" s="10">
        <f>75.2991 * CHOOSE(CONTROL!$C$9, $D$9, 100%, $F$9) + CHOOSE(CONTROL!$C$27, 0.0021, 0)</f>
        <v>75.301199999999994</v>
      </c>
      <c r="H855" s="10">
        <f>75.1644 * CHOOSE(CONTROL!$C$9, $D$9, 100%, $F$9) + CHOOSE(CONTROL!$C$27, 0.0021, 0)</f>
        <v>75.166499999999999</v>
      </c>
      <c r="I855" s="10">
        <f>75.1644 * CHOOSE(CONTROL!$C$9, $D$9, 100%, $F$9) + CHOOSE(CONTROL!$C$27, 0.0021, 0)</f>
        <v>75.166499999999999</v>
      </c>
      <c r="J855" s="10">
        <f>75.1644 * CHOOSE(CONTROL!$C$9, $D$9, 100%, $F$9) + CHOOSE(CONTROL!$C$27, 0.0021, 0)</f>
        <v>75.166499999999999</v>
      </c>
      <c r="K855" s="10">
        <f>75.1644 * CHOOSE(CONTROL!$C$9, $D$9, 100%, $F$9) + CHOOSE(CONTROL!$C$27, 0.0021, 0)</f>
        <v>75.166499999999999</v>
      </c>
      <c r="L855" s="10"/>
    </row>
    <row r="856" spans="1:12" ht="15.75" x14ac:dyDescent="0.25">
      <c r="A856" s="13">
        <v>67358</v>
      </c>
      <c r="B856" s="10">
        <f>77.1361 * CHOOSE(CONTROL!$C$9, $D$9, 100%, $F$9) + CHOOSE(CONTROL!$C$27, 0.0021, 0)</f>
        <v>77.138199999999998</v>
      </c>
      <c r="C856" s="10">
        <f>76.7038 * CHOOSE(CONTROL!$C$9, $D$9, 100%, $F$9) + CHOOSE(CONTROL!$C$27, 0.0021, 0)</f>
        <v>76.7059</v>
      </c>
      <c r="D856" s="10">
        <f>76.7038 * CHOOSE(CONTROL!$C$9, $D$9, 100%, $F$9) + CHOOSE(CONTROL!$C$27, 0.0021, 0)</f>
        <v>76.7059</v>
      </c>
      <c r="E856" s="10">
        <f>76.5671 * CHOOSE(CONTROL!$C$9, $D$9, 100%, $F$9) + CHOOSE(CONTROL!$C$27, 0.0021, 0)</f>
        <v>76.569199999999995</v>
      </c>
      <c r="F856" s="10">
        <f>76.5671 * CHOOSE(CONTROL!$C$9, $D$9, 100%, $F$9) + CHOOSE(CONTROL!$C$27, 0.0021, 0)</f>
        <v>76.569199999999995</v>
      </c>
      <c r="G856" s="10">
        <f>76.8385 * CHOOSE(CONTROL!$C$9, $D$9, 100%, $F$9) + CHOOSE(CONTROL!$C$27, 0.0021, 0)</f>
        <v>76.840599999999995</v>
      </c>
      <c r="H856" s="10">
        <f>76.7038 * CHOOSE(CONTROL!$C$9, $D$9, 100%, $F$9) + CHOOSE(CONTROL!$C$27, 0.0021, 0)</f>
        <v>76.7059</v>
      </c>
      <c r="I856" s="10">
        <f>76.7038 * CHOOSE(CONTROL!$C$9, $D$9, 100%, $F$9) + CHOOSE(CONTROL!$C$27, 0.0021, 0)</f>
        <v>76.7059</v>
      </c>
      <c r="J856" s="10">
        <f>76.7038 * CHOOSE(CONTROL!$C$9, $D$9, 100%, $F$9) + CHOOSE(CONTROL!$C$27, 0.0021, 0)</f>
        <v>76.7059</v>
      </c>
      <c r="K856" s="10">
        <f>76.7038 * CHOOSE(CONTROL!$C$9, $D$9, 100%, $F$9) + CHOOSE(CONTROL!$C$27, 0.0021, 0)</f>
        <v>76.7059</v>
      </c>
      <c r="L856" s="10"/>
    </row>
    <row r="857" spans="1:12" ht="15.75" x14ac:dyDescent="0.25">
      <c r="A857" s="13">
        <v>67388</v>
      </c>
      <c r="B857" s="10">
        <f>78.0581 * CHOOSE(CONTROL!$C$9, $D$9, 100%, $F$9) + CHOOSE(CONTROL!$C$27, 0.0021, 0)</f>
        <v>78.060199999999995</v>
      </c>
      <c r="C857" s="10">
        <f>77.6259 * CHOOSE(CONTROL!$C$9, $D$9, 100%, $F$9) + CHOOSE(CONTROL!$C$27, 0.0021, 0)</f>
        <v>77.628</v>
      </c>
      <c r="D857" s="10">
        <f>77.6259 * CHOOSE(CONTROL!$C$9, $D$9, 100%, $F$9) + CHOOSE(CONTROL!$C$27, 0.0021, 0)</f>
        <v>77.628</v>
      </c>
      <c r="E857" s="10">
        <f>77.4892 * CHOOSE(CONTROL!$C$9, $D$9, 100%, $F$9) + CHOOSE(CONTROL!$C$27, 0.0021, 0)</f>
        <v>77.491299999999995</v>
      </c>
      <c r="F857" s="10">
        <f>77.4892 * CHOOSE(CONTROL!$C$9, $D$9, 100%, $F$9) + CHOOSE(CONTROL!$C$27, 0.0021, 0)</f>
        <v>77.491299999999995</v>
      </c>
      <c r="G857" s="10">
        <f>77.7606 * CHOOSE(CONTROL!$C$9, $D$9, 100%, $F$9) + CHOOSE(CONTROL!$C$27, 0.0021, 0)</f>
        <v>77.762699999999995</v>
      </c>
      <c r="H857" s="10">
        <f>77.6259 * CHOOSE(CONTROL!$C$9, $D$9, 100%, $F$9) + CHOOSE(CONTROL!$C$27, 0.0021, 0)</f>
        <v>77.628</v>
      </c>
      <c r="I857" s="10">
        <f>77.6259 * CHOOSE(CONTROL!$C$9, $D$9, 100%, $F$9) + CHOOSE(CONTROL!$C$27, 0.0021, 0)</f>
        <v>77.628</v>
      </c>
      <c r="J857" s="10">
        <f>77.6259 * CHOOSE(CONTROL!$C$9, $D$9, 100%, $F$9) + CHOOSE(CONTROL!$C$27, 0.0021, 0)</f>
        <v>77.628</v>
      </c>
      <c r="K857" s="10">
        <f>77.6259 * CHOOSE(CONTROL!$C$9, $D$9, 100%, $F$9) + CHOOSE(CONTROL!$C$27, 0.0021, 0)</f>
        <v>77.628</v>
      </c>
      <c r="L857" s="10"/>
    </row>
    <row r="858" spans="1:12" ht="15.75" x14ac:dyDescent="0.25">
      <c r="A858" s="13">
        <v>67419</v>
      </c>
      <c r="B858" s="10">
        <f>79.5792 * CHOOSE(CONTROL!$C$9, $D$9, 100%, $F$9) + CHOOSE(CONTROL!$C$27, 0.0021, 0)</f>
        <v>79.581299999999999</v>
      </c>
      <c r="C858" s="10">
        <f>79.1469 * CHOOSE(CONTROL!$C$9, $D$9, 100%, $F$9) + CHOOSE(CONTROL!$C$27, 0.0021, 0)</f>
        <v>79.149000000000001</v>
      </c>
      <c r="D858" s="10">
        <f>79.1469 * CHOOSE(CONTROL!$C$9, $D$9, 100%, $F$9) + CHOOSE(CONTROL!$C$27, 0.0021, 0)</f>
        <v>79.149000000000001</v>
      </c>
      <c r="E858" s="10">
        <f>79.0102 * CHOOSE(CONTROL!$C$9, $D$9, 100%, $F$9) + CHOOSE(CONTROL!$C$27, 0.0021, 0)</f>
        <v>79.012299999999996</v>
      </c>
      <c r="F858" s="10">
        <f>79.0102 * CHOOSE(CONTROL!$C$9, $D$9, 100%, $F$9) + CHOOSE(CONTROL!$C$27, 0.0021, 0)</f>
        <v>79.012299999999996</v>
      </c>
      <c r="G858" s="10">
        <f>79.2816 * CHOOSE(CONTROL!$C$9, $D$9, 100%, $F$9) + CHOOSE(CONTROL!$C$27, 0.0021, 0)</f>
        <v>79.283699999999996</v>
      </c>
      <c r="H858" s="10">
        <f>79.1469 * CHOOSE(CONTROL!$C$9, $D$9, 100%, $F$9) + CHOOSE(CONTROL!$C$27, 0.0021, 0)</f>
        <v>79.149000000000001</v>
      </c>
      <c r="I858" s="10">
        <f>79.1469 * CHOOSE(CONTROL!$C$9, $D$9, 100%, $F$9) + CHOOSE(CONTROL!$C$27, 0.0021, 0)</f>
        <v>79.149000000000001</v>
      </c>
      <c r="J858" s="10">
        <f>79.1469 * CHOOSE(CONTROL!$C$9, $D$9, 100%, $F$9) + CHOOSE(CONTROL!$C$27, 0.0021, 0)</f>
        <v>79.149000000000001</v>
      </c>
      <c r="K858" s="10">
        <f>79.1469 * CHOOSE(CONTROL!$C$9, $D$9, 100%, $F$9) + CHOOSE(CONTROL!$C$27, 0.0021, 0)</f>
        <v>79.149000000000001</v>
      </c>
      <c r="L858" s="10"/>
    </row>
    <row r="859" spans="1:12" ht="15.75" x14ac:dyDescent="0.25">
      <c r="A859" s="13">
        <v>67450</v>
      </c>
      <c r="B859" s="10">
        <f>80.0434 * CHOOSE(CONTROL!$C$9, $D$9, 100%, $F$9) + CHOOSE(CONTROL!$C$27, 0.0021, 0)</f>
        <v>80.045500000000004</v>
      </c>
      <c r="C859" s="10">
        <f>79.6112 * CHOOSE(CONTROL!$C$9, $D$9, 100%, $F$9) + CHOOSE(CONTROL!$C$27, 0.0021, 0)</f>
        <v>79.613299999999995</v>
      </c>
      <c r="D859" s="10">
        <f>79.6112 * CHOOSE(CONTROL!$C$9, $D$9, 100%, $F$9) + CHOOSE(CONTROL!$C$27, 0.0021, 0)</f>
        <v>79.613299999999995</v>
      </c>
      <c r="E859" s="10">
        <f>79.4745 * CHOOSE(CONTROL!$C$9, $D$9, 100%, $F$9) + CHOOSE(CONTROL!$C$27, 0.0021, 0)</f>
        <v>79.476600000000005</v>
      </c>
      <c r="F859" s="10">
        <f>79.4745 * CHOOSE(CONTROL!$C$9, $D$9, 100%, $F$9) + CHOOSE(CONTROL!$C$27, 0.0021, 0)</f>
        <v>79.476600000000005</v>
      </c>
      <c r="G859" s="10">
        <f>79.7459 * CHOOSE(CONTROL!$C$9, $D$9, 100%, $F$9) + CHOOSE(CONTROL!$C$27, 0.0021, 0)</f>
        <v>79.748000000000005</v>
      </c>
      <c r="H859" s="10">
        <f>79.6112 * CHOOSE(CONTROL!$C$9, $D$9, 100%, $F$9) + CHOOSE(CONTROL!$C$27, 0.0021, 0)</f>
        <v>79.613299999999995</v>
      </c>
      <c r="I859" s="10">
        <f>79.6112 * CHOOSE(CONTROL!$C$9, $D$9, 100%, $F$9) + CHOOSE(CONTROL!$C$27, 0.0021, 0)</f>
        <v>79.613299999999995</v>
      </c>
      <c r="J859" s="10">
        <f>79.6112 * CHOOSE(CONTROL!$C$9, $D$9, 100%, $F$9) + CHOOSE(CONTROL!$C$27, 0.0021, 0)</f>
        <v>79.613299999999995</v>
      </c>
      <c r="K859" s="10">
        <f>79.6112 * CHOOSE(CONTROL!$C$9, $D$9, 100%, $F$9) + CHOOSE(CONTROL!$C$27, 0.0021, 0)</f>
        <v>79.613299999999995</v>
      </c>
      <c r="L859" s="10"/>
    </row>
    <row r="860" spans="1:12" ht="15.75" x14ac:dyDescent="0.25">
      <c r="A860" s="13">
        <v>67480</v>
      </c>
      <c r="B860" s="10">
        <f>81.6245 * CHOOSE(CONTROL!$C$9, $D$9, 100%, $F$9) + CHOOSE(CONTROL!$C$27, 0.0021, 0)</f>
        <v>81.626599999999996</v>
      </c>
      <c r="C860" s="10">
        <f>81.1922 * CHOOSE(CONTROL!$C$9, $D$9, 100%, $F$9) + CHOOSE(CONTROL!$C$27, 0.0021, 0)</f>
        <v>81.194299999999998</v>
      </c>
      <c r="D860" s="10">
        <f>81.1922 * CHOOSE(CONTROL!$C$9, $D$9, 100%, $F$9) + CHOOSE(CONTROL!$C$27, 0.0021, 0)</f>
        <v>81.194299999999998</v>
      </c>
      <c r="E860" s="10">
        <f>81.0556 * CHOOSE(CONTROL!$C$9, $D$9, 100%, $F$9) + CHOOSE(CONTROL!$C$27, 0.0021, 0)</f>
        <v>81.057699999999997</v>
      </c>
      <c r="F860" s="10">
        <f>81.0556 * CHOOSE(CONTROL!$C$9, $D$9, 100%, $F$9) + CHOOSE(CONTROL!$C$27, 0.0021, 0)</f>
        <v>81.057699999999997</v>
      </c>
      <c r="G860" s="10">
        <f>81.327 * CHOOSE(CONTROL!$C$9, $D$9, 100%, $F$9) + CHOOSE(CONTROL!$C$27, 0.0021, 0)</f>
        <v>81.329099999999997</v>
      </c>
      <c r="H860" s="10">
        <f>81.1922 * CHOOSE(CONTROL!$C$9, $D$9, 100%, $F$9) + CHOOSE(CONTROL!$C$27, 0.0021, 0)</f>
        <v>81.194299999999998</v>
      </c>
      <c r="I860" s="10">
        <f>81.1922 * CHOOSE(CONTROL!$C$9, $D$9, 100%, $F$9) + CHOOSE(CONTROL!$C$27, 0.0021, 0)</f>
        <v>81.194299999999998</v>
      </c>
      <c r="J860" s="10">
        <f>81.1922 * CHOOSE(CONTROL!$C$9, $D$9, 100%, $F$9) + CHOOSE(CONTROL!$C$27, 0.0021, 0)</f>
        <v>81.194299999999998</v>
      </c>
      <c r="K860" s="10">
        <f>81.1922 * CHOOSE(CONTROL!$C$9, $D$9, 100%, $F$9) + CHOOSE(CONTROL!$C$27, 0.0021, 0)</f>
        <v>81.194299999999998</v>
      </c>
      <c r="L860" s="10"/>
    </row>
    <row r="861" spans="1:12" ht="15.75" x14ac:dyDescent="0.25">
      <c r="A861" s="13">
        <v>67511</v>
      </c>
      <c r="B861" s="10">
        <f>83.6258 * CHOOSE(CONTROL!$C$9, $D$9, 100%, $F$9) + CHOOSE(CONTROL!$C$27, 0.0021, 0)</f>
        <v>83.627899999999997</v>
      </c>
      <c r="C861" s="10">
        <f>83.1936 * CHOOSE(CONTROL!$C$9, $D$9, 100%, $F$9) + CHOOSE(CONTROL!$C$27, 0.0021, 0)</f>
        <v>83.195700000000002</v>
      </c>
      <c r="D861" s="10">
        <f>83.1936 * CHOOSE(CONTROL!$C$9, $D$9, 100%, $F$9) + CHOOSE(CONTROL!$C$27, 0.0021, 0)</f>
        <v>83.195700000000002</v>
      </c>
      <c r="E861" s="10">
        <f>83.0569 * CHOOSE(CONTROL!$C$9, $D$9, 100%, $F$9) + CHOOSE(CONTROL!$C$27, 0.0021, 0)</f>
        <v>83.058999999999997</v>
      </c>
      <c r="F861" s="10">
        <f>83.0569 * CHOOSE(CONTROL!$C$9, $D$9, 100%, $F$9) + CHOOSE(CONTROL!$C$27, 0.0021, 0)</f>
        <v>83.058999999999997</v>
      </c>
      <c r="G861" s="10">
        <f>83.3283 * CHOOSE(CONTROL!$C$9, $D$9, 100%, $F$9) + CHOOSE(CONTROL!$C$27, 0.0021, 0)</f>
        <v>83.330399999999997</v>
      </c>
      <c r="H861" s="10">
        <f>83.1936 * CHOOSE(CONTROL!$C$9, $D$9, 100%, $F$9) + CHOOSE(CONTROL!$C$27, 0.0021, 0)</f>
        <v>83.195700000000002</v>
      </c>
      <c r="I861" s="10">
        <f>83.1936 * CHOOSE(CONTROL!$C$9, $D$9, 100%, $F$9) + CHOOSE(CONTROL!$C$27, 0.0021, 0)</f>
        <v>83.195700000000002</v>
      </c>
      <c r="J861" s="10">
        <f>83.1936 * CHOOSE(CONTROL!$C$9, $D$9, 100%, $F$9) + CHOOSE(CONTROL!$C$27, 0.0021, 0)</f>
        <v>83.195700000000002</v>
      </c>
      <c r="K861" s="10">
        <f>83.1936 * CHOOSE(CONTROL!$C$9, $D$9, 100%, $F$9) + CHOOSE(CONTROL!$C$27, 0.0021, 0)</f>
        <v>83.195700000000002</v>
      </c>
      <c r="L861" s="10"/>
    </row>
    <row r="862" spans="1:12" ht="15.75" x14ac:dyDescent="0.25">
      <c r="A862" s="13">
        <v>67541</v>
      </c>
      <c r="B862" s="10">
        <f>83.8137 * CHOOSE(CONTROL!$C$9, $D$9, 100%, $F$9) + CHOOSE(CONTROL!$C$27, 0.0021, 0)</f>
        <v>83.815799999999996</v>
      </c>
      <c r="C862" s="10">
        <f>83.3815 * CHOOSE(CONTROL!$C$9, $D$9, 100%, $F$9) + CHOOSE(CONTROL!$C$27, 0.0021, 0)</f>
        <v>83.383600000000001</v>
      </c>
      <c r="D862" s="10">
        <f>83.3815 * CHOOSE(CONTROL!$C$9, $D$9, 100%, $F$9) + CHOOSE(CONTROL!$C$27, 0.0021, 0)</f>
        <v>83.383600000000001</v>
      </c>
      <c r="E862" s="10">
        <f>83.2448 * CHOOSE(CONTROL!$C$9, $D$9, 100%, $F$9) + CHOOSE(CONTROL!$C$27, 0.0021, 0)</f>
        <v>83.246899999999997</v>
      </c>
      <c r="F862" s="10">
        <f>83.2448 * CHOOSE(CONTROL!$C$9, $D$9, 100%, $F$9) + CHOOSE(CONTROL!$C$27, 0.0021, 0)</f>
        <v>83.246899999999997</v>
      </c>
      <c r="G862" s="10">
        <f>83.5162 * CHOOSE(CONTROL!$C$9, $D$9, 100%, $F$9) + CHOOSE(CONTROL!$C$27, 0.0021, 0)</f>
        <v>83.518299999999996</v>
      </c>
      <c r="H862" s="10">
        <f>83.3815 * CHOOSE(CONTROL!$C$9, $D$9, 100%, $F$9) + CHOOSE(CONTROL!$C$27, 0.0021, 0)</f>
        <v>83.383600000000001</v>
      </c>
      <c r="I862" s="10">
        <f>83.3815 * CHOOSE(CONTROL!$C$9, $D$9, 100%, $F$9) + CHOOSE(CONTROL!$C$27, 0.0021, 0)</f>
        <v>83.383600000000001</v>
      </c>
      <c r="J862" s="10">
        <f>83.3815 * CHOOSE(CONTROL!$C$9, $D$9, 100%, $F$9) + CHOOSE(CONTROL!$C$27, 0.0021, 0)</f>
        <v>83.383600000000001</v>
      </c>
      <c r="K862" s="10">
        <f>83.3815 * CHOOSE(CONTROL!$C$9, $D$9, 100%, $F$9) + CHOOSE(CONTROL!$C$27, 0.0021, 0)</f>
        <v>83.383600000000001</v>
      </c>
      <c r="L862" s="10"/>
    </row>
    <row r="863" spans="1:12" ht="15.75" x14ac:dyDescent="0.25">
      <c r="A863" s="13">
        <v>67572</v>
      </c>
      <c r="B863" s="10">
        <f>82.2153 * CHOOSE(CONTROL!$C$9, $D$9, 100%, $F$9) + CHOOSE(CONTROL!$C$27, 0.0021, 0)</f>
        <v>82.217399999999998</v>
      </c>
      <c r="C863" s="10">
        <f>81.783 * CHOOSE(CONTROL!$C$9, $D$9, 100%, $F$9) + CHOOSE(CONTROL!$C$27, 0.0021, 0)</f>
        <v>81.7851</v>
      </c>
      <c r="D863" s="10">
        <f>81.783 * CHOOSE(CONTROL!$C$9, $D$9, 100%, $F$9) + CHOOSE(CONTROL!$C$27, 0.0021, 0)</f>
        <v>81.7851</v>
      </c>
      <c r="E863" s="10">
        <f>81.6464 * CHOOSE(CONTROL!$C$9, $D$9, 100%, $F$9) + CHOOSE(CONTROL!$C$27, 0.0021, 0)</f>
        <v>81.648499999999999</v>
      </c>
      <c r="F863" s="10">
        <f>81.6464 * CHOOSE(CONTROL!$C$9, $D$9, 100%, $F$9) + CHOOSE(CONTROL!$C$27, 0.0021, 0)</f>
        <v>81.648499999999999</v>
      </c>
      <c r="G863" s="10">
        <f>81.9178 * CHOOSE(CONTROL!$C$9, $D$9, 100%, $F$9) + CHOOSE(CONTROL!$C$27, 0.0021, 0)</f>
        <v>81.919899999999998</v>
      </c>
      <c r="H863" s="10">
        <f>81.783 * CHOOSE(CONTROL!$C$9, $D$9, 100%, $F$9) + CHOOSE(CONTROL!$C$27, 0.0021, 0)</f>
        <v>81.7851</v>
      </c>
      <c r="I863" s="10">
        <f>81.783 * CHOOSE(CONTROL!$C$9, $D$9, 100%, $F$9) + CHOOSE(CONTROL!$C$27, 0.0021, 0)</f>
        <v>81.7851</v>
      </c>
      <c r="J863" s="10">
        <f>81.783 * CHOOSE(CONTROL!$C$9, $D$9, 100%, $F$9) + CHOOSE(CONTROL!$C$27, 0.0021, 0)</f>
        <v>81.7851</v>
      </c>
      <c r="K863" s="10">
        <f>81.783 * CHOOSE(CONTROL!$C$9, $D$9, 100%, $F$9) + CHOOSE(CONTROL!$C$27, 0.0021, 0)</f>
        <v>81.7851</v>
      </c>
      <c r="L863" s="10"/>
    </row>
    <row r="864" spans="1:12" ht="15.75" x14ac:dyDescent="0.25">
      <c r="A864" s="13">
        <v>67603</v>
      </c>
      <c r="B864" s="10">
        <f>80.9915 * CHOOSE(CONTROL!$C$9, $D$9, 100%, $F$9) + CHOOSE(CONTROL!$C$27, 0.0021, 0)</f>
        <v>80.993600000000001</v>
      </c>
      <c r="C864" s="10">
        <f>80.5592 * CHOOSE(CONTROL!$C$9, $D$9, 100%, $F$9) + CHOOSE(CONTROL!$C$27, 0.0021, 0)</f>
        <v>80.561300000000003</v>
      </c>
      <c r="D864" s="10">
        <f>80.5592 * CHOOSE(CONTROL!$C$9, $D$9, 100%, $F$9) + CHOOSE(CONTROL!$C$27, 0.0021, 0)</f>
        <v>80.561300000000003</v>
      </c>
      <c r="E864" s="10">
        <f>80.4226 * CHOOSE(CONTROL!$C$9, $D$9, 100%, $F$9) + CHOOSE(CONTROL!$C$27, 0.0021, 0)</f>
        <v>80.424700000000001</v>
      </c>
      <c r="F864" s="10">
        <f>80.4226 * CHOOSE(CONTROL!$C$9, $D$9, 100%, $F$9) + CHOOSE(CONTROL!$C$27, 0.0021, 0)</f>
        <v>80.424700000000001</v>
      </c>
      <c r="G864" s="10">
        <f>80.6939 * CHOOSE(CONTROL!$C$9, $D$9, 100%, $F$9) + CHOOSE(CONTROL!$C$27, 0.0021, 0)</f>
        <v>80.695999999999998</v>
      </c>
      <c r="H864" s="10">
        <f>80.5592 * CHOOSE(CONTROL!$C$9, $D$9, 100%, $F$9) + CHOOSE(CONTROL!$C$27, 0.0021, 0)</f>
        <v>80.561300000000003</v>
      </c>
      <c r="I864" s="10">
        <f>80.5592 * CHOOSE(CONTROL!$C$9, $D$9, 100%, $F$9) + CHOOSE(CONTROL!$C$27, 0.0021, 0)</f>
        <v>80.561300000000003</v>
      </c>
      <c r="J864" s="10">
        <f>80.5592 * CHOOSE(CONTROL!$C$9, $D$9, 100%, $F$9) + CHOOSE(CONTROL!$C$27, 0.0021, 0)</f>
        <v>80.561300000000003</v>
      </c>
      <c r="K864" s="10">
        <f>80.5592 * CHOOSE(CONTROL!$C$9, $D$9, 100%, $F$9) + CHOOSE(CONTROL!$C$27, 0.0021, 0)</f>
        <v>80.561300000000003</v>
      </c>
      <c r="L864" s="10"/>
    </row>
    <row r="865" spans="1:12" ht="15.75" x14ac:dyDescent="0.25">
      <c r="A865" s="13">
        <v>67631</v>
      </c>
      <c r="B865" s="10">
        <f>78.7654 * CHOOSE(CONTROL!$C$9, $D$9, 100%, $F$9) + CHOOSE(CONTROL!$C$27, 0.0021, 0)</f>
        <v>78.767499999999998</v>
      </c>
      <c r="C865" s="10">
        <f>78.3332 * CHOOSE(CONTROL!$C$9, $D$9, 100%, $F$9) + CHOOSE(CONTROL!$C$27, 0.0021, 0)</f>
        <v>78.335300000000004</v>
      </c>
      <c r="D865" s="10">
        <f>78.3332 * CHOOSE(CONTROL!$C$9, $D$9, 100%, $F$9) + CHOOSE(CONTROL!$C$27, 0.0021, 0)</f>
        <v>78.335300000000004</v>
      </c>
      <c r="E865" s="10">
        <f>78.1965 * CHOOSE(CONTROL!$C$9, $D$9, 100%, $F$9) + CHOOSE(CONTROL!$C$27, 0.0021, 0)</f>
        <v>78.198599999999999</v>
      </c>
      <c r="F865" s="10">
        <f>78.1965 * CHOOSE(CONTROL!$C$9, $D$9, 100%, $F$9) + CHOOSE(CONTROL!$C$27, 0.0021, 0)</f>
        <v>78.198599999999999</v>
      </c>
      <c r="G865" s="10">
        <f>78.4679 * CHOOSE(CONTROL!$C$9, $D$9, 100%, $F$9) + CHOOSE(CONTROL!$C$27, 0.0021, 0)</f>
        <v>78.47</v>
      </c>
      <c r="H865" s="10">
        <f>78.3332 * CHOOSE(CONTROL!$C$9, $D$9, 100%, $F$9) + CHOOSE(CONTROL!$C$27, 0.0021, 0)</f>
        <v>78.335300000000004</v>
      </c>
      <c r="I865" s="10">
        <f>78.3332 * CHOOSE(CONTROL!$C$9, $D$9, 100%, $F$9) + CHOOSE(CONTROL!$C$27, 0.0021, 0)</f>
        <v>78.335300000000004</v>
      </c>
      <c r="J865" s="10">
        <f>78.3332 * CHOOSE(CONTROL!$C$9, $D$9, 100%, $F$9) + CHOOSE(CONTROL!$C$27, 0.0021, 0)</f>
        <v>78.335300000000004</v>
      </c>
      <c r="K865" s="10">
        <f>78.3332 * CHOOSE(CONTROL!$C$9, $D$9, 100%, $F$9) + CHOOSE(CONTROL!$C$27, 0.0021, 0)</f>
        <v>78.335300000000004</v>
      </c>
      <c r="L865" s="10"/>
    </row>
    <row r="866" spans="1:12" ht="15.75" x14ac:dyDescent="0.25">
      <c r="A866" s="13">
        <v>67662</v>
      </c>
      <c r="B866" s="10">
        <f>77.8465 * CHOOSE(CONTROL!$C$9, $D$9, 100%, $F$9) + CHOOSE(CONTROL!$C$27, 0.0021, 0)</f>
        <v>77.848600000000005</v>
      </c>
      <c r="C866" s="10">
        <f>77.4143 * CHOOSE(CONTROL!$C$9, $D$9, 100%, $F$9) + CHOOSE(CONTROL!$C$27, 0.0021, 0)</f>
        <v>77.416399999999996</v>
      </c>
      <c r="D866" s="10">
        <f>77.4143 * CHOOSE(CONTROL!$C$9, $D$9, 100%, $F$9) + CHOOSE(CONTROL!$C$27, 0.0021, 0)</f>
        <v>77.416399999999996</v>
      </c>
      <c r="E866" s="10">
        <f>77.2776 * CHOOSE(CONTROL!$C$9, $D$9, 100%, $F$9) + CHOOSE(CONTROL!$C$27, 0.0021, 0)</f>
        <v>77.279700000000005</v>
      </c>
      <c r="F866" s="10">
        <f>77.2776 * CHOOSE(CONTROL!$C$9, $D$9, 100%, $F$9) + CHOOSE(CONTROL!$C$27, 0.0021, 0)</f>
        <v>77.279700000000005</v>
      </c>
      <c r="G866" s="10">
        <f>77.549 * CHOOSE(CONTROL!$C$9, $D$9, 100%, $F$9) + CHOOSE(CONTROL!$C$27, 0.0021, 0)</f>
        <v>77.551100000000005</v>
      </c>
      <c r="H866" s="10">
        <f>77.4143 * CHOOSE(CONTROL!$C$9, $D$9, 100%, $F$9) + CHOOSE(CONTROL!$C$27, 0.0021, 0)</f>
        <v>77.416399999999996</v>
      </c>
      <c r="I866" s="10">
        <f>77.4143 * CHOOSE(CONTROL!$C$9, $D$9, 100%, $F$9) + CHOOSE(CONTROL!$C$27, 0.0021, 0)</f>
        <v>77.416399999999996</v>
      </c>
      <c r="J866" s="10">
        <f>77.4143 * CHOOSE(CONTROL!$C$9, $D$9, 100%, $F$9) + CHOOSE(CONTROL!$C$27, 0.0021, 0)</f>
        <v>77.416399999999996</v>
      </c>
      <c r="K866" s="10">
        <f>77.4143 * CHOOSE(CONTROL!$C$9, $D$9, 100%, $F$9) + CHOOSE(CONTROL!$C$27, 0.0021, 0)</f>
        <v>77.416399999999996</v>
      </c>
      <c r="L866" s="10"/>
    </row>
    <row r="867" spans="1:12" ht="15.75" x14ac:dyDescent="0.25">
      <c r="A867" s="13">
        <v>67692</v>
      </c>
      <c r="B867" s="10">
        <f>76.7493 * CHOOSE(CONTROL!$C$9, $D$9, 100%, $F$9) + CHOOSE(CONTROL!$C$27, 0.0021, 0)</f>
        <v>76.751400000000004</v>
      </c>
      <c r="C867" s="10">
        <f>76.3171 * CHOOSE(CONTROL!$C$9, $D$9, 100%, $F$9) + CHOOSE(CONTROL!$C$27, 0.0021, 0)</f>
        <v>76.319199999999995</v>
      </c>
      <c r="D867" s="10">
        <f>76.3171 * CHOOSE(CONTROL!$C$9, $D$9, 100%, $F$9) + CHOOSE(CONTROL!$C$27, 0.0021, 0)</f>
        <v>76.319199999999995</v>
      </c>
      <c r="E867" s="10">
        <f>76.1804 * CHOOSE(CONTROL!$C$9, $D$9, 100%, $F$9) + CHOOSE(CONTROL!$C$27, 0.0021, 0)</f>
        <v>76.182500000000005</v>
      </c>
      <c r="F867" s="10">
        <f>76.1804 * CHOOSE(CONTROL!$C$9, $D$9, 100%, $F$9) + CHOOSE(CONTROL!$C$27, 0.0021, 0)</f>
        <v>76.182500000000005</v>
      </c>
      <c r="G867" s="10">
        <f>76.4518 * CHOOSE(CONTROL!$C$9, $D$9, 100%, $F$9) + CHOOSE(CONTROL!$C$27, 0.0021, 0)</f>
        <v>76.453900000000004</v>
      </c>
      <c r="H867" s="10">
        <f>76.3171 * CHOOSE(CONTROL!$C$9, $D$9, 100%, $F$9) + CHOOSE(CONTROL!$C$27, 0.0021, 0)</f>
        <v>76.319199999999995</v>
      </c>
      <c r="I867" s="10">
        <f>76.3171 * CHOOSE(CONTROL!$C$9, $D$9, 100%, $F$9) + CHOOSE(CONTROL!$C$27, 0.0021, 0)</f>
        <v>76.319199999999995</v>
      </c>
      <c r="J867" s="10">
        <f>76.3171 * CHOOSE(CONTROL!$C$9, $D$9, 100%, $F$9) + CHOOSE(CONTROL!$C$27, 0.0021, 0)</f>
        <v>76.319199999999995</v>
      </c>
      <c r="K867" s="10">
        <f>76.3171 * CHOOSE(CONTROL!$C$9, $D$9, 100%, $F$9) + CHOOSE(CONTROL!$C$27, 0.0021, 0)</f>
        <v>76.319199999999995</v>
      </c>
      <c r="L867" s="10"/>
    </row>
    <row r="868" spans="1:12" ht="15.75" x14ac:dyDescent="0.25">
      <c r="A868" s="13">
        <v>67723</v>
      </c>
      <c r="B868" s="10">
        <f>78.313 * CHOOSE(CONTROL!$C$9, $D$9, 100%, $F$9) + CHOOSE(CONTROL!$C$27, 0.0021, 0)</f>
        <v>78.315100000000001</v>
      </c>
      <c r="C868" s="10">
        <f>77.8807 * CHOOSE(CONTROL!$C$9, $D$9, 100%, $F$9) + CHOOSE(CONTROL!$C$27, 0.0021, 0)</f>
        <v>77.882800000000003</v>
      </c>
      <c r="D868" s="10">
        <f>77.8807 * CHOOSE(CONTROL!$C$9, $D$9, 100%, $F$9) + CHOOSE(CONTROL!$C$27, 0.0021, 0)</f>
        <v>77.882800000000003</v>
      </c>
      <c r="E868" s="10">
        <f>77.7441 * CHOOSE(CONTROL!$C$9, $D$9, 100%, $F$9) + CHOOSE(CONTROL!$C$27, 0.0021, 0)</f>
        <v>77.746200000000002</v>
      </c>
      <c r="F868" s="10">
        <f>77.7441 * CHOOSE(CONTROL!$C$9, $D$9, 100%, $F$9) + CHOOSE(CONTROL!$C$27, 0.0021, 0)</f>
        <v>77.746200000000002</v>
      </c>
      <c r="G868" s="10">
        <f>78.0154 * CHOOSE(CONTROL!$C$9, $D$9, 100%, $F$9) + CHOOSE(CONTROL!$C$27, 0.0021, 0)</f>
        <v>78.017499999999998</v>
      </c>
      <c r="H868" s="10">
        <f>77.8807 * CHOOSE(CONTROL!$C$9, $D$9, 100%, $F$9) + CHOOSE(CONTROL!$C$27, 0.0021, 0)</f>
        <v>77.882800000000003</v>
      </c>
      <c r="I868" s="10">
        <f>77.8807 * CHOOSE(CONTROL!$C$9, $D$9, 100%, $F$9) + CHOOSE(CONTROL!$C$27, 0.0021, 0)</f>
        <v>77.882800000000003</v>
      </c>
      <c r="J868" s="10">
        <f>77.8807 * CHOOSE(CONTROL!$C$9, $D$9, 100%, $F$9) + CHOOSE(CONTROL!$C$27, 0.0021, 0)</f>
        <v>77.882800000000003</v>
      </c>
      <c r="K868" s="10">
        <f>77.8807 * CHOOSE(CONTROL!$C$9, $D$9, 100%, $F$9) + CHOOSE(CONTROL!$C$27, 0.0021, 0)</f>
        <v>77.882800000000003</v>
      </c>
      <c r="L868" s="10"/>
    </row>
    <row r="869" spans="1:12" ht="15.75" x14ac:dyDescent="0.25">
      <c r="A869" s="13">
        <v>67753</v>
      </c>
      <c r="B869" s="10">
        <f>79.2495 * CHOOSE(CONTROL!$C$9, $D$9, 100%, $F$9) + CHOOSE(CONTROL!$C$27, 0.0021, 0)</f>
        <v>79.251599999999996</v>
      </c>
      <c r="C869" s="10">
        <f>78.8173 * CHOOSE(CONTROL!$C$9, $D$9, 100%, $F$9) + CHOOSE(CONTROL!$C$27, 0.0021, 0)</f>
        <v>78.819400000000002</v>
      </c>
      <c r="D869" s="10">
        <f>78.8173 * CHOOSE(CONTROL!$C$9, $D$9, 100%, $F$9) + CHOOSE(CONTROL!$C$27, 0.0021, 0)</f>
        <v>78.819400000000002</v>
      </c>
      <c r="E869" s="10">
        <f>78.6806 * CHOOSE(CONTROL!$C$9, $D$9, 100%, $F$9) + CHOOSE(CONTROL!$C$27, 0.0021, 0)</f>
        <v>78.682699999999997</v>
      </c>
      <c r="F869" s="10">
        <f>78.6806 * CHOOSE(CONTROL!$C$9, $D$9, 100%, $F$9) + CHOOSE(CONTROL!$C$27, 0.0021, 0)</f>
        <v>78.682699999999997</v>
      </c>
      <c r="G869" s="10">
        <f>78.952 * CHOOSE(CONTROL!$C$9, $D$9, 100%, $F$9) + CHOOSE(CONTROL!$C$27, 0.0021, 0)</f>
        <v>78.954099999999997</v>
      </c>
      <c r="H869" s="10">
        <f>78.8173 * CHOOSE(CONTROL!$C$9, $D$9, 100%, $F$9) + CHOOSE(CONTROL!$C$27, 0.0021, 0)</f>
        <v>78.819400000000002</v>
      </c>
      <c r="I869" s="10">
        <f>78.8173 * CHOOSE(CONTROL!$C$9, $D$9, 100%, $F$9) + CHOOSE(CONTROL!$C$27, 0.0021, 0)</f>
        <v>78.819400000000002</v>
      </c>
      <c r="J869" s="10">
        <f>78.8173 * CHOOSE(CONTROL!$C$9, $D$9, 100%, $F$9) + CHOOSE(CONTROL!$C$27, 0.0021, 0)</f>
        <v>78.819400000000002</v>
      </c>
      <c r="K869" s="10">
        <f>78.8173 * CHOOSE(CONTROL!$C$9, $D$9, 100%, $F$9) + CHOOSE(CONTROL!$C$27, 0.0021, 0)</f>
        <v>78.819400000000002</v>
      </c>
      <c r="L869" s="10"/>
    </row>
    <row r="870" spans="1:12" ht="15.75" x14ac:dyDescent="0.25">
      <c r="A870" s="13">
        <v>67784</v>
      </c>
      <c r="B870" s="10">
        <f>80.7945 * CHOOSE(CONTROL!$C$9, $D$9, 100%, $F$9) + CHOOSE(CONTROL!$C$27, 0.0021, 0)</f>
        <v>80.796599999999998</v>
      </c>
      <c r="C870" s="10">
        <f>80.3622 * CHOOSE(CONTROL!$C$9, $D$9, 100%, $F$9) + CHOOSE(CONTROL!$C$27, 0.0021, 0)</f>
        <v>80.3643</v>
      </c>
      <c r="D870" s="10">
        <f>80.3622 * CHOOSE(CONTROL!$C$9, $D$9, 100%, $F$9) + CHOOSE(CONTROL!$C$27, 0.0021, 0)</f>
        <v>80.3643</v>
      </c>
      <c r="E870" s="10">
        <f>80.2256 * CHOOSE(CONTROL!$C$9, $D$9, 100%, $F$9) + CHOOSE(CONTROL!$C$27, 0.0021, 0)</f>
        <v>80.227699999999999</v>
      </c>
      <c r="F870" s="10">
        <f>80.2256 * CHOOSE(CONTROL!$C$9, $D$9, 100%, $F$9) + CHOOSE(CONTROL!$C$27, 0.0021, 0)</f>
        <v>80.227699999999999</v>
      </c>
      <c r="G870" s="10">
        <f>80.4969 * CHOOSE(CONTROL!$C$9, $D$9, 100%, $F$9) + CHOOSE(CONTROL!$C$27, 0.0021, 0)</f>
        <v>80.498999999999995</v>
      </c>
      <c r="H870" s="10">
        <f>80.3622 * CHOOSE(CONTROL!$C$9, $D$9, 100%, $F$9) + CHOOSE(CONTROL!$C$27, 0.0021, 0)</f>
        <v>80.3643</v>
      </c>
      <c r="I870" s="10">
        <f>80.3622 * CHOOSE(CONTROL!$C$9, $D$9, 100%, $F$9) + CHOOSE(CONTROL!$C$27, 0.0021, 0)</f>
        <v>80.3643</v>
      </c>
      <c r="J870" s="10">
        <f>80.3622 * CHOOSE(CONTROL!$C$9, $D$9, 100%, $F$9) + CHOOSE(CONTROL!$C$27, 0.0021, 0)</f>
        <v>80.3643</v>
      </c>
      <c r="K870" s="10">
        <f>80.3622 * CHOOSE(CONTROL!$C$9, $D$9, 100%, $F$9) + CHOOSE(CONTROL!$C$27, 0.0021, 0)</f>
        <v>80.3643</v>
      </c>
      <c r="L870" s="10"/>
    </row>
    <row r="871" spans="1:12" ht="15.75" x14ac:dyDescent="0.25">
      <c r="A871" s="13">
        <v>67815</v>
      </c>
      <c r="B871" s="10">
        <f>81.2661 * CHOOSE(CONTROL!$C$9, $D$9, 100%, $F$9) + CHOOSE(CONTROL!$C$27, 0.0021, 0)</f>
        <v>81.268199999999993</v>
      </c>
      <c r="C871" s="10">
        <f>80.8338 * CHOOSE(CONTROL!$C$9, $D$9, 100%, $F$9) + CHOOSE(CONTROL!$C$27, 0.0021, 0)</f>
        <v>80.835899999999995</v>
      </c>
      <c r="D871" s="10">
        <f>80.8338 * CHOOSE(CONTROL!$C$9, $D$9, 100%, $F$9) + CHOOSE(CONTROL!$C$27, 0.0021, 0)</f>
        <v>80.835899999999995</v>
      </c>
      <c r="E871" s="10">
        <f>80.6971 * CHOOSE(CONTROL!$C$9, $D$9, 100%, $F$9) + CHOOSE(CONTROL!$C$27, 0.0021, 0)</f>
        <v>80.699200000000005</v>
      </c>
      <c r="F871" s="10">
        <f>80.6971 * CHOOSE(CONTROL!$C$9, $D$9, 100%, $F$9) + CHOOSE(CONTROL!$C$27, 0.0021, 0)</f>
        <v>80.699200000000005</v>
      </c>
      <c r="G871" s="10">
        <f>80.9685 * CHOOSE(CONTROL!$C$9, $D$9, 100%, $F$9) + CHOOSE(CONTROL!$C$27, 0.0021, 0)</f>
        <v>80.970600000000005</v>
      </c>
      <c r="H871" s="10">
        <f>80.8338 * CHOOSE(CONTROL!$C$9, $D$9, 100%, $F$9) + CHOOSE(CONTROL!$C$27, 0.0021, 0)</f>
        <v>80.835899999999995</v>
      </c>
      <c r="I871" s="10">
        <f>80.8338 * CHOOSE(CONTROL!$C$9, $D$9, 100%, $F$9) + CHOOSE(CONTROL!$C$27, 0.0021, 0)</f>
        <v>80.835899999999995</v>
      </c>
      <c r="J871" s="10">
        <f>80.8338 * CHOOSE(CONTROL!$C$9, $D$9, 100%, $F$9) + CHOOSE(CONTROL!$C$27, 0.0021, 0)</f>
        <v>80.835899999999995</v>
      </c>
      <c r="K871" s="10">
        <f>80.8338 * CHOOSE(CONTROL!$C$9, $D$9, 100%, $F$9) + CHOOSE(CONTROL!$C$27, 0.0021, 0)</f>
        <v>80.835899999999995</v>
      </c>
      <c r="L871" s="10"/>
    </row>
    <row r="872" spans="1:12" ht="15.75" x14ac:dyDescent="0.25">
      <c r="A872" s="13">
        <v>67845</v>
      </c>
      <c r="B872" s="10">
        <f>82.872 * CHOOSE(CONTROL!$C$9, $D$9, 100%, $F$9) + CHOOSE(CONTROL!$C$27, 0.0021, 0)</f>
        <v>82.874099999999999</v>
      </c>
      <c r="C872" s="10">
        <f>82.4397 * CHOOSE(CONTROL!$C$9, $D$9, 100%, $F$9) + CHOOSE(CONTROL!$C$27, 0.0021, 0)</f>
        <v>82.441800000000001</v>
      </c>
      <c r="D872" s="10">
        <f>82.4397 * CHOOSE(CONTROL!$C$9, $D$9, 100%, $F$9) + CHOOSE(CONTROL!$C$27, 0.0021, 0)</f>
        <v>82.441800000000001</v>
      </c>
      <c r="E872" s="10">
        <f>82.3031 * CHOOSE(CONTROL!$C$9, $D$9, 100%, $F$9) + CHOOSE(CONTROL!$C$27, 0.0021, 0)</f>
        <v>82.305199999999999</v>
      </c>
      <c r="F872" s="10">
        <f>82.3031 * CHOOSE(CONTROL!$C$9, $D$9, 100%, $F$9) + CHOOSE(CONTROL!$C$27, 0.0021, 0)</f>
        <v>82.305199999999999</v>
      </c>
      <c r="G872" s="10">
        <f>82.5745 * CHOOSE(CONTROL!$C$9, $D$9, 100%, $F$9) + CHOOSE(CONTROL!$C$27, 0.0021, 0)</f>
        <v>82.576599999999999</v>
      </c>
      <c r="H872" s="10">
        <f>82.4397 * CHOOSE(CONTROL!$C$9, $D$9, 100%, $F$9) + CHOOSE(CONTROL!$C$27, 0.0021, 0)</f>
        <v>82.441800000000001</v>
      </c>
      <c r="I872" s="10">
        <f>82.4397 * CHOOSE(CONTROL!$C$9, $D$9, 100%, $F$9) + CHOOSE(CONTROL!$C$27, 0.0021, 0)</f>
        <v>82.441800000000001</v>
      </c>
      <c r="J872" s="10">
        <f>82.4397 * CHOOSE(CONTROL!$C$9, $D$9, 100%, $F$9) + CHOOSE(CONTROL!$C$27, 0.0021, 0)</f>
        <v>82.441800000000001</v>
      </c>
      <c r="K872" s="10">
        <f>82.4397 * CHOOSE(CONTROL!$C$9, $D$9, 100%, $F$9) + CHOOSE(CONTROL!$C$27, 0.0021, 0)</f>
        <v>82.441800000000001</v>
      </c>
      <c r="L872" s="10"/>
    </row>
    <row r="873" spans="1:12" ht="15.75" x14ac:dyDescent="0.25">
      <c r="A873" s="13">
        <v>67876</v>
      </c>
      <c r="B873" s="10">
        <f>84.9048 * CHOOSE(CONTROL!$C$9, $D$9, 100%, $F$9) + CHOOSE(CONTROL!$C$27, 0.0021, 0)</f>
        <v>84.906899999999993</v>
      </c>
      <c r="C873" s="10">
        <f>84.4726 * CHOOSE(CONTROL!$C$9, $D$9, 100%, $F$9) + CHOOSE(CONTROL!$C$27, 0.0021, 0)</f>
        <v>84.474699999999999</v>
      </c>
      <c r="D873" s="10">
        <f>84.4726 * CHOOSE(CONTROL!$C$9, $D$9, 100%, $F$9) + CHOOSE(CONTROL!$C$27, 0.0021, 0)</f>
        <v>84.474699999999999</v>
      </c>
      <c r="E873" s="10">
        <f>84.3359 * CHOOSE(CONTROL!$C$9, $D$9, 100%, $F$9) + CHOOSE(CONTROL!$C$27, 0.0021, 0)</f>
        <v>84.337999999999994</v>
      </c>
      <c r="F873" s="10">
        <f>84.3359 * CHOOSE(CONTROL!$C$9, $D$9, 100%, $F$9) + CHOOSE(CONTROL!$C$27, 0.0021, 0)</f>
        <v>84.337999999999994</v>
      </c>
      <c r="G873" s="10">
        <f>84.6073 * CHOOSE(CONTROL!$C$9, $D$9, 100%, $F$9) + CHOOSE(CONTROL!$C$27, 0.0021, 0)</f>
        <v>84.609399999999994</v>
      </c>
      <c r="H873" s="10">
        <f>84.4726 * CHOOSE(CONTROL!$C$9, $D$9, 100%, $F$9) + CHOOSE(CONTROL!$C$27, 0.0021, 0)</f>
        <v>84.474699999999999</v>
      </c>
      <c r="I873" s="10">
        <f>84.4726 * CHOOSE(CONTROL!$C$9, $D$9, 100%, $F$9) + CHOOSE(CONTROL!$C$27, 0.0021, 0)</f>
        <v>84.474699999999999</v>
      </c>
      <c r="J873" s="10">
        <f>84.4726 * CHOOSE(CONTROL!$C$9, $D$9, 100%, $F$9) + CHOOSE(CONTROL!$C$27, 0.0021, 0)</f>
        <v>84.474699999999999</v>
      </c>
      <c r="K873" s="10">
        <f>84.4726 * CHOOSE(CONTROL!$C$9, $D$9, 100%, $F$9) + CHOOSE(CONTROL!$C$27, 0.0021, 0)</f>
        <v>84.474699999999999</v>
      </c>
      <c r="L873" s="10"/>
    </row>
    <row r="874" spans="1:12" ht="15.75" x14ac:dyDescent="0.25">
      <c r="A874" s="13">
        <v>67906</v>
      </c>
      <c r="B874" s="10">
        <f>85.0956 * CHOOSE(CONTROL!$C$9, $D$9, 100%, $F$9) + CHOOSE(CONTROL!$C$27, 0.0021, 0)</f>
        <v>85.097700000000003</v>
      </c>
      <c r="C874" s="10">
        <f>84.6634 * CHOOSE(CONTROL!$C$9, $D$9, 100%, $F$9) + CHOOSE(CONTROL!$C$27, 0.0021, 0)</f>
        <v>84.665499999999994</v>
      </c>
      <c r="D874" s="10">
        <f>84.6634 * CHOOSE(CONTROL!$C$9, $D$9, 100%, $F$9) + CHOOSE(CONTROL!$C$27, 0.0021, 0)</f>
        <v>84.665499999999994</v>
      </c>
      <c r="E874" s="10">
        <f>84.5267 * CHOOSE(CONTROL!$C$9, $D$9, 100%, $F$9) + CHOOSE(CONTROL!$C$27, 0.0021, 0)</f>
        <v>84.528800000000004</v>
      </c>
      <c r="F874" s="10">
        <f>84.5267 * CHOOSE(CONTROL!$C$9, $D$9, 100%, $F$9) + CHOOSE(CONTROL!$C$27, 0.0021, 0)</f>
        <v>84.528800000000004</v>
      </c>
      <c r="G874" s="10">
        <f>84.7981 * CHOOSE(CONTROL!$C$9, $D$9, 100%, $F$9) + CHOOSE(CONTROL!$C$27, 0.0021, 0)</f>
        <v>84.800200000000004</v>
      </c>
      <c r="H874" s="10">
        <f>84.6634 * CHOOSE(CONTROL!$C$9, $D$9, 100%, $F$9) + CHOOSE(CONTROL!$C$27, 0.0021, 0)</f>
        <v>84.665499999999994</v>
      </c>
      <c r="I874" s="10">
        <f>84.6634 * CHOOSE(CONTROL!$C$9, $D$9, 100%, $F$9) + CHOOSE(CONTROL!$C$27, 0.0021, 0)</f>
        <v>84.665499999999994</v>
      </c>
      <c r="J874" s="10">
        <f>84.6634 * CHOOSE(CONTROL!$C$9, $D$9, 100%, $F$9) + CHOOSE(CONTROL!$C$27, 0.0021, 0)</f>
        <v>84.665499999999994</v>
      </c>
      <c r="K874" s="10">
        <f>84.6634 * CHOOSE(CONTROL!$C$9, $D$9, 100%, $F$9) + CHOOSE(CONTROL!$C$27, 0.0021, 0)</f>
        <v>84.665499999999994</v>
      </c>
      <c r="L874" s="10"/>
    </row>
    <row r="875" spans="1:12" ht="15.75" x14ac:dyDescent="0.25">
      <c r="A875" s="13">
        <v>67937</v>
      </c>
      <c r="B875" s="10">
        <f>83.4721 * CHOOSE(CONTROL!$C$9, $D$9, 100%, $F$9) + CHOOSE(CONTROL!$C$27, 0.0021, 0)</f>
        <v>83.474199999999996</v>
      </c>
      <c r="C875" s="10">
        <f>83.0398 * CHOOSE(CONTROL!$C$9, $D$9, 100%, $F$9) + CHOOSE(CONTROL!$C$27, 0.0021, 0)</f>
        <v>83.041899999999998</v>
      </c>
      <c r="D875" s="10">
        <f>83.0398 * CHOOSE(CONTROL!$C$9, $D$9, 100%, $F$9) + CHOOSE(CONTROL!$C$27, 0.0021, 0)</f>
        <v>83.041899999999998</v>
      </c>
      <c r="E875" s="10">
        <f>82.9032 * CHOOSE(CONTROL!$C$9, $D$9, 100%, $F$9) + CHOOSE(CONTROL!$C$27, 0.0021, 0)</f>
        <v>82.905299999999997</v>
      </c>
      <c r="F875" s="10">
        <f>82.9032 * CHOOSE(CONTROL!$C$9, $D$9, 100%, $F$9) + CHOOSE(CONTROL!$C$27, 0.0021, 0)</f>
        <v>82.905299999999997</v>
      </c>
      <c r="G875" s="10">
        <f>83.1745 * CHOOSE(CONTROL!$C$9, $D$9, 100%, $F$9) + CHOOSE(CONTROL!$C$27, 0.0021, 0)</f>
        <v>83.176599999999993</v>
      </c>
      <c r="H875" s="10">
        <f>83.0398 * CHOOSE(CONTROL!$C$9, $D$9, 100%, $F$9) + CHOOSE(CONTROL!$C$27, 0.0021, 0)</f>
        <v>83.041899999999998</v>
      </c>
      <c r="I875" s="10">
        <f>83.0398 * CHOOSE(CONTROL!$C$9, $D$9, 100%, $F$9) + CHOOSE(CONTROL!$C$27, 0.0021, 0)</f>
        <v>83.041899999999998</v>
      </c>
      <c r="J875" s="10">
        <f>83.0398 * CHOOSE(CONTROL!$C$9, $D$9, 100%, $F$9) + CHOOSE(CONTROL!$C$27, 0.0021, 0)</f>
        <v>83.041899999999998</v>
      </c>
      <c r="K875" s="10">
        <f>83.0398 * CHOOSE(CONTROL!$C$9, $D$9, 100%, $F$9) + CHOOSE(CONTROL!$C$27, 0.0021, 0)</f>
        <v>83.041899999999998</v>
      </c>
      <c r="L875" s="10"/>
    </row>
    <row r="876" spans="1:12" ht="15.75" x14ac:dyDescent="0.25">
      <c r="A876" s="13">
        <v>67968</v>
      </c>
      <c r="B876" s="10">
        <f>82.229 * CHOOSE(CONTROL!$C$9, $D$9, 100%, $F$9) + CHOOSE(CONTROL!$C$27, 0.0021, 0)</f>
        <v>82.231099999999998</v>
      </c>
      <c r="C876" s="10">
        <f>81.7968 * CHOOSE(CONTROL!$C$9, $D$9, 100%, $F$9) + CHOOSE(CONTROL!$C$27, 0.0021, 0)</f>
        <v>81.798900000000003</v>
      </c>
      <c r="D876" s="10">
        <f>81.7968 * CHOOSE(CONTROL!$C$9, $D$9, 100%, $F$9) + CHOOSE(CONTROL!$C$27, 0.0021, 0)</f>
        <v>81.798900000000003</v>
      </c>
      <c r="E876" s="10">
        <f>81.6601 * CHOOSE(CONTROL!$C$9, $D$9, 100%, $F$9) + CHOOSE(CONTROL!$C$27, 0.0021, 0)</f>
        <v>81.662199999999999</v>
      </c>
      <c r="F876" s="10">
        <f>81.6601 * CHOOSE(CONTROL!$C$9, $D$9, 100%, $F$9) + CHOOSE(CONTROL!$C$27, 0.0021, 0)</f>
        <v>81.662199999999999</v>
      </c>
      <c r="G876" s="10">
        <f>81.9315 * CHOOSE(CONTROL!$C$9, $D$9, 100%, $F$9) + CHOOSE(CONTROL!$C$27, 0.0021, 0)</f>
        <v>81.933599999999998</v>
      </c>
      <c r="H876" s="10">
        <f>81.7968 * CHOOSE(CONTROL!$C$9, $D$9, 100%, $F$9) + CHOOSE(CONTROL!$C$27, 0.0021, 0)</f>
        <v>81.798900000000003</v>
      </c>
      <c r="I876" s="10">
        <f>81.7968 * CHOOSE(CONTROL!$C$9, $D$9, 100%, $F$9) + CHOOSE(CONTROL!$C$27, 0.0021, 0)</f>
        <v>81.798900000000003</v>
      </c>
      <c r="J876" s="10">
        <f>81.7968 * CHOOSE(CONTROL!$C$9, $D$9, 100%, $F$9) + CHOOSE(CONTROL!$C$27, 0.0021, 0)</f>
        <v>81.798900000000003</v>
      </c>
      <c r="K876" s="10">
        <f>81.7968 * CHOOSE(CONTROL!$C$9, $D$9, 100%, $F$9) + CHOOSE(CONTROL!$C$27, 0.0021, 0)</f>
        <v>81.798900000000003</v>
      </c>
      <c r="L876" s="10"/>
    </row>
    <row r="877" spans="1:12" ht="15.75" x14ac:dyDescent="0.25">
      <c r="A877" s="13">
        <v>67996</v>
      </c>
      <c r="B877" s="10">
        <f>79.968 * CHOOSE(CONTROL!$C$9, $D$9, 100%, $F$9) + CHOOSE(CONTROL!$C$27, 0.0021, 0)</f>
        <v>79.970100000000002</v>
      </c>
      <c r="C877" s="10">
        <f>79.5357 * CHOOSE(CONTROL!$C$9, $D$9, 100%, $F$9) + CHOOSE(CONTROL!$C$27, 0.0021, 0)</f>
        <v>79.537800000000004</v>
      </c>
      <c r="D877" s="10">
        <f>79.5357 * CHOOSE(CONTROL!$C$9, $D$9, 100%, $F$9) + CHOOSE(CONTROL!$C$27, 0.0021, 0)</f>
        <v>79.537800000000004</v>
      </c>
      <c r="E877" s="10">
        <f>79.3991 * CHOOSE(CONTROL!$C$9, $D$9, 100%, $F$9) + CHOOSE(CONTROL!$C$27, 0.0021, 0)</f>
        <v>79.401200000000003</v>
      </c>
      <c r="F877" s="10">
        <f>79.3991 * CHOOSE(CONTROL!$C$9, $D$9, 100%, $F$9) + CHOOSE(CONTROL!$C$27, 0.0021, 0)</f>
        <v>79.401200000000003</v>
      </c>
      <c r="G877" s="10">
        <f>79.6704 * CHOOSE(CONTROL!$C$9, $D$9, 100%, $F$9) + CHOOSE(CONTROL!$C$27, 0.0021, 0)</f>
        <v>79.672499999999999</v>
      </c>
      <c r="H877" s="10">
        <f>79.5357 * CHOOSE(CONTROL!$C$9, $D$9, 100%, $F$9) + CHOOSE(CONTROL!$C$27, 0.0021, 0)</f>
        <v>79.537800000000004</v>
      </c>
      <c r="I877" s="10">
        <f>79.5357 * CHOOSE(CONTROL!$C$9, $D$9, 100%, $F$9) + CHOOSE(CONTROL!$C$27, 0.0021, 0)</f>
        <v>79.537800000000004</v>
      </c>
      <c r="J877" s="10">
        <f>79.5357 * CHOOSE(CONTROL!$C$9, $D$9, 100%, $F$9) + CHOOSE(CONTROL!$C$27, 0.0021, 0)</f>
        <v>79.537800000000004</v>
      </c>
      <c r="K877" s="10">
        <f>79.5357 * CHOOSE(CONTROL!$C$9, $D$9, 100%, $F$9) + CHOOSE(CONTROL!$C$27, 0.0021, 0)</f>
        <v>79.537800000000004</v>
      </c>
      <c r="L877" s="10"/>
    </row>
    <row r="878" spans="1:12" ht="15.75" x14ac:dyDescent="0.25">
      <c r="A878" s="13">
        <v>68027</v>
      </c>
      <c r="B878" s="10">
        <f>79.0346 * CHOOSE(CONTROL!$C$9, $D$9, 100%, $F$9) + CHOOSE(CONTROL!$C$27, 0.0021, 0)</f>
        <v>79.036699999999996</v>
      </c>
      <c r="C878" s="10">
        <f>78.6024 * CHOOSE(CONTROL!$C$9, $D$9, 100%, $F$9) + CHOOSE(CONTROL!$C$27, 0.0021, 0)</f>
        <v>78.604500000000002</v>
      </c>
      <c r="D878" s="10">
        <f>78.6024 * CHOOSE(CONTROL!$C$9, $D$9, 100%, $F$9) + CHOOSE(CONTROL!$C$27, 0.0021, 0)</f>
        <v>78.604500000000002</v>
      </c>
      <c r="E878" s="10">
        <f>78.4657 * CHOOSE(CONTROL!$C$9, $D$9, 100%, $F$9) + CHOOSE(CONTROL!$C$27, 0.0021, 0)</f>
        <v>78.467799999999997</v>
      </c>
      <c r="F878" s="10">
        <f>78.4657 * CHOOSE(CONTROL!$C$9, $D$9, 100%, $F$9) + CHOOSE(CONTROL!$C$27, 0.0021, 0)</f>
        <v>78.467799999999997</v>
      </c>
      <c r="G878" s="10">
        <f>78.7371 * CHOOSE(CONTROL!$C$9, $D$9, 100%, $F$9) + CHOOSE(CONTROL!$C$27, 0.0021, 0)</f>
        <v>78.739199999999997</v>
      </c>
      <c r="H878" s="10">
        <f>78.6024 * CHOOSE(CONTROL!$C$9, $D$9, 100%, $F$9) + CHOOSE(CONTROL!$C$27, 0.0021, 0)</f>
        <v>78.604500000000002</v>
      </c>
      <c r="I878" s="10">
        <f>78.6024 * CHOOSE(CONTROL!$C$9, $D$9, 100%, $F$9) + CHOOSE(CONTROL!$C$27, 0.0021, 0)</f>
        <v>78.604500000000002</v>
      </c>
      <c r="J878" s="10">
        <f>78.6024 * CHOOSE(CONTROL!$C$9, $D$9, 100%, $F$9) + CHOOSE(CONTROL!$C$27, 0.0021, 0)</f>
        <v>78.604500000000002</v>
      </c>
      <c r="K878" s="10">
        <f>78.6024 * CHOOSE(CONTROL!$C$9, $D$9, 100%, $F$9) + CHOOSE(CONTROL!$C$27, 0.0021, 0)</f>
        <v>78.604500000000002</v>
      </c>
      <c r="L878" s="10"/>
    </row>
    <row r="879" spans="1:12" ht="15.75" x14ac:dyDescent="0.25">
      <c r="A879" s="13">
        <v>68057</v>
      </c>
      <c r="B879" s="10">
        <f>77.9202 * CHOOSE(CONTROL!$C$9, $D$9, 100%, $F$9) + CHOOSE(CONTROL!$C$27, 0.0021, 0)</f>
        <v>77.922299999999993</v>
      </c>
      <c r="C879" s="10">
        <f>77.4879 * CHOOSE(CONTROL!$C$9, $D$9, 100%, $F$9) + CHOOSE(CONTROL!$C$27, 0.0021, 0)</f>
        <v>77.489999999999995</v>
      </c>
      <c r="D879" s="10">
        <f>77.4879 * CHOOSE(CONTROL!$C$9, $D$9, 100%, $F$9) + CHOOSE(CONTROL!$C$27, 0.0021, 0)</f>
        <v>77.489999999999995</v>
      </c>
      <c r="E879" s="10">
        <f>77.3513 * CHOOSE(CONTROL!$C$9, $D$9, 100%, $F$9) + CHOOSE(CONTROL!$C$27, 0.0021, 0)</f>
        <v>77.353399999999993</v>
      </c>
      <c r="F879" s="10">
        <f>77.3513 * CHOOSE(CONTROL!$C$9, $D$9, 100%, $F$9) + CHOOSE(CONTROL!$C$27, 0.0021, 0)</f>
        <v>77.353399999999993</v>
      </c>
      <c r="G879" s="10">
        <f>77.6226 * CHOOSE(CONTROL!$C$9, $D$9, 100%, $F$9) + CHOOSE(CONTROL!$C$27, 0.0021, 0)</f>
        <v>77.624700000000004</v>
      </c>
      <c r="H879" s="10">
        <f>77.4879 * CHOOSE(CONTROL!$C$9, $D$9, 100%, $F$9) + CHOOSE(CONTROL!$C$27, 0.0021, 0)</f>
        <v>77.489999999999995</v>
      </c>
      <c r="I879" s="10">
        <f>77.4879 * CHOOSE(CONTROL!$C$9, $D$9, 100%, $F$9) + CHOOSE(CONTROL!$C$27, 0.0021, 0)</f>
        <v>77.489999999999995</v>
      </c>
      <c r="J879" s="10">
        <f>77.4879 * CHOOSE(CONTROL!$C$9, $D$9, 100%, $F$9) + CHOOSE(CONTROL!$C$27, 0.0021, 0)</f>
        <v>77.489999999999995</v>
      </c>
      <c r="K879" s="10">
        <f>77.4879 * CHOOSE(CONTROL!$C$9, $D$9, 100%, $F$9) + CHOOSE(CONTROL!$C$27, 0.0021, 0)</f>
        <v>77.489999999999995</v>
      </c>
      <c r="L879" s="10"/>
    </row>
    <row r="880" spans="1:12" ht="15.75" x14ac:dyDescent="0.25">
      <c r="A880" s="13">
        <v>68088</v>
      </c>
      <c r="B880" s="10">
        <f>79.5084 * CHOOSE(CONTROL!$C$9, $D$9, 100%, $F$9) + CHOOSE(CONTROL!$C$27, 0.0021, 0)</f>
        <v>79.510499999999993</v>
      </c>
      <c r="C880" s="10">
        <f>79.0761 * CHOOSE(CONTROL!$C$9, $D$9, 100%, $F$9) + CHOOSE(CONTROL!$C$27, 0.0021, 0)</f>
        <v>79.078199999999995</v>
      </c>
      <c r="D880" s="10">
        <f>79.0761 * CHOOSE(CONTROL!$C$9, $D$9, 100%, $F$9) + CHOOSE(CONTROL!$C$27, 0.0021, 0)</f>
        <v>79.078199999999995</v>
      </c>
      <c r="E880" s="10">
        <f>78.9395 * CHOOSE(CONTROL!$C$9, $D$9, 100%, $F$9) + CHOOSE(CONTROL!$C$27, 0.0021, 0)</f>
        <v>78.941599999999994</v>
      </c>
      <c r="F880" s="10">
        <f>78.9395 * CHOOSE(CONTROL!$C$9, $D$9, 100%, $F$9) + CHOOSE(CONTROL!$C$27, 0.0021, 0)</f>
        <v>78.941599999999994</v>
      </c>
      <c r="G880" s="10">
        <f>79.2109 * CHOOSE(CONTROL!$C$9, $D$9, 100%, $F$9) + CHOOSE(CONTROL!$C$27, 0.0021, 0)</f>
        <v>79.212999999999994</v>
      </c>
      <c r="H880" s="10">
        <f>79.0761 * CHOOSE(CONTROL!$C$9, $D$9, 100%, $F$9) + CHOOSE(CONTROL!$C$27, 0.0021, 0)</f>
        <v>79.078199999999995</v>
      </c>
      <c r="I880" s="10">
        <f>79.0761 * CHOOSE(CONTROL!$C$9, $D$9, 100%, $F$9) + CHOOSE(CONTROL!$C$27, 0.0021, 0)</f>
        <v>79.078199999999995</v>
      </c>
      <c r="J880" s="10">
        <f>79.0761 * CHOOSE(CONTROL!$C$9, $D$9, 100%, $F$9) + CHOOSE(CONTROL!$C$27, 0.0021, 0)</f>
        <v>79.078199999999995</v>
      </c>
      <c r="K880" s="10">
        <f>79.0761 * CHOOSE(CONTROL!$C$9, $D$9, 100%, $F$9) + CHOOSE(CONTROL!$C$27, 0.0021, 0)</f>
        <v>79.078199999999995</v>
      </c>
      <c r="L880" s="10"/>
    </row>
    <row r="881" spans="1:12" ht="15.75" x14ac:dyDescent="0.25">
      <c r="A881" s="13">
        <v>68118</v>
      </c>
      <c r="B881" s="10">
        <f>80.4597 * CHOOSE(CONTROL!$C$9, $D$9, 100%, $F$9) + CHOOSE(CONTROL!$C$27, 0.0021, 0)</f>
        <v>80.461799999999997</v>
      </c>
      <c r="C881" s="10">
        <f>80.0274 * CHOOSE(CONTROL!$C$9, $D$9, 100%, $F$9) + CHOOSE(CONTROL!$C$27, 0.0021, 0)</f>
        <v>80.029499999999999</v>
      </c>
      <c r="D881" s="10">
        <f>80.0274 * CHOOSE(CONTROL!$C$9, $D$9, 100%, $F$9) + CHOOSE(CONTROL!$C$27, 0.0021, 0)</f>
        <v>80.029499999999999</v>
      </c>
      <c r="E881" s="10">
        <f>79.8908 * CHOOSE(CONTROL!$C$9, $D$9, 100%, $F$9) + CHOOSE(CONTROL!$C$27, 0.0021, 0)</f>
        <v>79.892899999999997</v>
      </c>
      <c r="F881" s="10">
        <f>79.8908 * CHOOSE(CONTROL!$C$9, $D$9, 100%, $F$9) + CHOOSE(CONTROL!$C$27, 0.0021, 0)</f>
        <v>79.892899999999997</v>
      </c>
      <c r="G881" s="10">
        <f>80.1621 * CHOOSE(CONTROL!$C$9, $D$9, 100%, $F$9) + CHOOSE(CONTROL!$C$27, 0.0021, 0)</f>
        <v>80.164199999999994</v>
      </c>
      <c r="H881" s="10">
        <f>80.0274 * CHOOSE(CONTROL!$C$9, $D$9, 100%, $F$9) + CHOOSE(CONTROL!$C$27, 0.0021, 0)</f>
        <v>80.029499999999999</v>
      </c>
      <c r="I881" s="10">
        <f>80.0274 * CHOOSE(CONTROL!$C$9, $D$9, 100%, $F$9) + CHOOSE(CONTROL!$C$27, 0.0021, 0)</f>
        <v>80.029499999999999</v>
      </c>
      <c r="J881" s="10">
        <f>80.0274 * CHOOSE(CONTROL!$C$9, $D$9, 100%, $F$9) + CHOOSE(CONTROL!$C$27, 0.0021, 0)</f>
        <v>80.029499999999999</v>
      </c>
      <c r="K881" s="10">
        <f>80.0274 * CHOOSE(CONTROL!$C$9, $D$9, 100%, $F$9) + CHOOSE(CONTROL!$C$27, 0.0021, 0)</f>
        <v>80.029499999999999</v>
      </c>
      <c r="L881" s="10"/>
    </row>
    <row r="882" spans="1:12" ht="15.75" x14ac:dyDescent="0.25">
      <c r="A882" s="13">
        <v>68149</v>
      </c>
      <c r="B882" s="10">
        <f>82.0289 * CHOOSE(CONTROL!$C$9, $D$9, 100%, $F$9) + CHOOSE(CONTROL!$C$27, 0.0021, 0)</f>
        <v>82.030999999999992</v>
      </c>
      <c r="C882" s="10">
        <f>81.5967 * CHOOSE(CONTROL!$C$9, $D$9, 100%, $F$9) + CHOOSE(CONTROL!$C$27, 0.0021, 0)</f>
        <v>81.598799999999997</v>
      </c>
      <c r="D882" s="10">
        <f>81.5967 * CHOOSE(CONTROL!$C$9, $D$9, 100%, $F$9) + CHOOSE(CONTROL!$C$27, 0.0021, 0)</f>
        <v>81.598799999999997</v>
      </c>
      <c r="E882" s="10">
        <f>81.46 * CHOOSE(CONTROL!$C$9, $D$9, 100%, $F$9) + CHOOSE(CONTROL!$C$27, 0.0021, 0)</f>
        <v>81.462099999999992</v>
      </c>
      <c r="F882" s="10">
        <f>81.46 * CHOOSE(CONTROL!$C$9, $D$9, 100%, $F$9) + CHOOSE(CONTROL!$C$27, 0.0021, 0)</f>
        <v>81.462099999999992</v>
      </c>
      <c r="G882" s="10">
        <f>81.7314 * CHOOSE(CONTROL!$C$9, $D$9, 100%, $F$9) + CHOOSE(CONTROL!$C$27, 0.0021, 0)</f>
        <v>81.733499999999992</v>
      </c>
      <c r="H882" s="10">
        <f>81.5967 * CHOOSE(CONTROL!$C$9, $D$9, 100%, $F$9) + CHOOSE(CONTROL!$C$27, 0.0021, 0)</f>
        <v>81.598799999999997</v>
      </c>
      <c r="I882" s="10">
        <f>81.5967 * CHOOSE(CONTROL!$C$9, $D$9, 100%, $F$9) + CHOOSE(CONTROL!$C$27, 0.0021, 0)</f>
        <v>81.598799999999997</v>
      </c>
      <c r="J882" s="10">
        <f>81.5967 * CHOOSE(CONTROL!$C$9, $D$9, 100%, $F$9) + CHOOSE(CONTROL!$C$27, 0.0021, 0)</f>
        <v>81.598799999999997</v>
      </c>
      <c r="K882" s="10">
        <f>81.5967 * CHOOSE(CONTROL!$C$9, $D$9, 100%, $F$9) + CHOOSE(CONTROL!$C$27, 0.0021, 0)</f>
        <v>81.598799999999997</v>
      </c>
      <c r="L882" s="10"/>
    </row>
    <row r="883" spans="1:12" ht="15.75" x14ac:dyDescent="0.25">
      <c r="A883" s="13">
        <v>68180</v>
      </c>
      <c r="B883" s="10">
        <f>82.5079 * CHOOSE(CONTROL!$C$9, $D$9, 100%, $F$9) + CHOOSE(CONTROL!$C$27, 0.0021, 0)</f>
        <v>82.51</v>
      </c>
      <c r="C883" s="10">
        <f>82.0757 * CHOOSE(CONTROL!$C$9, $D$9, 100%, $F$9) + CHOOSE(CONTROL!$C$27, 0.0021, 0)</f>
        <v>82.077799999999996</v>
      </c>
      <c r="D883" s="10">
        <f>82.0757 * CHOOSE(CONTROL!$C$9, $D$9, 100%, $F$9) + CHOOSE(CONTROL!$C$27, 0.0021, 0)</f>
        <v>82.077799999999996</v>
      </c>
      <c r="E883" s="10">
        <f>81.939 * CHOOSE(CONTROL!$C$9, $D$9, 100%, $F$9) + CHOOSE(CONTROL!$C$27, 0.0021, 0)</f>
        <v>81.941099999999992</v>
      </c>
      <c r="F883" s="10">
        <f>81.939 * CHOOSE(CONTROL!$C$9, $D$9, 100%, $F$9) + CHOOSE(CONTROL!$C$27, 0.0021, 0)</f>
        <v>81.941099999999992</v>
      </c>
      <c r="G883" s="10">
        <f>82.2104 * CHOOSE(CONTROL!$C$9, $D$9, 100%, $F$9) + CHOOSE(CONTROL!$C$27, 0.0021, 0)</f>
        <v>82.212500000000006</v>
      </c>
      <c r="H883" s="10">
        <f>82.0757 * CHOOSE(CONTROL!$C$9, $D$9, 100%, $F$9) + CHOOSE(CONTROL!$C$27, 0.0021, 0)</f>
        <v>82.077799999999996</v>
      </c>
      <c r="I883" s="10">
        <f>82.0757 * CHOOSE(CONTROL!$C$9, $D$9, 100%, $F$9) + CHOOSE(CONTROL!$C$27, 0.0021, 0)</f>
        <v>82.077799999999996</v>
      </c>
      <c r="J883" s="10">
        <f>82.0757 * CHOOSE(CONTROL!$C$9, $D$9, 100%, $F$9) + CHOOSE(CONTROL!$C$27, 0.0021, 0)</f>
        <v>82.077799999999996</v>
      </c>
      <c r="K883" s="10">
        <f>82.0757 * CHOOSE(CONTROL!$C$9, $D$9, 100%, $F$9) + CHOOSE(CONTROL!$C$27, 0.0021, 0)</f>
        <v>82.077799999999996</v>
      </c>
      <c r="L883" s="10"/>
    </row>
    <row r="884" spans="1:12" ht="15.75" x14ac:dyDescent="0.25">
      <c r="A884" s="13">
        <v>68210</v>
      </c>
      <c r="B884" s="10">
        <f>84.1391 * CHOOSE(CONTROL!$C$9, $D$9, 100%, $F$9) + CHOOSE(CONTROL!$C$27, 0.0021, 0)</f>
        <v>84.141199999999998</v>
      </c>
      <c r="C884" s="10">
        <f>83.7068 * CHOOSE(CONTROL!$C$9, $D$9, 100%, $F$9) + CHOOSE(CONTROL!$C$27, 0.0021, 0)</f>
        <v>83.7089</v>
      </c>
      <c r="D884" s="10">
        <f>83.7068 * CHOOSE(CONTROL!$C$9, $D$9, 100%, $F$9) + CHOOSE(CONTROL!$C$27, 0.0021, 0)</f>
        <v>83.7089</v>
      </c>
      <c r="E884" s="10">
        <f>83.5702 * CHOOSE(CONTROL!$C$9, $D$9, 100%, $F$9) + CHOOSE(CONTROL!$C$27, 0.0021, 0)</f>
        <v>83.572299999999998</v>
      </c>
      <c r="F884" s="10">
        <f>83.5702 * CHOOSE(CONTROL!$C$9, $D$9, 100%, $F$9) + CHOOSE(CONTROL!$C$27, 0.0021, 0)</f>
        <v>83.572299999999998</v>
      </c>
      <c r="G884" s="10">
        <f>83.8416 * CHOOSE(CONTROL!$C$9, $D$9, 100%, $F$9) + CHOOSE(CONTROL!$C$27, 0.0021, 0)</f>
        <v>83.843699999999998</v>
      </c>
      <c r="H884" s="10">
        <f>83.7068 * CHOOSE(CONTROL!$C$9, $D$9, 100%, $F$9) + CHOOSE(CONTROL!$C$27, 0.0021, 0)</f>
        <v>83.7089</v>
      </c>
      <c r="I884" s="10">
        <f>83.7068 * CHOOSE(CONTROL!$C$9, $D$9, 100%, $F$9) + CHOOSE(CONTROL!$C$27, 0.0021, 0)</f>
        <v>83.7089</v>
      </c>
      <c r="J884" s="10">
        <f>83.7068 * CHOOSE(CONTROL!$C$9, $D$9, 100%, $F$9) + CHOOSE(CONTROL!$C$27, 0.0021, 0)</f>
        <v>83.7089</v>
      </c>
      <c r="K884" s="10">
        <f>83.7068 * CHOOSE(CONTROL!$C$9, $D$9, 100%, $F$9) + CHOOSE(CONTROL!$C$27, 0.0021, 0)</f>
        <v>83.7089</v>
      </c>
      <c r="L884" s="10"/>
    </row>
    <row r="885" spans="1:12" ht="15.75" x14ac:dyDescent="0.25">
      <c r="A885" s="13">
        <v>68241</v>
      </c>
      <c r="B885" s="10">
        <f>86.2039 * CHOOSE(CONTROL!$C$9, $D$9, 100%, $F$9) + CHOOSE(CONTROL!$C$27, 0.0021, 0)</f>
        <v>86.206000000000003</v>
      </c>
      <c r="C885" s="10">
        <f>85.7716 * CHOOSE(CONTROL!$C$9, $D$9, 100%, $F$9) + CHOOSE(CONTROL!$C$27, 0.0021, 0)</f>
        <v>85.773700000000005</v>
      </c>
      <c r="D885" s="10">
        <f>85.7716 * CHOOSE(CONTROL!$C$9, $D$9, 100%, $F$9) + CHOOSE(CONTROL!$C$27, 0.0021, 0)</f>
        <v>85.773700000000005</v>
      </c>
      <c r="E885" s="10">
        <f>85.635 * CHOOSE(CONTROL!$C$9, $D$9, 100%, $F$9) + CHOOSE(CONTROL!$C$27, 0.0021, 0)</f>
        <v>85.637100000000004</v>
      </c>
      <c r="F885" s="10">
        <f>85.635 * CHOOSE(CONTROL!$C$9, $D$9, 100%, $F$9) + CHOOSE(CONTROL!$C$27, 0.0021, 0)</f>
        <v>85.637100000000004</v>
      </c>
      <c r="G885" s="10">
        <f>85.9064 * CHOOSE(CONTROL!$C$9, $D$9, 100%, $F$9) + CHOOSE(CONTROL!$C$27, 0.0021, 0)</f>
        <v>85.908500000000004</v>
      </c>
      <c r="H885" s="10">
        <f>85.7716 * CHOOSE(CONTROL!$C$9, $D$9, 100%, $F$9) + CHOOSE(CONTROL!$C$27, 0.0021, 0)</f>
        <v>85.773700000000005</v>
      </c>
      <c r="I885" s="10">
        <f>85.7716 * CHOOSE(CONTROL!$C$9, $D$9, 100%, $F$9) + CHOOSE(CONTROL!$C$27, 0.0021, 0)</f>
        <v>85.773700000000005</v>
      </c>
      <c r="J885" s="10">
        <f>85.7716 * CHOOSE(CONTROL!$C$9, $D$9, 100%, $F$9) + CHOOSE(CONTROL!$C$27, 0.0021, 0)</f>
        <v>85.773700000000005</v>
      </c>
      <c r="K885" s="10">
        <f>85.7716 * CHOOSE(CONTROL!$C$9, $D$9, 100%, $F$9) + CHOOSE(CONTROL!$C$27, 0.0021, 0)</f>
        <v>85.773700000000005</v>
      </c>
      <c r="L885" s="10"/>
    </row>
    <row r="886" spans="1:12" ht="15.75" x14ac:dyDescent="0.25">
      <c r="A886" s="13">
        <v>68271</v>
      </c>
      <c r="B886" s="10">
        <f>86.3977 * CHOOSE(CONTROL!$C$9, $D$9, 100%, $F$9) + CHOOSE(CONTROL!$C$27, 0.0021, 0)</f>
        <v>86.399799999999999</v>
      </c>
      <c r="C886" s="10">
        <f>85.9655 * CHOOSE(CONTROL!$C$9, $D$9, 100%, $F$9) + CHOOSE(CONTROL!$C$27, 0.0021, 0)</f>
        <v>85.967600000000004</v>
      </c>
      <c r="D886" s="10">
        <f>85.9655 * CHOOSE(CONTROL!$C$9, $D$9, 100%, $F$9) + CHOOSE(CONTROL!$C$27, 0.0021, 0)</f>
        <v>85.967600000000004</v>
      </c>
      <c r="E886" s="10">
        <f>85.8288 * CHOOSE(CONTROL!$C$9, $D$9, 100%, $F$9) + CHOOSE(CONTROL!$C$27, 0.0021, 0)</f>
        <v>85.8309</v>
      </c>
      <c r="F886" s="10">
        <f>85.8288 * CHOOSE(CONTROL!$C$9, $D$9, 100%, $F$9) + CHOOSE(CONTROL!$C$27, 0.0021, 0)</f>
        <v>85.8309</v>
      </c>
      <c r="G886" s="10">
        <f>86.1002 * CHOOSE(CONTROL!$C$9, $D$9, 100%, $F$9) + CHOOSE(CONTROL!$C$27, 0.0021, 0)</f>
        <v>86.1023</v>
      </c>
      <c r="H886" s="10">
        <f>85.9655 * CHOOSE(CONTROL!$C$9, $D$9, 100%, $F$9) + CHOOSE(CONTROL!$C$27, 0.0021, 0)</f>
        <v>85.967600000000004</v>
      </c>
      <c r="I886" s="10">
        <f>85.9655 * CHOOSE(CONTROL!$C$9, $D$9, 100%, $F$9) + CHOOSE(CONTROL!$C$27, 0.0021, 0)</f>
        <v>85.967600000000004</v>
      </c>
      <c r="J886" s="10">
        <f>85.9655 * CHOOSE(CONTROL!$C$9, $D$9, 100%, $F$9) + CHOOSE(CONTROL!$C$27, 0.0021, 0)</f>
        <v>85.967600000000004</v>
      </c>
      <c r="K886" s="10">
        <f>85.9655 * CHOOSE(CONTROL!$C$9, $D$9, 100%, $F$9) + CHOOSE(CONTROL!$C$27, 0.0021, 0)</f>
        <v>85.967600000000004</v>
      </c>
      <c r="L886" s="10"/>
    </row>
    <row r="887" spans="1:12" ht="15.75" x14ac:dyDescent="0.25">
      <c r="A887" s="13">
        <v>68302</v>
      </c>
      <c r="B887" s="10">
        <f>84.7486 * CHOOSE(CONTROL!$C$9, $D$9, 100%, $F$9) + CHOOSE(CONTROL!$C$27, 0.0021, 0)</f>
        <v>84.750699999999995</v>
      </c>
      <c r="C887" s="10">
        <f>84.3164 * CHOOSE(CONTROL!$C$9, $D$9, 100%, $F$9) + CHOOSE(CONTROL!$C$27, 0.0021, 0)</f>
        <v>84.3185</v>
      </c>
      <c r="D887" s="10">
        <f>84.3164 * CHOOSE(CONTROL!$C$9, $D$9, 100%, $F$9) + CHOOSE(CONTROL!$C$27, 0.0021, 0)</f>
        <v>84.3185</v>
      </c>
      <c r="E887" s="10">
        <f>84.1797 * CHOOSE(CONTROL!$C$9, $D$9, 100%, $F$9) + CHOOSE(CONTROL!$C$27, 0.0021, 0)</f>
        <v>84.181799999999996</v>
      </c>
      <c r="F887" s="10">
        <f>84.1797 * CHOOSE(CONTROL!$C$9, $D$9, 100%, $F$9) + CHOOSE(CONTROL!$C$27, 0.0021, 0)</f>
        <v>84.181799999999996</v>
      </c>
      <c r="G887" s="10">
        <f>84.4511 * CHOOSE(CONTROL!$C$9, $D$9, 100%, $F$9) + CHOOSE(CONTROL!$C$27, 0.0021, 0)</f>
        <v>84.453199999999995</v>
      </c>
      <c r="H887" s="10">
        <f>84.3164 * CHOOSE(CONTROL!$C$9, $D$9, 100%, $F$9) + CHOOSE(CONTROL!$C$27, 0.0021, 0)</f>
        <v>84.3185</v>
      </c>
      <c r="I887" s="10">
        <f>84.3164 * CHOOSE(CONTROL!$C$9, $D$9, 100%, $F$9) + CHOOSE(CONTROL!$C$27, 0.0021, 0)</f>
        <v>84.3185</v>
      </c>
      <c r="J887" s="10">
        <f>84.3164 * CHOOSE(CONTROL!$C$9, $D$9, 100%, $F$9) + CHOOSE(CONTROL!$C$27, 0.0021, 0)</f>
        <v>84.3185</v>
      </c>
      <c r="K887" s="10">
        <f>84.3164 * CHOOSE(CONTROL!$C$9, $D$9, 100%, $F$9) + CHOOSE(CONTROL!$C$27, 0.0021, 0)</f>
        <v>84.3185</v>
      </c>
      <c r="L887" s="10"/>
    </row>
    <row r="888" spans="1:12" ht="15.75" x14ac:dyDescent="0.25">
      <c r="A888" s="13">
        <v>68333</v>
      </c>
      <c r="B888" s="10">
        <f>83.486 * CHOOSE(CONTROL!$C$9, $D$9, 100%, $F$9) + CHOOSE(CONTROL!$C$27, 0.0021, 0)</f>
        <v>83.488100000000003</v>
      </c>
      <c r="C888" s="10">
        <f>83.0538 * CHOOSE(CONTROL!$C$9, $D$9, 100%, $F$9) + CHOOSE(CONTROL!$C$27, 0.0021, 0)</f>
        <v>83.055899999999994</v>
      </c>
      <c r="D888" s="10">
        <f>83.0538 * CHOOSE(CONTROL!$C$9, $D$9, 100%, $F$9) + CHOOSE(CONTROL!$C$27, 0.0021, 0)</f>
        <v>83.055899999999994</v>
      </c>
      <c r="E888" s="10">
        <f>82.9171 * CHOOSE(CONTROL!$C$9, $D$9, 100%, $F$9) + CHOOSE(CONTROL!$C$27, 0.0021, 0)</f>
        <v>82.919200000000004</v>
      </c>
      <c r="F888" s="10">
        <f>82.9171 * CHOOSE(CONTROL!$C$9, $D$9, 100%, $F$9) + CHOOSE(CONTROL!$C$27, 0.0021, 0)</f>
        <v>82.919200000000004</v>
      </c>
      <c r="G888" s="10">
        <f>83.1885 * CHOOSE(CONTROL!$C$9, $D$9, 100%, $F$9) + CHOOSE(CONTROL!$C$27, 0.0021, 0)</f>
        <v>83.190600000000003</v>
      </c>
      <c r="H888" s="10">
        <f>83.0538 * CHOOSE(CONTROL!$C$9, $D$9, 100%, $F$9) + CHOOSE(CONTROL!$C$27, 0.0021, 0)</f>
        <v>83.055899999999994</v>
      </c>
      <c r="I888" s="10">
        <f>83.0538 * CHOOSE(CONTROL!$C$9, $D$9, 100%, $F$9) + CHOOSE(CONTROL!$C$27, 0.0021, 0)</f>
        <v>83.055899999999994</v>
      </c>
      <c r="J888" s="10">
        <f>83.0538 * CHOOSE(CONTROL!$C$9, $D$9, 100%, $F$9) + CHOOSE(CONTROL!$C$27, 0.0021, 0)</f>
        <v>83.055899999999994</v>
      </c>
      <c r="K888" s="10">
        <f>83.0538 * CHOOSE(CONTROL!$C$9, $D$9, 100%, $F$9) + CHOOSE(CONTROL!$C$27, 0.0021, 0)</f>
        <v>83.055899999999994</v>
      </c>
      <c r="L888" s="10"/>
    </row>
    <row r="889" spans="1:12" ht="15.75" x14ac:dyDescent="0.25">
      <c r="A889" s="13">
        <v>68361</v>
      </c>
      <c r="B889" s="10">
        <f>81.1894 * CHOOSE(CONTROL!$C$9, $D$9, 100%, $F$9) + CHOOSE(CONTROL!$C$27, 0.0021, 0)</f>
        <v>81.191500000000005</v>
      </c>
      <c r="C889" s="10">
        <f>80.7572 * CHOOSE(CONTROL!$C$9, $D$9, 100%, $F$9) + CHOOSE(CONTROL!$C$27, 0.0021, 0)</f>
        <v>80.759299999999996</v>
      </c>
      <c r="D889" s="10">
        <f>80.7572 * CHOOSE(CONTROL!$C$9, $D$9, 100%, $F$9) + CHOOSE(CONTROL!$C$27, 0.0021, 0)</f>
        <v>80.759299999999996</v>
      </c>
      <c r="E889" s="10">
        <f>80.6205 * CHOOSE(CONTROL!$C$9, $D$9, 100%, $F$9) + CHOOSE(CONTROL!$C$27, 0.0021, 0)</f>
        <v>80.622600000000006</v>
      </c>
      <c r="F889" s="10">
        <f>80.6205 * CHOOSE(CONTROL!$C$9, $D$9, 100%, $F$9) + CHOOSE(CONTROL!$C$27, 0.0021, 0)</f>
        <v>80.622600000000006</v>
      </c>
      <c r="G889" s="10">
        <f>80.8919 * CHOOSE(CONTROL!$C$9, $D$9, 100%, $F$9) + CHOOSE(CONTROL!$C$27, 0.0021, 0)</f>
        <v>80.894000000000005</v>
      </c>
      <c r="H889" s="10">
        <f>80.7572 * CHOOSE(CONTROL!$C$9, $D$9, 100%, $F$9) + CHOOSE(CONTROL!$C$27, 0.0021, 0)</f>
        <v>80.759299999999996</v>
      </c>
      <c r="I889" s="10">
        <f>80.7572 * CHOOSE(CONTROL!$C$9, $D$9, 100%, $F$9) + CHOOSE(CONTROL!$C$27, 0.0021, 0)</f>
        <v>80.759299999999996</v>
      </c>
      <c r="J889" s="10">
        <f>80.7572 * CHOOSE(CONTROL!$C$9, $D$9, 100%, $F$9) + CHOOSE(CONTROL!$C$27, 0.0021, 0)</f>
        <v>80.759299999999996</v>
      </c>
      <c r="K889" s="10">
        <f>80.7572 * CHOOSE(CONTROL!$C$9, $D$9, 100%, $F$9) + CHOOSE(CONTROL!$C$27, 0.0021, 0)</f>
        <v>80.759299999999996</v>
      </c>
      <c r="L889" s="10"/>
    </row>
    <row r="890" spans="1:12" ht="15.75" x14ac:dyDescent="0.25">
      <c r="A890" s="13">
        <v>68392</v>
      </c>
      <c r="B890" s="10">
        <f>80.2414 * CHOOSE(CONTROL!$C$9, $D$9, 100%, $F$9) + CHOOSE(CONTROL!$C$27, 0.0021, 0)</f>
        <v>80.243499999999997</v>
      </c>
      <c r="C890" s="10">
        <f>79.8091 * CHOOSE(CONTROL!$C$9, $D$9, 100%, $F$9) + CHOOSE(CONTROL!$C$27, 0.0021, 0)</f>
        <v>79.811199999999999</v>
      </c>
      <c r="D890" s="10">
        <f>79.8091 * CHOOSE(CONTROL!$C$9, $D$9, 100%, $F$9) + CHOOSE(CONTROL!$C$27, 0.0021, 0)</f>
        <v>79.811199999999999</v>
      </c>
      <c r="E890" s="10">
        <f>79.6725 * CHOOSE(CONTROL!$C$9, $D$9, 100%, $F$9) + CHOOSE(CONTROL!$C$27, 0.0021, 0)</f>
        <v>79.674599999999998</v>
      </c>
      <c r="F890" s="10">
        <f>79.6725 * CHOOSE(CONTROL!$C$9, $D$9, 100%, $F$9) + CHOOSE(CONTROL!$C$27, 0.0021, 0)</f>
        <v>79.674599999999998</v>
      </c>
      <c r="G890" s="10">
        <f>79.9438 * CHOOSE(CONTROL!$C$9, $D$9, 100%, $F$9) + CHOOSE(CONTROL!$C$27, 0.0021, 0)</f>
        <v>79.945899999999995</v>
      </c>
      <c r="H890" s="10">
        <f>79.8091 * CHOOSE(CONTROL!$C$9, $D$9, 100%, $F$9) + CHOOSE(CONTROL!$C$27, 0.0021, 0)</f>
        <v>79.811199999999999</v>
      </c>
      <c r="I890" s="10">
        <f>79.8091 * CHOOSE(CONTROL!$C$9, $D$9, 100%, $F$9) + CHOOSE(CONTROL!$C$27, 0.0021, 0)</f>
        <v>79.811199999999999</v>
      </c>
      <c r="J890" s="10">
        <f>79.8091 * CHOOSE(CONTROL!$C$9, $D$9, 100%, $F$9) + CHOOSE(CONTROL!$C$27, 0.0021, 0)</f>
        <v>79.811199999999999</v>
      </c>
      <c r="K890" s="10">
        <f>79.8091 * CHOOSE(CONTROL!$C$9, $D$9, 100%, $F$9) + CHOOSE(CONTROL!$C$27, 0.0021, 0)</f>
        <v>79.811199999999999</v>
      </c>
      <c r="L890" s="10"/>
    </row>
    <row r="891" spans="1:12" ht="15.75" x14ac:dyDescent="0.25">
      <c r="A891" s="13">
        <v>68422</v>
      </c>
      <c r="B891" s="10">
        <f>79.1094 * CHOOSE(CONTROL!$C$9, $D$9, 100%, $F$9) + CHOOSE(CONTROL!$C$27, 0.0021, 0)</f>
        <v>79.111499999999992</v>
      </c>
      <c r="C891" s="10">
        <f>78.6772 * CHOOSE(CONTROL!$C$9, $D$9, 100%, $F$9) + CHOOSE(CONTROL!$C$27, 0.0021, 0)</f>
        <v>78.679299999999998</v>
      </c>
      <c r="D891" s="10">
        <f>78.6772 * CHOOSE(CONTROL!$C$9, $D$9, 100%, $F$9) + CHOOSE(CONTROL!$C$27, 0.0021, 0)</f>
        <v>78.679299999999998</v>
      </c>
      <c r="E891" s="10">
        <f>78.5405 * CHOOSE(CONTROL!$C$9, $D$9, 100%, $F$9) + CHOOSE(CONTROL!$C$27, 0.0021, 0)</f>
        <v>78.542599999999993</v>
      </c>
      <c r="F891" s="10">
        <f>78.5405 * CHOOSE(CONTROL!$C$9, $D$9, 100%, $F$9) + CHOOSE(CONTROL!$C$27, 0.0021, 0)</f>
        <v>78.542599999999993</v>
      </c>
      <c r="G891" s="10">
        <f>78.8119 * CHOOSE(CONTROL!$C$9, $D$9, 100%, $F$9) + CHOOSE(CONTROL!$C$27, 0.0021, 0)</f>
        <v>78.813999999999993</v>
      </c>
      <c r="H891" s="10">
        <f>78.6772 * CHOOSE(CONTROL!$C$9, $D$9, 100%, $F$9) + CHOOSE(CONTROL!$C$27, 0.0021, 0)</f>
        <v>78.679299999999998</v>
      </c>
      <c r="I891" s="10">
        <f>78.6772 * CHOOSE(CONTROL!$C$9, $D$9, 100%, $F$9) + CHOOSE(CONTROL!$C$27, 0.0021, 0)</f>
        <v>78.679299999999998</v>
      </c>
      <c r="J891" s="10">
        <f>78.6772 * CHOOSE(CONTROL!$C$9, $D$9, 100%, $F$9) + CHOOSE(CONTROL!$C$27, 0.0021, 0)</f>
        <v>78.679299999999998</v>
      </c>
      <c r="K891" s="10">
        <f>78.6772 * CHOOSE(CONTROL!$C$9, $D$9, 100%, $F$9) + CHOOSE(CONTROL!$C$27, 0.0021, 0)</f>
        <v>78.679299999999998</v>
      </c>
      <c r="L891" s="10"/>
    </row>
    <row r="892" spans="1:12" ht="15.75" x14ac:dyDescent="0.25">
      <c r="A892" s="13">
        <v>68453</v>
      </c>
      <c r="B892" s="10">
        <f>80.7226 * CHOOSE(CONTROL!$C$9, $D$9, 100%, $F$9) + CHOOSE(CONTROL!$C$27, 0.0021, 0)</f>
        <v>80.724699999999999</v>
      </c>
      <c r="C892" s="10">
        <f>80.2904 * CHOOSE(CONTROL!$C$9, $D$9, 100%, $F$9) + CHOOSE(CONTROL!$C$27, 0.0021, 0)</f>
        <v>80.292500000000004</v>
      </c>
      <c r="D892" s="10">
        <f>80.2904 * CHOOSE(CONTROL!$C$9, $D$9, 100%, $F$9) + CHOOSE(CONTROL!$C$27, 0.0021, 0)</f>
        <v>80.292500000000004</v>
      </c>
      <c r="E892" s="10">
        <f>80.1537 * CHOOSE(CONTROL!$C$9, $D$9, 100%, $F$9) + CHOOSE(CONTROL!$C$27, 0.0021, 0)</f>
        <v>80.155799999999999</v>
      </c>
      <c r="F892" s="10">
        <f>80.1537 * CHOOSE(CONTROL!$C$9, $D$9, 100%, $F$9) + CHOOSE(CONTROL!$C$27, 0.0021, 0)</f>
        <v>80.155799999999999</v>
      </c>
      <c r="G892" s="10">
        <f>80.4251 * CHOOSE(CONTROL!$C$9, $D$9, 100%, $F$9) + CHOOSE(CONTROL!$C$27, 0.0021, 0)</f>
        <v>80.427199999999999</v>
      </c>
      <c r="H892" s="10">
        <f>80.2904 * CHOOSE(CONTROL!$C$9, $D$9, 100%, $F$9) + CHOOSE(CONTROL!$C$27, 0.0021, 0)</f>
        <v>80.292500000000004</v>
      </c>
      <c r="I892" s="10">
        <f>80.2904 * CHOOSE(CONTROL!$C$9, $D$9, 100%, $F$9) + CHOOSE(CONTROL!$C$27, 0.0021, 0)</f>
        <v>80.292500000000004</v>
      </c>
      <c r="J892" s="10">
        <f>80.2904 * CHOOSE(CONTROL!$C$9, $D$9, 100%, $F$9) + CHOOSE(CONTROL!$C$27, 0.0021, 0)</f>
        <v>80.292500000000004</v>
      </c>
      <c r="K892" s="10">
        <f>80.2904 * CHOOSE(CONTROL!$C$9, $D$9, 100%, $F$9) + CHOOSE(CONTROL!$C$27, 0.0021, 0)</f>
        <v>80.292500000000004</v>
      </c>
      <c r="L892" s="10"/>
    </row>
    <row r="893" spans="1:12" ht="15.75" x14ac:dyDescent="0.25">
      <c r="A893" s="13">
        <v>68483</v>
      </c>
      <c r="B893" s="10">
        <f>81.6888 * CHOOSE(CONTROL!$C$9, $D$9, 100%, $F$9) + CHOOSE(CONTROL!$C$27, 0.0021, 0)</f>
        <v>81.690899999999999</v>
      </c>
      <c r="C893" s="10">
        <f>81.2566 * CHOOSE(CONTROL!$C$9, $D$9, 100%, $F$9) + CHOOSE(CONTROL!$C$27, 0.0021, 0)</f>
        <v>81.258700000000005</v>
      </c>
      <c r="D893" s="10">
        <f>81.2566 * CHOOSE(CONTROL!$C$9, $D$9, 100%, $F$9) + CHOOSE(CONTROL!$C$27, 0.0021, 0)</f>
        <v>81.258700000000005</v>
      </c>
      <c r="E893" s="10">
        <f>81.1199 * CHOOSE(CONTROL!$C$9, $D$9, 100%, $F$9) + CHOOSE(CONTROL!$C$27, 0.0021, 0)</f>
        <v>81.122</v>
      </c>
      <c r="F893" s="10">
        <f>81.1199 * CHOOSE(CONTROL!$C$9, $D$9, 100%, $F$9) + CHOOSE(CONTROL!$C$27, 0.0021, 0)</f>
        <v>81.122</v>
      </c>
      <c r="G893" s="10">
        <f>81.3913 * CHOOSE(CONTROL!$C$9, $D$9, 100%, $F$9) + CHOOSE(CONTROL!$C$27, 0.0021, 0)</f>
        <v>81.3934</v>
      </c>
      <c r="H893" s="10">
        <f>81.2566 * CHOOSE(CONTROL!$C$9, $D$9, 100%, $F$9) + CHOOSE(CONTROL!$C$27, 0.0021, 0)</f>
        <v>81.258700000000005</v>
      </c>
      <c r="I893" s="10">
        <f>81.2566 * CHOOSE(CONTROL!$C$9, $D$9, 100%, $F$9) + CHOOSE(CONTROL!$C$27, 0.0021, 0)</f>
        <v>81.258700000000005</v>
      </c>
      <c r="J893" s="10">
        <f>81.2566 * CHOOSE(CONTROL!$C$9, $D$9, 100%, $F$9) + CHOOSE(CONTROL!$C$27, 0.0021, 0)</f>
        <v>81.258700000000005</v>
      </c>
      <c r="K893" s="10">
        <f>81.2566 * CHOOSE(CONTROL!$C$9, $D$9, 100%, $F$9) + CHOOSE(CONTROL!$C$27, 0.0021, 0)</f>
        <v>81.258700000000005</v>
      </c>
      <c r="L893" s="10"/>
    </row>
    <row r="894" spans="1:12" ht="15.75" x14ac:dyDescent="0.25">
      <c r="A894" s="13">
        <v>68514</v>
      </c>
      <c r="B894" s="10">
        <f>83.2828 * CHOOSE(CONTROL!$C$9, $D$9, 100%, $F$9) + CHOOSE(CONTROL!$C$27, 0.0021, 0)</f>
        <v>83.284899999999993</v>
      </c>
      <c r="C894" s="10">
        <f>82.8505 * CHOOSE(CONTROL!$C$9, $D$9, 100%, $F$9) + CHOOSE(CONTROL!$C$27, 0.0021, 0)</f>
        <v>82.852599999999995</v>
      </c>
      <c r="D894" s="10">
        <f>82.8505 * CHOOSE(CONTROL!$C$9, $D$9, 100%, $F$9) + CHOOSE(CONTROL!$C$27, 0.0021, 0)</f>
        <v>82.852599999999995</v>
      </c>
      <c r="E894" s="10">
        <f>82.7139 * CHOOSE(CONTROL!$C$9, $D$9, 100%, $F$9) + CHOOSE(CONTROL!$C$27, 0.0021, 0)</f>
        <v>82.715999999999994</v>
      </c>
      <c r="F894" s="10">
        <f>82.7139 * CHOOSE(CONTROL!$C$9, $D$9, 100%, $F$9) + CHOOSE(CONTROL!$C$27, 0.0021, 0)</f>
        <v>82.715999999999994</v>
      </c>
      <c r="G894" s="10">
        <f>82.9852 * CHOOSE(CONTROL!$C$9, $D$9, 100%, $F$9) + CHOOSE(CONTROL!$C$27, 0.0021, 0)</f>
        <v>82.987300000000005</v>
      </c>
      <c r="H894" s="10">
        <f>82.8505 * CHOOSE(CONTROL!$C$9, $D$9, 100%, $F$9) + CHOOSE(CONTROL!$C$27, 0.0021, 0)</f>
        <v>82.852599999999995</v>
      </c>
      <c r="I894" s="10">
        <f>82.8505 * CHOOSE(CONTROL!$C$9, $D$9, 100%, $F$9) + CHOOSE(CONTROL!$C$27, 0.0021, 0)</f>
        <v>82.852599999999995</v>
      </c>
      <c r="J894" s="10">
        <f>82.8505 * CHOOSE(CONTROL!$C$9, $D$9, 100%, $F$9) + CHOOSE(CONTROL!$C$27, 0.0021, 0)</f>
        <v>82.852599999999995</v>
      </c>
      <c r="K894" s="10">
        <f>82.8505 * CHOOSE(CONTROL!$C$9, $D$9, 100%, $F$9) + CHOOSE(CONTROL!$C$27, 0.0021, 0)</f>
        <v>82.852599999999995</v>
      </c>
      <c r="L894" s="10"/>
    </row>
    <row r="895" spans="1:12" ht="15.75" x14ac:dyDescent="0.25">
      <c r="A895" s="13">
        <v>68545</v>
      </c>
      <c r="B895" s="10">
        <f>83.7693 * CHOOSE(CONTROL!$C$9, $D$9, 100%, $F$9) + CHOOSE(CONTROL!$C$27, 0.0021, 0)</f>
        <v>83.7714</v>
      </c>
      <c r="C895" s="10">
        <f>83.337 * CHOOSE(CONTROL!$C$9, $D$9, 100%, $F$9) + CHOOSE(CONTROL!$C$27, 0.0021, 0)</f>
        <v>83.339100000000002</v>
      </c>
      <c r="D895" s="10">
        <f>83.337 * CHOOSE(CONTROL!$C$9, $D$9, 100%, $F$9) + CHOOSE(CONTROL!$C$27, 0.0021, 0)</f>
        <v>83.339100000000002</v>
      </c>
      <c r="E895" s="10">
        <f>83.2004 * CHOOSE(CONTROL!$C$9, $D$9, 100%, $F$9) + CHOOSE(CONTROL!$C$27, 0.0021, 0)</f>
        <v>83.202500000000001</v>
      </c>
      <c r="F895" s="10">
        <f>83.2004 * CHOOSE(CONTROL!$C$9, $D$9, 100%, $F$9) + CHOOSE(CONTROL!$C$27, 0.0021, 0)</f>
        <v>83.202500000000001</v>
      </c>
      <c r="G895" s="10">
        <f>83.4718 * CHOOSE(CONTROL!$C$9, $D$9, 100%, $F$9) + CHOOSE(CONTROL!$C$27, 0.0021, 0)</f>
        <v>83.4739</v>
      </c>
      <c r="H895" s="10">
        <f>83.337 * CHOOSE(CONTROL!$C$9, $D$9, 100%, $F$9) + CHOOSE(CONTROL!$C$27, 0.0021, 0)</f>
        <v>83.339100000000002</v>
      </c>
      <c r="I895" s="10">
        <f>83.337 * CHOOSE(CONTROL!$C$9, $D$9, 100%, $F$9) + CHOOSE(CONTROL!$C$27, 0.0021, 0)</f>
        <v>83.339100000000002</v>
      </c>
      <c r="J895" s="10">
        <f>83.337 * CHOOSE(CONTROL!$C$9, $D$9, 100%, $F$9) + CHOOSE(CONTROL!$C$27, 0.0021, 0)</f>
        <v>83.339100000000002</v>
      </c>
      <c r="K895" s="10">
        <f>83.337 * CHOOSE(CONTROL!$C$9, $D$9, 100%, $F$9) + CHOOSE(CONTROL!$C$27, 0.0021, 0)</f>
        <v>83.339100000000002</v>
      </c>
      <c r="L895" s="10"/>
    </row>
    <row r="896" spans="1:12" ht="15.75" x14ac:dyDescent="0.25">
      <c r="A896" s="13">
        <v>68575</v>
      </c>
      <c r="B896" s="10">
        <f>85.4261 * CHOOSE(CONTROL!$C$9, $D$9, 100%, $F$9) + CHOOSE(CONTROL!$C$27, 0.0021, 0)</f>
        <v>85.428200000000004</v>
      </c>
      <c r="C896" s="10">
        <f>84.9939 * CHOOSE(CONTROL!$C$9, $D$9, 100%, $F$9) + CHOOSE(CONTROL!$C$27, 0.0021, 0)</f>
        <v>84.995999999999995</v>
      </c>
      <c r="D896" s="10">
        <f>84.9939 * CHOOSE(CONTROL!$C$9, $D$9, 100%, $F$9) + CHOOSE(CONTROL!$C$27, 0.0021, 0)</f>
        <v>84.995999999999995</v>
      </c>
      <c r="E896" s="10">
        <f>84.8572 * CHOOSE(CONTROL!$C$9, $D$9, 100%, $F$9) + CHOOSE(CONTROL!$C$27, 0.0021, 0)</f>
        <v>84.859300000000005</v>
      </c>
      <c r="F896" s="10">
        <f>84.8572 * CHOOSE(CONTROL!$C$9, $D$9, 100%, $F$9) + CHOOSE(CONTROL!$C$27, 0.0021, 0)</f>
        <v>84.859300000000005</v>
      </c>
      <c r="G896" s="10">
        <f>85.1286 * CHOOSE(CONTROL!$C$9, $D$9, 100%, $F$9) + CHOOSE(CONTROL!$C$27, 0.0021, 0)</f>
        <v>85.130700000000004</v>
      </c>
      <c r="H896" s="10">
        <f>84.9939 * CHOOSE(CONTROL!$C$9, $D$9, 100%, $F$9) + CHOOSE(CONTROL!$C$27, 0.0021, 0)</f>
        <v>84.995999999999995</v>
      </c>
      <c r="I896" s="10">
        <f>84.9939 * CHOOSE(CONTROL!$C$9, $D$9, 100%, $F$9) + CHOOSE(CONTROL!$C$27, 0.0021, 0)</f>
        <v>84.995999999999995</v>
      </c>
      <c r="J896" s="10">
        <f>84.9939 * CHOOSE(CONTROL!$C$9, $D$9, 100%, $F$9) + CHOOSE(CONTROL!$C$27, 0.0021, 0)</f>
        <v>84.995999999999995</v>
      </c>
      <c r="K896" s="10">
        <f>84.9939 * CHOOSE(CONTROL!$C$9, $D$9, 100%, $F$9) + CHOOSE(CONTROL!$C$27, 0.0021, 0)</f>
        <v>84.995999999999995</v>
      </c>
      <c r="L896" s="10"/>
    </row>
    <row r="897" spans="1:12" ht="15.75" x14ac:dyDescent="0.25">
      <c r="A897" s="13">
        <v>68606</v>
      </c>
      <c r="B897" s="10">
        <f>87.5234 * CHOOSE(CONTROL!$C$9, $D$9, 100%, $F$9) + CHOOSE(CONTROL!$C$27, 0.0021, 0)</f>
        <v>87.525499999999994</v>
      </c>
      <c r="C897" s="10">
        <f>87.0911 * CHOOSE(CONTROL!$C$9, $D$9, 100%, $F$9) + CHOOSE(CONTROL!$C$27, 0.0021, 0)</f>
        <v>87.093199999999996</v>
      </c>
      <c r="D897" s="10">
        <f>87.0911 * CHOOSE(CONTROL!$C$9, $D$9, 100%, $F$9) + CHOOSE(CONTROL!$C$27, 0.0021, 0)</f>
        <v>87.093199999999996</v>
      </c>
      <c r="E897" s="10">
        <f>86.9545 * CHOOSE(CONTROL!$C$9, $D$9, 100%, $F$9) + CHOOSE(CONTROL!$C$27, 0.0021, 0)</f>
        <v>86.956599999999995</v>
      </c>
      <c r="F897" s="10">
        <f>86.9545 * CHOOSE(CONTROL!$C$9, $D$9, 100%, $F$9) + CHOOSE(CONTROL!$C$27, 0.0021, 0)</f>
        <v>86.956599999999995</v>
      </c>
      <c r="G897" s="10">
        <f>87.2259 * CHOOSE(CONTROL!$C$9, $D$9, 100%, $F$9) + CHOOSE(CONTROL!$C$27, 0.0021, 0)</f>
        <v>87.227999999999994</v>
      </c>
      <c r="H897" s="10">
        <f>87.0911 * CHOOSE(CONTROL!$C$9, $D$9, 100%, $F$9) + CHOOSE(CONTROL!$C$27, 0.0021, 0)</f>
        <v>87.093199999999996</v>
      </c>
      <c r="I897" s="10">
        <f>87.0911 * CHOOSE(CONTROL!$C$9, $D$9, 100%, $F$9) + CHOOSE(CONTROL!$C$27, 0.0021, 0)</f>
        <v>87.093199999999996</v>
      </c>
      <c r="J897" s="10">
        <f>87.0911 * CHOOSE(CONTROL!$C$9, $D$9, 100%, $F$9) + CHOOSE(CONTROL!$C$27, 0.0021, 0)</f>
        <v>87.093199999999996</v>
      </c>
      <c r="K897" s="10">
        <f>87.0911 * CHOOSE(CONTROL!$C$9, $D$9, 100%, $F$9) + CHOOSE(CONTROL!$C$27, 0.0021, 0)</f>
        <v>87.093199999999996</v>
      </c>
      <c r="L897" s="10"/>
    </row>
    <row r="898" spans="1:12" ht="15.75" x14ac:dyDescent="0.25">
      <c r="A898" s="13">
        <v>68636</v>
      </c>
      <c r="B898" s="10">
        <f>87.7203 * CHOOSE(CONTROL!$C$9, $D$9, 100%, $F$9) + CHOOSE(CONTROL!$C$27, 0.0021, 0)</f>
        <v>87.722399999999993</v>
      </c>
      <c r="C898" s="10">
        <f>87.288 * CHOOSE(CONTROL!$C$9, $D$9, 100%, $F$9) + CHOOSE(CONTROL!$C$27, 0.0021, 0)</f>
        <v>87.290099999999995</v>
      </c>
      <c r="D898" s="10">
        <f>87.288 * CHOOSE(CONTROL!$C$9, $D$9, 100%, $F$9) + CHOOSE(CONTROL!$C$27, 0.0021, 0)</f>
        <v>87.290099999999995</v>
      </c>
      <c r="E898" s="10">
        <f>87.1514 * CHOOSE(CONTROL!$C$9, $D$9, 100%, $F$9) + CHOOSE(CONTROL!$C$27, 0.0021, 0)</f>
        <v>87.153499999999994</v>
      </c>
      <c r="F898" s="10">
        <f>87.1514 * CHOOSE(CONTROL!$C$9, $D$9, 100%, $F$9) + CHOOSE(CONTROL!$C$27, 0.0021, 0)</f>
        <v>87.153499999999994</v>
      </c>
      <c r="G898" s="10">
        <f>87.4227 * CHOOSE(CONTROL!$C$9, $D$9, 100%, $F$9) + CHOOSE(CONTROL!$C$27, 0.0021, 0)</f>
        <v>87.424800000000005</v>
      </c>
      <c r="H898" s="10">
        <f>87.288 * CHOOSE(CONTROL!$C$9, $D$9, 100%, $F$9) + CHOOSE(CONTROL!$C$27, 0.0021, 0)</f>
        <v>87.290099999999995</v>
      </c>
      <c r="I898" s="10">
        <f>87.288 * CHOOSE(CONTROL!$C$9, $D$9, 100%, $F$9) + CHOOSE(CONTROL!$C$27, 0.0021, 0)</f>
        <v>87.290099999999995</v>
      </c>
      <c r="J898" s="10">
        <f>87.288 * CHOOSE(CONTROL!$C$9, $D$9, 100%, $F$9) + CHOOSE(CONTROL!$C$27, 0.0021, 0)</f>
        <v>87.290099999999995</v>
      </c>
      <c r="K898" s="10">
        <f>87.288 * CHOOSE(CONTROL!$C$9, $D$9, 100%, $F$9) + CHOOSE(CONTROL!$C$27, 0.0021, 0)</f>
        <v>87.290099999999995</v>
      </c>
      <c r="L898" s="10"/>
    </row>
    <row r="899" spans="1:12" ht="15.75" x14ac:dyDescent="0.25">
      <c r="A899" s="13">
        <v>68667</v>
      </c>
      <c r="B899" s="10">
        <f>86.0452 * CHOOSE(CONTROL!$C$9, $D$9, 100%, $F$9) + CHOOSE(CONTROL!$C$27, 0.0021, 0)</f>
        <v>86.047299999999993</v>
      </c>
      <c r="C899" s="10">
        <f>85.613 * CHOOSE(CONTROL!$C$9, $D$9, 100%, $F$9) + CHOOSE(CONTROL!$C$27, 0.0021, 0)</f>
        <v>85.615099999999998</v>
      </c>
      <c r="D899" s="10">
        <f>85.613 * CHOOSE(CONTROL!$C$9, $D$9, 100%, $F$9) + CHOOSE(CONTROL!$C$27, 0.0021, 0)</f>
        <v>85.615099999999998</v>
      </c>
      <c r="E899" s="10">
        <f>85.4763 * CHOOSE(CONTROL!$C$9, $D$9, 100%, $F$9) + CHOOSE(CONTROL!$C$27, 0.0021, 0)</f>
        <v>85.478399999999993</v>
      </c>
      <c r="F899" s="10">
        <f>85.4763 * CHOOSE(CONTROL!$C$9, $D$9, 100%, $F$9) + CHOOSE(CONTROL!$C$27, 0.0021, 0)</f>
        <v>85.478399999999993</v>
      </c>
      <c r="G899" s="10">
        <f>85.7477 * CHOOSE(CONTROL!$C$9, $D$9, 100%, $F$9) + CHOOSE(CONTROL!$C$27, 0.0021, 0)</f>
        <v>85.749799999999993</v>
      </c>
      <c r="H899" s="10">
        <f>85.613 * CHOOSE(CONTROL!$C$9, $D$9, 100%, $F$9) + CHOOSE(CONTROL!$C$27, 0.0021, 0)</f>
        <v>85.615099999999998</v>
      </c>
      <c r="I899" s="10">
        <f>85.613 * CHOOSE(CONTROL!$C$9, $D$9, 100%, $F$9) + CHOOSE(CONTROL!$C$27, 0.0021, 0)</f>
        <v>85.615099999999998</v>
      </c>
      <c r="J899" s="10">
        <f>85.613 * CHOOSE(CONTROL!$C$9, $D$9, 100%, $F$9) + CHOOSE(CONTROL!$C$27, 0.0021, 0)</f>
        <v>85.615099999999998</v>
      </c>
      <c r="K899" s="10">
        <f>85.613 * CHOOSE(CONTROL!$C$9, $D$9, 100%, $F$9) + CHOOSE(CONTROL!$C$27, 0.0021, 0)</f>
        <v>85.615099999999998</v>
      </c>
      <c r="L899" s="10"/>
    </row>
    <row r="900" spans="1:12" ht="15.75" x14ac:dyDescent="0.25">
      <c r="A900" s="13">
        <v>68698</v>
      </c>
      <c r="B900" s="10">
        <f>84.7628 * CHOOSE(CONTROL!$C$9, $D$9, 100%, $F$9) + CHOOSE(CONTROL!$C$27, 0.0021, 0)</f>
        <v>84.764899999999997</v>
      </c>
      <c r="C900" s="10">
        <f>84.3305 * CHOOSE(CONTROL!$C$9, $D$9, 100%, $F$9) + CHOOSE(CONTROL!$C$27, 0.0021, 0)</f>
        <v>84.332599999999999</v>
      </c>
      <c r="D900" s="10">
        <f>84.3305 * CHOOSE(CONTROL!$C$9, $D$9, 100%, $F$9) + CHOOSE(CONTROL!$C$27, 0.0021, 0)</f>
        <v>84.332599999999999</v>
      </c>
      <c r="E900" s="10">
        <f>84.1939 * CHOOSE(CONTROL!$C$9, $D$9, 100%, $F$9) + CHOOSE(CONTROL!$C$27, 0.0021, 0)</f>
        <v>84.195999999999998</v>
      </c>
      <c r="F900" s="10">
        <f>84.1939 * CHOOSE(CONTROL!$C$9, $D$9, 100%, $F$9) + CHOOSE(CONTROL!$C$27, 0.0021, 0)</f>
        <v>84.195999999999998</v>
      </c>
      <c r="G900" s="10">
        <f>84.4652 * CHOOSE(CONTROL!$C$9, $D$9, 100%, $F$9) + CHOOSE(CONTROL!$C$27, 0.0021, 0)</f>
        <v>84.467299999999994</v>
      </c>
      <c r="H900" s="10">
        <f>84.3305 * CHOOSE(CONTROL!$C$9, $D$9, 100%, $F$9) + CHOOSE(CONTROL!$C$27, 0.0021, 0)</f>
        <v>84.332599999999999</v>
      </c>
      <c r="I900" s="10">
        <f>84.3305 * CHOOSE(CONTROL!$C$9, $D$9, 100%, $F$9) + CHOOSE(CONTROL!$C$27, 0.0021, 0)</f>
        <v>84.332599999999999</v>
      </c>
      <c r="J900" s="10">
        <f>84.3305 * CHOOSE(CONTROL!$C$9, $D$9, 100%, $F$9) + CHOOSE(CONTROL!$C$27, 0.0021, 0)</f>
        <v>84.332599999999999</v>
      </c>
      <c r="K900" s="10">
        <f>84.3305 * CHOOSE(CONTROL!$C$9, $D$9, 100%, $F$9) + CHOOSE(CONTROL!$C$27, 0.0021, 0)</f>
        <v>84.332599999999999</v>
      </c>
      <c r="L900" s="10"/>
    </row>
    <row r="901" spans="1:12" ht="15.75" x14ac:dyDescent="0.25">
      <c r="A901" s="13">
        <v>68727</v>
      </c>
      <c r="B901" s="10">
        <f>82.4301 * CHOOSE(CONTROL!$C$9, $D$9, 100%, $F$9) + CHOOSE(CONTROL!$C$27, 0.0021, 0)</f>
        <v>82.432199999999995</v>
      </c>
      <c r="C901" s="10">
        <f>81.9978 * CHOOSE(CONTROL!$C$9, $D$9, 100%, $F$9) + CHOOSE(CONTROL!$C$27, 0.0021, 0)</f>
        <v>81.999899999999997</v>
      </c>
      <c r="D901" s="10">
        <f>81.9978 * CHOOSE(CONTROL!$C$9, $D$9, 100%, $F$9) + CHOOSE(CONTROL!$C$27, 0.0021, 0)</f>
        <v>81.999899999999997</v>
      </c>
      <c r="E901" s="10">
        <f>81.8611 * CHOOSE(CONTROL!$C$9, $D$9, 100%, $F$9) + CHOOSE(CONTROL!$C$27, 0.0021, 0)</f>
        <v>81.863199999999992</v>
      </c>
      <c r="F901" s="10">
        <f>81.8611 * CHOOSE(CONTROL!$C$9, $D$9, 100%, $F$9) + CHOOSE(CONTROL!$C$27, 0.0021, 0)</f>
        <v>81.863199999999992</v>
      </c>
      <c r="G901" s="10">
        <f>82.1325 * CHOOSE(CONTROL!$C$9, $D$9, 100%, $F$9) + CHOOSE(CONTROL!$C$27, 0.0021, 0)</f>
        <v>82.134599999999992</v>
      </c>
      <c r="H901" s="10">
        <f>81.9978 * CHOOSE(CONTROL!$C$9, $D$9, 100%, $F$9) + CHOOSE(CONTROL!$C$27, 0.0021, 0)</f>
        <v>81.999899999999997</v>
      </c>
      <c r="I901" s="10">
        <f>81.9978 * CHOOSE(CONTROL!$C$9, $D$9, 100%, $F$9) + CHOOSE(CONTROL!$C$27, 0.0021, 0)</f>
        <v>81.999899999999997</v>
      </c>
      <c r="J901" s="10">
        <f>81.9978 * CHOOSE(CONTROL!$C$9, $D$9, 100%, $F$9) + CHOOSE(CONTROL!$C$27, 0.0021, 0)</f>
        <v>81.999899999999997</v>
      </c>
      <c r="K901" s="10">
        <f>81.9978 * CHOOSE(CONTROL!$C$9, $D$9, 100%, $F$9) + CHOOSE(CONTROL!$C$27, 0.0021, 0)</f>
        <v>81.999899999999997</v>
      </c>
      <c r="L901" s="10"/>
    </row>
    <row r="902" spans="1:12" ht="15.75" x14ac:dyDescent="0.25">
      <c r="A902" s="13">
        <v>68758</v>
      </c>
      <c r="B902" s="10">
        <f>81.4671 * CHOOSE(CONTROL!$C$9, $D$9, 100%, $F$9) + CHOOSE(CONTROL!$C$27, 0.0021, 0)</f>
        <v>81.469200000000001</v>
      </c>
      <c r="C902" s="10">
        <f>81.0349 * CHOOSE(CONTROL!$C$9, $D$9, 100%, $F$9) + CHOOSE(CONTROL!$C$27, 0.0021, 0)</f>
        <v>81.036999999999992</v>
      </c>
      <c r="D902" s="10">
        <f>81.0349 * CHOOSE(CONTROL!$C$9, $D$9, 100%, $F$9) + CHOOSE(CONTROL!$C$27, 0.0021, 0)</f>
        <v>81.036999999999992</v>
      </c>
      <c r="E902" s="10">
        <f>80.8982 * CHOOSE(CONTROL!$C$9, $D$9, 100%, $F$9) + CHOOSE(CONTROL!$C$27, 0.0021, 0)</f>
        <v>80.900300000000001</v>
      </c>
      <c r="F902" s="10">
        <f>80.8982 * CHOOSE(CONTROL!$C$9, $D$9, 100%, $F$9) + CHOOSE(CONTROL!$C$27, 0.0021, 0)</f>
        <v>80.900300000000001</v>
      </c>
      <c r="G902" s="10">
        <f>81.1696 * CHOOSE(CONTROL!$C$9, $D$9, 100%, $F$9) + CHOOSE(CONTROL!$C$27, 0.0021, 0)</f>
        <v>81.171700000000001</v>
      </c>
      <c r="H902" s="10">
        <f>81.0349 * CHOOSE(CONTROL!$C$9, $D$9, 100%, $F$9) + CHOOSE(CONTROL!$C$27, 0.0021, 0)</f>
        <v>81.036999999999992</v>
      </c>
      <c r="I902" s="10">
        <f>81.0349 * CHOOSE(CONTROL!$C$9, $D$9, 100%, $F$9) + CHOOSE(CONTROL!$C$27, 0.0021, 0)</f>
        <v>81.036999999999992</v>
      </c>
      <c r="J902" s="10">
        <f>81.0349 * CHOOSE(CONTROL!$C$9, $D$9, 100%, $F$9) + CHOOSE(CONTROL!$C$27, 0.0021, 0)</f>
        <v>81.036999999999992</v>
      </c>
      <c r="K902" s="10">
        <f>81.0349 * CHOOSE(CONTROL!$C$9, $D$9, 100%, $F$9) + CHOOSE(CONTROL!$C$27, 0.0021, 0)</f>
        <v>81.036999999999992</v>
      </c>
      <c r="L902" s="10"/>
    </row>
    <row r="903" spans="1:12" ht="15.75" x14ac:dyDescent="0.25">
      <c r="A903" s="13">
        <v>68788</v>
      </c>
      <c r="B903" s="10">
        <f>80.3173 * CHOOSE(CONTROL!$C$9, $D$9, 100%, $F$9) + CHOOSE(CONTROL!$C$27, 0.0021, 0)</f>
        <v>80.319400000000002</v>
      </c>
      <c r="C903" s="10">
        <f>79.8851 * CHOOSE(CONTROL!$C$9, $D$9, 100%, $F$9) + CHOOSE(CONTROL!$C$27, 0.0021, 0)</f>
        <v>79.887199999999993</v>
      </c>
      <c r="D903" s="10">
        <f>79.8851 * CHOOSE(CONTROL!$C$9, $D$9, 100%, $F$9) + CHOOSE(CONTROL!$C$27, 0.0021, 0)</f>
        <v>79.887199999999993</v>
      </c>
      <c r="E903" s="10">
        <f>79.7484 * CHOOSE(CONTROL!$C$9, $D$9, 100%, $F$9) + CHOOSE(CONTROL!$C$27, 0.0021, 0)</f>
        <v>79.750500000000002</v>
      </c>
      <c r="F903" s="10">
        <f>79.7484 * CHOOSE(CONTROL!$C$9, $D$9, 100%, $F$9) + CHOOSE(CONTROL!$C$27, 0.0021, 0)</f>
        <v>79.750500000000002</v>
      </c>
      <c r="G903" s="10">
        <f>80.0198 * CHOOSE(CONTROL!$C$9, $D$9, 100%, $F$9) + CHOOSE(CONTROL!$C$27, 0.0021, 0)</f>
        <v>80.021900000000002</v>
      </c>
      <c r="H903" s="10">
        <f>79.8851 * CHOOSE(CONTROL!$C$9, $D$9, 100%, $F$9) + CHOOSE(CONTROL!$C$27, 0.0021, 0)</f>
        <v>79.887199999999993</v>
      </c>
      <c r="I903" s="10">
        <f>79.8851 * CHOOSE(CONTROL!$C$9, $D$9, 100%, $F$9) + CHOOSE(CONTROL!$C$27, 0.0021, 0)</f>
        <v>79.887199999999993</v>
      </c>
      <c r="J903" s="10">
        <f>79.8851 * CHOOSE(CONTROL!$C$9, $D$9, 100%, $F$9) + CHOOSE(CONTROL!$C$27, 0.0021, 0)</f>
        <v>79.887199999999993</v>
      </c>
      <c r="K903" s="10">
        <f>79.8851 * CHOOSE(CONTROL!$C$9, $D$9, 100%, $F$9) + CHOOSE(CONTROL!$C$27, 0.0021, 0)</f>
        <v>79.887199999999993</v>
      </c>
      <c r="L903" s="10"/>
    </row>
    <row r="904" spans="1:12" ht="15.75" x14ac:dyDescent="0.25">
      <c r="A904" s="13">
        <v>68819</v>
      </c>
      <c r="B904" s="10">
        <f>81.9559 * CHOOSE(CONTROL!$C$9, $D$9, 100%, $F$9) + CHOOSE(CONTROL!$C$27, 0.0021, 0)</f>
        <v>81.957999999999998</v>
      </c>
      <c r="C904" s="10">
        <f>81.5237 * CHOOSE(CONTROL!$C$9, $D$9, 100%, $F$9) + CHOOSE(CONTROL!$C$27, 0.0021, 0)</f>
        <v>81.525800000000004</v>
      </c>
      <c r="D904" s="10">
        <f>81.5237 * CHOOSE(CONTROL!$C$9, $D$9, 100%, $F$9) + CHOOSE(CONTROL!$C$27, 0.0021, 0)</f>
        <v>81.525800000000004</v>
      </c>
      <c r="E904" s="10">
        <f>81.387 * CHOOSE(CONTROL!$C$9, $D$9, 100%, $F$9) + CHOOSE(CONTROL!$C$27, 0.0021, 0)</f>
        <v>81.389099999999999</v>
      </c>
      <c r="F904" s="10">
        <f>81.387 * CHOOSE(CONTROL!$C$9, $D$9, 100%, $F$9) + CHOOSE(CONTROL!$C$27, 0.0021, 0)</f>
        <v>81.389099999999999</v>
      </c>
      <c r="G904" s="10">
        <f>81.6584 * CHOOSE(CONTROL!$C$9, $D$9, 100%, $F$9) + CHOOSE(CONTROL!$C$27, 0.0021, 0)</f>
        <v>81.660499999999999</v>
      </c>
      <c r="H904" s="10">
        <f>81.5237 * CHOOSE(CONTROL!$C$9, $D$9, 100%, $F$9) + CHOOSE(CONTROL!$C$27, 0.0021, 0)</f>
        <v>81.525800000000004</v>
      </c>
      <c r="I904" s="10">
        <f>81.5237 * CHOOSE(CONTROL!$C$9, $D$9, 100%, $F$9) + CHOOSE(CONTROL!$C$27, 0.0021, 0)</f>
        <v>81.525800000000004</v>
      </c>
      <c r="J904" s="10">
        <f>81.5237 * CHOOSE(CONTROL!$C$9, $D$9, 100%, $F$9) + CHOOSE(CONTROL!$C$27, 0.0021, 0)</f>
        <v>81.525800000000004</v>
      </c>
      <c r="K904" s="10">
        <f>81.5237 * CHOOSE(CONTROL!$C$9, $D$9, 100%, $F$9) + CHOOSE(CONTROL!$C$27, 0.0021, 0)</f>
        <v>81.525800000000004</v>
      </c>
      <c r="L904" s="10"/>
    </row>
    <row r="905" spans="1:12" ht="15.75" x14ac:dyDescent="0.25">
      <c r="A905" s="13">
        <v>68849</v>
      </c>
      <c r="B905" s="10">
        <f>82.9373 * CHOOSE(CONTROL!$C$9, $D$9, 100%, $F$9) + CHOOSE(CONTROL!$C$27, 0.0021, 0)</f>
        <v>82.939399999999992</v>
      </c>
      <c r="C905" s="10">
        <f>82.5051 * CHOOSE(CONTROL!$C$9, $D$9, 100%, $F$9) + CHOOSE(CONTROL!$C$27, 0.0021, 0)</f>
        <v>82.507199999999997</v>
      </c>
      <c r="D905" s="10">
        <f>82.5051 * CHOOSE(CONTROL!$C$9, $D$9, 100%, $F$9) + CHOOSE(CONTROL!$C$27, 0.0021, 0)</f>
        <v>82.507199999999997</v>
      </c>
      <c r="E905" s="10">
        <f>82.3684 * CHOOSE(CONTROL!$C$9, $D$9, 100%, $F$9) + CHOOSE(CONTROL!$C$27, 0.0021, 0)</f>
        <v>82.370499999999993</v>
      </c>
      <c r="F905" s="10">
        <f>82.3684 * CHOOSE(CONTROL!$C$9, $D$9, 100%, $F$9) + CHOOSE(CONTROL!$C$27, 0.0021, 0)</f>
        <v>82.370499999999993</v>
      </c>
      <c r="G905" s="10">
        <f>82.6398 * CHOOSE(CONTROL!$C$9, $D$9, 100%, $F$9) + CHOOSE(CONTROL!$C$27, 0.0021, 0)</f>
        <v>82.641899999999993</v>
      </c>
      <c r="H905" s="10">
        <f>82.5051 * CHOOSE(CONTROL!$C$9, $D$9, 100%, $F$9) + CHOOSE(CONTROL!$C$27, 0.0021, 0)</f>
        <v>82.507199999999997</v>
      </c>
      <c r="I905" s="10">
        <f>82.5051 * CHOOSE(CONTROL!$C$9, $D$9, 100%, $F$9) + CHOOSE(CONTROL!$C$27, 0.0021, 0)</f>
        <v>82.507199999999997</v>
      </c>
      <c r="J905" s="10">
        <f>82.5051 * CHOOSE(CONTROL!$C$9, $D$9, 100%, $F$9) + CHOOSE(CONTROL!$C$27, 0.0021, 0)</f>
        <v>82.507199999999997</v>
      </c>
      <c r="K905" s="10">
        <f>82.5051 * CHOOSE(CONTROL!$C$9, $D$9, 100%, $F$9) + CHOOSE(CONTROL!$C$27, 0.0021, 0)</f>
        <v>82.507199999999997</v>
      </c>
      <c r="L905" s="10"/>
    </row>
    <row r="906" spans="1:12" ht="15.75" x14ac:dyDescent="0.25">
      <c r="A906" s="13">
        <v>68880</v>
      </c>
      <c r="B906" s="10">
        <f>84.5563 * CHOOSE(CONTROL!$C$9, $D$9, 100%, $F$9) + CHOOSE(CONTROL!$C$27, 0.0021, 0)</f>
        <v>84.558399999999992</v>
      </c>
      <c r="C906" s="10">
        <f>84.1241 * CHOOSE(CONTROL!$C$9, $D$9, 100%, $F$9) + CHOOSE(CONTROL!$C$27, 0.0021, 0)</f>
        <v>84.126199999999997</v>
      </c>
      <c r="D906" s="10">
        <f>84.1241 * CHOOSE(CONTROL!$C$9, $D$9, 100%, $F$9) + CHOOSE(CONTROL!$C$27, 0.0021, 0)</f>
        <v>84.126199999999997</v>
      </c>
      <c r="E906" s="10">
        <f>83.9874 * CHOOSE(CONTROL!$C$9, $D$9, 100%, $F$9) + CHOOSE(CONTROL!$C$27, 0.0021, 0)</f>
        <v>83.989499999999992</v>
      </c>
      <c r="F906" s="10">
        <f>83.9874 * CHOOSE(CONTROL!$C$9, $D$9, 100%, $F$9) + CHOOSE(CONTROL!$C$27, 0.0021, 0)</f>
        <v>83.989499999999992</v>
      </c>
      <c r="G906" s="10">
        <f>84.2588 * CHOOSE(CONTROL!$C$9, $D$9, 100%, $F$9) + CHOOSE(CONTROL!$C$27, 0.0021, 0)</f>
        <v>84.260899999999992</v>
      </c>
      <c r="H906" s="10">
        <f>84.1241 * CHOOSE(CONTROL!$C$9, $D$9, 100%, $F$9) + CHOOSE(CONTROL!$C$27, 0.0021, 0)</f>
        <v>84.126199999999997</v>
      </c>
      <c r="I906" s="10">
        <f>84.1241 * CHOOSE(CONTROL!$C$9, $D$9, 100%, $F$9) + CHOOSE(CONTROL!$C$27, 0.0021, 0)</f>
        <v>84.126199999999997</v>
      </c>
      <c r="J906" s="10">
        <f>84.1241 * CHOOSE(CONTROL!$C$9, $D$9, 100%, $F$9) + CHOOSE(CONTROL!$C$27, 0.0021, 0)</f>
        <v>84.126199999999997</v>
      </c>
      <c r="K906" s="10">
        <f>84.1241 * CHOOSE(CONTROL!$C$9, $D$9, 100%, $F$9) + CHOOSE(CONTROL!$C$27, 0.0021, 0)</f>
        <v>84.126199999999997</v>
      </c>
      <c r="L906" s="10"/>
    </row>
    <row r="907" spans="1:12" ht="15.75" x14ac:dyDescent="0.25">
      <c r="A907" s="13">
        <v>68911</v>
      </c>
      <c r="B907" s="10">
        <f>85.0505 * CHOOSE(CONTROL!$C$9, $D$9, 100%, $F$9) + CHOOSE(CONTROL!$C$27, 0.0021, 0)</f>
        <v>85.052599999999998</v>
      </c>
      <c r="C907" s="10">
        <f>84.6183 * CHOOSE(CONTROL!$C$9, $D$9, 100%, $F$9) + CHOOSE(CONTROL!$C$27, 0.0021, 0)</f>
        <v>84.620400000000004</v>
      </c>
      <c r="D907" s="10">
        <f>84.6183 * CHOOSE(CONTROL!$C$9, $D$9, 100%, $F$9) + CHOOSE(CONTROL!$C$27, 0.0021, 0)</f>
        <v>84.620400000000004</v>
      </c>
      <c r="E907" s="10">
        <f>84.4816 * CHOOSE(CONTROL!$C$9, $D$9, 100%, $F$9) + CHOOSE(CONTROL!$C$27, 0.0021, 0)</f>
        <v>84.483699999999999</v>
      </c>
      <c r="F907" s="10">
        <f>84.4816 * CHOOSE(CONTROL!$C$9, $D$9, 100%, $F$9) + CHOOSE(CONTROL!$C$27, 0.0021, 0)</f>
        <v>84.483699999999999</v>
      </c>
      <c r="G907" s="10">
        <f>84.753 * CHOOSE(CONTROL!$C$9, $D$9, 100%, $F$9) + CHOOSE(CONTROL!$C$27, 0.0021, 0)</f>
        <v>84.755099999999999</v>
      </c>
      <c r="H907" s="10">
        <f>84.6183 * CHOOSE(CONTROL!$C$9, $D$9, 100%, $F$9) + CHOOSE(CONTROL!$C$27, 0.0021, 0)</f>
        <v>84.620400000000004</v>
      </c>
      <c r="I907" s="10">
        <f>84.6183 * CHOOSE(CONTROL!$C$9, $D$9, 100%, $F$9) + CHOOSE(CONTROL!$C$27, 0.0021, 0)</f>
        <v>84.620400000000004</v>
      </c>
      <c r="J907" s="10">
        <f>84.6183 * CHOOSE(CONTROL!$C$9, $D$9, 100%, $F$9) + CHOOSE(CONTROL!$C$27, 0.0021, 0)</f>
        <v>84.620400000000004</v>
      </c>
      <c r="K907" s="10">
        <f>84.6183 * CHOOSE(CONTROL!$C$9, $D$9, 100%, $F$9) + CHOOSE(CONTROL!$C$27, 0.0021, 0)</f>
        <v>84.620400000000004</v>
      </c>
      <c r="L907" s="10"/>
    </row>
    <row r="908" spans="1:12" ht="15.75" x14ac:dyDescent="0.25">
      <c r="A908" s="13">
        <v>68941</v>
      </c>
      <c r="B908" s="10">
        <f>86.7334 * CHOOSE(CONTROL!$C$9, $D$9, 100%, $F$9) + CHOOSE(CONTROL!$C$27, 0.0021, 0)</f>
        <v>86.735500000000002</v>
      </c>
      <c r="C908" s="10">
        <f>86.3011 * CHOOSE(CONTROL!$C$9, $D$9, 100%, $F$9) + CHOOSE(CONTROL!$C$27, 0.0021, 0)</f>
        <v>86.303200000000004</v>
      </c>
      <c r="D908" s="10">
        <f>86.3011 * CHOOSE(CONTROL!$C$9, $D$9, 100%, $F$9) + CHOOSE(CONTROL!$C$27, 0.0021, 0)</f>
        <v>86.303200000000004</v>
      </c>
      <c r="E908" s="10">
        <f>86.1645 * CHOOSE(CONTROL!$C$9, $D$9, 100%, $F$9) + CHOOSE(CONTROL!$C$27, 0.0021, 0)</f>
        <v>86.166600000000003</v>
      </c>
      <c r="F908" s="10">
        <f>86.1645 * CHOOSE(CONTROL!$C$9, $D$9, 100%, $F$9) + CHOOSE(CONTROL!$C$27, 0.0021, 0)</f>
        <v>86.166600000000003</v>
      </c>
      <c r="G908" s="10">
        <f>86.4359 * CHOOSE(CONTROL!$C$9, $D$9, 100%, $F$9) + CHOOSE(CONTROL!$C$27, 0.0021, 0)</f>
        <v>86.438000000000002</v>
      </c>
      <c r="H908" s="10">
        <f>86.3011 * CHOOSE(CONTROL!$C$9, $D$9, 100%, $F$9) + CHOOSE(CONTROL!$C$27, 0.0021, 0)</f>
        <v>86.303200000000004</v>
      </c>
      <c r="I908" s="10">
        <f>86.3011 * CHOOSE(CONTROL!$C$9, $D$9, 100%, $F$9) + CHOOSE(CONTROL!$C$27, 0.0021, 0)</f>
        <v>86.303200000000004</v>
      </c>
      <c r="J908" s="10">
        <f>86.3011 * CHOOSE(CONTROL!$C$9, $D$9, 100%, $F$9) + CHOOSE(CONTROL!$C$27, 0.0021, 0)</f>
        <v>86.303200000000004</v>
      </c>
      <c r="K908" s="10">
        <f>86.3011 * CHOOSE(CONTROL!$C$9, $D$9, 100%, $F$9) + CHOOSE(CONTROL!$C$27, 0.0021, 0)</f>
        <v>86.303200000000004</v>
      </c>
      <c r="L908" s="10"/>
    </row>
    <row r="909" spans="1:12" ht="15.75" x14ac:dyDescent="0.25">
      <c r="A909" s="13">
        <v>68972</v>
      </c>
      <c r="B909" s="10">
        <f>88.8636 * CHOOSE(CONTROL!$C$9, $D$9, 100%, $F$9) + CHOOSE(CONTROL!$C$27, 0.0021, 0)</f>
        <v>88.865700000000004</v>
      </c>
      <c r="C909" s="10">
        <f>88.4314 * CHOOSE(CONTROL!$C$9, $D$9, 100%, $F$9) + CHOOSE(CONTROL!$C$27, 0.0021, 0)</f>
        <v>88.433499999999995</v>
      </c>
      <c r="D909" s="10">
        <f>88.4314 * CHOOSE(CONTROL!$C$9, $D$9, 100%, $F$9) + CHOOSE(CONTROL!$C$27, 0.0021, 0)</f>
        <v>88.433499999999995</v>
      </c>
      <c r="E909" s="10">
        <f>88.2947 * CHOOSE(CONTROL!$C$9, $D$9, 100%, $F$9) + CHOOSE(CONTROL!$C$27, 0.0021, 0)</f>
        <v>88.296800000000005</v>
      </c>
      <c r="F909" s="10">
        <f>88.2947 * CHOOSE(CONTROL!$C$9, $D$9, 100%, $F$9) + CHOOSE(CONTROL!$C$27, 0.0021, 0)</f>
        <v>88.296800000000005</v>
      </c>
      <c r="G909" s="10">
        <f>88.5661 * CHOOSE(CONTROL!$C$9, $D$9, 100%, $F$9) + CHOOSE(CONTROL!$C$27, 0.0021, 0)</f>
        <v>88.568200000000004</v>
      </c>
      <c r="H909" s="10">
        <f>88.4314 * CHOOSE(CONTROL!$C$9, $D$9, 100%, $F$9) + CHOOSE(CONTROL!$C$27, 0.0021, 0)</f>
        <v>88.433499999999995</v>
      </c>
      <c r="I909" s="10">
        <f>88.4314 * CHOOSE(CONTROL!$C$9, $D$9, 100%, $F$9) + CHOOSE(CONTROL!$C$27, 0.0021, 0)</f>
        <v>88.433499999999995</v>
      </c>
      <c r="J909" s="10">
        <f>88.4314 * CHOOSE(CONTROL!$C$9, $D$9, 100%, $F$9) + CHOOSE(CONTROL!$C$27, 0.0021, 0)</f>
        <v>88.433499999999995</v>
      </c>
      <c r="K909" s="10">
        <f>88.4314 * CHOOSE(CONTROL!$C$9, $D$9, 100%, $F$9) + CHOOSE(CONTROL!$C$27, 0.0021, 0)</f>
        <v>88.433499999999995</v>
      </c>
      <c r="L909" s="10"/>
    </row>
    <row r="910" spans="1:12" ht="15.75" x14ac:dyDescent="0.25">
      <c r="A910" s="13">
        <v>69002</v>
      </c>
      <c r="B910" s="10">
        <f>89.0636 * CHOOSE(CONTROL!$C$9, $D$9, 100%, $F$9) + CHOOSE(CONTROL!$C$27, 0.0021, 0)</f>
        <v>89.065699999999993</v>
      </c>
      <c r="C910" s="10">
        <f>88.6314 * CHOOSE(CONTROL!$C$9, $D$9, 100%, $F$9) + CHOOSE(CONTROL!$C$27, 0.0021, 0)</f>
        <v>88.633499999999998</v>
      </c>
      <c r="D910" s="10">
        <f>88.6314 * CHOOSE(CONTROL!$C$9, $D$9, 100%, $F$9) + CHOOSE(CONTROL!$C$27, 0.0021, 0)</f>
        <v>88.633499999999998</v>
      </c>
      <c r="E910" s="10">
        <f>88.4947 * CHOOSE(CONTROL!$C$9, $D$9, 100%, $F$9) + CHOOSE(CONTROL!$C$27, 0.0021, 0)</f>
        <v>88.496799999999993</v>
      </c>
      <c r="F910" s="10">
        <f>88.4947 * CHOOSE(CONTROL!$C$9, $D$9, 100%, $F$9) + CHOOSE(CONTROL!$C$27, 0.0021, 0)</f>
        <v>88.496799999999993</v>
      </c>
      <c r="G910" s="10">
        <f>88.7661 * CHOOSE(CONTROL!$C$9, $D$9, 100%, $F$9) + CHOOSE(CONTROL!$C$27, 0.0021, 0)</f>
        <v>88.768199999999993</v>
      </c>
      <c r="H910" s="10">
        <f>88.6314 * CHOOSE(CONTROL!$C$9, $D$9, 100%, $F$9) + CHOOSE(CONTROL!$C$27, 0.0021, 0)</f>
        <v>88.633499999999998</v>
      </c>
      <c r="I910" s="10">
        <f>88.6314 * CHOOSE(CONTROL!$C$9, $D$9, 100%, $F$9) + CHOOSE(CONTROL!$C$27, 0.0021, 0)</f>
        <v>88.633499999999998</v>
      </c>
      <c r="J910" s="10">
        <f>88.6314 * CHOOSE(CONTROL!$C$9, $D$9, 100%, $F$9) + CHOOSE(CONTROL!$C$27, 0.0021, 0)</f>
        <v>88.633499999999998</v>
      </c>
      <c r="K910" s="10">
        <f>88.6314 * CHOOSE(CONTROL!$C$9, $D$9, 100%, $F$9) + CHOOSE(CONTROL!$C$27, 0.0021, 0)</f>
        <v>88.633499999999998</v>
      </c>
      <c r="L910" s="10"/>
    </row>
    <row r="911" spans="1:12" ht="15.75" x14ac:dyDescent="0.25">
      <c r="A911" s="13">
        <v>69033</v>
      </c>
      <c r="B911" s="10">
        <f>87.3622 * CHOOSE(CONTROL!$C$9, $D$9, 100%, $F$9) + CHOOSE(CONTROL!$C$27, 0.0021, 0)</f>
        <v>87.3643</v>
      </c>
      <c r="C911" s="10">
        <f>86.93 * CHOOSE(CONTROL!$C$9, $D$9, 100%, $F$9) + CHOOSE(CONTROL!$C$27, 0.0021, 0)</f>
        <v>86.932100000000005</v>
      </c>
      <c r="D911" s="10">
        <f>86.93 * CHOOSE(CONTROL!$C$9, $D$9, 100%, $F$9) + CHOOSE(CONTROL!$C$27, 0.0021, 0)</f>
        <v>86.932100000000005</v>
      </c>
      <c r="E911" s="10">
        <f>86.7933 * CHOOSE(CONTROL!$C$9, $D$9, 100%, $F$9) + CHOOSE(CONTROL!$C$27, 0.0021, 0)</f>
        <v>86.795400000000001</v>
      </c>
      <c r="F911" s="10">
        <f>86.7933 * CHOOSE(CONTROL!$C$9, $D$9, 100%, $F$9) + CHOOSE(CONTROL!$C$27, 0.0021, 0)</f>
        <v>86.795400000000001</v>
      </c>
      <c r="G911" s="10">
        <f>87.0647 * CHOOSE(CONTROL!$C$9, $D$9, 100%, $F$9) + CHOOSE(CONTROL!$C$27, 0.0021, 0)</f>
        <v>87.066800000000001</v>
      </c>
      <c r="H911" s="10">
        <f>86.93 * CHOOSE(CONTROL!$C$9, $D$9, 100%, $F$9) + CHOOSE(CONTROL!$C$27, 0.0021, 0)</f>
        <v>86.932100000000005</v>
      </c>
      <c r="I911" s="10">
        <f>86.93 * CHOOSE(CONTROL!$C$9, $D$9, 100%, $F$9) + CHOOSE(CONTROL!$C$27, 0.0021, 0)</f>
        <v>86.932100000000005</v>
      </c>
      <c r="J911" s="10">
        <f>86.93 * CHOOSE(CONTROL!$C$9, $D$9, 100%, $F$9) + CHOOSE(CONTROL!$C$27, 0.0021, 0)</f>
        <v>86.932100000000005</v>
      </c>
      <c r="K911" s="10">
        <f>86.93 * CHOOSE(CONTROL!$C$9, $D$9, 100%, $F$9) + CHOOSE(CONTROL!$C$27, 0.0021, 0)</f>
        <v>86.932100000000005</v>
      </c>
      <c r="L911" s="10"/>
    </row>
    <row r="912" spans="1:12" ht="15.75" x14ac:dyDescent="0.25">
      <c r="A912" s="13">
        <v>69064</v>
      </c>
      <c r="B912" s="10">
        <f>86.0596 * CHOOSE(CONTROL!$C$9, $D$9, 100%, $F$9) + CHOOSE(CONTROL!$C$27, 0.0021, 0)</f>
        <v>86.061700000000002</v>
      </c>
      <c r="C912" s="10">
        <f>85.6274 * CHOOSE(CONTROL!$C$9, $D$9, 100%, $F$9) + CHOOSE(CONTROL!$C$27, 0.0021, 0)</f>
        <v>85.629499999999993</v>
      </c>
      <c r="D912" s="10">
        <f>85.6274 * CHOOSE(CONTROL!$C$9, $D$9, 100%, $F$9) + CHOOSE(CONTROL!$C$27, 0.0021, 0)</f>
        <v>85.629499999999993</v>
      </c>
      <c r="E912" s="10">
        <f>85.4907 * CHOOSE(CONTROL!$C$9, $D$9, 100%, $F$9) + CHOOSE(CONTROL!$C$27, 0.0021, 0)</f>
        <v>85.492800000000003</v>
      </c>
      <c r="F912" s="10">
        <f>85.4907 * CHOOSE(CONTROL!$C$9, $D$9, 100%, $F$9) + CHOOSE(CONTROL!$C$27, 0.0021, 0)</f>
        <v>85.492800000000003</v>
      </c>
      <c r="G912" s="10">
        <f>85.7621 * CHOOSE(CONTROL!$C$9, $D$9, 100%, $F$9) + CHOOSE(CONTROL!$C$27, 0.0021, 0)</f>
        <v>85.764200000000002</v>
      </c>
      <c r="H912" s="10">
        <f>85.6274 * CHOOSE(CONTROL!$C$9, $D$9, 100%, $F$9) + CHOOSE(CONTROL!$C$27, 0.0021, 0)</f>
        <v>85.629499999999993</v>
      </c>
      <c r="I912" s="10">
        <f>85.6274 * CHOOSE(CONTROL!$C$9, $D$9, 100%, $F$9) + CHOOSE(CONTROL!$C$27, 0.0021, 0)</f>
        <v>85.629499999999993</v>
      </c>
      <c r="J912" s="10">
        <f>85.6274 * CHOOSE(CONTROL!$C$9, $D$9, 100%, $F$9) + CHOOSE(CONTROL!$C$27, 0.0021, 0)</f>
        <v>85.629499999999993</v>
      </c>
      <c r="K912" s="10">
        <f>85.6274 * CHOOSE(CONTROL!$C$9, $D$9, 100%, $F$9) + CHOOSE(CONTROL!$C$27, 0.0021, 0)</f>
        <v>85.629499999999993</v>
      </c>
      <c r="L912" s="10"/>
    </row>
    <row r="913" spans="1:12" ht="15.75" x14ac:dyDescent="0.25">
      <c r="A913" s="13">
        <v>69092</v>
      </c>
      <c r="B913" s="10">
        <f>83.6902 * CHOOSE(CONTROL!$C$9, $D$9, 100%, $F$9) + CHOOSE(CONTROL!$C$27, 0.0021, 0)</f>
        <v>83.692300000000003</v>
      </c>
      <c r="C913" s="10">
        <f>83.258 * CHOOSE(CONTROL!$C$9, $D$9, 100%, $F$9) + CHOOSE(CONTROL!$C$27, 0.0021, 0)</f>
        <v>83.260099999999994</v>
      </c>
      <c r="D913" s="10">
        <f>83.258 * CHOOSE(CONTROL!$C$9, $D$9, 100%, $F$9) + CHOOSE(CONTROL!$C$27, 0.0021, 0)</f>
        <v>83.260099999999994</v>
      </c>
      <c r="E913" s="10">
        <f>83.1213 * CHOOSE(CONTROL!$C$9, $D$9, 100%, $F$9) + CHOOSE(CONTROL!$C$27, 0.0021, 0)</f>
        <v>83.123400000000004</v>
      </c>
      <c r="F913" s="10">
        <f>83.1213 * CHOOSE(CONTROL!$C$9, $D$9, 100%, $F$9) + CHOOSE(CONTROL!$C$27, 0.0021, 0)</f>
        <v>83.123400000000004</v>
      </c>
      <c r="G913" s="10">
        <f>83.3927 * CHOOSE(CONTROL!$C$9, $D$9, 100%, $F$9) + CHOOSE(CONTROL!$C$27, 0.0021, 0)</f>
        <v>83.394800000000004</v>
      </c>
      <c r="H913" s="10">
        <f>83.258 * CHOOSE(CONTROL!$C$9, $D$9, 100%, $F$9) + CHOOSE(CONTROL!$C$27, 0.0021, 0)</f>
        <v>83.260099999999994</v>
      </c>
      <c r="I913" s="10">
        <f>83.258 * CHOOSE(CONTROL!$C$9, $D$9, 100%, $F$9) + CHOOSE(CONTROL!$C$27, 0.0021, 0)</f>
        <v>83.260099999999994</v>
      </c>
      <c r="J913" s="10">
        <f>83.258 * CHOOSE(CONTROL!$C$9, $D$9, 100%, $F$9) + CHOOSE(CONTROL!$C$27, 0.0021, 0)</f>
        <v>83.260099999999994</v>
      </c>
      <c r="K913" s="10">
        <f>83.258 * CHOOSE(CONTROL!$C$9, $D$9, 100%, $F$9) + CHOOSE(CONTROL!$C$27, 0.0021, 0)</f>
        <v>83.260099999999994</v>
      </c>
      <c r="L913" s="10"/>
    </row>
    <row r="914" spans="1:12" ht="15.75" x14ac:dyDescent="0.25">
      <c r="A914" s="13">
        <v>69123</v>
      </c>
      <c r="B914" s="10">
        <f>82.7121 * CHOOSE(CONTROL!$C$9, $D$9, 100%, $F$9) + CHOOSE(CONTROL!$C$27, 0.0021, 0)</f>
        <v>82.714200000000005</v>
      </c>
      <c r="C914" s="10">
        <f>82.2799 * CHOOSE(CONTROL!$C$9, $D$9, 100%, $F$9) + CHOOSE(CONTROL!$C$27, 0.0021, 0)</f>
        <v>82.281999999999996</v>
      </c>
      <c r="D914" s="10">
        <f>82.2799 * CHOOSE(CONTROL!$C$9, $D$9, 100%, $F$9) + CHOOSE(CONTROL!$C$27, 0.0021, 0)</f>
        <v>82.281999999999996</v>
      </c>
      <c r="E914" s="10">
        <f>82.1432 * CHOOSE(CONTROL!$C$9, $D$9, 100%, $F$9) + CHOOSE(CONTROL!$C$27, 0.0021, 0)</f>
        <v>82.145299999999992</v>
      </c>
      <c r="F914" s="10">
        <f>82.1432 * CHOOSE(CONTROL!$C$9, $D$9, 100%, $F$9) + CHOOSE(CONTROL!$C$27, 0.0021, 0)</f>
        <v>82.145299999999992</v>
      </c>
      <c r="G914" s="10">
        <f>82.4146 * CHOOSE(CONTROL!$C$9, $D$9, 100%, $F$9) + CHOOSE(CONTROL!$C$27, 0.0021, 0)</f>
        <v>82.416699999999992</v>
      </c>
      <c r="H914" s="10">
        <f>82.2799 * CHOOSE(CONTROL!$C$9, $D$9, 100%, $F$9) + CHOOSE(CONTROL!$C$27, 0.0021, 0)</f>
        <v>82.281999999999996</v>
      </c>
      <c r="I914" s="10">
        <f>82.2799 * CHOOSE(CONTROL!$C$9, $D$9, 100%, $F$9) + CHOOSE(CONTROL!$C$27, 0.0021, 0)</f>
        <v>82.281999999999996</v>
      </c>
      <c r="J914" s="10">
        <f>82.2799 * CHOOSE(CONTROL!$C$9, $D$9, 100%, $F$9) + CHOOSE(CONTROL!$C$27, 0.0021, 0)</f>
        <v>82.281999999999996</v>
      </c>
      <c r="K914" s="10">
        <f>82.2799 * CHOOSE(CONTROL!$C$9, $D$9, 100%, $F$9) + CHOOSE(CONTROL!$C$27, 0.0021, 0)</f>
        <v>82.281999999999996</v>
      </c>
      <c r="L914" s="10"/>
    </row>
    <row r="915" spans="1:12" ht="15.75" x14ac:dyDescent="0.25">
      <c r="A915" s="13">
        <v>69153</v>
      </c>
      <c r="B915" s="10">
        <f>81.5443 * CHOOSE(CONTROL!$C$9, $D$9, 100%, $F$9) + CHOOSE(CONTROL!$C$27, 0.0021, 0)</f>
        <v>81.546400000000006</v>
      </c>
      <c r="C915" s="10">
        <f>81.112 * CHOOSE(CONTROL!$C$9, $D$9, 100%, $F$9) + CHOOSE(CONTROL!$C$27, 0.0021, 0)</f>
        <v>81.114099999999993</v>
      </c>
      <c r="D915" s="10">
        <f>81.112 * CHOOSE(CONTROL!$C$9, $D$9, 100%, $F$9) + CHOOSE(CONTROL!$C$27, 0.0021, 0)</f>
        <v>81.114099999999993</v>
      </c>
      <c r="E915" s="10">
        <f>80.9754 * CHOOSE(CONTROL!$C$9, $D$9, 100%, $F$9) + CHOOSE(CONTROL!$C$27, 0.0021, 0)</f>
        <v>80.977499999999992</v>
      </c>
      <c r="F915" s="10">
        <f>80.9754 * CHOOSE(CONTROL!$C$9, $D$9, 100%, $F$9) + CHOOSE(CONTROL!$C$27, 0.0021, 0)</f>
        <v>80.977499999999992</v>
      </c>
      <c r="G915" s="10">
        <f>81.2468 * CHOOSE(CONTROL!$C$9, $D$9, 100%, $F$9) + CHOOSE(CONTROL!$C$27, 0.0021, 0)</f>
        <v>81.248899999999992</v>
      </c>
      <c r="H915" s="10">
        <f>81.112 * CHOOSE(CONTROL!$C$9, $D$9, 100%, $F$9) + CHOOSE(CONTROL!$C$27, 0.0021, 0)</f>
        <v>81.114099999999993</v>
      </c>
      <c r="I915" s="10">
        <f>81.112 * CHOOSE(CONTROL!$C$9, $D$9, 100%, $F$9) + CHOOSE(CONTROL!$C$27, 0.0021, 0)</f>
        <v>81.114099999999993</v>
      </c>
      <c r="J915" s="10">
        <f>81.112 * CHOOSE(CONTROL!$C$9, $D$9, 100%, $F$9) + CHOOSE(CONTROL!$C$27, 0.0021, 0)</f>
        <v>81.114099999999993</v>
      </c>
      <c r="K915" s="10">
        <f>81.112 * CHOOSE(CONTROL!$C$9, $D$9, 100%, $F$9) + CHOOSE(CONTROL!$C$27, 0.0021, 0)</f>
        <v>81.114099999999993</v>
      </c>
      <c r="L915" s="10"/>
    </row>
    <row r="916" spans="1:12" ht="15.75" x14ac:dyDescent="0.25">
      <c r="A916" s="13">
        <v>69184</v>
      </c>
      <c r="B916" s="10">
        <f>83.2086 * CHOOSE(CONTROL!$C$9, $D$9, 100%, $F$9) + CHOOSE(CONTROL!$C$27, 0.0021, 0)</f>
        <v>83.210700000000003</v>
      </c>
      <c r="C916" s="10">
        <f>82.7764 * CHOOSE(CONTROL!$C$9, $D$9, 100%, $F$9) + CHOOSE(CONTROL!$C$27, 0.0021, 0)</f>
        <v>82.778499999999994</v>
      </c>
      <c r="D916" s="10">
        <f>82.7764 * CHOOSE(CONTROL!$C$9, $D$9, 100%, $F$9) + CHOOSE(CONTROL!$C$27, 0.0021, 0)</f>
        <v>82.778499999999994</v>
      </c>
      <c r="E916" s="10">
        <f>82.6397 * CHOOSE(CONTROL!$C$9, $D$9, 100%, $F$9) + CHOOSE(CONTROL!$C$27, 0.0021, 0)</f>
        <v>82.641800000000003</v>
      </c>
      <c r="F916" s="10">
        <f>82.6397 * CHOOSE(CONTROL!$C$9, $D$9, 100%, $F$9) + CHOOSE(CONTROL!$C$27, 0.0021, 0)</f>
        <v>82.641800000000003</v>
      </c>
      <c r="G916" s="10">
        <f>82.9111 * CHOOSE(CONTROL!$C$9, $D$9, 100%, $F$9) + CHOOSE(CONTROL!$C$27, 0.0021, 0)</f>
        <v>82.913200000000003</v>
      </c>
      <c r="H916" s="10">
        <f>82.7764 * CHOOSE(CONTROL!$C$9, $D$9, 100%, $F$9) + CHOOSE(CONTROL!$C$27, 0.0021, 0)</f>
        <v>82.778499999999994</v>
      </c>
      <c r="I916" s="10">
        <f>82.7764 * CHOOSE(CONTROL!$C$9, $D$9, 100%, $F$9) + CHOOSE(CONTROL!$C$27, 0.0021, 0)</f>
        <v>82.778499999999994</v>
      </c>
      <c r="J916" s="10">
        <f>82.7764 * CHOOSE(CONTROL!$C$9, $D$9, 100%, $F$9) + CHOOSE(CONTROL!$C$27, 0.0021, 0)</f>
        <v>82.778499999999994</v>
      </c>
      <c r="K916" s="10">
        <f>82.7764 * CHOOSE(CONTROL!$C$9, $D$9, 100%, $F$9) + CHOOSE(CONTROL!$C$27, 0.0021, 0)</f>
        <v>82.778499999999994</v>
      </c>
      <c r="L916" s="10"/>
    </row>
    <row r="917" spans="1:12" ht="15.75" x14ac:dyDescent="0.25">
      <c r="A917" s="13">
        <v>69214</v>
      </c>
      <c r="B917" s="10">
        <f>84.2055 * CHOOSE(CONTROL!$C$9, $D$9, 100%, $F$9) + CHOOSE(CONTROL!$C$27, 0.0021, 0)</f>
        <v>84.207599999999999</v>
      </c>
      <c r="C917" s="10">
        <f>83.7732 * CHOOSE(CONTROL!$C$9, $D$9, 100%, $F$9) + CHOOSE(CONTROL!$C$27, 0.0021, 0)</f>
        <v>83.775300000000001</v>
      </c>
      <c r="D917" s="10">
        <f>83.7732 * CHOOSE(CONTROL!$C$9, $D$9, 100%, $F$9) + CHOOSE(CONTROL!$C$27, 0.0021, 0)</f>
        <v>83.775300000000001</v>
      </c>
      <c r="E917" s="10">
        <f>83.6366 * CHOOSE(CONTROL!$C$9, $D$9, 100%, $F$9) + CHOOSE(CONTROL!$C$27, 0.0021, 0)</f>
        <v>83.6387</v>
      </c>
      <c r="F917" s="10">
        <f>83.6366 * CHOOSE(CONTROL!$C$9, $D$9, 100%, $F$9) + CHOOSE(CONTROL!$C$27, 0.0021, 0)</f>
        <v>83.6387</v>
      </c>
      <c r="G917" s="10">
        <f>83.9079 * CHOOSE(CONTROL!$C$9, $D$9, 100%, $F$9) + CHOOSE(CONTROL!$C$27, 0.0021, 0)</f>
        <v>83.91</v>
      </c>
      <c r="H917" s="10">
        <f>83.7732 * CHOOSE(CONTROL!$C$9, $D$9, 100%, $F$9) + CHOOSE(CONTROL!$C$27, 0.0021, 0)</f>
        <v>83.775300000000001</v>
      </c>
      <c r="I917" s="10">
        <f>83.7732 * CHOOSE(CONTROL!$C$9, $D$9, 100%, $F$9) + CHOOSE(CONTROL!$C$27, 0.0021, 0)</f>
        <v>83.775300000000001</v>
      </c>
      <c r="J917" s="10">
        <f>83.7732 * CHOOSE(CONTROL!$C$9, $D$9, 100%, $F$9) + CHOOSE(CONTROL!$C$27, 0.0021, 0)</f>
        <v>83.775300000000001</v>
      </c>
      <c r="K917" s="10">
        <f>83.7732 * CHOOSE(CONTROL!$C$9, $D$9, 100%, $F$9) + CHOOSE(CONTROL!$C$27, 0.0021, 0)</f>
        <v>83.775300000000001</v>
      </c>
      <c r="L917" s="10"/>
    </row>
    <row r="918" spans="1:12" ht="15.75" x14ac:dyDescent="0.25">
      <c r="A918" s="13">
        <v>69245</v>
      </c>
      <c r="B918" s="10">
        <f>85.8499 * CHOOSE(CONTROL!$C$9, $D$9, 100%, $F$9) + CHOOSE(CONTROL!$C$27, 0.0021, 0)</f>
        <v>85.852000000000004</v>
      </c>
      <c r="C918" s="10">
        <f>85.4177 * CHOOSE(CONTROL!$C$9, $D$9, 100%, $F$9) + CHOOSE(CONTROL!$C$27, 0.0021, 0)</f>
        <v>85.419799999999995</v>
      </c>
      <c r="D918" s="10">
        <f>85.4177 * CHOOSE(CONTROL!$C$9, $D$9, 100%, $F$9) + CHOOSE(CONTROL!$C$27, 0.0021, 0)</f>
        <v>85.419799999999995</v>
      </c>
      <c r="E918" s="10">
        <f>85.281 * CHOOSE(CONTROL!$C$9, $D$9, 100%, $F$9) + CHOOSE(CONTROL!$C$27, 0.0021, 0)</f>
        <v>85.283100000000005</v>
      </c>
      <c r="F918" s="10">
        <f>85.281 * CHOOSE(CONTROL!$C$9, $D$9, 100%, $F$9) + CHOOSE(CONTROL!$C$27, 0.0021, 0)</f>
        <v>85.283100000000005</v>
      </c>
      <c r="G918" s="10">
        <f>85.5524 * CHOOSE(CONTROL!$C$9, $D$9, 100%, $F$9) + CHOOSE(CONTROL!$C$27, 0.0021, 0)</f>
        <v>85.554500000000004</v>
      </c>
      <c r="H918" s="10">
        <f>85.4177 * CHOOSE(CONTROL!$C$9, $D$9, 100%, $F$9) + CHOOSE(CONTROL!$C$27, 0.0021, 0)</f>
        <v>85.419799999999995</v>
      </c>
      <c r="I918" s="10">
        <f>85.4177 * CHOOSE(CONTROL!$C$9, $D$9, 100%, $F$9) + CHOOSE(CONTROL!$C$27, 0.0021, 0)</f>
        <v>85.419799999999995</v>
      </c>
      <c r="J918" s="10">
        <f>85.4177 * CHOOSE(CONTROL!$C$9, $D$9, 100%, $F$9) + CHOOSE(CONTROL!$C$27, 0.0021, 0)</f>
        <v>85.419799999999995</v>
      </c>
      <c r="K918" s="10">
        <f>85.4177 * CHOOSE(CONTROL!$C$9, $D$9, 100%, $F$9) + CHOOSE(CONTROL!$C$27, 0.0021, 0)</f>
        <v>85.419799999999995</v>
      </c>
      <c r="L918" s="10"/>
    </row>
    <row r="919" spans="1:12" ht="15.75" x14ac:dyDescent="0.25">
      <c r="A919" s="13">
        <v>69276</v>
      </c>
      <c r="B919" s="10">
        <f>86.3519 * CHOOSE(CONTROL!$C$9, $D$9, 100%, $F$9) + CHOOSE(CONTROL!$C$27, 0.0021, 0)</f>
        <v>86.353999999999999</v>
      </c>
      <c r="C919" s="10">
        <f>85.9196 * CHOOSE(CONTROL!$C$9, $D$9, 100%, $F$9) + CHOOSE(CONTROL!$C$27, 0.0021, 0)</f>
        <v>85.921700000000001</v>
      </c>
      <c r="D919" s="10">
        <f>85.9196 * CHOOSE(CONTROL!$C$9, $D$9, 100%, $F$9) + CHOOSE(CONTROL!$C$27, 0.0021, 0)</f>
        <v>85.921700000000001</v>
      </c>
      <c r="E919" s="10">
        <f>85.783 * CHOOSE(CONTROL!$C$9, $D$9, 100%, $F$9) + CHOOSE(CONTROL!$C$27, 0.0021, 0)</f>
        <v>85.7851</v>
      </c>
      <c r="F919" s="10">
        <f>85.783 * CHOOSE(CONTROL!$C$9, $D$9, 100%, $F$9) + CHOOSE(CONTROL!$C$27, 0.0021, 0)</f>
        <v>85.7851</v>
      </c>
      <c r="G919" s="10">
        <f>86.0543 * CHOOSE(CONTROL!$C$9, $D$9, 100%, $F$9) + CHOOSE(CONTROL!$C$27, 0.0021, 0)</f>
        <v>86.056399999999996</v>
      </c>
      <c r="H919" s="10">
        <f>85.9196 * CHOOSE(CONTROL!$C$9, $D$9, 100%, $F$9) + CHOOSE(CONTROL!$C$27, 0.0021, 0)</f>
        <v>85.921700000000001</v>
      </c>
      <c r="I919" s="10">
        <f>85.9196 * CHOOSE(CONTROL!$C$9, $D$9, 100%, $F$9) + CHOOSE(CONTROL!$C$27, 0.0021, 0)</f>
        <v>85.921700000000001</v>
      </c>
      <c r="J919" s="10">
        <f>85.9196 * CHOOSE(CONTROL!$C$9, $D$9, 100%, $F$9) + CHOOSE(CONTROL!$C$27, 0.0021, 0)</f>
        <v>85.921700000000001</v>
      </c>
      <c r="K919" s="10">
        <f>85.9196 * CHOOSE(CONTROL!$C$9, $D$9, 100%, $F$9) + CHOOSE(CONTROL!$C$27, 0.0021, 0)</f>
        <v>85.921700000000001</v>
      </c>
      <c r="L919" s="10"/>
    </row>
    <row r="920" spans="1:12" ht="15.75" x14ac:dyDescent="0.25">
      <c r="A920" s="13">
        <v>69306</v>
      </c>
      <c r="B920" s="10">
        <f>88.0612 * CHOOSE(CONTROL!$C$9, $D$9, 100%, $F$9) + CHOOSE(CONTROL!$C$27, 0.0021, 0)</f>
        <v>88.063299999999998</v>
      </c>
      <c r="C920" s="10">
        <f>87.629 * CHOOSE(CONTROL!$C$9, $D$9, 100%, $F$9) + CHOOSE(CONTROL!$C$27, 0.0021, 0)</f>
        <v>87.631100000000004</v>
      </c>
      <c r="D920" s="10">
        <f>87.629 * CHOOSE(CONTROL!$C$9, $D$9, 100%, $F$9) + CHOOSE(CONTROL!$C$27, 0.0021, 0)</f>
        <v>87.631100000000004</v>
      </c>
      <c r="E920" s="10">
        <f>87.4923 * CHOOSE(CONTROL!$C$9, $D$9, 100%, $F$9) + CHOOSE(CONTROL!$C$27, 0.0021, 0)</f>
        <v>87.494399999999999</v>
      </c>
      <c r="F920" s="10">
        <f>87.4923 * CHOOSE(CONTROL!$C$9, $D$9, 100%, $F$9) + CHOOSE(CONTROL!$C$27, 0.0021, 0)</f>
        <v>87.494399999999999</v>
      </c>
      <c r="G920" s="10">
        <f>87.7637 * CHOOSE(CONTROL!$C$9, $D$9, 100%, $F$9) + CHOOSE(CONTROL!$C$27, 0.0021, 0)</f>
        <v>87.765799999999999</v>
      </c>
      <c r="H920" s="10">
        <f>87.629 * CHOOSE(CONTROL!$C$9, $D$9, 100%, $F$9) + CHOOSE(CONTROL!$C$27, 0.0021, 0)</f>
        <v>87.631100000000004</v>
      </c>
      <c r="I920" s="10">
        <f>87.629 * CHOOSE(CONTROL!$C$9, $D$9, 100%, $F$9) + CHOOSE(CONTROL!$C$27, 0.0021, 0)</f>
        <v>87.631100000000004</v>
      </c>
      <c r="J920" s="10">
        <f>87.629 * CHOOSE(CONTROL!$C$9, $D$9, 100%, $F$9) + CHOOSE(CONTROL!$C$27, 0.0021, 0)</f>
        <v>87.631100000000004</v>
      </c>
      <c r="K920" s="10">
        <f>87.629 * CHOOSE(CONTROL!$C$9, $D$9, 100%, $F$9) + CHOOSE(CONTROL!$C$27, 0.0021, 0)</f>
        <v>87.631100000000004</v>
      </c>
      <c r="L920" s="10"/>
    </row>
    <row r="921" spans="1:12" ht="15.75" x14ac:dyDescent="0.25">
      <c r="A921" s="13">
        <v>69337</v>
      </c>
      <c r="B921" s="10">
        <f>90.225 * CHOOSE(CONTROL!$C$9, $D$9, 100%, $F$9) + CHOOSE(CONTROL!$C$27, 0.0021, 0)</f>
        <v>90.227099999999993</v>
      </c>
      <c r="C921" s="10">
        <f>89.7927 * CHOOSE(CONTROL!$C$9, $D$9, 100%, $F$9) + CHOOSE(CONTROL!$C$27, 0.0021, 0)</f>
        <v>89.794799999999995</v>
      </c>
      <c r="D921" s="10">
        <f>89.7927 * CHOOSE(CONTROL!$C$9, $D$9, 100%, $F$9) + CHOOSE(CONTROL!$C$27, 0.0021, 0)</f>
        <v>89.794799999999995</v>
      </c>
      <c r="E921" s="10">
        <f>89.6561 * CHOOSE(CONTROL!$C$9, $D$9, 100%, $F$9) + CHOOSE(CONTROL!$C$27, 0.0021, 0)</f>
        <v>89.658199999999994</v>
      </c>
      <c r="F921" s="10">
        <f>89.6561 * CHOOSE(CONTROL!$C$9, $D$9, 100%, $F$9) + CHOOSE(CONTROL!$C$27, 0.0021, 0)</f>
        <v>89.658199999999994</v>
      </c>
      <c r="G921" s="10">
        <f>89.9274 * CHOOSE(CONTROL!$C$9, $D$9, 100%, $F$9) + CHOOSE(CONTROL!$C$27, 0.0021, 0)</f>
        <v>89.929500000000004</v>
      </c>
      <c r="H921" s="10">
        <f>89.7927 * CHOOSE(CONTROL!$C$9, $D$9, 100%, $F$9) + CHOOSE(CONTROL!$C$27, 0.0021, 0)</f>
        <v>89.794799999999995</v>
      </c>
      <c r="I921" s="10">
        <f>89.7927 * CHOOSE(CONTROL!$C$9, $D$9, 100%, $F$9) + CHOOSE(CONTROL!$C$27, 0.0021, 0)</f>
        <v>89.794799999999995</v>
      </c>
      <c r="J921" s="10">
        <f>89.7927 * CHOOSE(CONTROL!$C$9, $D$9, 100%, $F$9) + CHOOSE(CONTROL!$C$27, 0.0021, 0)</f>
        <v>89.794799999999995</v>
      </c>
      <c r="K921" s="10">
        <f>89.7927 * CHOOSE(CONTROL!$C$9, $D$9, 100%, $F$9) + CHOOSE(CONTROL!$C$27, 0.0021, 0)</f>
        <v>89.794799999999995</v>
      </c>
      <c r="L921" s="10"/>
    </row>
    <row r="922" spans="1:12" ht="15.75" x14ac:dyDescent="0.25">
      <c r="A922" s="13">
        <v>69367</v>
      </c>
      <c r="B922" s="10">
        <f>90.4281 * CHOOSE(CONTROL!$C$9, $D$9, 100%, $F$9) + CHOOSE(CONTROL!$C$27, 0.0021, 0)</f>
        <v>90.430199999999999</v>
      </c>
      <c r="C922" s="10">
        <f>89.9958 * CHOOSE(CONTROL!$C$9, $D$9, 100%, $F$9) + CHOOSE(CONTROL!$C$27, 0.0021, 0)</f>
        <v>89.997900000000001</v>
      </c>
      <c r="D922" s="10">
        <f>89.9958 * CHOOSE(CONTROL!$C$9, $D$9, 100%, $F$9) + CHOOSE(CONTROL!$C$27, 0.0021, 0)</f>
        <v>89.997900000000001</v>
      </c>
      <c r="E922" s="10">
        <f>89.8592 * CHOOSE(CONTROL!$C$9, $D$9, 100%, $F$9) + CHOOSE(CONTROL!$C$27, 0.0021, 0)</f>
        <v>89.8613</v>
      </c>
      <c r="F922" s="10">
        <f>89.8592 * CHOOSE(CONTROL!$C$9, $D$9, 100%, $F$9) + CHOOSE(CONTROL!$C$27, 0.0021, 0)</f>
        <v>89.8613</v>
      </c>
      <c r="G922" s="10">
        <f>90.1306 * CHOOSE(CONTROL!$C$9, $D$9, 100%, $F$9) + CHOOSE(CONTROL!$C$27, 0.0021, 0)</f>
        <v>90.1327</v>
      </c>
      <c r="H922" s="10">
        <f>89.9958 * CHOOSE(CONTROL!$C$9, $D$9, 100%, $F$9) + CHOOSE(CONTROL!$C$27, 0.0021, 0)</f>
        <v>89.997900000000001</v>
      </c>
      <c r="I922" s="10">
        <f>89.9958 * CHOOSE(CONTROL!$C$9, $D$9, 100%, $F$9) + CHOOSE(CONTROL!$C$27, 0.0021, 0)</f>
        <v>89.997900000000001</v>
      </c>
      <c r="J922" s="10">
        <f>89.9958 * CHOOSE(CONTROL!$C$9, $D$9, 100%, $F$9) + CHOOSE(CONTROL!$C$27, 0.0021, 0)</f>
        <v>89.997900000000001</v>
      </c>
      <c r="K922" s="10">
        <f>89.9958 * CHOOSE(CONTROL!$C$9, $D$9, 100%, $F$9) + CHOOSE(CONTROL!$C$27, 0.0021, 0)</f>
        <v>89.997900000000001</v>
      </c>
      <c r="L922" s="10"/>
    </row>
    <row r="923" spans="1:12" ht="15.75" x14ac:dyDescent="0.25">
      <c r="A923" s="13">
        <v>69398</v>
      </c>
      <c r="B923" s="10">
        <f>88.7 * CHOOSE(CONTROL!$C$9, $D$9, 100%, $F$9) + CHOOSE(CONTROL!$C$27, 0.0021, 0)</f>
        <v>88.702100000000002</v>
      </c>
      <c r="C923" s="10">
        <f>88.2677 * CHOOSE(CONTROL!$C$9, $D$9, 100%, $F$9) + CHOOSE(CONTROL!$C$27, 0.0021, 0)</f>
        <v>88.269800000000004</v>
      </c>
      <c r="D923" s="10">
        <f>88.2677 * CHOOSE(CONTROL!$C$9, $D$9, 100%, $F$9) + CHOOSE(CONTROL!$C$27, 0.0021, 0)</f>
        <v>88.269800000000004</v>
      </c>
      <c r="E923" s="10">
        <f>88.131 * CHOOSE(CONTROL!$C$9, $D$9, 100%, $F$9) + CHOOSE(CONTROL!$C$27, 0.0021, 0)</f>
        <v>88.133099999999999</v>
      </c>
      <c r="F923" s="10">
        <f>88.131 * CHOOSE(CONTROL!$C$9, $D$9, 100%, $F$9) + CHOOSE(CONTROL!$C$27, 0.0021, 0)</f>
        <v>88.133099999999999</v>
      </c>
      <c r="G923" s="10">
        <f>88.4024 * CHOOSE(CONTROL!$C$9, $D$9, 100%, $F$9) + CHOOSE(CONTROL!$C$27, 0.0021, 0)</f>
        <v>88.404499999999999</v>
      </c>
      <c r="H923" s="10">
        <f>88.2677 * CHOOSE(CONTROL!$C$9, $D$9, 100%, $F$9) + CHOOSE(CONTROL!$C$27, 0.0021, 0)</f>
        <v>88.269800000000004</v>
      </c>
      <c r="I923" s="10">
        <f>88.2677 * CHOOSE(CONTROL!$C$9, $D$9, 100%, $F$9) + CHOOSE(CONTROL!$C$27, 0.0021, 0)</f>
        <v>88.269800000000004</v>
      </c>
      <c r="J923" s="10">
        <f>88.2677 * CHOOSE(CONTROL!$C$9, $D$9, 100%, $F$9) + CHOOSE(CONTROL!$C$27, 0.0021, 0)</f>
        <v>88.269800000000004</v>
      </c>
      <c r="K923" s="10">
        <f>88.2677 * CHOOSE(CONTROL!$C$9, $D$9, 100%, $F$9) + CHOOSE(CONTROL!$C$27, 0.0021, 0)</f>
        <v>88.269800000000004</v>
      </c>
      <c r="L923" s="10"/>
    </row>
    <row r="924" spans="1:12" ht="15.75" x14ac:dyDescent="0.25">
      <c r="A924" s="13">
        <v>69429</v>
      </c>
      <c r="B924" s="10">
        <f>87.3768 * CHOOSE(CONTROL!$C$9, $D$9, 100%, $F$9) + CHOOSE(CONTROL!$C$27, 0.0021, 0)</f>
        <v>87.378900000000002</v>
      </c>
      <c r="C924" s="10">
        <f>86.9446 * CHOOSE(CONTROL!$C$9, $D$9, 100%, $F$9) + CHOOSE(CONTROL!$C$27, 0.0021, 0)</f>
        <v>86.946699999999993</v>
      </c>
      <c r="D924" s="10">
        <f>86.9446 * CHOOSE(CONTROL!$C$9, $D$9, 100%, $F$9) + CHOOSE(CONTROL!$C$27, 0.0021, 0)</f>
        <v>86.946699999999993</v>
      </c>
      <c r="E924" s="10">
        <f>86.8079 * CHOOSE(CONTROL!$C$9, $D$9, 100%, $F$9) + CHOOSE(CONTROL!$C$27, 0.0021, 0)</f>
        <v>86.81</v>
      </c>
      <c r="F924" s="10">
        <f>86.8079 * CHOOSE(CONTROL!$C$9, $D$9, 100%, $F$9) + CHOOSE(CONTROL!$C$27, 0.0021, 0)</f>
        <v>86.81</v>
      </c>
      <c r="G924" s="10">
        <f>87.0793 * CHOOSE(CONTROL!$C$9, $D$9, 100%, $F$9) + CHOOSE(CONTROL!$C$27, 0.0021, 0)</f>
        <v>87.081400000000002</v>
      </c>
      <c r="H924" s="10">
        <f>86.9446 * CHOOSE(CONTROL!$C$9, $D$9, 100%, $F$9) + CHOOSE(CONTROL!$C$27, 0.0021, 0)</f>
        <v>86.946699999999993</v>
      </c>
      <c r="I924" s="10">
        <f>86.9446 * CHOOSE(CONTROL!$C$9, $D$9, 100%, $F$9) + CHOOSE(CONTROL!$C$27, 0.0021, 0)</f>
        <v>86.946699999999993</v>
      </c>
      <c r="J924" s="10">
        <f>86.9446 * CHOOSE(CONTROL!$C$9, $D$9, 100%, $F$9) + CHOOSE(CONTROL!$C$27, 0.0021, 0)</f>
        <v>86.946699999999993</v>
      </c>
      <c r="K924" s="10">
        <f>86.9446 * CHOOSE(CONTROL!$C$9, $D$9, 100%, $F$9) + CHOOSE(CONTROL!$C$27, 0.0021, 0)</f>
        <v>86.946699999999993</v>
      </c>
      <c r="L924" s="10"/>
    </row>
    <row r="925" spans="1:12" ht="15.75" x14ac:dyDescent="0.25">
      <c r="A925" s="13">
        <v>69457</v>
      </c>
      <c r="B925" s="10">
        <f>84.9702 * CHOOSE(CONTROL!$C$9, $D$9, 100%, $F$9) + CHOOSE(CONTROL!$C$27, 0.0021, 0)</f>
        <v>84.972300000000004</v>
      </c>
      <c r="C925" s="10">
        <f>84.5379 * CHOOSE(CONTROL!$C$9, $D$9, 100%, $F$9) + CHOOSE(CONTROL!$C$27, 0.0021, 0)</f>
        <v>84.539999999999992</v>
      </c>
      <c r="D925" s="10">
        <f>84.5379 * CHOOSE(CONTROL!$C$9, $D$9, 100%, $F$9) + CHOOSE(CONTROL!$C$27, 0.0021, 0)</f>
        <v>84.539999999999992</v>
      </c>
      <c r="E925" s="10">
        <f>84.4013 * CHOOSE(CONTROL!$C$9, $D$9, 100%, $F$9) + CHOOSE(CONTROL!$C$27, 0.0021, 0)</f>
        <v>84.403400000000005</v>
      </c>
      <c r="F925" s="10">
        <f>84.4013 * CHOOSE(CONTROL!$C$9, $D$9, 100%, $F$9) + CHOOSE(CONTROL!$C$27, 0.0021, 0)</f>
        <v>84.403400000000005</v>
      </c>
      <c r="G925" s="10">
        <f>84.6727 * CHOOSE(CONTROL!$C$9, $D$9, 100%, $F$9) + CHOOSE(CONTROL!$C$27, 0.0021, 0)</f>
        <v>84.674800000000005</v>
      </c>
      <c r="H925" s="10">
        <f>84.5379 * CHOOSE(CONTROL!$C$9, $D$9, 100%, $F$9) + CHOOSE(CONTROL!$C$27, 0.0021, 0)</f>
        <v>84.539999999999992</v>
      </c>
      <c r="I925" s="10">
        <f>84.5379 * CHOOSE(CONTROL!$C$9, $D$9, 100%, $F$9) + CHOOSE(CONTROL!$C$27, 0.0021, 0)</f>
        <v>84.539999999999992</v>
      </c>
      <c r="J925" s="10">
        <f>84.5379 * CHOOSE(CONTROL!$C$9, $D$9, 100%, $F$9) + CHOOSE(CONTROL!$C$27, 0.0021, 0)</f>
        <v>84.539999999999992</v>
      </c>
      <c r="K925" s="10">
        <f>84.5379 * CHOOSE(CONTROL!$C$9, $D$9, 100%, $F$9) + CHOOSE(CONTROL!$C$27, 0.0021, 0)</f>
        <v>84.539999999999992</v>
      </c>
      <c r="L925" s="10"/>
    </row>
    <row r="926" spans="1:12" ht="15.75" x14ac:dyDescent="0.25">
      <c r="A926" s="13">
        <v>69488</v>
      </c>
      <c r="B926" s="10">
        <f>83.9767 * CHOOSE(CONTROL!$C$9, $D$9, 100%, $F$9) + CHOOSE(CONTROL!$C$27, 0.0021, 0)</f>
        <v>83.978799999999993</v>
      </c>
      <c r="C926" s="10">
        <f>83.5445 * CHOOSE(CONTROL!$C$9, $D$9, 100%, $F$9) + CHOOSE(CONTROL!$C$27, 0.0021, 0)</f>
        <v>83.546599999999998</v>
      </c>
      <c r="D926" s="10">
        <f>83.5445 * CHOOSE(CONTROL!$C$9, $D$9, 100%, $F$9) + CHOOSE(CONTROL!$C$27, 0.0021, 0)</f>
        <v>83.546599999999998</v>
      </c>
      <c r="E926" s="10">
        <f>83.4078 * CHOOSE(CONTROL!$C$9, $D$9, 100%, $F$9) + CHOOSE(CONTROL!$C$27, 0.0021, 0)</f>
        <v>83.409899999999993</v>
      </c>
      <c r="F926" s="10">
        <f>83.4078 * CHOOSE(CONTROL!$C$9, $D$9, 100%, $F$9) + CHOOSE(CONTROL!$C$27, 0.0021, 0)</f>
        <v>83.409899999999993</v>
      </c>
      <c r="G926" s="10">
        <f>83.6792 * CHOOSE(CONTROL!$C$9, $D$9, 100%, $F$9) + CHOOSE(CONTROL!$C$27, 0.0021, 0)</f>
        <v>83.681299999999993</v>
      </c>
      <c r="H926" s="10">
        <f>83.5445 * CHOOSE(CONTROL!$C$9, $D$9, 100%, $F$9) + CHOOSE(CONTROL!$C$27, 0.0021, 0)</f>
        <v>83.546599999999998</v>
      </c>
      <c r="I926" s="10">
        <f>83.5445 * CHOOSE(CONTROL!$C$9, $D$9, 100%, $F$9) + CHOOSE(CONTROL!$C$27, 0.0021, 0)</f>
        <v>83.546599999999998</v>
      </c>
      <c r="J926" s="10">
        <f>83.5445 * CHOOSE(CONTROL!$C$9, $D$9, 100%, $F$9) + CHOOSE(CONTROL!$C$27, 0.0021, 0)</f>
        <v>83.546599999999998</v>
      </c>
      <c r="K926" s="10">
        <f>83.5445 * CHOOSE(CONTROL!$C$9, $D$9, 100%, $F$9) + CHOOSE(CONTROL!$C$27, 0.0021, 0)</f>
        <v>83.546599999999998</v>
      </c>
      <c r="L926" s="10"/>
    </row>
    <row r="927" spans="1:12" ht="15.75" x14ac:dyDescent="0.25">
      <c r="A927" s="13">
        <v>69518</v>
      </c>
      <c r="B927" s="10">
        <f>82.7905 * CHOOSE(CONTROL!$C$9, $D$9, 100%, $F$9) + CHOOSE(CONTROL!$C$27, 0.0021, 0)</f>
        <v>82.792599999999993</v>
      </c>
      <c r="C927" s="10">
        <f>82.3583 * CHOOSE(CONTROL!$C$9, $D$9, 100%, $F$9) + CHOOSE(CONTROL!$C$27, 0.0021, 0)</f>
        <v>82.360399999999998</v>
      </c>
      <c r="D927" s="10">
        <f>82.3583 * CHOOSE(CONTROL!$C$9, $D$9, 100%, $F$9) + CHOOSE(CONTROL!$C$27, 0.0021, 0)</f>
        <v>82.360399999999998</v>
      </c>
      <c r="E927" s="10">
        <f>82.2216 * CHOOSE(CONTROL!$C$9, $D$9, 100%, $F$9) + CHOOSE(CONTROL!$C$27, 0.0021, 0)</f>
        <v>82.223699999999994</v>
      </c>
      <c r="F927" s="10">
        <f>82.2216 * CHOOSE(CONTROL!$C$9, $D$9, 100%, $F$9) + CHOOSE(CONTROL!$C$27, 0.0021, 0)</f>
        <v>82.223699999999994</v>
      </c>
      <c r="G927" s="10">
        <f>82.493 * CHOOSE(CONTROL!$C$9, $D$9, 100%, $F$9) + CHOOSE(CONTROL!$C$27, 0.0021, 0)</f>
        <v>82.495099999999994</v>
      </c>
      <c r="H927" s="10">
        <f>82.3583 * CHOOSE(CONTROL!$C$9, $D$9, 100%, $F$9) + CHOOSE(CONTROL!$C$27, 0.0021, 0)</f>
        <v>82.360399999999998</v>
      </c>
      <c r="I927" s="10">
        <f>82.3583 * CHOOSE(CONTROL!$C$9, $D$9, 100%, $F$9) + CHOOSE(CONTROL!$C$27, 0.0021, 0)</f>
        <v>82.360399999999998</v>
      </c>
      <c r="J927" s="10">
        <f>82.3583 * CHOOSE(CONTROL!$C$9, $D$9, 100%, $F$9) + CHOOSE(CONTROL!$C$27, 0.0021, 0)</f>
        <v>82.360399999999998</v>
      </c>
      <c r="K927" s="10">
        <f>82.3583 * CHOOSE(CONTROL!$C$9, $D$9, 100%, $F$9) + CHOOSE(CONTROL!$C$27, 0.0021, 0)</f>
        <v>82.360399999999998</v>
      </c>
      <c r="L927" s="10"/>
    </row>
    <row r="928" spans="1:12" ht="15.75" x14ac:dyDescent="0.25">
      <c r="A928" s="13">
        <v>69549</v>
      </c>
      <c r="B928" s="10">
        <f>84.481 * CHOOSE(CONTROL!$C$9, $D$9, 100%, $F$9) + CHOOSE(CONTROL!$C$27, 0.0021, 0)</f>
        <v>84.483099999999993</v>
      </c>
      <c r="C928" s="10">
        <f>84.0488 * CHOOSE(CONTROL!$C$9, $D$9, 100%, $F$9) + CHOOSE(CONTROL!$C$27, 0.0021, 0)</f>
        <v>84.050899999999999</v>
      </c>
      <c r="D928" s="10">
        <f>84.0488 * CHOOSE(CONTROL!$C$9, $D$9, 100%, $F$9) + CHOOSE(CONTROL!$C$27, 0.0021, 0)</f>
        <v>84.050899999999999</v>
      </c>
      <c r="E928" s="10">
        <f>83.9121 * CHOOSE(CONTROL!$C$9, $D$9, 100%, $F$9) + CHOOSE(CONTROL!$C$27, 0.0021, 0)</f>
        <v>83.914199999999994</v>
      </c>
      <c r="F928" s="10">
        <f>83.9121 * CHOOSE(CONTROL!$C$9, $D$9, 100%, $F$9) + CHOOSE(CONTROL!$C$27, 0.0021, 0)</f>
        <v>83.914199999999994</v>
      </c>
      <c r="G928" s="10">
        <f>84.1835 * CHOOSE(CONTROL!$C$9, $D$9, 100%, $F$9) + CHOOSE(CONTROL!$C$27, 0.0021, 0)</f>
        <v>84.185599999999994</v>
      </c>
      <c r="H928" s="10">
        <f>84.0488 * CHOOSE(CONTROL!$C$9, $D$9, 100%, $F$9) + CHOOSE(CONTROL!$C$27, 0.0021, 0)</f>
        <v>84.050899999999999</v>
      </c>
      <c r="I928" s="10">
        <f>84.0488 * CHOOSE(CONTROL!$C$9, $D$9, 100%, $F$9) + CHOOSE(CONTROL!$C$27, 0.0021, 0)</f>
        <v>84.050899999999999</v>
      </c>
      <c r="J928" s="10">
        <f>84.0488 * CHOOSE(CONTROL!$C$9, $D$9, 100%, $F$9) + CHOOSE(CONTROL!$C$27, 0.0021, 0)</f>
        <v>84.050899999999999</v>
      </c>
      <c r="K928" s="10">
        <f>84.0488 * CHOOSE(CONTROL!$C$9, $D$9, 100%, $F$9) + CHOOSE(CONTROL!$C$27, 0.0021, 0)</f>
        <v>84.050899999999999</v>
      </c>
      <c r="L928" s="10"/>
    </row>
    <row r="929" spans="1:12" ht="15.75" x14ac:dyDescent="0.25">
      <c r="A929" s="13">
        <v>69579</v>
      </c>
      <c r="B929" s="10">
        <f>85.4936 * CHOOSE(CONTROL!$C$9, $D$9, 100%, $F$9) + CHOOSE(CONTROL!$C$27, 0.0021, 0)</f>
        <v>85.495699999999999</v>
      </c>
      <c r="C929" s="10">
        <f>85.0613 * CHOOSE(CONTROL!$C$9, $D$9, 100%, $F$9) + CHOOSE(CONTROL!$C$27, 0.0021, 0)</f>
        <v>85.063400000000001</v>
      </c>
      <c r="D929" s="10">
        <f>85.0613 * CHOOSE(CONTROL!$C$9, $D$9, 100%, $F$9) + CHOOSE(CONTROL!$C$27, 0.0021, 0)</f>
        <v>85.063400000000001</v>
      </c>
      <c r="E929" s="10">
        <f>84.9246 * CHOOSE(CONTROL!$C$9, $D$9, 100%, $F$9) + CHOOSE(CONTROL!$C$27, 0.0021, 0)</f>
        <v>84.926699999999997</v>
      </c>
      <c r="F929" s="10">
        <f>84.9246 * CHOOSE(CONTROL!$C$9, $D$9, 100%, $F$9) + CHOOSE(CONTROL!$C$27, 0.0021, 0)</f>
        <v>84.926699999999997</v>
      </c>
      <c r="G929" s="10">
        <f>85.196 * CHOOSE(CONTROL!$C$9, $D$9, 100%, $F$9) + CHOOSE(CONTROL!$C$27, 0.0021, 0)</f>
        <v>85.198099999999997</v>
      </c>
      <c r="H929" s="10">
        <f>85.0613 * CHOOSE(CONTROL!$C$9, $D$9, 100%, $F$9) + CHOOSE(CONTROL!$C$27, 0.0021, 0)</f>
        <v>85.063400000000001</v>
      </c>
      <c r="I929" s="10">
        <f>85.0613 * CHOOSE(CONTROL!$C$9, $D$9, 100%, $F$9) + CHOOSE(CONTROL!$C$27, 0.0021, 0)</f>
        <v>85.063400000000001</v>
      </c>
      <c r="J929" s="10">
        <f>85.0613 * CHOOSE(CONTROL!$C$9, $D$9, 100%, $F$9) + CHOOSE(CONTROL!$C$27, 0.0021, 0)</f>
        <v>85.063400000000001</v>
      </c>
      <c r="K929" s="10">
        <f>85.0613 * CHOOSE(CONTROL!$C$9, $D$9, 100%, $F$9) + CHOOSE(CONTROL!$C$27, 0.0021, 0)</f>
        <v>85.063400000000001</v>
      </c>
      <c r="L929" s="10"/>
    </row>
    <row r="930" spans="1:12" ht="15.75" x14ac:dyDescent="0.25">
      <c r="A930" s="13">
        <v>69610</v>
      </c>
      <c r="B930" s="10">
        <f>87.1639 * CHOOSE(CONTROL!$C$9, $D$9, 100%, $F$9) + CHOOSE(CONTROL!$C$27, 0.0021, 0)</f>
        <v>87.165999999999997</v>
      </c>
      <c r="C930" s="10">
        <f>86.7316 * CHOOSE(CONTROL!$C$9, $D$9, 100%, $F$9) + CHOOSE(CONTROL!$C$27, 0.0021, 0)</f>
        <v>86.733699999999999</v>
      </c>
      <c r="D930" s="10">
        <f>86.7316 * CHOOSE(CONTROL!$C$9, $D$9, 100%, $F$9) + CHOOSE(CONTROL!$C$27, 0.0021, 0)</f>
        <v>86.733699999999999</v>
      </c>
      <c r="E930" s="10">
        <f>86.595 * CHOOSE(CONTROL!$C$9, $D$9, 100%, $F$9) + CHOOSE(CONTROL!$C$27, 0.0021, 0)</f>
        <v>86.597099999999998</v>
      </c>
      <c r="F930" s="10">
        <f>86.595 * CHOOSE(CONTROL!$C$9, $D$9, 100%, $F$9) + CHOOSE(CONTROL!$C$27, 0.0021, 0)</f>
        <v>86.597099999999998</v>
      </c>
      <c r="G930" s="10">
        <f>86.8663 * CHOOSE(CONTROL!$C$9, $D$9, 100%, $F$9) + CHOOSE(CONTROL!$C$27, 0.0021, 0)</f>
        <v>86.868399999999994</v>
      </c>
      <c r="H930" s="10">
        <f>86.7316 * CHOOSE(CONTROL!$C$9, $D$9, 100%, $F$9) + CHOOSE(CONTROL!$C$27, 0.0021, 0)</f>
        <v>86.733699999999999</v>
      </c>
      <c r="I930" s="10">
        <f>86.7316 * CHOOSE(CONTROL!$C$9, $D$9, 100%, $F$9) + CHOOSE(CONTROL!$C$27, 0.0021, 0)</f>
        <v>86.733699999999999</v>
      </c>
      <c r="J930" s="10">
        <f>86.7316 * CHOOSE(CONTROL!$C$9, $D$9, 100%, $F$9) + CHOOSE(CONTROL!$C$27, 0.0021, 0)</f>
        <v>86.733699999999999</v>
      </c>
      <c r="K930" s="10">
        <f>86.7316 * CHOOSE(CONTROL!$C$9, $D$9, 100%, $F$9) + CHOOSE(CONTROL!$C$27, 0.0021, 0)</f>
        <v>86.733699999999999</v>
      </c>
      <c r="L930" s="10"/>
    </row>
    <row r="931" spans="1:12" ht="15.75" x14ac:dyDescent="0.25">
      <c r="A931" s="13">
        <v>69641</v>
      </c>
      <c r="B931" s="10">
        <f>87.6737 * CHOOSE(CONTROL!$C$9, $D$9, 100%, $F$9) + CHOOSE(CONTROL!$C$27, 0.0021, 0)</f>
        <v>87.675799999999995</v>
      </c>
      <c r="C931" s="10">
        <f>87.2415 * CHOOSE(CONTROL!$C$9, $D$9, 100%, $F$9) + CHOOSE(CONTROL!$C$27, 0.0021, 0)</f>
        <v>87.243600000000001</v>
      </c>
      <c r="D931" s="10">
        <f>87.2415 * CHOOSE(CONTROL!$C$9, $D$9, 100%, $F$9) + CHOOSE(CONTROL!$C$27, 0.0021, 0)</f>
        <v>87.243600000000001</v>
      </c>
      <c r="E931" s="10">
        <f>87.1048 * CHOOSE(CONTROL!$C$9, $D$9, 100%, $F$9) + CHOOSE(CONTROL!$C$27, 0.0021, 0)</f>
        <v>87.106899999999996</v>
      </c>
      <c r="F931" s="10">
        <f>87.1048 * CHOOSE(CONTROL!$C$9, $D$9, 100%, $F$9) + CHOOSE(CONTROL!$C$27, 0.0021, 0)</f>
        <v>87.106899999999996</v>
      </c>
      <c r="G931" s="10">
        <f>87.3762 * CHOOSE(CONTROL!$C$9, $D$9, 100%, $F$9) + CHOOSE(CONTROL!$C$27, 0.0021, 0)</f>
        <v>87.378299999999996</v>
      </c>
      <c r="H931" s="10">
        <f>87.2415 * CHOOSE(CONTROL!$C$9, $D$9, 100%, $F$9) + CHOOSE(CONTROL!$C$27, 0.0021, 0)</f>
        <v>87.243600000000001</v>
      </c>
      <c r="I931" s="10">
        <f>87.2415 * CHOOSE(CONTROL!$C$9, $D$9, 100%, $F$9) + CHOOSE(CONTROL!$C$27, 0.0021, 0)</f>
        <v>87.243600000000001</v>
      </c>
      <c r="J931" s="10">
        <f>87.2415 * CHOOSE(CONTROL!$C$9, $D$9, 100%, $F$9) + CHOOSE(CONTROL!$C$27, 0.0021, 0)</f>
        <v>87.243600000000001</v>
      </c>
      <c r="K931" s="10">
        <f>87.2415 * CHOOSE(CONTROL!$C$9, $D$9, 100%, $F$9) + CHOOSE(CONTROL!$C$27, 0.0021, 0)</f>
        <v>87.243600000000001</v>
      </c>
      <c r="L931" s="10"/>
    </row>
    <row r="932" spans="1:12" ht="15.75" x14ac:dyDescent="0.25">
      <c r="A932" s="13">
        <v>69671</v>
      </c>
      <c r="B932" s="10">
        <f>89.4099 * CHOOSE(CONTROL!$C$9, $D$9, 100%, $F$9) + CHOOSE(CONTROL!$C$27, 0.0021, 0)</f>
        <v>89.411999999999992</v>
      </c>
      <c r="C932" s="10">
        <f>88.9777 * CHOOSE(CONTROL!$C$9, $D$9, 100%, $F$9) + CHOOSE(CONTROL!$C$27, 0.0021, 0)</f>
        <v>88.979799999999997</v>
      </c>
      <c r="D932" s="10">
        <f>88.9777 * CHOOSE(CONTROL!$C$9, $D$9, 100%, $F$9) + CHOOSE(CONTROL!$C$27, 0.0021, 0)</f>
        <v>88.979799999999997</v>
      </c>
      <c r="E932" s="10">
        <f>88.841 * CHOOSE(CONTROL!$C$9, $D$9, 100%, $F$9) + CHOOSE(CONTROL!$C$27, 0.0021, 0)</f>
        <v>88.843099999999993</v>
      </c>
      <c r="F932" s="10">
        <f>88.841 * CHOOSE(CONTROL!$C$9, $D$9, 100%, $F$9) + CHOOSE(CONTROL!$C$27, 0.0021, 0)</f>
        <v>88.843099999999993</v>
      </c>
      <c r="G932" s="10">
        <f>89.1124 * CHOOSE(CONTROL!$C$9, $D$9, 100%, $F$9) + CHOOSE(CONTROL!$C$27, 0.0021, 0)</f>
        <v>89.114499999999992</v>
      </c>
      <c r="H932" s="10">
        <f>88.9777 * CHOOSE(CONTROL!$C$9, $D$9, 100%, $F$9) + CHOOSE(CONTROL!$C$27, 0.0021, 0)</f>
        <v>88.979799999999997</v>
      </c>
      <c r="I932" s="10">
        <f>88.9777 * CHOOSE(CONTROL!$C$9, $D$9, 100%, $F$9) + CHOOSE(CONTROL!$C$27, 0.0021, 0)</f>
        <v>88.979799999999997</v>
      </c>
      <c r="J932" s="10">
        <f>88.9777 * CHOOSE(CONTROL!$C$9, $D$9, 100%, $F$9) + CHOOSE(CONTROL!$C$27, 0.0021, 0)</f>
        <v>88.979799999999997</v>
      </c>
      <c r="K932" s="10">
        <f>88.9777 * CHOOSE(CONTROL!$C$9, $D$9, 100%, $F$9) + CHOOSE(CONTROL!$C$27, 0.0021, 0)</f>
        <v>88.979799999999997</v>
      </c>
      <c r="L932" s="10"/>
    </row>
    <row r="933" spans="1:12" ht="15.75" x14ac:dyDescent="0.25">
      <c r="A933" s="13">
        <v>69702</v>
      </c>
      <c r="B933" s="10">
        <f>91.6077 * CHOOSE(CONTROL!$C$9, $D$9, 100%, $F$9) + CHOOSE(CONTROL!$C$27, 0.0021, 0)</f>
        <v>91.609799999999993</v>
      </c>
      <c r="C933" s="10">
        <f>91.1754 * CHOOSE(CONTROL!$C$9, $D$9, 100%, $F$9) + CHOOSE(CONTROL!$C$27, 0.0021, 0)</f>
        <v>91.177499999999995</v>
      </c>
      <c r="D933" s="10">
        <f>91.1754 * CHOOSE(CONTROL!$C$9, $D$9, 100%, $F$9) + CHOOSE(CONTROL!$C$27, 0.0021, 0)</f>
        <v>91.177499999999995</v>
      </c>
      <c r="E933" s="10">
        <f>91.0388 * CHOOSE(CONTROL!$C$9, $D$9, 100%, $F$9) + CHOOSE(CONTROL!$C$27, 0.0021, 0)</f>
        <v>91.040899999999993</v>
      </c>
      <c r="F933" s="10">
        <f>91.0388 * CHOOSE(CONTROL!$C$9, $D$9, 100%, $F$9) + CHOOSE(CONTROL!$C$27, 0.0021, 0)</f>
        <v>91.040899999999993</v>
      </c>
      <c r="G933" s="10">
        <f>91.3102 * CHOOSE(CONTROL!$C$9, $D$9, 100%, $F$9) + CHOOSE(CONTROL!$C$27, 0.0021, 0)</f>
        <v>91.312299999999993</v>
      </c>
      <c r="H933" s="10">
        <f>91.1754 * CHOOSE(CONTROL!$C$9, $D$9, 100%, $F$9) + CHOOSE(CONTROL!$C$27, 0.0021, 0)</f>
        <v>91.177499999999995</v>
      </c>
      <c r="I933" s="10">
        <f>91.1754 * CHOOSE(CONTROL!$C$9, $D$9, 100%, $F$9) + CHOOSE(CONTROL!$C$27, 0.0021, 0)</f>
        <v>91.177499999999995</v>
      </c>
      <c r="J933" s="10">
        <f>91.1754 * CHOOSE(CONTROL!$C$9, $D$9, 100%, $F$9) + CHOOSE(CONTROL!$C$27, 0.0021, 0)</f>
        <v>91.177499999999995</v>
      </c>
      <c r="K933" s="10">
        <f>91.1754 * CHOOSE(CONTROL!$C$9, $D$9, 100%, $F$9) + CHOOSE(CONTROL!$C$27, 0.0021, 0)</f>
        <v>91.177499999999995</v>
      </c>
      <c r="L933" s="10"/>
    </row>
    <row r="934" spans="1:12" ht="15.75" x14ac:dyDescent="0.25">
      <c r="A934" s="13">
        <v>69732</v>
      </c>
      <c r="B934" s="10">
        <f>91.814 * CHOOSE(CONTROL!$C$9, $D$9, 100%, $F$9) + CHOOSE(CONTROL!$C$27, 0.0021, 0)</f>
        <v>91.816099999999992</v>
      </c>
      <c r="C934" s="10">
        <f>91.3818 * CHOOSE(CONTROL!$C$9, $D$9, 100%, $F$9) + CHOOSE(CONTROL!$C$27, 0.0021, 0)</f>
        <v>91.383899999999997</v>
      </c>
      <c r="D934" s="10">
        <f>91.3818 * CHOOSE(CONTROL!$C$9, $D$9, 100%, $F$9) + CHOOSE(CONTROL!$C$27, 0.0021, 0)</f>
        <v>91.383899999999997</v>
      </c>
      <c r="E934" s="10">
        <f>91.2451 * CHOOSE(CONTROL!$C$9, $D$9, 100%, $F$9) + CHOOSE(CONTROL!$C$27, 0.0021, 0)</f>
        <v>91.247199999999992</v>
      </c>
      <c r="F934" s="10">
        <f>91.2451 * CHOOSE(CONTROL!$C$9, $D$9, 100%, $F$9) + CHOOSE(CONTROL!$C$27, 0.0021, 0)</f>
        <v>91.247199999999992</v>
      </c>
      <c r="G934" s="10">
        <f>91.5165 * CHOOSE(CONTROL!$C$9, $D$9, 100%, $F$9) + CHOOSE(CONTROL!$C$27, 0.0021, 0)</f>
        <v>91.518599999999992</v>
      </c>
      <c r="H934" s="10">
        <f>91.3818 * CHOOSE(CONTROL!$C$9, $D$9, 100%, $F$9) + CHOOSE(CONTROL!$C$27, 0.0021, 0)</f>
        <v>91.383899999999997</v>
      </c>
      <c r="I934" s="10">
        <f>91.3818 * CHOOSE(CONTROL!$C$9, $D$9, 100%, $F$9) + CHOOSE(CONTROL!$C$27, 0.0021, 0)</f>
        <v>91.383899999999997</v>
      </c>
      <c r="J934" s="10">
        <f>91.3818 * CHOOSE(CONTROL!$C$9, $D$9, 100%, $F$9) + CHOOSE(CONTROL!$C$27, 0.0021, 0)</f>
        <v>91.383899999999997</v>
      </c>
      <c r="K934" s="10">
        <f>91.3818 * CHOOSE(CONTROL!$C$9, $D$9, 100%, $F$9) + CHOOSE(CONTROL!$C$27, 0.0021, 0)</f>
        <v>91.383899999999997</v>
      </c>
      <c r="L934" s="10"/>
    </row>
    <row r="935" spans="1:12" ht="15.75" x14ac:dyDescent="0.25">
      <c r="A935" s="13">
        <v>69763</v>
      </c>
      <c r="B935" s="10">
        <f>90.0587 * CHOOSE(CONTROL!$C$9, $D$9, 100%, $F$9) + CHOOSE(CONTROL!$C$27, 0.0021, 0)</f>
        <v>90.0608</v>
      </c>
      <c r="C935" s="10">
        <f>89.6265 * CHOOSE(CONTROL!$C$9, $D$9, 100%, $F$9) + CHOOSE(CONTROL!$C$27, 0.0021, 0)</f>
        <v>89.628599999999992</v>
      </c>
      <c r="D935" s="10">
        <f>89.6265 * CHOOSE(CONTROL!$C$9, $D$9, 100%, $F$9) + CHOOSE(CONTROL!$C$27, 0.0021, 0)</f>
        <v>89.628599999999992</v>
      </c>
      <c r="E935" s="10">
        <f>89.4898 * CHOOSE(CONTROL!$C$9, $D$9, 100%, $F$9) + CHOOSE(CONTROL!$C$27, 0.0021, 0)</f>
        <v>89.491900000000001</v>
      </c>
      <c r="F935" s="10">
        <f>89.4898 * CHOOSE(CONTROL!$C$9, $D$9, 100%, $F$9) + CHOOSE(CONTROL!$C$27, 0.0021, 0)</f>
        <v>89.491900000000001</v>
      </c>
      <c r="G935" s="10">
        <f>89.7612 * CHOOSE(CONTROL!$C$9, $D$9, 100%, $F$9) + CHOOSE(CONTROL!$C$27, 0.0021, 0)</f>
        <v>89.763300000000001</v>
      </c>
      <c r="H935" s="10">
        <f>89.6265 * CHOOSE(CONTROL!$C$9, $D$9, 100%, $F$9) + CHOOSE(CONTROL!$C$27, 0.0021, 0)</f>
        <v>89.628599999999992</v>
      </c>
      <c r="I935" s="10">
        <f>89.6265 * CHOOSE(CONTROL!$C$9, $D$9, 100%, $F$9) + CHOOSE(CONTROL!$C$27, 0.0021, 0)</f>
        <v>89.628599999999992</v>
      </c>
      <c r="J935" s="10">
        <f>89.6265 * CHOOSE(CONTROL!$C$9, $D$9, 100%, $F$9) + CHOOSE(CONTROL!$C$27, 0.0021, 0)</f>
        <v>89.628599999999992</v>
      </c>
      <c r="K935" s="10">
        <f>89.6265 * CHOOSE(CONTROL!$C$9, $D$9, 100%, $F$9) + CHOOSE(CONTROL!$C$27, 0.0021, 0)</f>
        <v>89.628599999999992</v>
      </c>
      <c r="L935" s="10"/>
    </row>
    <row r="936" spans="1:12" ht="15.75" x14ac:dyDescent="0.25">
      <c r="A936" s="13">
        <v>69794</v>
      </c>
      <c r="B936" s="10">
        <f>88.7148 * CHOOSE(CONTROL!$C$9, $D$9, 100%, $F$9) + CHOOSE(CONTROL!$C$27, 0.0021, 0)</f>
        <v>88.716899999999995</v>
      </c>
      <c r="C936" s="10">
        <f>88.2825 * CHOOSE(CONTROL!$C$9, $D$9, 100%, $F$9) + CHOOSE(CONTROL!$C$27, 0.0021, 0)</f>
        <v>88.284599999999998</v>
      </c>
      <c r="D936" s="10">
        <f>88.2825 * CHOOSE(CONTROL!$C$9, $D$9, 100%, $F$9) + CHOOSE(CONTROL!$C$27, 0.0021, 0)</f>
        <v>88.284599999999998</v>
      </c>
      <c r="E936" s="10">
        <f>88.1459 * CHOOSE(CONTROL!$C$9, $D$9, 100%, $F$9) + CHOOSE(CONTROL!$C$27, 0.0021, 0)</f>
        <v>88.147999999999996</v>
      </c>
      <c r="F936" s="10">
        <f>88.1459 * CHOOSE(CONTROL!$C$9, $D$9, 100%, $F$9) + CHOOSE(CONTROL!$C$27, 0.0021, 0)</f>
        <v>88.147999999999996</v>
      </c>
      <c r="G936" s="10">
        <f>88.4173 * CHOOSE(CONTROL!$C$9, $D$9, 100%, $F$9) + CHOOSE(CONTROL!$C$27, 0.0021, 0)</f>
        <v>88.419399999999996</v>
      </c>
      <c r="H936" s="10">
        <f>88.2825 * CHOOSE(CONTROL!$C$9, $D$9, 100%, $F$9) + CHOOSE(CONTROL!$C$27, 0.0021, 0)</f>
        <v>88.284599999999998</v>
      </c>
      <c r="I936" s="10">
        <f>88.2825 * CHOOSE(CONTROL!$C$9, $D$9, 100%, $F$9) + CHOOSE(CONTROL!$C$27, 0.0021, 0)</f>
        <v>88.284599999999998</v>
      </c>
      <c r="J936" s="10">
        <f>88.2825 * CHOOSE(CONTROL!$C$9, $D$9, 100%, $F$9) + CHOOSE(CONTROL!$C$27, 0.0021, 0)</f>
        <v>88.284599999999998</v>
      </c>
      <c r="K936" s="10">
        <f>88.2825 * CHOOSE(CONTROL!$C$9, $D$9, 100%, $F$9) + CHOOSE(CONTROL!$C$27, 0.0021, 0)</f>
        <v>88.284599999999998</v>
      </c>
      <c r="L936" s="10"/>
    </row>
    <row r="937" spans="1:12" ht="15.75" x14ac:dyDescent="0.25">
      <c r="A937" s="13">
        <v>69822</v>
      </c>
      <c r="B937" s="10">
        <f>86.2703 * CHOOSE(CONTROL!$C$9, $D$9, 100%, $F$9) + CHOOSE(CONTROL!$C$27, 0.0021, 0)</f>
        <v>86.272400000000005</v>
      </c>
      <c r="C937" s="10">
        <f>85.838 * CHOOSE(CONTROL!$C$9, $D$9, 100%, $F$9) + CHOOSE(CONTROL!$C$27, 0.0021, 0)</f>
        <v>85.840099999999993</v>
      </c>
      <c r="D937" s="10">
        <f>85.838 * CHOOSE(CONTROL!$C$9, $D$9, 100%, $F$9) + CHOOSE(CONTROL!$C$27, 0.0021, 0)</f>
        <v>85.840099999999993</v>
      </c>
      <c r="E937" s="10">
        <f>85.7014 * CHOOSE(CONTROL!$C$9, $D$9, 100%, $F$9) + CHOOSE(CONTROL!$C$27, 0.0021, 0)</f>
        <v>85.703500000000005</v>
      </c>
      <c r="F937" s="10">
        <f>85.7014 * CHOOSE(CONTROL!$C$9, $D$9, 100%, $F$9) + CHOOSE(CONTROL!$C$27, 0.0021, 0)</f>
        <v>85.703500000000005</v>
      </c>
      <c r="G937" s="10">
        <f>85.9728 * CHOOSE(CONTROL!$C$9, $D$9, 100%, $F$9) + CHOOSE(CONTROL!$C$27, 0.0021, 0)</f>
        <v>85.974900000000005</v>
      </c>
      <c r="H937" s="10">
        <f>85.838 * CHOOSE(CONTROL!$C$9, $D$9, 100%, $F$9) + CHOOSE(CONTROL!$C$27, 0.0021, 0)</f>
        <v>85.840099999999993</v>
      </c>
      <c r="I937" s="10">
        <f>85.838 * CHOOSE(CONTROL!$C$9, $D$9, 100%, $F$9) + CHOOSE(CONTROL!$C$27, 0.0021, 0)</f>
        <v>85.840099999999993</v>
      </c>
      <c r="J937" s="10">
        <f>85.838 * CHOOSE(CONTROL!$C$9, $D$9, 100%, $F$9) + CHOOSE(CONTROL!$C$27, 0.0021, 0)</f>
        <v>85.840099999999993</v>
      </c>
      <c r="K937" s="10">
        <f>85.838 * CHOOSE(CONTROL!$C$9, $D$9, 100%, $F$9) + CHOOSE(CONTROL!$C$27, 0.0021, 0)</f>
        <v>85.840099999999993</v>
      </c>
      <c r="L937" s="10"/>
    </row>
    <row r="938" spans="1:12" ht="15.75" x14ac:dyDescent="0.25">
      <c r="A938" s="13">
        <v>69853</v>
      </c>
      <c r="B938" s="10">
        <f>85.2612 * CHOOSE(CONTROL!$C$9, $D$9, 100%, $F$9) + CHOOSE(CONTROL!$C$27, 0.0021, 0)</f>
        <v>85.263300000000001</v>
      </c>
      <c r="C938" s="10">
        <f>84.829 * CHOOSE(CONTROL!$C$9, $D$9, 100%, $F$9) + CHOOSE(CONTROL!$C$27, 0.0021, 0)</f>
        <v>84.831099999999992</v>
      </c>
      <c r="D938" s="10">
        <f>84.829 * CHOOSE(CONTROL!$C$9, $D$9, 100%, $F$9) + CHOOSE(CONTROL!$C$27, 0.0021, 0)</f>
        <v>84.831099999999992</v>
      </c>
      <c r="E938" s="10">
        <f>84.6923 * CHOOSE(CONTROL!$C$9, $D$9, 100%, $F$9) + CHOOSE(CONTROL!$C$27, 0.0021, 0)</f>
        <v>84.694400000000002</v>
      </c>
      <c r="F938" s="10">
        <f>84.6923 * CHOOSE(CONTROL!$C$9, $D$9, 100%, $F$9) + CHOOSE(CONTROL!$C$27, 0.0021, 0)</f>
        <v>84.694400000000002</v>
      </c>
      <c r="G938" s="10">
        <f>84.9637 * CHOOSE(CONTROL!$C$9, $D$9, 100%, $F$9) + CHOOSE(CONTROL!$C$27, 0.0021, 0)</f>
        <v>84.965800000000002</v>
      </c>
      <c r="H938" s="10">
        <f>84.829 * CHOOSE(CONTROL!$C$9, $D$9, 100%, $F$9) + CHOOSE(CONTROL!$C$27, 0.0021, 0)</f>
        <v>84.831099999999992</v>
      </c>
      <c r="I938" s="10">
        <f>84.829 * CHOOSE(CONTROL!$C$9, $D$9, 100%, $F$9) + CHOOSE(CONTROL!$C$27, 0.0021, 0)</f>
        <v>84.831099999999992</v>
      </c>
      <c r="J938" s="10">
        <f>84.829 * CHOOSE(CONTROL!$C$9, $D$9, 100%, $F$9) + CHOOSE(CONTROL!$C$27, 0.0021, 0)</f>
        <v>84.831099999999992</v>
      </c>
      <c r="K938" s="10">
        <f>84.829 * CHOOSE(CONTROL!$C$9, $D$9, 100%, $F$9) + CHOOSE(CONTROL!$C$27, 0.0021, 0)</f>
        <v>84.831099999999992</v>
      </c>
      <c r="L938" s="10"/>
    </row>
    <row r="939" spans="1:12" ht="15.75" x14ac:dyDescent="0.25">
      <c r="A939" s="13">
        <v>69883</v>
      </c>
      <c r="B939" s="10">
        <f>84.0563 * CHOOSE(CONTROL!$C$9, $D$9, 100%, $F$9) + CHOOSE(CONTROL!$C$27, 0.0021, 0)</f>
        <v>84.058399999999992</v>
      </c>
      <c r="C939" s="10">
        <f>83.6241 * CHOOSE(CONTROL!$C$9, $D$9, 100%, $F$9) + CHOOSE(CONTROL!$C$27, 0.0021, 0)</f>
        <v>83.626199999999997</v>
      </c>
      <c r="D939" s="10">
        <f>83.6241 * CHOOSE(CONTROL!$C$9, $D$9, 100%, $F$9) + CHOOSE(CONTROL!$C$27, 0.0021, 0)</f>
        <v>83.626199999999997</v>
      </c>
      <c r="E939" s="10">
        <f>83.4874 * CHOOSE(CONTROL!$C$9, $D$9, 100%, $F$9) + CHOOSE(CONTROL!$C$27, 0.0021, 0)</f>
        <v>83.489499999999992</v>
      </c>
      <c r="F939" s="10">
        <f>83.4874 * CHOOSE(CONTROL!$C$9, $D$9, 100%, $F$9) + CHOOSE(CONTROL!$C$27, 0.0021, 0)</f>
        <v>83.489499999999992</v>
      </c>
      <c r="G939" s="10">
        <f>83.7588 * CHOOSE(CONTROL!$C$9, $D$9, 100%, $F$9) + CHOOSE(CONTROL!$C$27, 0.0021, 0)</f>
        <v>83.760899999999992</v>
      </c>
      <c r="H939" s="10">
        <f>83.6241 * CHOOSE(CONTROL!$C$9, $D$9, 100%, $F$9) + CHOOSE(CONTROL!$C$27, 0.0021, 0)</f>
        <v>83.626199999999997</v>
      </c>
      <c r="I939" s="10">
        <f>83.6241 * CHOOSE(CONTROL!$C$9, $D$9, 100%, $F$9) + CHOOSE(CONTROL!$C$27, 0.0021, 0)</f>
        <v>83.626199999999997</v>
      </c>
      <c r="J939" s="10">
        <f>83.6241 * CHOOSE(CONTROL!$C$9, $D$9, 100%, $F$9) + CHOOSE(CONTROL!$C$27, 0.0021, 0)</f>
        <v>83.626199999999997</v>
      </c>
      <c r="K939" s="10">
        <f>83.6241 * CHOOSE(CONTROL!$C$9, $D$9, 100%, $F$9) + CHOOSE(CONTROL!$C$27, 0.0021, 0)</f>
        <v>83.626199999999997</v>
      </c>
      <c r="L939" s="10"/>
    </row>
    <row r="940" spans="1:12" ht="15.75" x14ac:dyDescent="0.25">
      <c r="A940" s="13">
        <v>69914</v>
      </c>
      <c r="B940" s="10">
        <f>85.7734 * CHOOSE(CONTROL!$C$9, $D$9, 100%, $F$9) + CHOOSE(CONTROL!$C$27, 0.0021, 0)</f>
        <v>85.775499999999994</v>
      </c>
      <c r="C940" s="10">
        <f>85.3412 * CHOOSE(CONTROL!$C$9, $D$9, 100%, $F$9) + CHOOSE(CONTROL!$C$27, 0.0021, 0)</f>
        <v>85.343299999999999</v>
      </c>
      <c r="D940" s="10">
        <f>85.3412 * CHOOSE(CONTROL!$C$9, $D$9, 100%, $F$9) + CHOOSE(CONTROL!$C$27, 0.0021, 0)</f>
        <v>85.343299999999999</v>
      </c>
      <c r="E940" s="10">
        <f>85.2045 * CHOOSE(CONTROL!$C$9, $D$9, 100%, $F$9) + CHOOSE(CONTROL!$C$27, 0.0021, 0)</f>
        <v>85.206599999999995</v>
      </c>
      <c r="F940" s="10">
        <f>85.2045 * CHOOSE(CONTROL!$C$9, $D$9, 100%, $F$9) + CHOOSE(CONTROL!$C$27, 0.0021, 0)</f>
        <v>85.206599999999995</v>
      </c>
      <c r="G940" s="10">
        <f>85.4759 * CHOOSE(CONTROL!$C$9, $D$9, 100%, $F$9) + CHOOSE(CONTROL!$C$27, 0.0021, 0)</f>
        <v>85.477999999999994</v>
      </c>
      <c r="H940" s="10">
        <f>85.3412 * CHOOSE(CONTROL!$C$9, $D$9, 100%, $F$9) + CHOOSE(CONTROL!$C$27, 0.0021, 0)</f>
        <v>85.343299999999999</v>
      </c>
      <c r="I940" s="10">
        <f>85.3412 * CHOOSE(CONTROL!$C$9, $D$9, 100%, $F$9) + CHOOSE(CONTROL!$C$27, 0.0021, 0)</f>
        <v>85.343299999999999</v>
      </c>
      <c r="J940" s="10">
        <f>85.3412 * CHOOSE(CONTROL!$C$9, $D$9, 100%, $F$9) + CHOOSE(CONTROL!$C$27, 0.0021, 0)</f>
        <v>85.343299999999999</v>
      </c>
      <c r="K940" s="10">
        <f>85.3412 * CHOOSE(CONTROL!$C$9, $D$9, 100%, $F$9) + CHOOSE(CONTROL!$C$27, 0.0021, 0)</f>
        <v>85.343299999999999</v>
      </c>
      <c r="L940" s="10"/>
    </row>
    <row r="941" spans="1:12" ht="15.75" x14ac:dyDescent="0.25">
      <c r="A941" s="13">
        <v>69944</v>
      </c>
      <c r="B941" s="10">
        <f>86.8019 * CHOOSE(CONTROL!$C$9, $D$9, 100%, $F$9) + CHOOSE(CONTROL!$C$27, 0.0021, 0)</f>
        <v>86.804000000000002</v>
      </c>
      <c r="C941" s="10">
        <f>86.3696 * CHOOSE(CONTROL!$C$9, $D$9, 100%, $F$9) + CHOOSE(CONTROL!$C$27, 0.0021, 0)</f>
        <v>86.371700000000004</v>
      </c>
      <c r="D941" s="10">
        <f>86.3696 * CHOOSE(CONTROL!$C$9, $D$9, 100%, $F$9) + CHOOSE(CONTROL!$C$27, 0.0021, 0)</f>
        <v>86.371700000000004</v>
      </c>
      <c r="E941" s="10">
        <f>86.233 * CHOOSE(CONTROL!$C$9, $D$9, 100%, $F$9) + CHOOSE(CONTROL!$C$27, 0.0021, 0)</f>
        <v>86.235100000000003</v>
      </c>
      <c r="F941" s="10">
        <f>86.233 * CHOOSE(CONTROL!$C$9, $D$9, 100%, $F$9) + CHOOSE(CONTROL!$C$27, 0.0021, 0)</f>
        <v>86.235100000000003</v>
      </c>
      <c r="G941" s="10">
        <f>86.5044 * CHOOSE(CONTROL!$C$9, $D$9, 100%, $F$9) + CHOOSE(CONTROL!$C$27, 0.0021, 0)</f>
        <v>86.506500000000003</v>
      </c>
      <c r="H941" s="10">
        <f>86.3696 * CHOOSE(CONTROL!$C$9, $D$9, 100%, $F$9) + CHOOSE(CONTROL!$C$27, 0.0021, 0)</f>
        <v>86.371700000000004</v>
      </c>
      <c r="I941" s="10">
        <f>86.3696 * CHOOSE(CONTROL!$C$9, $D$9, 100%, $F$9) + CHOOSE(CONTROL!$C$27, 0.0021, 0)</f>
        <v>86.371700000000004</v>
      </c>
      <c r="J941" s="10">
        <f>86.3696 * CHOOSE(CONTROL!$C$9, $D$9, 100%, $F$9) + CHOOSE(CONTROL!$C$27, 0.0021, 0)</f>
        <v>86.371700000000004</v>
      </c>
      <c r="K941" s="10">
        <f>86.3696 * CHOOSE(CONTROL!$C$9, $D$9, 100%, $F$9) + CHOOSE(CONTROL!$C$27, 0.0021, 0)</f>
        <v>86.371700000000004</v>
      </c>
      <c r="L941" s="10"/>
    </row>
    <row r="942" spans="1:12" ht="15.75" x14ac:dyDescent="0.25">
      <c r="A942" s="13">
        <v>69975</v>
      </c>
      <c r="B942" s="10">
        <f>88.4985 * CHOOSE(CONTROL!$C$9, $D$9, 100%, $F$9) + CHOOSE(CONTROL!$C$27, 0.0021, 0)</f>
        <v>88.500600000000006</v>
      </c>
      <c r="C942" s="10">
        <f>88.0662 * CHOOSE(CONTROL!$C$9, $D$9, 100%, $F$9) + CHOOSE(CONTROL!$C$27, 0.0021, 0)</f>
        <v>88.068299999999994</v>
      </c>
      <c r="D942" s="10">
        <f>88.0662 * CHOOSE(CONTROL!$C$9, $D$9, 100%, $F$9) + CHOOSE(CONTROL!$C$27, 0.0021, 0)</f>
        <v>88.068299999999994</v>
      </c>
      <c r="E942" s="10">
        <f>87.9296 * CHOOSE(CONTROL!$C$9, $D$9, 100%, $F$9) + CHOOSE(CONTROL!$C$27, 0.0021, 0)</f>
        <v>87.931699999999992</v>
      </c>
      <c r="F942" s="10">
        <f>87.9296 * CHOOSE(CONTROL!$C$9, $D$9, 100%, $F$9) + CHOOSE(CONTROL!$C$27, 0.0021, 0)</f>
        <v>87.931699999999992</v>
      </c>
      <c r="G942" s="10">
        <f>88.2009 * CHOOSE(CONTROL!$C$9, $D$9, 100%, $F$9) + CHOOSE(CONTROL!$C$27, 0.0021, 0)</f>
        <v>88.203000000000003</v>
      </c>
      <c r="H942" s="10">
        <f>88.0662 * CHOOSE(CONTROL!$C$9, $D$9, 100%, $F$9) + CHOOSE(CONTROL!$C$27, 0.0021, 0)</f>
        <v>88.068299999999994</v>
      </c>
      <c r="I942" s="10">
        <f>88.0662 * CHOOSE(CONTROL!$C$9, $D$9, 100%, $F$9) + CHOOSE(CONTROL!$C$27, 0.0021, 0)</f>
        <v>88.068299999999994</v>
      </c>
      <c r="J942" s="10">
        <f>88.0662 * CHOOSE(CONTROL!$C$9, $D$9, 100%, $F$9) + CHOOSE(CONTROL!$C$27, 0.0021, 0)</f>
        <v>88.068299999999994</v>
      </c>
      <c r="K942" s="10">
        <f>88.0662 * CHOOSE(CONTROL!$C$9, $D$9, 100%, $F$9) + CHOOSE(CONTROL!$C$27, 0.0021, 0)</f>
        <v>88.068299999999994</v>
      </c>
      <c r="L942" s="10"/>
    </row>
    <row r="943" spans="1:12" ht="15.75" x14ac:dyDescent="0.25">
      <c r="A943" s="13">
        <v>70006</v>
      </c>
      <c r="B943" s="10">
        <f>89.0163 * CHOOSE(CONTROL!$C$9, $D$9, 100%, $F$9) + CHOOSE(CONTROL!$C$27, 0.0021, 0)</f>
        <v>89.0184</v>
      </c>
      <c r="C943" s="10">
        <f>88.5841 * CHOOSE(CONTROL!$C$9, $D$9, 100%, $F$9) + CHOOSE(CONTROL!$C$27, 0.0021, 0)</f>
        <v>88.586200000000005</v>
      </c>
      <c r="D943" s="10">
        <f>88.5841 * CHOOSE(CONTROL!$C$9, $D$9, 100%, $F$9) + CHOOSE(CONTROL!$C$27, 0.0021, 0)</f>
        <v>88.586200000000005</v>
      </c>
      <c r="E943" s="10">
        <f>88.4474 * CHOOSE(CONTROL!$C$9, $D$9, 100%, $F$9) + CHOOSE(CONTROL!$C$27, 0.0021, 0)</f>
        <v>88.4495</v>
      </c>
      <c r="F943" s="10">
        <f>88.4474 * CHOOSE(CONTROL!$C$9, $D$9, 100%, $F$9) + CHOOSE(CONTROL!$C$27, 0.0021, 0)</f>
        <v>88.4495</v>
      </c>
      <c r="G943" s="10">
        <f>88.7188 * CHOOSE(CONTROL!$C$9, $D$9, 100%, $F$9) + CHOOSE(CONTROL!$C$27, 0.0021, 0)</f>
        <v>88.7209</v>
      </c>
      <c r="H943" s="10">
        <f>88.5841 * CHOOSE(CONTROL!$C$9, $D$9, 100%, $F$9) + CHOOSE(CONTROL!$C$27, 0.0021, 0)</f>
        <v>88.586200000000005</v>
      </c>
      <c r="I943" s="10">
        <f>88.5841 * CHOOSE(CONTROL!$C$9, $D$9, 100%, $F$9) + CHOOSE(CONTROL!$C$27, 0.0021, 0)</f>
        <v>88.586200000000005</v>
      </c>
      <c r="J943" s="10">
        <f>88.5841 * CHOOSE(CONTROL!$C$9, $D$9, 100%, $F$9) + CHOOSE(CONTROL!$C$27, 0.0021, 0)</f>
        <v>88.586200000000005</v>
      </c>
      <c r="K943" s="10">
        <f>88.5841 * CHOOSE(CONTROL!$C$9, $D$9, 100%, $F$9) + CHOOSE(CONTROL!$C$27, 0.0021, 0)</f>
        <v>88.586200000000005</v>
      </c>
      <c r="L943" s="10"/>
    </row>
    <row r="944" spans="1:12" ht="15.75" x14ac:dyDescent="0.25">
      <c r="A944" s="13">
        <v>70036</v>
      </c>
      <c r="B944" s="10">
        <f>90.7798 * CHOOSE(CONTROL!$C$9, $D$9, 100%, $F$9) + CHOOSE(CONTROL!$C$27, 0.0021, 0)</f>
        <v>90.781899999999993</v>
      </c>
      <c r="C944" s="10">
        <f>90.3476 * CHOOSE(CONTROL!$C$9, $D$9, 100%, $F$9) + CHOOSE(CONTROL!$C$27, 0.0021, 0)</f>
        <v>90.349699999999999</v>
      </c>
      <c r="D944" s="10">
        <f>90.3476 * CHOOSE(CONTROL!$C$9, $D$9, 100%, $F$9) + CHOOSE(CONTROL!$C$27, 0.0021, 0)</f>
        <v>90.349699999999999</v>
      </c>
      <c r="E944" s="10">
        <f>90.2109 * CHOOSE(CONTROL!$C$9, $D$9, 100%, $F$9) + CHOOSE(CONTROL!$C$27, 0.0021, 0)</f>
        <v>90.212999999999994</v>
      </c>
      <c r="F944" s="10">
        <f>90.2109 * CHOOSE(CONTROL!$C$9, $D$9, 100%, $F$9) + CHOOSE(CONTROL!$C$27, 0.0021, 0)</f>
        <v>90.212999999999994</v>
      </c>
      <c r="G944" s="10">
        <f>90.4823 * CHOOSE(CONTROL!$C$9, $D$9, 100%, $F$9) + CHOOSE(CONTROL!$C$27, 0.0021, 0)</f>
        <v>90.484399999999994</v>
      </c>
      <c r="H944" s="10">
        <f>90.3476 * CHOOSE(CONTROL!$C$9, $D$9, 100%, $F$9) + CHOOSE(CONTROL!$C$27, 0.0021, 0)</f>
        <v>90.349699999999999</v>
      </c>
      <c r="I944" s="10">
        <f>90.3476 * CHOOSE(CONTROL!$C$9, $D$9, 100%, $F$9) + CHOOSE(CONTROL!$C$27, 0.0021, 0)</f>
        <v>90.349699999999999</v>
      </c>
      <c r="J944" s="10">
        <f>90.3476 * CHOOSE(CONTROL!$C$9, $D$9, 100%, $F$9) + CHOOSE(CONTROL!$C$27, 0.0021, 0)</f>
        <v>90.349699999999999</v>
      </c>
      <c r="K944" s="10">
        <f>90.3476 * CHOOSE(CONTROL!$C$9, $D$9, 100%, $F$9) + CHOOSE(CONTROL!$C$27, 0.0021, 0)</f>
        <v>90.349699999999999</v>
      </c>
      <c r="L944" s="10"/>
    </row>
    <row r="945" spans="1:12" ht="15.75" x14ac:dyDescent="0.25">
      <c r="A945" s="13">
        <v>70067</v>
      </c>
      <c r="B945" s="10">
        <f>93.0122 * CHOOSE(CONTROL!$C$9, $D$9, 100%, $F$9) + CHOOSE(CONTROL!$C$27, 0.0021, 0)</f>
        <v>93.014300000000006</v>
      </c>
      <c r="C945" s="10">
        <f>92.5799 * CHOOSE(CONTROL!$C$9, $D$9, 100%, $F$9) + CHOOSE(CONTROL!$C$27, 0.0021, 0)</f>
        <v>92.581999999999994</v>
      </c>
      <c r="D945" s="10">
        <f>92.5799 * CHOOSE(CONTROL!$C$9, $D$9, 100%, $F$9) + CHOOSE(CONTROL!$C$27, 0.0021, 0)</f>
        <v>92.581999999999994</v>
      </c>
      <c r="E945" s="10">
        <f>92.4433 * CHOOSE(CONTROL!$C$9, $D$9, 100%, $F$9) + CHOOSE(CONTROL!$C$27, 0.0021, 0)</f>
        <v>92.445399999999992</v>
      </c>
      <c r="F945" s="10">
        <f>92.4433 * CHOOSE(CONTROL!$C$9, $D$9, 100%, $F$9) + CHOOSE(CONTROL!$C$27, 0.0021, 0)</f>
        <v>92.445399999999992</v>
      </c>
      <c r="G945" s="10">
        <f>92.7146 * CHOOSE(CONTROL!$C$9, $D$9, 100%, $F$9) + CHOOSE(CONTROL!$C$27, 0.0021, 0)</f>
        <v>92.716700000000003</v>
      </c>
      <c r="H945" s="10">
        <f>92.5799 * CHOOSE(CONTROL!$C$9, $D$9, 100%, $F$9) + CHOOSE(CONTROL!$C$27, 0.0021, 0)</f>
        <v>92.581999999999994</v>
      </c>
      <c r="I945" s="10">
        <f>92.5799 * CHOOSE(CONTROL!$C$9, $D$9, 100%, $F$9) + CHOOSE(CONTROL!$C$27, 0.0021, 0)</f>
        <v>92.581999999999994</v>
      </c>
      <c r="J945" s="10">
        <f>92.5799 * CHOOSE(CONTROL!$C$9, $D$9, 100%, $F$9) + CHOOSE(CONTROL!$C$27, 0.0021, 0)</f>
        <v>92.581999999999994</v>
      </c>
      <c r="K945" s="10">
        <f>92.5799 * CHOOSE(CONTROL!$C$9, $D$9, 100%, $F$9) + CHOOSE(CONTROL!$C$27, 0.0021, 0)</f>
        <v>92.581999999999994</v>
      </c>
      <c r="L945" s="10"/>
    </row>
    <row r="946" spans="1:12" ht="15.75" x14ac:dyDescent="0.25">
      <c r="A946" s="13">
        <v>70097</v>
      </c>
      <c r="B946" s="10">
        <f>93.2217 * CHOOSE(CONTROL!$C$9, $D$9, 100%, $F$9) + CHOOSE(CONTROL!$C$27, 0.0021, 0)</f>
        <v>93.223799999999997</v>
      </c>
      <c r="C946" s="10">
        <f>92.7895 * CHOOSE(CONTROL!$C$9, $D$9, 100%, $F$9) + CHOOSE(CONTROL!$C$27, 0.0021, 0)</f>
        <v>92.791600000000003</v>
      </c>
      <c r="D946" s="10">
        <f>92.7895 * CHOOSE(CONTROL!$C$9, $D$9, 100%, $F$9) + CHOOSE(CONTROL!$C$27, 0.0021, 0)</f>
        <v>92.791600000000003</v>
      </c>
      <c r="E946" s="10">
        <f>92.6528 * CHOOSE(CONTROL!$C$9, $D$9, 100%, $F$9) + CHOOSE(CONTROL!$C$27, 0.0021, 0)</f>
        <v>92.654899999999998</v>
      </c>
      <c r="F946" s="10">
        <f>92.6528 * CHOOSE(CONTROL!$C$9, $D$9, 100%, $F$9) + CHOOSE(CONTROL!$C$27, 0.0021, 0)</f>
        <v>92.654899999999998</v>
      </c>
      <c r="G946" s="10">
        <f>92.9242 * CHOOSE(CONTROL!$C$9, $D$9, 100%, $F$9) + CHOOSE(CONTROL!$C$27, 0.0021, 0)</f>
        <v>92.926299999999998</v>
      </c>
      <c r="H946" s="10">
        <f>92.7895 * CHOOSE(CONTROL!$C$9, $D$9, 100%, $F$9) + CHOOSE(CONTROL!$C$27, 0.0021, 0)</f>
        <v>92.791600000000003</v>
      </c>
      <c r="I946" s="10">
        <f>92.7895 * CHOOSE(CONTROL!$C$9, $D$9, 100%, $F$9) + CHOOSE(CONTROL!$C$27, 0.0021, 0)</f>
        <v>92.791600000000003</v>
      </c>
      <c r="J946" s="10">
        <f>92.7895 * CHOOSE(CONTROL!$C$9, $D$9, 100%, $F$9) + CHOOSE(CONTROL!$C$27, 0.0021, 0)</f>
        <v>92.791600000000003</v>
      </c>
      <c r="K946" s="10">
        <f>92.7895 * CHOOSE(CONTROL!$C$9, $D$9, 100%, $F$9) + CHOOSE(CONTROL!$C$27, 0.0021, 0)</f>
        <v>92.791600000000003</v>
      </c>
      <c r="L946" s="10"/>
    </row>
    <row r="947" spans="1:12" ht="15.75" x14ac:dyDescent="0.25">
      <c r="A947" s="13">
        <v>70128</v>
      </c>
      <c r="B947" s="10">
        <f>91.4388 * CHOOSE(CONTROL!$C$9, $D$9, 100%, $F$9) + CHOOSE(CONTROL!$C$27, 0.0021, 0)</f>
        <v>91.440899999999999</v>
      </c>
      <c r="C947" s="10">
        <f>91.0066 * CHOOSE(CONTROL!$C$9, $D$9, 100%, $F$9) + CHOOSE(CONTROL!$C$27, 0.0021, 0)</f>
        <v>91.008700000000005</v>
      </c>
      <c r="D947" s="10">
        <f>91.0066 * CHOOSE(CONTROL!$C$9, $D$9, 100%, $F$9) + CHOOSE(CONTROL!$C$27, 0.0021, 0)</f>
        <v>91.008700000000005</v>
      </c>
      <c r="E947" s="10">
        <f>90.8699 * CHOOSE(CONTROL!$C$9, $D$9, 100%, $F$9) + CHOOSE(CONTROL!$C$27, 0.0021, 0)</f>
        <v>90.872</v>
      </c>
      <c r="F947" s="10">
        <f>90.8699 * CHOOSE(CONTROL!$C$9, $D$9, 100%, $F$9) + CHOOSE(CONTROL!$C$27, 0.0021, 0)</f>
        <v>90.872</v>
      </c>
      <c r="G947" s="10">
        <f>91.1413 * CHOOSE(CONTROL!$C$9, $D$9, 100%, $F$9) + CHOOSE(CONTROL!$C$27, 0.0021, 0)</f>
        <v>91.1434</v>
      </c>
      <c r="H947" s="10">
        <f>91.0066 * CHOOSE(CONTROL!$C$9, $D$9, 100%, $F$9) + CHOOSE(CONTROL!$C$27, 0.0021, 0)</f>
        <v>91.008700000000005</v>
      </c>
      <c r="I947" s="10">
        <f>91.0066 * CHOOSE(CONTROL!$C$9, $D$9, 100%, $F$9) + CHOOSE(CONTROL!$C$27, 0.0021, 0)</f>
        <v>91.008700000000005</v>
      </c>
      <c r="J947" s="10">
        <f>91.0066 * CHOOSE(CONTROL!$C$9, $D$9, 100%, $F$9) + CHOOSE(CONTROL!$C$27, 0.0021, 0)</f>
        <v>91.008700000000005</v>
      </c>
      <c r="K947" s="10">
        <f>91.0066 * CHOOSE(CONTROL!$C$9, $D$9, 100%, $F$9) + CHOOSE(CONTROL!$C$27, 0.0021, 0)</f>
        <v>91.008700000000005</v>
      </c>
      <c r="L947" s="10"/>
    </row>
    <row r="948" spans="1:12" ht="15.75" x14ac:dyDescent="0.25">
      <c r="A948" s="13">
        <v>70159</v>
      </c>
      <c r="B948" s="10">
        <f>90.0738 * CHOOSE(CONTROL!$C$9, $D$9, 100%, $F$9) + CHOOSE(CONTROL!$C$27, 0.0021, 0)</f>
        <v>90.075900000000004</v>
      </c>
      <c r="C948" s="10">
        <f>89.6415 * CHOOSE(CONTROL!$C$9, $D$9, 100%, $F$9) + CHOOSE(CONTROL!$C$27, 0.0021, 0)</f>
        <v>89.643599999999992</v>
      </c>
      <c r="D948" s="10">
        <f>89.6415 * CHOOSE(CONTROL!$C$9, $D$9, 100%, $F$9) + CHOOSE(CONTROL!$C$27, 0.0021, 0)</f>
        <v>89.643599999999992</v>
      </c>
      <c r="E948" s="10">
        <f>89.5049 * CHOOSE(CONTROL!$C$9, $D$9, 100%, $F$9) + CHOOSE(CONTROL!$C$27, 0.0021, 0)</f>
        <v>89.507000000000005</v>
      </c>
      <c r="F948" s="10">
        <f>89.5049 * CHOOSE(CONTROL!$C$9, $D$9, 100%, $F$9) + CHOOSE(CONTROL!$C$27, 0.0021, 0)</f>
        <v>89.507000000000005</v>
      </c>
      <c r="G948" s="10">
        <f>89.7762 * CHOOSE(CONTROL!$C$9, $D$9, 100%, $F$9) + CHOOSE(CONTROL!$C$27, 0.0021, 0)</f>
        <v>89.778300000000002</v>
      </c>
      <c r="H948" s="10">
        <f>89.6415 * CHOOSE(CONTROL!$C$9, $D$9, 100%, $F$9) + CHOOSE(CONTROL!$C$27, 0.0021, 0)</f>
        <v>89.643599999999992</v>
      </c>
      <c r="I948" s="10">
        <f>89.6415 * CHOOSE(CONTROL!$C$9, $D$9, 100%, $F$9) + CHOOSE(CONTROL!$C$27, 0.0021, 0)</f>
        <v>89.643599999999992</v>
      </c>
      <c r="J948" s="10">
        <f>89.6415 * CHOOSE(CONTROL!$C$9, $D$9, 100%, $F$9) + CHOOSE(CONTROL!$C$27, 0.0021, 0)</f>
        <v>89.643599999999992</v>
      </c>
      <c r="K948" s="10">
        <f>89.6415 * CHOOSE(CONTROL!$C$9, $D$9, 100%, $F$9) + CHOOSE(CONTROL!$C$27, 0.0021, 0)</f>
        <v>89.643599999999992</v>
      </c>
      <c r="L948" s="10"/>
    </row>
    <row r="949" spans="1:12" ht="15.75" x14ac:dyDescent="0.25">
      <c r="A949" s="13">
        <v>70188</v>
      </c>
      <c r="B949" s="10">
        <f>87.5908 * CHOOSE(CONTROL!$C$9, $D$9, 100%, $F$9) + CHOOSE(CONTROL!$C$27, 0.0021, 0)</f>
        <v>87.5929</v>
      </c>
      <c r="C949" s="10">
        <f>87.1586 * CHOOSE(CONTROL!$C$9, $D$9, 100%, $F$9) + CHOOSE(CONTROL!$C$27, 0.0021, 0)</f>
        <v>87.160700000000006</v>
      </c>
      <c r="D949" s="10">
        <f>87.1586 * CHOOSE(CONTROL!$C$9, $D$9, 100%, $F$9) + CHOOSE(CONTROL!$C$27, 0.0021, 0)</f>
        <v>87.160700000000006</v>
      </c>
      <c r="E949" s="10">
        <f>87.0219 * CHOOSE(CONTROL!$C$9, $D$9, 100%, $F$9) + CHOOSE(CONTROL!$C$27, 0.0021, 0)</f>
        <v>87.024000000000001</v>
      </c>
      <c r="F949" s="10">
        <f>87.0219 * CHOOSE(CONTROL!$C$9, $D$9, 100%, $F$9) + CHOOSE(CONTROL!$C$27, 0.0021, 0)</f>
        <v>87.024000000000001</v>
      </c>
      <c r="G949" s="10">
        <f>87.2933 * CHOOSE(CONTROL!$C$9, $D$9, 100%, $F$9) + CHOOSE(CONTROL!$C$27, 0.0021, 0)</f>
        <v>87.295400000000001</v>
      </c>
      <c r="H949" s="10">
        <f>87.1586 * CHOOSE(CONTROL!$C$9, $D$9, 100%, $F$9) + CHOOSE(CONTROL!$C$27, 0.0021, 0)</f>
        <v>87.160700000000006</v>
      </c>
      <c r="I949" s="10">
        <f>87.1586 * CHOOSE(CONTROL!$C$9, $D$9, 100%, $F$9) + CHOOSE(CONTROL!$C$27, 0.0021, 0)</f>
        <v>87.160700000000006</v>
      </c>
      <c r="J949" s="10">
        <f>87.1586 * CHOOSE(CONTROL!$C$9, $D$9, 100%, $F$9) + CHOOSE(CONTROL!$C$27, 0.0021, 0)</f>
        <v>87.160700000000006</v>
      </c>
      <c r="K949" s="10">
        <f>87.1586 * CHOOSE(CONTROL!$C$9, $D$9, 100%, $F$9) + CHOOSE(CONTROL!$C$27, 0.0021, 0)</f>
        <v>87.160700000000006</v>
      </c>
      <c r="L949" s="10"/>
    </row>
    <row r="950" spans="1:12" ht="15.75" x14ac:dyDescent="0.25">
      <c r="A950" s="13">
        <v>70219</v>
      </c>
      <c r="B950" s="10">
        <f>86.5659 * CHOOSE(CONTROL!$C$9, $D$9, 100%, $F$9) + CHOOSE(CONTROL!$C$27, 0.0021, 0)</f>
        <v>86.567999999999998</v>
      </c>
      <c r="C950" s="10">
        <f>86.1336 * CHOOSE(CONTROL!$C$9, $D$9, 100%, $F$9) + CHOOSE(CONTROL!$C$27, 0.0021, 0)</f>
        <v>86.1357</v>
      </c>
      <c r="D950" s="10">
        <f>86.1336 * CHOOSE(CONTROL!$C$9, $D$9, 100%, $F$9) + CHOOSE(CONTROL!$C$27, 0.0021, 0)</f>
        <v>86.1357</v>
      </c>
      <c r="E950" s="10">
        <f>85.997 * CHOOSE(CONTROL!$C$9, $D$9, 100%, $F$9) + CHOOSE(CONTROL!$C$27, 0.0021, 0)</f>
        <v>85.999099999999999</v>
      </c>
      <c r="F950" s="10">
        <f>85.997 * CHOOSE(CONTROL!$C$9, $D$9, 100%, $F$9) + CHOOSE(CONTROL!$C$27, 0.0021, 0)</f>
        <v>85.999099999999999</v>
      </c>
      <c r="G950" s="10">
        <f>86.2684 * CHOOSE(CONTROL!$C$9, $D$9, 100%, $F$9) + CHOOSE(CONTROL!$C$27, 0.0021, 0)</f>
        <v>86.270499999999998</v>
      </c>
      <c r="H950" s="10">
        <f>86.1336 * CHOOSE(CONTROL!$C$9, $D$9, 100%, $F$9) + CHOOSE(CONTROL!$C$27, 0.0021, 0)</f>
        <v>86.1357</v>
      </c>
      <c r="I950" s="10">
        <f>86.1336 * CHOOSE(CONTROL!$C$9, $D$9, 100%, $F$9) + CHOOSE(CONTROL!$C$27, 0.0021, 0)</f>
        <v>86.1357</v>
      </c>
      <c r="J950" s="10">
        <f>86.1336 * CHOOSE(CONTROL!$C$9, $D$9, 100%, $F$9) + CHOOSE(CONTROL!$C$27, 0.0021, 0)</f>
        <v>86.1357</v>
      </c>
      <c r="K950" s="10">
        <f>86.1336 * CHOOSE(CONTROL!$C$9, $D$9, 100%, $F$9) + CHOOSE(CONTROL!$C$27, 0.0021, 0)</f>
        <v>86.1357</v>
      </c>
      <c r="L950" s="10"/>
    </row>
    <row r="951" spans="1:12" ht="15.75" x14ac:dyDescent="0.25">
      <c r="A951" s="13">
        <v>70249</v>
      </c>
      <c r="B951" s="10">
        <f>85.3421 * CHOOSE(CONTROL!$C$9, $D$9, 100%, $F$9) + CHOOSE(CONTROL!$C$27, 0.0021, 0)</f>
        <v>85.344200000000001</v>
      </c>
      <c r="C951" s="10">
        <f>84.9098 * CHOOSE(CONTROL!$C$9, $D$9, 100%, $F$9) + CHOOSE(CONTROL!$C$27, 0.0021, 0)</f>
        <v>84.911900000000003</v>
      </c>
      <c r="D951" s="10">
        <f>84.9098 * CHOOSE(CONTROL!$C$9, $D$9, 100%, $F$9) + CHOOSE(CONTROL!$C$27, 0.0021, 0)</f>
        <v>84.911900000000003</v>
      </c>
      <c r="E951" s="10">
        <f>84.7732 * CHOOSE(CONTROL!$C$9, $D$9, 100%, $F$9) + CHOOSE(CONTROL!$C$27, 0.0021, 0)</f>
        <v>84.775300000000001</v>
      </c>
      <c r="F951" s="10">
        <f>84.7732 * CHOOSE(CONTROL!$C$9, $D$9, 100%, $F$9) + CHOOSE(CONTROL!$C$27, 0.0021, 0)</f>
        <v>84.775300000000001</v>
      </c>
      <c r="G951" s="10">
        <f>85.0445 * CHOOSE(CONTROL!$C$9, $D$9, 100%, $F$9) + CHOOSE(CONTROL!$C$27, 0.0021, 0)</f>
        <v>85.046599999999998</v>
      </c>
      <c r="H951" s="10">
        <f>84.9098 * CHOOSE(CONTROL!$C$9, $D$9, 100%, $F$9) + CHOOSE(CONTROL!$C$27, 0.0021, 0)</f>
        <v>84.911900000000003</v>
      </c>
      <c r="I951" s="10">
        <f>84.9098 * CHOOSE(CONTROL!$C$9, $D$9, 100%, $F$9) + CHOOSE(CONTROL!$C$27, 0.0021, 0)</f>
        <v>84.911900000000003</v>
      </c>
      <c r="J951" s="10">
        <f>84.9098 * CHOOSE(CONTROL!$C$9, $D$9, 100%, $F$9) + CHOOSE(CONTROL!$C$27, 0.0021, 0)</f>
        <v>84.911900000000003</v>
      </c>
      <c r="K951" s="10">
        <f>84.9098 * CHOOSE(CONTROL!$C$9, $D$9, 100%, $F$9) + CHOOSE(CONTROL!$C$27, 0.0021, 0)</f>
        <v>84.911900000000003</v>
      </c>
      <c r="L951" s="10"/>
    </row>
    <row r="952" spans="1:12" ht="15.75" x14ac:dyDescent="0.25">
      <c r="A952" s="13">
        <v>70280</v>
      </c>
      <c r="B952" s="10">
        <f>87.0862 * CHOOSE(CONTROL!$C$9, $D$9, 100%, $F$9) + CHOOSE(CONTROL!$C$27, 0.0021, 0)</f>
        <v>87.088300000000004</v>
      </c>
      <c r="C952" s="10">
        <f>86.6539 * CHOOSE(CONTROL!$C$9, $D$9, 100%, $F$9) + CHOOSE(CONTROL!$C$27, 0.0021, 0)</f>
        <v>86.655999999999992</v>
      </c>
      <c r="D952" s="10">
        <f>86.6539 * CHOOSE(CONTROL!$C$9, $D$9, 100%, $F$9) + CHOOSE(CONTROL!$C$27, 0.0021, 0)</f>
        <v>86.655999999999992</v>
      </c>
      <c r="E952" s="10">
        <f>86.5173 * CHOOSE(CONTROL!$C$9, $D$9, 100%, $F$9) + CHOOSE(CONTROL!$C$27, 0.0021, 0)</f>
        <v>86.519400000000005</v>
      </c>
      <c r="F952" s="10">
        <f>86.5173 * CHOOSE(CONTROL!$C$9, $D$9, 100%, $F$9) + CHOOSE(CONTROL!$C$27, 0.0021, 0)</f>
        <v>86.519400000000005</v>
      </c>
      <c r="G952" s="10">
        <f>86.7886 * CHOOSE(CONTROL!$C$9, $D$9, 100%, $F$9) + CHOOSE(CONTROL!$C$27, 0.0021, 0)</f>
        <v>86.790700000000001</v>
      </c>
      <c r="H952" s="10">
        <f>86.6539 * CHOOSE(CONTROL!$C$9, $D$9, 100%, $F$9) + CHOOSE(CONTROL!$C$27, 0.0021, 0)</f>
        <v>86.655999999999992</v>
      </c>
      <c r="I952" s="10">
        <f>86.6539 * CHOOSE(CONTROL!$C$9, $D$9, 100%, $F$9) + CHOOSE(CONTROL!$C$27, 0.0021, 0)</f>
        <v>86.655999999999992</v>
      </c>
      <c r="J952" s="10">
        <f>86.6539 * CHOOSE(CONTROL!$C$9, $D$9, 100%, $F$9) + CHOOSE(CONTROL!$C$27, 0.0021, 0)</f>
        <v>86.655999999999992</v>
      </c>
      <c r="K952" s="10">
        <f>86.6539 * CHOOSE(CONTROL!$C$9, $D$9, 100%, $F$9) + CHOOSE(CONTROL!$C$27, 0.0021, 0)</f>
        <v>86.655999999999992</v>
      </c>
      <c r="L952" s="10"/>
    </row>
    <row r="953" spans="1:12" ht="15.75" x14ac:dyDescent="0.25">
      <c r="A953" s="13">
        <v>70310</v>
      </c>
      <c r="B953" s="10">
        <f>88.1308 * CHOOSE(CONTROL!$C$9, $D$9, 100%, $F$9) + CHOOSE(CONTROL!$C$27, 0.0021, 0)</f>
        <v>88.132899999999992</v>
      </c>
      <c r="C953" s="10">
        <f>87.6985 * CHOOSE(CONTROL!$C$9, $D$9, 100%, $F$9) + CHOOSE(CONTROL!$C$27, 0.0021, 0)</f>
        <v>87.700599999999994</v>
      </c>
      <c r="D953" s="10">
        <f>87.6985 * CHOOSE(CONTROL!$C$9, $D$9, 100%, $F$9) + CHOOSE(CONTROL!$C$27, 0.0021, 0)</f>
        <v>87.700599999999994</v>
      </c>
      <c r="E953" s="10">
        <f>87.5619 * CHOOSE(CONTROL!$C$9, $D$9, 100%, $F$9) + CHOOSE(CONTROL!$C$27, 0.0021, 0)</f>
        <v>87.563999999999993</v>
      </c>
      <c r="F953" s="10">
        <f>87.5619 * CHOOSE(CONTROL!$C$9, $D$9, 100%, $F$9) + CHOOSE(CONTROL!$C$27, 0.0021, 0)</f>
        <v>87.563999999999993</v>
      </c>
      <c r="G953" s="10">
        <f>87.8333 * CHOOSE(CONTROL!$C$9, $D$9, 100%, $F$9) + CHOOSE(CONTROL!$C$27, 0.0021, 0)</f>
        <v>87.835399999999993</v>
      </c>
      <c r="H953" s="10">
        <f>87.6985 * CHOOSE(CONTROL!$C$9, $D$9, 100%, $F$9) + CHOOSE(CONTROL!$C$27, 0.0021, 0)</f>
        <v>87.700599999999994</v>
      </c>
      <c r="I953" s="10">
        <f>87.6985 * CHOOSE(CONTROL!$C$9, $D$9, 100%, $F$9) + CHOOSE(CONTROL!$C$27, 0.0021, 0)</f>
        <v>87.700599999999994</v>
      </c>
      <c r="J953" s="10">
        <f>87.6985 * CHOOSE(CONTROL!$C$9, $D$9, 100%, $F$9) + CHOOSE(CONTROL!$C$27, 0.0021, 0)</f>
        <v>87.700599999999994</v>
      </c>
      <c r="K953" s="10">
        <f>87.6985 * CHOOSE(CONTROL!$C$9, $D$9, 100%, $F$9) + CHOOSE(CONTROL!$C$27, 0.0021, 0)</f>
        <v>87.700599999999994</v>
      </c>
      <c r="L953" s="10"/>
    </row>
    <row r="954" spans="1:12" ht="15.75" x14ac:dyDescent="0.25">
      <c r="A954" s="13">
        <v>70341</v>
      </c>
      <c r="B954" s="10">
        <f>89.8541 * CHOOSE(CONTROL!$C$9, $D$9, 100%, $F$9) + CHOOSE(CONTROL!$C$27, 0.0021, 0)</f>
        <v>89.856200000000001</v>
      </c>
      <c r="C954" s="10">
        <f>89.4218 * CHOOSE(CONTROL!$C$9, $D$9, 100%, $F$9) + CHOOSE(CONTROL!$C$27, 0.0021, 0)</f>
        <v>89.423900000000003</v>
      </c>
      <c r="D954" s="10">
        <f>89.4218 * CHOOSE(CONTROL!$C$9, $D$9, 100%, $F$9) + CHOOSE(CONTROL!$C$27, 0.0021, 0)</f>
        <v>89.423900000000003</v>
      </c>
      <c r="E954" s="10">
        <f>89.2851 * CHOOSE(CONTROL!$C$9, $D$9, 100%, $F$9) + CHOOSE(CONTROL!$C$27, 0.0021, 0)</f>
        <v>89.287199999999999</v>
      </c>
      <c r="F954" s="10">
        <f>89.2851 * CHOOSE(CONTROL!$C$9, $D$9, 100%, $F$9) + CHOOSE(CONTROL!$C$27, 0.0021, 0)</f>
        <v>89.287199999999999</v>
      </c>
      <c r="G954" s="10">
        <f>89.5565 * CHOOSE(CONTROL!$C$9, $D$9, 100%, $F$9) + CHOOSE(CONTROL!$C$27, 0.0021, 0)</f>
        <v>89.558599999999998</v>
      </c>
      <c r="H954" s="10">
        <f>89.4218 * CHOOSE(CONTROL!$C$9, $D$9, 100%, $F$9) + CHOOSE(CONTROL!$C$27, 0.0021, 0)</f>
        <v>89.423900000000003</v>
      </c>
      <c r="I954" s="10">
        <f>89.4218 * CHOOSE(CONTROL!$C$9, $D$9, 100%, $F$9) + CHOOSE(CONTROL!$C$27, 0.0021, 0)</f>
        <v>89.423900000000003</v>
      </c>
      <c r="J954" s="10">
        <f>89.4218 * CHOOSE(CONTROL!$C$9, $D$9, 100%, $F$9) + CHOOSE(CONTROL!$C$27, 0.0021, 0)</f>
        <v>89.423900000000003</v>
      </c>
      <c r="K954" s="10">
        <f>89.4218 * CHOOSE(CONTROL!$C$9, $D$9, 100%, $F$9) + CHOOSE(CONTROL!$C$27, 0.0021, 0)</f>
        <v>89.423900000000003</v>
      </c>
      <c r="L954" s="10"/>
    </row>
    <row r="955" spans="1:12" ht="15.75" x14ac:dyDescent="0.25">
      <c r="A955" s="13">
        <v>70372</v>
      </c>
      <c r="B955" s="10">
        <f>90.38 * CHOOSE(CONTROL!$C$9, $D$9, 100%, $F$9) + CHOOSE(CONTROL!$C$27, 0.0021, 0)</f>
        <v>90.382099999999994</v>
      </c>
      <c r="C955" s="10">
        <f>89.9478 * CHOOSE(CONTROL!$C$9, $D$9, 100%, $F$9) + CHOOSE(CONTROL!$C$27, 0.0021, 0)</f>
        <v>89.9499</v>
      </c>
      <c r="D955" s="10">
        <f>89.9478 * CHOOSE(CONTROL!$C$9, $D$9, 100%, $F$9) + CHOOSE(CONTROL!$C$27, 0.0021, 0)</f>
        <v>89.9499</v>
      </c>
      <c r="E955" s="10">
        <f>89.8111 * CHOOSE(CONTROL!$C$9, $D$9, 100%, $F$9) + CHOOSE(CONTROL!$C$27, 0.0021, 0)</f>
        <v>89.813199999999995</v>
      </c>
      <c r="F955" s="10">
        <f>89.8111 * CHOOSE(CONTROL!$C$9, $D$9, 100%, $F$9) + CHOOSE(CONTROL!$C$27, 0.0021, 0)</f>
        <v>89.813199999999995</v>
      </c>
      <c r="G955" s="10">
        <f>90.0825 * CHOOSE(CONTROL!$C$9, $D$9, 100%, $F$9) + CHOOSE(CONTROL!$C$27, 0.0021, 0)</f>
        <v>90.084599999999995</v>
      </c>
      <c r="H955" s="10">
        <f>89.9478 * CHOOSE(CONTROL!$C$9, $D$9, 100%, $F$9) + CHOOSE(CONTROL!$C$27, 0.0021, 0)</f>
        <v>89.9499</v>
      </c>
      <c r="I955" s="10">
        <f>89.9478 * CHOOSE(CONTROL!$C$9, $D$9, 100%, $F$9) + CHOOSE(CONTROL!$C$27, 0.0021, 0)</f>
        <v>89.9499</v>
      </c>
      <c r="J955" s="10">
        <f>89.9478 * CHOOSE(CONTROL!$C$9, $D$9, 100%, $F$9) + CHOOSE(CONTROL!$C$27, 0.0021, 0)</f>
        <v>89.9499</v>
      </c>
      <c r="K955" s="10">
        <f>89.9478 * CHOOSE(CONTROL!$C$9, $D$9, 100%, $F$9) + CHOOSE(CONTROL!$C$27, 0.0021, 0)</f>
        <v>89.9499</v>
      </c>
      <c r="L955" s="10"/>
    </row>
    <row r="956" spans="1:12" ht="15.75" x14ac:dyDescent="0.25">
      <c r="A956" s="13">
        <v>70402</v>
      </c>
      <c r="B956" s="10">
        <f>92.1713 * CHOOSE(CONTROL!$C$9, $D$9, 100%, $F$9) + CHOOSE(CONTROL!$C$27, 0.0021, 0)</f>
        <v>92.173400000000001</v>
      </c>
      <c r="C956" s="10">
        <f>91.7391 * CHOOSE(CONTROL!$C$9, $D$9, 100%, $F$9) + CHOOSE(CONTROL!$C$27, 0.0021, 0)</f>
        <v>91.741199999999992</v>
      </c>
      <c r="D956" s="10">
        <f>91.7391 * CHOOSE(CONTROL!$C$9, $D$9, 100%, $F$9) + CHOOSE(CONTROL!$C$27, 0.0021, 0)</f>
        <v>91.741199999999992</v>
      </c>
      <c r="E956" s="10">
        <f>91.6024 * CHOOSE(CONTROL!$C$9, $D$9, 100%, $F$9) + CHOOSE(CONTROL!$C$27, 0.0021, 0)</f>
        <v>91.604500000000002</v>
      </c>
      <c r="F956" s="10">
        <f>91.6024 * CHOOSE(CONTROL!$C$9, $D$9, 100%, $F$9) + CHOOSE(CONTROL!$C$27, 0.0021, 0)</f>
        <v>91.604500000000002</v>
      </c>
      <c r="G956" s="10">
        <f>91.8738 * CHOOSE(CONTROL!$C$9, $D$9, 100%, $F$9) + CHOOSE(CONTROL!$C$27, 0.0021, 0)</f>
        <v>91.875900000000001</v>
      </c>
      <c r="H956" s="10">
        <f>91.7391 * CHOOSE(CONTROL!$C$9, $D$9, 100%, $F$9) + CHOOSE(CONTROL!$C$27, 0.0021, 0)</f>
        <v>91.741199999999992</v>
      </c>
      <c r="I956" s="10">
        <f>91.7391 * CHOOSE(CONTROL!$C$9, $D$9, 100%, $F$9) + CHOOSE(CONTROL!$C$27, 0.0021, 0)</f>
        <v>91.741199999999992</v>
      </c>
      <c r="J956" s="10">
        <f>91.7391 * CHOOSE(CONTROL!$C$9, $D$9, 100%, $F$9) + CHOOSE(CONTROL!$C$27, 0.0021, 0)</f>
        <v>91.741199999999992</v>
      </c>
      <c r="K956" s="10">
        <f>91.7391 * CHOOSE(CONTROL!$C$9, $D$9, 100%, $F$9) + CHOOSE(CONTROL!$C$27, 0.0021, 0)</f>
        <v>91.741199999999992</v>
      </c>
      <c r="L956" s="10"/>
    </row>
    <row r="957" spans="1:12" ht="15.75" x14ac:dyDescent="0.25">
      <c r="A957" s="13">
        <v>70433</v>
      </c>
      <c r="B957" s="10">
        <f>94.4387 * CHOOSE(CONTROL!$C$9, $D$9, 100%, $F$9) + CHOOSE(CONTROL!$C$27, 0.0021, 0)</f>
        <v>94.440799999999996</v>
      </c>
      <c r="C957" s="10">
        <f>94.0065 * CHOOSE(CONTROL!$C$9, $D$9, 100%, $F$9) + CHOOSE(CONTROL!$C$27, 0.0021, 0)</f>
        <v>94.008600000000001</v>
      </c>
      <c r="D957" s="10">
        <f>94.0065 * CHOOSE(CONTROL!$C$9, $D$9, 100%, $F$9) + CHOOSE(CONTROL!$C$27, 0.0021, 0)</f>
        <v>94.008600000000001</v>
      </c>
      <c r="E957" s="10">
        <f>93.8698 * CHOOSE(CONTROL!$C$9, $D$9, 100%, $F$9) + CHOOSE(CONTROL!$C$27, 0.0021, 0)</f>
        <v>93.871899999999997</v>
      </c>
      <c r="F957" s="10">
        <f>93.8698 * CHOOSE(CONTROL!$C$9, $D$9, 100%, $F$9) + CHOOSE(CONTROL!$C$27, 0.0021, 0)</f>
        <v>93.871899999999997</v>
      </c>
      <c r="G957" s="10">
        <f>94.1412 * CHOOSE(CONTROL!$C$9, $D$9, 100%, $F$9) + CHOOSE(CONTROL!$C$27, 0.0021, 0)</f>
        <v>94.143299999999996</v>
      </c>
      <c r="H957" s="10">
        <f>94.0065 * CHOOSE(CONTROL!$C$9, $D$9, 100%, $F$9) + CHOOSE(CONTROL!$C$27, 0.0021, 0)</f>
        <v>94.008600000000001</v>
      </c>
      <c r="I957" s="10">
        <f>94.0065 * CHOOSE(CONTROL!$C$9, $D$9, 100%, $F$9) + CHOOSE(CONTROL!$C$27, 0.0021, 0)</f>
        <v>94.008600000000001</v>
      </c>
      <c r="J957" s="10">
        <f>94.0065 * CHOOSE(CONTROL!$C$9, $D$9, 100%, $F$9) + CHOOSE(CONTROL!$C$27, 0.0021, 0)</f>
        <v>94.008600000000001</v>
      </c>
      <c r="K957" s="10">
        <f>94.0065 * CHOOSE(CONTROL!$C$9, $D$9, 100%, $F$9) + CHOOSE(CONTROL!$C$27, 0.0021, 0)</f>
        <v>94.008600000000001</v>
      </c>
      <c r="L957" s="10"/>
    </row>
    <row r="958" spans="1:12" ht="15.75" x14ac:dyDescent="0.25">
      <c r="A958" s="13">
        <v>70463</v>
      </c>
      <c r="B958" s="10">
        <f>94.6516 * CHOOSE(CONTROL!$C$9, $D$9, 100%, $F$9) + CHOOSE(CONTROL!$C$27, 0.0021, 0)</f>
        <v>94.653700000000001</v>
      </c>
      <c r="C958" s="10">
        <f>94.2193 * CHOOSE(CONTROL!$C$9, $D$9, 100%, $F$9) + CHOOSE(CONTROL!$C$27, 0.0021, 0)</f>
        <v>94.221400000000003</v>
      </c>
      <c r="D958" s="10">
        <f>94.2193 * CHOOSE(CONTROL!$C$9, $D$9, 100%, $F$9) + CHOOSE(CONTROL!$C$27, 0.0021, 0)</f>
        <v>94.221400000000003</v>
      </c>
      <c r="E958" s="10">
        <f>94.0827 * CHOOSE(CONTROL!$C$9, $D$9, 100%, $F$9) + CHOOSE(CONTROL!$C$27, 0.0021, 0)</f>
        <v>94.084800000000001</v>
      </c>
      <c r="F958" s="10">
        <f>94.0827 * CHOOSE(CONTROL!$C$9, $D$9, 100%, $F$9) + CHOOSE(CONTROL!$C$27, 0.0021, 0)</f>
        <v>94.084800000000001</v>
      </c>
      <c r="G958" s="10">
        <f>94.3541 * CHOOSE(CONTROL!$C$9, $D$9, 100%, $F$9) + CHOOSE(CONTROL!$C$27, 0.0021, 0)</f>
        <v>94.356200000000001</v>
      </c>
      <c r="H958" s="10">
        <f>94.2193 * CHOOSE(CONTROL!$C$9, $D$9, 100%, $F$9) + CHOOSE(CONTROL!$C$27, 0.0021, 0)</f>
        <v>94.221400000000003</v>
      </c>
      <c r="I958" s="10">
        <f>94.2193 * CHOOSE(CONTROL!$C$9, $D$9, 100%, $F$9) + CHOOSE(CONTROL!$C$27, 0.0021, 0)</f>
        <v>94.221400000000003</v>
      </c>
      <c r="J958" s="10">
        <f>94.2193 * CHOOSE(CONTROL!$C$9, $D$9, 100%, $F$9) + CHOOSE(CONTROL!$C$27, 0.0021, 0)</f>
        <v>94.221400000000003</v>
      </c>
      <c r="K958" s="10">
        <f>94.2193 * CHOOSE(CONTROL!$C$9, $D$9, 100%, $F$9) + CHOOSE(CONTROL!$C$27, 0.0021, 0)</f>
        <v>94.221400000000003</v>
      </c>
      <c r="L958" s="10"/>
    </row>
    <row r="959" spans="1:12" ht="15.75" x14ac:dyDescent="0.25">
      <c r="A959" s="13">
        <v>70494</v>
      </c>
      <c r="B959" s="10">
        <f>92.8406 * CHOOSE(CONTROL!$C$9, $D$9, 100%, $F$9) + CHOOSE(CONTROL!$C$27, 0.0021, 0)</f>
        <v>92.842699999999994</v>
      </c>
      <c r="C959" s="10">
        <f>92.4084 * CHOOSE(CONTROL!$C$9, $D$9, 100%, $F$9) + CHOOSE(CONTROL!$C$27, 0.0021, 0)</f>
        <v>92.410499999999999</v>
      </c>
      <c r="D959" s="10">
        <f>92.4084 * CHOOSE(CONTROL!$C$9, $D$9, 100%, $F$9) + CHOOSE(CONTROL!$C$27, 0.0021, 0)</f>
        <v>92.410499999999999</v>
      </c>
      <c r="E959" s="10">
        <f>92.2717 * CHOOSE(CONTROL!$C$9, $D$9, 100%, $F$9) + CHOOSE(CONTROL!$C$27, 0.0021, 0)</f>
        <v>92.273799999999994</v>
      </c>
      <c r="F959" s="10">
        <f>92.2717 * CHOOSE(CONTROL!$C$9, $D$9, 100%, $F$9) + CHOOSE(CONTROL!$C$27, 0.0021, 0)</f>
        <v>92.273799999999994</v>
      </c>
      <c r="G959" s="10">
        <f>92.5431 * CHOOSE(CONTROL!$C$9, $D$9, 100%, $F$9) + CHOOSE(CONTROL!$C$27, 0.0021, 0)</f>
        <v>92.545199999999994</v>
      </c>
      <c r="H959" s="10">
        <f>92.4084 * CHOOSE(CONTROL!$C$9, $D$9, 100%, $F$9) + CHOOSE(CONTROL!$C$27, 0.0021, 0)</f>
        <v>92.410499999999999</v>
      </c>
      <c r="I959" s="10">
        <f>92.4084 * CHOOSE(CONTROL!$C$9, $D$9, 100%, $F$9) + CHOOSE(CONTROL!$C$27, 0.0021, 0)</f>
        <v>92.410499999999999</v>
      </c>
      <c r="J959" s="10">
        <f>92.4084 * CHOOSE(CONTROL!$C$9, $D$9, 100%, $F$9) + CHOOSE(CONTROL!$C$27, 0.0021, 0)</f>
        <v>92.410499999999999</v>
      </c>
      <c r="K959" s="10">
        <f>92.4084 * CHOOSE(CONTROL!$C$9, $D$9, 100%, $F$9) + CHOOSE(CONTROL!$C$27, 0.0021, 0)</f>
        <v>92.410499999999999</v>
      </c>
      <c r="L959" s="10"/>
    </row>
    <row r="960" spans="1:12" ht="15.75" x14ac:dyDescent="0.25">
      <c r="A960" s="13">
        <v>70525</v>
      </c>
      <c r="B960" s="10">
        <f>91.4541 * CHOOSE(CONTROL!$C$9, $D$9, 100%, $F$9) + CHOOSE(CONTROL!$C$27, 0.0021, 0)</f>
        <v>91.456199999999995</v>
      </c>
      <c r="C960" s="10">
        <f>91.0219 * CHOOSE(CONTROL!$C$9, $D$9, 100%, $F$9) + CHOOSE(CONTROL!$C$27, 0.0021, 0)</f>
        <v>91.024000000000001</v>
      </c>
      <c r="D960" s="10">
        <f>91.0219 * CHOOSE(CONTROL!$C$9, $D$9, 100%, $F$9) + CHOOSE(CONTROL!$C$27, 0.0021, 0)</f>
        <v>91.024000000000001</v>
      </c>
      <c r="E960" s="10">
        <f>90.8852 * CHOOSE(CONTROL!$C$9, $D$9, 100%, $F$9) + CHOOSE(CONTROL!$C$27, 0.0021, 0)</f>
        <v>90.887299999999996</v>
      </c>
      <c r="F960" s="10">
        <f>90.8852 * CHOOSE(CONTROL!$C$9, $D$9, 100%, $F$9) + CHOOSE(CONTROL!$C$27, 0.0021, 0)</f>
        <v>90.887299999999996</v>
      </c>
      <c r="G960" s="10">
        <f>91.1566 * CHOOSE(CONTROL!$C$9, $D$9, 100%, $F$9) + CHOOSE(CONTROL!$C$27, 0.0021, 0)</f>
        <v>91.158699999999996</v>
      </c>
      <c r="H960" s="10">
        <f>91.0219 * CHOOSE(CONTROL!$C$9, $D$9, 100%, $F$9) + CHOOSE(CONTROL!$C$27, 0.0021, 0)</f>
        <v>91.024000000000001</v>
      </c>
      <c r="I960" s="10">
        <f>91.0219 * CHOOSE(CONTROL!$C$9, $D$9, 100%, $F$9) + CHOOSE(CONTROL!$C$27, 0.0021, 0)</f>
        <v>91.024000000000001</v>
      </c>
      <c r="J960" s="10">
        <f>91.0219 * CHOOSE(CONTROL!$C$9, $D$9, 100%, $F$9) + CHOOSE(CONTROL!$C$27, 0.0021, 0)</f>
        <v>91.024000000000001</v>
      </c>
      <c r="K960" s="10">
        <f>91.0219 * CHOOSE(CONTROL!$C$9, $D$9, 100%, $F$9) + CHOOSE(CONTROL!$C$27, 0.0021, 0)</f>
        <v>91.024000000000001</v>
      </c>
      <c r="L960" s="10"/>
    </row>
    <row r="961" spans="1:12" ht="15.75" x14ac:dyDescent="0.25">
      <c r="A961" s="13">
        <v>70553</v>
      </c>
      <c r="B961" s="10">
        <f>88.9321 * CHOOSE(CONTROL!$C$9, $D$9, 100%, $F$9) + CHOOSE(CONTROL!$C$27, 0.0021, 0)</f>
        <v>88.934200000000004</v>
      </c>
      <c r="C961" s="10">
        <f>88.4999 * CHOOSE(CONTROL!$C$9, $D$9, 100%, $F$9) + CHOOSE(CONTROL!$C$27, 0.0021, 0)</f>
        <v>88.501999999999995</v>
      </c>
      <c r="D961" s="10">
        <f>88.4999 * CHOOSE(CONTROL!$C$9, $D$9, 100%, $F$9) + CHOOSE(CONTROL!$C$27, 0.0021, 0)</f>
        <v>88.501999999999995</v>
      </c>
      <c r="E961" s="10">
        <f>88.3632 * CHOOSE(CONTROL!$C$9, $D$9, 100%, $F$9) + CHOOSE(CONTROL!$C$27, 0.0021, 0)</f>
        <v>88.365300000000005</v>
      </c>
      <c r="F961" s="10">
        <f>88.3632 * CHOOSE(CONTROL!$C$9, $D$9, 100%, $F$9) + CHOOSE(CONTROL!$C$27, 0.0021, 0)</f>
        <v>88.365300000000005</v>
      </c>
      <c r="G961" s="10">
        <f>88.6346 * CHOOSE(CONTROL!$C$9, $D$9, 100%, $F$9) + CHOOSE(CONTROL!$C$27, 0.0021, 0)</f>
        <v>88.636700000000005</v>
      </c>
      <c r="H961" s="10">
        <f>88.4999 * CHOOSE(CONTROL!$C$9, $D$9, 100%, $F$9) + CHOOSE(CONTROL!$C$27, 0.0021, 0)</f>
        <v>88.501999999999995</v>
      </c>
      <c r="I961" s="10">
        <f>88.4999 * CHOOSE(CONTROL!$C$9, $D$9, 100%, $F$9) + CHOOSE(CONTROL!$C$27, 0.0021, 0)</f>
        <v>88.501999999999995</v>
      </c>
      <c r="J961" s="10">
        <f>88.4999 * CHOOSE(CONTROL!$C$9, $D$9, 100%, $F$9) + CHOOSE(CONTROL!$C$27, 0.0021, 0)</f>
        <v>88.501999999999995</v>
      </c>
      <c r="K961" s="10">
        <f>88.4999 * CHOOSE(CONTROL!$C$9, $D$9, 100%, $F$9) + CHOOSE(CONTROL!$C$27, 0.0021, 0)</f>
        <v>88.501999999999995</v>
      </c>
      <c r="L961" s="10"/>
    </row>
    <row r="962" spans="1:12" ht="15.75" x14ac:dyDescent="0.25">
      <c r="A962" s="13">
        <v>70584</v>
      </c>
      <c r="B962" s="10">
        <f>87.8911 * CHOOSE(CONTROL!$C$9, $D$9, 100%, $F$9) + CHOOSE(CONTROL!$C$27, 0.0021, 0)</f>
        <v>87.893199999999993</v>
      </c>
      <c r="C962" s="10">
        <f>87.4588 * CHOOSE(CONTROL!$C$9, $D$9, 100%, $F$9) + CHOOSE(CONTROL!$C$27, 0.0021, 0)</f>
        <v>87.460899999999995</v>
      </c>
      <c r="D962" s="10">
        <f>87.4588 * CHOOSE(CONTROL!$C$9, $D$9, 100%, $F$9) + CHOOSE(CONTROL!$C$27, 0.0021, 0)</f>
        <v>87.460899999999995</v>
      </c>
      <c r="E962" s="10">
        <f>87.3222 * CHOOSE(CONTROL!$C$9, $D$9, 100%, $F$9) + CHOOSE(CONTROL!$C$27, 0.0021, 0)</f>
        <v>87.324299999999994</v>
      </c>
      <c r="F962" s="10">
        <f>87.3222 * CHOOSE(CONTROL!$C$9, $D$9, 100%, $F$9) + CHOOSE(CONTROL!$C$27, 0.0021, 0)</f>
        <v>87.324299999999994</v>
      </c>
      <c r="G962" s="10">
        <f>87.5936 * CHOOSE(CONTROL!$C$9, $D$9, 100%, $F$9) + CHOOSE(CONTROL!$C$27, 0.0021, 0)</f>
        <v>87.595699999999994</v>
      </c>
      <c r="H962" s="10">
        <f>87.4588 * CHOOSE(CONTROL!$C$9, $D$9, 100%, $F$9) + CHOOSE(CONTROL!$C$27, 0.0021, 0)</f>
        <v>87.460899999999995</v>
      </c>
      <c r="I962" s="10">
        <f>87.4588 * CHOOSE(CONTROL!$C$9, $D$9, 100%, $F$9) + CHOOSE(CONTROL!$C$27, 0.0021, 0)</f>
        <v>87.460899999999995</v>
      </c>
      <c r="J962" s="10">
        <f>87.4588 * CHOOSE(CONTROL!$C$9, $D$9, 100%, $F$9) + CHOOSE(CONTROL!$C$27, 0.0021, 0)</f>
        <v>87.460899999999995</v>
      </c>
      <c r="K962" s="10">
        <f>87.4588 * CHOOSE(CONTROL!$C$9, $D$9, 100%, $F$9) + CHOOSE(CONTROL!$C$27, 0.0021, 0)</f>
        <v>87.460899999999995</v>
      </c>
      <c r="L962" s="10"/>
    </row>
    <row r="963" spans="1:12" ht="15.75" x14ac:dyDescent="0.25">
      <c r="A963" s="13">
        <v>70614</v>
      </c>
      <c r="B963" s="10">
        <f>86.648 * CHOOSE(CONTROL!$C$9, $D$9, 100%, $F$9) + CHOOSE(CONTROL!$C$27, 0.0021, 0)</f>
        <v>86.650099999999995</v>
      </c>
      <c r="C963" s="10">
        <f>86.2158 * CHOOSE(CONTROL!$C$9, $D$9, 100%, $F$9) + CHOOSE(CONTROL!$C$27, 0.0021, 0)</f>
        <v>86.2179</v>
      </c>
      <c r="D963" s="10">
        <f>86.2158 * CHOOSE(CONTROL!$C$9, $D$9, 100%, $F$9) + CHOOSE(CONTROL!$C$27, 0.0021, 0)</f>
        <v>86.2179</v>
      </c>
      <c r="E963" s="10">
        <f>86.0791 * CHOOSE(CONTROL!$C$9, $D$9, 100%, $F$9) + CHOOSE(CONTROL!$C$27, 0.0021, 0)</f>
        <v>86.081199999999995</v>
      </c>
      <c r="F963" s="10">
        <f>86.0791 * CHOOSE(CONTROL!$C$9, $D$9, 100%, $F$9) + CHOOSE(CONTROL!$C$27, 0.0021, 0)</f>
        <v>86.081199999999995</v>
      </c>
      <c r="G963" s="10">
        <f>86.3505 * CHOOSE(CONTROL!$C$9, $D$9, 100%, $F$9) + CHOOSE(CONTROL!$C$27, 0.0021, 0)</f>
        <v>86.352599999999995</v>
      </c>
      <c r="H963" s="10">
        <f>86.2158 * CHOOSE(CONTROL!$C$9, $D$9, 100%, $F$9) + CHOOSE(CONTROL!$C$27, 0.0021, 0)</f>
        <v>86.2179</v>
      </c>
      <c r="I963" s="10">
        <f>86.2158 * CHOOSE(CONTROL!$C$9, $D$9, 100%, $F$9) + CHOOSE(CONTROL!$C$27, 0.0021, 0)</f>
        <v>86.2179</v>
      </c>
      <c r="J963" s="10">
        <f>86.2158 * CHOOSE(CONTROL!$C$9, $D$9, 100%, $F$9) + CHOOSE(CONTROL!$C$27, 0.0021, 0)</f>
        <v>86.2179</v>
      </c>
      <c r="K963" s="10">
        <f>86.2158 * CHOOSE(CONTROL!$C$9, $D$9, 100%, $F$9) + CHOOSE(CONTROL!$C$27, 0.0021, 0)</f>
        <v>86.2179</v>
      </c>
      <c r="L963" s="10"/>
    </row>
    <row r="964" spans="1:12" ht="15.75" x14ac:dyDescent="0.25">
      <c r="A964" s="13">
        <v>70645</v>
      </c>
      <c r="B964" s="10">
        <f>88.4195 * CHOOSE(CONTROL!$C$9, $D$9, 100%, $F$9) + CHOOSE(CONTROL!$C$27, 0.0021, 0)</f>
        <v>88.421599999999998</v>
      </c>
      <c r="C964" s="10">
        <f>87.9873 * CHOOSE(CONTROL!$C$9, $D$9, 100%, $F$9) + CHOOSE(CONTROL!$C$27, 0.0021, 0)</f>
        <v>87.989400000000003</v>
      </c>
      <c r="D964" s="10">
        <f>87.9873 * CHOOSE(CONTROL!$C$9, $D$9, 100%, $F$9) + CHOOSE(CONTROL!$C$27, 0.0021, 0)</f>
        <v>87.989400000000003</v>
      </c>
      <c r="E964" s="10">
        <f>87.8506 * CHOOSE(CONTROL!$C$9, $D$9, 100%, $F$9) + CHOOSE(CONTROL!$C$27, 0.0021, 0)</f>
        <v>87.852699999999999</v>
      </c>
      <c r="F964" s="10">
        <f>87.8506 * CHOOSE(CONTROL!$C$9, $D$9, 100%, $F$9) + CHOOSE(CONTROL!$C$27, 0.0021, 0)</f>
        <v>87.852699999999999</v>
      </c>
      <c r="G964" s="10">
        <f>88.122 * CHOOSE(CONTROL!$C$9, $D$9, 100%, $F$9) + CHOOSE(CONTROL!$C$27, 0.0021, 0)</f>
        <v>88.124099999999999</v>
      </c>
      <c r="H964" s="10">
        <f>87.9873 * CHOOSE(CONTROL!$C$9, $D$9, 100%, $F$9) + CHOOSE(CONTROL!$C$27, 0.0021, 0)</f>
        <v>87.989400000000003</v>
      </c>
      <c r="I964" s="10">
        <f>87.9873 * CHOOSE(CONTROL!$C$9, $D$9, 100%, $F$9) + CHOOSE(CONTROL!$C$27, 0.0021, 0)</f>
        <v>87.989400000000003</v>
      </c>
      <c r="J964" s="10">
        <f>87.9873 * CHOOSE(CONTROL!$C$9, $D$9, 100%, $F$9) + CHOOSE(CONTROL!$C$27, 0.0021, 0)</f>
        <v>87.989400000000003</v>
      </c>
      <c r="K964" s="10">
        <f>87.9873 * CHOOSE(CONTROL!$C$9, $D$9, 100%, $F$9) + CHOOSE(CONTROL!$C$27, 0.0021, 0)</f>
        <v>87.989400000000003</v>
      </c>
      <c r="L964" s="10"/>
    </row>
    <row r="965" spans="1:12" ht="15.75" x14ac:dyDescent="0.25">
      <c r="A965" s="13">
        <v>70675</v>
      </c>
      <c r="B965" s="10">
        <f>89.4806 * CHOOSE(CONTROL!$C$9, $D$9, 100%, $F$9) + CHOOSE(CONTROL!$C$27, 0.0021, 0)</f>
        <v>89.482699999999994</v>
      </c>
      <c r="C965" s="10">
        <f>89.0483 * CHOOSE(CONTROL!$C$9, $D$9, 100%, $F$9) + CHOOSE(CONTROL!$C$27, 0.0021, 0)</f>
        <v>89.050399999999996</v>
      </c>
      <c r="D965" s="10">
        <f>89.0483 * CHOOSE(CONTROL!$C$9, $D$9, 100%, $F$9) + CHOOSE(CONTROL!$C$27, 0.0021, 0)</f>
        <v>89.050399999999996</v>
      </c>
      <c r="E965" s="10">
        <f>88.9117 * CHOOSE(CONTROL!$C$9, $D$9, 100%, $F$9) + CHOOSE(CONTROL!$C$27, 0.0021, 0)</f>
        <v>88.913799999999995</v>
      </c>
      <c r="F965" s="10">
        <f>88.9117 * CHOOSE(CONTROL!$C$9, $D$9, 100%, $F$9) + CHOOSE(CONTROL!$C$27, 0.0021, 0)</f>
        <v>88.913799999999995</v>
      </c>
      <c r="G965" s="10">
        <f>89.1831 * CHOOSE(CONTROL!$C$9, $D$9, 100%, $F$9) + CHOOSE(CONTROL!$C$27, 0.0021, 0)</f>
        <v>89.185199999999995</v>
      </c>
      <c r="H965" s="10">
        <f>89.0483 * CHOOSE(CONTROL!$C$9, $D$9, 100%, $F$9) + CHOOSE(CONTROL!$C$27, 0.0021, 0)</f>
        <v>89.050399999999996</v>
      </c>
      <c r="I965" s="10">
        <f>89.0483 * CHOOSE(CONTROL!$C$9, $D$9, 100%, $F$9) + CHOOSE(CONTROL!$C$27, 0.0021, 0)</f>
        <v>89.050399999999996</v>
      </c>
      <c r="J965" s="10">
        <f>89.0483 * CHOOSE(CONTROL!$C$9, $D$9, 100%, $F$9) + CHOOSE(CONTROL!$C$27, 0.0021, 0)</f>
        <v>89.050399999999996</v>
      </c>
      <c r="K965" s="10">
        <f>89.0483 * CHOOSE(CONTROL!$C$9, $D$9, 100%, $F$9) + CHOOSE(CONTROL!$C$27, 0.0021, 0)</f>
        <v>89.050399999999996</v>
      </c>
      <c r="L965" s="10"/>
    </row>
    <row r="966" spans="1:12" ht="15.75" x14ac:dyDescent="0.25">
      <c r="A966" s="13">
        <v>70706</v>
      </c>
      <c r="B966" s="10">
        <f>91.231 * CHOOSE(CONTROL!$C$9, $D$9, 100%, $F$9) + CHOOSE(CONTROL!$C$27, 0.0021, 0)</f>
        <v>91.233099999999993</v>
      </c>
      <c r="C966" s="10">
        <f>90.7987 * CHOOSE(CONTROL!$C$9, $D$9, 100%, $F$9) + CHOOSE(CONTROL!$C$27, 0.0021, 0)</f>
        <v>90.800799999999995</v>
      </c>
      <c r="D966" s="10">
        <f>90.7987 * CHOOSE(CONTROL!$C$9, $D$9, 100%, $F$9) + CHOOSE(CONTROL!$C$27, 0.0021, 0)</f>
        <v>90.800799999999995</v>
      </c>
      <c r="E966" s="10">
        <f>90.662 * CHOOSE(CONTROL!$C$9, $D$9, 100%, $F$9) + CHOOSE(CONTROL!$C$27, 0.0021, 0)</f>
        <v>90.664100000000005</v>
      </c>
      <c r="F966" s="10">
        <f>90.662 * CHOOSE(CONTROL!$C$9, $D$9, 100%, $F$9) + CHOOSE(CONTROL!$C$27, 0.0021, 0)</f>
        <v>90.664100000000005</v>
      </c>
      <c r="G966" s="10">
        <f>90.9334 * CHOOSE(CONTROL!$C$9, $D$9, 100%, $F$9) + CHOOSE(CONTROL!$C$27, 0.0021, 0)</f>
        <v>90.935500000000005</v>
      </c>
      <c r="H966" s="10">
        <f>90.7987 * CHOOSE(CONTROL!$C$9, $D$9, 100%, $F$9) + CHOOSE(CONTROL!$C$27, 0.0021, 0)</f>
        <v>90.800799999999995</v>
      </c>
      <c r="I966" s="10">
        <f>90.7987 * CHOOSE(CONTROL!$C$9, $D$9, 100%, $F$9) + CHOOSE(CONTROL!$C$27, 0.0021, 0)</f>
        <v>90.800799999999995</v>
      </c>
      <c r="J966" s="10">
        <f>90.7987 * CHOOSE(CONTROL!$C$9, $D$9, 100%, $F$9) + CHOOSE(CONTROL!$C$27, 0.0021, 0)</f>
        <v>90.800799999999995</v>
      </c>
      <c r="K966" s="10">
        <f>90.7987 * CHOOSE(CONTROL!$C$9, $D$9, 100%, $F$9) + CHOOSE(CONTROL!$C$27, 0.0021, 0)</f>
        <v>90.800799999999995</v>
      </c>
      <c r="L966" s="10"/>
    </row>
    <row r="967" spans="1:12" ht="15.75" x14ac:dyDescent="0.25">
      <c r="A967" s="13">
        <v>70737</v>
      </c>
      <c r="B967" s="10">
        <f>91.7652 * CHOOSE(CONTROL!$C$9, $D$9, 100%, $F$9) + CHOOSE(CONTROL!$C$27, 0.0021, 0)</f>
        <v>91.767299999999992</v>
      </c>
      <c r="C967" s="10">
        <f>91.333 * CHOOSE(CONTROL!$C$9, $D$9, 100%, $F$9) + CHOOSE(CONTROL!$C$27, 0.0021, 0)</f>
        <v>91.335099999999997</v>
      </c>
      <c r="D967" s="10">
        <f>91.333 * CHOOSE(CONTROL!$C$9, $D$9, 100%, $F$9) + CHOOSE(CONTROL!$C$27, 0.0021, 0)</f>
        <v>91.335099999999997</v>
      </c>
      <c r="E967" s="10">
        <f>91.1963 * CHOOSE(CONTROL!$C$9, $D$9, 100%, $F$9) + CHOOSE(CONTROL!$C$27, 0.0021, 0)</f>
        <v>91.198399999999992</v>
      </c>
      <c r="F967" s="10">
        <f>91.1963 * CHOOSE(CONTROL!$C$9, $D$9, 100%, $F$9) + CHOOSE(CONTROL!$C$27, 0.0021, 0)</f>
        <v>91.198399999999992</v>
      </c>
      <c r="G967" s="10">
        <f>91.4677 * CHOOSE(CONTROL!$C$9, $D$9, 100%, $F$9) + CHOOSE(CONTROL!$C$27, 0.0021, 0)</f>
        <v>91.469799999999992</v>
      </c>
      <c r="H967" s="10">
        <f>91.333 * CHOOSE(CONTROL!$C$9, $D$9, 100%, $F$9) + CHOOSE(CONTROL!$C$27, 0.0021, 0)</f>
        <v>91.335099999999997</v>
      </c>
      <c r="I967" s="10">
        <f>91.333 * CHOOSE(CONTROL!$C$9, $D$9, 100%, $F$9) + CHOOSE(CONTROL!$C$27, 0.0021, 0)</f>
        <v>91.335099999999997</v>
      </c>
      <c r="J967" s="10">
        <f>91.333 * CHOOSE(CONTROL!$C$9, $D$9, 100%, $F$9) + CHOOSE(CONTROL!$C$27, 0.0021, 0)</f>
        <v>91.335099999999997</v>
      </c>
      <c r="K967" s="10">
        <f>91.333 * CHOOSE(CONTROL!$C$9, $D$9, 100%, $F$9) + CHOOSE(CONTROL!$C$27, 0.0021, 0)</f>
        <v>91.335099999999997</v>
      </c>
      <c r="L967" s="10"/>
    </row>
    <row r="968" spans="1:12" ht="15.75" x14ac:dyDescent="0.25">
      <c r="A968" s="13">
        <v>70767</v>
      </c>
      <c r="B968" s="10">
        <f>93.5846 * CHOOSE(CONTROL!$C$9, $D$9, 100%, $F$9) + CHOOSE(CONTROL!$C$27, 0.0021, 0)</f>
        <v>93.586699999999993</v>
      </c>
      <c r="C968" s="10">
        <f>93.1524 * CHOOSE(CONTROL!$C$9, $D$9, 100%, $F$9) + CHOOSE(CONTROL!$C$27, 0.0021, 0)</f>
        <v>93.154499999999999</v>
      </c>
      <c r="D968" s="10">
        <f>93.1524 * CHOOSE(CONTROL!$C$9, $D$9, 100%, $F$9) + CHOOSE(CONTROL!$C$27, 0.0021, 0)</f>
        <v>93.154499999999999</v>
      </c>
      <c r="E968" s="10">
        <f>93.0157 * CHOOSE(CONTROL!$C$9, $D$9, 100%, $F$9) + CHOOSE(CONTROL!$C$27, 0.0021, 0)</f>
        <v>93.017799999999994</v>
      </c>
      <c r="F968" s="10">
        <f>93.0157 * CHOOSE(CONTROL!$C$9, $D$9, 100%, $F$9) + CHOOSE(CONTROL!$C$27, 0.0021, 0)</f>
        <v>93.017799999999994</v>
      </c>
      <c r="G968" s="10">
        <f>93.2871 * CHOOSE(CONTROL!$C$9, $D$9, 100%, $F$9) + CHOOSE(CONTROL!$C$27, 0.0021, 0)</f>
        <v>93.289199999999994</v>
      </c>
      <c r="H968" s="10">
        <f>93.1524 * CHOOSE(CONTROL!$C$9, $D$9, 100%, $F$9) + CHOOSE(CONTROL!$C$27, 0.0021, 0)</f>
        <v>93.154499999999999</v>
      </c>
      <c r="I968" s="10">
        <f>93.1524 * CHOOSE(CONTROL!$C$9, $D$9, 100%, $F$9) + CHOOSE(CONTROL!$C$27, 0.0021, 0)</f>
        <v>93.154499999999999</v>
      </c>
      <c r="J968" s="10">
        <f>93.1524 * CHOOSE(CONTROL!$C$9, $D$9, 100%, $F$9) + CHOOSE(CONTROL!$C$27, 0.0021, 0)</f>
        <v>93.154499999999999</v>
      </c>
      <c r="K968" s="10">
        <f>93.1524 * CHOOSE(CONTROL!$C$9, $D$9, 100%, $F$9) + CHOOSE(CONTROL!$C$27, 0.0021, 0)</f>
        <v>93.154499999999999</v>
      </c>
      <c r="L968" s="10"/>
    </row>
    <row r="969" spans="1:12" ht="15.75" x14ac:dyDescent="0.25">
      <c r="A969" s="13">
        <v>70798</v>
      </c>
      <c r="B969" s="10">
        <f>95.8877 * CHOOSE(CONTROL!$C$9, $D$9, 100%, $F$9) + CHOOSE(CONTROL!$C$27, 0.0021, 0)</f>
        <v>95.889799999999994</v>
      </c>
      <c r="C969" s="10">
        <f>95.4555 * CHOOSE(CONTROL!$C$9, $D$9, 100%, $F$9) + CHOOSE(CONTROL!$C$27, 0.0021, 0)</f>
        <v>95.457599999999999</v>
      </c>
      <c r="D969" s="10">
        <f>95.4555 * CHOOSE(CONTROL!$C$9, $D$9, 100%, $F$9) + CHOOSE(CONTROL!$C$27, 0.0021, 0)</f>
        <v>95.457599999999999</v>
      </c>
      <c r="E969" s="10">
        <f>95.3188 * CHOOSE(CONTROL!$C$9, $D$9, 100%, $F$9) + CHOOSE(CONTROL!$C$27, 0.0021, 0)</f>
        <v>95.320899999999995</v>
      </c>
      <c r="F969" s="10">
        <f>95.3188 * CHOOSE(CONTROL!$C$9, $D$9, 100%, $F$9) + CHOOSE(CONTROL!$C$27, 0.0021, 0)</f>
        <v>95.320899999999995</v>
      </c>
      <c r="G969" s="10">
        <f>95.5902 * CHOOSE(CONTROL!$C$9, $D$9, 100%, $F$9) + CHOOSE(CONTROL!$C$27, 0.0021, 0)</f>
        <v>95.592299999999994</v>
      </c>
      <c r="H969" s="10">
        <f>95.4555 * CHOOSE(CONTROL!$C$9, $D$9, 100%, $F$9) + CHOOSE(CONTROL!$C$27, 0.0021, 0)</f>
        <v>95.457599999999999</v>
      </c>
      <c r="I969" s="10">
        <f>95.4555 * CHOOSE(CONTROL!$C$9, $D$9, 100%, $F$9) + CHOOSE(CONTROL!$C$27, 0.0021, 0)</f>
        <v>95.457599999999999</v>
      </c>
      <c r="J969" s="10">
        <f>95.4555 * CHOOSE(CONTROL!$C$9, $D$9, 100%, $F$9) + CHOOSE(CONTROL!$C$27, 0.0021, 0)</f>
        <v>95.457599999999999</v>
      </c>
      <c r="K969" s="10">
        <f>95.4555 * CHOOSE(CONTROL!$C$9, $D$9, 100%, $F$9) + CHOOSE(CONTROL!$C$27, 0.0021, 0)</f>
        <v>95.457599999999999</v>
      </c>
      <c r="L969" s="10"/>
    </row>
    <row r="970" spans="1:12" ht="15.75" x14ac:dyDescent="0.25">
      <c r="A970" s="13">
        <v>70828</v>
      </c>
      <c r="B970" s="10">
        <f>96.1039 * CHOOSE(CONTROL!$C$9, $D$9, 100%, $F$9) + CHOOSE(CONTROL!$C$27, 0.0021, 0)</f>
        <v>96.105999999999995</v>
      </c>
      <c r="C970" s="10">
        <f>95.6717 * CHOOSE(CONTROL!$C$9, $D$9, 100%, $F$9) + CHOOSE(CONTROL!$C$27, 0.0021, 0)</f>
        <v>95.6738</v>
      </c>
      <c r="D970" s="10">
        <f>95.6717 * CHOOSE(CONTROL!$C$9, $D$9, 100%, $F$9) + CHOOSE(CONTROL!$C$27, 0.0021, 0)</f>
        <v>95.6738</v>
      </c>
      <c r="E970" s="10">
        <f>95.535 * CHOOSE(CONTROL!$C$9, $D$9, 100%, $F$9) + CHOOSE(CONTROL!$C$27, 0.0021, 0)</f>
        <v>95.537099999999995</v>
      </c>
      <c r="F970" s="10">
        <f>95.535 * CHOOSE(CONTROL!$C$9, $D$9, 100%, $F$9) + CHOOSE(CONTROL!$C$27, 0.0021, 0)</f>
        <v>95.537099999999995</v>
      </c>
      <c r="G970" s="10">
        <f>95.8064 * CHOOSE(CONTROL!$C$9, $D$9, 100%, $F$9) + CHOOSE(CONTROL!$C$27, 0.0021, 0)</f>
        <v>95.808499999999995</v>
      </c>
      <c r="H970" s="10">
        <f>95.6717 * CHOOSE(CONTROL!$C$9, $D$9, 100%, $F$9) + CHOOSE(CONTROL!$C$27, 0.0021, 0)</f>
        <v>95.6738</v>
      </c>
      <c r="I970" s="10">
        <f>95.6717 * CHOOSE(CONTROL!$C$9, $D$9, 100%, $F$9) + CHOOSE(CONTROL!$C$27, 0.0021, 0)</f>
        <v>95.6738</v>
      </c>
      <c r="J970" s="10">
        <f>95.6717 * CHOOSE(CONTROL!$C$9, $D$9, 100%, $F$9) + CHOOSE(CONTROL!$C$27, 0.0021, 0)</f>
        <v>95.6738</v>
      </c>
      <c r="K970" s="10">
        <f>95.6717 * CHOOSE(CONTROL!$C$9, $D$9, 100%, $F$9) + CHOOSE(CONTROL!$C$27, 0.0021, 0)</f>
        <v>95.6738</v>
      </c>
      <c r="L970" s="10"/>
    </row>
    <row r="971" spans="1:12" ht="15.75" x14ac:dyDescent="0.25">
      <c r="A971" s="13">
        <v>70859</v>
      </c>
      <c r="B971" s="10">
        <f>94.2645 * CHOOSE(CONTROL!$C$9, $D$9, 100%, $F$9) + CHOOSE(CONTROL!$C$27, 0.0021, 0)</f>
        <v>94.266599999999997</v>
      </c>
      <c r="C971" s="10">
        <f>93.8323 * CHOOSE(CONTROL!$C$9, $D$9, 100%, $F$9) + CHOOSE(CONTROL!$C$27, 0.0021, 0)</f>
        <v>93.834400000000002</v>
      </c>
      <c r="D971" s="10">
        <f>93.8323 * CHOOSE(CONTROL!$C$9, $D$9, 100%, $F$9) + CHOOSE(CONTROL!$C$27, 0.0021, 0)</f>
        <v>93.834400000000002</v>
      </c>
      <c r="E971" s="10">
        <f>93.6956 * CHOOSE(CONTROL!$C$9, $D$9, 100%, $F$9) + CHOOSE(CONTROL!$C$27, 0.0021, 0)</f>
        <v>93.697699999999998</v>
      </c>
      <c r="F971" s="10">
        <f>93.6956 * CHOOSE(CONTROL!$C$9, $D$9, 100%, $F$9) + CHOOSE(CONTROL!$C$27, 0.0021, 0)</f>
        <v>93.697699999999998</v>
      </c>
      <c r="G971" s="10">
        <f>93.967 * CHOOSE(CONTROL!$C$9, $D$9, 100%, $F$9) + CHOOSE(CONTROL!$C$27, 0.0021, 0)</f>
        <v>93.969099999999997</v>
      </c>
      <c r="H971" s="10">
        <f>93.8323 * CHOOSE(CONTROL!$C$9, $D$9, 100%, $F$9) + CHOOSE(CONTROL!$C$27, 0.0021, 0)</f>
        <v>93.834400000000002</v>
      </c>
      <c r="I971" s="10">
        <f>93.8323 * CHOOSE(CONTROL!$C$9, $D$9, 100%, $F$9) + CHOOSE(CONTROL!$C$27, 0.0021, 0)</f>
        <v>93.834400000000002</v>
      </c>
      <c r="J971" s="10">
        <f>93.8323 * CHOOSE(CONTROL!$C$9, $D$9, 100%, $F$9) + CHOOSE(CONTROL!$C$27, 0.0021, 0)</f>
        <v>93.834400000000002</v>
      </c>
      <c r="K971" s="10">
        <f>93.8323 * CHOOSE(CONTROL!$C$9, $D$9, 100%, $F$9) + CHOOSE(CONTROL!$C$27, 0.0021, 0)</f>
        <v>93.834400000000002</v>
      </c>
      <c r="L971" s="10"/>
    </row>
    <row r="972" spans="1:12" ht="15.75" x14ac:dyDescent="0.25">
      <c r="A972" s="13">
        <v>70890</v>
      </c>
      <c r="B972" s="10">
        <f>92.8562 * CHOOSE(CONTROL!$C$9, $D$9, 100%, $F$9) + CHOOSE(CONTROL!$C$27, 0.0021, 0)</f>
        <v>92.8583</v>
      </c>
      <c r="C972" s="10">
        <f>92.4239 * CHOOSE(CONTROL!$C$9, $D$9, 100%, $F$9) + CHOOSE(CONTROL!$C$27, 0.0021, 0)</f>
        <v>92.426000000000002</v>
      </c>
      <c r="D972" s="10">
        <f>92.4239 * CHOOSE(CONTROL!$C$9, $D$9, 100%, $F$9) + CHOOSE(CONTROL!$C$27, 0.0021, 0)</f>
        <v>92.426000000000002</v>
      </c>
      <c r="E972" s="10">
        <f>92.2873 * CHOOSE(CONTROL!$C$9, $D$9, 100%, $F$9) + CHOOSE(CONTROL!$C$27, 0.0021, 0)</f>
        <v>92.289400000000001</v>
      </c>
      <c r="F972" s="10">
        <f>92.2873 * CHOOSE(CONTROL!$C$9, $D$9, 100%, $F$9) + CHOOSE(CONTROL!$C$27, 0.0021, 0)</f>
        <v>92.289400000000001</v>
      </c>
      <c r="G972" s="10">
        <f>92.5587 * CHOOSE(CONTROL!$C$9, $D$9, 100%, $F$9) + CHOOSE(CONTROL!$C$27, 0.0021, 0)</f>
        <v>92.5608</v>
      </c>
      <c r="H972" s="10">
        <f>92.4239 * CHOOSE(CONTROL!$C$9, $D$9, 100%, $F$9) + CHOOSE(CONTROL!$C$27, 0.0021, 0)</f>
        <v>92.426000000000002</v>
      </c>
      <c r="I972" s="10">
        <f>92.4239 * CHOOSE(CONTROL!$C$9, $D$9, 100%, $F$9) + CHOOSE(CONTROL!$C$27, 0.0021, 0)</f>
        <v>92.426000000000002</v>
      </c>
      <c r="J972" s="10">
        <f>92.4239 * CHOOSE(CONTROL!$C$9, $D$9, 100%, $F$9) + CHOOSE(CONTROL!$C$27, 0.0021, 0)</f>
        <v>92.426000000000002</v>
      </c>
      <c r="K972" s="10">
        <f>92.4239 * CHOOSE(CONTROL!$C$9, $D$9, 100%, $F$9) + CHOOSE(CONTROL!$C$27, 0.0021, 0)</f>
        <v>92.426000000000002</v>
      </c>
      <c r="L972" s="10"/>
    </row>
    <row r="973" spans="1:12" ht="15.75" x14ac:dyDescent="0.25">
      <c r="A973" s="13">
        <v>70918</v>
      </c>
      <c r="B973" s="10">
        <f>90.2946 * CHOOSE(CONTROL!$C$9, $D$9, 100%, $F$9) + CHOOSE(CONTROL!$C$27, 0.0021, 0)</f>
        <v>90.296700000000001</v>
      </c>
      <c r="C973" s="10">
        <f>89.8623 * CHOOSE(CONTROL!$C$9, $D$9, 100%, $F$9) + CHOOSE(CONTROL!$C$27, 0.0021, 0)</f>
        <v>89.864400000000003</v>
      </c>
      <c r="D973" s="10">
        <f>89.8623 * CHOOSE(CONTROL!$C$9, $D$9, 100%, $F$9) + CHOOSE(CONTROL!$C$27, 0.0021, 0)</f>
        <v>89.864400000000003</v>
      </c>
      <c r="E973" s="10">
        <f>89.7256 * CHOOSE(CONTROL!$C$9, $D$9, 100%, $F$9) + CHOOSE(CONTROL!$C$27, 0.0021, 0)</f>
        <v>89.727699999999999</v>
      </c>
      <c r="F973" s="10">
        <f>89.7256 * CHOOSE(CONTROL!$C$9, $D$9, 100%, $F$9) + CHOOSE(CONTROL!$C$27, 0.0021, 0)</f>
        <v>89.727699999999999</v>
      </c>
      <c r="G973" s="10">
        <f>89.997 * CHOOSE(CONTROL!$C$9, $D$9, 100%, $F$9) + CHOOSE(CONTROL!$C$27, 0.0021, 0)</f>
        <v>89.999099999999999</v>
      </c>
      <c r="H973" s="10">
        <f>89.8623 * CHOOSE(CONTROL!$C$9, $D$9, 100%, $F$9) + CHOOSE(CONTROL!$C$27, 0.0021, 0)</f>
        <v>89.864400000000003</v>
      </c>
      <c r="I973" s="10">
        <f>89.8623 * CHOOSE(CONTROL!$C$9, $D$9, 100%, $F$9) + CHOOSE(CONTROL!$C$27, 0.0021, 0)</f>
        <v>89.864400000000003</v>
      </c>
      <c r="J973" s="10">
        <f>89.8623 * CHOOSE(CONTROL!$C$9, $D$9, 100%, $F$9) + CHOOSE(CONTROL!$C$27, 0.0021, 0)</f>
        <v>89.864400000000003</v>
      </c>
      <c r="K973" s="10">
        <f>89.8623 * CHOOSE(CONTROL!$C$9, $D$9, 100%, $F$9) + CHOOSE(CONTROL!$C$27, 0.0021, 0)</f>
        <v>89.864400000000003</v>
      </c>
      <c r="L973" s="10"/>
    </row>
    <row r="974" spans="1:12" ht="15.75" x14ac:dyDescent="0.25">
      <c r="A974" s="13">
        <v>70949</v>
      </c>
      <c r="B974" s="10">
        <f>89.2371 * CHOOSE(CONTROL!$C$9, $D$9, 100%, $F$9) + CHOOSE(CONTROL!$C$27, 0.0021, 0)</f>
        <v>89.239199999999997</v>
      </c>
      <c r="C974" s="10">
        <f>88.8049 * CHOOSE(CONTROL!$C$9, $D$9, 100%, $F$9) + CHOOSE(CONTROL!$C$27, 0.0021, 0)</f>
        <v>88.807000000000002</v>
      </c>
      <c r="D974" s="10">
        <f>88.8049 * CHOOSE(CONTROL!$C$9, $D$9, 100%, $F$9) + CHOOSE(CONTROL!$C$27, 0.0021, 0)</f>
        <v>88.807000000000002</v>
      </c>
      <c r="E974" s="10">
        <f>88.6682 * CHOOSE(CONTROL!$C$9, $D$9, 100%, $F$9) + CHOOSE(CONTROL!$C$27, 0.0021, 0)</f>
        <v>88.670299999999997</v>
      </c>
      <c r="F974" s="10">
        <f>88.6682 * CHOOSE(CONTROL!$C$9, $D$9, 100%, $F$9) + CHOOSE(CONTROL!$C$27, 0.0021, 0)</f>
        <v>88.670299999999997</v>
      </c>
      <c r="G974" s="10">
        <f>88.9396 * CHOOSE(CONTROL!$C$9, $D$9, 100%, $F$9) + CHOOSE(CONTROL!$C$27, 0.0021, 0)</f>
        <v>88.941699999999997</v>
      </c>
      <c r="H974" s="10">
        <f>88.8049 * CHOOSE(CONTROL!$C$9, $D$9, 100%, $F$9) + CHOOSE(CONTROL!$C$27, 0.0021, 0)</f>
        <v>88.807000000000002</v>
      </c>
      <c r="I974" s="10">
        <f>88.8049 * CHOOSE(CONTROL!$C$9, $D$9, 100%, $F$9) + CHOOSE(CONTROL!$C$27, 0.0021, 0)</f>
        <v>88.807000000000002</v>
      </c>
      <c r="J974" s="10">
        <f>88.8049 * CHOOSE(CONTROL!$C$9, $D$9, 100%, $F$9) + CHOOSE(CONTROL!$C$27, 0.0021, 0)</f>
        <v>88.807000000000002</v>
      </c>
      <c r="K974" s="10">
        <f>88.8049 * CHOOSE(CONTROL!$C$9, $D$9, 100%, $F$9) + CHOOSE(CONTROL!$C$27, 0.0021, 0)</f>
        <v>88.807000000000002</v>
      </c>
      <c r="L974" s="10"/>
    </row>
    <row r="975" spans="1:12" ht="15.75" x14ac:dyDescent="0.25">
      <c r="A975" s="13">
        <v>70979</v>
      </c>
      <c r="B975" s="10">
        <f>87.9745 * CHOOSE(CONTROL!$C$9, $D$9, 100%, $F$9) + CHOOSE(CONTROL!$C$27, 0.0021, 0)</f>
        <v>87.976600000000005</v>
      </c>
      <c r="C975" s="10">
        <f>87.5423 * CHOOSE(CONTROL!$C$9, $D$9, 100%, $F$9) + CHOOSE(CONTROL!$C$27, 0.0021, 0)</f>
        <v>87.544399999999996</v>
      </c>
      <c r="D975" s="10">
        <f>87.5423 * CHOOSE(CONTROL!$C$9, $D$9, 100%, $F$9) + CHOOSE(CONTROL!$C$27, 0.0021, 0)</f>
        <v>87.544399999999996</v>
      </c>
      <c r="E975" s="10">
        <f>87.4056 * CHOOSE(CONTROL!$C$9, $D$9, 100%, $F$9) + CHOOSE(CONTROL!$C$27, 0.0021, 0)</f>
        <v>87.407700000000006</v>
      </c>
      <c r="F975" s="10">
        <f>87.4056 * CHOOSE(CONTROL!$C$9, $D$9, 100%, $F$9) + CHOOSE(CONTROL!$C$27, 0.0021, 0)</f>
        <v>87.407700000000006</v>
      </c>
      <c r="G975" s="10">
        <f>87.677 * CHOOSE(CONTROL!$C$9, $D$9, 100%, $F$9) + CHOOSE(CONTROL!$C$27, 0.0021, 0)</f>
        <v>87.679100000000005</v>
      </c>
      <c r="H975" s="10">
        <f>87.5423 * CHOOSE(CONTROL!$C$9, $D$9, 100%, $F$9) + CHOOSE(CONTROL!$C$27, 0.0021, 0)</f>
        <v>87.544399999999996</v>
      </c>
      <c r="I975" s="10">
        <f>87.5423 * CHOOSE(CONTROL!$C$9, $D$9, 100%, $F$9) + CHOOSE(CONTROL!$C$27, 0.0021, 0)</f>
        <v>87.544399999999996</v>
      </c>
      <c r="J975" s="10">
        <f>87.5423 * CHOOSE(CONTROL!$C$9, $D$9, 100%, $F$9) + CHOOSE(CONTROL!$C$27, 0.0021, 0)</f>
        <v>87.544399999999996</v>
      </c>
      <c r="K975" s="10">
        <f>87.5423 * CHOOSE(CONTROL!$C$9, $D$9, 100%, $F$9) + CHOOSE(CONTROL!$C$27, 0.0021, 0)</f>
        <v>87.544399999999996</v>
      </c>
      <c r="L975" s="10"/>
    </row>
    <row r="976" spans="1:12" ht="15.75" x14ac:dyDescent="0.25">
      <c r="A976" s="13">
        <v>71010</v>
      </c>
      <c r="B976" s="10">
        <f>89.7739 * CHOOSE(CONTROL!$C$9, $D$9, 100%, $F$9) + CHOOSE(CONTROL!$C$27, 0.0021, 0)</f>
        <v>89.775999999999996</v>
      </c>
      <c r="C976" s="10">
        <f>89.3416 * CHOOSE(CONTROL!$C$9, $D$9, 100%, $F$9) + CHOOSE(CONTROL!$C$27, 0.0021, 0)</f>
        <v>89.343699999999998</v>
      </c>
      <c r="D976" s="10">
        <f>89.3416 * CHOOSE(CONTROL!$C$9, $D$9, 100%, $F$9) + CHOOSE(CONTROL!$C$27, 0.0021, 0)</f>
        <v>89.343699999999998</v>
      </c>
      <c r="E976" s="10">
        <f>89.205 * CHOOSE(CONTROL!$C$9, $D$9, 100%, $F$9) + CHOOSE(CONTROL!$C$27, 0.0021, 0)</f>
        <v>89.207099999999997</v>
      </c>
      <c r="F976" s="10">
        <f>89.205 * CHOOSE(CONTROL!$C$9, $D$9, 100%, $F$9) + CHOOSE(CONTROL!$C$27, 0.0021, 0)</f>
        <v>89.207099999999997</v>
      </c>
      <c r="G976" s="10">
        <f>89.4763 * CHOOSE(CONTROL!$C$9, $D$9, 100%, $F$9) + CHOOSE(CONTROL!$C$27, 0.0021, 0)</f>
        <v>89.478399999999993</v>
      </c>
      <c r="H976" s="10">
        <f>89.3416 * CHOOSE(CONTROL!$C$9, $D$9, 100%, $F$9) + CHOOSE(CONTROL!$C$27, 0.0021, 0)</f>
        <v>89.343699999999998</v>
      </c>
      <c r="I976" s="10">
        <f>89.3416 * CHOOSE(CONTROL!$C$9, $D$9, 100%, $F$9) + CHOOSE(CONTROL!$C$27, 0.0021, 0)</f>
        <v>89.343699999999998</v>
      </c>
      <c r="J976" s="10">
        <f>89.3416 * CHOOSE(CONTROL!$C$9, $D$9, 100%, $F$9) + CHOOSE(CONTROL!$C$27, 0.0021, 0)</f>
        <v>89.343699999999998</v>
      </c>
      <c r="K976" s="10">
        <f>89.3416 * CHOOSE(CONTROL!$C$9, $D$9, 100%, $F$9) + CHOOSE(CONTROL!$C$27, 0.0021, 0)</f>
        <v>89.343699999999998</v>
      </c>
      <c r="L976" s="10"/>
    </row>
    <row r="977" spans="1:12" ht="15.75" x14ac:dyDescent="0.25">
      <c r="A977" s="13">
        <v>71040</v>
      </c>
      <c r="B977" s="10">
        <f>90.8516 * CHOOSE(CONTROL!$C$9, $D$9, 100%, $F$9) + CHOOSE(CONTROL!$C$27, 0.0021, 0)</f>
        <v>90.853700000000003</v>
      </c>
      <c r="C977" s="10">
        <f>90.4194 * CHOOSE(CONTROL!$C$9, $D$9, 100%, $F$9) + CHOOSE(CONTROL!$C$27, 0.0021, 0)</f>
        <v>90.421499999999995</v>
      </c>
      <c r="D977" s="10">
        <f>90.4194 * CHOOSE(CONTROL!$C$9, $D$9, 100%, $F$9) + CHOOSE(CONTROL!$C$27, 0.0021, 0)</f>
        <v>90.421499999999995</v>
      </c>
      <c r="E977" s="10">
        <f>90.2827 * CHOOSE(CONTROL!$C$9, $D$9, 100%, $F$9) + CHOOSE(CONTROL!$C$27, 0.0021, 0)</f>
        <v>90.284800000000004</v>
      </c>
      <c r="F977" s="10">
        <f>90.2827 * CHOOSE(CONTROL!$C$9, $D$9, 100%, $F$9) + CHOOSE(CONTROL!$C$27, 0.0021, 0)</f>
        <v>90.284800000000004</v>
      </c>
      <c r="G977" s="10">
        <f>90.5541 * CHOOSE(CONTROL!$C$9, $D$9, 100%, $F$9) + CHOOSE(CONTROL!$C$27, 0.0021, 0)</f>
        <v>90.556200000000004</v>
      </c>
      <c r="H977" s="10">
        <f>90.4194 * CHOOSE(CONTROL!$C$9, $D$9, 100%, $F$9) + CHOOSE(CONTROL!$C$27, 0.0021, 0)</f>
        <v>90.421499999999995</v>
      </c>
      <c r="I977" s="10">
        <f>90.4194 * CHOOSE(CONTROL!$C$9, $D$9, 100%, $F$9) + CHOOSE(CONTROL!$C$27, 0.0021, 0)</f>
        <v>90.421499999999995</v>
      </c>
      <c r="J977" s="10">
        <f>90.4194 * CHOOSE(CONTROL!$C$9, $D$9, 100%, $F$9) + CHOOSE(CONTROL!$C$27, 0.0021, 0)</f>
        <v>90.421499999999995</v>
      </c>
      <c r="K977" s="10">
        <f>90.4194 * CHOOSE(CONTROL!$C$9, $D$9, 100%, $F$9) + CHOOSE(CONTROL!$C$27, 0.0021, 0)</f>
        <v>90.421499999999995</v>
      </c>
      <c r="L977" s="10"/>
    </row>
    <row r="978" spans="1:12" ht="15.75" x14ac:dyDescent="0.25">
      <c r="A978" s="13">
        <v>71071</v>
      </c>
      <c r="B978" s="10">
        <f>92.6295 * CHOOSE(CONTROL!$C$9, $D$9, 100%, $F$9) + CHOOSE(CONTROL!$C$27, 0.0021, 0)</f>
        <v>92.631599999999992</v>
      </c>
      <c r="C978" s="10">
        <f>92.1973 * CHOOSE(CONTROL!$C$9, $D$9, 100%, $F$9) + CHOOSE(CONTROL!$C$27, 0.0021, 0)</f>
        <v>92.199399999999997</v>
      </c>
      <c r="D978" s="10">
        <f>92.1973 * CHOOSE(CONTROL!$C$9, $D$9, 100%, $F$9) + CHOOSE(CONTROL!$C$27, 0.0021, 0)</f>
        <v>92.199399999999997</v>
      </c>
      <c r="E978" s="10">
        <f>92.0606 * CHOOSE(CONTROL!$C$9, $D$9, 100%, $F$9) + CHOOSE(CONTROL!$C$27, 0.0021, 0)</f>
        <v>92.062699999999992</v>
      </c>
      <c r="F978" s="10">
        <f>92.0606 * CHOOSE(CONTROL!$C$9, $D$9, 100%, $F$9) + CHOOSE(CONTROL!$C$27, 0.0021, 0)</f>
        <v>92.062699999999992</v>
      </c>
      <c r="G978" s="10">
        <f>92.332 * CHOOSE(CONTROL!$C$9, $D$9, 100%, $F$9) + CHOOSE(CONTROL!$C$27, 0.0021, 0)</f>
        <v>92.334099999999992</v>
      </c>
      <c r="H978" s="10">
        <f>92.1973 * CHOOSE(CONTROL!$C$9, $D$9, 100%, $F$9) + CHOOSE(CONTROL!$C$27, 0.0021, 0)</f>
        <v>92.199399999999997</v>
      </c>
      <c r="I978" s="10">
        <f>92.1973 * CHOOSE(CONTROL!$C$9, $D$9, 100%, $F$9) + CHOOSE(CONTROL!$C$27, 0.0021, 0)</f>
        <v>92.199399999999997</v>
      </c>
      <c r="J978" s="10">
        <f>92.1973 * CHOOSE(CONTROL!$C$9, $D$9, 100%, $F$9) + CHOOSE(CONTROL!$C$27, 0.0021, 0)</f>
        <v>92.199399999999997</v>
      </c>
      <c r="K978" s="10">
        <f>92.1973 * CHOOSE(CONTROL!$C$9, $D$9, 100%, $F$9) + CHOOSE(CONTROL!$C$27, 0.0021, 0)</f>
        <v>92.199399999999997</v>
      </c>
      <c r="L978" s="10"/>
    </row>
    <row r="979" spans="1:12" ht="15.75" x14ac:dyDescent="0.25">
      <c r="A979" s="13">
        <v>71102</v>
      </c>
      <c r="B979" s="10">
        <f>93.1722 * CHOOSE(CONTROL!$C$9, $D$9, 100%, $F$9) + CHOOSE(CONTROL!$C$27, 0.0021, 0)</f>
        <v>93.174300000000002</v>
      </c>
      <c r="C979" s="10">
        <f>92.7399 * CHOOSE(CONTROL!$C$9, $D$9, 100%, $F$9) + CHOOSE(CONTROL!$C$27, 0.0021, 0)</f>
        <v>92.742000000000004</v>
      </c>
      <c r="D979" s="10">
        <f>92.7399 * CHOOSE(CONTROL!$C$9, $D$9, 100%, $F$9) + CHOOSE(CONTROL!$C$27, 0.0021, 0)</f>
        <v>92.742000000000004</v>
      </c>
      <c r="E979" s="10">
        <f>92.6033 * CHOOSE(CONTROL!$C$9, $D$9, 100%, $F$9) + CHOOSE(CONTROL!$C$27, 0.0021, 0)</f>
        <v>92.605400000000003</v>
      </c>
      <c r="F979" s="10">
        <f>92.6033 * CHOOSE(CONTROL!$C$9, $D$9, 100%, $F$9) + CHOOSE(CONTROL!$C$27, 0.0021, 0)</f>
        <v>92.605400000000003</v>
      </c>
      <c r="G979" s="10">
        <f>92.8746 * CHOOSE(CONTROL!$C$9, $D$9, 100%, $F$9) + CHOOSE(CONTROL!$C$27, 0.0021, 0)</f>
        <v>92.8767</v>
      </c>
      <c r="H979" s="10">
        <f>92.7399 * CHOOSE(CONTROL!$C$9, $D$9, 100%, $F$9) + CHOOSE(CONTROL!$C$27, 0.0021, 0)</f>
        <v>92.742000000000004</v>
      </c>
      <c r="I979" s="10">
        <f>92.7399 * CHOOSE(CONTROL!$C$9, $D$9, 100%, $F$9) + CHOOSE(CONTROL!$C$27, 0.0021, 0)</f>
        <v>92.742000000000004</v>
      </c>
      <c r="J979" s="10">
        <f>92.7399 * CHOOSE(CONTROL!$C$9, $D$9, 100%, $F$9) + CHOOSE(CONTROL!$C$27, 0.0021, 0)</f>
        <v>92.742000000000004</v>
      </c>
      <c r="K979" s="10">
        <f>92.7399 * CHOOSE(CONTROL!$C$9, $D$9, 100%, $F$9) + CHOOSE(CONTROL!$C$27, 0.0021, 0)</f>
        <v>92.742000000000004</v>
      </c>
      <c r="L979" s="10"/>
    </row>
    <row r="980" spans="1:12" ht="15.75" x14ac:dyDescent="0.25">
      <c r="A980" s="13">
        <v>71132</v>
      </c>
      <c r="B980" s="10">
        <f>95.0202 * CHOOSE(CONTROL!$C$9, $D$9, 100%, $F$9) + CHOOSE(CONTROL!$C$27, 0.0021, 0)</f>
        <v>95.022300000000001</v>
      </c>
      <c r="C980" s="10">
        <f>94.588 * CHOOSE(CONTROL!$C$9, $D$9, 100%, $F$9) + CHOOSE(CONTROL!$C$27, 0.0021, 0)</f>
        <v>94.590099999999993</v>
      </c>
      <c r="D980" s="10">
        <f>94.588 * CHOOSE(CONTROL!$C$9, $D$9, 100%, $F$9) + CHOOSE(CONTROL!$C$27, 0.0021, 0)</f>
        <v>94.590099999999993</v>
      </c>
      <c r="E980" s="10">
        <f>94.4513 * CHOOSE(CONTROL!$C$9, $D$9, 100%, $F$9) + CHOOSE(CONTROL!$C$27, 0.0021, 0)</f>
        <v>94.453400000000002</v>
      </c>
      <c r="F980" s="10">
        <f>94.4513 * CHOOSE(CONTROL!$C$9, $D$9, 100%, $F$9) + CHOOSE(CONTROL!$C$27, 0.0021, 0)</f>
        <v>94.453400000000002</v>
      </c>
      <c r="G980" s="10">
        <f>94.7227 * CHOOSE(CONTROL!$C$9, $D$9, 100%, $F$9) + CHOOSE(CONTROL!$C$27, 0.0021, 0)</f>
        <v>94.724800000000002</v>
      </c>
      <c r="H980" s="10">
        <f>94.588 * CHOOSE(CONTROL!$C$9, $D$9, 100%, $F$9) + CHOOSE(CONTROL!$C$27, 0.0021, 0)</f>
        <v>94.590099999999993</v>
      </c>
      <c r="I980" s="10">
        <f>94.588 * CHOOSE(CONTROL!$C$9, $D$9, 100%, $F$9) + CHOOSE(CONTROL!$C$27, 0.0021, 0)</f>
        <v>94.590099999999993</v>
      </c>
      <c r="J980" s="10">
        <f>94.588 * CHOOSE(CONTROL!$C$9, $D$9, 100%, $F$9) + CHOOSE(CONTROL!$C$27, 0.0021, 0)</f>
        <v>94.590099999999993</v>
      </c>
      <c r="K980" s="10">
        <f>94.588 * CHOOSE(CONTROL!$C$9, $D$9, 100%, $F$9) + CHOOSE(CONTROL!$C$27, 0.0021, 0)</f>
        <v>94.590099999999993</v>
      </c>
      <c r="L980" s="10"/>
    </row>
    <row r="981" spans="1:12" ht="15.75" x14ac:dyDescent="0.25">
      <c r="A981" s="13">
        <v>71163</v>
      </c>
      <c r="B981" s="10">
        <f>97.3595 * CHOOSE(CONTROL!$C$9, $D$9, 100%, $F$9) + CHOOSE(CONTROL!$C$27, 0.0021, 0)</f>
        <v>97.361599999999996</v>
      </c>
      <c r="C981" s="10">
        <f>96.9273 * CHOOSE(CONTROL!$C$9, $D$9, 100%, $F$9) + CHOOSE(CONTROL!$C$27, 0.0021, 0)</f>
        <v>96.929400000000001</v>
      </c>
      <c r="D981" s="10">
        <f>96.9273 * CHOOSE(CONTROL!$C$9, $D$9, 100%, $F$9) + CHOOSE(CONTROL!$C$27, 0.0021, 0)</f>
        <v>96.929400000000001</v>
      </c>
      <c r="E981" s="10">
        <f>96.7906 * CHOOSE(CONTROL!$C$9, $D$9, 100%, $F$9) + CHOOSE(CONTROL!$C$27, 0.0021, 0)</f>
        <v>96.792699999999996</v>
      </c>
      <c r="F981" s="10">
        <f>96.7906 * CHOOSE(CONTROL!$C$9, $D$9, 100%, $F$9) + CHOOSE(CONTROL!$C$27, 0.0021, 0)</f>
        <v>96.792699999999996</v>
      </c>
      <c r="G981" s="10">
        <f>97.062 * CHOOSE(CONTROL!$C$9, $D$9, 100%, $F$9) + CHOOSE(CONTROL!$C$27, 0.0021, 0)</f>
        <v>97.064099999999996</v>
      </c>
      <c r="H981" s="10">
        <f>96.9273 * CHOOSE(CONTROL!$C$9, $D$9, 100%, $F$9) + CHOOSE(CONTROL!$C$27, 0.0021, 0)</f>
        <v>96.929400000000001</v>
      </c>
      <c r="I981" s="10">
        <f>96.9273 * CHOOSE(CONTROL!$C$9, $D$9, 100%, $F$9) + CHOOSE(CONTROL!$C$27, 0.0021, 0)</f>
        <v>96.929400000000001</v>
      </c>
      <c r="J981" s="10">
        <f>96.9273 * CHOOSE(CONTROL!$C$9, $D$9, 100%, $F$9) + CHOOSE(CONTROL!$C$27, 0.0021, 0)</f>
        <v>96.929400000000001</v>
      </c>
      <c r="K981" s="10">
        <f>96.9273 * CHOOSE(CONTROL!$C$9, $D$9, 100%, $F$9) + CHOOSE(CONTROL!$C$27, 0.0021, 0)</f>
        <v>96.929400000000001</v>
      </c>
      <c r="L981" s="10"/>
    </row>
    <row r="982" spans="1:12" ht="15.75" x14ac:dyDescent="0.25">
      <c r="A982" s="13">
        <v>71193</v>
      </c>
      <c r="B982" s="10">
        <f>97.5791 * CHOOSE(CONTROL!$C$9, $D$9, 100%, $F$9) + CHOOSE(CONTROL!$C$27, 0.0021, 0)</f>
        <v>97.581199999999995</v>
      </c>
      <c r="C982" s="10">
        <f>97.1469 * CHOOSE(CONTROL!$C$9, $D$9, 100%, $F$9) + CHOOSE(CONTROL!$C$27, 0.0021, 0)</f>
        <v>97.149000000000001</v>
      </c>
      <c r="D982" s="10">
        <f>97.1469 * CHOOSE(CONTROL!$C$9, $D$9, 100%, $F$9) + CHOOSE(CONTROL!$C$27, 0.0021, 0)</f>
        <v>97.149000000000001</v>
      </c>
      <c r="E982" s="10">
        <f>97.0102 * CHOOSE(CONTROL!$C$9, $D$9, 100%, $F$9) + CHOOSE(CONTROL!$C$27, 0.0021, 0)</f>
        <v>97.012299999999996</v>
      </c>
      <c r="F982" s="10">
        <f>97.0102 * CHOOSE(CONTROL!$C$9, $D$9, 100%, $F$9) + CHOOSE(CONTROL!$C$27, 0.0021, 0)</f>
        <v>97.012299999999996</v>
      </c>
      <c r="G982" s="10">
        <f>97.2816 * CHOOSE(CONTROL!$C$9, $D$9, 100%, $F$9) + CHOOSE(CONTROL!$C$27, 0.0021, 0)</f>
        <v>97.283699999999996</v>
      </c>
      <c r="H982" s="10">
        <f>97.1469 * CHOOSE(CONTROL!$C$9, $D$9, 100%, $F$9) + CHOOSE(CONTROL!$C$27, 0.0021, 0)</f>
        <v>97.149000000000001</v>
      </c>
      <c r="I982" s="10">
        <f>97.1469 * CHOOSE(CONTROL!$C$9, $D$9, 100%, $F$9) + CHOOSE(CONTROL!$C$27, 0.0021, 0)</f>
        <v>97.149000000000001</v>
      </c>
      <c r="J982" s="10">
        <f>97.1469 * CHOOSE(CONTROL!$C$9, $D$9, 100%, $F$9) + CHOOSE(CONTROL!$C$27, 0.0021, 0)</f>
        <v>97.149000000000001</v>
      </c>
      <c r="K982" s="10">
        <f>97.1469 * CHOOSE(CONTROL!$C$9, $D$9, 100%, $F$9) + CHOOSE(CONTROL!$C$27, 0.0021, 0)</f>
        <v>97.149000000000001</v>
      </c>
      <c r="L982" s="10"/>
    </row>
    <row r="983" spans="1:12" ht="15.75" x14ac:dyDescent="0.25">
      <c r="A983" s="13">
        <v>71224</v>
      </c>
      <c r="B983" s="10">
        <f>95.7108 * CHOOSE(CONTROL!$C$9, $D$9, 100%, $F$9) + CHOOSE(CONTROL!$C$27, 0.0021, 0)</f>
        <v>95.712900000000005</v>
      </c>
      <c r="C983" s="10">
        <f>95.2785 * CHOOSE(CONTROL!$C$9, $D$9, 100%, $F$9) + CHOOSE(CONTROL!$C$27, 0.0021, 0)</f>
        <v>95.280599999999993</v>
      </c>
      <c r="D983" s="10">
        <f>95.2785 * CHOOSE(CONTROL!$C$9, $D$9, 100%, $F$9) + CHOOSE(CONTROL!$C$27, 0.0021, 0)</f>
        <v>95.280599999999993</v>
      </c>
      <c r="E983" s="10">
        <f>95.1419 * CHOOSE(CONTROL!$C$9, $D$9, 100%, $F$9) + CHOOSE(CONTROL!$C$27, 0.0021, 0)</f>
        <v>95.144000000000005</v>
      </c>
      <c r="F983" s="10">
        <f>95.1419 * CHOOSE(CONTROL!$C$9, $D$9, 100%, $F$9) + CHOOSE(CONTROL!$C$27, 0.0021, 0)</f>
        <v>95.144000000000005</v>
      </c>
      <c r="G983" s="10">
        <f>95.4132 * CHOOSE(CONTROL!$C$9, $D$9, 100%, $F$9) + CHOOSE(CONTROL!$C$27, 0.0021, 0)</f>
        <v>95.415300000000002</v>
      </c>
      <c r="H983" s="10">
        <f>95.2785 * CHOOSE(CONTROL!$C$9, $D$9, 100%, $F$9) + CHOOSE(CONTROL!$C$27, 0.0021, 0)</f>
        <v>95.280599999999993</v>
      </c>
      <c r="I983" s="10">
        <f>95.2785 * CHOOSE(CONTROL!$C$9, $D$9, 100%, $F$9) + CHOOSE(CONTROL!$C$27, 0.0021, 0)</f>
        <v>95.280599999999993</v>
      </c>
      <c r="J983" s="10">
        <f>95.2785 * CHOOSE(CONTROL!$C$9, $D$9, 100%, $F$9) + CHOOSE(CONTROL!$C$27, 0.0021, 0)</f>
        <v>95.280599999999993</v>
      </c>
      <c r="K983" s="10">
        <f>95.2785 * CHOOSE(CONTROL!$C$9, $D$9, 100%, $F$9) + CHOOSE(CONTROL!$C$27, 0.0021, 0)</f>
        <v>95.280599999999993</v>
      </c>
      <c r="L983" s="10"/>
    </row>
    <row r="984" spans="1:12" ht="15.75" x14ac:dyDescent="0.25">
      <c r="A984" s="13">
        <v>71255</v>
      </c>
      <c r="B984" s="10">
        <f>94.2803 * CHOOSE(CONTROL!$C$9, $D$9, 100%, $F$9) + CHOOSE(CONTROL!$C$27, 0.0021, 0)</f>
        <v>94.282399999999996</v>
      </c>
      <c r="C984" s="10">
        <f>93.8481 * CHOOSE(CONTROL!$C$9, $D$9, 100%, $F$9) + CHOOSE(CONTROL!$C$27, 0.0021, 0)</f>
        <v>93.850200000000001</v>
      </c>
      <c r="D984" s="10">
        <f>93.8481 * CHOOSE(CONTROL!$C$9, $D$9, 100%, $F$9) + CHOOSE(CONTROL!$C$27, 0.0021, 0)</f>
        <v>93.850200000000001</v>
      </c>
      <c r="E984" s="10">
        <f>93.7114 * CHOOSE(CONTROL!$C$9, $D$9, 100%, $F$9) + CHOOSE(CONTROL!$C$27, 0.0021, 0)</f>
        <v>93.713499999999996</v>
      </c>
      <c r="F984" s="10">
        <f>93.7114 * CHOOSE(CONTROL!$C$9, $D$9, 100%, $F$9) + CHOOSE(CONTROL!$C$27, 0.0021, 0)</f>
        <v>93.713499999999996</v>
      </c>
      <c r="G984" s="10">
        <f>93.9828 * CHOOSE(CONTROL!$C$9, $D$9, 100%, $F$9) + CHOOSE(CONTROL!$C$27, 0.0021, 0)</f>
        <v>93.984899999999996</v>
      </c>
      <c r="H984" s="10">
        <f>93.8481 * CHOOSE(CONTROL!$C$9, $D$9, 100%, $F$9) + CHOOSE(CONTROL!$C$27, 0.0021, 0)</f>
        <v>93.850200000000001</v>
      </c>
      <c r="I984" s="10">
        <f>93.8481 * CHOOSE(CONTROL!$C$9, $D$9, 100%, $F$9) + CHOOSE(CONTROL!$C$27, 0.0021, 0)</f>
        <v>93.850200000000001</v>
      </c>
      <c r="J984" s="10">
        <f>93.8481 * CHOOSE(CONTROL!$C$9, $D$9, 100%, $F$9) + CHOOSE(CONTROL!$C$27, 0.0021, 0)</f>
        <v>93.850200000000001</v>
      </c>
      <c r="K984" s="10">
        <f>93.8481 * CHOOSE(CONTROL!$C$9, $D$9, 100%, $F$9) + CHOOSE(CONTROL!$C$27, 0.0021, 0)</f>
        <v>93.850200000000001</v>
      </c>
      <c r="L984" s="10"/>
    </row>
    <row r="985" spans="1:12" ht="15.75" x14ac:dyDescent="0.25">
      <c r="A985" s="13">
        <v>71283</v>
      </c>
      <c r="B985" s="10">
        <f>91.6784 * CHOOSE(CONTROL!$C$9, $D$9, 100%, $F$9) + CHOOSE(CONTROL!$C$27, 0.0021, 0)</f>
        <v>91.680499999999995</v>
      </c>
      <c r="C985" s="10">
        <f>91.2461 * CHOOSE(CONTROL!$C$9, $D$9, 100%, $F$9) + CHOOSE(CONTROL!$C$27, 0.0021, 0)</f>
        <v>91.248199999999997</v>
      </c>
      <c r="D985" s="10">
        <f>91.2461 * CHOOSE(CONTROL!$C$9, $D$9, 100%, $F$9) + CHOOSE(CONTROL!$C$27, 0.0021, 0)</f>
        <v>91.248199999999997</v>
      </c>
      <c r="E985" s="10">
        <f>91.1095 * CHOOSE(CONTROL!$C$9, $D$9, 100%, $F$9) + CHOOSE(CONTROL!$C$27, 0.0021, 0)</f>
        <v>91.111599999999996</v>
      </c>
      <c r="F985" s="10">
        <f>91.1095 * CHOOSE(CONTROL!$C$9, $D$9, 100%, $F$9) + CHOOSE(CONTROL!$C$27, 0.0021, 0)</f>
        <v>91.111599999999996</v>
      </c>
      <c r="G985" s="10">
        <f>91.3809 * CHOOSE(CONTROL!$C$9, $D$9, 100%, $F$9) + CHOOSE(CONTROL!$C$27, 0.0021, 0)</f>
        <v>91.382999999999996</v>
      </c>
      <c r="H985" s="10">
        <f>91.2461 * CHOOSE(CONTROL!$C$9, $D$9, 100%, $F$9) + CHOOSE(CONTROL!$C$27, 0.0021, 0)</f>
        <v>91.248199999999997</v>
      </c>
      <c r="I985" s="10">
        <f>91.2461 * CHOOSE(CONTROL!$C$9, $D$9, 100%, $F$9) + CHOOSE(CONTROL!$C$27, 0.0021, 0)</f>
        <v>91.248199999999997</v>
      </c>
      <c r="J985" s="10">
        <f>91.2461 * CHOOSE(CONTROL!$C$9, $D$9, 100%, $F$9) + CHOOSE(CONTROL!$C$27, 0.0021, 0)</f>
        <v>91.248199999999997</v>
      </c>
      <c r="K985" s="10">
        <f>91.2461 * CHOOSE(CONTROL!$C$9, $D$9, 100%, $F$9) + CHOOSE(CONTROL!$C$27, 0.0021, 0)</f>
        <v>91.248199999999997</v>
      </c>
      <c r="L985" s="10"/>
    </row>
    <row r="986" spans="1:12" ht="15.75" x14ac:dyDescent="0.25">
      <c r="A986" s="13">
        <v>71314</v>
      </c>
      <c r="B986" s="10">
        <f>90.6043 * CHOOSE(CONTROL!$C$9, $D$9, 100%, $F$9) + CHOOSE(CONTROL!$C$27, 0.0021, 0)</f>
        <v>90.606399999999994</v>
      </c>
      <c r="C986" s="10">
        <f>90.1721 * CHOOSE(CONTROL!$C$9, $D$9, 100%, $F$9) + CHOOSE(CONTROL!$C$27, 0.0021, 0)</f>
        <v>90.174199999999999</v>
      </c>
      <c r="D986" s="10">
        <f>90.1721 * CHOOSE(CONTROL!$C$9, $D$9, 100%, $F$9) + CHOOSE(CONTROL!$C$27, 0.0021, 0)</f>
        <v>90.174199999999999</v>
      </c>
      <c r="E986" s="10">
        <f>90.0354 * CHOOSE(CONTROL!$C$9, $D$9, 100%, $F$9) + CHOOSE(CONTROL!$C$27, 0.0021, 0)</f>
        <v>90.037499999999994</v>
      </c>
      <c r="F986" s="10">
        <f>90.0354 * CHOOSE(CONTROL!$C$9, $D$9, 100%, $F$9) + CHOOSE(CONTROL!$C$27, 0.0021, 0)</f>
        <v>90.037499999999994</v>
      </c>
      <c r="G986" s="10">
        <f>90.3068 * CHOOSE(CONTROL!$C$9, $D$9, 100%, $F$9) + CHOOSE(CONTROL!$C$27, 0.0021, 0)</f>
        <v>90.308899999999994</v>
      </c>
      <c r="H986" s="10">
        <f>90.1721 * CHOOSE(CONTROL!$C$9, $D$9, 100%, $F$9) + CHOOSE(CONTROL!$C$27, 0.0021, 0)</f>
        <v>90.174199999999999</v>
      </c>
      <c r="I986" s="10">
        <f>90.1721 * CHOOSE(CONTROL!$C$9, $D$9, 100%, $F$9) + CHOOSE(CONTROL!$C$27, 0.0021, 0)</f>
        <v>90.174199999999999</v>
      </c>
      <c r="J986" s="10">
        <f>90.1721 * CHOOSE(CONTROL!$C$9, $D$9, 100%, $F$9) + CHOOSE(CONTROL!$C$27, 0.0021, 0)</f>
        <v>90.174199999999999</v>
      </c>
      <c r="K986" s="10">
        <f>90.1721 * CHOOSE(CONTROL!$C$9, $D$9, 100%, $F$9) + CHOOSE(CONTROL!$C$27, 0.0021, 0)</f>
        <v>90.174199999999999</v>
      </c>
      <c r="L986" s="10"/>
    </row>
    <row r="987" spans="1:12" ht="15.75" x14ac:dyDescent="0.25">
      <c r="A987" s="13">
        <v>71344</v>
      </c>
      <c r="B987" s="10">
        <f>89.3219 * CHOOSE(CONTROL!$C$9, $D$9, 100%, $F$9) + CHOOSE(CONTROL!$C$27, 0.0021, 0)</f>
        <v>89.323999999999998</v>
      </c>
      <c r="C987" s="10">
        <f>88.8896 * CHOOSE(CONTROL!$C$9, $D$9, 100%, $F$9) + CHOOSE(CONTROL!$C$27, 0.0021, 0)</f>
        <v>88.8917</v>
      </c>
      <c r="D987" s="10">
        <f>88.8896 * CHOOSE(CONTROL!$C$9, $D$9, 100%, $F$9) + CHOOSE(CONTROL!$C$27, 0.0021, 0)</f>
        <v>88.8917</v>
      </c>
      <c r="E987" s="10">
        <f>88.753 * CHOOSE(CONTROL!$C$9, $D$9, 100%, $F$9) + CHOOSE(CONTROL!$C$27, 0.0021, 0)</f>
        <v>88.755099999999999</v>
      </c>
      <c r="F987" s="10">
        <f>88.753 * CHOOSE(CONTROL!$C$9, $D$9, 100%, $F$9) + CHOOSE(CONTROL!$C$27, 0.0021, 0)</f>
        <v>88.755099999999999</v>
      </c>
      <c r="G987" s="10">
        <f>89.0243 * CHOOSE(CONTROL!$C$9, $D$9, 100%, $F$9) + CHOOSE(CONTROL!$C$27, 0.0021, 0)</f>
        <v>89.026399999999995</v>
      </c>
      <c r="H987" s="10">
        <f>88.8896 * CHOOSE(CONTROL!$C$9, $D$9, 100%, $F$9) + CHOOSE(CONTROL!$C$27, 0.0021, 0)</f>
        <v>88.8917</v>
      </c>
      <c r="I987" s="10">
        <f>88.8896 * CHOOSE(CONTROL!$C$9, $D$9, 100%, $F$9) + CHOOSE(CONTROL!$C$27, 0.0021, 0)</f>
        <v>88.8917</v>
      </c>
      <c r="J987" s="10">
        <f>88.8896 * CHOOSE(CONTROL!$C$9, $D$9, 100%, $F$9) + CHOOSE(CONTROL!$C$27, 0.0021, 0)</f>
        <v>88.8917</v>
      </c>
      <c r="K987" s="10">
        <f>88.8896 * CHOOSE(CONTROL!$C$9, $D$9, 100%, $F$9) + CHOOSE(CONTROL!$C$27, 0.0021, 0)</f>
        <v>88.8917</v>
      </c>
      <c r="L987" s="10"/>
    </row>
    <row r="988" spans="1:12" ht="15.75" x14ac:dyDescent="0.25">
      <c r="A988" s="13">
        <v>71375</v>
      </c>
      <c r="B988" s="10">
        <f>91.1495 * CHOOSE(CONTROL!$C$9, $D$9, 100%, $F$9) + CHOOSE(CONTROL!$C$27, 0.0021, 0)</f>
        <v>91.151600000000002</v>
      </c>
      <c r="C988" s="10">
        <f>90.7173 * CHOOSE(CONTROL!$C$9, $D$9, 100%, $F$9) + CHOOSE(CONTROL!$C$27, 0.0021, 0)</f>
        <v>90.719399999999993</v>
      </c>
      <c r="D988" s="10">
        <f>90.7173 * CHOOSE(CONTROL!$C$9, $D$9, 100%, $F$9) + CHOOSE(CONTROL!$C$27, 0.0021, 0)</f>
        <v>90.719399999999993</v>
      </c>
      <c r="E988" s="10">
        <f>90.5806 * CHOOSE(CONTROL!$C$9, $D$9, 100%, $F$9) + CHOOSE(CONTROL!$C$27, 0.0021, 0)</f>
        <v>90.582700000000003</v>
      </c>
      <c r="F988" s="10">
        <f>90.5806 * CHOOSE(CONTROL!$C$9, $D$9, 100%, $F$9) + CHOOSE(CONTROL!$C$27, 0.0021, 0)</f>
        <v>90.582700000000003</v>
      </c>
      <c r="G988" s="10">
        <f>90.852 * CHOOSE(CONTROL!$C$9, $D$9, 100%, $F$9) + CHOOSE(CONTROL!$C$27, 0.0021, 0)</f>
        <v>90.854100000000003</v>
      </c>
      <c r="H988" s="10">
        <f>90.7173 * CHOOSE(CONTROL!$C$9, $D$9, 100%, $F$9) + CHOOSE(CONTROL!$C$27, 0.0021, 0)</f>
        <v>90.719399999999993</v>
      </c>
      <c r="I988" s="10">
        <f>90.7173 * CHOOSE(CONTROL!$C$9, $D$9, 100%, $F$9) + CHOOSE(CONTROL!$C$27, 0.0021, 0)</f>
        <v>90.719399999999993</v>
      </c>
      <c r="J988" s="10">
        <f>90.7173 * CHOOSE(CONTROL!$C$9, $D$9, 100%, $F$9) + CHOOSE(CONTROL!$C$27, 0.0021, 0)</f>
        <v>90.719399999999993</v>
      </c>
      <c r="K988" s="10">
        <f>90.7173 * CHOOSE(CONTROL!$C$9, $D$9, 100%, $F$9) + CHOOSE(CONTROL!$C$27, 0.0021, 0)</f>
        <v>90.719399999999993</v>
      </c>
      <c r="L988" s="10"/>
    </row>
    <row r="989" spans="1:12" ht="15.75" x14ac:dyDescent="0.25">
      <c r="A989" s="13">
        <v>71405</v>
      </c>
      <c r="B989" s="10">
        <f>92.2442 * CHOOSE(CONTROL!$C$9, $D$9, 100%, $F$9) + CHOOSE(CONTROL!$C$27, 0.0021, 0)</f>
        <v>92.246300000000005</v>
      </c>
      <c r="C989" s="10">
        <f>91.812 * CHOOSE(CONTROL!$C$9, $D$9, 100%, $F$9) + CHOOSE(CONTROL!$C$27, 0.0021, 0)</f>
        <v>91.814099999999996</v>
      </c>
      <c r="D989" s="10">
        <f>91.812 * CHOOSE(CONTROL!$C$9, $D$9, 100%, $F$9) + CHOOSE(CONTROL!$C$27, 0.0021, 0)</f>
        <v>91.814099999999996</v>
      </c>
      <c r="E989" s="10">
        <f>91.6753 * CHOOSE(CONTROL!$C$9, $D$9, 100%, $F$9) + CHOOSE(CONTROL!$C$27, 0.0021, 0)</f>
        <v>91.677399999999992</v>
      </c>
      <c r="F989" s="10">
        <f>91.6753 * CHOOSE(CONTROL!$C$9, $D$9, 100%, $F$9) + CHOOSE(CONTROL!$C$27, 0.0021, 0)</f>
        <v>91.677399999999992</v>
      </c>
      <c r="G989" s="10">
        <f>91.9467 * CHOOSE(CONTROL!$C$9, $D$9, 100%, $F$9) + CHOOSE(CONTROL!$C$27, 0.0021, 0)</f>
        <v>91.948800000000006</v>
      </c>
      <c r="H989" s="10">
        <f>91.812 * CHOOSE(CONTROL!$C$9, $D$9, 100%, $F$9) + CHOOSE(CONTROL!$C$27, 0.0021, 0)</f>
        <v>91.814099999999996</v>
      </c>
      <c r="I989" s="10">
        <f>91.812 * CHOOSE(CONTROL!$C$9, $D$9, 100%, $F$9) + CHOOSE(CONTROL!$C$27, 0.0021, 0)</f>
        <v>91.814099999999996</v>
      </c>
      <c r="J989" s="10">
        <f>91.812 * CHOOSE(CONTROL!$C$9, $D$9, 100%, $F$9) + CHOOSE(CONTROL!$C$27, 0.0021, 0)</f>
        <v>91.814099999999996</v>
      </c>
      <c r="K989" s="10">
        <f>91.812 * CHOOSE(CONTROL!$C$9, $D$9, 100%, $F$9) + CHOOSE(CONTROL!$C$27, 0.0021, 0)</f>
        <v>91.814099999999996</v>
      </c>
      <c r="L989" s="10"/>
    </row>
    <row r="990" spans="1:12" ht="15.75" x14ac:dyDescent="0.25">
      <c r="A990" s="13">
        <v>71436</v>
      </c>
      <c r="B990" s="10">
        <f>94.0501 * CHOOSE(CONTROL!$C$9, $D$9, 100%, $F$9) + CHOOSE(CONTROL!$C$27, 0.0021, 0)</f>
        <v>94.052199999999999</v>
      </c>
      <c r="C990" s="10">
        <f>93.6178 * CHOOSE(CONTROL!$C$9, $D$9, 100%, $F$9) + CHOOSE(CONTROL!$C$27, 0.0021, 0)</f>
        <v>93.619900000000001</v>
      </c>
      <c r="D990" s="10">
        <f>93.6178 * CHOOSE(CONTROL!$C$9, $D$9, 100%, $F$9) + CHOOSE(CONTROL!$C$27, 0.0021, 0)</f>
        <v>93.619900000000001</v>
      </c>
      <c r="E990" s="10">
        <f>93.4811 * CHOOSE(CONTROL!$C$9, $D$9, 100%, $F$9) + CHOOSE(CONTROL!$C$27, 0.0021, 0)</f>
        <v>93.483199999999997</v>
      </c>
      <c r="F990" s="10">
        <f>93.4811 * CHOOSE(CONTROL!$C$9, $D$9, 100%, $F$9) + CHOOSE(CONTROL!$C$27, 0.0021, 0)</f>
        <v>93.483199999999997</v>
      </c>
      <c r="G990" s="10">
        <f>93.7525 * CHOOSE(CONTROL!$C$9, $D$9, 100%, $F$9) + CHOOSE(CONTROL!$C$27, 0.0021, 0)</f>
        <v>93.754599999999996</v>
      </c>
      <c r="H990" s="10">
        <f>93.6178 * CHOOSE(CONTROL!$C$9, $D$9, 100%, $F$9) + CHOOSE(CONTROL!$C$27, 0.0021, 0)</f>
        <v>93.619900000000001</v>
      </c>
      <c r="I990" s="10">
        <f>93.6178 * CHOOSE(CONTROL!$C$9, $D$9, 100%, $F$9) + CHOOSE(CONTROL!$C$27, 0.0021, 0)</f>
        <v>93.619900000000001</v>
      </c>
      <c r="J990" s="10">
        <f>93.6178 * CHOOSE(CONTROL!$C$9, $D$9, 100%, $F$9) + CHOOSE(CONTROL!$C$27, 0.0021, 0)</f>
        <v>93.619900000000001</v>
      </c>
      <c r="K990" s="10">
        <f>93.6178 * CHOOSE(CONTROL!$C$9, $D$9, 100%, $F$9) + CHOOSE(CONTROL!$C$27, 0.0021, 0)</f>
        <v>93.619900000000001</v>
      </c>
      <c r="L990" s="10"/>
    </row>
    <row r="991" spans="1:12" ht="15.75" x14ac:dyDescent="0.25">
      <c r="A991" s="13">
        <v>71467</v>
      </c>
      <c r="B991" s="10">
        <f>94.6013 * CHOOSE(CONTROL!$C$9, $D$9, 100%, $F$9) + CHOOSE(CONTROL!$C$27, 0.0021, 0)</f>
        <v>94.603399999999993</v>
      </c>
      <c r="C991" s="10">
        <f>94.169 * CHOOSE(CONTROL!$C$9, $D$9, 100%, $F$9) + CHOOSE(CONTROL!$C$27, 0.0021, 0)</f>
        <v>94.171099999999996</v>
      </c>
      <c r="D991" s="10">
        <f>94.169 * CHOOSE(CONTROL!$C$9, $D$9, 100%, $F$9) + CHOOSE(CONTROL!$C$27, 0.0021, 0)</f>
        <v>94.171099999999996</v>
      </c>
      <c r="E991" s="10">
        <f>94.0323 * CHOOSE(CONTROL!$C$9, $D$9, 100%, $F$9) + CHOOSE(CONTROL!$C$27, 0.0021, 0)</f>
        <v>94.034400000000005</v>
      </c>
      <c r="F991" s="10">
        <f>94.0323 * CHOOSE(CONTROL!$C$9, $D$9, 100%, $F$9) + CHOOSE(CONTROL!$C$27, 0.0021, 0)</f>
        <v>94.034400000000005</v>
      </c>
      <c r="G991" s="10">
        <f>94.3037 * CHOOSE(CONTROL!$C$9, $D$9, 100%, $F$9) + CHOOSE(CONTROL!$C$27, 0.0021, 0)</f>
        <v>94.305800000000005</v>
      </c>
      <c r="H991" s="10">
        <f>94.169 * CHOOSE(CONTROL!$C$9, $D$9, 100%, $F$9) + CHOOSE(CONTROL!$C$27, 0.0021, 0)</f>
        <v>94.171099999999996</v>
      </c>
      <c r="I991" s="10">
        <f>94.169 * CHOOSE(CONTROL!$C$9, $D$9, 100%, $F$9) + CHOOSE(CONTROL!$C$27, 0.0021, 0)</f>
        <v>94.171099999999996</v>
      </c>
      <c r="J991" s="10">
        <f>94.169 * CHOOSE(CONTROL!$C$9, $D$9, 100%, $F$9) + CHOOSE(CONTROL!$C$27, 0.0021, 0)</f>
        <v>94.171099999999996</v>
      </c>
      <c r="K991" s="10">
        <f>94.169 * CHOOSE(CONTROL!$C$9, $D$9, 100%, $F$9) + CHOOSE(CONTROL!$C$27, 0.0021, 0)</f>
        <v>94.171099999999996</v>
      </c>
      <c r="L991" s="10"/>
    </row>
    <row r="992" spans="1:12" ht="15.75" x14ac:dyDescent="0.25">
      <c r="A992" s="13">
        <v>71497</v>
      </c>
      <c r="B992" s="10">
        <f>96.4784 * CHOOSE(CONTROL!$C$9, $D$9, 100%, $F$9) + CHOOSE(CONTROL!$C$27, 0.0021, 0)</f>
        <v>96.480499999999992</v>
      </c>
      <c r="C992" s="10">
        <f>96.0461 * CHOOSE(CONTROL!$C$9, $D$9, 100%, $F$9) + CHOOSE(CONTROL!$C$27, 0.0021, 0)</f>
        <v>96.048199999999994</v>
      </c>
      <c r="D992" s="10">
        <f>96.0461 * CHOOSE(CONTROL!$C$9, $D$9, 100%, $F$9) + CHOOSE(CONTROL!$C$27, 0.0021, 0)</f>
        <v>96.048199999999994</v>
      </c>
      <c r="E992" s="10">
        <f>95.9094 * CHOOSE(CONTROL!$C$9, $D$9, 100%, $F$9) + CHOOSE(CONTROL!$C$27, 0.0021, 0)</f>
        <v>95.911500000000004</v>
      </c>
      <c r="F992" s="10">
        <f>95.9094 * CHOOSE(CONTROL!$C$9, $D$9, 100%, $F$9) + CHOOSE(CONTROL!$C$27, 0.0021, 0)</f>
        <v>95.911500000000004</v>
      </c>
      <c r="G992" s="10">
        <f>96.1808 * CHOOSE(CONTROL!$C$9, $D$9, 100%, $F$9) + CHOOSE(CONTROL!$C$27, 0.0021, 0)</f>
        <v>96.182900000000004</v>
      </c>
      <c r="H992" s="10">
        <f>96.0461 * CHOOSE(CONTROL!$C$9, $D$9, 100%, $F$9) + CHOOSE(CONTROL!$C$27, 0.0021, 0)</f>
        <v>96.048199999999994</v>
      </c>
      <c r="I992" s="10">
        <f>96.0461 * CHOOSE(CONTROL!$C$9, $D$9, 100%, $F$9) + CHOOSE(CONTROL!$C$27, 0.0021, 0)</f>
        <v>96.048199999999994</v>
      </c>
      <c r="J992" s="10">
        <f>96.0461 * CHOOSE(CONTROL!$C$9, $D$9, 100%, $F$9) + CHOOSE(CONTROL!$C$27, 0.0021, 0)</f>
        <v>96.048199999999994</v>
      </c>
      <c r="K992" s="10">
        <f>96.0461 * CHOOSE(CONTROL!$C$9, $D$9, 100%, $F$9) + CHOOSE(CONTROL!$C$27, 0.0021, 0)</f>
        <v>96.048199999999994</v>
      </c>
      <c r="L992" s="10"/>
    </row>
    <row r="993" spans="1:12" ht="15.75" x14ac:dyDescent="0.25">
      <c r="A993" s="13">
        <v>71528</v>
      </c>
      <c r="B993" s="10">
        <f>98.8544 * CHOOSE(CONTROL!$C$9, $D$9, 100%, $F$9) + CHOOSE(CONTROL!$C$27, 0.0021, 0)</f>
        <v>98.856499999999997</v>
      </c>
      <c r="C993" s="10">
        <f>98.4222 * CHOOSE(CONTROL!$C$9, $D$9, 100%, $F$9) + CHOOSE(CONTROL!$C$27, 0.0021, 0)</f>
        <v>98.424300000000002</v>
      </c>
      <c r="D993" s="10">
        <f>98.4222 * CHOOSE(CONTROL!$C$9, $D$9, 100%, $F$9) + CHOOSE(CONTROL!$C$27, 0.0021, 0)</f>
        <v>98.424300000000002</v>
      </c>
      <c r="E993" s="10">
        <f>98.2855 * CHOOSE(CONTROL!$C$9, $D$9, 100%, $F$9) + CHOOSE(CONTROL!$C$27, 0.0021, 0)</f>
        <v>98.287599999999998</v>
      </c>
      <c r="F993" s="10">
        <f>98.2855 * CHOOSE(CONTROL!$C$9, $D$9, 100%, $F$9) + CHOOSE(CONTROL!$C$27, 0.0021, 0)</f>
        <v>98.287599999999998</v>
      </c>
      <c r="G993" s="10">
        <f>98.5569 * CHOOSE(CONTROL!$C$9, $D$9, 100%, $F$9) + CHOOSE(CONTROL!$C$27, 0.0021, 0)</f>
        <v>98.558999999999997</v>
      </c>
      <c r="H993" s="10">
        <f>98.4222 * CHOOSE(CONTROL!$C$9, $D$9, 100%, $F$9) + CHOOSE(CONTROL!$C$27, 0.0021, 0)</f>
        <v>98.424300000000002</v>
      </c>
      <c r="I993" s="10">
        <f>98.4222 * CHOOSE(CONTROL!$C$9, $D$9, 100%, $F$9) + CHOOSE(CONTROL!$C$27, 0.0021, 0)</f>
        <v>98.424300000000002</v>
      </c>
      <c r="J993" s="10">
        <f>98.4222 * CHOOSE(CONTROL!$C$9, $D$9, 100%, $F$9) + CHOOSE(CONTROL!$C$27, 0.0021, 0)</f>
        <v>98.424300000000002</v>
      </c>
      <c r="K993" s="10">
        <f>98.4222 * CHOOSE(CONTROL!$C$9, $D$9, 100%, $F$9) + CHOOSE(CONTROL!$C$27, 0.0021, 0)</f>
        <v>98.424300000000002</v>
      </c>
      <c r="L993" s="10"/>
    </row>
    <row r="994" spans="1:12" ht="15.75" x14ac:dyDescent="0.25">
      <c r="A994" s="13">
        <v>71558</v>
      </c>
      <c r="B994" s="10">
        <f>99.0775 * CHOOSE(CONTROL!$C$9, $D$9, 100%, $F$9) + CHOOSE(CONTROL!$C$27, 0.0021, 0)</f>
        <v>99.079599999999999</v>
      </c>
      <c r="C994" s="10">
        <f>98.6452 * CHOOSE(CONTROL!$C$9, $D$9, 100%, $F$9) + CHOOSE(CONTROL!$C$27, 0.0021, 0)</f>
        <v>98.647300000000001</v>
      </c>
      <c r="D994" s="10">
        <f>98.6452 * CHOOSE(CONTROL!$C$9, $D$9, 100%, $F$9) + CHOOSE(CONTROL!$C$27, 0.0021, 0)</f>
        <v>98.647300000000001</v>
      </c>
      <c r="E994" s="10">
        <f>98.5086 * CHOOSE(CONTROL!$C$9, $D$9, 100%, $F$9) + CHOOSE(CONTROL!$C$27, 0.0021, 0)</f>
        <v>98.5107</v>
      </c>
      <c r="F994" s="10">
        <f>98.5086 * CHOOSE(CONTROL!$C$9, $D$9, 100%, $F$9) + CHOOSE(CONTROL!$C$27, 0.0021, 0)</f>
        <v>98.5107</v>
      </c>
      <c r="G994" s="10">
        <f>98.78 * CHOOSE(CONTROL!$C$9, $D$9, 100%, $F$9) + CHOOSE(CONTROL!$C$27, 0.0021, 0)</f>
        <v>98.7821</v>
      </c>
      <c r="H994" s="10">
        <f>98.6452 * CHOOSE(CONTROL!$C$9, $D$9, 100%, $F$9) + CHOOSE(CONTROL!$C$27, 0.0021, 0)</f>
        <v>98.647300000000001</v>
      </c>
      <c r="I994" s="10">
        <f>98.6452 * CHOOSE(CONTROL!$C$9, $D$9, 100%, $F$9) + CHOOSE(CONTROL!$C$27, 0.0021, 0)</f>
        <v>98.647300000000001</v>
      </c>
      <c r="J994" s="10">
        <f>98.6452 * CHOOSE(CONTROL!$C$9, $D$9, 100%, $F$9) + CHOOSE(CONTROL!$C$27, 0.0021, 0)</f>
        <v>98.647300000000001</v>
      </c>
      <c r="K994" s="10">
        <f>98.6452 * CHOOSE(CONTROL!$C$9, $D$9, 100%, $F$9) + CHOOSE(CONTROL!$C$27, 0.0021, 0)</f>
        <v>98.647300000000001</v>
      </c>
      <c r="L994" s="10"/>
    </row>
    <row r="995" spans="1:12" ht="15.75" x14ac:dyDescent="0.25">
      <c r="A995" s="13">
        <v>71589</v>
      </c>
      <c r="B995" s="10">
        <f>97.1798 * CHOOSE(CONTROL!$C$9, $D$9, 100%, $F$9) + CHOOSE(CONTROL!$C$27, 0.0021, 0)</f>
        <v>97.181899999999999</v>
      </c>
      <c r="C995" s="10">
        <f>96.7475 * CHOOSE(CONTROL!$C$9, $D$9, 100%, $F$9) + CHOOSE(CONTROL!$C$27, 0.0021, 0)</f>
        <v>96.749600000000001</v>
      </c>
      <c r="D995" s="10">
        <f>96.7475 * CHOOSE(CONTROL!$C$9, $D$9, 100%, $F$9) + CHOOSE(CONTROL!$C$27, 0.0021, 0)</f>
        <v>96.749600000000001</v>
      </c>
      <c r="E995" s="10">
        <f>96.6109 * CHOOSE(CONTROL!$C$9, $D$9, 100%, $F$9) + CHOOSE(CONTROL!$C$27, 0.0021, 0)</f>
        <v>96.613</v>
      </c>
      <c r="F995" s="10">
        <f>96.6109 * CHOOSE(CONTROL!$C$9, $D$9, 100%, $F$9) + CHOOSE(CONTROL!$C$27, 0.0021, 0)</f>
        <v>96.613</v>
      </c>
      <c r="G995" s="10">
        <f>96.8822 * CHOOSE(CONTROL!$C$9, $D$9, 100%, $F$9) + CHOOSE(CONTROL!$C$27, 0.0021, 0)</f>
        <v>96.884299999999996</v>
      </c>
      <c r="H995" s="10">
        <f>96.7475 * CHOOSE(CONTROL!$C$9, $D$9, 100%, $F$9) + CHOOSE(CONTROL!$C$27, 0.0021, 0)</f>
        <v>96.749600000000001</v>
      </c>
      <c r="I995" s="10">
        <f>96.7475 * CHOOSE(CONTROL!$C$9, $D$9, 100%, $F$9) + CHOOSE(CONTROL!$C$27, 0.0021, 0)</f>
        <v>96.749600000000001</v>
      </c>
      <c r="J995" s="10">
        <f>96.7475 * CHOOSE(CONTROL!$C$9, $D$9, 100%, $F$9) + CHOOSE(CONTROL!$C$27, 0.0021, 0)</f>
        <v>96.749600000000001</v>
      </c>
      <c r="K995" s="10">
        <f>96.7475 * CHOOSE(CONTROL!$C$9, $D$9, 100%, $F$9) + CHOOSE(CONTROL!$C$27, 0.0021, 0)</f>
        <v>96.749600000000001</v>
      </c>
      <c r="L995" s="10"/>
    </row>
    <row r="996" spans="1:12" ht="15.75" x14ac:dyDescent="0.25">
      <c r="A996" s="13">
        <v>71620</v>
      </c>
      <c r="B996" s="10">
        <f>95.7268 * CHOOSE(CONTROL!$C$9, $D$9, 100%, $F$9) + CHOOSE(CONTROL!$C$27, 0.0021, 0)</f>
        <v>95.728899999999996</v>
      </c>
      <c r="C996" s="10">
        <f>95.2946 * CHOOSE(CONTROL!$C$9, $D$9, 100%, $F$9) + CHOOSE(CONTROL!$C$27, 0.0021, 0)</f>
        <v>95.296700000000001</v>
      </c>
      <c r="D996" s="10">
        <f>95.2946 * CHOOSE(CONTROL!$C$9, $D$9, 100%, $F$9) + CHOOSE(CONTROL!$C$27, 0.0021, 0)</f>
        <v>95.296700000000001</v>
      </c>
      <c r="E996" s="10">
        <f>95.1579 * CHOOSE(CONTROL!$C$9, $D$9, 100%, $F$9) + CHOOSE(CONTROL!$C$27, 0.0021, 0)</f>
        <v>95.16</v>
      </c>
      <c r="F996" s="10">
        <f>95.1579 * CHOOSE(CONTROL!$C$9, $D$9, 100%, $F$9) + CHOOSE(CONTROL!$C$27, 0.0021, 0)</f>
        <v>95.16</v>
      </c>
      <c r="G996" s="10">
        <f>95.4293 * CHOOSE(CONTROL!$C$9, $D$9, 100%, $F$9) + CHOOSE(CONTROL!$C$27, 0.0021, 0)</f>
        <v>95.431399999999996</v>
      </c>
      <c r="H996" s="10">
        <f>95.2946 * CHOOSE(CONTROL!$C$9, $D$9, 100%, $F$9) + CHOOSE(CONTROL!$C$27, 0.0021, 0)</f>
        <v>95.296700000000001</v>
      </c>
      <c r="I996" s="10">
        <f>95.2946 * CHOOSE(CONTROL!$C$9, $D$9, 100%, $F$9) + CHOOSE(CONTROL!$C$27, 0.0021, 0)</f>
        <v>95.296700000000001</v>
      </c>
      <c r="J996" s="10">
        <f>95.2946 * CHOOSE(CONTROL!$C$9, $D$9, 100%, $F$9) + CHOOSE(CONTROL!$C$27, 0.0021, 0)</f>
        <v>95.296700000000001</v>
      </c>
      <c r="K996" s="10">
        <f>95.2946 * CHOOSE(CONTROL!$C$9, $D$9, 100%, $F$9) + CHOOSE(CONTROL!$C$27, 0.0021, 0)</f>
        <v>95.296700000000001</v>
      </c>
      <c r="L996" s="10"/>
    </row>
    <row r="997" spans="1:12" ht="15.75" x14ac:dyDescent="0.25">
      <c r="A997" s="13">
        <v>71649</v>
      </c>
      <c r="B997" s="10">
        <f>93.084 * CHOOSE(CONTROL!$C$9, $D$9, 100%, $F$9) + CHOOSE(CONTROL!$C$27, 0.0021, 0)</f>
        <v>93.086100000000002</v>
      </c>
      <c r="C997" s="10">
        <f>92.6517 * CHOOSE(CONTROL!$C$9, $D$9, 100%, $F$9) + CHOOSE(CONTROL!$C$27, 0.0021, 0)</f>
        <v>92.653800000000004</v>
      </c>
      <c r="D997" s="10">
        <f>92.6517 * CHOOSE(CONTROL!$C$9, $D$9, 100%, $F$9) + CHOOSE(CONTROL!$C$27, 0.0021, 0)</f>
        <v>92.653800000000004</v>
      </c>
      <c r="E997" s="10">
        <f>92.5151 * CHOOSE(CONTROL!$C$9, $D$9, 100%, $F$9) + CHOOSE(CONTROL!$C$27, 0.0021, 0)</f>
        <v>92.517200000000003</v>
      </c>
      <c r="F997" s="10">
        <f>92.5151 * CHOOSE(CONTROL!$C$9, $D$9, 100%, $F$9) + CHOOSE(CONTROL!$C$27, 0.0021, 0)</f>
        <v>92.517200000000003</v>
      </c>
      <c r="G997" s="10">
        <f>92.7864 * CHOOSE(CONTROL!$C$9, $D$9, 100%, $F$9) + CHOOSE(CONTROL!$C$27, 0.0021, 0)</f>
        <v>92.788499999999999</v>
      </c>
      <c r="H997" s="10">
        <f>92.6517 * CHOOSE(CONTROL!$C$9, $D$9, 100%, $F$9) + CHOOSE(CONTROL!$C$27, 0.0021, 0)</f>
        <v>92.653800000000004</v>
      </c>
      <c r="I997" s="10">
        <f>92.6517 * CHOOSE(CONTROL!$C$9, $D$9, 100%, $F$9) + CHOOSE(CONTROL!$C$27, 0.0021, 0)</f>
        <v>92.653800000000004</v>
      </c>
      <c r="J997" s="10">
        <f>92.6517 * CHOOSE(CONTROL!$C$9, $D$9, 100%, $F$9) + CHOOSE(CONTROL!$C$27, 0.0021, 0)</f>
        <v>92.653800000000004</v>
      </c>
      <c r="K997" s="10">
        <f>92.6517 * CHOOSE(CONTROL!$C$9, $D$9, 100%, $F$9) + CHOOSE(CONTROL!$C$27, 0.0021, 0)</f>
        <v>92.653800000000004</v>
      </c>
      <c r="L997" s="10"/>
    </row>
    <row r="998" spans="1:12" ht="15.75" x14ac:dyDescent="0.25">
      <c r="A998" s="13">
        <v>71680</v>
      </c>
      <c r="B998" s="10">
        <f>91.993 * CHOOSE(CONTROL!$C$9, $D$9, 100%, $F$9) + CHOOSE(CONTROL!$C$27, 0.0021, 0)</f>
        <v>91.995099999999994</v>
      </c>
      <c r="C998" s="10">
        <f>91.5608 * CHOOSE(CONTROL!$C$9, $D$9, 100%, $F$9) + CHOOSE(CONTROL!$C$27, 0.0021, 0)</f>
        <v>91.562899999999999</v>
      </c>
      <c r="D998" s="10">
        <f>91.5608 * CHOOSE(CONTROL!$C$9, $D$9, 100%, $F$9) + CHOOSE(CONTROL!$C$27, 0.0021, 0)</f>
        <v>91.562899999999999</v>
      </c>
      <c r="E998" s="10">
        <f>91.4241 * CHOOSE(CONTROL!$C$9, $D$9, 100%, $F$9) + CHOOSE(CONTROL!$C$27, 0.0021, 0)</f>
        <v>91.426199999999994</v>
      </c>
      <c r="F998" s="10">
        <f>91.4241 * CHOOSE(CONTROL!$C$9, $D$9, 100%, $F$9) + CHOOSE(CONTROL!$C$27, 0.0021, 0)</f>
        <v>91.426199999999994</v>
      </c>
      <c r="G998" s="10">
        <f>91.6955 * CHOOSE(CONTROL!$C$9, $D$9, 100%, $F$9) + CHOOSE(CONTROL!$C$27, 0.0021, 0)</f>
        <v>91.697599999999994</v>
      </c>
      <c r="H998" s="10">
        <f>91.5608 * CHOOSE(CONTROL!$C$9, $D$9, 100%, $F$9) + CHOOSE(CONTROL!$C$27, 0.0021, 0)</f>
        <v>91.562899999999999</v>
      </c>
      <c r="I998" s="10">
        <f>91.5608 * CHOOSE(CONTROL!$C$9, $D$9, 100%, $F$9) + CHOOSE(CONTROL!$C$27, 0.0021, 0)</f>
        <v>91.562899999999999</v>
      </c>
      <c r="J998" s="10">
        <f>91.5608 * CHOOSE(CONTROL!$C$9, $D$9, 100%, $F$9) + CHOOSE(CONTROL!$C$27, 0.0021, 0)</f>
        <v>91.562899999999999</v>
      </c>
      <c r="K998" s="10">
        <f>91.5608 * CHOOSE(CONTROL!$C$9, $D$9, 100%, $F$9) + CHOOSE(CONTROL!$C$27, 0.0021, 0)</f>
        <v>91.562899999999999</v>
      </c>
      <c r="L998" s="10"/>
    </row>
    <row r="999" spans="1:12" ht="15.75" x14ac:dyDescent="0.25">
      <c r="A999" s="13">
        <v>71710</v>
      </c>
      <c r="B999" s="10">
        <f>90.6904 * CHOOSE(CONTROL!$C$9, $D$9, 100%, $F$9) + CHOOSE(CONTROL!$C$27, 0.0021, 0)</f>
        <v>90.692499999999995</v>
      </c>
      <c r="C999" s="10">
        <f>90.2581 * CHOOSE(CONTROL!$C$9, $D$9, 100%, $F$9) + CHOOSE(CONTROL!$C$27, 0.0021, 0)</f>
        <v>90.260199999999998</v>
      </c>
      <c r="D999" s="10">
        <f>90.2581 * CHOOSE(CONTROL!$C$9, $D$9, 100%, $F$9) + CHOOSE(CONTROL!$C$27, 0.0021, 0)</f>
        <v>90.260199999999998</v>
      </c>
      <c r="E999" s="10">
        <f>90.1215 * CHOOSE(CONTROL!$C$9, $D$9, 100%, $F$9) + CHOOSE(CONTROL!$C$27, 0.0021, 0)</f>
        <v>90.123599999999996</v>
      </c>
      <c r="F999" s="10">
        <f>90.1215 * CHOOSE(CONTROL!$C$9, $D$9, 100%, $F$9) + CHOOSE(CONTROL!$C$27, 0.0021, 0)</f>
        <v>90.123599999999996</v>
      </c>
      <c r="G999" s="10">
        <f>90.3929 * CHOOSE(CONTROL!$C$9, $D$9, 100%, $F$9) + CHOOSE(CONTROL!$C$27, 0.0021, 0)</f>
        <v>90.394999999999996</v>
      </c>
      <c r="H999" s="10">
        <f>90.2581 * CHOOSE(CONTROL!$C$9, $D$9, 100%, $F$9) + CHOOSE(CONTROL!$C$27, 0.0021, 0)</f>
        <v>90.260199999999998</v>
      </c>
      <c r="I999" s="10">
        <f>90.2581 * CHOOSE(CONTROL!$C$9, $D$9, 100%, $F$9) + CHOOSE(CONTROL!$C$27, 0.0021, 0)</f>
        <v>90.260199999999998</v>
      </c>
      <c r="J999" s="10">
        <f>90.2581 * CHOOSE(CONTROL!$C$9, $D$9, 100%, $F$9) + CHOOSE(CONTROL!$C$27, 0.0021, 0)</f>
        <v>90.260199999999998</v>
      </c>
      <c r="K999" s="10">
        <f>90.2581 * CHOOSE(CONTROL!$C$9, $D$9, 100%, $F$9) + CHOOSE(CONTROL!$C$27, 0.0021, 0)</f>
        <v>90.260199999999998</v>
      </c>
      <c r="L999" s="10"/>
    </row>
    <row r="1000" spans="1:12" ht="15.75" x14ac:dyDescent="0.25">
      <c r="A1000" s="13">
        <v>71741</v>
      </c>
      <c r="B1000" s="10">
        <f>92.5468 * CHOOSE(CONTROL!$C$9, $D$9, 100%, $F$9) + CHOOSE(CONTROL!$C$27, 0.0021, 0)</f>
        <v>92.548900000000003</v>
      </c>
      <c r="C1000" s="10">
        <f>92.1145 * CHOOSE(CONTROL!$C$9, $D$9, 100%, $F$9) + CHOOSE(CONTROL!$C$27, 0.0021, 0)</f>
        <v>92.116600000000005</v>
      </c>
      <c r="D1000" s="10">
        <f>92.1145 * CHOOSE(CONTROL!$C$9, $D$9, 100%, $F$9) + CHOOSE(CONTROL!$C$27, 0.0021, 0)</f>
        <v>92.116600000000005</v>
      </c>
      <c r="E1000" s="10">
        <f>91.9779 * CHOOSE(CONTROL!$C$9, $D$9, 100%, $F$9) + CHOOSE(CONTROL!$C$27, 0.0021, 0)</f>
        <v>91.98</v>
      </c>
      <c r="F1000" s="10">
        <f>91.9779 * CHOOSE(CONTROL!$C$9, $D$9, 100%, $F$9) + CHOOSE(CONTROL!$C$27, 0.0021, 0)</f>
        <v>91.98</v>
      </c>
      <c r="G1000" s="10">
        <f>92.2493 * CHOOSE(CONTROL!$C$9, $D$9, 100%, $F$9) + CHOOSE(CONTROL!$C$27, 0.0021, 0)</f>
        <v>92.251400000000004</v>
      </c>
      <c r="H1000" s="10">
        <f>92.1145 * CHOOSE(CONTROL!$C$9, $D$9, 100%, $F$9) + CHOOSE(CONTROL!$C$27, 0.0021, 0)</f>
        <v>92.116600000000005</v>
      </c>
      <c r="I1000" s="10">
        <f>92.1145 * CHOOSE(CONTROL!$C$9, $D$9, 100%, $F$9) + CHOOSE(CONTROL!$C$27, 0.0021, 0)</f>
        <v>92.116600000000005</v>
      </c>
      <c r="J1000" s="10">
        <f>92.1145 * CHOOSE(CONTROL!$C$9, $D$9, 100%, $F$9) + CHOOSE(CONTROL!$C$27, 0.0021, 0)</f>
        <v>92.116600000000005</v>
      </c>
      <c r="K1000" s="10">
        <f>92.1145 * CHOOSE(CONTROL!$C$9, $D$9, 100%, $F$9) + CHOOSE(CONTROL!$C$27, 0.0021, 0)</f>
        <v>92.116600000000005</v>
      </c>
      <c r="L1000" s="10"/>
    </row>
    <row r="1001" spans="1:12" ht="15.75" x14ac:dyDescent="0.25">
      <c r="A1001" s="13">
        <v>71771</v>
      </c>
      <c r="B1001" s="10">
        <f>93.6587 * CHOOSE(CONTROL!$C$9, $D$9, 100%, $F$9) + CHOOSE(CONTROL!$C$27, 0.0021, 0)</f>
        <v>93.660799999999995</v>
      </c>
      <c r="C1001" s="10">
        <f>93.2264 * CHOOSE(CONTROL!$C$9, $D$9, 100%, $F$9) + CHOOSE(CONTROL!$C$27, 0.0021, 0)</f>
        <v>93.228499999999997</v>
      </c>
      <c r="D1001" s="10">
        <f>93.2264 * CHOOSE(CONTROL!$C$9, $D$9, 100%, $F$9) + CHOOSE(CONTROL!$C$27, 0.0021, 0)</f>
        <v>93.228499999999997</v>
      </c>
      <c r="E1001" s="10">
        <f>93.0898 * CHOOSE(CONTROL!$C$9, $D$9, 100%, $F$9) + CHOOSE(CONTROL!$C$27, 0.0021, 0)</f>
        <v>93.091899999999995</v>
      </c>
      <c r="F1001" s="10">
        <f>93.0898 * CHOOSE(CONTROL!$C$9, $D$9, 100%, $F$9) + CHOOSE(CONTROL!$C$27, 0.0021, 0)</f>
        <v>93.091899999999995</v>
      </c>
      <c r="G1001" s="10">
        <f>93.3612 * CHOOSE(CONTROL!$C$9, $D$9, 100%, $F$9) + CHOOSE(CONTROL!$C$27, 0.0021, 0)</f>
        <v>93.363299999999995</v>
      </c>
      <c r="H1001" s="10">
        <f>93.2264 * CHOOSE(CONTROL!$C$9, $D$9, 100%, $F$9) + CHOOSE(CONTROL!$C$27, 0.0021, 0)</f>
        <v>93.228499999999997</v>
      </c>
      <c r="I1001" s="10">
        <f>93.2264 * CHOOSE(CONTROL!$C$9, $D$9, 100%, $F$9) + CHOOSE(CONTROL!$C$27, 0.0021, 0)</f>
        <v>93.228499999999997</v>
      </c>
      <c r="J1001" s="10">
        <f>93.2264 * CHOOSE(CONTROL!$C$9, $D$9, 100%, $F$9) + CHOOSE(CONTROL!$C$27, 0.0021, 0)</f>
        <v>93.228499999999997</v>
      </c>
      <c r="K1001" s="10">
        <f>93.2264 * CHOOSE(CONTROL!$C$9, $D$9, 100%, $F$9) + CHOOSE(CONTROL!$C$27, 0.0021, 0)</f>
        <v>93.228499999999997</v>
      </c>
      <c r="L1001" s="10"/>
    </row>
    <row r="1002" spans="1:12" ht="15.75" x14ac:dyDescent="0.25">
      <c r="A1002" s="13">
        <v>71802</v>
      </c>
      <c r="B1002" s="10">
        <f>95.4929 * CHOOSE(CONTROL!$C$9, $D$9, 100%, $F$9) + CHOOSE(CONTROL!$C$27, 0.0021, 0)</f>
        <v>95.495000000000005</v>
      </c>
      <c r="C1002" s="10">
        <f>95.0607 * CHOOSE(CONTROL!$C$9, $D$9, 100%, $F$9) + CHOOSE(CONTROL!$C$27, 0.0021, 0)</f>
        <v>95.062799999999996</v>
      </c>
      <c r="D1002" s="10">
        <f>95.0607 * CHOOSE(CONTROL!$C$9, $D$9, 100%, $F$9) + CHOOSE(CONTROL!$C$27, 0.0021, 0)</f>
        <v>95.062799999999996</v>
      </c>
      <c r="E1002" s="10">
        <f>94.924 * CHOOSE(CONTROL!$C$9, $D$9, 100%, $F$9) + CHOOSE(CONTROL!$C$27, 0.0021, 0)</f>
        <v>94.926100000000005</v>
      </c>
      <c r="F1002" s="10">
        <f>94.924 * CHOOSE(CONTROL!$C$9, $D$9, 100%, $F$9) + CHOOSE(CONTROL!$C$27, 0.0021, 0)</f>
        <v>94.926100000000005</v>
      </c>
      <c r="G1002" s="10">
        <f>95.1954 * CHOOSE(CONTROL!$C$9, $D$9, 100%, $F$9) + CHOOSE(CONTROL!$C$27, 0.0021, 0)</f>
        <v>95.197500000000005</v>
      </c>
      <c r="H1002" s="10">
        <f>95.0607 * CHOOSE(CONTROL!$C$9, $D$9, 100%, $F$9) + CHOOSE(CONTROL!$C$27, 0.0021, 0)</f>
        <v>95.062799999999996</v>
      </c>
      <c r="I1002" s="10">
        <f>95.0607 * CHOOSE(CONTROL!$C$9, $D$9, 100%, $F$9) + CHOOSE(CONTROL!$C$27, 0.0021, 0)</f>
        <v>95.062799999999996</v>
      </c>
      <c r="J1002" s="10">
        <f>95.0607 * CHOOSE(CONTROL!$C$9, $D$9, 100%, $F$9) + CHOOSE(CONTROL!$C$27, 0.0021, 0)</f>
        <v>95.062799999999996</v>
      </c>
      <c r="K1002" s="10">
        <f>95.0607 * CHOOSE(CONTROL!$C$9, $D$9, 100%, $F$9) + CHOOSE(CONTROL!$C$27, 0.0021, 0)</f>
        <v>95.062799999999996</v>
      </c>
      <c r="L1002" s="10"/>
    </row>
    <row r="1003" spans="1:12" ht="15.75" x14ac:dyDescent="0.25">
      <c r="A1003" s="13">
        <v>71833</v>
      </c>
      <c r="B1003" s="10">
        <f>96.0528 * CHOOSE(CONTROL!$C$9, $D$9, 100%, $F$9) + CHOOSE(CONTROL!$C$27, 0.0021, 0)</f>
        <v>96.054900000000004</v>
      </c>
      <c r="C1003" s="10">
        <f>95.6206 * CHOOSE(CONTROL!$C$9, $D$9, 100%, $F$9) + CHOOSE(CONTROL!$C$27, 0.0021, 0)</f>
        <v>95.622699999999995</v>
      </c>
      <c r="D1003" s="10">
        <f>95.6206 * CHOOSE(CONTROL!$C$9, $D$9, 100%, $F$9) + CHOOSE(CONTROL!$C$27, 0.0021, 0)</f>
        <v>95.622699999999995</v>
      </c>
      <c r="E1003" s="10">
        <f>95.4839 * CHOOSE(CONTROL!$C$9, $D$9, 100%, $F$9) + CHOOSE(CONTROL!$C$27, 0.0021, 0)</f>
        <v>95.486000000000004</v>
      </c>
      <c r="F1003" s="10">
        <f>95.4839 * CHOOSE(CONTROL!$C$9, $D$9, 100%, $F$9) + CHOOSE(CONTROL!$C$27, 0.0021, 0)</f>
        <v>95.486000000000004</v>
      </c>
      <c r="G1003" s="10">
        <f>95.7553 * CHOOSE(CONTROL!$C$9, $D$9, 100%, $F$9) + CHOOSE(CONTROL!$C$27, 0.0021, 0)</f>
        <v>95.757400000000004</v>
      </c>
      <c r="H1003" s="10">
        <f>95.6206 * CHOOSE(CONTROL!$C$9, $D$9, 100%, $F$9) + CHOOSE(CONTROL!$C$27, 0.0021, 0)</f>
        <v>95.622699999999995</v>
      </c>
      <c r="I1003" s="10">
        <f>95.6206 * CHOOSE(CONTROL!$C$9, $D$9, 100%, $F$9) + CHOOSE(CONTROL!$C$27, 0.0021, 0)</f>
        <v>95.622699999999995</v>
      </c>
      <c r="J1003" s="10">
        <f>95.6206 * CHOOSE(CONTROL!$C$9, $D$9, 100%, $F$9) + CHOOSE(CONTROL!$C$27, 0.0021, 0)</f>
        <v>95.622699999999995</v>
      </c>
      <c r="K1003" s="10">
        <f>95.6206 * CHOOSE(CONTROL!$C$9, $D$9, 100%, $F$9) + CHOOSE(CONTROL!$C$27, 0.0021, 0)</f>
        <v>95.622699999999995</v>
      </c>
      <c r="L1003" s="10"/>
    </row>
    <row r="1004" spans="1:12" ht="15.75" x14ac:dyDescent="0.25">
      <c r="A1004" s="13">
        <v>71863</v>
      </c>
      <c r="B1004" s="10">
        <f>97.9594 * CHOOSE(CONTROL!$C$9, $D$9, 100%, $F$9) + CHOOSE(CONTROL!$C$27, 0.0021, 0)</f>
        <v>97.961500000000001</v>
      </c>
      <c r="C1004" s="10">
        <f>97.5272 * CHOOSE(CONTROL!$C$9, $D$9, 100%, $F$9) + CHOOSE(CONTROL!$C$27, 0.0021, 0)</f>
        <v>97.529299999999992</v>
      </c>
      <c r="D1004" s="10">
        <f>97.5272 * CHOOSE(CONTROL!$C$9, $D$9, 100%, $F$9) + CHOOSE(CONTROL!$C$27, 0.0021, 0)</f>
        <v>97.529299999999992</v>
      </c>
      <c r="E1004" s="10">
        <f>97.3905 * CHOOSE(CONTROL!$C$9, $D$9, 100%, $F$9) + CHOOSE(CONTROL!$C$27, 0.0021, 0)</f>
        <v>97.392600000000002</v>
      </c>
      <c r="F1004" s="10">
        <f>97.3905 * CHOOSE(CONTROL!$C$9, $D$9, 100%, $F$9) + CHOOSE(CONTROL!$C$27, 0.0021, 0)</f>
        <v>97.392600000000002</v>
      </c>
      <c r="G1004" s="10">
        <f>97.6619 * CHOOSE(CONTROL!$C$9, $D$9, 100%, $F$9) + CHOOSE(CONTROL!$C$27, 0.0021, 0)</f>
        <v>97.664000000000001</v>
      </c>
      <c r="H1004" s="10">
        <f>97.5272 * CHOOSE(CONTROL!$C$9, $D$9, 100%, $F$9) + CHOOSE(CONTROL!$C$27, 0.0021, 0)</f>
        <v>97.529299999999992</v>
      </c>
      <c r="I1004" s="10">
        <f>97.5272 * CHOOSE(CONTROL!$C$9, $D$9, 100%, $F$9) + CHOOSE(CONTROL!$C$27, 0.0021, 0)</f>
        <v>97.529299999999992</v>
      </c>
      <c r="J1004" s="10">
        <f>97.5272 * CHOOSE(CONTROL!$C$9, $D$9, 100%, $F$9) + CHOOSE(CONTROL!$C$27, 0.0021, 0)</f>
        <v>97.529299999999992</v>
      </c>
      <c r="K1004" s="10">
        <f>97.5272 * CHOOSE(CONTROL!$C$9, $D$9, 100%, $F$9) + CHOOSE(CONTROL!$C$27, 0.0021, 0)</f>
        <v>97.529299999999992</v>
      </c>
      <c r="L1004" s="10"/>
    </row>
    <row r="1005" spans="1:12" ht="15.75" x14ac:dyDescent="0.25">
      <c r="A1005" s="13">
        <v>71894</v>
      </c>
      <c r="B1005" s="10">
        <f>100.3729 * CHOOSE(CONTROL!$C$9, $D$9, 100%, $F$9) + CHOOSE(CONTROL!$C$27, 0.0021, 0)</f>
        <v>100.375</v>
      </c>
      <c r="C1005" s="10">
        <f>99.9406 * CHOOSE(CONTROL!$C$9, $D$9, 100%, $F$9) + CHOOSE(CONTROL!$C$27, 0.0021, 0)</f>
        <v>99.942700000000002</v>
      </c>
      <c r="D1005" s="10">
        <f>99.9406 * CHOOSE(CONTROL!$C$9, $D$9, 100%, $F$9) + CHOOSE(CONTROL!$C$27, 0.0021, 0)</f>
        <v>99.942700000000002</v>
      </c>
      <c r="E1005" s="10">
        <f>99.804 * CHOOSE(CONTROL!$C$9, $D$9, 100%, $F$9) + CHOOSE(CONTROL!$C$27, 0.0021, 0)</f>
        <v>99.806100000000001</v>
      </c>
      <c r="F1005" s="10">
        <f>99.804 * CHOOSE(CONTROL!$C$9, $D$9, 100%, $F$9) + CHOOSE(CONTROL!$C$27, 0.0021, 0)</f>
        <v>99.806100000000001</v>
      </c>
      <c r="G1005" s="10">
        <f>100.0753 * CHOOSE(CONTROL!$C$9, $D$9, 100%, $F$9) + CHOOSE(CONTROL!$C$27, 0.0021, 0)</f>
        <v>100.0774</v>
      </c>
      <c r="H1005" s="10">
        <f>99.9406 * CHOOSE(CONTROL!$C$9, $D$9, 100%, $F$9) + CHOOSE(CONTROL!$C$27, 0.0021, 0)</f>
        <v>99.942700000000002</v>
      </c>
      <c r="I1005" s="10">
        <f>99.9406 * CHOOSE(CONTROL!$C$9, $D$9, 100%, $F$9) + CHOOSE(CONTROL!$C$27, 0.0021, 0)</f>
        <v>99.942700000000002</v>
      </c>
      <c r="J1005" s="10">
        <f>99.9406 * CHOOSE(CONTROL!$C$9, $D$9, 100%, $F$9) + CHOOSE(CONTROL!$C$27, 0.0021, 0)</f>
        <v>99.942700000000002</v>
      </c>
      <c r="K1005" s="10">
        <f>99.9406 * CHOOSE(CONTROL!$C$9, $D$9, 100%, $F$9) + CHOOSE(CONTROL!$C$27, 0.0021, 0)</f>
        <v>99.942700000000002</v>
      </c>
      <c r="L1005" s="10"/>
    </row>
    <row r="1006" spans="1:12" ht="15.75" x14ac:dyDescent="0.25">
      <c r="A1006" s="13">
        <v>71924</v>
      </c>
      <c r="B1006" s="10">
        <f>100.5994 * CHOOSE(CONTROL!$C$9, $D$9, 100%, $F$9) + CHOOSE(CONTROL!$C$27, 0.0021, 0)</f>
        <v>100.6015</v>
      </c>
      <c r="C1006" s="10">
        <f>100.1672 * CHOOSE(CONTROL!$C$9, $D$9, 100%, $F$9) + CHOOSE(CONTROL!$C$27, 0.0021, 0)</f>
        <v>100.16929999999999</v>
      </c>
      <c r="D1006" s="10">
        <f>100.1672 * CHOOSE(CONTROL!$C$9, $D$9, 100%, $F$9) + CHOOSE(CONTROL!$C$27, 0.0021, 0)</f>
        <v>100.16929999999999</v>
      </c>
      <c r="E1006" s="10">
        <f>100.0305 * CHOOSE(CONTROL!$C$9, $D$9, 100%, $F$9) + CHOOSE(CONTROL!$C$27, 0.0021, 0)</f>
        <v>100.0326</v>
      </c>
      <c r="F1006" s="10">
        <f>100.0305 * CHOOSE(CONTROL!$C$9, $D$9, 100%, $F$9) + CHOOSE(CONTROL!$C$27, 0.0021, 0)</f>
        <v>100.0326</v>
      </c>
      <c r="G1006" s="10">
        <f>100.3019 * CHOOSE(CONTROL!$C$9, $D$9, 100%, $F$9) + CHOOSE(CONTROL!$C$27, 0.0021, 0)</f>
        <v>100.304</v>
      </c>
      <c r="H1006" s="10">
        <f>100.1672 * CHOOSE(CONTROL!$C$9, $D$9, 100%, $F$9) + CHOOSE(CONTROL!$C$27, 0.0021, 0)</f>
        <v>100.16929999999999</v>
      </c>
      <c r="I1006" s="10">
        <f>100.1672 * CHOOSE(CONTROL!$C$9, $D$9, 100%, $F$9) + CHOOSE(CONTROL!$C$27, 0.0021, 0)</f>
        <v>100.16929999999999</v>
      </c>
      <c r="J1006" s="10">
        <f>100.1672 * CHOOSE(CONTROL!$C$9, $D$9, 100%, $F$9) + CHOOSE(CONTROL!$C$27, 0.0021, 0)</f>
        <v>100.16929999999999</v>
      </c>
      <c r="K1006" s="10">
        <f>100.1672 * CHOOSE(CONTROL!$C$9, $D$9, 100%, $F$9) + CHOOSE(CONTROL!$C$27, 0.0021, 0)</f>
        <v>100.16929999999999</v>
      </c>
      <c r="L1006" s="10"/>
    </row>
    <row r="1007" spans="1:12" ht="15.75" x14ac:dyDescent="0.25">
      <c r="A1007" s="13">
        <v>71955</v>
      </c>
      <c r="B1007" s="10">
        <f>98.6719 * CHOOSE(CONTROL!$C$9, $D$9, 100%, $F$9) + CHOOSE(CONTROL!$C$27, 0.0021, 0)</f>
        <v>98.673999999999992</v>
      </c>
      <c r="C1007" s="10">
        <f>98.2396 * CHOOSE(CONTROL!$C$9, $D$9, 100%, $F$9) + CHOOSE(CONTROL!$C$27, 0.0021, 0)</f>
        <v>98.241699999999994</v>
      </c>
      <c r="D1007" s="10">
        <f>98.2396 * CHOOSE(CONTROL!$C$9, $D$9, 100%, $F$9) + CHOOSE(CONTROL!$C$27, 0.0021, 0)</f>
        <v>98.241699999999994</v>
      </c>
      <c r="E1007" s="10">
        <f>98.103 * CHOOSE(CONTROL!$C$9, $D$9, 100%, $F$9) + CHOOSE(CONTROL!$C$27, 0.0021, 0)</f>
        <v>98.105099999999993</v>
      </c>
      <c r="F1007" s="10">
        <f>98.103 * CHOOSE(CONTROL!$C$9, $D$9, 100%, $F$9) + CHOOSE(CONTROL!$C$27, 0.0021, 0)</f>
        <v>98.105099999999993</v>
      </c>
      <c r="G1007" s="10">
        <f>98.3743 * CHOOSE(CONTROL!$C$9, $D$9, 100%, $F$9) + CHOOSE(CONTROL!$C$27, 0.0021, 0)</f>
        <v>98.376400000000004</v>
      </c>
      <c r="H1007" s="10">
        <f>98.2396 * CHOOSE(CONTROL!$C$9, $D$9, 100%, $F$9) + CHOOSE(CONTROL!$C$27, 0.0021, 0)</f>
        <v>98.241699999999994</v>
      </c>
      <c r="I1007" s="10">
        <f>98.2396 * CHOOSE(CONTROL!$C$9, $D$9, 100%, $F$9) + CHOOSE(CONTROL!$C$27, 0.0021, 0)</f>
        <v>98.241699999999994</v>
      </c>
      <c r="J1007" s="10">
        <f>98.2396 * CHOOSE(CONTROL!$C$9, $D$9, 100%, $F$9) + CHOOSE(CONTROL!$C$27, 0.0021, 0)</f>
        <v>98.241699999999994</v>
      </c>
      <c r="K1007" s="10">
        <f>98.2396 * CHOOSE(CONTROL!$C$9, $D$9, 100%, $F$9) + CHOOSE(CONTROL!$C$27, 0.0021, 0)</f>
        <v>98.241699999999994</v>
      </c>
      <c r="L1007" s="10"/>
    </row>
    <row r="1008" spans="1:12" ht="15.75" x14ac:dyDescent="0.25">
      <c r="A1008" s="13">
        <v>71986</v>
      </c>
      <c r="B1008" s="10">
        <f>97.1961 * CHOOSE(CONTROL!$C$9, $D$9, 100%, $F$9) + CHOOSE(CONTROL!$C$27, 0.0021, 0)</f>
        <v>97.1982</v>
      </c>
      <c r="C1008" s="10">
        <f>96.7638 * CHOOSE(CONTROL!$C$9, $D$9, 100%, $F$9) + CHOOSE(CONTROL!$C$27, 0.0021, 0)</f>
        <v>96.765900000000002</v>
      </c>
      <c r="D1008" s="10">
        <f>96.7638 * CHOOSE(CONTROL!$C$9, $D$9, 100%, $F$9) + CHOOSE(CONTROL!$C$27, 0.0021, 0)</f>
        <v>96.765900000000002</v>
      </c>
      <c r="E1008" s="10">
        <f>96.6271 * CHOOSE(CONTROL!$C$9, $D$9, 100%, $F$9) + CHOOSE(CONTROL!$C$27, 0.0021, 0)</f>
        <v>96.629199999999997</v>
      </c>
      <c r="F1008" s="10">
        <f>96.6271 * CHOOSE(CONTROL!$C$9, $D$9, 100%, $F$9) + CHOOSE(CONTROL!$C$27, 0.0021, 0)</f>
        <v>96.629199999999997</v>
      </c>
      <c r="G1008" s="10">
        <f>96.8985 * CHOOSE(CONTROL!$C$9, $D$9, 100%, $F$9) + CHOOSE(CONTROL!$C$27, 0.0021, 0)</f>
        <v>96.900599999999997</v>
      </c>
      <c r="H1008" s="10">
        <f>96.7638 * CHOOSE(CONTROL!$C$9, $D$9, 100%, $F$9) + CHOOSE(CONTROL!$C$27, 0.0021, 0)</f>
        <v>96.765900000000002</v>
      </c>
      <c r="I1008" s="10">
        <f>96.7638 * CHOOSE(CONTROL!$C$9, $D$9, 100%, $F$9) + CHOOSE(CONTROL!$C$27, 0.0021, 0)</f>
        <v>96.765900000000002</v>
      </c>
      <c r="J1008" s="10">
        <f>96.7638 * CHOOSE(CONTROL!$C$9, $D$9, 100%, $F$9) + CHOOSE(CONTROL!$C$27, 0.0021, 0)</f>
        <v>96.765900000000002</v>
      </c>
      <c r="K1008" s="10">
        <f>96.7638 * CHOOSE(CONTROL!$C$9, $D$9, 100%, $F$9) + CHOOSE(CONTROL!$C$27, 0.0021, 0)</f>
        <v>96.765900000000002</v>
      </c>
      <c r="L1008" s="10"/>
    </row>
    <row r="1009" spans="1:12" ht="15.75" x14ac:dyDescent="0.25">
      <c r="A1009" s="13">
        <v>72014</v>
      </c>
      <c r="B1009" s="10">
        <f>94.5117 * CHOOSE(CONTROL!$C$9, $D$9, 100%, $F$9) + CHOOSE(CONTROL!$C$27, 0.0021, 0)</f>
        <v>94.513800000000003</v>
      </c>
      <c r="C1009" s="10">
        <f>94.0794 * CHOOSE(CONTROL!$C$9, $D$9, 100%, $F$9) + CHOOSE(CONTROL!$C$27, 0.0021, 0)</f>
        <v>94.081500000000005</v>
      </c>
      <c r="D1009" s="10">
        <f>94.0794 * CHOOSE(CONTROL!$C$9, $D$9, 100%, $F$9) + CHOOSE(CONTROL!$C$27, 0.0021, 0)</f>
        <v>94.081500000000005</v>
      </c>
      <c r="E1009" s="10">
        <f>93.9428 * CHOOSE(CONTROL!$C$9, $D$9, 100%, $F$9) + CHOOSE(CONTROL!$C$27, 0.0021, 0)</f>
        <v>93.944900000000004</v>
      </c>
      <c r="F1009" s="10">
        <f>93.9428 * CHOOSE(CONTROL!$C$9, $D$9, 100%, $F$9) + CHOOSE(CONTROL!$C$27, 0.0021, 0)</f>
        <v>93.944900000000004</v>
      </c>
      <c r="G1009" s="10">
        <f>94.2141 * CHOOSE(CONTROL!$C$9, $D$9, 100%, $F$9) + CHOOSE(CONTROL!$C$27, 0.0021, 0)</f>
        <v>94.216200000000001</v>
      </c>
      <c r="H1009" s="10">
        <f>94.0794 * CHOOSE(CONTROL!$C$9, $D$9, 100%, $F$9) + CHOOSE(CONTROL!$C$27, 0.0021, 0)</f>
        <v>94.081500000000005</v>
      </c>
      <c r="I1009" s="10">
        <f>94.0794 * CHOOSE(CONTROL!$C$9, $D$9, 100%, $F$9) + CHOOSE(CONTROL!$C$27, 0.0021, 0)</f>
        <v>94.081500000000005</v>
      </c>
      <c r="J1009" s="10">
        <f>94.0794 * CHOOSE(CONTROL!$C$9, $D$9, 100%, $F$9) + CHOOSE(CONTROL!$C$27, 0.0021, 0)</f>
        <v>94.081500000000005</v>
      </c>
      <c r="K1009" s="10">
        <f>94.0794 * CHOOSE(CONTROL!$C$9, $D$9, 100%, $F$9) + CHOOSE(CONTROL!$C$27, 0.0021, 0)</f>
        <v>94.081500000000005</v>
      </c>
      <c r="L1009" s="10"/>
    </row>
    <row r="1010" spans="1:12" ht="15.75" x14ac:dyDescent="0.25">
      <c r="A1010" s="13">
        <v>72045</v>
      </c>
      <c r="B1010" s="10">
        <f>93.4036 * CHOOSE(CONTROL!$C$9, $D$9, 100%, $F$9) + CHOOSE(CONTROL!$C$27, 0.0021, 0)</f>
        <v>93.405699999999996</v>
      </c>
      <c r="C1010" s="10">
        <f>92.9713 * CHOOSE(CONTROL!$C$9, $D$9, 100%, $F$9) + CHOOSE(CONTROL!$C$27, 0.0021, 0)</f>
        <v>92.973399999999998</v>
      </c>
      <c r="D1010" s="10">
        <f>92.9713 * CHOOSE(CONTROL!$C$9, $D$9, 100%, $F$9) + CHOOSE(CONTROL!$C$27, 0.0021, 0)</f>
        <v>92.973399999999998</v>
      </c>
      <c r="E1010" s="10">
        <f>92.8346 * CHOOSE(CONTROL!$C$9, $D$9, 100%, $F$9) + CHOOSE(CONTROL!$C$27, 0.0021, 0)</f>
        <v>92.836699999999993</v>
      </c>
      <c r="F1010" s="10">
        <f>92.8346 * CHOOSE(CONTROL!$C$9, $D$9, 100%, $F$9) + CHOOSE(CONTROL!$C$27, 0.0021, 0)</f>
        <v>92.836699999999993</v>
      </c>
      <c r="G1010" s="10">
        <f>93.106 * CHOOSE(CONTROL!$C$9, $D$9, 100%, $F$9) + CHOOSE(CONTROL!$C$27, 0.0021, 0)</f>
        <v>93.108099999999993</v>
      </c>
      <c r="H1010" s="10">
        <f>92.9713 * CHOOSE(CONTROL!$C$9, $D$9, 100%, $F$9) + CHOOSE(CONTROL!$C$27, 0.0021, 0)</f>
        <v>92.973399999999998</v>
      </c>
      <c r="I1010" s="10">
        <f>92.9713 * CHOOSE(CONTROL!$C$9, $D$9, 100%, $F$9) + CHOOSE(CONTROL!$C$27, 0.0021, 0)</f>
        <v>92.973399999999998</v>
      </c>
      <c r="J1010" s="10">
        <f>92.9713 * CHOOSE(CONTROL!$C$9, $D$9, 100%, $F$9) + CHOOSE(CONTROL!$C$27, 0.0021, 0)</f>
        <v>92.973399999999998</v>
      </c>
      <c r="K1010" s="10">
        <f>92.9713 * CHOOSE(CONTROL!$C$9, $D$9, 100%, $F$9) + CHOOSE(CONTROL!$C$27, 0.0021, 0)</f>
        <v>92.973399999999998</v>
      </c>
      <c r="L1010" s="10"/>
    </row>
    <row r="1011" spans="1:12" ht="15.75" x14ac:dyDescent="0.25">
      <c r="A1011" s="13">
        <v>72075</v>
      </c>
      <c r="B1011" s="10">
        <f>92.0804 * CHOOSE(CONTROL!$C$9, $D$9, 100%, $F$9) + CHOOSE(CONTROL!$C$27, 0.0021, 0)</f>
        <v>92.082499999999996</v>
      </c>
      <c r="C1011" s="10">
        <f>91.6482 * CHOOSE(CONTROL!$C$9, $D$9, 100%, $F$9) + CHOOSE(CONTROL!$C$27, 0.0021, 0)</f>
        <v>91.650300000000001</v>
      </c>
      <c r="D1011" s="10">
        <f>91.6482 * CHOOSE(CONTROL!$C$9, $D$9, 100%, $F$9) + CHOOSE(CONTROL!$C$27, 0.0021, 0)</f>
        <v>91.650300000000001</v>
      </c>
      <c r="E1011" s="10">
        <f>91.5115 * CHOOSE(CONTROL!$C$9, $D$9, 100%, $F$9) + CHOOSE(CONTROL!$C$27, 0.0021, 0)</f>
        <v>91.513599999999997</v>
      </c>
      <c r="F1011" s="10">
        <f>91.5115 * CHOOSE(CONTROL!$C$9, $D$9, 100%, $F$9) + CHOOSE(CONTROL!$C$27, 0.0021, 0)</f>
        <v>91.513599999999997</v>
      </c>
      <c r="G1011" s="10">
        <f>91.7829 * CHOOSE(CONTROL!$C$9, $D$9, 100%, $F$9) + CHOOSE(CONTROL!$C$27, 0.0021, 0)</f>
        <v>91.784999999999997</v>
      </c>
      <c r="H1011" s="10">
        <f>91.6482 * CHOOSE(CONTROL!$C$9, $D$9, 100%, $F$9) + CHOOSE(CONTROL!$C$27, 0.0021, 0)</f>
        <v>91.650300000000001</v>
      </c>
      <c r="I1011" s="10">
        <f>91.6482 * CHOOSE(CONTROL!$C$9, $D$9, 100%, $F$9) + CHOOSE(CONTROL!$C$27, 0.0021, 0)</f>
        <v>91.650300000000001</v>
      </c>
      <c r="J1011" s="10">
        <f>91.6482 * CHOOSE(CONTROL!$C$9, $D$9, 100%, $F$9) + CHOOSE(CONTROL!$C$27, 0.0021, 0)</f>
        <v>91.650300000000001</v>
      </c>
      <c r="K1011" s="10">
        <f>91.6482 * CHOOSE(CONTROL!$C$9, $D$9, 100%, $F$9) + CHOOSE(CONTROL!$C$27, 0.0021, 0)</f>
        <v>91.650300000000001</v>
      </c>
      <c r="L1011" s="10"/>
    </row>
    <row r="1012" spans="1:12" ht="15.75" x14ac:dyDescent="0.25">
      <c r="A1012" s="13">
        <v>72106</v>
      </c>
      <c r="B1012" s="10">
        <f>93.966 * CHOOSE(CONTROL!$C$9, $D$9, 100%, $F$9) + CHOOSE(CONTROL!$C$27, 0.0021, 0)</f>
        <v>93.968099999999993</v>
      </c>
      <c r="C1012" s="10">
        <f>93.5338 * CHOOSE(CONTROL!$C$9, $D$9, 100%, $F$9) + CHOOSE(CONTROL!$C$27, 0.0021, 0)</f>
        <v>93.535899999999998</v>
      </c>
      <c r="D1012" s="10">
        <f>93.5338 * CHOOSE(CONTROL!$C$9, $D$9, 100%, $F$9) + CHOOSE(CONTROL!$C$27, 0.0021, 0)</f>
        <v>93.535899999999998</v>
      </c>
      <c r="E1012" s="10">
        <f>93.3971 * CHOOSE(CONTROL!$C$9, $D$9, 100%, $F$9) + CHOOSE(CONTROL!$C$27, 0.0021, 0)</f>
        <v>93.399199999999993</v>
      </c>
      <c r="F1012" s="10">
        <f>93.3971 * CHOOSE(CONTROL!$C$9, $D$9, 100%, $F$9) + CHOOSE(CONTROL!$C$27, 0.0021, 0)</f>
        <v>93.399199999999993</v>
      </c>
      <c r="G1012" s="10">
        <f>93.6685 * CHOOSE(CONTROL!$C$9, $D$9, 100%, $F$9) + CHOOSE(CONTROL!$C$27, 0.0021, 0)</f>
        <v>93.670599999999993</v>
      </c>
      <c r="H1012" s="10">
        <f>93.5338 * CHOOSE(CONTROL!$C$9, $D$9, 100%, $F$9) + CHOOSE(CONTROL!$C$27, 0.0021, 0)</f>
        <v>93.535899999999998</v>
      </c>
      <c r="I1012" s="10">
        <f>93.5338 * CHOOSE(CONTROL!$C$9, $D$9, 100%, $F$9) + CHOOSE(CONTROL!$C$27, 0.0021, 0)</f>
        <v>93.535899999999998</v>
      </c>
      <c r="J1012" s="10">
        <f>93.5338 * CHOOSE(CONTROL!$C$9, $D$9, 100%, $F$9) + CHOOSE(CONTROL!$C$27, 0.0021, 0)</f>
        <v>93.535899999999998</v>
      </c>
      <c r="K1012" s="10">
        <f>93.5338 * CHOOSE(CONTROL!$C$9, $D$9, 100%, $F$9) + CHOOSE(CONTROL!$C$27, 0.0021, 0)</f>
        <v>93.535899999999998</v>
      </c>
      <c r="L1012" s="10"/>
    </row>
    <row r="1013" spans="1:12" ht="15.75" x14ac:dyDescent="0.25">
      <c r="A1013" s="13">
        <v>72136</v>
      </c>
      <c r="B1013" s="10">
        <f>95.0954 * CHOOSE(CONTROL!$C$9, $D$9, 100%, $F$9) + CHOOSE(CONTROL!$C$27, 0.0021, 0)</f>
        <v>95.097499999999997</v>
      </c>
      <c r="C1013" s="10">
        <f>94.6632 * CHOOSE(CONTROL!$C$9, $D$9, 100%, $F$9) + CHOOSE(CONTROL!$C$27, 0.0021, 0)</f>
        <v>94.665300000000002</v>
      </c>
      <c r="D1013" s="10">
        <f>94.6632 * CHOOSE(CONTROL!$C$9, $D$9, 100%, $F$9) + CHOOSE(CONTROL!$C$27, 0.0021, 0)</f>
        <v>94.665300000000002</v>
      </c>
      <c r="E1013" s="10">
        <f>94.5265 * CHOOSE(CONTROL!$C$9, $D$9, 100%, $F$9) + CHOOSE(CONTROL!$C$27, 0.0021, 0)</f>
        <v>94.528599999999997</v>
      </c>
      <c r="F1013" s="10">
        <f>94.5265 * CHOOSE(CONTROL!$C$9, $D$9, 100%, $F$9) + CHOOSE(CONTROL!$C$27, 0.0021, 0)</f>
        <v>94.528599999999997</v>
      </c>
      <c r="G1013" s="10">
        <f>94.7979 * CHOOSE(CONTROL!$C$9, $D$9, 100%, $F$9) + CHOOSE(CONTROL!$C$27, 0.0021, 0)</f>
        <v>94.8</v>
      </c>
      <c r="H1013" s="10">
        <f>94.6632 * CHOOSE(CONTROL!$C$9, $D$9, 100%, $F$9) + CHOOSE(CONTROL!$C$27, 0.0021, 0)</f>
        <v>94.665300000000002</v>
      </c>
      <c r="I1013" s="10">
        <f>94.6632 * CHOOSE(CONTROL!$C$9, $D$9, 100%, $F$9) + CHOOSE(CONTROL!$C$27, 0.0021, 0)</f>
        <v>94.665300000000002</v>
      </c>
      <c r="J1013" s="10">
        <f>94.6632 * CHOOSE(CONTROL!$C$9, $D$9, 100%, $F$9) + CHOOSE(CONTROL!$C$27, 0.0021, 0)</f>
        <v>94.665300000000002</v>
      </c>
      <c r="K1013" s="10">
        <f>94.6632 * CHOOSE(CONTROL!$C$9, $D$9, 100%, $F$9) + CHOOSE(CONTROL!$C$27, 0.0021, 0)</f>
        <v>94.665300000000002</v>
      </c>
      <c r="L1013" s="10"/>
    </row>
    <row r="1014" spans="1:12" ht="15.75" x14ac:dyDescent="0.25">
      <c r="A1014" s="13">
        <v>72167</v>
      </c>
      <c r="B1014" s="10">
        <f>96.9585 * CHOOSE(CONTROL!$C$9, $D$9, 100%, $F$9) + CHOOSE(CONTROL!$C$27, 0.0021, 0)</f>
        <v>96.960599999999999</v>
      </c>
      <c r="C1014" s="10">
        <f>96.5263 * CHOOSE(CONTROL!$C$9, $D$9, 100%, $F$9) + CHOOSE(CONTROL!$C$27, 0.0021, 0)</f>
        <v>96.528400000000005</v>
      </c>
      <c r="D1014" s="10">
        <f>96.5263 * CHOOSE(CONTROL!$C$9, $D$9, 100%, $F$9) + CHOOSE(CONTROL!$C$27, 0.0021, 0)</f>
        <v>96.528400000000005</v>
      </c>
      <c r="E1014" s="10">
        <f>96.3896 * CHOOSE(CONTROL!$C$9, $D$9, 100%, $F$9) + CHOOSE(CONTROL!$C$27, 0.0021, 0)</f>
        <v>96.3917</v>
      </c>
      <c r="F1014" s="10">
        <f>96.3896 * CHOOSE(CONTROL!$C$9, $D$9, 100%, $F$9) + CHOOSE(CONTROL!$C$27, 0.0021, 0)</f>
        <v>96.3917</v>
      </c>
      <c r="G1014" s="10">
        <f>96.661 * CHOOSE(CONTROL!$C$9, $D$9, 100%, $F$9) + CHOOSE(CONTROL!$C$27, 0.0021, 0)</f>
        <v>96.6631</v>
      </c>
      <c r="H1014" s="10">
        <f>96.5263 * CHOOSE(CONTROL!$C$9, $D$9, 100%, $F$9) + CHOOSE(CONTROL!$C$27, 0.0021, 0)</f>
        <v>96.528400000000005</v>
      </c>
      <c r="I1014" s="10">
        <f>96.5263 * CHOOSE(CONTROL!$C$9, $D$9, 100%, $F$9) + CHOOSE(CONTROL!$C$27, 0.0021, 0)</f>
        <v>96.528400000000005</v>
      </c>
      <c r="J1014" s="10">
        <f>96.5263 * CHOOSE(CONTROL!$C$9, $D$9, 100%, $F$9) + CHOOSE(CONTROL!$C$27, 0.0021, 0)</f>
        <v>96.528400000000005</v>
      </c>
      <c r="K1014" s="10">
        <f>96.5263 * CHOOSE(CONTROL!$C$9, $D$9, 100%, $F$9) + CHOOSE(CONTROL!$C$27, 0.0021, 0)</f>
        <v>96.528400000000005</v>
      </c>
      <c r="L1014" s="10"/>
    </row>
    <row r="1015" spans="1:12" ht="15.75" x14ac:dyDescent="0.25">
      <c r="A1015" s="13">
        <v>72198</v>
      </c>
      <c r="B1015" s="10">
        <f>97.5272 * CHOOSE(CONTROL!$C$9, $D$9, 100%, $F$9) + CHOOSE(CONTROL!$C$27, 0.0021, 0)</f>
        <v>97.529299999999992</v>
      </c>
      <c r="C1015" s="10">
        <f>97.0949 * CHOOSE(CONTROL!$C$9, $D$9, 100%, $F$9) + CHOOSE(CONTROL!$C$27, 0.0021, 0)</f>
        <v>97.096999999999994</v>
      </c>
      <c r="D1015" s="10">
        <f>97.0949 * CHOOSE(CONTROL!$C$9, $D$9, 100%, $F$9) + CHOOSE(CONTROL!$C$27, 0.0021, 0)</f>
        <v>97.096999999999994</v>
      </c>
      <c r="E1015" s="10">
        <f>96.9583 * CHOOSE(CONTROL!$C$9, $D$9, 100%, $F$9) + CHOOSE(CONTROL!$C$27, 0.0021, 0)</f>
        <v>96.960399999999993</v>
      </c>
      <c r="F1015" s="10">
        <f>96.9583 * CHOOSE(CONTROL!$C$9, $D$9, 100%, $F$9) + CHOOSE(CONTROL!$C$27, 0.0021, 0)</f>
        <v>96.960399999999993</v>
      </c>
      <c r="G1015" s="10">
        <f>97.2296 * CHOOSE(CONTROL!$C$9, $D$9, 100%, $F$9) + CHOOSE(CONTROL!$C$27, 0.0021, 0)</f>
        <v>97.231700000000004</v>
      </c>
      <c r="H1015" s="10">
        <f>97.0949 * CHOOSE(CONTROL!$C$9, $D$9, 100%, $F$9) + CHOOSE(CONTROL!$C$27, 0.0021, 0)</f>
        <v>97.096999999999994</v>
      </c>
      <c r="I1015" s="10">
        <f>97.0949 * CHOOSE(CONTROL!$C$9, $D$9, 100%, $F$9) + CHOOSE(CONTROL!$C$27, 0.0021, 0)</f>
        <v>97.096999999999994</v>
      </c>
      <c r="J1015" s="10">
        <f>97.0949 * CHOOSE(CONTROL!$C$9, $D$9, 100%, $F$9) + CHOOSE(CONTROL!$C$27, 0.0021, 0)</f>
        <v>97.096999999999994</v>
      </c>
      <c r="K1015" s="10">
        <f>97.0949 * CHOOSE(CONTROL!$C$9, $D$9, 100%, $F$9) + CHOOSE(CONTROL!$C$27, 0.0021, 0)</f>
        <v>97.096999999999994</v>
      </c>
      <c r="L1015" s="10"/>
    </row>
    <row r="1016" spans="1:12" ht="15.75" x14ac:dyDescent="0.25">
      <c r="A1016" s="13">
        <v>72228</v>
      </c>
      <c r="B1016" s="10">
        <f>99.4638 * CHOOSE(CONTROL!$C$9, $D$9, 100%, $F$9) + CHOOSE(CONTROL!$C$27, 0.0021, 0)</f>
        <v>99.465900000000005</v>
      </c>
      <c r="C1016" s="10">
        <f>99.0315 * CHOOSE(CONTROL!$C$9, $D$9, 100%, $F$9) + CHOOSE(CONTROL!$C$27, 0.0021, 0)</f>
        <v>99.033599999999993</v>
      </c>
      <c r="D1016" s="10">
        <f>99.0315 * CHOOSE(CONTROL!$C$9, $D$9, 100%, $F$9) + CHOOSE(CONTROL!$C$27, 0.0021, 0)</f>
        <v>99.033599999999993</v>
      </c>
      <c r="E1016" s="10">
        <f>98.8949 * CHOOSE(CONTROL!$C$9, $D$9, 100%, $F$9) + CHOOSE(CONTROL!$C$27, 0.0021, 0)</f>
        <v>98.897000000000006</v>
      </c>
      <c r="F1016" s="10">
        <f>98.8949 * CHOOSE(CONTROL!$C$9, $D$9, 100%, $F$9) + CHOOSE(CONTROL!$C$27, 0.0021, 0)</f>
        <v>98.897000000000006</v>
      </c>
      <c r="G1016" s="10">
        <f>99.1662 * CHOOSE(CONTROL!$C$9, $D$9, 100%, $F$9) + CHOOSE(CONTROL!$C$27, 0.0021, 0)</f>
        <v>99.168300000000002</v>
      </c>
      <c r="H1016" s="10">
        <f>99.0315 * CHOOSE(CONTROL!$C$9, $D$9, 100%, $F$9) + CHOOSE(CONTROL!$C$27, 0.0021, 0)</f>
        <v>99.033599999999993</v>
      </c>
      <c r="I1016" s="10">
        <f>99.0315 * CHOOSE(CONTROL!$C$9, $D$9, 100%, $F$9) + CHOOSE(CONTROL!$C$27, 0.0021, 0)</f>
        <v>99.033599999999993</v>
      </c>
      <c r="J1016" s="10">
        <f>99.0315 * CHOOSE(CONTROL!$C$9, $D$9, 100%, $F$9) + CHOOSE(CONTROL!$C$27, 0.0021, 0)</f>
        <v>99.033599999999993</v>
      </c>
      <c r="K1016" s="10">
        <f>99.0315 * CHOOSE(CONTROL!$C$9, $D$9, 100%, $F$9) + CHOOSE(CONTROL!$C$27, 0.0021, 0)</f>
        <v>99.033599999999993</v>
      </c>
      <c r="L1016" s="10"/>
    </row>
    <row r="1017" spans="1:12" ht="15.75" x14ac:dyDescent="0.25">
      <c r="A1017" s="13">
        <v>72259</v>
      </c>
      <c r="B1017" s="10">
        <f>101.9152 * CHOOSE(CONTROL!$C$9, $D$9, 100%, $F$9) + CHOOSE(CONTROL!$C$27, 0.0021, 0)</f>
        <v>101.9173</v>
      </c>
      <c r="C1017" s="10">
        <f>101.4829 * CHOOSE(CONTROL!$C$9, $D$9, 100%, $F$9) + CHOOSE(CONTROL!$C$27, 0.0021, 0)</f>
        <v>101.485</v>
      </c>
      <c r="D1017" s="10">
        <f>101.4829 * CHOOSE(CONTROL!$C$9, $D$9, 100%, $F$9) + CHOOSE(CONTROL!$C$27, 0.0021, 0)</f>
        <v>101.485</v>
      </c>
      <c r="E1017" s="10">
        <f>101.3463 * CHOOSE(CONTROL!$C$9, $D$9, 100%, $F$9) + CHOOSE(CONTROL!$C$27, 0.0021, 0)</f>
        <v>101.3484</v>
      </c>
      <c r="F1017" s="10">
        <f>101.3463 * CHOOSE(CONTROL!$C$9, $D$9, 100%, $F$9) + CHOOSE(CONTROL!$C$27, 0.0021, 0)</f>
        <v>101.3484</v>
      </c>
      <c r="G1017" s="10">
        <f>101.6176 * CHOOSE(CONTROL!$C$9, $D$9, 100%, $F$9) + CHOOSE(CONTROL!$C$27, 0.0021, 0)</f>
        <v>101.61969999999999</v>
      </c>
      <c r="H1017" s="10">
        <f>101.4829 * CHOOSE(CONTROL!$C$9, $D$9, 100%, $F$9) + CHOOSE(CONTROL!$C$27, 0.0021, 0)</f>
        <v>101.485</v>
      </c>
      <c r="I1017" s="10">
        <f>101.4829 * CHOOSE(CONTROL!$C$9, $D$9, 100%, $F$9) + CHOOSE(CONTROL!$C$27, 0.0021, 0)</f>
        <v>101.485</v>
      </c>
      <c r="J1017" s="10">
        <f>101.4829 * CHOOSE(CONTROL!$C$9, $D$9, 100%, $F$9) + CHOOSE(CONTROL!$C$27, 0.0021, 0)</f>
        <v>101.485</v>
      </c>
      <c r="K1017" s="10">
        <f>101.4829 * CHOOSE(CONTROL!$C$9, $D$9, 100%, $F$9) + CHOOSE(CONTROL!$C$27, 0.0021, 0)</f>
        <v>101.485</v>
      </c>
      <c r="L1017" s="10"/>
    </row>
    <row r="1018" spans="1:12" ht="15.75" x14ac:dyDescent="0.25">
      <c r="A1018" s="13">
        <v>72289</v>
      </c>
      <c r="B1018" s="10">
        <f>102.1453 * CHOOSE(CONTROL!$C$9, $D$9, 100%, $F$9) + CHOOSE(CONTROL!$C$27, 0.0021, 0)</f>
        <v>102.1474</v>
      </c>
      <c r="C1018" s="10">
        <f>101.7131 * CHOOSE(CONTROL!$C$9, $D$9, 100%, $F$9) + CHOOSE(CONTROL!$C$27, 0.0021, 0)</f>
        <v>101.7152</v>
      </c>
      <c r="D1018" s="10">
        <f>101.7131 * CHOOSE(CONTROL!$C$9, $D$9, 100%, $F$9) + CHOOSE(CONTROL!$C$27, 0.0021, 0)</f>
        <v>101.7152</v>
      </c>
      <c r="E1018" s="10">
        <f>101.5764 * CHOOSE(CONTROL!$C$9, $D$9, 100%, $F$9) + CHOOSE(CONTROL!$C$27, 0.0021, 0)</f>
        <v>101.57850000000001</v>
      </c>
      <c r="F1018" s="10">
        <f>101.5764 * CHOOSE(CONTROL!$C$9, $D$9, 100%, $F$9) + CHOOSE(CONTROL!$C$27, 0.0021, 0)</f>
        <v>101.57850000000001</v>
      </c>
      <c r="G1018" s="10">
        <f>101.8478 * CHOOSE(CONTROL!$C$9, $D$9, 100%, $F$9) + CHOOSE(CONTROL!$C$27, 0.0021, 0)</f>
        <v>101.84990000000001</v>
      </c>
      <c r="H1018" s="10">
        <f>101.7131 * CHOOSE(CONTROL!$C$9, $D$9, 100%, $F$9) + CHOOSE(CONTROL!$C$27, 0.0021, 0)</f>
        <v>101.7152</v>
      </c>
      <c r="I1018" s="10">
        <f>101.7131 * CHOOSE(CONTROL!$C$9, $D$9, 100%, $F$9) + CHOOSE(CONTROL!$C$27, 0.0021, 0)</f>
        <v>101.7152</v>
      </c>
      <c r="J1018" s="10">
        <f>101.7131 * CHOOSE(CONTROL!$C$9, $D$9, 100%, $F$9) + CHOOSE(CONTROL!$C$27, 0.0021, 0)</f>
        <v>101.7152</v>
      </c>
      <c r="K1018" s="10">
        <f>101.7131 * CHOOSE(CONTROL!$C$9, $D$9, 100%, $F$9) + CHOOSE(CONTROL!$C$27, 0.0021, 0)</f>
        <v>101.7152</v>
      </c>
      <c r="L1018" s="10"/>
    </row>
    <row r="1019" spans="1:12" ht="15.75" x14ac:dyDescent="0.25">
      <c r="A1019" s="13">
        <v>72320</v>
      </c>
      <c r="B1019" s="10">
        <f>100.1874 * CHOOSE(CONTROL!$C$9, $D$9, 100%, $F$9) + CHOOSE(CONTROL!$C$27, 0.0021, 0)</f>
        <v>100.1895</v>
      </c>
      <c r="C1019" s="10">
        <f>99.7552 * CHOOSE(CONTROL!$C$9, $D$9, 100%, $F$9) + CHOOSE(CONTROL!$C$27, 0.0021, 0)</f>
        <v>99.757300000000001</v>
      </c>
      <c r="D1019" s="10">
        <f>99.7552 * CHOOSE(CONTROL!$C$9, $D$9, 100%, $F$9) + CHOOSE(CONTROL!$C$27, 0.0021, 0)</f>
        <v>99.757300000000001</v>
      </c>
      <c r="E1019" s="10">
        <f>99.6185 * CHOOSE(CONTROL!$C$9, $D$9, 100%, $F$9) + CHOOSE(CONTROL!$C$27, 0.0021, 0)</f>
        <v>99.620599999999996</v>
      </c>
      <c r="F1019" s="10">
        <f>99.6185 * CHOOSE(CONTROL!$C$9, $D$9, 100%, $F$9) + CHOOSE(CONTROL!$C$27, 0.0021, 0)</f>
        <v>99.620599999999996</v>
      </c>
      <c r="G1019" s="10">
        <f>99.8899 * CHOOSE(CONTROL!$C$9, $D$9, 100%, $F$9) + CHOOSE(CONTROL!$C$27, 0.0021, 0)</f>
        <v>99.891999999999996</v>
      </c>
      <c r="H1019" s="10">
        <f>99.7552 * CHOOSE(CONTROL!$C$9, $D$9, 100%, $F$9) + CHOOSE(CONTROL!$C$27, 0.0021, 0)</f>
        <v>99.757300000000001</v>
      </c>
      <c r="I1019" s="10">
        <f>99.7552 * CHOOSE(CONTROL!$C$9, $D$9, 100%, $F$9) + CHOOSE(CONTROL!$C$27, 0.0021, 0)</f>
        <v>99.757300000000001</v>
      </c>
      <c r="J1019" s="10">
        <f>99.7552 * CHOOSE(CONTROL!$C$9, $D$9, 100%, $F$9) + CHOOSE(CONTROL!$C$27, 0.0021, 0)</f>
        <v>99.757300000000001</v>
      </c>
      <c r="K1019" s="10">
        <f>99.7552 * CHOOSE(CONTROL!$C$9, $D$9, 100%, $F$9) + CHOOSE(CONTROL!$C$27, 0.0021, 0)</f>
        <v>99.757300000000001</v>
      </c>
      <c r="L1019" s="10"/>
    </row>
    <row r="1020" spans="1:12" ht="15.75" x14ac:dyDescent="0.25">
      <c r="A1020" s="13">
        <v>72351</v>
      </c>
      <c r="B1020" s="10">
        <f>98.6884 * CHOOSE(CONTROL!$C$9, $D$9, 100%, $F$9) + CHOOSE(CONTROL!$C$27, 0.0021, 0)</f>
        <v>98.6905</v>
      </c>
      <c r="C1020" s="10">
        <f>98.2562 * CHOOSE(CONTROL!$C$9, $D$9, 100%, $F$9) + CHOOSE(CONTROL!$C$27, 0.0021, 0)</f>
        <v>98.258300000000006</v>
      </c>
      <c r="D1020" s="10">
        <f>98.2562 * CHOOSE(CONTROL!$C$9, $D$9, 100%, $F$9) + CHOOSE(CONTROL!$C$27, 0.0021, 0)</f>
        <v>98.258300000000006</v>
      </c>
      <c r="E1020" s="10">
        <f>98.1195 * CHOOSE(CONTROL!$C$9, $D$9, 100%, $F$9) + CHOOSE(CONTROL!$C$27, 0.0021, 0)</f>
        <v>98.121600000000001</v>
      </c>
      <c r="F1020" s="10">
        <f>98.1195 * CHOOSE(CONTROL!$C$9, $D$9, 100%, $F$9) + CHOOSE(CONTROL!$C$27, 0.0021, 0)</f>
        <v>98.121600000000001</v>
      </c>
      <c r="G1020" s="10">
        <f>98.3909 * CHOOSE(CONTROL!$C$9, $D$9, 100%, $F$9) + CHOOSE(CONTROL!$C$27, 0.0021, 0)</f>
        <v>98.393000000000001</v>
      </c>
      <c r="H1020" s="10">
        <f>98.2562 * CHOOSE(CONTROL!$C$9, $D$9, 100%, $F$9) + CHOOSE(CONTROL!$C$27, 0.0021, 0)</f>
        <v>98.258300000000006</v>
      </c>
      <c r="I1020" s="10">
        <f>98.2562 * CHOOSE(CONTROL!$C$9, $D$9, 100%, $F$9) + CHOOSE(CONTROL!$C$27, 0.0021, 0)</f>
        <v>98.258300000000006</v>
      </c>
      <c r="J1020" s="10">
        <f>98.2562 * CHOOSE(CONTROL!$C$9, $D$9, 100%, $F$9) + CHOOSE(CONTROL!$C$27, 0.0021, 0)</f>
        <v>98.258300000000006</v>
      </c>
      <c r="K1020" s="10">
        <f>98.2562 * CHOOSE(CONTROL!$C$9, $D$9, 100%, $F$9) + CHOOSE(CONTROL!$C$27, 0.0021, 0)</f>
        <v>98.258300000000006</v>
      </c>
      <c r="L1020" s="10"/>
    </row>
    <row r="1021" spans="1:12" ht="15.75" x14ac:dyDescent="0.25">
      <c r="A1021" s="13">
        <v>72379</v>
      </c>
      <c r="B1021" s="10">
        <f>95.9618 * CHOOSE(CONTROL!$C$9, $D$9, 100%, $F$9) + CHOOSE(CONTROL!$C$27, 0.0021, 0)</f>
        <v>95.963899999999995</v>
      </c>
      <c r="C1021" s="10">
        <f>95.5296 * CHOOSE(CONTROL!$C$9, $D$9, 100%, $F$9) + CHOOSE(CONTROL!$C$27, 0.0021, 0)</f>
        <v>95.531700000000001</v>
      </c>
      <c r="D1021" s="10">
        <f>95.5296 * CHOOSE(CONTROL!$C$9, $D$9, 100%, $F$9) + CHOOSE(CONTROL!$C$27, 0.0021, 0)</f>
        <v>95.531700000000001</v>
      </c>
      <c r="E1021" s="10">
        <f>95.3929 * CHOOSE(CONTROL!$C$9, $D$9, 100%, $F$9) + CHOOSE(CONTROL!$C$27, 0.0021, 0)</f>
        <v>95.394999999999996</v>
      </c>
      <c r="F1021" s="10">
        <f>95.3929 * CHOOSE(CONTROL!$C$9, $D$9, 100%, $F$9) + CHOOSE(CONTROL!$C$27, 0.0021, 0)</f>
        <v>95.394999999999996</v>
      </c>
      <c r="G1021" s="10">
        <f>95.6643 * CHOOSE(CONTROL!$C$9, $D$9, 100%, $F$9) + CHOOSE(CONTROL!$C$27, 0.0021, 0)</f>
        <v>95.666399999999996</v>
      </c>
      <c r="H1021" s="10">
        <f>95.5296 * CHOOSE(CONTROL!$C$9, $D$9, 100%, $F$9) + CHOOSE(CONTROL!$C$27, 0.0021, 0)</f>
        <v>95.531700000000001</v>
      </c>
      <c r="I1021" s="10">
        <f>95.5296 * CHOOSE(CONTROL!$C$9, $D$9, 100%, $F$9) + CHOOSE(CONTROL!$C$27, 0.0021, 0)</f>
        <v>95.531700000000001</v>
      </c>
      <c r="J1021" s="10">
        <f>95.5296 * CHOOSE(CONTROL!$C$9, $D$9, 100%, $F$9) + CHOOSE(CONTROL!$C$27, 0.0021, 0)</f>
        <v>95.531700000000001</v>
      </c>
      <c r="K1021" s="10">
        <f>95.5296 * CHOOSE(CONTROL!$C$9, $D$9, 100%, $F$9) + CHOOSE(CONTROL!$C$27, 0.0021, 0)</f>
        <v>95.531700000000001</v>
      </c>
      <c r="L1021" s="10"/>
    </row>
    <row r="1022" spans="1:12" ht="15.75" x14ac:dyDescent="0.25">
      <c r="A1022" s="13">
        <v>72410</v>
      </c>
      <c r="B1022" s="10">
        <f>94.8363 * CHOOSE(CONTROL!$C$9, $D$9, 100%, $F$9) + CHOOSE(CONTROL!$C$27, 0.0021, 0)</f>
        <v>94.838399999999993</v>
      </c>
      <c r="C1022" s="10">
        <f>94.404 * CHOOSE(CONTROL!$C$9, $D$9, 100%, $F$9) + CHOOSE(CONTROL!$C$27, 0.0021, 0)</f>
        <v>94.406099999999995</v>
      </c>
      <c r="D1022" s="10">
        <f>94.404 * CHOOSE(CONTROL!$C$9, $D$9, 100%, $F$9) + CHOOSE(CONTROL!$C$27, 0.0021, 0)</f>
        <v>94.406099999999995</v>
      </c>
      <c r="E1022" s="10">
        <f>94.2674 * CHOOSE(CONTROL!$C$9, $D$9, 100%, $F$9) + CHOOSE(CONTROL!$C$27, 0.0021, 0)</f>
        <v>94.269499999999994</v>
      </c>
      <c r="F1022" s="10">
        <f>94.2674 * CHOOSE(CONTROL!$C$9, $D$9, 100%, $F$9) + CHOOSE(CONTROL!$C$27, 0.0021, 0)</f>
        <v>94.269499999999994</v>
      </c>
      <c r="G1022" s="10">
        <f>94.5387 * CHOOSE(CONTROL!$C$9, $D$9, 100%, $F$9) + CHOOSE(CONTROL!$C$27, 0.0021, 0)</f>
        <v>94.540800000000004</v>
      </c>
      <c r="H1022" s="10">
        <f>94.404 * CHOOSE(CONTROL!$C$9, $D$9, 100%, $F$9) + CHOOSE(CONTROL!$C$27, 0.0021, 0)</f>
        <v>94.406099999999995</v>
      </c>
      <c r="I1022" s="10">
        <f>94.404 * CHOOSE(CONTROL!$C$9, $D$9, 100%, $F$9) + CHOOSE(CONTROL!$C$27, 0.0021, 0)</f>
        <v>94.406099999999995</v>
      </c>
      <c r="J1022" s="10">
        <f>94.404 * CHOOSE(CONTROL!$C$9, $D$9, 100%, $F$9) + CHOOSE(CONTROL!$C$27, 0.0021, 0)</f>
        <v>94.406099999999995</v>
      </c>
      <c r="K1022" s="10">
        <f>94.404 * CHOOSE(CONTROL!$C$9, $D$9, 100%, $F$9) + CHOOSE(CONTROL!$C$27, 0.0021, 0)</f>
        <v>94.406099999999995</v>
      </c>
      <c r="L1022" s="10"/>
    </row>
    <row r="1023" spans="1:12" ht="15.75" x14ac:dyDescent="0.25">
      <c r="A1023" s="13">
        <v>72440</v>
      </c>
      <c r="B1023" s="10">
        <f>93.4924 * CHOOSE(CONTROL!$C$9, $D$9, 100%, $F$9) + CHOOSE(CONTROL!$C$27, 0.0021, 0)</f>
        <v>93.494500000000002</v>
      </c>
      <c r="C1023" s="10">
        <f>93.0601 * CHOOSE(CONTROL!$C$9, $D$9, 100%, $F$9) + CHOOSE(CONTROL!$C$27, 0.0021, 0)</f>
        <v>93.062200000000004</v>
      </c>
      <c r="D1023" s="10">
        <f>93.0601 * CHOOSE(CONTROL!$C$9, $D$9, 100%, $F$9) + CHOOSE(CONTROL!$C$27, 0.0021, 0)</f>
        <v>93.062200000000004</v>
      </c>
      <c r="E1023" s="10">
        <f>92.9234 * CHOOSE(CONTROL!$C$9, $D$9, 100%, $F$9) + CHOOSE(CONTROL!$C$27, 0.0021, 0)</f>
        <v>92.9255</v>
      </c>
      <c r="F1023" s="10">
        <f>92.9234 * CHOOSE(CONTROL!$C$9, $D$9, 100%, $F$9) + CHOOSE(CONTROL!$C$27, 0.0021, 0)</f>
        <v>92.9255</v>
      </c>
      <c r="G1023" s="10">
        <f>93.1948 * CHOOSE(CONTROL!$C$9, $D$9, 100%, $F$9) + CHOOSE(CONTROL!$C$27, 0.0021, 0)</f>
        <v>93.196899999999999</v>
      </c>
      <c r="H1023" s="10">
        <f>93.0601 * CHOOSE(CONTROL!$C$9, $D$9, 100%, $F$9) + CHOOSE(CONTROL!$C$27, 0.0021, 0)</f>
        <v>93.062200000000004</v>
      </c>
      <c r="I1023" s="10">
        <f>93.0601 * CHOOSE(CONTROL!$C$9, $D$9, 100%, $F$9) + CHOOSE(CONTROL!$C$27, 0.0021, 0)</f>
        <v>93.062200000000004</v>
      </c>
      <c r="J1023" s="10">
        <f>93.0601 * CHOOSE(CONTROL!$C$9, $D$9, 100%, $F$9) + CHOOSE(CONTROL!$C$27, 0.0021, 0)</f>
        <v>93.062200000000004</v>
      </c>
      <c r="K1023" s="10">
        <f>93.0601 * CHOOSE(CONTROL!$C$9, $D$9, 100%, $F$9) + CHOOSE(CONTROL!$C$27, 0.0021, 0)</f>
        <v>93.062200000000004</v>
      </c>
      <c r="L1023" s="10"/>
    </row>
    <row r="1024" spans="1:12" ht="15.75" x14ac:dyDescent="0.25">
      <c r="A1024" s="13">
        <v>72471</v>
      </c>
      <c r="B1024" s="10">
        <f>95.4076 * CHOOSE(CONTROL!$C$9, $D$9, 100%, $F$9) + CHOOSE(CONTROL!$C$27, 0.0021, 0)</f>
        <v>95.409700000000001</v>
      </c>
      <c r="C1024" s="10">
        <f>94.9753 * CHOOSE(CONTROL!$C$9, $D$9, 100%, $F$9) + CHOOSE(CONTROL!$C$27, 0.0021, 0)</f>
        <v>94.977400000000003</v>
      </c>
      <c r="D1024" s="10">
        <f>94.9753 * CHOOSE(CONTROL!$C$9, $D$9, 100%, $F$9) + CHOOSE(CONTROL!$C$27, 0.0021, 0)</f>
        <v>94.977400000000003</v>
      </c>
      <c r="E1024" s="10">
        <f>94.8387 * CHOOSE(CONTROL!$C$9, $D$9, 100%, $F$9) + CHOOSE(CONTROL!$C$27, 0.0021, 0)</f>
        <v>94.840800000000002</v>
      </c>
      <c r="F1024" s="10">
        <f>94.8387 * CHOOSE(CONTROL!$C$9, $D$9, 100%, $F$9) + CHOOSE(CONTROL!$C$27, 0.0021, 0)</f>
        <v>94.840800000000002</v>
      </c>
      <c r="G1024" s="10">
        <f>95.1101 * CHOOSE(CONTROL!$C$9, $D$9, 100%, $F$9) + CHOOSE(CONTROL!$C$27, 0.0021, 0)</f>
        <v>95.112200000000001</v>
      </c>
      <c r="H1024" s="10">
        <f>94.9753 * CHOOSE(CONTROL!$C$9, $D$9, 100%, $F$9) + CHOOSE(CONTROL!$C$27, 0.0021, 0)</f>
        <v>94.977400000000003</v>
      </c>
      <c r="I1024" s="10">
        <f>94.9753 * CHOOSE(CONTROL!$C$9, $D$9, 100%, $F$9) + CHOOSE(CONTROL!$C$27, 0.0021, 0)</f>
        <v>94.977400000000003</v>
      </c>
      <c r="J1024" s="10">
        <f>94.9753 * CHOOSE(CONTROL!$C$9, $D$9, 100%, $F$9) + CHOOSE(CONTROL!$C$27, 0.0021, 0)</f>
        <v>94.977400000000003</v>
      </c>
      <c r="K1024" s="10">
        <f>94.9753 * CHOOSE(CONTROL!$C$9, $D$9, 100%, $F$9) + CHOOSE(CONTROL!$C$27, 0.0021, 0)</f>
        <v>94.977400000000003</v>
      </c>
      <c r="L1024" s="10"/>
    </row>
    <row r="1025" spans="1:12" ht="15.75" x14ac:dyDescent="0.25">
      <c r="A1025" s="13">
        <v>72501</v>
      </c>
      <c r="B1025" s="10">
        <f>96.5547 * CHOOSE(CONTROL!$C$9, $D$9, 100%, $F$9) + CHOOSE(CONTROL!$C$27, 0.0021, 0)</f>
        <v>96.556799999999996</v>
      </c>
      <c r="C1025" s="10">
        <f>96.1225 * CHOOSE(CONTROL!$C$9, $D$9, 100%, $F$9) + CHOOSE(CONTROL!$C$27, 0.0021, 0)</f>
        <v>96.124600000000001</v>
      </c>
      <c r="D1025" s="10">
        <f>96.1225 * CHOOSE(CONTROL!$C$9, $D$9, 100%, $F$9) + CHOOSE(CONTROL!$C$27, 0.0021, 0)</f>
        <v>96.124600000000001</v>
      </c>
      <c r="E1025" s="10">
        <f>95.9858 * CHOOSE(CONTROL!$C$9, $D$9, 100%, $F$9) + CHOOSE(CONTROL!$C$27, 0.0021, 0)</f>
        <v>95.987899999999996</v>
      </c>
      <c r="F1025" s="10">
        <f>95.9858 * CHOOSE(CONTROL!$C$9, $D$9, 100%, $F$9) + CHOOSE(CONTROL!$C$27, 0.0021, 0)</f>
        <v>95.987899999999996</v>
      </c>
      <c r="G1025" s="10">
        <f>96.2572 * CHOOSE(CONTROL!$C$9, $D$9, 100%, $F$9) + CHOOSE(CONTROL!$C$27, 0.0021, 0)</f>
        <v>96.259299999999996</v>
      </c>
      <c r="H1025" s="10">
        <f>96.1225 * CHOOSE(CONTROL!$C$9, $D$9, 100%, $F$9) + CHOOSE(CONTROL!$C$27, 0.0021, 0)</f>
        <v>96.124600000000001</v>
      </c>
      <c r="I1025" s="10">
        <f>96.1225 * CHOOSE(CONTROL!$C$9, $D$9, 100%, $F$9) + CHOOSE(CONTROL!$C$27, 0.0021, 0)</f>
        <v>96.124600000000001</v>
      </c>
      <c r="J1025" s="10">
        <f>96.1225 * CHOOSE(CONTROL!$C$9, $D$9, 100%, $F$9) + CHOOSE(CONTROL!$C$27, 0.0021, 0)</f>
        <v>96.124600000000001</v>
      </c>
      <c r="K1025" s="10">
        <f>96.1225 * CHOOSE(CONTROL!$C$9, $D$9, 100%, $F$9) + CHOOSE(CONTROL!$C$27, 0.0021, 0)</f>
        <v>96.124600000000001</v>
      </c>
      <c r="L1025" s="10"/>
    </row>
    <row r="1026" spans="1:12" ht="15.75" x14ac:dyDescent="0.25">
      <c r="A1026" s="13">
        <v>72532</v>
      </c>
      <c r="B1026" s="10">
        <f>98.4471 * CHOOSE(CONTROL!$C$9, $D$9, 100%, $F$9) + CHOOSE(CONTROL!$C$27, 0.0021, 0)</f>
        <v>98.449200000000005</v>
      </c>
      <c r="C1026" s="10">
        <f>98.0149 * CHOOSE(CONTROL!$C$9, $D$9, 100%, $F$9) + CHOOSE(CONTROL!$C$27, 0.0021, 0)</f>
        <v>98.016999999999996</v>
      </c>
      <c r="D1026" s="10">
        <f>98.0149 * CHOOSE(CONTROL!$C$9, $D$9, 100%, $F$9) + CHOOSE(CONTROL!$C$27, 0.0021, 0)</f>
        <v>98.016999999999996</v>
      </c>
      <c r="E1026" s="10">
        <f>97.8782 * CHOOSE(CONTROL!$C$9, $D$9, 100%, $F$9) + CHOOSE(CONTROL!$C$27, 0.0021, 0)</f>
        <v>97.880300000000005</v>
      </c>
      <c r="F1026" s="10">
        <f>97.8782 * CHOOSE(CONTROL!$C$9, $D$9, 100%, $F$9) + CHOOSE(CONTROL!$C$27, 0.0021, 0)</f>
        <v>97.880300000000005</v>
      </c>
      <c r="G1026" s="10">
        <f>98.1496 * CHOOSE(CONTROL!$C$9, $D$9, 100%, $F$9) + CHOOSE(CONTROL!$C$27, 0.0021, 0)</f>
        <v>98.151700000000005</v>
      </c>
      <c r="H1026" s="10">
        <f>98.0149 * CHOOSE(CONTROL!$C$9, $D$9, 100%, $F$9) + CHOOSE(CONTROL!$C$27, 0.0021, 0)</f>
        <v>98.016999999999996</v>
      </c>
      <c r="I1026" s="10">
        <f>98.0149 * CHOOSE(CONTROL!$C$9, $D$9, 100%, $F$9) + CHOOSE(CONTROL!$C$27, 0.0021, 0)</f>
        <v>98.016999999999996</v>
      </c>
      <c r="J1026" s="10">
        <f>98.0149 * CHOOSE(CONTROL!$C$9, $D$9, 100%, $F$9) + CHOOSE(CONTROL!$C$27, 0.0021, 0)</f>
        <v>98.016999999999996</v>
      </c>
      <c r="K1026" s="10">
        <f>98.0149 * CHOOSE(CONTROL!$C$9, $D$9, 100%, $F$9) + CHOOSE(CONTROL!$C$27, 0.0021, 0)</f>
        <v>98.016999999999996</v>
      </c>
      <c r="L1026" s="10"/>
    </row>
    <row r="1027" spans="1:12" ht="15.75" x14ac:dyDescent="0.25">
      <c r="A1027" s="13">
        <v>72563</v>
      </c>
      <c r="B1027" s="10">
        <f>99.0247 * CHOOSE(CONTROL!$C$9, $D$9, 100%, $F$9) + CHOOSE(CONTROL!$C$27, 0.0021, 0)</f>
        <v>99.026799999999994</v>
      </c>
      <c r="C1027" s="10">
        <f>98.5925 * CHOOSE(CONTROL!$C$9, $D$9, 100%, $F$9) + CHOOSE(CONTROL!$C$27, 0.0021, 0)</f>
        <v>98.5946</v>
      </c>
      <c r="D1027" s="10">
        <f>98.5925 * CHOOSE(CONTROL!$C$9, $D$9, 100%, $F$9) + CHOOSE(CONTROL!$C$27, 0.0021, 0)</f>
        <v>98.5946</v>
      </c>
      <c r="E1027" s="10">
        <f>98.4558 * CHOOSE(CONTROL!$C$9, $D$9, 100%, $F$9) + CHOOSE(CONTROL!$C$27, 0.0021, 0)</f>
        <v>98.457899999999995</v>
      </c>
      <c r="F1027" s="10">
        <f>98.4558 * CHOOSE(CONTROL!$C$9, $D$9, 100%, $F$9) + CHOOSE(CONTROL!$C$27, 0.0021, 0)</f>
        <v>98.457899999999995</v>
      </c>
      <c r="G1027" s="10">
        <f>98.7272 * CHOOSE(CONTROL!$C$9, $D$9, 100%, $F$9) + CHOOSE(CONTROL!$C$27, 0.0021, 0)</f>
        <v>98.729299999999995</v>
      </c>
      <c r="H1027" s="10">
        <f>98.5925 * CHOOSE(CONTROL!$C$9, $D$9, 100%, $F$9) + CHOOSE(CONTROL!$C$27, 0.0021, 0)</f>
        <v>98.5946</v>
      </c>
      <c r="I1027" s="10">
        <f>98.5925 * CHOOSE(CONTROL!$C$9, $D$9, 100%, $F$9) + CHOOSE(CONTROL!$C$27, 0.0021, 0)</f>
        <v>98.5946</v>
      </c>
      <c r="J1027" s="10">
        <f>98.5925 * CHOOSE(CONTROL!$C$9, $D$9, 100%, $F$9) + CHOOSE(CONTROL!$C$27, 0.0021, 0)</f>
        <v>98.5946</v>
      </c>
      <c r="K1027" s="10">
        <f>98.5925 * CHOOSE(CONTROL!$C$9, $D$9, 100%, $F$9) + CHOOSE(CONTROL!$C$27, 0.0021, 0)</f>
        <v>98.5946</v>
      </c>
      <c r="L1027" s="10"/>
    </row>
    <row r="1028" spans="1:12" ht="15.75" x14ac:dyDescent="0.25">
      <c r="A1028" s="13">
        <v>72593</v>
      </c>
      <c r="B1028" s="10">
        <f>100.9918 * CHOOSE(CONTROL!$C$9, $D$9, 100%, $F$9) + CHOOSE(CONTROL!$C$27, 0.0021, 0)</f>
        <v>100.9939</v>
      </c>
      <c r="C1028" s="10">
        <f>100.5595 * CHOOSE(CONTROL!$C$9, $D$9, 100%, $F$9) + CHOOSE(CONTROL!$C$27, 0.0021, 0)</f>
        <v>100.5616</v>
      </c>
      <c r="D1028" s="10">
        <f>100.5595 * CHOOSE(CONTROL!$C$9, $D$9, 100%, $F$9) + CHOOSE(CONTROL!$C$27, 0.0021, 0)</f>
        <v>100.5616</v>
      </c>
      <c r="E1028" s="10">
        <f>100.4229 * CHOOSE(CONTROL!$C$9, $D$9, 100%, $F$9) + CHOOSE(CONTROL!$C$27, 0.0021, 0)</f>
        <v>100.425</v>
      </c>
      <c r="F1028" s="10">
        <f>100.4229 * CHOOSE(CONTROL!$C$9, $D$9, 100%, $F$9) + CHOOSE(CONTROL!$C$27, 0.0021, 0)</f>
        <v>100.425</v>
      </c>
      <c r="G1028" s="10">
        <f>100.6943 * CHOOSE(CONTROL!$C$9, $D$9, 100%, $F$9) + CHOOSE(CONTROL!$C$27, 0.0021, 0)</f>
        <v>100.6964</v>
      </c>
      <c r="H1028" s="10">
        <f>100.5595 * CHOOSE(CONTROL!$C$9, $D$9, 100%, $F$9) + CHOOSE(CONTROL!$C$27, 0.0021, 0)</f>
        <v>100.5616</v>
      </c>
      <c r="I1028" s="10">
        <f>100.5595 * CHOOSE(CONTROL!$C$9, $D$9, 100%, $F$9) + CHOOSE(CONTROL!$C$27, 0.0021, 0)</f>
        <v>100.5616</v>
      </c>
      <c r="J1028" s="10">
        <f>100.5595 * CHOOSE(CONTROL!$C$9, $D$9, 100%, $F$9) + CHOOSE(CONTROL!$C$27, 0.0021, 0)</f>
        <v>100.5616</v>
      </c>
      <c r="K1028" s="10">
        <f>100.5595 * CHOOSE(CONTROL!$C$9, $D$9, 100%, $F$9) + CHOOSE(CONTROL!$C$27, 0.0021, 0)</f>
        <v>100.5616</v>
      </c>
      <c r="L1028" s="10"/>
    </row>
    <row r="1029" spans="1:12" ht="15.75" x14ac:dyDescent="0.25">
      <c r="A1029" s="13">
        <v>72624</v>
      </c>
      <c r="B1029" s="10">
        <f>103.4817 * CHOOSE(CONTROL!$C$9, $D$9, 100%, $F$9) + CHOOSE(CONTROL!$C$27, 0.0021, 0)</f>
        <v>103.4838</v>
      </c>
      <c r="C1029" s="10">
        <f>103.0495 * CHOOSE(CONTROL!$C$9, $D$9, 100%, $F$9) + CHOOSE(CONTROL!$C$27, 0.0021, 0)</f>
        <v>103.05159999999999</v>
      </c>
      <c r="D1029" s="10">
        <f>103.0495 * CHOOSE(CONTROL!$C$9, $D$9, 100%, $F$9) + CHOOSE(CONTROL!$C$27, 0.0021, 0)</f>
        <v>103.05159999999999</v>
      </c>
      <c r="E1029" s="10">
        <f>102.9128 * CHOOSE(CONTROL!$C$9, $D$9, 100%, $F$9) + CHOOSE(CONTROL!$C$27, 0.0021, 0)</f>
        <v>102.9149</v>
      </c>
      <c r="F1029" s="10">
        <f>102.9128 * CHOOSE(CONTROL!$C$9, $D$9, 100%, $F$9) + CHOOSE(CONTROL!$C$27, 0.0021, 0)</f>
        <v>102.9149</v>
      </c>
      <c r="G1029" s="10">
        <f>103.1842 * CHOOSE(CONTROL!$C$9, $D$9, 100%, $F$9) + CHOOSE(CONTROL!$C$27, 0.0021, 0)</f>
        <v>103.1863</v>
      </c>
      <c r="H1029" s="10">
        <f>103.0495 * CHOOSE(CONTROL!$C$9, $D$9, 100%, $F$9) + CHOOSE(CONTROL!$C$27, 0.0021, 0)</f>
        <v>103.05159999999999</v>
      </c>
      <c r="I1029" s="10">
        <f>103.0495 * CHOOSE(CONTROL!$C$9, $D$9, 100%, $F$9) + CHOOSE(CONTROL!$C$27, 0.0021, 0)</f>
        <v>103.05159999999999</v>
      </c>
      <c r="J1029" s="10">
        <f>103.0495 * CHOOSE(CONTROL!$C$9, $D$9, 100%, $F$9) + CHOOSE(CONTROL!$C$27, 0.0021, 0)</f>
        <v>103.05159999999999</v>
      </c>
      <c r="K1029" s="10">
        <f>103.0495 * CHOOSE(CONTROL!$C$9, $D$9, 100%, $F$9) + CHOOSE(CONTROL!$C$27, 0.0021, 0)</f>
        <v>103.05159999999999</v>
      </c>
      <c r="L1029" s="10"/>
    </row>
    <row r="1030" spans="1:12" ht="15.75" x14ac:dyDescent="0.25">
      <c r="A1030" s="13">
        <v>72654</v>
      </c>
      <c r="B1030" s="10">
        <f>103.7155 * CHOOSE(CONTROL!$C$9, $D$9, 100%, $F$9) + CHOOSE(CONTROL!$C$27, 0.0021, 0)</f>
        <v>103.7176</v>
      </c>
      <c r="C1030" s="10">
        <f>103.2832 * CHOOSE(CONTROL!$C$9, $D$9, 100%, $F$9) + CHOOSE(CONTROL!$C$27, 0.0021, 0)</f>
        <v>103.28529999999999</v>
      </c>
      <c r="D1030" s="10">
        <f>103.2832 * CHOOSE(CONTROL!$C$9, $D$9, 100%, $F$9) + CHOOSE(CONTROL!$C$27, 0.0021, 0)</f>
        <v>103.28529999999999</v>
      </c>
      <c r="E1030" s="10">
        <f>103.1466 * CHOOSE(CONTROL!$C$9, $D$9, 100%, $F$9) + CHOOSE(CONTROL!$C$27, 0.0021, 0)</f>
        <v>103.14870000000001</v>
      </c>
      <c r="F1030" s="10">
        <f>103.1466 * CHOOSE(CONTROL!$C$9, $D$9, 100%, $F$9) + CHOOSE(CONTROL!$C$27, 0.0021, 0)</f>
        <v>103.14870000000001</v>
      </c>
      <c r="G1030" s="10">
        <f>103.418 * CHOOSE(CONTROL!$C$9, $D$9, 100%, $F$9) + CHOOSE(CONTROL!$C$27, 0.0021, 0)</f>
        <v>103.42010000000001</v>
      </c>
      <c r="H1030" s="10">
        <f>103.2832 * CHOOSE(CONTROL!$C$9, $D$9, 100%, $F$9) + CHOOSE(CONTROL!$C$27, 0.0021, 0)</f>
        <v>103.28529999999999</v>
      </c>
      <c r="I1030" s="10">
        <f>103.2832 * CHOOSE(CONTROL!$C$9, $D$9, 100%, $F$9) + CHOOSE(CONTROL!$C$27, 0.0021, 0)</f>
        <v>103.28529999999999</v>
      </c>
      <c r="J1030" s="10">
        <f>103.2832 * CHOOSE(CONTROL!$C$9, $D$9, 100%, $F$9) + CHOOSE(CONTROL!$C$27, 0.0021, 0)</f>
        <v>103.28529999999999</v>
      </c>
      <c r="K1030" s="10">
        <f>103.2832 * CHOOSE(CONTROL!$C$9, $D$9, 100%, $F$9) + CHOOSE(CONTROL!$C$27, 0.0021, 0)</f>
        <v>103.28529999999999</v>
      </c>
      <c r="L1030" s="10"/>
    </row>
    <row r="1031" spans="1:12" ht="15.75" x14ac:dyDescent="0.25">
      <c r="A1031" s="13">
        <v>72685</v>
      </c>
      <c r="B1031" s="10">
        <f>101.7268 * CHOOSE(CONTROL!$C$9, $D$9, 100%, $F$9) + CHOOSE(CONTROL!$C$27, 0.0021, 0)</f>
        <v>101.7289</v>
      </c>
      <c r="C1031" s="10">
        <f>101.2946 * CHOOSE(CONTROL!$C$9, $D$9, 100%, $F$9) + CHOOSE(CONTROL!$C$27, 0.0021, 0)</f>
        <v>101.2967</v>
      </c>
      <c r="D1031" s="10">
        <f>101.2946 * CHOOSE(CONTROL!$C$9, $D$9, 100%, $F$9) + CHOOSE(CONTROL!$C$27, 0.0021, 0)</f>
        <v>101.2967</v>
      </c>
      <c r="E1031" s="10">
        <f>101.1579 * CHOOSE(CONTROL!$C$9, $D$9, 100%, $F$9) + CHOOSE(CONTROL!$C$27, 0.0021, 0)</f>
        <v>101.16</v>
      </c>
      <c r="F1031" s="10">
        <f>101.1579 * CHOOSE(CONTROL!$C$9, $D$9, 100%, $F$9) + CHOOSE(CONTROL!$C$27, 0.0021, 0)</f>
        <v>101.16</v>
      </c>
      <c r="G1031" s="10">
        <f>101.4293 * CHOOSE(CONTROL!$C$9, $D$9, 100%, $F$9) + CHOOSE(CONTROL!$C$27, 0.0021, 0)</f>
        <v>101.4314</v>
      </c>
      <c r="H1031" s="10">
        <f>101.2946 * CHOOSE(CONTROL!$C$9, $D$9, 100%, $F$9) + CHOOSE(CONTROL!$C$27, 0.0021, 0)</f>
        <v>101.2967</v>
      </c>
      <c r="I1031" s="10">
        <f>101.2946 * CHOOSE(CONTROL!$C$9, $D$9, 100%, $F$9) + CHOOSE(CONTROL!$C$27, 0.0021, 0)</f>
        <v>101.2967</v>
      </c>
      <c r="J1031" s="10">
        <f>101.2946 * CHOOSE(CONTROL!$C$9, $D$9, 100%, $F$9) + CHOOSE(CONTROL!$C$27, 0.0021, 0)</f>
        <v>101.2967</v>
      </c>
      <c r="K1031" s="10">
        <f>101.2946 * CHOOSE(CONTROL!$C$9, $D$9, 100%, $F$9) + CHOOSE(CONTROL!$C$27, 0.0021, 0)</f>
        <v>101.2967</v>
      </c>
      <c r="L1031" s="10"/>
    </row>
    <row r="1032" spans="1:12" ht="15.75" x14ac:dyDescent="0.25">
      <c r="A1032" s="13">
        <v>72716</v>
      </c>
      <c r="B1032" s="10">
        <f>100.2042 * CHOOSE(CONTROL!$C$9, $D$9, 100%, $F$9) + CHOOSE(CONTROL!$C$27, 0.0021, 0)</f>
        <v>100.2063</v>
      </c>
      <c r="C1032" s="10">
        <f>99.772 * CHOOSE(CONTROL!$C$9, $D$9, 100%, $F$9) + CHOOSE(CONTROL!$C$27, 0.0021, 0)</f>
        <v>99.774100000000004</v>
      </c>
      <c r="D1032" s="10">
        <f>99.772 * CHOOSE(CONTROL!$C$9, $D$9, 100%, $F$9) + CHOOSE(CONTROL!$C$27, 0.0021, 0)</f>
        <v>99.774100000000004</v>
      </c>
      <c r="E1032" s="10">
        <f>99.6353 * CHOOSE(CONTROL!$C$9, $D$9, 100%, $F$9) + CHOOSE(CONTROL!$C$27, 0.0021, 0)</f>
        <v>99.6374</v>
      </c>
      <c r="F1032" s="10">
        <f>99.6353 * CHOOSE(CONTROL!$C$9, $D$9, 100%, $F$9) + CHOOSE(CONTROL!$C$27, 0.0021, 0)</f>
        <v>99.6374</v>
      </c>
      <c r="G1032" s="10">
        <f>99.9067 * CHOOSE(CONTROL!$C$9, $D$9, 100%, $F$9) + CHOOSE(CONTROL!$C$27, 0.0021, 0)</f>
        <v>99.908799999999999</v>
      </c>
      <c r="H1032" s="10">
        <f>99.772 * CHOOSE(CONTROL!$C$9, $D$9, 100%, $F$9) + CHOOSE(CONTROL!$C$27, 0.0021, 0)</f>
        <v>99.774100000000004</v>
      </c>
      <c r="I1032" s="10">
        <f>99.772 * CHOOSE(CONTROL!$C$9, $D$9, 100%, $F$9) + CHOOSE(CONTROL!$C$27, 0.0021, 0)</f>
        <v>99.774100000000004</v>
      </c>
      <c r="J1032" s="10">
        <f>99.772 * CHOOSE(CONTROL!$C$9, $D$9, 100%, $F$9) + CHOOSE(CONTROL!$C$27, 0.0021, 0)</f>
        <v>99.774100000000004</v>
      </c>
      <c r="K1032" s="10">
        <f>99.772 * CHOOSE(CONTROL!$C$9, $D$9, 100%, $F$9) + CHOOSE(CONTROL!$C$27, 0.0021, 0)</f>
        <v>99.774100000000004</v>
      </c>
      <c r="L1032" s="10"/>
    </row>
    <row r="1033" spans="1:12" ht="15.75" x14ac:dyDescent="0.25">
      <c r="A1033" s="13">
        <v>72744</v>
      </c>
      <c r="B1033" s="10">
        <f>97.4347 * CHOOSE(CONTROL!$C$9, $D$9, 100%, $F$9) + CHOOSE(CONTROL!$C$27, 0.0021, 0)</f>
        <v>97.436800000000005</v>
      </c>
      <c r="C1033" s="10">
        <f>97.0025 * CHOOSE(CONTROL!$C$9, $D$9, 100%, $F$9) + CHOOSE(CONTROL!$C$27, 0.0021, 0)</f>
        <v>97.004599999999996</v>
      </c>
      <c r="D1033" s="10">
        <f>97.0025 * CHOOSE(CONTROL!$C$9, $D$9, 100%, $F$9) + CHOOSE(CONTROL!$C$27, 0.0021, 0)</f>
        <v>97.004599999999996</v>
      </c>
      <c r="E1033" s="10">
        <f>96.8658 * CHOOSE(CONTROL!$C$9, $D$9, 100%, $F$9) + CHOOSE(CONTROL!$C$27, 0.0021, 0)</f>
        <v>96.867899999999992</v>
      </c>
      <c r="F1033" s="10">
        <f>96.8658 * CHOOSE(CONTROL!$C$9, $D$9, 100%, $F$9) + CHOOSE(CONTROL!$C$27, 0.0021, 0)</f>
        <v>96.867899999999992</v>
      </c>
      <c r="G1033" s="10">
        <f>97.1372 * CHOOSE(CONTROL!$C$9, $D$9, 100%, $F$9) + CHOOSE(CONTROL!$C$27, 0.0021, 0)</f>
        <v>97.139300000000006</v>
      </c>
      <c r="H1033" s="10">
        <f>97.0025 * CHOOSE(CONTROL!$C$9, $D$9, 100%, $F$9) + CHOOSE(CONTROL!$C$27, 0.0021, 0)</f>
        <v>97.004599999999996</v>
      </c>
      <c r="I1033" s="10">
        <f>97.0025 * CHOOSE(CONTROL!$C$9, $D$9, 100%, $F$9) + CHOOSE(CONTROL!$C$27, 0.0021, 0)</f>
        <v>97.004599999999996</v>
      </c>
      <c r="J1033" s="10">
        <f>97.0025 * CHOOSE(CONTROL!$C$9, $D$9, 100%, $F$9) + CHOOSE(CONTROL!$C$27, 0.0021, 0)</f>
        <v>97.004599999999996</v>
      </c>
      <c r="K1033" s="10">
        <f>97.0025 * CHOOSE(CONTROL!$C$9, $D$9, 100%, $F$9) + CHOOSE(CONTROL!$C$27, 0.0021, 0)</f>
        <v>97.004599999999996</v>
      </c>
      <c r="L1033" s="10"/>
    </row>
    <row r="1034" spans="1:12" ht="15.75" x14ac:dyDescent="0.25">
      <c r="A1034" s="13">
        <v>72775</v>
      </c>
      <c r="B1034" s="10">
        <f>96.2915 * CHOOSE(CONTROL!$C$9, $D$9, 100%, $F$9) + CHOOSE(CONTROL!$C$27, 0.0021, 0)</f>
        <v>96.293599999999998</v>
      </c>
      <c r="C1034" s="10">
        <f>95.8593 * CHOOSE(CONTROL!$C$9, $D$9, 100%, $F$9) + CHOOSE(CONTROL!$C$27, 0.0021, 0)</f>
        <v>95.861400000000003</v>
      </c>
      <c r="D1034" s="10">
        <f>95.8593 * CHOOSE(CONTROL!$C$9, $D$9, 100%, $F$9) + CHOOSE(CONTROL!$C$27, 0.0021, 0)</f>
        <v>95.861400000000003</v>
      </c>
      <c r="E1034" s="10">
        <f>95.7226 * CHOOSE(CONTROL!$C$9, $D$9, 100%, $F$9) + CHOOSE(CONTROL!$C$27, 0.0021, 0)</f>
        <v>95.724699999999999</v>
      </c>
      <c r="F1034" s="10">
        <f>95.7226 * CHOOSE(CONTROL!$C$9, $D$9, 100%, $F$9) + CHOOSE(CONTROL!$C$27, 0.0021, 0)</f>
        <v>95.724699999999999</v>
      </c>
      <c r="G1034" s="10">
        <f>95.994 * CHOOSE(CONTROL!$C$9, $D$9, 100%, $F$9) + CHOOSE(CONTROL!$C$27, 0.0021, 0)</f>
        <v>95.996099999999998</v>
      </c>
      <c r="H1034" s="10">
        <f>95.8593 * CHOOSE(CONTROL!$C$9, $D$9, 100%, $F$9) + CHOOSE(CONTROL!$C$27, 0.0021, 0)</f>
        <v>95.861400000000003</v>
      </c>
      <c r="I1034" s="10">
        <f>95.8593 * CHOOSE(CONTROL!$C$9, $D$9, 100%, $F$9) + CHOOSE(CONTROL!$C$27, 0.0021, 0)</f>
        <v>95.861400000000003</v>
      </c>
      <c r="J1034" s="10">
        <f>95.8593 * CHOOSE(CONTROL!$C$9, $D$9, 100%, $F$9) + CHOOSE(CONTROL!$C$27, 0.0021, 0)</f>
        <v>95.861400000000003</v>
      </c>
      <c r="K1034" s="10">
        <f>95.8593 * CHOOSE(CONTROL!$C$9, $D$9, 100%, $F$9) + CHOOSE(CONTROL!$C$27, 0.0021, 0)</f>
        <v>95.861400000000003</v>
      </c>
      <c r="L1034" s="10"/>
    </row>
    <row r="1035" spans="1:12" ht="15.75" x14ac:dyDescent="0.25">
      <c r="A1035" s="13">
        <v>72805</v>
      </c>
      <c r="B1035" s="10">
        <f>94.9265 * CHOOSE(CONTROL!$C$9, $D$9, 100%, $F$9) + CHOOSE(CONTROL!$C$27, 0.0021, 0)</f>
        <v>94.928600000000003</v>
      </c>
      <c r="C1035" s="10">
        <f>94.4942 * CHOOSE(CONTROL!$C$9, $D$9, 100%, $F$9) + CHOOSE(CONTROL!$C$27, 0.0021, 0)</f>
        <v>94.496300000000005</v>
      </c>
      <c r="D1035" s="10">
        <f>94.4942 * CHOOSE(CONTROL!$C$9, $D$9, 100%, $F$9) + CHOOSE(CONTROL!$C$27, 0.0021, 0)</f>
        <v>94.496300000000005</v>
      </c>
      <c r="E1035" s="10">
        <f>94.3576 * CHOOSE(CONTROL!$C$9, $D$9, 100%, $F$9) + CHOOSE(CONTROL!$C$27, 0.0021, 0)</f>
        <v>94.359700000000004</v>
      </c>
      <c r="F1035" s="10">
        <f>94.3576 * CHOOSE(CONTROL!$C$9, $D$9, 100%, $F$9) + CHOOSE(CONTROL!$C$27, 0.0021, 0)</f>
        <v>94.359700000000004</v>
      </c>
      <c r="G1035" s="10">
        <f>94.6289 * CHOOSE(CONTROL!$C$9, $D$9, 100%, $F$9) + CHOOSE(CONTROL!$C$27, 0.0021, 0)</f>
        <v>94.631</v>
      </c>
      <c r="H1035" s="10">
        <f>94.4942 * CHOOSE(CONTROL!$C$9, $D$9, 100%, $F$9) + CHOOSE(CONTROL!$C$27, 0.0021, 0)</f>
        <v>94.496300000000005</v>
      </c>
      <c r="I1035" s="10">
        <f>94.4942 * CHOOSE(CONTROL!$C$9, $D$9, 100%, $F$9) + CHOOSE(CONTROL!$C$27, 0.0021, 0)</f>
        <v>94.496300000000005</v>
      </c>
      <c r="J1035" s="10">
        <f>94.4942 * CHOOSE(CONTROL!$C$9, $D$9, 100%, $F$9) + CHOOSE(CONTROL!$C$27, 0.0021, 0)</f>
        <v>94.496300000000005</v>
      </c>
      <c r="K1035" s="10">
        <f>94.4942 * CHOOSE(CONTROL!$C$9, $D$9, 100%, $F$9) + CHOOSE(CONTROL!$C$27, 0.0021, 0)</f>
        <v>94.496300000000005</v>
      </c>
      <c r="L1035" s="10"/>
    </row>
    <row r="1036" spans="1:12" ht="15.75" x14ac:dyDescent="0.25">
      <c r="A1036" s="13">
        <v>72836</v>
      </c>
      <c r="B1036" s="10">
        <f>96.8718 * CHOOSE(CONTROL!$C$9, $D$9, 100%, $F$9) + CHOOSE(CONTROL!$C$27, 0.0021, 0)</f>
        <v>96.873899999999992</v>
      </c>
      <c r="C1036" s="10">
        <f>96.4396 * CHOOSE(CONTROL!$C$9, $D$9, 100%, $F$9) + CHOOSE(CONTROL!$C$27, 0.0021, 0)</f>
        <v>96.441699999999997</v>
      </c>
      <c r="D1036" s="10">
        <f>96.4396 * CHOOSE(CONTROL!$C$9, $D$9, 100%, $F$9) + CHOOSE(CONTROL!$C$27, 0.0021, 0)</f>
        <v>96.441699999999997</v>
      </c>
      <c r="E1036" s="10">
        <f>96.3029 * CHOOSE(CONTROL!$C$9, $D$9, 100%, $F$9) + CHOOSE(CONTROL!$C$27, 0.0021, 0)</f>
        <v>96.304999999999993</v>
      </c>
      <c r="F1036" s="10">
        <f>96.3029 * CHOOSE(CONTROL!$C$9, $D$9, 100%, $F$9) + CHOOSE(CONTROL!$C$27, 0.0021, 0)</f>
        <v>96.304999999999993</v>
      </c>
      <c r="G1036" s="10">
        <f>96.5743 * CHOOSE(CONTROL!$C$9, $D$9, 100%, $F$9) + CHOOSE(CONTROL!$C$27, 0.0021, 0)</f>
        <v>96.576399999999992</v>
      </c>
      <c r="H1036" s="10">
        <f>96.4396 * CHOOSE(CONTROL!$C$9, $D$9, 100%, $F$9) + CHOOSE(CONTROL!$C$27, 0.0021, 0)</f>
        <v>96.441699999999997</v>
      </c>
      <c r="I1036" s="10">
        <f>96.4396 * CHOOSE(CONTROL!$C$9, $D$9, 100%, $F$9) + CHOOSE(CONTROL!$C$27, 0.0021, 0)</f>
        <v>96.441699999999997</v>
      </c>
      <c r="J1036" s="10">
        <f>96.4396 * CHOOSE(CONTROL!$C$9, $D$9, 100%, $F$9) + CHOOSE(CONTROL!$C$27, 0.0021, 0)</f>
        <v>96.441699999999997</v>
      </c>
      <c r="K1036" s="10">
        <f>96.4396 * CHOOSE(CONTROL!$C$9, $D$9, 100%, $F$9) + CHOOSE(CONTROL!$C$27, 0.0021, 0)</f>
        <v>96.441699999999997</v>
      </c>
      <c r="L1036" s="10"/>
    </row>
    <row r="1037" spans="1:12" ht="15.75" x14ac:dyDescent="0.25">
      <c r="A1037" s="13">
        <v>72866</v>
      </c>
      <c r="B1037" s="10">
        <f>98.037 * CHOOSE(CONTROL!$C$9, $D$9, 100%, $F$9) + CHOOSE(CONTROL!$C$27, 0.0021, 0)</f>
        <v>98.039100000000005</v>
      </c>
      <c r="C1037" s="10">
        <f>97.6048 * CHOOSE(CONTROL!$C$9, $D$9, 100%, $F$9) + CHOOSE(CONTROL!$C$27, 0.0021, 0)</f>
        <v>97.606899999999996</v>
      </c>
      <c r="D1037" s="10">
        <f>97.6048 * CHOOSE(CONTROL!$C$9, $D$9, 100%, $F$9) + CHOOSE(CONTROL!$C$27, 0.0021, 0)</f>
        <v>97.606899999999996</v>
      </c>
      <c r="E1037" s="10">
        <f>97.4681 * CHOOSE(CONTROL!$C$9, $D$9, 100%, $F$9) + CHOOSE(CONTROL!$C$27, 0.0021, 0)</f>
        <v>97.470200000000006</v>
      </c>
      <c r="F1037" s="10">
        <f>97.4681 * CHOOSE(CONTROL!$C$9, $D$9, 100%, $F$9) + CHOOSE(CONTROL!$C$27, 0.0021, 0)</f>
        <v>97.470200000000006</v>
      </c>
      <c r="G1037" s="10">
        <f>97.7395 * CHOOSE(CONTROL!$C$9, $D$9, 100%, $F$9) + CHOOSE(CONTROL!$C$27, 0.0021, 0)</f>
        <v>97.741600000000005</v>
      </c>
      <c r="H1037" s="10">
        <f>97.6048 * CHOOSE(CONTROL!$C$9, $D$9, 100%, $F$9) + CHOOSE(CONTROL!$C$27, 0.0021, 0)</f>
        <v>97.606899999999996</v>
      </c>
      <c r="I1037" s="10">
        <f>97.6048 * CHOOSE(CONTROL!$C$9, $D$9, 100%, $F$9) + CHOOSE(CONTROL!$C$27, 0.0021, 0)</f>
        <v>97.606899999999996</v>
      </c>
      <c r="J1037" s="10">
        <f>97.6048 * CHOOSE(CONTROL!$C$9, $D$9, 100%, $F$9) + CHOOSE(CONTROL!$C$27, 0.0021, 0)</f>
        <v>97.606899999999996</v>
      </c>
      <c r="K1037" s="10">
        <f>97.6048 * CHOOSE(CONTROL!$C$9, $D$9, 100%, $F$9) + CHOOSE(CONTROL!$C$27, 0.0021, 0)</f>
        <v>97.606899999999996</v>
      </c>
      <c r="L1037" s="10"/>
    </row>
    <row r="1038" spans="1:12" ht="15.75" x14ac:dyDescent="0.25">
      <c r="A1038" s="13">
        <v>72897</v>
      </c>
      <c r="B1038" s="10">
        <f>99.9592 * CHOOSE(CONTROL!$C$9, $D$9, 100%, $F$9) + CHOOSE(CONTROL!$C$27, 0.0021, 0)</f>
        <v>99.961299999999994</v>
      </c>
      <c r="C1038" s="10">
        <f>99.5269 * CHOOSE(CONTROL!$C$9, $D$9, 100%, $F$9) + CHOOSE(CONTROL!$C$27, 0.0021, 0)</f>
        <v>99.528999999999996</v>
      </c>
      <c r="D1038" s="10">
        <f>99.5269 * CHOOSE(CONTROL!$C$9, $D$9, 100%, $F$9) + CHOOSE(CONTROL!$C$27, 0.0021, 0)</f>
        <v>99.528999999999996</v>
      </c>
      <c r="E1038" s="10">
        <f>99.3902 * CHOOSE(CONTROL!$C$9, $D$9, 100%, $F$9) + CHOOSE(CONTROL!$C$27, 0.0021, 0)</f>
        <v>99.392299999999992</v>
      </c>
      <c r="F1038" s="10">
        <f>99.3902 * CHOOSE(CONTROL!$C$9, $D$9, 100%, $F$9) + CHOOSE(CONTROL!$C$27, 0.0021, 0)</f>
        <v>99.392299999999992</v>
      </c>
      <c r="G1038" s="10">
        <f>99.6616 * CHOOSE(CONTROL!$C$9, $D$9, 100%, $F$9) + CHOOSE(CONTROL!$C$27, 0.0021, 0)</f>
        <v>99.663700000000006</v>
      </c>
      <c r="H1038" s="10">
        <f>99.5269 * CHOOSE(CONTROL!$C$9, $D$9, 100%, $F$9) + CHOOSE(CONTROL!$C$27, 0.0021, 0)</f>
        <v>99.528999999999996</v>
      </c>
      <c r="I1038" s="10">
        <f>99.5269 * CHOOSE(CONTROL!$C$9, $D$9, 100%, $F$9) + CHOOSE(CONTROL!$C$27, 0.0021, 0)</f>
        <v>99.528999999999996</v>
      </c>
      <c r="J1038" s="10">
        <f>99.5269 * CHOOSE(CONTROL!$C$9, $D$9, 100%, $F$9) + CHOOSE(CONTROL!$C$27, 0.0021, 0)</f>
        <v>99.528999999999996</v>
      </c>
      <c r="K1038" s="10">
        <f>99.5269 * CHOOSE(CONTROL!$C$9, $D$9, 100%, $F$9) + CHOOSE(CONTROL!$C$27, 0.0021, 0)</f>
        <v>99.528999999999996</v>
      </c>
      <c r="L1038" s="10"/>
    </row>
    <row r="1039" spans="1:12" ht="15.75" x14ac:dyDescent="0.25">
      <c r="A1039" s="13">
        <v>72928</v>
      </c>
      <c r="B1039" s="10">
        <f>100.5458 * CHOOSE(CONTROL!$C$9, $D$9, 100%, $F$9) + CHOOSE(CONTROL!$C$27, 0.0021, 0)</f>
        <v>100.5479</v>
      </c>
      <c r="C1039" s="10">
        <f>100.1136 * CHOOSE(CONTROL!$C$9, $D$9, 100%, $F$9) + CHOOSE(CONTROL!$C$27, 0.0021, 0)</f>
        <v>100.1157</v>
      </c>
      <c r="D1039" s="10">
        <f>100.1136 * CHOOSE(CONTROL!$C$9, $D$9, 100%, $F$9) + CHOOSE(CONTROL!$C$27, 0.0021, 0)</f>
        <v>100.1157</v>
      </c>
      <c r="E1039" s="10">
        <f>99.9769 * CHOOSE(CONTROL!$C$9, $D$9, 100%, $F$9) + CHOOSE(CONTROL!$C$27, 0.0021, 0)</f>
        <v>99.978999999999999</v>
      </c>
      <c r="F1039" s="10">
        <f>99.9769 * CHOOSE(CONTROL!$C$9, $D$9, 100%, $F$9) + CHOOSE(CONTROL!$C$27, 0.0021, 0)</f>
        <v>99.978999999999999</v>
      </c>
      <c r="G1039" s="10">
        <f>100.2483 * CHOOSE(CONTROL!$C$9, $D$9, 100%, $F$9) + CHOOSE(CONTROL!$C$27, 0.0021, 0)</f>
        <v>100.2504</v>
      </c>
      <c r="H1039" s="10">
        <f>100.1136 * CHOOSE(CONTROL!$C$9, $D$9, 100%, $F$9) + CHOOSE(CONTROL!$C$27, 0.0021, 0)</f>
        <v>100.1157</v>
      </c>
      <c r="I1039" s="10">
        <f>100.1136 * CHOOSE(CONTROL!$C$9, $D$9, 100%, $F$9) + CHOOSE(CONTROL!$C$27, 0.0021, 0)</f>
        <v>100.1157</v>
      </c>
      <c r="J1039" s="10">
        <f>100.1136 * CHOOSE(CONTROL!$C$9, $D$9, 100%, $F$9) + CHOOSE(CONTROL!$C$27, 0.0021, 0)</f>
        <v>100.1157</v>
      </c>
      <c r="K1039" s="10">
        <f>100.1136 * CHOOSE(CONTROL!$C$9, $D$9, 100%, $F$9) + CHOOSE(CONTROL!$C$27, 0.0021, 0)</f>
        <v>100.1157</v>
      </c>
      <c r="L1039" s="10"/>
    </row>
    <row r="1040" spans="1:12" ht="15.75" x14ac:dyDescent="0.25">
      <c r="A1040" s="13">
        <v>72958</v>
      </c>
      <c r="B1040" s="10">
        <f>102.5438 * CHOOSE(CONTROL!$C$9, $D$9, 100%, $F$9) + CHOOSE(CONTROL!$C$27, 0.0021, 0)</f>
        <v>102.5459</v>
      </c>
      <c r="C1040" s="10">
        <f>102.1116 * CHOOSE(CONTROL!$C$9, $D$9, 100%, $F$9) + CHOOSE(CONTROL!$C$27, 0.0021, 0)</f>
        <v>102.11369999999999</v>
      </c>
      <c r="D1040" s="10">
        <f>102.1116 * CHOOSE(CONTROL!$C$9, $D$9, 100%, $F$9) + CHOOSE(CONTROL!$C$27, 0.0021, 0)</f>
        <v>102.11369999999999</v>
      </c>
      <c r="E1040" s="10">
        <f>101.9749 * CHOOSE(CONTROL!$C$9, $D$9, 100%, $F$9) + CHOOSE(CONTROL!$C$27, 0.0021, 0)</f>
        <v>101.977</v>
      </c>
      <c r="F1040" s="10">
        <f>101.9749 * CHOOSE(CONTROL!$C$9, $D$9, 100%, $F$9) + CHOOSE(CONTROL!$C$27, 0.0021, 0)</f>
        <v>101.977</v>
      </c>
      <c r="G1040" s="10">
        <f>102.2463 * CHOOSE(CONTROL!$C$9, $D$9, 100%, $F$9) + CHOOSE(CONTROL!$C$27, 0.0021, 0)</f>
        <v>102.2484</v>
      </c>
      <c r="H1040" s="10">
        <f>102.1116 * CHOOSE(CONTROL!$C$9, $D$9, 100%, $F$9) + CHOOSE(CONTROL!$C$27, 0.0021, 0)</f>
        <v>102.11369999999999</v>
      </c>
      <c r="I1040" s="10">
        <f>102.1116 * CHOOSE(CONTROL!$C$9, $D$9, 100%, $F$9) + CHOOSE(CONTROL!$C$27, 0.0021, 0)</f>
        <v>102.11369999999999</v>
      </c>
      <c r="J1040" s="10">
        <f>102.1116 * CHOOSE(CONTROL!$C$9, $D$9, 100%, $F$9) + CHOOSE(CONTROL!$C$27, 0.0021, 0)</f>
        <v>102.11369999999999</v>
      </c>
      <c r="K1040" s="10">
        <f>102.1116 * CHOOSE(CONTROL!$C$9, $D$9, 100%, $F$9) + CHOOSE(CONTROL!$C$27, 0.0021, 0)</f>
        <v>102.11369999999999</v>
      </c>
      <c r="L1040" s="10"/>
    </row>
    <row r="1041" spans="1:12" ht="15.75" x14ac:dyDescent="0.25">
      <c r="A1041" s="13">
        <v>72989</v>
      </c>
      <c r="B1041" s="10">
        <f>105.0729 * CHOOSE(CONTROL!$C$9, $D$9, 100%, $F$9) + CHOOSE(CONTROL!$C$27, 0.0021, 0)</f>
        <v>105.075</v>
      </c>
      <c r="C1041" s="10">
        <f>104.6407 * CHOOSE(CONTROL!$C$9, $D$9, 100%, $F$9) + CHOOSE(CONTROL!$C$27, 0.0021, 0)</f>
        <v>104.64279999999999</v>
      </c>
      <c r="D1041" s="10">
        <f>104.6407 * CHOOSE(CONTROL!$C$9, $D$9, 100%, $F$9) + CHOOSE(CONTROL!$C$27, 0.0021, 0)</f>
        <v>104.64279999999999</v>
      </c>
      <c r="E1041" s="10">
        <f>104.504 * CHOOSE(CONTROL!$C$9, $D$9, 100%, $F$9) + CHOOSE(CONTROL!$C$27, 0.0021, 0)</f>
        <v>104.5061</v>
      </c>
      <c r="F1041" s="10">
        <f>104.504 * CHOOSE(CONTROL!$C$9, $D$9, 100%, $F$9) + CHOOSE(CONTROL!$C$27, 0.0021, 0)</f>
        <v>104.5061</v>
      </c>
      <c r="G1041" s="10">
        <f>104.7754 * CHOOSE(CONTROL!$C$9, $D$9, 100%, $F$9) + CHOOSE(CONTROL!$C$27, 0.0021, 0)</f>
        <v>104.7775</v>
      </c>
      <c r="H1041" s="10">
        <f>104.6407 * CHOOSE(CONTROL!$C$9, $D$9, 100%, $F$9) + CHOOSE(CONTROL!$C$27, 0.0021, 0)</f>
        <v>104.64279999999999</v>
      </c>
      <c r="I1041" s="10">
        <f>104.6407 * CHOOSE(CONTROL!$C$9, $D$9, 100%, $F$9) + CHOOSE(CONTROL!$C$27, 0.0021, 0)</f>
        <v>104.64279999999999</v>
      </c>
      <c r="J1041" s="10">
        <f>104.6407 * CHOOSE(CONTROL!$C$9, $D$9, 100%, $F$9) + CHOOSE(CONTROL!$C$27, 0.0021, 0)</f>
        <v>104.64279999999999</v>
      </c>
      <c r="K1041" s="10">
        <f>104.6407 * CHOOSE(CONTROL!$C$9, $D$9, 100%, $F$9) + CHOOSE(CONTROL!$C$27, 0.0021, 0)</f>
        <v>104.64279999999999</v>
      </c>
      <c r="L1041" s="10"/>
    </row>
    <row r="1042" spans="1:12" ht="15.75" x14ac:dyDescent="0.25">
      <c r="A1042" s="13">
        <v>73019</v>
      </c>
      <c r="B1042" s="10">
        <f>105.3104 * CHOOSE(CONTROL!$C$9, $D$9, 100%, $F$9) + CHOOSE(CONTROL!$C$27, 0.0021, 0)</f>
        <v>105.3125</v>
      </c>
      <c r="C1042" s="10">
        <f>104.8781 * CHOOSE(CONTROL!$C$9, $D$9, 100%, $F$9) + CHOOSE(CONTROL!$C$27, 0.0021, 0)</f>
        <v>104.8802</v>
      </c>
      <c r="D1042" s="10">
        <f>104.8781 * CHOOSE(CONTROL!$C$9, $D$9, 100%, $F$9) + CHOOSE(CONTROL!$C$27, 0.0021, 0)</f>
        <v>104.8802</v>
      </c>
      <c r="E1042" s="10">
        <f>104.7415 * CHOOSE(CONTROL!$C$9, $D$9, 100%, $F$9) + CHOOSE(CONTROL!$C$27, 0.0021, 0)</f>
        <v>104.7436</v>
      </c>
      <c r="F1042" s="10">
        <f>104.7415 * CHOOSE(CONTROL!$C$9, $D$9, 100%, $F$9) + CHOOSE(CONTROL!$C$27, 0.0021, 0)</f>
        <v>104.7436</v>
      </c>
      <c r="G1042" s="10">
        <f>105.0128 * CHOOSE(CONTROL!$C$9, $D$9, 100%, $F$9) + CHOOSE(CONTROL!$C$27, 0.0021, 0)</f>
        <v>105.0149</v>
      </c>
      <c r="H1042" s="10">
        <f>104.8781 * CHOOSE(CONTROL!$C$9, $D$9, 100%, $F$9) + CHOOSE(CONTROL!$C$27, 0.0021, 0)</f>
        <v>104.8802</v>
      </c>
      <c r="I1042" s="10">
        <f>104.8781 * CHOOSE(CONTROL!$C$9, $D$9, 100%, $F$9) + CHOOSE(CONTROL!$C$27, 0.0021, 0)</f>
        <v>104.8802</v>
      </c>
      <c r="J1042" s="10">
        <f>104.8781 * CHOOSE(CONTROL!$C$9, $D$9, 100%, $F$9) + CHOOSE(CONTROL!$C$27, 0.0021, 0)</f>
        <v>104.8802</v>
      </c>
      <c r="K1042" s="10">
        <f>104.8781 * CHOOSE(CONTROL!$C$9, $D$9, 100%, $F$9) + CHOOSE(CONTROL!$C$27, 0.0021, 0)</f>
        <v>104.8802</v>
      </c>
      <c r="L1042" s="10"/>
    </row>
    <row r="1043" spans="1:12" ht="15.75" x14ac:dyDescent="0.25">
      <c r="A1043" s="13">
        <v>73050</v>
      </c>
      <c r="B1043" s="10">
        <f>103.2904 * CHOOSE(CONTROL!$C$9, $D$9, 100%, $F$9) + CHOOSE(CONTROL!$C$27, 0.0021, 0)</f>
        <v>103.2925</v>
      </c>
      <c r="C1043" s="10">
        <f>102.8582 * CHOOSE(CONTROL!$C$9, $D$9, 100%, $F$9) + CHOOSE(CONTROL!$C$27, 0.0021, 0)</f>
        <v>102.8603</v>
      </c>
      <c r="D1043" s="10">
        <f>102.8582 * CHOOSE(CONTROL!$C$9, $D$9, 100%, $F$9) + CHOOSE(CONTROL!$C$27, 0.0021, 0)</f>
        <v>102.8603</v>
      </c>
      <c r="E1043" s="10">
        <f>102.7215 * CHOOSE(CONTROL!$C$9, $D$9, 100%, $F$9) + CHOOSE(CONTROL!$C$27, 0.0021, 0)</f>
        <v>102.7236</v>
      </c>
      <c r="F1043" s="10">
        <f>102.7215 * CHOOSE(CONTROL!$C$9, $D$9, 100%, $F$9) + CHOOSE(CONTROL!$C$27, 0.0021, 0)</f>
        <v>102.7236</v>
      </c>
      <c r="G1043" s="10">
        <f>102.9929 * CHOOSE(CONTROL!$C$9, $D$9, 100%, $F$9) + CHOOSE(CONTROL!$C$27, 0.0021, 0)</f>
        <v>102.995</v>
      </c>
      <c r="H1043" s="10">
        <f>102.8582 * CHOOSE(CONTROL!$C$9, $D$9, 100%, $F$9) + CHOOSE(CONTROL!$C$27, 0.0021, 0)</f>
        <v>102.8603</v>
      </c>
      <c r="I1043" s="10">
        <f>102.8582 * CHOOSE(CONTROL!$C$9, $D$9, 100%, $F$9) + CHOOSE(CONTROL!$C$27, 0.0021, 0)</f>
        <v>102.8603</v>
      </c>
      <c r="J1043" s="10">
        <f>102.8582 * CHOOSE(CONTROL!$C$9, $D$9, 100%, $F$9) + CHOOSE(CONTROL!$C$27, 0.0021, 0)</f>
        <v>102.8603</v>
      </c>
      <c r="K1043" s="10">
        <f>102.8582 * CHOOSE(CONTROL!$C$9, $D$9, 100%, $F$9) + CHOOSE(CONTROL!$C$27, 0.0021, 0)</f>
        <v>102.8603</v>
      </c>
      <c r="L1043" s="10"/>
    </row>
    <row r="1044" spans="1:12" ht="15.75" x14ac:dyDescent="0.25">
      <c r="A1044" s="13">
        <v>73081</v>
      </c>
      <c r="B1044" s="10">
        <f>101.7439 * CHOOSE(CONTROL!$C$9, $D$9, 100%, $F$9) + CHOOSE(CONTROL!$C$27, 0.0021, 0)</f>
        <v>101.746</v>
      </c>
      <c r="C1044" s="10">
        <f>101.3116 * CHOOSE(CONTROL!$C$9, $D$9, 100%, $F$9) + CHOOSE(CONTROL!$C$27, 0.0021, 0)</f>
        <v>101.3137</v>
      </c>
      <c r="D1044" s="10">
        <f>101.3116 * CHOOSE(CONTROL!$C$9, $D$9, 100%, $F$9) + CHOOSE(CONTROL!$C$27, 0.0021, 0)</f>
        <v>101.3137</v>
      </c>
      <c r="E1044" s="10">
        <f>101.175 * CHOOSE(CONTROL!$C$9, $D$9, 100%, $F$9) + CHOOSE(CONTROL!$C$27, 0.0021, 0)</f>
        <v>101.1771</v>
      </c>
      <c r="F1044" s="10">
        <f>101.175 * CHOOSE(CONTROL!$C$9, $D$9, 100%, $F$9) + CHOOSE(CONTROL!$C$27, 0.0021, 0)</f>
        <v>101.1771</v>
      </c>
      <c r="G1044" s="10">
        <f>101.4464 * CHOOSE(CONTROL!$C$9, $D$9, 100%, $F$9) + CHOOSE(CONTROL!$C$27, 0.0021, 0)</f>
        <v>101.4485</v>
      </c>
      <c r="H1044" s="10">
        <f>101.3116 * CHOOSE(CONTROL!$C$9, $D$9, 100%, $F$9) + CHOOSE(CONTROL!$C$27, 0.0021, 0)</f>
        <v>101.3137</v>
      </c>
      <c r="I1044" s="10">
        <f>101.3116 * CHOOSE(CONTROL!$C$9, $D$9, 100%, $F$9) + CHOOSE(CONTROL!$C$27, 0.0021, 0)</f>
        <v>101.3137</v>
      </c>
      <c r="J1044" s="10">
        <f>101.3116 * CHOOSE(CONTROL!$C$9, $D$9, 100%, $F$9) + CHOOSE(CONTROL!$C$27, 0.0021, 0)</f>
        <v>101.3137</v>
      </c>
      <c r="K1044" s="10">
        <f>101.3116 * CHOOSE(CONTROL!$C$9, $D$9, 100%, $F$9) + CHOOSE(CONTROL!$C$27, 0.0021, 0)</f>
        <v>101.3137</v>
      </c>
      <c r="L1044" s="10"/>
    </row>
    <row r="1045" spans="1:12" ht="15.75" x14ac:dyDescent="0.25">
      <c r="A1045" s="13">
        <v>73109</v>
      </c>
      <c r="B1045" s="10">
        <f>98.9309 * CHOOSE(CONTROL!$C$9, $D$9, 100%, $F$9) + CHOOSE(CONTROL!$C$27, 0.0021, 0)</f>
        <v>98.932999999999993</v>
      </c>
      <c r="C1045" s="10">
        <f>98.4986 * CHOOSE(CONTROL!$C$9, $D$9, 100%, $F$9) + CHOOSE(CONTROL!$C$27, 0.0021, 0)</f>
        <v>98.500699999999995</v>
      </c>
      <c r="D1045" s="10">
        <f>98.4986 * CHOOSE(CONTROL!$C$9, $D$9, 100%, $F$9) + CHOOSE(CONTROL!$C$27, 0.0021, 0)</f>
        <v>98.500699999999995</v>
      </c>
      <c r="E1045" s="10">
        <f>98.3619 * CHOOSE(CONTROL!$C$9, $D$9, 100%, $F$9) + CHOOSE(CONTROL!$C$27, 0.0021, 0)</f>
        <v>98.364000000000004</v>
      </c>
      <c r="F1045" s="10">
        <f>98.3619 * CHOOSE(CONTROL!$C$9, $D$9, 100%, $F$9) + CHOOSE(CONTROL!$C$27, 0.0021, 0)</f>
        <v>98.364000000000004</v>
      </c>
      <c r="G1045" s="10">
        <f>98.6333 * CHOOSE(CONTROL!$C$9, $D$9, 100%, $F$9) + CHOOSE(CONTROL!$C$27, 0.0021, 0)</f>
        <v>98.635400000000004</v>
      </c>
      <c r="H1045" s="10">
        <f>98.4986 * CHOOSE(CONTROL!$C$9, $D$9, 100%, $F$9) + CHOOSE(CONTROL!$C$27, 0.0021, 0)</f>
        <v>98.500699999999995</v>
      </c>
      <c r="I1045" s="10">
        <f>98.4986 * CHOOSE(CONTROL!$C$9, $D$9, 100%, $F$9) + CHOOSE(CONTROL!$C$27, 0.0021, 0)</f>
        <v>98.500699999999995</v>
      </c>
      <c r="J1045" s="10">
        <f>98.4986 * CHOOSE(CONTROL!$C$9, $D$9, 100%, $F$9) + CHOOSE(CONTROL!$C$27, 0.0021, 0)</f>
        <v>98.500699999999995</v>
      </c>
      <c r="K1045" s="10">
        <f>98.4986 * CHOOSE(CONTROL!$C$9, $D$9, 100%, $F$9) + CHOOSE(CONTROL!$C$27, 0.0021, 0)</f>
        <v>98.500699999999995</v>
      </c>
      <c r="L1045" s="10"/>
    </row>
    <row r="1046" spans="1:12" ht="15.75" x14ac:dyDescent="0.25">
      <c r="A1046" s="13">
        <v>73140</v>
      </c>
      <c r="B1046" s="10">
        <f>97.7696 * CHOOSE(CONTROL!$C$9, $D$9, 100%, $F$9) + CHOOSE(CONTROL!$C$27, 0.0021, 0)</f>
        <v>97.771699999999996</v>
      </c>
      <c r="C1046" s="10">
        <f>97.3374 * CHOOSE(CONTROL!$C$9, $D$9, 100%, $F$9) + CHOOSE(CONTROL!$C$27, 0.0021, 0)</f>
        <v>97.339500000000001</v>
      </c>
      <c r="D1046" s="10">
        <f>97.3374 * CHOOSE(CONTROL!$C$9, $D$9, 100%, $F$9) + CHOOSE(CONTROL!$C$27, 0.0021, 0)</f>
        <v>97.339500000000001</v>
      </c>
      <c r="E1046" s="10">
        <f>97.2007 * CHOOSE(CONTROL!$C$9, $D$9, 100%, $F$9) + CHOOSE(CONTROL!$C$27, 0.0021, 0)</f>
        <v>97.202799999999996</v>
      </c>
      <c r="F1046" s="10">
        <f>97.2007 * CHOOSE(CONTROL!$C$9, $D$9, 100%, $F$9) + CHOOSE(CONTROL!$C$27, 0.0021, 0)</f>
        <v>97.202799999999996</v>
      </c>
      <c r="G1046" s="10">
        <f>97.4721 * CHOOSE(CONTROL!$C$9, $D$9, 100%, $F$9) + CHOOSE(CONTROL!$C$27, 0.0021, 0)</f>
        <v>97.474199999999996</v>
      </c>
      <c r="H1046" s="10">
        <f>97.3374 * CHOOSE(CONTROL!$C$9, $D$9, 100%, $F$9) + CHOOSE(CONTROL!$C$27, 0.0021, 0)</f>
        <v>97.339500000000001</v>
      </c>
      <c r="I1046" s="10">
        <f>97.3374 * CHOOSE(CONTROL!$C$9, $D$9, 100%, $F$9) + CHOOSE(CONTROL!$C$27, 0.0021, 0)</f>
        <v>97.339500000000001</v>
      </c>
      <c r="J1046" s="10">
        <f>97.3374 * CHOOSE(CONTROL!$C$9, $D$9, 100%, $F$9) + CHOOSE(CONTROL!$C$27, 0.0021, 0)</f>
        <v>97.339500000000001</v>
      </c>
      <c r="K1046" s="10">
        <f>97.3374 * CHOOSE(CONTROL!$C$9, $D$9, 100%, $F$9) + CHOOSE(CONTROL!$C$27, 0.0021, 0)</f>
        <v>97.339500000000001</v>
      </c>
      <c r="L1046" s="10"/>
    </row>
    <row r="1047" spans="1:12" ht="15.75" x14ac:dyDescent="0.25">
      <c r="A1047" s="13">
        <v>73170</v>
      </c>
      <c r="B1047" s="10">
        <f>96.3831 * CHOOSE(CONTROL!$C$9, $D$9, 100%, $F$9) + CHOOSE(CONTROL!$C$27, 0.0021, 0)</f>
        <v>96.385199999999998</v>
      </c>
      <c r="C1047" s="10">
        <f>95.9509 * CHOOSE(CONTROL!$C$9, $D$9, 100%, $F$9) + CHOOSE(CONTROL!$C$27, 0.0021, 0)</f>
        <v>95.953000000000003</v>
      </c>
      <c r="D1047" s="10">
        <f>95.9509 * CHOOSE(CONTROL!$C$9, $D$9, 100%, $F$9) + CHOOSE(CONTROL!$C$27, 0.0021, 0)</f>
        <v>95.953000000000003</v>
      </c>
      <c r="E1047" s="10">
        <f>95.8142 * CHOOSE(CONTROL!$C$9, $D$9, 100%, $F$9) + CHOOSE(CONTROL!$C$27, 0.0021, 0)</f>
        <v>95.816299999999998</v>
      </c>
      <c r="F1047" s="10">
        <f>95.8142 * CHOOSE(CONTROL!$C$9, $D$9, 100%, $F$9) + CHOOSE(CONTROL!$C$27, 0.0021, 0)</f>
        <v>95.816299999999998</v>
      </c>
      <c r="G1047" s="10">
        <f>96.0856 * CHOOSE(CONTROL!$C$9, $D$9, 100%, $F$9) + CHOOSE(CONTROL!$C$27, 0.0021, 0)</f>
        <v>96.087699999999998</v>
      </c>
      <c r="H1047" s="10">
        <f>95.9509 * CHOOSE(CONTROL!$C$9, $D$9, 100%, $F$9) + CHOOSE(CONTROL!$C$27, 0.0021, 0)</f>
        <v>95.953000000000003</v>
      </c>
      <c r="I1047" s="10">
        <f>95.9509 * CHOOSE(CONTROL!$C$9, $D$9, 100%, $F$9) + CHOOSE(CONTROL!$C$27, 0.0021, 0)</f>
        <v>95.953000000000003</v>
      </c>
      <c r="J1047" s="10">
        <f>95.9509 * CHOOSE(CONTROL!$C$9, $D$9, 100%, $F$9) + CHOOSE(CONTROL!$C$27, 0.0021, 0)</f>
        <v>95.953000000000003</v>
      </c>
      <c r="K1047" s="10">
        <f>95.9509 * CHOOSE(CONTROL!$C$9, $D$9, 100%, $F$9) + CHOOSE(CONTROL!$C$27, 0.0021, 0)</f>
        <v>95.953000000000003</v>
      </c>
      <c r="L1047" s="10"/>
    </row>
    <row r="1048" spans="1:12" ht="15.75" x14ac:dyDescent="0.25">
      <c r="A1048" s="13">
        <v>73201</v>
      </c>
      <c r="B1048" s="10">
        <f>98.3591 * CHOOSE(CONTROL!$C$9, $D$9, 100%, $F$9) + CHOOSE(CONTROL!$C$27, 0.0021, 0)</f>
        <v>98.361199999999997</v>
      </c>
      <c r="C1048" s="10">
        <f>97.9268 * CHOOSE(CONTROL!$C$9, $D$9, 100%, $F$9) + CHOOSE(CONTROL!$C$27, 0.0021, 0)</f>
        <v>97.928899999999999</v>
      </c>
      <c r="D1048" s="10">
        <f>97.9268 * CHOOSE(CONTROL!$C$9, $D$9, 100%, $F$9) + CHOOSE(CONTROL!$C$27, 0.0021, 0)</f>
        <v>97.928899999999999</v>
      </c>
      <c r="E1048" s="10">
        <f>97.7902 * CHOOSE(CONTROL!$C$9, $D$9, 100%, $F$9) + CHOOSE(CONTROL!$C$27, 0.0021, 0)</f>
        <v>97.792299999999997</v>
      </c>
      <c r="F1048" s="10">
        <f>97.7902 * CHOOSE(CONTROL!$C$9, $D$9, 100%, $F$9) + CHOOSE(CONTROL!$C$27, 0.0021, 0)</f>
        <v>97.792299999999997</v>
      </c>
      <c r="G1048" s="10">
        <f>98.0615 * CHOOSE(CONTROL!$C$9, $D$9, 100%, $F$9) + CHOOSE(CONTROL!$C$27, 0.0021, 0)</f>
        <v>98.063599999999994</v>
      </c>
      <c r="H1048" s="10">
        <f>97.9268 * CHOOSE(CONTROL!$C$9, $D$9, 100%, $F$9) + CHOOSE(CONTROL!$C$27, 0.0021, 0)</f>
        <v>97.928899999999999</v>
      </c>
      <c r="I1048" s="10">
        <f>97.9268 * CHOOSE(CONTROL!$C$9, $D$9, 100%, $F$9) + CHOOSE(CONTROL!$C$27, 0.0021, 0)</f>
        <v>97.928899999999999</v>
      </c>
      <c r="J1048" s="10">
        <f>97.9268 * CHOOSE(CONTROL!$C$9, $D$9, 100%, $F$9) + CHOOSE(CONTROL!$C$27, 0.0021, 0)</f>
        <v>97.928899999999999</v>
      </c>
      <c r="K1048" s="10">
        <f>97.9268 * CHOOSE(CONTROL!$C$9, $D$9, 100%, $F$9) + CHOOSE(CONTROL!$C$27, 0.0021, 0)</f>
        <v>97.928899999999999</v>
      </c>
      <c r="L1048" s="10"/>
    </row>
    <row r="1049" spans="1:12" ht="15.75" x14ac:dyDescent="0.25">
      <c r="A1049" s="13">
        <v>73231</v>
      </c>
      <c r="B1049" s="10">
        <f>99.5426 * CHOOSE(CONTROL!$C$9, $D$9, 100%, $F$9) + CHOOSE(CONTROL!$C$27, 0.0021, 0)</f>
        <v>99.544699999999992</v>
      </c>
      <c r="C1049" s="10">
        <f>99.1103 * CHOOSE(CONTROL!$C$9, $D$9, 100%, $F$9) + CHOOSE(CONTROL!$C$27, 0.0021, 0)</f>
        <v>99.112399999999994</v>
      </c>
      <c r="D1049" s="10">
        <f>99.1103 * CHOOSE(CONTROL!$C$9, $D$9, 100%, $F$9) + CHOOSE(CONTROL!$C$27, 0.0021, 0)</f>
        <v>99.112399999999994</v>
      </c>
      <c r="E1049" s="10">
        <f>98.9737 * CHOOSE(CONTROL!$C$9, $D$9, 100%, $F$9) + CHOOSE(CONTROL!$C$27, 0.0021, 0)</f>
        <v>98.975799999999992</v>
      </c>
      <c r="F1049" s="10">
        <f>98.9737 * CHOOSE(CONTROL!$C$9, $D$9, 100%, $F$9) + CHOOSE(CONTROL!$C$27, 0.0021, 0)</f>
        <v>98.975799999999992</v>
      </c>
      <c r="G1049" s="10">
        <f>99.2451 * CHOOSE(CONTROL!$C$9, $D$9, 100%, $F$9) + CHOOSE(CONTROL!$C$27, 0.0021, 0)</f>
        <v>99.247199999999992</v>
      </c>
      <c r="H1049" s="10">
        <f>99.1103 * CHOOSE(CONTROL!$C$9, $D$9, 100%, $F$9) + CHOOSE(CONTROL!$C$27, 0.0021, 0)</f>
        <v>99.112399999999994</v>
      </c>
      <c r="I1049" s="10">
        <f>99.1103 * CHOOSE(CONTROL!$C$9, $D$9, 100%, $F$9) + CHOOSE(CONTROL!$C$27, 0.0021, 0)</f>
        <v>99.112399999999994</v>
      </c>
      <c r="J1049" s="10">
        <f>99.1103 * CHOOSE(CONTROL!$C$9, $D$9, 100%, $F$9) + CHOOSE(CONTROL!$C$27, 0.0021, 0)</f>
        <v>99.112399999999994</v>
      </c>
      <c r="K1049" s="10">
        <f>99.1103 * CHOOSE(CONTROL!$C$9, $D$9, 100%, $F$9) + CHOOSE(CONTROL!$C$27, 0.0021, 0)</f>
        <v>99.112399999999994</v>
      </c>
      <c r="L1049" s="10"/>
    </row>
    <row r="1050" spans="1:12" ht="15.75" x14ac:dyDescent="0.25">
      <c r="A1050" s="13">
        <v>73262</v>
      </c>
      <c r="B1050" s="10">
        <f>101.495 * CHOOSE(CONTROL!$C$9, $D$9, 100%, $F$9) + CHOOSE(CONTROL!$C$27, 0.0021, 0)</f>
        <v>101.4971</v>
      </c>
      <c r="C1050" s="10">
        <f>101.0627 * CHOOSE(CONTROL!$C$9, $D$9, 100%, $F$9) + CHOOSE(CONTROL!$C$27, 0.0021, 0)</f>
        <v>101.06480000000001</v>
      </c>
      <c r="D1050" s="10">
        <f>101.0627 * CHOOSE(CONTROL!$C$9, $D$9, 100%, $F$9) + CHOOSE(CONTROL!$C$27, 0.0021, 0)</f>
        <v>101.06480000000001</v>
      </c>
      <c r="E1050" s="10">
        <f>100.926 * CHOOSE(CONTROL!$C$9, $D$9, 100%, $F$9) + CHOOSE(CONTROL!$C$27, 0.0021, 0)</f>
        <v>100.9281</v>
      </c>
      <c r="F1050" s="10">
        <f>100.926 * CHOOSE(CONTROL!$C$9, $D$9, 100%, $F$9) + CHOOSE(CONTROL!$C$27, 0.0021, 0)</f>
        <v>100.9281</v>
      </c>
      <c r="G1050" s="10">
        <f>101.1974 * CHOOSE(CONTROL!$C$9, $D$9, 100%, $F$9) + CHOOSE(CONTROL!$C$27, 0.0021, 0)</f>
        <v>101.1995</v>
      </c>
      <c r="H1050" s="10">
        <f>101.0627 * CHOOSE(CONTROL!$C$9, $D$9, 100%, $F$9) + CHOOSE(CONTROL!$C$27, 0.0021, 0)</f>
        <v>101.06480000000001</v>
      </c>
      <c r="I1050" s="10">
        <f>101.0627 * CHOOSE(CONTROL!$C$9, $D$9, 100%, $F$9) + CHOOSE(CONTROL!$C$27, 0.0021, 0)</f>
        <v>101.06480000000001</v>
      </c>
      <c r="J1050" s="10">
        <f>101.0627 * CHOOSE(CONTROL!$C$9, $D$9, 100%, $F$9) + CHOOSE(CONTROL!$C$27, 0.0021, 0)</f>
        <v>101.06480000000001</v>
      </c>
      <c r="K1050" s="10">
        <f>101.0627 * CHOOSE(CONTROL!$C$9, $D$9, 100%, $F$9) + CHOOSE(CONTROL!$C$27, 0.0021, 0)</f>
        <v>101.06480000000001</v>
      </c>
      <c r="L1050" s="10"/>
    </row>
    <row r="1051" spans="1:12" ht="15.75" x14ac:dyDescent="0.25">
      <c r="A1051" s="13">
        <v>73293</v>
      </c>
      <c r="B1051" s="10">
        <f>102.0909 * CHOOSE(CONTROL!$C$9, $D$9, 100%, $F$9) + CHOOSE(CONTROL!$C$27, 0.0021, 0)</f>
        <v>102.093</v>
      </c>
      <c r="C1051" s="10">
        <f>101.6586 * CHOOSE(CONTROL!$C$9, $D$9, 100%, $F$9) + CHOOSE(CONTROL!$C$27, 0.0021, 0)</f>
        <v>101.66070000000001</v>
      </c>
      <c r="D1051" s="10">
        <f>101.6586 * CHOOSE(CONTROL!$C$9, $D$9, 100%, $F$9) + CHOOSE(CONTROL!$C$27, 0.0021, 0)</f>
        <v>101.66070000000001</v>
      </c>
      <c r="E1051" s="10">
        <f>101.522 * CHOOSE(CONTROL!$C$9, $D$9, 100%, $F$9) + CHOOSE(CONTROL!$C$27, 0.0021, 0)</f>
        <v>101.5241</v>
      </c>
      <c r="F1051" s="10">
        <f>101.522 * CHOOSE(CONTROL!$C$9, $D$9, 100%, $F$9) + CHOOSE(CONTROL!$C$27, 0.0021, 0)</f>
        <v>101.5241</v>
      </c>
      <c r="G1051" s="10">
        <f>101.7933 * CHOOSE(CONTROL!$C$9, $D$9, 100%, $F$9) + CHOOSE(CONTROL!$C$27, 0.0021, 0)</f>
        <v>101.7954</v>
      </c>
      <c r="H1051" s="10">
        <f>101.6586 * CHOOSE(CONTROL!$C$9, $D$9, 100%, $F$9) + CHOOSE(CONTROL!$C$27, 0.0021, 0)</f>
        <v>101.66070000000001</v>
      </c>
      <c r="I1051" s="10">
        <f>101.6586 * CHOOSE(CONTROL!$C$9, $D$9, 100%, $F$9) + CHOOSE(CONTROL!$C$27, 0.0021, 0)</f>
        <v>101.66070000000001</v>
      </c>
      <c r="J1051" s="10">
        <f>101.6586 * CHOOSE(CONTROL!$C$9, $D$9, 100%, $F$9) + CHOOSE(CONTROL!$C$27, 0.0021, 0)</f>
        <v>101.66070000000001</v>
      </c>
      <c r="K1051" s="10">
        <f>101.6586 * CHOOSE(CONTROL!$C$9, $D$9, 100%, $F$9) + CHOOSE(CONTROL!$C$27, 0.0021, 0)</f>
        <v>101.66070000000001</v>
      </c>
      <c r="L1051" s="10"/>
    </row>
    <row r="1052" spans="1:12" ht="15.75" x14ac:dyDescent="0.25">
      <c r="A1052" s="13">
        <v>73323</v>
      </c>
      <c r="B1052" s="10">
        <f>104.1203 * CHOOSE(CONTROL!$C$9, $D$9, 100%, $F$9) + CHOOSE(CONTROL!$C$27, 0.0021, 0)</f>
        <v>104.1224</v>
      </c>
      <c r="C1052" s="10">
        <f>103.688 * CHOOSE(CONTROL!$C$9, $D$9, 100%, $F$9) + CHOOSE(CONTROL!$C$27, 0.0021, 0)</f>
        <v>103.6901</v>
      </c>
      <c r="D1052" s="10">
        <f>103.688 * CHOOSE(CONTROL!$C$9, $D$9, 100%, $F$9) + CHOOSE(CONTROL!$C$27, 0.0021, 0)</f>
        <v>103.6901</v>
      </c>
      <c r="E1052" s="10">
        <f>103.5514 * CHOOSE(CONTROL!$C$9, $D$9, 100%, $F$9) + CHOOSE(CONTROL!$C$27, 0.0021, 0)</f>
        <v>103.5535</v>
      </c>
      <c r="F1052" s="10">
        <f>103.5514 * CHOOSE(CONTROL!$C$9, $D$9, 100%, $F$9) + CHOOSE(CONTROL!$C$27, 0.0021, 0)</f>
        <v>103.5535</v>
      </c>
      <c r="G1052" s="10">
        <f>103.8227 * CHOOSE(CONTROL!$C$9, $D$9, 100%, $F$9) + CHOOSE(CONTROL!$C$27, 0.0021, 0)</f>
        <v>103.8248</v>
      </c>
      <c r="H1052" s="10">
        <f>103.688 * CHOOSE(CONTROL!$C$9, $D$9, 100%, $F$9) + CHOOSE(CONTROL!$C$27, 0.0021, 0)</f>
        <v>103.6901</v>
      </c>
      <c r="I1052" s="10">
        <f>103.688 * CHOOSE(CONTROL!$C$9, $D$9, 100%, $F$9) + CHOOSE(CONTROL!$C$27, 0.0021, 0)</f>
        <v>103.6901</v>
      </c>
      <c r="J1052" s="10">
        <f>103.688 * CHOOSE(CONTROL!$C$9, $D$9, 100%, $F$9) + CHOOSE(CONTROL!$C$27, 0.0021, 0)</f>
        <v>103.6901</v>
      </c>
      <c r="K1052" s="10">
        <f>103.688 * CHOOSE(CONTROL!$C$9, $D$9, 100%, $F$9) + CHOOSE(CONTROL!$C$27, 0.0021, 0)</f>
        <v>103.6901</v>
      </c>
      <c r="L1052" s="10"/>
    </row>
    <row r="1053" spans="1:12" ht="15.75" x14ac:dyDescent="0.25">
      <c r="A1053" s="13">
        <v>73354</v>
      </c>
      <c r="B1053" s="10">
        <f>106.6891 * CHOOSE(CONTROL!$C$9, $D$9, 100%, $F$9) + CHOOSE(CONTROL!$C$27, 0.0021, 0)</f>
        <v>106.69119999999999</v>
      </c>
      <c r="C1053" s="10">
        <f>106.2569 * CHOOSE(CONTROL!$C$9, $D$9, 100%, $F$9) + CHOOSE(CONTROL!$C$27, 0.0021, 0)</f>
        <v>106.259</v>
      </c>
      <c r="D1053" s="10">
        <f>106.2569 * CHOOSE(CONTROL!$C$9, $D$9, 100%, $F$9) + CHOOSE(CONTROL!$C$27, 0.0021, 0)</f>
        <v>106.259</v>
      </c>
      <c r="E1053" s="10">
        <f>106.1202 * CHOOSE(CONTROL!$C$9, $D$9, 100%, $F$9) + CHOOSE(CONTROL!$C$27, 0.0021, 0)</f>
        <v>106.1223</v>
      </c>
      <c r="F1053" s="10">
        <f>106.1202 * CHOOSE(CONTROL!$C$9, $D$9, 100%, $F$9) + CHOOSE(CONTROL!$C$27, 0.0021, 0)</f>
        <v>106.1223</v>
      </c>
      <c r="G1053" s="10">
        <f>106.3916 * CHOOSE(CONTROL!$C$9, $D$9, 100%, $F$9) + CHOOSE(CONTROL!$C$27, 0.0021, 0)</f>
        <v>106.3937</v>
      </c>
      <c r="H1053" s="10">
        <f>106.2569 * CHOOSE(CONTROL!$C$9, $D$9, 100%, $F$9) + CHOOSE(CONTROL!$C$27, 0.0021, 0)</f>
        <v>106.259</v>
      </c>
      <c r="I1053" s="10">
        <f>106.2569 * CHOOSE(CONTROL!$C$9, $D$9, 100%, $F$9) + CHOOSE(CONTROL!$C$27, 0.0021, 0)</f>
        <v>106.259</v>
      </c>
      <c r="J1053" s="10">
        <f>106.2569 * CHOOSE(CONTROL!$C$9, $D$9, 100%, $F$9) + CHOOSE(CONTROL!$C$27, 0.0021, 0)</f>
        <v>106.259</v>
      </c>
      <c r="K1053" s="10">
        <f>106.2569 * CHOOSE(CONTROL!$C$9, $D$9, 100%, $F$9) + CHOOSE(CONTROL!$C$27, 0.0021, 0)</f>
        <v>106.259</v>
      </c>
      <c r="L1053" s="10"/>
    </row>
    <row r="1054" spans="1:12" ht="15.75" x14ac:dyDescent="0.25">
      <c r="A1054" s="13">
        <v>73384</v>
      </c>
      <c r="B1054" s="10">
        <f>106.9303 * CHOOSE(CONTROL!$C$9, $D$9, 100%, $F$9) + CHOOSE(CONTROL!$C$27, 0.0021, 0)</f>
        <v>106.9324</v>
      </c>
      <c r="C1054" s="10">
        <f>106.4981 * CHOOSE(CONTROL!$C$9, $D$9, 100%, $F$9) + CHOOSE(CONTROL!$C$27, 0.0021, 0)</f>
        <v>106.50019999999999</v>
      </c>
      <c r="D1054" s="10">
        <f>106.4981 * CHOOSE(CONTROL!$C$9, $D$9, 100%, $F$9) + CHOOSE(CONTROL!$C$27, 0.0021, 0)</f>
        <v>106.50019999999999</v>
      </c>
      <c r="E1054" s="10">
        <f>106.3614 * CHOOSE(CONTROL!$C$9, $D$9, 100%, $F$9) + CHOOSE(CONTROL!$C$27, 0.0021, 0)</f>
        <v>106.3635</v>
      </c>
      <c r="F1054" s="10">
        <f>106.3614 * CHOOSE(CONTROL!$C$9, $D$9, 100%, $F$9) + CHOOSE(CONTROL!$C$27, 0.0021, 0)</f>
        <v>106.3635</v>
      </c>
      <c r="G1054" s="10">
        <f>106.6328 * CHOOSE(CONTROL!$C$9, $D$9, 100%, $F$9) + CHOOSE(CONTROL!$C$27, 0.0021, 0)</f>
        <v>106.6349</v>
      </c>
      <c r="H1054" s="10">
        <f>106.4981 * CHOOSE(CONTROL!$C$9, $D$9, 100%, $F$9) + CHOOSE(CONTROL!$C$27, 0.0021, 0)</f>
        <v>106.50019999999999</v>
      </c>
      <c r="I1054" s="10">
        <f>106.4981 * CHOOSE(CONTROL!$C$9, $D$9, 100%, $F$9) + CHOOSE(CONTROL!$C$27, 0.0021, 0)</f>
        <v>106.50019999999999</v>
      </c>
      <c r="J1054" s="10">
        <f>106.4981 * CHOOSE(CONTROL!$C$9, $D$9, 100%, $F$9) + CHOOSE(CONTROL!$C$27, 0.0021, 0)</f>
        <v>106.50019999999999</v>
      </c>
      <c r="K1054" s="10">
        <f>106.4981 * CHOOSE(CONTROL!$C$9, $D$9, 100%, $F$9) + CHOOSE(CONTROL!$C$27, 0.0021, 0)</f>
        <v>106.50019999999999</v>
      </c>
      <c r="L1054" s="10"/>
    </row>
    <row r="1055" spans="1:12" ht="15.75" x14ac:dyDescent="0.25">
      <c r="A1055" s="13">
        <v>73415</v>
      </c>
      <c r="B1055" s="10">
        <f>104.8786 * CHOOSE(CONTROL!$C$9, $D$9, 100%, $F$9) + CHOOSE(CONTROL!$C$27, 0.0021, 0)</f>
        <v>104.8807</v>
      </c>
      <c r="C1055" s="10">
        <f>104.4464 * CHOOSE(CONTROL!$C$9, $D$9, 100%, $F$9) + CHOOSE(CONTROL!$C$27, 0.0021, 0)</f>
        <v>104.4485</v>
      </c>
      <c r="D1055" s="10">
        <f>104.4464 * CHOOSE(CONTROL!$C$9, $D$9, 100%, $F$9) + CHOOSE(CONTROL!$C$27, 0.0021, 0)</f>
        <v>104.4485</v>
      </c>
      <c r="E1055" s="10">
        <f>104.3097 * CHOOSE(CONTROL!$C$9, $D$9, 100%, $F$9) + CHOOSE(CONTROL!$C$27, 0.0021, 0)</f>
        <v>104.31180000000001</v>
      </c>
      <c r="F1055" s="10">
        <f>104.3097 * CHOOSE(CONTROL!$C$9, $D$9, 100%, $F$9) + CHOOSE(CONTROL!$C$27, 0.0021, 0)</f>
        <v>104.31180000000001</v>
      </c>
      <c r="G1055" s="10">
        <f>104.5811 * CHOOSE(CONTROL!$C$9, $D$9, 100%, $F$9) + CHOOSE(CONTROL!$C$27, 0.0021, 0)</f>
        <v>104.58320000000001</v>
      </c>
      <c r="H1055" s="10">
        <f>104.4464 * CHOOSE(CONTROL!$C$9, $D$9, 100%, $F$9) + CHOOSE(CONTROL!$C$27, 0.0021, 0)</f>
        <v>104.4485</v>
      </c>
      <c r="I1055" s="10">
        <f>104.4464 * CHOOSE(CONTROL!$C$9, $D$9, 100%, $F$9) + CHOOSE(CONTROL!$C$27, 0.0021, 0)</f>
        <v>104.4485</v>
      </c>
      <c r="J1055" s="10">
        <f>104.4464 * CHOOSE(CONTROL!$C$9, $D$9, 100%, $F$9) + CHOOSE(CONTROL!$C$27, 0.0021, 0)</f>
        <v>104.4485</v>
      </c>
      <c r="K1055" s="10">
        <f>104.4464 * CHOOSE(CONTROL!$C$9, $D$9, 100%, $F$9) + CHOOSE(CONTROL!$C$27, 0.0021, 0)</f>
        <v>104.4485</v>
      </c>
      <c r="L1055" s="10"/>
    </row>
    <row r="1056" spans="1:12" ht="15" x14ac:dyDescent="0.2">
      <c r="A1056" s="12"/>
      <c r="B1056" s="10"/>
      <c r="C1056" s="10"/>
      <c r="D1056" s="10"/>
      <c r="E1056" s="10"/>
      <c r="F1056" s="10"/>
      <c r="G1056" s="10"/>
      <c r="H1056" s="10"/>
      <c r="I1056" s="10"/>
      <c r="L1056" s="10"/>
    </row>
    <row r="1057" spans="1:12" ht="15" x14ac:dyDescent="0.2">
      <c r="A1057" s="11">
        <v>2014</v>
      </c>
      <c r="B1057" s="10">
        <f>AVERAGE(B12:B23)</f>
        <v>23.380184062321334</v>
      </c>
      <c r="C1057" s="10">
        <f>AVERAGE(C12:C23)</f>
        <v>22.947918396226409</v>
      </c>
      <c r="D1057" s="10"/>
      <c r="E1057" s="10">
        <f t="shared" ref="E1057:K1057" si="0">AVERAGE(E12:E23)</f>
        <v>22.811282232704404</v>
      </c>
      <c r="F1057" s="10">
        <f t="shared" si="0"/>
        <v>22.811282232704404</v>
      </c>
      <c r="G1057" s="10">
        <f t="shared" si="0"/>
        <v>23.082665723270438</v>
      </c>
      <c r="H1057" s="10">
        <f t="shared" si="0"/>
        <v>22.947918396226409</v>
      </c>
      <c r="I1057" s="10">
        <f t="shared" si="0"/>
        <v>22.947918396226409</v>
      </c>
      <c r="J1057" s="10">
        <f t="shared" si="0"/>
        <v>22.587716452258434</v>
      </c>
      <c r="K1057" s="10">
        <f t="shared" si="0"/>
        <v>22.947918396226409</v>
      </c>
      <c r="L1057" s="10"/>
    </row>
    <row r="1058" spans="1:12" ht="15" x14ac:dyDescent="0.2">
      <c r="A1058" s="11">
        <v>2015</v>
      </c>
      <c r="B1058" s="10">
        <f>AVERAGE(B24:B35)</f>
        <v>22.686116666666667</v>
      </c>
      <c r="C1058" s="10">
        <f>AVERAGE(C24:C35)</f>
        <v>22.253883333333324</v>
      </c>
      <c r="D1058" s="10"/>
      <c r="E1058" s="10">
        <f t="shared" ref="E1058:K1058" si="1">AVERAGE(E24:E35)</f>
        <v>22.117216666666664</v>
      </c>
      <c r="F1058" s="10">
        <f t="shared" si="1"/>
        <v>22.117216666666664</v>
      </c>
      <c r="G1058" s="10">
        <f t="shared" si="1"/>
        <v>22.388599999999997</v>
      </c>
      <c r="H1058" s="10">
        <f t="shared" si="1"/>
        <v>22.253883333333324</v>
      </c>
      <c r="I1058" s="10">
        <f t="shared" si="1"/>
        <v>22.253883333333324</v>
      </c>
      <c r="J1058" s="10">
        <f t="shared" si="1"/>
        <v>21.893683333333332</v>
      </c>
      <c r="K1058" s="10">
        <f t="shared" si="1"/>
        <v>22.253883333333324</v>
      </c>
      <c r="L1058" s="10"/>
    </row>
    <row r="1059" spans="1:12" ht="15" x14ac:dyDescent="0.2">
      <c r="A1059" s="11">
        <v>2016</v>
      </c>
      <c r="B1059" s="10">
        <f>AVERAGE(B36:B47)</f>
        <v>22.060633333333328</v>
      </c>
      <c r="C1059" s="10">
        <f>AVERAGE(C36:C47)</f>
        <v>21.628383333333332</v>
      </c>
      <c r="D1059" s="10"/>
      <c r="E1059" s="10">
        <f t="shared" ref="E1059:K1059" si="2">AVERAGE(E36:E47)</f>
        <v>21.491724999999999</v>
      </c>
      <c r="F1059" s="10">
        <f t="shared" si="2"/>
        <v>21.491724999999999</v>
      </c>
      <c r="G1059" s="10">
        <f t="shared" si="2"/>
        <v>21.763099999999998</v>
      </c>
      <c r="H1059" s="10">
        <f t="shared" si="2"/>
        <v>21.628383333333332</v>
      </c>
      <c r="I1059" s="10">
        <f t="shared" si="2"/>
        <v>21.628383333333332</v>
      </c>
      <c r="J1059" s="10">
        <f t="shared" si="2"/>
        <v>21.628383333333332</v>
      </c>
      <c r="K1059" s="10">
        <f t="shared" si="2"/>
        <v>21.628383333333332</v>
      </c>
      <c r="L1059" s="10"/>
    </row>
    <row r="1060" spans="1:12" ht="15" x14ac:dyDescent="0.2">
      <c r="A1060" s="11">
        <v>2017</v>
      </c>
      <c r="B1060" s="10">
        <f>AVERAGE(B48:B59)</f>
        <v>21.862958333333335</v>
      </c>
      <c r="C1060" s="10">
        <f>AVERAGE(C48:C59)</f>
        <v>21.430691666666664</v>
      </c>
      <c r="D1060" s="10"/>
      <c r="E1060" s="10">
        <f t="shared" ref="E1060:K1060" si="3">AVERAGE(E48:E59)</f>
        <v>21.294058333333332</v>
      </c>
      <c r="F1060" s="10">
        <f t="shared" si="3"/>
        <v>21.294058333333332</v>
      </c>
      <c r="G1060" s="10">
        <f t="shared" si="3"/>
        <v>21.565416666666664</v>
      </c>
      <c r="H1060" s="10">
        <f t="shared" si="3"/>
        <v>21.430691666666664</v>
      </c>
      <c r="I1060" s="10">
        <f t="shared" si="3"/>
        <v>21.430691666666664</v>
      </c>
      <c r="J1060" s="10">
        <f t="shared" si="3"/>
        <v>21.430691666666664</v>
      </c>
      <c r="K1060" s="10">
        <f t="shared" si="3"/>
        <v>21.430691666666664</v>
      </c>
      <c r="L1060" s="10"/>
    </row>
    <row r="1061" spans="1:12" ht="15" x14ac:dyDescent="0.2">
      <c r="A1061" s="11">
        <v>2018</v>
      </c>
      <c r="B1061" s="10">
        <f>AVERAGE(B60:B71)</f>
        <v>22.521224999999998</v>
      </c>
      <c r="C1061" s="10">
        <f>AVERAGE(C60:C71)</f>
        <v>22.088966666666664</v>
      </c>
      <c r="D1061" s="10"/>
      <c r="E1061" s="10">
        <f t="shared" ref="E1061:K1061" si="4">AVERAGE(E60:E71)</f>
        <v>21.952316666666665</v>
      </c>
      <c r="F1061" s="10">
        <f t="shared" si="4"/>
        <v>21.952316666666665</v>
      </c>
      <c r="G1061" s="10">
        <f t="shared" si="4"/>
        <v>22.223691666666664</v>
      </c>
      <c r="H1061" s="10">
        <f t="shared" si="4"/>
        <v>22.088966666666664</v>
      </c>
      <c r="I1061" s="10">
        <f t="shared" si="4"/>
        <v>22.088966666666664</v>
      </c>
      <c r="J1061" s="10">
        <f t="shared" si="4"/>
        <v>22.088966666666664</v>
      </c>
      <c r="K1061" s="10">
        <f t="shared" si="4"/>
        <v>22.088966666666664</v>
      </c>
      <c r="L1061" s="10"/>
    </row>
    <row r="1062" spans="1:12" ht="15" x14ac:dyDescent="0.2">
      <c r="A1062" s="11">
        <v>2019</v>
      </c>
      <c r="B1062" s="10">
        <f>AVERAGE(B72:B83)</f>
        <v>23.887908333333332</v>
      </c>
      <c r="C1062" s="10">
        <f>AVERAGE(C72:C83)</f>
        <v>23.455658333333332</v>
      </c>
      <c r="D1062" s="10"/>
      <c r="E1062" s="10">
        <f t="shared" ref="E1062:K1062" si="5">AVERAGE(E72:E83)</f>
        <v>23.319008333333329</v>
      </c>
      <c r="F1062" s="10">
        <f t="shared" si="5"/>
        <v>23.319008333333329</v>
      </c>
      <c r="G1062" s="10">
        <f t="shared" si="5"/>
        <v>23.590383333333332</v>
      </c>
      <c r="H1062" s="10">
        <f t="shared" si="5"/>
        <v>23.455658333333332</v>
      </c>
      <c r="I1062" s="10">
        <f t="shared" si="5"/>
        <v>23.455658333333332</v>
      </c>
      <c r="J1062" s="10">
        <f t="shared" si="5"/>
        <v>23.455658333333332</v>
      </c>
      <c r="K1062" s="10">
        <f t="shared" si="5"/>
        <v>23.455658333333332</v>
      </c>
      <c r="L1062" s="10"/>
    </row>
    <row r="1063" spans="1:12" ht="15" x14ac:dyDescent="0.2">
      <c r="A1063" s="11">
        <v>2020</v>
      </c>
      <c r="B1063" s="10">
        <f>AVERAGE(B84:B95)</f>
        <v>24.898199999999999</v>
      </c>
      <c r="C1063" s="10">
        <f>AVERAGE(C84:C95)</f>
        <v>24.465950000000003</v>
      </c>
      <c r="D1063" s="10"/>
      <c r="E1063" s="10">
        <f t="shared" ref="E1063:K1063" si="6">AVERAGE(E84:E95)</f>
        <v>24.3293</v>
      </c>
      <c r="F1063" s="10">
        <f t="shared" si="6"/>
        <v>24.3293</v>
      </c>
      <c r="G1063" s="10">
        <f t="shared" si="6"/>
        <v>24.600674999999995</v>
      </c>
      <c r="H1063" s="10">
        <f t="shared" si="6"/>
        <v>24.465950000000003</v>
      </c>
      <c r="I1063" s="10">
        <f t="shared" si="6"/>
        <v>24.465950000000003</v>
      </c>
      <c r="J1063" s="10">
        <f t="shared" si="6"/>
        <v>24.465950000000003</v>
      </c>
      <c r="K1063" s="10">
        <f t="shared" si="6"/>
        <v>24.465950000000003</v>
      </c>
      <c r="L1063" s="10"/>
    </row>
    <row r="1064" spans="1:12" ht="15" x14ac:dyDescent="0.2">
      <c r="A1064" s="11">
        <v>2021</v>
      </c>
      <c r="B1064" s="10">
        <f>AVERAGE(B96:B107)</f>
        <v>25.90506666666667</v>
      </c>
      <c r="C1064" s="10">
        <f>AVERAGE(C96:C107)</f>
        <v>25.47280833333333</v>
      </c>
      <c r="D1064" s="10"/>
      <c r="E1064" s="10">
        <f t="shared" ref="E1064:K1064" si="7">AVERAGE(E96:E107)</f>
        <v>25.336166666666667</v>
      </c>
      <c r="F1064" s="10">
        <f t="shared" si="7"/>
        <v>25.336166666666667</v>
      </c>
      <c r="G1064" s="10">
        <f t="shared" si="7"/>
        <v>25.607516666666665</v>
      </c>
      <c r="H1064" s="10">
        <f t="shared" si="7"/>
        <v>25.47280833333333</v>
      </c>
      <c r="I1064" s="10">
        <f t="shared" si="7"/>
        <v>25.47280833333333</v>
      </c>
      <c r="J1064" s="10">
        <f t="shared" si="7"/>
        <v>25.47280833333333</v>
      </c>
      <c r="K1064" s="10">
        <f t="shared" si="7"/>
        <v>25.47280833333333</v>
      </c>
      <c r="L1064" s="10"/>
    </row>
    <row r="1065" spans="1:12" ht="15" x14ac:dyDescent="0.2">
      <c r="A1065" s="11">
        <v>2022</v>
      </c>
      <c r="B1065" s="10">
        <f>AVERAGE(B108:B119)</f>
        <v>27.061141666666668</v>
      </c>
      <c r="C1065" s="10">
        <f>AVERAGE(C108:C119)</f>
        <v>26.628891666666664</v>
      </c>
      <c r="D1065" s="10"/>
      <c r="E1065" s="10">
        <f t="shared" ref="E1065:K1065" si="8">AVERAGE(E108:E119)</f>
        <v>26.492241666666668</v>
      </c>
      <c r="F1065" s="10">
        <f t="shared" si="8"/>
        <v>26.492241666666668</v>
      </c>
      <c r="G1065" s="10">
        <f t="shared" si="8"/>
        <v>26.763608333333327</v>
      </c>
      <c r="H1065" s="10">
        <f t="shared" si="8"/>
        <v>26.628891666666664</v>
      </c>
      <c r="I1065" s="10">
        <f t="shared" si="8"/>
        <v>26.628891666666664</v>
      </c>
      <c r="J1065" s="10">
        <f t="shared" si="8"/>
        <v>26.628891666666664</v>
      </c>
      <c r="K1065" s="10">
        <f t="shared" si="8"/>
        <v>26.628891666666664</v>
      </c>
      <c r="L1065" s="10"/>
    </row>
    <row r="1066" spans="1:12" ht="15" x14ac:dyDescent="0.2">
      <c r="A1066" s="11">
        <v>2023</v>
      </c>
      <c r="B1066" s="10">
        <f>AVERAGE(B120:B131)</f>
        <v>28.148633333333333</v>
      </c>
      <c r="C1066" s="10">
        <f>AVERAGE(C120:C131)</f>
        <v>27.716374999999999</v>
      </c>
      <c r="D1066" s="10"/>
      <c r="E1066" s="10">
        <f t="shared" ref="E1066:K1066" si="9">AVERAGE(E120:E131)</f>
        <v>27.579733333333337</v>
      </c>
      <c r="F1066" s="10">
        <f t="shared" si="9"/>
        <v>27.579733333333337</v>
      </c>
      <c r="G1066" s="10">
        <f t="shared" si="9"/>
        <v>27.851074999999994</v>
      </c>
      <c r="H1066" s="10">
        <f t="shared" si="9"/>
        <v>27.716374999999999</v>
      </c>
      <c r="I1066" s="10">
        <f t="shared" si="9"/>
        <v>27.716374999999999</v>
      </c>
      <c r="J1066" s="10">
        <f t="shared" si="9"/>
        <v>27.716374999999999</v>
      </c>
      <c r="K1066" s="10">
        <f t="shared" si="9"/>
        <v>27.716374999999999</v>
      </c>
      <c r="L1066" s="10"/>
    </row>
    <row r="1067" spans="1:12" ht="15" x14ac:dyDescent="0.2">
      <c r="A1067" s="11">
        <v>2024</v>
      </c>
      <c r="B1067" s="10">
        <f>AVERAGE(B132:B143)</f>
        <v>29.181225000000001</v>
      </c>
      <c r="C1067" s="10">
        <f>AVERAGE(C132:C143)</f>
        <v>28.748949999999997</v>
      </c>
      <c r="D1067" s="10"/>
      <c r="E1067" s="10">
        <f t="shared" ref="E1067:K1067" si="10">AVERAGE(E132:E143)</f>
        <v>28.612324999999998</v>
      </c>
      <c r="F1067" s="10">
        <f t="shared" si="10"/>
        <v>28.612324999999998</v>
      </c>
      <c r="G1067" s="10">
        <f t="shared" si="10"/>
        <v>28.883708333333331</v>
      </c>
      <c r="H1067" s="10">
        <f t="shared" si="10"/>
        <v>28.748949999999997</v>
      </c>
      <c r="I1067" s="10">
        <f t="shared" si="10"/>
        <v>28.748949999999997</v>
      </c>
      <c r="J1067" s="10">
        <f t="shared" si="10"/>
        <v>28.748949999999997</v>
      </c>
      <c r="K1067" s="10">
        <f t="shared" si="10"/>
        <v>28.748949999999997</v>
      </c>
      <c r="L1067" s="10"/>
    </row>
    <row r="1068" spans="1:12" ht="15" x14ac:dyDescent="0.2">
      <c r="A1068" s="11">
        <v>2025</v>
      </c>
      <c r="B1068" s="10">
        <f>AVERAGE(B144:B155)</f>
        <v>30.165766666666666</v>
      </c>
      <c r="C1068" s="10">
        <f>AVERAGE(C144:C155)</f>
        <v>29.733541666666667</v>
      </c>
      <c r="D1068" s="10"/>
      <c r="E1068" s="10">
        <f t="shared" ref="E1068:K1068" si="11">AVERAGE(E144:E155)</f>
        <v>29.596866666666671</v>
      </c>
      <c r="F1068" s="10">
        <f t="shared" si="11"/>
        <v>29.596866666666671</v>
      </c>
      <c r="G1068" s="10">
        <f t="shared" si="11"/>
        <v>29.868249999999993</v>
      </c>
      <c r="H1068" s="10">
        <f t="shared" si="11"/>
        <v>29.733541666666667</v>
      </c>
      <c r="I1068" s="10">
        <f t="shared" si="11"/>
        <v>29.733541666666667</v>
      </c>
      <c r="J1068" s="10">
        <f t="shared" si="11"/>
        <v>29.733541666666667</v>
      </c>
      <c r="K1068" s="10">
        <f t="shared" si="11"/>
        <v>29.733541666666667</v>
      </c>
      <c r="L1068" s="10"/>
    </row>
    <row r="1069" spans="1:12" ht="15" x14ac:dyDescent="0.2">
      <c r="A1069" s="11">
        <v>2026</v>
      </c>
      <c r="B1069" s="10">
        <f>AVERAGE(B156:B167)</f>
        <v>31.268691666666665</v>
      </c>
      <c r="C1069" s="10">
        <f>AVERAGE(C156:C167)</f>
        <v>30.836441666666662</v>
      </c>
      <c r="D1069" s="10"/>
      <c r="E1069" s="10">
        <f t="shared" ref="E1069:K1069" si="12">AVERAGE(E156:E167)</f>
        <v>30.699791666666666</v>
      </c>
      <c r="F1069" s="10">
        <f t="shared" si="12"/>
        <v>30.699791666666666</v>
      </c>
      <c r="G1069" s="10">
        <f t="shared" si="12"/>
        <v>30.971149999999998</v>
      </c>
      <c r="H1069" s="10">
        <f t="shared" si="12"/>
        <v>30.836441666666662</v>
      </c>
      <c r="I1069" s="10">
        <f t="shared" si="12"/>
        <v>30.836441666666662</v>
      </c>
      <c r="J1069" s="10">
        <f t="shared" si="12"/>
        <v>30.836441666666662</v>
      </c>
      <c r="K1069" s="10">
        <f t="shared" si="12"/>
        <v>30.836441666666662</v>
      </c>
      <c r="L1069" s="10"/>
    </row>
    <row r="1070" spans="1:12" ht="15" x14ac:dyDescent="0.2">
      <c r="A1070" s="11">
        <v>2027</v>
      </c>
      <c r="B1070" s="10">
        <f>AVERAGE(B168:B179)</f>
        <v>32.325283333333331</v>
      </c>
      <c r="C1070" s="10">
        <f>AVERAGE(C168:C179)</f>
        <v>31.893041666666662</v>
      </c>
      <c r="D1070" s="10"/>
      <c r="E1070" s="10">
        <f t="shared" ref="E1070:K1070" si="13">AVERAGE(E168:E179)</f>
        <v>31.756383333333332</v>
      </c>
      <c r="F1070" s="10">
        <f t="shared" si="13"/>
        <v>31.756383333333332</v>
      </c>
      <c r="G1070" s="10">
        <f t="shared" si="13"/>
        <v>32.027758333333338</v>
      </c>
      <c r="H1070" s="10">
        <f t="shared" si="13"/>
        <v>31.893041666666662</v>
      </c>
      <c r="I1070" s="10">
        <f t="shared" si="13"/>
        <v>31.893041666666662</v>
      </c>
      <c r="J1070" s="10">
        <f t="shared" si="13"/>
        <v>31.893041666666662</v>
      </c>
      <c r="K1070" s="10">
        <f t="shared" si="13"/>
        <v>31.893041666666662</v>
      </c>
      <c r="L1070" s="10"/>
    </row>
    <row r="1071" spans="1:12" ht="15" x14ac:dyDescent="0.2">
      <c r="A1071" s="11">
        <v>2028</v>
      </c>
      <c r="B1071" s="10">
        <f>AVERAGE(B180:B191)</f>
        <v>33.376749999999994</v>
      </c>
      <c r="C1071" s="10">
        <f>AVERAGE(C180:C191)</f>
        <v>32.944524999999999</v>
      </c>
      <c r="D1071" s="10"/>
      <c r="E1071" s="10">
        <f t="shared" ref="E1071:K1071" si="14">AVERAGE(E180:E191)</f>
        <v>32.807841666666668</v>
      </c>
      <c r="F1071" s="10">
        <f t="shared" si="14"/>
        <v>32.807841666666668</v>
      </c>
      <c r="G1071" s="10">
        <f t="shared" si="14"/>
        <v>33.079233333333335</v>
      </c>
      <c r="H1071" s="10">
        <f t="shared" si="14"/>
        <v>32.944524999999999</v>
      </c>
      <c r="I1071" s="10">
        <f t="shared" si="14"/>
        <v>32.944524999999999</v>
      </c>
      <c r="J1071" s="10">
        <f t="shared" si="14"/>
        <v>32.944524999999999</v>
      </c>
      <c r="K1071" s="10">
        <f t="shared" si="14"/>
        <v>32.944524999999999</v>
      </c>
      <c r="L1071" s="10"/>
    </row>
    <row r="1072" spans="1:12" ht="15" x14ac:dyDescent="0.2">
      <c r="A1072" s="11">
        <v>2029</v>
      </c>
      <c r="B1072" s="10">
        <f>AVERAGE(B192:B203)</f>
        <v>34.469374999999999</v>
      </c>
      <c r="C1072" s="10">
        <f>AVERAGE(C192:C203)</f>
        <v>34.037133333333337</v>
      </c>
      <c r="D1072" s="10"/>
      <c r="E1072" s="10">
        <f t="shared" ref="E1072:K1072" si="15">AVERAGE(E192:E203)</f>
        <v>33.900458333333326</v>
      </c>
      <c r="F1072" s="10">
        <f t="shared" si="15"/>
        <v>33.900458333333326</v>
      </c>
      <c r="G1072" s="10">
        <f t="shared" si="15"/>
        <v>34.171849999999999</v>
      </c>
      <c r="H1072" s="10">
        <f t="shared" si="15"/>
        <v>34.037133333333337</v>
      </c>
      <c r="I1072" s="10">
        <f t="shared" si="15"/>
        <v>34.037133333333337</v>
      </c>
      <c r="J1072" s="10">
        <f t="shared" si="15"/>
        <v>34.037133333333337</v>
      </c>
      <c r="K1072" s="10">
        <f t="shared" si="15"/>
        <v>34.037133333333337</v>
      </c>
      <c r="L1072" s="10"/>
    </row>
    <row r="1073" spans="1:12" ht="15" x14ac:dyDescent="0.2">
      <c r="A1073" s="11">
        <v>2030</v>
      </c>
      <c r="B1073" s="10">
        <f>AVERAGE(B204:B215)</f>
        <v>35.60315833333334</v>
      </c>
      <c r="C1073" s="10">
        <f>AVERAGE(C204:C215)</f>
        <v>35.170908333333337</v>
      </c>
      <c r="D1073" s="10"/>
      <c r="E1073" s="10">
        <f t="shared" ref="E1073:K1073" si="16">AVERAGE(E204:E215)</f>
        <v>35.034249999999993</v>
      </c>
      <c r="F1073" s="10">
        <f t="shared" si="16"/>
        <v>35.034249999999993</v>
      </c>
      <c r="G1073" s="10">
        <f t="shared" si="16"/>
        <v>35.305633333333333</v>
      </c>
      <c r="H1073" s="10">
        <f t="shared" si="16"/>
        <v>35.170908333333337</v>
      </c>
      <c r="I1073" s="10">
        <f t="shared" si="16"/>
        <v>35.170908333333337</v>
      </c>
      <c r="J1073" s="10">
        <f t="shared" si="16"/>
        <v>35.170908333333337</v>
      </c>
      <c r="K1073" s="10">
        <f t="shared" si="16"/>
        <v>35.170908333333337</v>
      </c>
      <c r="L1073" s="10"/>
    </row>
    <row r="1074" spans="1:12" ht="15" x14ac:dyDescent="0.2">
      <c r="A1074" s="11">
        <v>2031</v>
      </c>
      <c r="B1074" s="10">
        <f>AVERAGE(B216:B227)</f>
        <v>36.126933333333334</v>
      </c>
      <c r="C1074" s="10">
        <f>AVERAGE(C216:C227)</f>
        <v>35.694691666666664</v>
      </c>
      <c r="D1074" s="10"/>
      <c r="E1074" s="10">
        <f t="shared" ref="E1074:K1074" si="17">AVERAGE(E216:E227)</f>
        <v>35.558033333333334</v>
      </c>
      <c r="F1074" s="10">
        <f t="shared" si="17"/>
        <v>35.558033333333334</v>
      </c>
      <c r="G1074" s="10">
        <f t="shared" si="17"/>
        <v>35.829416666666667</v>
      </c>
      <c r="H1074" s="10">
        <f t="shared" si="17"/>
        <v>35.694691666666664</v>
      </c>
      <c r="I1074" s="10">
        <f t="shared" si="17"/>
        <v>35.694691666666664</v>
      </c>
      <c r="J1074" s="10">
        <f t="shared" si="17"/>
        <v>35.694691666666664</v>
      </c>
      <c r="K1074" s="10">
        <f t="shared" si="17"/>
        <v>35.694691666666664</v>
      </c>
      <c r="L1074" s="10"/>
    </row>
    <row r="1075" spans="1:12" ht="15" x14ac:dyDescent="0.2">
      <c r="A1075" s="11">
        <v>2032</v>
      </c>
      <c r="B1075" s="10">
        <f>AVERAGE(B228:B239)</f>
        <v>36.658949999999997</v>
      </c>
      <c r="C1075" s="10">
        <f>AVERAGE(C228:C239)</f>
        <v>36.226699999999994</v>
      </c>
      <c r="D1075" s="10"/>
      <c r="E1075" s="10">
        <f t="shared" ref="E1075:K1075" si="18">AVERAGE(E228:E239)</f>
        <v>36.090049999999998</v>
      </c>
      <c r="F1075" s="10">
        <f t="shared" si="18"/>
        <v>36.090049999999998</v>
      </c>
      <c r="G1075" s="10">
        <f t="shared" si="18"/>
        <v>36.361433333333331</v>
      </c>
      <c r="H1075" s="10">
        <f t="shared" si="18"/>
        <v>36.226699999999994</v>
      </c>
      <c r="I1075" s="10">
        <f t="shared" si="18"/>
        <v>36.226699999999994</v>
      </c>
      <c r="J1075" s="10">
        <f t="shared" si="18"/>
        <v>36.226699999999994</v>
      </c>
      <c r="K1075" s="10">
        <f t="shared" si="18"/>
        <v>36.226699999999994</v>
      </c>
      <c r="L1075" s="10"/>
    </row>
    <row r="1076" spans="1:12" ht="15" x14ac:dyDescent="0.2">
      <c r="A1076" s="11">
        <v>2033</v>
      </c>
      <c r="B1076" s="10">
        <f>AVERAGE(B240:B251)</f>
        <v>37.199333333333335</v>
      </c>
      <c r="C1076" s="10">
        <f>AVERAGE(C240:C251)</f>
        <v>36.767083333333339</v>
      </c>
      <c r="D1076" s="10"/>
      <c r="E1076" s="10">
        <f t="shared" ref="E1076:K1076" si="19">AVERAGE(E240:E251)</f>
        <v>36.630433333333329</v>
      </c>
      <c r="F1076" s="10">
        <f t="shared" si="19"/>
        <v>36.630433333333329</v>
      </c>
      <c r="G1076" s="10">
        <f t="shared" si="19"/>
        <v>36.901791666666668</v>
      </c>
      <c r="H1076" s="10">
        <f t="shared" si="19"/>
        <v>36.767083333333339</v>
      </c>
      <c r="I1076" s="10">
        <f t="shared" si="19"/>
        <v>36.767083333333339</v>
      </c>
      <c r="J1076" s="10">
        <f t="shared" si="19"/>
        <v>36.767083333333339</v>
      </c>
      <c r="K1076" s="10">
        <f t="shared" si="19"/>
        <v>36.767083333333339</v>
      </c>
      <c r="L1076" s="10"/>
    </row>
    <row r="1077" spans="1:12" ht="15" x14ac:dyDescent="0.2">
      <c r="A1077" s="11">
        <v>2034</v>
      </c>
      <c r="B1077" s="10">
        <f>AVERAGE(B252:B263)</f>
        <v>37.74819999999999</v>
      </c>
      <c r="C1077" s="10">
        <f>AVERAGE(C252:C263)</f>
        <v>37.315974999999995</v>
      </c>
      <c r="D1077" s="10"/>
      <c r="E1077" s="10">
        <f t="shared" ref="E1077:K1077" si="20">AVERAGE(E252:E263)</f>
        <v>37.179299999999998</v>
      </c>
      <c r="F1077" s="10">
        <f t="shared" si="20"/>
        <v>37.179299999999998</v>
      </c>
      <c r="G1077" s="10">
        <f t="shared" si="20"/>
        <v>37.45067499999999</v>
      </c>
      <c r="H1077" s="10">
        <f t="shared" si="20"/>
        <v>37.315974999999995</v>
      </c>
      <c r="I1077" s="10">
        <f t="shared" si="20"/>
        <v>37.315974999999995</v>
      </c>
      <c r="J1077" s="10">
        <f t="shared" si="20"/>
        <v>37.315974999999995</v>
      </c>
      <c r="K1077" s="10">
        <f t="shared" si="20"/>
        <v>37.315974999999995</v>
      </c>
      <c r="L1077" s="10"/>
    </row>
    <row r="1078" spans="1:12" ht="15" x14ac:dyDescent="0.2">
      <c r="A1078" s="11">
        <v>2035</v>
      </c>
      <c r="B1078" s="10">
        <f>AVERAGE(B264:B275)</f>
        <v>38.305716666666669</v>
      </c>
      <c r="C1078" s="10">
        <f>AVERAGE(C264:C275)</f>
        <v>37.873458333333325</v>
      </c>
      <c r="D1078" s="10"/>
      <c r="E1078" s="10">
        <f t="shared" ref="E1078:K1078" si="21">AVERAGE(E264:E275)</f>
        <v>37.736816666666662</v>
      </c>
      <c r="F1078" s="10">
        <f t="shared" si="21"/>
        <v>37.736816666666662</v>
      </c>
      <c r="G1078" s="10">
        <f t="shared" si="21"/>
        <v>38.008191666666661</v>
      </c>
      <c r="H1078" s="10">
        <f t="shared" si="21"/>
        <v>37.873458333333325</v>
      </c>
      <c r="I1078" s="10">
        <f t="shared" si="21"/>
        <v>37.873458333333325</v>
      </c>
      <c r="J1078" s="10">
        <f t="shared" si="21"/>
        <v>37.873458333333325</v>
      </c>
      <c r="K1078" s="10">
        <f t="shared" si="21"/>
        <v>37.873458333333325</v>
      </c>
      <c r="L1078" s="10"/>
    </row>
    <row r="1079" spans="1:12" ht="15" x14ac:dyDescent="0.2">
      <c r="A1079" s="11">
        <v>2036</v>
      </c>
      <c r="B1079" s="10">
        <f>AVERAGE(B276:B287)</f>
        <v>38.871983333333333</v>
      </c>
      <c r="C1079" s="10">
        <f>AVERAGE(C276:C287)</f>
        <v>38.439749999999997</v>
      </c>
      <c r="D1079" s="10"/>
      <c r="E1079" s="10">
        <f t="shared" ref="E1079:K1079" si="22">AVERAGE(E276:E287)</f>
        <v>38.303083333333326</v>
      </c>
      <c r="F1079" s="10">
        <f t="shared" si="22"/>
        <v>38.303083333333326</v>
      </c>
      <c r="G1079" s="10">
        <f t="shared" si="22"/>
        <v>38.574466666666666</v>
      </c>
      <c r="H1079" s="10">
        <f t="shared" si="22"/>
        <v>38.439749999999997</v>
      </c>
      <c r="I1079" s="10">
        <f t="shared" si="22"/>
        <v>38.439749999999997</v>
      </c>
      <c r="J1079" s="10">
        <f t="shared" si="22"/>
        <v>38.439749999999997</v>
      </c>
      <c r="K1079" s="10">
        <f t="shared" si="22"/>
        <v>38.439749999999997</v>
      </c>
      <c r="L1079" s="10"/>
    </row>
    <row r="1080" spans="1:12" ht="15" x14ac:dyDescent="0.2">
      <c r="A1080" s="11">
        <v>2037</v>
      </c>
      <c r="B1080" s="10">
        <f>AVERAGE(B288:B299)</f>
        <v>39.447174999999994</v>
      </c>
      <c r="C1080" s="10">
        <f>AVERAGE(C288:C299)</f>
        <v>39.014916666666664</v>
      </c>
      <c r="D1080" s="10"/>
      <c r="E1080" s="10">
        <f t="shared" ref="E1080:K1080" si="23">AVERAGE(E288:E299)</f>
        <v>38.878266666666669</v>
      </c>
      <c r="F1080" s="10">
        <f t="shared" si="23"/>
        <v>38.878266666666669</v>
      </c>
      <c r="G1080" s="10">
        <f t="shared" si="23"/>
        <v>39.149633333333334</v>
      </c>
      <c r="H1080" s="10">
        <f t="shared" si="23"/>
        <v>39.014916666666664</v>
      </c>
      <c r="I1080" s="10">
        <f t="shared" si="23"/>
        <v>39.014916666666664</v>
      </c>
      <c r="J1080" s="10">
        <f t="shared" si="23"/>
        <v>39.014916666666664</v>
      </c>
      <c r="K1080" s="10">
        <f t="shared" si="23"/>
        <v>39.014916666666664</v>
      </c>
      <c r="L1080" s="10"/>
    </row>
    <row r="1081" spans="1:12" ht="15" x14ac:dyDescent="0.2">
      <c r="A1081" s="11">
        <f t="shared" ref="A1081:A1112" si="24">A1080+1</f>
        <v>2038</v>
      </c>
      <c r="B1081" s="10">
        <f>AVERAGE(B300:B311)</f>
        <v>40.031399999999998</v>
      </c>
      <c r="C1081" s="10">
        <f>AVERAGE(C300:C311)</f>
        <v>39.599150000000002</v>
      </c>
      <c r="D1081" s="10"/>
      <c r="E1081" s="10">
        <f t="shared" ref="E1081:K1081" si="25">AVERAGE(E300:E311)</f>
        <v>39.462483333333331</v>
      </c>
      <c r="F1081" s="10">
        <f t="shared" si="25"/>
        <v>39.462483333333331</v>
      </c>
      <c r="G1081" s="10">
        <f t="shared" si="25"/>
        <v>39.733866666666664</v>
      </c>
      <c r="H1081" s="10">
        <f t="shared" si="25"/>
        <v>39.599150000000002</v>
      </c>
      <c r="I1081" s="10">
        <f t="shared" si="25"/>
        <v>39.599150000000002</v>
      </c>
      <c r="J1081" s="10">
        <f t="shared" si="25"/>
        <v>39.599150000000002</v>
      </c>
      <c r="K1081" s="10">
        <f t="shared" si="25"/>
        <v>39.599150000000002</v>
      </c>
      <c r="L1081" s="10"/>
    </row>
    <row r="1082" spans="1:12" ht="15" x14ac:dyDescent="0.2">
      <c r="A1082" s="11">
        <f t="shared" si="24"/>
        <v>2039</v>
      </c>
      <c r="B1082" s="10">
        <f>AVERAGE(B312:B323)</f>
        <v>40.62479166666666</v>
      </c>
      <c r="C1082" s="10">
        <f>AVERAGE(C312:C323)</f>
        <v>40.192566666666671</v>
      </c>
      <c r="D1082" s="10"/>
      <c r="E1082" s="10">
        <f t="shared" ref="E1082:K1082" si="26">AVERAGE(E312:E323)</f>
        <v>40.055891666666668</v>
      </c>
      <c r="F1082" s="10">
        <f t="shared" si="26"/>
        <v>40.055891666666668</v>
      </c>
      <c r="G1082" s="10">
        <f t="shared" si="26"/>
        <v>40.327283333333334</v>
      </c>
      <c r="H1082" s="10">
        <f t="shared" si="26"/>
        <v>40.192566666666671</v>
      </c>
      <c r="I1082" s="10">
        <f t="shared" si="26"/>
        <v>40.192566666666671</v>
      </c>
      <c r="J1082" s="10">
        <f t="shared" si="26"/>
        <v>40.192566666666671</v>
      </c>
      <c r="K1082" s="10">
        <f t="shared" si="26"/>
        <v>40.192566666666671</v>
      </c>
      <c r="L1082" s="10"/>
    </row>
    <row r="1083" spans="1:12" ht="15" x14ac:dyDescent="0.2">
      <c r="A1083" s="11">
        <f t="shared" si="24"/>
        <v>2040</v>
      </c>
      <c r="B1083" s="10">
        <f>AVERAGE(B324:B335)</f>
        <v>41.227566666666661</v>
      </c>
      <c r="C1083" s="10">
        <f>AVERAGE(C324:C335)</f>
        <v>40.795291666666664</v>
      </c>
      <c r="D1083" s="10"/>
      <c r="E1083" s="10">
        <f t="shared" ref="E1083:K1083" si="27">AVERAGE(E324:E335)</f>
        <v>40.658633333333334</v>
      </c>
      <c r="F1083" s="10">
        <f t="shared" si="27"/>
        <v>40.658633333333334</v>
      </c>
      <c r="G1083" s="10">
        <f t="shared" si="27"/>
        <v>40.930025000000001</v>
      </c>
      <c r="H1083" s="10">
        <f t="shared" si="27"/>
        <v>40.795291666666664</v>
      </c>
      <c r="I1083" s="10">
        <f t="shared" si="27"/>
        <v>40.795291666666664</v>
      </c>
      <c r="J1083" s="10">
        <f t="shared" si="27"/>
        <v>40.795291666666664</v>
      </c>
      <c r="K1083" s="10">
        <f t="shared" si="27"/>
        <v>40.795291666666664</v>
      </c>
      <c r="L1083" s="10"/>
    </row>
    <row r="1084" spans="1:12" ht="15" x14ac:dyDescent="0.2">
      <c r="A1084" s="11">
        <f t="shared" si="24"/>
        <v>2041</v>
      </c>
      <c r="B1084" s="10">
        <f>AVERAGE(B336:B347)</f>
        <v>41.839766666666669</v>
      </c>
      <c r="C1084" s="10">
        <f>AVERAGE(C336:C347)</f>
        <v>41.407516666666666</v>
      </c>
      <c r="D1084" s="10"/>
      <c r="E1084" s="10">
        <f t="shared" ref="E1084:K1084" si="28">AVERAGE(E336:E347)</f>
        <v>41.270858333333329</v>
      </c>
      <c r="F1084" s="10">
        <f t="shared" si="28"/>
        <v>41.270858333333329</v>
      </c>
      <c r="G1084" s="10">
        <f t="shared" si="28"/>
        <v>41.542233333333336</v>
      </c>
      <c r="H1084" s="10">
        <f t="shared" si="28"/>
        <v>41.407516666666666</v>
      </c>
      <c r="I1084" s="10">
        <f t="shared" si="28"/>
        <v>41.407516666666666</v>
      </c>
      <c r="J1084" s="10">
        <f t="shared" si="28"/>
        <v>41.407516666666666</v>
      </c>
      <c r="K1084" s="10">
        <f t="shared" si="28"/>
        <v>41.407516666666666</v>
      </c>
      <c r="L1084" s="10"/>
    </row>
    <row r="1085" spans="1:12" ht="15" x14ac:dyDescent="0.2">
      <c r="A1085" s="11">
        <f t="shared" si="24"/>
        <v>2042</v>
      </c>
      <c r="B1085" s="10">
        <f>AVERAGE(B348:B359)</f>
        <v>42.461624999999998</v>
      </c>
      <c r="C1085" s="10">
        <f>AVERAGE(C348:C359)</f>
        <v>42.029366666666661</v>
      </c>
      <c r="D1085" s="10"/>
      <c r="E1085" s="10">
        <f t="shared" ref="E1085:K1085" si="29">AVERAGE(E348:E359)</f>
        <v>41.892708333333324</v>
      </c>
      <c r="F1085" s="10">
        <f t="shared" si="29"/>
        <v>41.892708333333324</v>
      </c>
      <c r="G1085" s="10">
        <f t="shared" si="29"/>
        <v>42.164091666666664</v>
      </c>
      <c r="H1085" s="10">
        <f t="shared" si="29"/>
        <v>42.029366666666661</v>
      </c>
      <c r="I1085" s="10">
        <f t="shared" si="29"/>
        <v>42.029366666666661</v>
      </c>
      <c r="J1085" s="10">
        <f t="shared" si="29"/>
        <v>42.029366666666661</v>
      </c>
      <c r="K1085" s="10">
        <f t="shared" si="29"/>
        <v>42.029366666666661</v>
      </c>
      <c r="L1085" s="10"/>
    </row>
    <row r="1086" spans="1:12" ht="15" x14ac:dyDescent="0.2">
      <c r="A1086" s="11">
        <f t="shared" si="24"/>
        <v>2043</v>
      </c>
      <c r="B1086" s="10">
        <f>AVERAGE(B360:B371)</f>
        <v>43.09323333333333</v>
      </c>
      <c r="C1086" s="10">
        <f>AVERAGE(C360:C371)</f>
        <v>42.661008333333335</v>
      </c>
      <c r="D1086" s="10"/>
      <c r="E1086" s="10">
        <f t="shared" ref="E1086:K1086" si="30">AVERAGE(E360:E371)</f>
        <v>42.524333333333331</v>
      </c>
      <c r="F1086" s="10">
        <f t="shared" si="30"/>
        <v>42.524333333333331</v>
      </c>
      <c r="G1086" s="10">
        <f t="shared" si="30"/>
        <v>42.795724999999997</v>
      </c>
      <c r="H1086" s="10">
        <f t="shared" si="30"/>
        <v>42.661008333333335</v>
      </c>
      <c r="I1086" s="10">
        <f t="shared" si="30"/>
        <v>42.661008333333335</v>
      </c>
      <c r="J1086" s="10">
        <f t="shared" si="30"/>
        <v>42.661008333333335</v>
      </c>
      <c r="K1086" s="10">
        <f t="shared" si="30"/>
        <v>42.661008333333335</v>
      </c>
      <c r="L1086" s="10"/>
    </row>
    <row r="1087" spans="1:12" ht="15" x14ac:dyDescent="0.2">
      <c r="A1087" s="11">
        <f t="shared" si="24"/>
        <v>2044</v>
      </c>
      <c r="B1087" s="10">
        <f>AVERAGE(B372:B383)</f>
        <v>43.734791666666666</v>
      </c>
      <c r="C1087" s="10">
        <f>AVERAGE(C372:C383)</f>
        <v>43.302566666666671</v>
      </c>
      <c r="D1087" s="10"/>
      <c r="E1087" s="10">
        <f t="shared" ref="E1087:K1087" si="31">AVERAGE(E372:E383)</f>
        <v>43.165891666666674</v>
      </c>
      <c r="F1087" s="10">
        <f t="shared" si="31"/>
        <v>43.165891666666674</v>
      </c>
      <c r="G1087" s="10">
        <f t="shared" si="31"/>
        <v>43.437266666666659</v>
      </c>
      <c r="H1087" s="10">
        <f t="shared" si="31"/>
        <v>43.302566666666671</v>
      </c>
      <c r="I1087" s="10">
        <f t="shared" si="31"/>
        <v>43.302566666666671</v>
      </c>
      <c r="J1087" s="10">
        <f t="shared" si="31"/>
        <v>43.302566666666671</v>
      </c>
      <c r="K1087" s="10">
        <f t="shared" si="31"/>
        <v>43.302566666666671</v>
      </c>
      <c r="L1087" s="10"/>
    </row>
    <row r="1088" spans="1:12" ht="15" x14ac:dyDescent="0.2">
      <c r="A1088" s="11">
        <f t="shared" si="24"/>
        <v>2045</v>
      </c>
      <c r="B1088" s="10">
        <f>AVERAGE(B384:B395)</f>
        <v>44.386441666666663</v>
      </c>
      <c r="C1088" s="10">
        <f>AVERAGE(C384:C395)</f>
        <v>43.954191666666674</v>
      </c>
      <c r="D1088" s="10"/>
      <c r="E1088" s="10">
        <f t="shared" ref="E1088:K1088" si="32">AVERAGE(E384:E395)</f>
        <v>43.817541666666664</v>
      </c>
      <c r="F1088" s="10">
        <f t="shared" si="32"/>
        <v>43.817541666666664</v>
      </c>
      <c r="G1088" s="10">
        <f t="shared" si="32"/>
        <v>44.088908333333336</v>
      </c>
      <c r="H1088" s="10">
        <f t="shared" si="32"/>
        <v>43.954191666666674</v>
      </c>
      <c r="I1088" s="10">
        <f t="shared" si="32"/>
        <v>43.954191666666674</v>
      </c>
      <c r="J1088" s="10">
        <f t="shared" si="32"/>
        <v>43.954191666666674</v>
      </c>
      <c r="K1088" s="10">
        <f t="shared" si="32"/>
        <v>43.954191666666674</v>
      </c>
      <c r="L1088" s="10"/>
    </row>
    <row r="1089" spans="1:12" ht="15" x14ac:dyDescent="0.2">
      <c r="A1089" s="11">
        <f t="shared" si="24"/>
        <v>2046</v>
      </c>
      <c r="B1089" s="10">
        <f>AVERAGE(B396:B407)</f>
        <v>45.048341666666659</v>
      </c>
      <c r="C1089" s="10">
        <f>AVERAGE(C396:C407)</f>
        <v>44.616083333333329</v>
      </c>
      <c r="D1089" s="10"/>
      <c r="E1089" s="10">
        <f t="shared" ref="E1089:K1089" si="33">AVERAGE(E396:E407)</f>
        <v>44.479433333333333</v>
      </c>
      <c r="F1089" s="10">
        <f t="shared" si="33"/>
        <v>44.479433333333333</v>
      </c>
      <c r="G1089" s="10">
        <f t="shared" si="33"/>
        <v>44.750799999999998</v>
      </c>
      <c r="H1089" s="10">
        <f t="shared" si="33"/>
        <v>44.616083333333329</v>
      </c>
      <c r="I1089" s="10">
        <f t="shared" si="33"/>
        <v>44.616083333333329</v>
      </c>
      <c r="J1089" s="10">
        <f t="shared" si="33"/>
        <v>44.616083333333329</v>
      </c>
      <c r="K1089" s="10">
        <f t="shared" si="33"/>
        <v>44.616083333333329</v>
      </c>
      <c r="L1089" s="10"/>
    </row>
    <row r="1090" spans="1:12" ht="15" x14ac:dyDescent="0.2">
      <c r="A1090" s="11">
        <f t="shared" si="24"/>
        <v>2047</v>
      </c>
      <c r="B1090" s="10">
        <f>AVERAGE(B408:B419)</f>
        <v>45.720649999999999</v>
      </c>
      <c r="C1090" s="10">
        <f>AVERAGE(C408:C419)</f>
        <v>45.288391666666662</v>
      </c>
      <c r="D1090" s="10"/>
      <c r="E1090" s="10">
        <f t="shared" ref="E1090:K1090" si="34">AVERAGE(E408:E419)</f>
        <v>45.15175</v>
      </c>
      <c r="F1090" s="10">
        <f t="shared" si="34"/>
        <v>45.15175</v>
      </c>
      <c r="G1090" s="10">
        <f t="shared" si="34"/>
        <v>45.423108333333325</v>
      </c>
      <c r="H1090" s="10">
        <f t="shared" si="34"/>
        <v>45.288391666666662</v>
      </c>
      <c r="I1090" s="10">
        <f t="shared" si="34"/>
        <v>45.288391666666662</v>
      </c>
      <c r="J1090" s="10">
        <f t="shared" si="34"/>
        <v>45.288391666666662</v>
      </c>
      <c r="K1090" s="10">
        <f t="shared" si="34"/>
        <v>45.288391666666662</v>
      </c>
      <c r="L1090" s="10"/>
    </row>
    <row r="1091" spans="1:12" ht="15" x14ac:dyDescent="0.2">
      <c r="A1091" s="11">
        <f t="shared" si="24"/>
        <v>2048</v>
      </c>
      <c r="B1091" s="10">
        <f>AVERAGE(B420:B431)</f>
        <v>46.403533333333336</v>
      </c>
      <c r="C1091" s="10">
        <f>AVERAGE(C420:C431)</f>
        <v>45.971266666666672</v>
      </c>
      <c r="D1091" s="10"/>
      <c r="E1091" s="10">
        <f t="shared" ref="E1091:K1091" si="35">AVERAGE(E420:E431)</f>
        <v>45.834616666666669</v>
      </c>
      <c r="F1091" s="10">
        <f t="shared" si="35"/>
        <v>45.834616666666669</v>
      </c>
      <c r="G1091" s="10">
        <f t="shared" si="35"/>
        <v>46.105975000000001</v>
      </c>
      <c r="H1091" s="10">
        <f t="shared" si="35"/>
        <v>45.971266666666672</v>
      </c>
      <c r="I1091" s="10">
        <f t="shared" si="35"/>
        <v>45.971266666666672</v>
      </c>
      <c r="J1091" s="10">
        <f t="shared" si="35"/>
        <v>45.971266666666672</v>
      </c>
      <c r="K1091" s="10">
        <f t="shared" si="35"/>
        <v>45.971266666666672</v>
      </c>
      <c r="L1091" s="10"/>
    </row>
    <row r="1092" spans="1:12" ht="15" x14ac:dyDescent="0.2">
      <c r="A1092" s="11">
        <f t="shared" si="24"/>
        <v>2049</v>
      </c>
      <c r="B1092" s="10">
        <f>AVERAGE(B432:B443)</f>
        <v>47.097124999999998</v>
      </c>
      <c r="C1092" s="10">
        <f>AVERAGE(C432:C443)</f>
        <v>46.664883333333329</v>
      </c>
      <c r="D1092" s="10"/>
      <c r="E1092" s="10">
        <f t="shared" ref="E1092:K1092" si="36">AVERAGE(E432:E443)</f>
        <v>46.528216666666673</v>
      </c>
      <c r="F1092" s="10">
        <f t="shared" si="36"/>
        <v>46.528216666666673</v>
      </c>
      <c r="G1092" s="10">
        <f t="shared" si="36"/>
        <v>46.799599999999998</v>
      </c>
      <c r="H1092" s="10">
        <f t="shared" si="36"/>
        <v>46.664883333333329</v>
      </c>
      <c r="I1092" s="10">
        <f t="shared" si="36"/>
        <v>46.664883333333329</v>
      </c>
      <c r="J1092" s="10">
        <f t="shared" si="36"/>
        <v>46.664883333333329</v>
      </c>
      <c r="K1092" s="10">
        <f t="shared" si="36"/>
        <v>46.664883333333329</v>
      </c>
      <c r="L1092" s="10"/>
    </row>
    <row r="1093" spans="1:12" ht="15" x14ac:dyDescent="0.2">
      <c r="A1093" s="11">
        <f t="shared" si="24"/>
        <v>2050</v>
      </c>
      <c r="B1093" s="10">
        <f>AVERAGE(B444:B455)</f>
        <v>47.801650000000002</v>
      </c>
      <c r="C1093" s="10">
        <f>AVERAGE(C444:C455)</f>
        <v>47.369383333333339</v>
      </c>
      <c r="D1093" s="10"/>
      <c r="E1093" s="10">
        <f t="shared" ref="E1093:K1093" si="37">AVERAGE(E444:E455)</f>
        <v>47.232749999999989</v>
      </c>
      <c r="F1093" s="10">
        <f t="shared" si="37"/>
        <v>47.232749999999989</v>
      </c>
      <c r="G1093" s="10">
        <f t="shared" si="37"/>
        <v>47.504116666666675</v>
      </c>
      <c r="H1093" s="10">
        <f t="shared" si="37"/>
        <v>47.369383333333339</v>
      </c>
      <c r="I1093" s="10">
        <f t="shared" si="37"/>
        <v>47.369383333333339</v>
      </c>
      <c r="J1093" s="10">
        <f t="shared" si="37"/>
        <v>47.369383333333339</v>
      </c>
      <c r="K1093" s="10">
        <f t="shared" si="37"/>
        <v>47.369383333333339</v>
      </c>
      <c r="L1093" s="10"/>
    </row>
    <row r="1094" spans="1:12" ht="15" x14ac:dyDescent="0.2">
      <c r="A1094" s="11">
        <f t="shared" si="24"/>
        <v>2051</v>
      </c>
      <c r="B1094" s="10">
        <f>AVERAGE(B456:B467)</f>
        <v>48.517249999999997</v>
      </c>
      <c r="C1094" s="10">
        <f>AVERAGE(C456:C467)</f>
        <v>48.084991666666667</v>
      </c>
      <c r="D1094" s="10"/>
      <c r="E1094" s="10">
        <f t="shared" ref="E1094:K1094" si="38">AVERAGE(E456:E467)</f>
        <v>47.948325000000004</v>
      </c>
      <c r="F1094" s="10">
        <f t="shared" si="38"/>
        <v>47.948325000000004</v>
      </c>
      <c r="G1094" s="10">
        <f t="shared" si="38"/>
        <v>48.219699999999989</v>
      </c>
      <c r="H1094" s="10">
        <f t="shared" si="38"/>
        <v>48.084991666666667</v>
      </c>
      <c r="I1094" s="10">
        <f t="shared" si="38"/>
        <v>48.084991666666667</v>
      </c>
      <c r="J1094" s="10">
        <f t="shared" si="38"/>
        <v>48.084991666666667</v>
      </c>
      <c r="K1094" s="10">
        <f t="shared" si="38"/>
        <v>48.084991666666667</v>
      </c>
      <c r="L1094" s="10"/>
    </row>
    <row r="1095" spans="1:12" ht="15" x14ac:dyDescent="0.2">
      <c r="A1095" s="11">
        <f t="shared" si="24"/>
        <v>2052</v>
      </c>
      <c r="B1095" s="10">
        <f>AVERAGE(B468:B479)</f>
        <v>49.244083333333329</v>
      </c>
      <c r="C1095" s="10">
        <f>AVERAGE(C468:C479)</f>
        <v>48.81185</v>
      </c>
      <c r="D1095" s="10"/>
      <c r="E1095" s="10">
        <f t="shared" ref="E1095:K1095" si="39">AVERAGE(E468:E479)</f>
        <v>48.675183333333329</v>
      </c>
      <c r="F1095" s="10">
        <f t="shared" si="39"/>
        <v>48.675183333333329</v>
      </c>
      <c r="G1095" s="10">
        <f t="shared" si="39"/>
        <v>48.946550000000002</v>
      </c>
      <c r="H1095" s="10">
        <f t="shared" si="39"/>
        <v>48.81185</v>
      </c>
      <c r="I1095" s="10">
        <f t="shared" si="39"/>
        <v>48.81185</v>
      </c>
      <c r="J1095" s="10">
        <f t="shared" si="39"/>
        <v>48.81185</v>
      </c>
      <c r="K1095" s="10">
        <f t="shared" si="39"/>
        <v>48.81185</v>
      </c>
      <c r="L1095" s="10"/>
    </row>
    <row r="1096" spans="1:12" ht="15" x14ac:dyDescent="0.2">
      <c r="A1096" s="11">
        <f t="shared" si="24"/>
        <v>2053</v>
      </c>
      <c r="B1096" s="10">
        <f>AVERAGE(B480:B491)</f>
        <v>49.982374999999998</v>
      </c>
      <c r="C1096" s="10">
        <f>AVERAGE(C480:C491)</f>
        <v>49.550116666666668</v>
      </c>
      <c r="D1096" s="10"/>
      <c r="E1096" s="10">
        <f t="shared" ref="E1096:K1096" si="40">AVERAGE(E480:E491)</f>
        <v>49.413458333333331</v>
      </c>
      <c r="F1096" s="10">
        <f t="shared" si="40"/>
        <v>49.413458333333331</v>
      </c>
      <c r="G1096" s="10">
        <f t="shared" si="40"/>
        <v>49.684850000000012</v>
      </c>
      <c r="H1096" s="10">
        <f t="shared" si="40"/>
        <v>49.550116666666668</v>
      </c>
      <c r="I1096" s="10">
        <f t="shared" si="40"/>
        <v>49.550116666666668</v>
      </c>
      <c r="J1096" s="10">
        <f t="shared" si="40"/>
        <v>49.550116666666668</v>
      </c>
      <c r="K1096" s="10">
        <f t="shared" si="40"/>
        <v>49.550116666666668</v>
      </c>
      <c r="L1096" s="10"/>
    </row>
    <row r="1097" spans="1:12" ht="15" x14ac:dyDescent="0.2">
      <c r="A1097" s="11">
        <f t="shared" si="24"/>
        <v>2054</v>
      </c>
      <c r="B1097" s="10">
        <f>AVERAGE(B492:B503)</f>
        <v>50.732274999999994</v>
      </c>
      <c r="C1097" s="10">
        <f>AVERAGE(C492:C503)</f>
        <v>50.300008333333331</v>
      </c>
      <c r="D1097" s="10"/>
      <c r="E1097" s="10">
        <f t="shared" ref="E1097:K1097" si="41">AVERAGE(E492:E503)</f>
        <v>50.163358333333328</v>
      </c>
      <c r="F1097" s="10">
        <f t="shared" si="41"/>
        <v>50.163358333333328</v>
      </c>
      <c r="G1097" s="10">
        <f t="shared" si="41"/>
        <v>50.434724999999993</v>
      </c>
      <c r="H1097" s="10">
        <f t="shared" si="41"/>
        <v>50.300008333333331</v>
      </c>
      <c r="I1097" s="10">
        <f t="shared" si="41"/>
        <v>50.300008333333331</v>
      </c>
      <c r="J1097" s="10">
        <f t="shared" si="41"/>
        <v>50.300008333333331</v>
      </c>
      <c r="K1097" s="10">
        <f t="shared" si="41"/>
        <v>50.300008333333331</v>
      </c>
      <c r="L1097" s="10"/>
    </row>
    <row r="1098" spans="1:12" ht="15" x14ac:dyDescent="0.2">
      <c r="A1098" s="11">
        <f t="shared" si="24"/>
        <v>2055</v>
      </c>
      <c r="B1098" s="10">
        <f>AVERAGE(B504:B515)</f>
        <v>51.493941666666672</v>
      </c>
      <c r="C1098" s="10">
        <f>AVERAGE(C504:C515)</f>
        <v>51.061708333333335</v>
      </c>
      <c r="D1098" s="10"/>
      <c r="E1098" s="10">
        <f t="shared" ref="E1098:K1098" si="42">AVERAGE(E504:E515)</f>
        <v>50.925033333333339</v>
      </c>
      <c r="F1098" s="10">
        <f t="shared" si="42"/>
        <v>50.925033333333339</v>
      </c>
      <c r="G1098" s="10">
        <f t="shared" si="42"/>
        <v>51.196416666666664</v>
      </c>
      <c r="H1098" s="10">
        <f t="shared" si="42"/>
        <v>51.061708333333335</v>
      </c>
      <c r="I1098" s="10">
        <f t="shared" si="42"/>
        <v>51.061708333333335</v>
      </c>
      <c r="J1098" s="10">
        <f t="shared" si="42"/>
        <v>51.061708333333335</v>
      </c>
      <c r="K1098" s="10">
        <f t="shared" si="42"/>
        <v>51.061708333333335</v>
      </c>
      <c r="L1098" s="10"/>
    </row>
    <row r="1099" spans="1:12" ht="15" x14ac:dyDescent="0.2">
      <c r="A1099" s="11">
        <f t="shared" si="24"/>
        <v>2056</v>
      </c>
      <c r="B1099" s="10">
        <f>AVERAGE(B516:B527)</f>
        <v>52.267599999999995</v>
      </c>
      <c r="C1099" s="10">
        <f>AVERAGE(C516:C527)</f>
        <v>51.835349999999998</v>
      </c>
      <c r="D1099" s="10"/>
      <c r="E1099" s="10">
        <f t="shared" ref="E1099:K1099" si="43">AVERAGE(E516:E527)</f>
        <v>51.698691666666662</v>
      </c>
      <c r="F1099" s="10">
        <f t="shared" si="43"/>
        <v>51.698691666666662</v>
      </c>
      <c r="G1099" s="10">
        <f t="shared" si="43"/>
        <v>51.970074999999987</v>
      </c>
      <c r="H1099" s="10">
        <f t="shared" si="43"/>
        <v>51.835349999999998</v>
      </c>
      <c r="I1099" s="10">
        <f t="shared" si="43"/>
        <v>51.835349999999998</v>
      </c>
      <c r="J1099" s="10">
        <f t="shared" si="43"/>
        <v>51.835349999999998</v>
      </c>
      <c r="K1099" s="10">
        <f t="shared" si="43"/>
        <v>51.835349999999998</v>
      </c>
      <c r="L1099" s="10"/>
    </row>
    <row r="1100" spans="1:12" ht="15" x14ac:dyDescent="0.2">
      <c r="A1100" s="11">
        <f t="shared" si="24"/>
        <v>2057</v>
      </c>
      <c r="B1100" s="10">
        <f>AVERAGE(B528:B539)</f>
        <v>53.053416666666664</v>
      </c>
      <c r="C1100" s="10">
        <f>AVERAGE(C528:C539)</f>
        <v>52.621166666666674</v>
      </c>
      <c r="D1100" s="10"/>
      <c r="E1100" s="10">
        <f t="shared" ref="E1100:K1100" si="44">AVERAGE(E528:E539)</f>
        <v>52.484516666666671</v>
      </c>
      <c r="F1100" s="10">
        <f t="shared" si="44"/>
        <v>52.484516666666671</v>
      </c>
      <c r="G1100" s="10">
        <f t="shared" si="44"/>
        <v>52.755883333333337</v>
      </c>
      <c r="H1100" s="10">
        <f t="shared" si="44"/>
        <v>52.621166666666674</v>
      </c>
      <c r="I1100" s="10">
        <f t="shared" si="44"/>
        <v>52.621166666666674</v>
      </c>
      <c r="J1100" s="10">
        <f t="shared" si="44"/>
        <v>52.621166666666674</v>
      </c>
      <c r="K1100" s="10">
        <f t="shared" si="44"/>
        <v>52.621166666666674</v>
      </c>
      <c r="L1100" s="10"/>
    </row>
    <row r="1101" spans="1:12" ht="15" x14ac:dyDescent="0.2">
      <c r="A1101" s="11">
        <f t="shared" si="24"/>
        <v>2058</v>
      </c>
      <c r="B1101" s="10">
        <f>AVERAGE(B540:B551)</f>
        <v>53.851608333333331</v>
      </c>
      <c r="C1101" s="10">
        <f>AVERAGE(C540:C551)</f>
        <v>53.419350000000009</v>
      </c>
      <c r="D1101" s="10"/>
      <c r="E1101" s="10">
        <f t="shared" ref="E1101:K1101" si="45">AVERAGE(E540:E551)</f>
        <v>53.282708333333339</v>
      </c>
      <c r="F1101" s="10">
        <f t="shared" si="45"/>
        <v>53.282708333333339</v>
      </c>
      <c r="G1101" s="10">
        <f t="shared" si="45"/>
        <v>53.554066666666664</v>
      </c>
      <c r="H1101" s="10">
        <f t="shared" si="45"/>
        <v>53.419350000000009</v>
      </c>
      <c r="I1101" s="10">
        <f t="shared" si="45"/>
        <v>53.419350000000009</v>
      </c>
      <c r="J1101" s="10">
        <f t="shared" si="45"/>
        <v>53.419350000000009</v>
      </c>
      <c r="K1101" s="10">
        <f t="shared" si="45"/>
        <v>53.419350000000009</v>
      </c>
      <c r="L1101" s="10"/>
    </row>
    <row r="1102" spans="1:12" ht="15" x14ac:dyDescent="0.2">
      <c r="A1102" s="11">
        <f t="shared" si="24"/>
        <v>2059</v>
      </c>
      <c r="B1102" s="10">
        <f>AVERAGE(B552:B563)</f>
        <v>54.66232500000001</v>
      </c>
      <c r="C1102" s="10">
        <f>AVERAGE(C552:C563)</f>
        <v>54.230091666666674</v>
      </c>
      <c r="D1102" s="10"/>
      <c r="E1102" s="10">
        <f t="shared" ref="E1102:K1102" si="46">AVERAGE(E552:E563)</f>
        <v>54.093416666666656</v>
      </c>
      <c r="F1102" s="10">
        <f t="shared" si="46"/>
        <v>54.093416666666656</v>
      </c>
      <c r="G1102" s="10">
        <f t="shared" si="46"/>
        <v>54.364800000000002</v>
      </c>
      <c r="H1102" s="10">
        <f t="shared" si="46"/>
        <v>54.230091666666674</v>
      </c>
      <c r="I1102" s="10">
        <f t="shared" si="46"/>
        <v>54.230091666666674</v>
      </c>
      <c r="J1102" s="10">
        <f t="shared" si="46"/>
        <v>54.230091666666674</v>
      </c>
      <c r="K1102" s="10">
        <f t="shared" si="46"/>
        <v>54.230091666666674</v>
      </c>
      <c r="L1102" s="10"/>
    </row>
    <row r="1103" spans="1:12" ht="15" x14ac:dyDescent="0.2">
      <c r="A1103" s="11">
        <f t="shared" si="24"/>
        <v>2060</v>
      </c>
      <c r="B1103" s="10">
        <f>AVERAGE(B564:B575)</f>
        <v>55.48579999999999</v>
      </c>
      <c r="C1103" s="10">
        <f>AVERAGE(C564:C575)</f>
        <v>55.053575000000016</v>
      </c>
      <c r="D1103" s="10"/>
      <c r="E1103" s="10">
        <f t="shared" ref="E1103:K1103" si="47">AVERAGE(E564:E575)</f>
        <v>54.916899999999991</v>
      </c>
      <c r="F1103" s="10">
        <f t="shared" si="47"/>
        <v>54.916899999999991</v>
      </c>
      <c r="G1103" s="10">
        <f t="shared" si="47"/>
        <v>55.188299999999991</v>
      </c>
      <c r="H1103" s="10">
        <f t="shared" si="47"/>
        <v>55.053575000000016</v>
      </c>
      <c r="I1103" s="10">
        <f t="shared" si="47"/>
        <v>55.053575000000016</v>
      </c>
      <c r="J1103" s="10">
        <f t="shared" si="47"/>
        <v>55.053575000000016</v>
      </c>
      <c r="K1103" s="10">
        <f t="shared" si="47"/>
        <v>55.053575000000016</v>
      </c>
      <c r="L1103" s="10"/>
    </row>
    <row r="1104" spans="1:12" ht="15" x14ac:dyDescent="0.2">
      <c r="A1104" s="11">
        <f t="shared" si="24"/>
        <v>2061</v>
      </c>
      <c r="B1104" s="10">
        <f>AVERAGE(B576:B587)</f>
        <v>56.322249999999997</v>
      </c>
      <c r="C1104" s="10">
        <f>AVERAGE(C576:C587)</f>
        <v>55.889983333333326</v>
      </c>
      <c r="D1104" s="10"/>
      <c r="E1104" s="10">
        <f t="shared" ref="E1104:K1104" si="48">AVERAGE(E576:E587)</f>
        <v>55.753350000000005</v>
      </c>
      <c r="F1104" s="10">
        <f t="shared" si="48"/>
        <v>55.753350000000005</v>
      </c>
      <c r="G1104" s="10">
        <f t="shared" si="48"/>
        <v>56.024725000000011</v>
      </c>
      <c r="H1104" s="10">
        <f t="shared" si="48"/>
        <v>55.889983333333326</v>
      </c>
      <c r="I1104" s="10">
        <f t="shared" si="48"/>
        <v>55.889983333333326</v>
      </c>
      <c r="J1104" s="10">
        <f t="shared" si="48"/>
        <v>55.889983333333326</v>
      </c>
      <c r="K1104" s="10">
        <f t="shared" si="48"/>
        <v>55.889983333333326</v>
      </c>
      <c r="L1104" s="10"/>
    </row>
    <row r="1105" spans="1:11" ht="15" x14ac:dyDescent="0.2">
      <c r="A1105" s="11">
        <f t="shared" si="24"/>
        <v>2062</v>
      </c>
      <c r="B1105" s="10">
        <f t="shared" ref="B1105:C1124" ca="1" si="49">AVERAGE(OFFSET(B$588,($A1105-$A$1105)*12,0,12,1))</f>
        <v>57.171825000000005</v>
      </c>
      <c r="C1105" s="10">
        <f t="shared" ca="1" si="49"/>
        <v>56.739591666666655</v>
      </c>
      <c r="D1105" s="10"/>
      <c r="E1105" s="10">
        <f t="shared" ref="E1105:K1114" ca="1" si="50">AVERAGE(OFFSET(E$588,($A1105-$A$1105)*12,0,12,1))</f>
        <v>56.602916666666665</v>
      </c>
      <c r="F1105" s="10">
        <f t="shared" ca="1" si="50"/>
        <v>56.602916666666665</v>
      </c>
      <c r="G1105" s="10">
        <f t="shared" ca="1" si="50"/>
        <v>56.874300000000005</v>
      </c>
      <c r="H1105" s="10">
        <f t="shared" ca="1" si="50"/>
        <v>56.739591666666655</v>
      </c>
      <c r="I1105" s="10">
        <f t="shared" ca="1" si="50"/>
        <v>56.739591666666655</v>
      </c>
      <c r="J1105" s="10">
        <f t="shared" ca="1" si="50"/>
        <v>56.739591666666655</v>
      </c>
      <c r="K1105" s="10">
        <f t="shared" ca="1" si="50"/>
        <v>56.739591666666655</v>
      </c>
    </row>
    <row r="1106" spans="1:11" ht="15" x14ac:dyDescent="0.2">
      <c r="A1106" s="11">
        <f t="shared" si="24"/>
        <v>2063</v>
      </c>
      <c r="B1106" s="10">
        <f t="shared" ca="1" si="49"/>
        <v>58.034775000000003</v>
      </c>
      <c r="C1106" s="10">
        <f t="shared" ca="1" si="49"/>
        <v>57.602524999999993</v>
      </c>
      <c r="D1106" s="10"/>
      <c r="E1106" s="10">
        <f t="shared" ca="1" si="50"/>
        <v>57.46586666666667</v>
      </c>
      <c r="F1106" s="10">
        <f t="shared" ca="1" si="50"/>
        <v>57.46586666666667</v>
      </c>
      <c r="G1106" s="10">
        <f t="shared" ca="1" si="50"/>
        <v>57.737233333333336</v>
      </c>
      <c r="H1106" s="10">
        <f t="shared" ca="1" si="50"/>
        <v>57.602524999999993</v>
      </c>
      <c r="I1106" s="10">
        <f t="shared" ca="1" si="50"/>
        <v>57.602524999999993</v>
      </c>
      <c r="J1106" s="10">
        <f t="shared" ca="1" si="50"/>
        <v>57.602524999999993</v>
      </c>
      <c r="K1106" s="10">
        <f t="shared" ca="1" si="50"/>
        <v>57.602524999999993</v>
      </c>
    </row>
    <row r="1107" spans="1:11" ht="15" x14ac:dyDescent="0.2">
      <c r="A1107" s="11">
        <f t="shared" si="24"/>
        <v>2064</v>
      </c>
      <c r="B1107" s="10">
        <f t="shared" ca="1" si="49"/>
        <v>58.91128333333333</v>
      </c>
      <c r="C1107" s="10">
        <f t="shared" ca="1" si="49"/>
        <v>58.479041666666667</v>
      </c>
      <c r="D1107" s="10"/>
      <c r="E1107" s="10">
        <f t="shared" ca="1" si="50"/>
        <v>58.342374999999997</v>
      </c>
      <c r="F1107" s="10">
        <f t="shared" ca="1" si="50"/>
        <v>58.342374999999997</v>
      </c>
      <c r="G1107" s="10">
        <f t="shared" ca="1" si="50"/>
        <v>58.613749999999989</v>
      </c>
      <c r="H1107" s="10">
        <f t="shared" ca="1" si="50"/>
        <v>58.479041666666667</v>
      </c>
      <c r="I1107" s="10">
        <f t="shared" ca="1" si="50"/>
        <v>58.479041666666667</v>
      </c>
      <c r="J1107" s="10">
        <f t="shared" ca="1" si="50"/>
        <v>58.479041666666667</v>
      </c>
      <c r="K1107" s="10">
        <f t="shared" ca="1" si="50"/>
        <v>58.479041666666667</v>
      </c>
    </row>
    <row r="1108" spans="1:11" ht="15" x14ac:dyDescent="0.2">
      <c r="A1108" s="11">
        <f t="shared" si="24"/>
        <v>2065</v>
      </c>
      <c r="B1108" s="10">
        <f t="shared" ca="1" si="49"/>
        <v>59.80159166666666</v>
      </c>
      <c r="C1108" s="10">
        <f t="shared" ca="1" si="49"/>
        <v>59.369324999999996</v>
      </c>
      <c r="D1108" s="10"/>
      <c r="E1108" s="10">
        <f t="shared" ca="1" si="50"/>
        <v>59.232675000000008</v>
      </c>
      <c r="F1108" s="10">
        <f t="shared" ca="1" si="50"/>
        <v>59.232675000000008</v>
      </c>
      <c r="G1108" s="10">
        <f t="shared" ca="1" si="50"/>
        <v>59.504049999999999</v>
      </c>
      <c r="H1108" s="10">
        <f t="shared" ca="1" si="50"/>
        <v>59.369324999999996</v>
      </c>
      <c r="I1108" s="10">
        <f t="shared" ca="1" si="50"/>
        <v>59.369324999999996</v>
      </c>
      <c r="J1108" s="10">
        <f t="shared" ca="1" si="50"/>
        <v>59.369324999999996</v>
      </c>
      <c r="K1108" s="10">
        <f t="shared" ca="1" si="50"/>
        <v>59.369324999999996</v>
      </c>
    </row>
    <row r="1109" spans="1:11" ht="15" x14ac:dyDescent="0.2">
      <c r="A1109" s="11">
        <f t="shared" si="24"/>
        <v>2066</v>
      </c>
      <c r="B1109" s="10">
        <f t="shared" ca="1" si="49"/>
        <v>60.705874999999992</v>
      </c>
      <c r="C1109" s="10">
        <f t="shared" ca="1" si="49"/>
        <v>60.273625000000003</v>
      </c>
      <c r="D1109" s="10"/>
      <c r="E1109" s="10">
        <f t="shared" ca="1" si="50"/>
        <v>60.136974999999985</v>
      </c>
      <c r="F1109" s="10">
        <f t="shared" ca="1" si="50"/>
        <v>60.136974999999985</v>
      </c>
      <c r="G1109" s="10">
        <f t="shared" ca="1" si="50"/>
        <v>60.408341666666665</v>
      </c>
      <c r="H1109" s="10">
        <f t="shared" ca="1" si="50"/>
        <v>60.273625000000003</v>
      </c>
      <c r="I1109" s="10">
        <f t="shared" ca="1" si="50"/>
        <v>60.273625000000003</v>
      </c>
      <c r="J1109" s="10">
        <f t="shared" ca="1" si="50"/>
        <v>60.273625000000003</v>
      </c>
      <c r="K1109" s="10">
        <f t="shared" ca="1" si="50"/>
        <v>60.273625000000003</v>
      </c>
    </row>
    <row r="1110" spans="1:11" ht="15" x14ac:dyDescent="0.2">
      <c r="A1110" s="11">
        <f t="shared" si="24"/>
        <v>2067</v>
      </c>
      <c r="B1110" s="10">
        <f t="shared" ca="1" si="49"/>
        <v>61.624400000000009</v>
      </c>
      <c r="C1110" s="10">
        <f t="shared" ca="1" si="49"/>
        <v>61.192149999999991</v>
      </c>
      <c r="D1110" s="10"/>
      <c r="E1110" s="10">
        <f t="shared" ca="1" si="50"/>
        <v>61.055491666666676</v>
      </c>
      <c r="F1110" s="10">
        <f t="shared" ca="1" si="50"/>
        <v>61.055491666666676</v>
      </c>
      <c r="G1110" s="10">
        <f t="shared" ca="1" si="50"/>
        <v>61.32686666666666</v>
      </c>
      <c r="H1110" s="10">
        <f t="shared" ca="1" si="50"/>
        <v>61.192149999999991</v>
      </c>
      <c r="I1110" s="10">
        <f t="shared" ca="1" si="50"/>
        <v>61.192149999999991</v>
      </c>
      <c r="J1110" s="10">
        <f t="shared" ca="1" si="50"/>
        <v>61.192149999999991</v>
      </c>
      <c r="K1110" s="10">
        <f t="shared" ca="1" si="50"/>
        <v>61.192149999999991</v>
      </c>
    </row>
    <row r="1111" spans="1:11" ht="15" x14ac:dyDescent="0.2">
      <c r="A1111" s="11">
        <f t="shared" si="24"/>
        <v>2068</v>
      </c>
      <c r="B1111" s="10">
        <f t="shared" ca="1" si="49"/>
        <v>62.557366666666667</v>
      </c>
      <c r="C1111" s="10">
        <f t="shared" ca="1" si="49"/>
        <v>62.125091666666663</v>
      </c>
      <c r="D1111" s="10"/>
      <c r="E1111" s="10">
        <f t="shared" ca="1" si="50"/>
        <v>61.988458333333341</v>
      </c>
      <c r="F1111" s="10">
        <f t="shared" ca="1" si="50"/>
        <v>61.988458333333341</v>
      </c>
      <c r="G1111" s="10">
        <f t="shared" ca="1" si="50"/>
        <v>62.259800000000006</v>
      </c>
      <c r="H1111" s="10">
        <f t="shared" ca="1" si="50"/>
        <v>62.125091666666663</v>
      </c>
      <c r="I1111" s="10">
        <f t="shared" ca="1" si="50"/>
        <v>62.125091666666663</v>
      </c>
      <c r="J1111" s="10">
        <f t="shared" ca="1" si="50"/>
        <v>62.125091666666663</v>
      </c>
      <c r="K1111" s="10">
        <f t="shared" ca="1" si="50"/>
        <v>62.125091666666663</v>
      </c>
    </row>
    <row r="1112" spans="1:11" ht="15" x14ac:dyDescent="0.2">
      <c r="A1112" s="11">
        <f t="shared" si="24"/>
        <v>2069</v>
      </c>
      <c r="B1112" s="10">
        <f t="shared" ca="1" si="49"/>
        <v>63.504983333333321</v>
      </c>
      <c r="C1112" s="10">
        <f t="shared" ca="1" si="49"/>
        <v>63.072733333333332</v>
      </c>
      <c r="D1112" s="10"/>
      <c r="E1112" s="10">
        <f t="shared" ca="1" si="50"/>
        <v>62.936083333333329</v>
      </c>
      <c r="F1112" s="10">
        <f t="shared" ca="1" si="50"/>
        <v>62.936083333333329</v>
      </c>
      <c r="G1112" s="10">
        <f t="shared" ca="1" si="50"/>
        <v>63.207450000000001</v>
      </c>
      <c r="H1112" s="10">
        <f t="shared" ca="1" si="50"/>
        <v>63.072733333333332</v>
      </c>
      <c r="I1112" s="10">
        <f t="shared" ca="1" si="50"/>
        <v>63.072733333333332</v>
      </c>
      <c r="J1112" s="10">
        <f t="shared" ca="1" si="50"/>
        <v>63.072733333333332</v>
      </c>
      <c r="K1112" s="10">
        <f t="shared" ca="1" si="50"/>
        <v>63.072733333333332</v>
      </c>
    </row>
    <row r="1113" spans="1:11" ht="15" x14ac:dyDescent="0.2">
      <c r="A1113" s="11">
        <f t="shared" ref="A1113:A1143" si="51">A1112+1</f>
        <v>2070</v>
      </c>
      <c r="B1113" s="10">
        <f t="shared" ca="1" si="49"/>
        <v>64.467500000000001</v>
      </c>
      <c r="C1113" s="10">
        <f t="shared" ca="1" si="49"/>
        <v>64.035258333333331</v>
      </c>
      <c r="D1113" s="10"/>
      <c r="E1113" s="10">
        <f t="shared" ca="1" si="50"/>
        <v>63.898599999999995</v>
      </c>
      <c r="F1113" s="10">
        <f t="shared" ca="1" si="50"/>
        <v>63.898599999999995</v>
      </c>
      <c r="G1113" s="10">
        <f t="shared" ca="1" si="50"/>
        <v>64.169983333333349</v>
      </c>
      <c r="H1113" s="10">
        <f t="shared" ca="1" si="50"/>
        <v>64.035258333333331</v>
      </c>
      <c r="I1113" s="10">
        <f t="shared" ca="1" si="50"/>
        <v>64.035258333333331</v>
      </c>
      <c r="J1113" s="10">
        <f t="shared" ca="1" si="50"/>
        <v>64.035258333333331</v>
      </c>
      <c r="K1113" s="10">
        <f t="shared" ca="1" si="50"/>
        <v>64.035258333333331</v>
      </c>
    </row>
    <row r="1114" spans="1:11" ht="15" x14ac:dyDescent="0.2">
      <c r="A1114" s="11">
        <f t="shared" si="51"/>
        <v>2071</v>
      </c>
      <c r="B1114" s="10">
        <f t="shared" ca="1" si="49"/>
        <v>65.445174999999992</v>
      </c>
      <c r="C1114" s="10">
        <f t="shared" ca="1" si="49"/>
        <v>65.012924999999996</v>
      </c>
      <c r="D1114" s="10"/>
      <c r="E1114" s="10">
        <f t="shared" ca="1" si="50"/>
        <v>64.876275000000007</v>
      </c>
      <c r="F1114" s="10">
        <f t="shared" ca="1" si="50"/>
        <v>64.876275000000007</v>
      </c>
      <c r="G1114" s="10">
        <f t="shared" ca="1" si="50"/>
        <v>65.147649999999999</v>
      </c>
      <c r="H1114" s="10">
        <f t="shared" ca="1" si="50"/>
        <v>65.012924999999996</v>
      </c>
      <c r="I1114" s="10">
        <f t="shared" ca="1" si="50"/>
        <v>65.012924999999996</v>
      </c>
      <c r="J1114" s="10">
        <f t="shared" ca="1" si="50"/>
        <v>65.012924999999996</v>
      </c>
      <c r="K1114" s="10">
        <f t="shared" ca="1" si="50"/>
        <v>65.012924999999996</v>
      </c>
    </row>
    <row r="1115" spans="1:11" ht="15" x14ac:dyDescent="0.2">
      <c r="A1115" s="11">
        <f t="shared" si="51"/>
        <v>2072</v>
      </c>
      <c r="B1115" s="10">
        <f t="shared" ca="1" si="49"/>
        <v>66.438216666666676</v>
      </c>
      <c r="C1115" s="10">
        <f t="shared" ca="1" si="49"/>
        <v>66.005974999999992</v>
      </c>
      <c r="D1115" s="10"/>
      <c r="E1115" s="10">
        <f t="shared" ref="E1115:K1124" ca="1" si="52">AVERAGE(OFFSET(E$588,($A1115-$A$1105)*12,0,12,1))</f>
        <v>65.869316666666663</v>
      </c>
      <c r="F1115" s="10">
        <f t="shared" ca="1" si="52"/>
        <v>65.869316666666663</v>
      </c>
      <c r="G1115" s="10">
        <f t="shared" ca="1" si="52"/>
        <v>66.140683333333328</v>
      </c>
      <c r="H1115" s="10">
        <f t="shared" ca="1" si="52"/>
        <v>66.005974999999992</v>
      </c>
      <c r="I1115" s="10">
        <f t="shared" ca="1" si="52"/>
        <v>66.005974999999992</v>
      </c>
      <c r="J1115" s="10">
        <f t="shared" ca="1" si="52"/>
        <v>66.005974999999992</v>
      </c>
      <c r="K1115" s="10">
        <f t="shared" ca="1" si="52"/>
        <v>66.005974999999992</v>
      </c>
    </row>
    <row r="1116" spans="1:11" ht="15" x14ac:dyDescent="0.2">
      <c r="A1116" s="11">
        <f t="shared" si="51"/>
        <v>2073</v>
      </c>
      <c r="B1116" s="10">
        <f t="shared" ca="1" si="49"/>
        <v>67.446875000000006</v>
      </c>
      <c r="C1116" s="10">
        <f t="shared" ca="1" si="49"/>
        <v>67.014625000000009</v>
      </c>
      <c r="D1116" s="10"/>
      <c r="E1116" s="10">
        <f t="shared" ca="1" si="52"/>
        <v>66.877975000000006</v>
      </c>
      <c r="F1116" s="10">
        <f t="shared" ca="1" si="52"/>
        <v>66.877975000000006</v>
      </c>
      <c r="G1116" s="10">
        <f t="shared" ca="1" si="52"/>
        <v>67.149333333333331</v>
      </c>
      <c r="H1116" s="10">
        <f t="shared" ca="1" si="52"/>
        <v>67.014625000000009</v>
      </c>
      <c r="I1116" s="10">
        <f t="shared" ca="1" si="52"/>
        <v>67.014625000000009</v>
      </c>
      <c r="J1116" s="10">
        <f t="shared" ca="1" si="52"/>
        <v>67.014625000000009</v>
      </c>
      <c r="K1116" s="10">
        <f t="shared" ca="1" si="52"/>
        <v>67.014625000000009</v>
      </c>
    </row>
    <row r="1117" spans="1:11" ht="15" x14ac:dyDescent="0.2">
      <c r="A1117" s="11">
        <f t="shared" si="51"/>
        <v>2074</v>
      </c>
      <c r="B1117" s="10">
        <f t="shared" ca="1" si="49"/>
        <v>68.471383333333321</v>
      </c>
      <c r="C1117" s="10">
        <f t="shared" ca="1" si="49"/>
        <v>68.039133333333339</v>
      </c>
      <c r="D1117" s="10"/>
      <c r="E1117" s="10">
        <f t="shared" ca="1" si="52"/>
        <v>67.902483333333336</v>
      </c>
      <c r="F1117" s="10">
        <f t="shared" ca="1" si="52"/>
        <v>67.902483333333336</v>
      </c>
      <c r="G1117" s="10">
        <f t="shared" ca="1" si="52"/>
        <v>68.173874999999995</v>
      </c>
      <c r="H1117" s="10">
        <f t="shared" ca="1" si="52"/>
        <v>68.039133333333339</v>
      </c>
      <c r="I1117" s="10">
        <f t="shared" ca="1" si="52"/>
        <v>68.039133333333339</v>
      </c>
      <c r="J1117" s="10">
        <f t="shared" ca="1" si="52"/>
        <v>68.039133333333339</v>
      </c>
      <c r="K1117" s="10">
        <f t="shared" ca="1" si="52"/>
        <v>68.039133333333339</v>
      </c>
    </row>
    <row r="1118" spans="1:11" ht="15" x14ac:dyDescent="0.2">
      <c r="A1118" s="11">
        <f t="shared" si="51"/>
        <v>2075</v>
      </c>
      <c r="B1118" s="10">
        <f t="shared" ca="1" si="49"/>
        <v>69.512024999999994</v>
      </c>
      <c r="C1118" s="10">
        <f t="shared" ca="1" si="49"/>
        <v>69.079766666666657</v>
      </c>
      <c r="D1118" s="10"/>
      <c r="E1118" s="10">
        <f t="shared" ca="1" si="52"/>
        <v>68.943116666666668</v>
      </c>
      <c r="F1118" s="10">
        <f t="shared" ca="1" si="52"/>
        <v>68.943116666666668</v>
      </c>
      <c r="G1118" s="10">
        <f t="shared" ca="1" si="52"/>
        <v>69.214483333333334</v>
      </c>
      <c r="H1118" s="10">
        <f t="shared" ca="1" si="52"/>
        <v>69.079766666666657</v>
      </c>
      <c r="I1118" s="10">
        <f t="shared" ca="1" si="52"/>
        <v>69.079766666666657</v>
      </c>
      <c r="J1118" s="10">
        <f t="shared" ca="1" si="52"/>
        <v>69.079766666666657</v>
      </c>
      <c r="K1118" s="10">
        <f t="shared" ca="1" si="52"/>
        <v>69.079766666666657</v>
      </c>
    </row>
    <row r="1119" spans="1:11" ht="15" x14ac:dyDescent="0.2">
      <c r="A1119" s="11">
        <f t="shared" si="51"/>
        <v>2076</v>
      </c>
      <c r="B1119" s="10">
        <f t="shared" ca="1" si="49"/>
        <v>70.569008333333329</v>
      </c>
      <c r="C1119" s="10">
        <f t="shared" ca="1" si="49"/>
        <v>70.136758333333333</v>
      </c>
      <c r="D1119" s="10"/>
      <c r="E1119" s="10">
        <f t="shared" ca="1" si="52"/>
        <v>70.000091666666663</v>
      </c>
      <c r="F1119" s="10">
        <f t="shared" ca="1" si="52"/>
        <v>70.000091666666663</v>
      </c>
      <c r="G1119" s="10">
        <f t="shared" ca="1" si="52"/>
        <v>70.271483333333336</v>
      </c>
      <c r="H1119" s="10">
        <f t="shared" ca="1" si="52"/>
        <v>70.136758333333333</v>
      </c>
      <c r="I1119" s="10">
        <f t="shared" ca="1" si="52"/>
        <v>70.136758333333333</v>
      </c>
      <c r="J1119" s="10">
        <f t="shared" ca="1" si="52"/>
        <v>70.136758333333333</v>
      </c>
      <c r="K1119" s="10">
        <f t="shared" ca="1" si="52"/>
        <v>70.136758333333333</v>
      </c>
    </row>
    <row r="1120" spans="1:11" ht="15" x14ac:dyDescent="0.2">
      <c r="A1120" s="11">
        <f t="shared" si="51"/>
        <v>2077</v>
      </c>
      <c r="B1120" s="10">
        <f t="shared" ca="1" si="49"/>
        <v>71.642616666666669</v>
      </c>
      <c r="C1120" s="10">
        <f t="shared" ca="1" si="49"/>
        <v>71.210383333333326</v>
      </c>
      <c r="D1120" s="10"/>
      <c r="E1120" s="10">
        <f t="shared" ca="1" si="52"/>
        <v>71.073708333333329</v>
      </c>
      <c r="F1120" s="10">
        <f t="shared" ca="1" si="52"/>
        <v>71.073708333333329</v>
      </c>
      <c r="G1120" s="10">
        <f t="shared" ca="1" si="52"/>
        <v>71.345091666666676</v>
      </c>
      <c r="H1120" s="10">
        <f t="shared" ca="1" si="52"/>
        <v>71.210383333333326</v>
      </c>
      <c r="I1120" s="10">
        <f t="shared" ca="1" si="52"/>
        <v>71.210383333333326</v>
      </c>
      <c r="J1120" s="10">
        <f t="shared" ca="1" si="52"/>
        <v>71.210383333333326</v>
      </c>
      <c r="K1120" s="10">
        <f t="shared" ca="1" si="52"/>
        <v>71.210383333333326</v>
      </c>
    </row>
    <row r="1121" spans="1:11" ht="15" x14ac:dyDescent="0.2">
      <c r="A1121" s="11">
        <f t="shared" si="51"/>
        <v>2078</v>
      </c>
      <c r="B1121" s="10">
        <f t="shared" ca="1" si="49"/>
        <v>72.733108333333334</v>
      </c>
      <c r="C1121" s="10">
        <f t="shared" ca="1" si="49"/>
        <v>72.300883333333331</v>
      </c>
      <c r="D1121" s="10"/>
      <c r="E1121" s="10">
        <f t="shared" ca="1" si="52"/>
        <v>72.16419999999998</v>
      </c>
      <c r="F1121" s="10">
        <f t="shared" ca="1" si="52"/>
        <v>72.16419999999998</v>
      </c>
      <c r="G1121" s="10">
        <f t="shared" ca="1" si="52"/>
        <v>72.435591666666667</v>
      </c>
      <c r="H1121" s="10">
        <f t="shared" ca="1" si="52"/>
        <v>72.300883333333331</v>
      </c>
      <c r="I1121" s="10">
        <f t="shared" ca="1" si="52"/>
        <v>72.300883333333331</v>
      </c>
      <c r="J1121" s="10">
        <f t="shared" ca="1" si="52"/>
        <v>72.300883333333331</v>
      </c>
      <c r="K1121" s="10">
        <f t="shared" ca="1" si="52"/>
        <v>72.300883333333331</v>
      </c>
    </row>
    <row r="1122" spans="1:11" ht="15" x14ac:dyDescent="0.2">
      <c r="A1122" s="11">
        <f t="shared" si="51"/>
        <v>2079</v>
      </c>
      <c r="B1122" s="10">
        <f t="shared" ca="1" si="49"/>
        <v>73.840774999999994</v>
      </c>
      <c r="C1122" s="10">
        <f t="shared" ca="1" si="49"/>
        <v>73.408508333333344</v>
      </c>
      <c r="D1122" s="10"/>
      <c r="E1122" s="10">
        <f t="shared" ca="1" si="52"/>
        <v>73.271858333333327</v>
      </c>
      <c r="F1122" s="10">
        <f t="shared" ca="1" si="52"/>
        <v>73.271858333333327</v>
      </c>
      <c r="G1122" s="10">
        <f t="shared" ca="1" si="52"/>
        <v>73.543208333333325</v>
      </c>
      <c r="H1122" s="10">
        <f t="shared" ca="1" si="52"/>
        <v>73.408508333333344</v>
      </c>
      <c r="I1122" s="10">
        <f t="shared" ca="1" si="52"/>
        <v>73.408508333333344</v>
      </c>
      <c r="J1122" s="10">
        <f t="shared" ca="1" si="52"/>
        <v>73.408508333333344</v>
      </c>
      <c r="K1122" s="10">
        <f t="shared" ca="1" si="52"/>
        <v>73.408508333333344</v>
      </c>
    </row>
    <row r="1123" spans="1:11" ht="15" x14ac:dyDescent="0.2">
      <c r="A1123" s="11">
        <f t="shared" si="51"/>
        <v>2080</v>
      </c>
      <c r="B1123" s="10">
        <f t="shared" ca="1" si="49"/>
        <v>74.965825000000009</v>
      </c>
      <c r="C1123" s="10">
        <f t="shared" ca="1" si="49"/>
        <v>74.533566666666658</v>
      </c>
      <c r="D1123" s="10"/>
      <c r="E1123" s="10">
        <f t="shared" ca="1" si="52"/>
        <v>74.396916666666655</v>
      </c>
      <c r="F1123" s="10">
        <f t="shared" ca="1" si="52"/>
        <v>74.396916666666655</v>
      </c>
      <c r="G1123" s="10">
        <f t="shared" ca="1" si="52"/>
        <v>74.668283333333335</v>
      </c>
      <c r="H1123" s="10">
        <f t="shared" ca="1" si="52"/>
        <v>74.533566666666658</v>
      </c>
      <c r="I1123" s="10">
        <f t="shared" ca="1" si="52"/>
        <v>74.533566666666658</v>
      </c>
      <c r="J1123" s="10">
        <f t="shared" ca="1" si="52"/>
        <v>74.533566666666658</v>
      </c>
      <c r="K1123" s="10">
        <f t="shared" ca="1" si="52"/>
        <v>74.533566666666658</v>
      </c>
    </row>
    <row r="1124" spans="1:11" ht="15" x14ac:dyDescent="0.2">
      <c r="A1124" s="11">
        <f t="shared" si="51"/>
        <v>2081</v>
      </c>
      <c r="B1124" s="10">
        <f t="shared" ca="1" si="49"/>
        <v>76.108566666666661</v>
      </c>
      <c r="C1124" s="10">
        <f t="shared" ca="1" si="49"/>
        <v>75.676333333333346</v>
      </c>
      <c r="D1124" s="10"/>
      <c r="E1124" s="10">
        <f t="shared" ca="1" si="52"/>
        <v>75.539666666666676</v>
      </c>
      <c r="F1124" s="10">
        <f t="shared" ca="1" si="52"/>
        <v>75.539666666666676</v>
      </c>
      <c r="G1124" s="10">
        <f t="shared" ca="1" si="52"/>
        <v>75.811049999999994</v>
      </c>
      <c r="H1124" s="10">
        <f t="shared" ca="1" si="52"/>
        <v>75.676333333333346</v>
      </c>
      <c r="I1124" s="10">
        <f t="shared" ca="1" si="52"/>
        <v>75.676333333333346</v>
      </c>
      <c r="J1124" s="10">
        <f t="shared" ca="1" si="52"/>
        <v>75.676333333333346</v>
      </c>
      <c r="K1124" s="10">
        <f t="shared" ca="1" si="52"/>
        <v>75.676333333333346</v>
      </c>
    </row>
    <row r="1125" spans="1:11" ht="15" x14ac:dyDescent="0.2">
      <c r="A1125" s="11">
        <f t="shared" si="51"/>
        <v>2082</v>
      </c>
      <c r="B1125" s="10">
        <f t="shared" ref="B1125:C1143" ca="1" si="53">AVERAGE(OFFSET(B$588,($A1125-$A$1105)*12,0,12,1))</f>
        <v>77.26928333333332</v>
      </c>
      <c r="C1125" s="10">
        <f t="shared" ca="1" si="53"/>
        <v>76.837050000000019</v>
      </c>
      <c r="D1125" s="10"/>
      <c r="E1125" s="10">
        <f t="shared" ref="E1125:K1134" ca="1" si="54">AVERAGE(OFFSET(E$588,($A1125-$A$1105)*12,0,12,1))</f>
        <v>76.700374999999994</v>
      </c>
      <c r="F1125" s="10">
        <f t="shared" ca="1" si="54"/>
        <v>76.700374999999994</v>
      </c>
      <c r="G1125" s="10">
        <f t="shared" ca="1" si="54"/>
        <v>76.971774999999994</v>
      </c>
      <c r="H1125" s="10">
        <f t="shared" ca="1" si="54"/>
        <v>76.837050000000019</v>
      </c>
      <c r="I1125" s="10">
        <f t="shared" ca="1" si="54"/>
        <v>76.837050000000019</v>
      </c>
      <c r="J1125" s="10">
        <f t="shared" ca="1" si="54"/>
        <v>76.837050000000019</v>
      </c>
      <c r="K1125" s="10">
        <f t="shared" ca="1" si="54"/>
        <v>76.837050000000019</v>
      </c>
    </row>
    <row r="1126" spans="1:11" ht="15" x14ac:dyDescent="0.2">
      <c r="A1126" s="11">
        <f t="shared" si="51"/>
        <v>2083</v>
      </c>
      <c r="B1126" s="10">
        <f t="shared" ca="1" si="53"/>
        <v>78.44827500000001</v>
      </c>
      <c r="C1126" s="10">
        <f t="shared" ca="1" si="53"/>
        <v>78.016016666666658</v>
      </c>
      <c r="D1126" s="10"/>
      <c r="E1126" s="10">
        <f t="shared" ca="1" si="54"/>
        <v>77.879366666666655</v>
      </c>
      <c r="F1126" s="10">
        <f t="shared" ca="1" si="54"/>
        <v>77.879366666666655</v>
      </c>
      <c r="G1126" s="10">
        <f t="shared" ca="1" si="54"/>
        <v>78.150724999999994</v>
      </c>
      <c r="H1126" s="10">
        <f t="shared" ca="1" si="54"/>
        <v>78.016016666666658</v>
      </c>
      <c r="I1126" s="10">
        <f t="shared" ca="1" si="54"/>
        <v>78.016016666666658</v>
      </c>
      <c r="J1126" s="10">
        <f t="shared" ca="1" si="54"/>
        <v>78.016016666666658</v>
      </c>
      <c r="K1126" s="10">
        <f t="shared" ca="1" si="54"/>
        <v>78.016016666666658</v>
      </c>
    </row>
    <row r="1127" spans="1:11" ht="15" x14ac:dyDescent="0.2">
      <c r="A1127" s="11">
        <f t="shared" si="51"/>
        <v>2084</v>
      </c>
      <c r="B1127" s="10">
        <f t="shared" ca="1" si="53"/>
        <v>79.645774999999986</v>
      </c>
      <c r="C1127" s="10">
        <f t="shared" ca="1" si="53"/>
        <v>79.213533333333331</v>
      </c>
      <c r="D1127" s="10"/>
      <c r="E1127" s="10">
        <f t="shared" ca="1" si="54"/>
        <v>79.076858333333334</v>
      </c>
      <c r="F1127" s="10">
        <f t="shared" ca="1" si="54"/>
        <v>79.076858333333334</v>
      </c>
      <c r="G1127" s="10">
        <f t="shared" ca="1" si="54"/>
        <v>79.348258333333334</v>
      </c>
      <c r="H1127" s="10">
        <f t="shared" ca="1" si="54"/>
        <v>79.213533333333331</v>
      </c>
      <c r="I1127" s="10">
        <f t="shared" ca="1" si="54"/>
        <v>79.213533333333331</v>
      </c>
      <c r="J1127" s="10">
        <f t="shared" ca="1" si="54"/>
        <v>79.213533333333331</v>
      </c>
      <c r="K1127" s="10">
        <f t="shared" ca="1" si="54"/>
        <v>79.213533333333331</v>
      </c>
    </row>
    <row r="1128" spans="1:11" ht="15" x14ac:dyDescent="0.2">
      <c r="A1128" s="11">
        <f t="shared" si="51"/>
        <v>2085</v>
      </c>
      <c r="B1128" s="10">
        <f t="shared" ca="1" si="53"/>
        <v>80.862124999999992</v>
      </c>
      <c r="C1128" s="10">
        <f t="shared" ca="1" si="53"/>
        <v>80.429874999999996</v>
      </c>
      <c r="D1128" s="10"/>
      <c r="E1128" s="10">
        <f t="shared" ca="1" si="54"/>
        <v>80.29321666666668</v>
      </c>
      <c r="F1128" s="10">
        <f t="shared" ca="1" si="54"/>
        <v>80.29321666666668</v>
      </c>
      <c r="G1128" s="10">
        <f t="shared" ca="1" si="54"/>
        <v>80.564583333333331</v>
      </c>
      <c r="H1128" s="10">
        <f t="shared" ca="1" si="54"/>
        <v>80.429874999999996</v>
      </c>
      <c r="I1128" s="10">
        <f t="shared" ca="1" si="54"/>
        <v>80.429874999999996</v>
      </c>
      <c r="J1128" s="10">
        <f t="shared" ca="1" si="54"/>
        <v>80.429874999999996</v>
      </c>
      <c r="K1128" s="10">
        <f t="shared" ca="1" si="54"/>
        <v>80.429874999999996</v>
      </c>
    </row>
    <row r="1129" spans="1:11" ht="15" x14ac:dyDescent="0.2">
      <c r="A1129" s="11">
        <f t="shared" si="51"/>
        <v>2086</v>
      </c>
      <c r="B1129" s="10">
        <f t="shared" ca="1" si="53"/>
        <v>82.0976</v>
      </c>
      <c r="C1129" s="10">
        <f t="shared" ca="1" si="53"/>
        <v>81.665350000000004</v>
      </c>
      <c r="D1129" s="10"/>
      <c r="E1129" s="10">
        <f t="shared" ca="1" si="54"/>
        <v>81.528700000000001</v>
      </c>
      <c r="F1129" s="10">
        <f t="shared" ca="1" si="54"/>
        <v>81.528700000000001</v>
      </c>
      <c r="G1129" s="10">
        <f t="shared" ca="1" si="54"/>
        <v>81.800075000000007</v>
      </c>
      <c r="H1129" s="10">
        <f t="shared" ca="1" si="54"/>
        <v>81.665350000000004</v>
      </c>
      <c r="I1129" s="10">
        <f t="shared" ca="1" si="54"/>
        <v>81.665350000000004</v>
      </c>
      <c r="J1129" s="10">
        <f t="shared" ca="1" si="54"/>
        <v>81.665350000000004</v>
      </c>
      <c r="K1129" s="10">
        <f t="shared" ca="1" si="54"/>
        <v>81.665350000000004</v>
      </c>
    </row>
    <row r="1130" spans="1:11" ht="15" x14ac:dyDescent="0.2">
      <c r="A1130" s="11">
        <f t="shared" si="51"/>
        <v>2087</v>
      </c>
      <c r="B1130" s="10">
        <f t="shared" ca="1" si="53"/>
        <v>83.352491666666637</v>
      </c>
      <c r="C1130" s="10">
        <f t="shared" ca="1" si="53"/>
        <v>82.920249999999996</v>
      </c>
      <c r="D1130" s="10"/>
      <c r="E1130" s="10">
        <f t="shared" ca="1" si="54"/>
        <v>82.783591666666652</v>
      </c>
      <c r="F1130" s="10">
        <f t="shared" ca="1" si="54"/>
        <v>82.783591666666652</v>
      </c>
      <c r="G1130" s="10">
        <f t="shared" ca="1" si="54"/>
        <v>83.054966666666658</v>
      </c>
      <c r="H1130" s="10">
        <f t="shared" ca="1" si="54"/>
        <v>82.920249999999996</v>
      </c>
      <c r="I1130" s="10">
        <f t="shared" ca="1" si="54"/>
        <v>82.920249999999996</v>
      </c>
      <c r="J1130" s="10">
        <f t="shared" ca="1" si="54"/>
        <v>82.920249999999996</v>
      </c>
      <c r="K1130" s="10">
        <f t="shared" ca="1" si="54"/>
        <v>82.920249999999996</v>
      </c>
    </row>
    <row r="1131" spans="1:11" ht="15" x14ac:dyDescent="0.2">
      <c r="A1131" s="11">
        <f t="shared" si="51"/>
        <v>2088</v>
      </c>
      <c r="B1131" s="10">
        <f t="shared" ca="1" si="53"/>
        <v>84.627108333333325</v>
      </c>
      <c r="C1131" s="10">
        <f t="shared" ca="1" si="53"/>
        <v>84.194883333333337</v>
      </c>
      <c r="D1131" s="10"/>
      <c r="E1131" s="10">
        <f t="shared" ca="1" si="54"/>
        <v>84.058199999999985</v>
      </c>
      <c r="F1131" s="10">
        <f t="shared" ca="1" si="54"/>
        <v>84.058199999999985</v>
      </c>
      <c r="G1131" s="10">
        <f t="shared" ca="1" si="54"/>
        <v>84.329591666666659</v>
      </c>
      <c r="H1131" s="10">
        <f t="shared" ca="1" si="54"/>
        <v>84.194883333333337</v>
      </c>
      <c r="I1131" s="10">
        <f t="shared" ca="1" si="54"/>
        <v>84.194883333333337</v>
      </c>
      <c r="J1131" s="10">
        <f t="shared" ca="1" si="54"/>
        <v>84.194883333333337</v>
      </c>
      <c r="K1131" s="10">
        <f t="shared" ca="1" si="54"/>
        <v>84.194883333333337</v>
      </c>
    </row>
    <row r="1132" spans="1:11" ht="15" x14ac:dyDescent="0.2">
      <c r="A1132" s="11">
        <f t="shared" si="51"/>
        <v>2089</v>
      </c>
      <c r="B1132" s="10">
        <f t="shared" ca="1" si="53"/>
        <v>85.921800000000019</v>
      </c>
      <c r="C1132" s="10">
        <f t="shared" ca="1" si="53"/>
        <v>85.489549999999994</v>
      </c>
      <c r="D1132" s="10"/>
      <c r="E1132" s="10">
        <f t="shared" ca="1" si="54"/>
        <v>85.352891666666665</v>
      </c>
      <c r="F1132" s="10">
        <f t="shared" ca="1" si="54"/>
        <v>85.352891666666665</v>
      </c>
      <c r="G1132" s="10">
        <f t="shared" ca="1" si="54"/>
        <v>85.624266666666657</v>
      </c>
      <c r="H1132" s="10">
        <f t="shared" ca="1" si="54"/>
        <v>85.489549999999994</v>
      </c>
      <c r="I1132" s="10">
        <f t="shared" ca="1" si="54"/>
        <v>85.489549999999994</v>
      </c>
      <c r="J1132" s="10">
        <f t="shared" ca="1" si="54"/>
        <v>85.489549999999994</v>
      </c>
      <c r="K1132" s="10">
        <f t="shared" ca="1" si="54"/>
        <v>85.489549999999994</v>
      </c>
    </row>
    <row r="1133" spans="1:11" ht="15" x14ac:dyDescent="0.2">
      <c r="A1133" s="11">
        <f t="shared" si="51"/>
        <v>2090</v>
      </c>
      <c r="B1133" s="10">
        <f t="shared" ca="1" si="53"/>
        <v>87.236824999999996</v>
      </c>
      <c r="C1133" s="10">
        <f t="shared" ca="1" si="53"/>
        <v>86.804591666666667</v>
      </c>
      <c r="D1133" s="10"/>
      <c r="E1133" s="10">
        <f t="shared" ca="1" si="54"/>
        <v>86.667916666666656</v>
      </c>
      <c r="F1133" s="10">
        <f t="shared" ca="1" si="54"/>
        <v>86.667916666666656</v>
      </c>
      <c r="G1133" s="10">
        <f t="shared" ca="1" si="54"/>
        <v>86.939308333333329</v>
      </c>
      <c r="H1133" s="10">
        <f t="shared" ca="1" si="54"/>
        <v>86.804591666666667</v>
      </c>
      <c r="I1133" s="10">
        <f t="shared" ca="1" si="54"/>
        <v>86.804591666666667</v>
      </c>
      <c r="J1133" s="10">
        <f t="shared" ca="1" si="54"/>
        <v>86.804591666666667</v>
      </c>
      <c r="K1133" s="10">
        <f t="shared" ca="1" si="54"/>
        <v>86.804591666666667</v>
      </c>
    </row>
    <row r="1134" spans="1:11" ht="15" x14ac:dyDescent="0.2">
      <c r="A1134" s="11">
        <f t="shared" si="51"/>
        <v>2091</v>
      </c>
      <c r="B1134" s="10">
        <f t="shared" ca="1" si="53"/>
        <v>88.57253333333334</v>
      </c>
      <c r="C1134" s="10">
        <f t="shared" ca="1" si="53"/>
        <v>88.140291666666656</v>
      </c>
      <c r="D1134" s="10"/>
      <c r="E1134" s="10">
        <f t="shared" ca="1" si="54"/>
        <v>88.003633333333312</v>
      </c>
      <c r="F1134" s="10">
        <f t="shared" ca="1" si="54"/>
        <v>88.003633333333312</v>
      </c>
      <c r="G1134" s="10">
        <f t="shared" ca="1" si="54"/>
        <v>88.275016666666659</v>
      </c>
      <c r="H1134" s="10">
        <f t="shared" ca="1" si="54"/>
        <v>88.140291666666656</v>
      </c>
      <c r="I1134" s="10">
        <f t="shared" ca="1" si="54"/>
        <v>88.140291666666656</v>
      </c>
      <c r="J1134" s="10">
        <f t="shared" ca="1" si="54"/>
        <v>88.140291666666656</v>
      </c>
      <c r="K1134" s="10">
        <f t="shared" ca="1" si="54"/>
        <v>88.140291666666656</v>
      </c>
    </row>
    <row r="1135" spans="1:11" ht="15" x14ac:dyDescent="0.2">
      <c r="A1135" s="11">
        <f t="shared" si="51"/>
        <v>2092</v>
      </c>
      <c r="B1135" s="10">
        <f t="shared" ca="1" si="53"/>
        <v>89.929258333333337</v>
      </c>
      <c r="C1135" s="10">
        <f t="shared" ca="1" si="53"/>
        <v>89.497</v>
      </c>
      <c r="D1135" s="10"/>
      <c r="E1135" s="10">
        <f t="shared" ref="E1135:K1143" ca="1" si="55">AVERAGE(OFFSET(E$588,($A1135-$A$1105)*12,0,12,1))</f>
        <v>89.360349999999997</v>
      </c>
      <c r="F1135" s="10">
        <f t="shared" ca="1" si="55"/>
        <v>89.360349999999997</v>
      </c>
      <c r="G1135" s="10">
        <f t="shared" ca="1" si="55"/>
        <v>89.631725000000003</v>
      </c>
      <c r="H1135" s="10">
        <f t="shared" ca="1" si="55"/>
        <v>89.497</v>
      </c>
      <c r="I1135" s="10">
        <f t="shared" ca="1" si="55"/>
        <v>89.497</v>
      </c>
      <c r="J1135" s="10">
        <f t="shared" ca="1" si="55"/>
        <v>89.497</v>
      </c>
      <c r="K1135" s="10">
        <f t="shared" ca="1" si="55"/>
        <v>89.497</v>
      </c>
    </row>
    <row r="1136" spans="1:11" ht="15" x14ac:dyDescent="0.2">
      <c r="A1136" s="11">
        <f t="shared" si="51"/>
        <v>2093</v>
      </c>
      <c r="B1136" s="10">
        <f t="shared" ca="1" si="53"/>
        <v>91.307291666666671</v>
      </c>
      <c r="C1136" s="10">
        <f t="shared" ca="1" si="53"/>
        <v>90.875066666666669</v>
      </c>
      <c r="D1136" s="10"/>
      <c r="E1136" s="10">
        <f t="shared" ca="1" si="55"/>
        <v>90.738383333333331</v>
      </c>
      <c r="F1136" s="10">
        <f t="shared" ca="1" si="55"/>
        <v>90.738383333333331</v>
      </c>
      <c r="G1136" s="10">
        <f t="shared" ca="1" si="55"/>
        <v>91.009783333333317</v>
      </c>
      <c r="H1136" s="10">
        <f t="shared" ca="1" si="55"/>
        <v>90.875066666666669</v>
      </c>
      <c r="I1136" s="10">
        <f t="shared" ca="1" si="55"/>
        <v>90.875066666666669</v>
      </c>
      <c r="J1136" s="10">
        <f t="shared" ca="1" si="55"/>
        <v>90.875066666666669</v>
      </c>
      <c r="K1136" s="10">
        <f t="shared" ca="1" si="55"/>
        <v>90.875066666666669</v>
      </c>
    </row>
    <row r="1137" spans="1:11" ht="15" x14ac:dyDescent="0.2">
      <c r="A1137" s="11">
        <f t="shared" si="51"/>
        <v>2094</v>
      </c>
      <c r="B1137" s="10">
        <f t="shared" ca="1" si="53"/>
        <v>92.707033333333342</v>
      </c>
      <c r="C1137" s="10">
        <f t="shared" ca="1" si="53"/>
        <v>92.274791666666658</v>
      </c>
      <c r="D1137" s="10"/>
      <c r="E1137" s="10">
        <f t="shared" ca="1" si="55"/>
        <v>92.138124999999988</v>
      </c>
      <c r="F1137" s="10">
        <f t="shared" ca="1" si="55"/>
        <v>92.138124999999988</v>
      </c>
      <c r="G1137" s="10">
        <f t="shared" ca="1" si="55"/>
        <v>92.40949999999998</v>
      </c>
      <c r="H1137" s="10">
        <f t="shared" ca="1" si="55"/>
        <v>92.274791666666658</v>
      </c>
      <c r="I1137" s="10">
        <f t="shared" ca="1" si="55"/>
        <v>92.274791666666658</v>
      </c>
      <c r="J1137" s="10">
        <f t="shared" ca="1" si="55"/>
        <v>92.274791666666658</v>
      </c>
      <c r="K1137" s="10">
        <f t="shared" ca="1" si="55"/>
        <v>92.274791666666658</v>
      </c>
    </row>
    <row r="1138" spans="1:11" ht="15" x14ac:dyDescent="0.2">
      <c r="A1138" s="11">
        <f t="shared" si="51"/>
        <v>2095</v>
      </c>
      <c r="B1138" s="10">
        <f t="shared" ca="1" si="53"/>
        <v>94.128775000000005</v>
      </c>
      <c r="C1138" s="10">
        <f t="shared" ca="1" si="53"/>
        <v>93.696516666666682</v>
      </c>
      <c r="D1138" s="10"/>
      <c r="E1138" s="10">
        <f t="shared" ca="1" si="55"/>
        <v>93.559849999999997</v>
      </c>
      <c r="F1138" s="10">
        <f t="shared" ca="1" si="55"/>
        <v>93.559849999999997</v>
      </c>
      <c r="G1138" s="10">
        <f t="shared" ca="1" si="55"/>
        <v>93.831233333333316</v>
      </c>
      <c r="H1138" s="10">
        <f t="shared" ca="1" si="55"/>
        <v>93.696516666666682</v>
      </c>
      <c r="I1138" s="10">
        <f t="shared" ca="1" si="55"/>
        <v>93.696516666666682</v>
      </c>
      <c r="J1138" s="10">
        <f t="shared" ca="1" si="55"/>
        <v>93.696516666666682</v>
      </c>
      <c r="K1138" s="10">
        <f t="shared" ca="1" si="55"/>
        <v>93.696516666666682</v>
      </c>
    </row>
    <row r="1139" spans="1:11" ht="15" x14ac:dyDescent="0.2">
      <c r="A1139" s="11">
        <f t="shared" si="51"/>
        <v>2096</v>
      </c>
      <c r="B1139" s="10">
        <f t="shared" ca="1" si="53"/>
        <v>95.572850000000003</v>
      </c>
      <c r="C1139" s="10">
        <f t="shared" ca="1" si="53"/>
        <v>95.140600000000006</v>
      </c>
      <c r="D1139" s="10"/>
      <c r="E1139" s="10">
        <f t="shared" ca="1" si="55"/>
        <v>95.003950000000017</v>
      </c>
      <c r="F1139" s="10">
        <f t="shared" ca="1" si="55"/>
        <v>95.003950000000017</v>
      </c>
      <c r="G1139" s="10">
        <f t="shared" ca="1" si="55"/>
        <v>95.275325000000009</v>
      </c>
      <c r="H1139" s="10">
        <f t="shared" ca="1" si="55"/>
        <v>95.140600000000006</v>
      </c>
      <c r="I1139" s="10">
        <f t="shared" ca="1" si="55"/>
        <v>95.140600000000006</v>
      </c>
      <c r="J1139" s="10">
        <f t="shared" ca="1" si="55"/>
        <v>95.140600000000006</v>
      </c>
      <c r="K1139" s="10">
        <f t="shared" ca="1" si="55"/>
        <v>95.140600000000006</v>
      </c>
    </row>
    <row r="1140" spans="1:11" ht="15" x14ac:dyDescent="0.2">
      <c r="A1140" s="11">
        <f t="shared" si="51"/>
        <v>2097</v>
      </c>
      <c r="B1140" s="10">
        <f t="shared" ca="1" si="53"/>
        <v>97.039649999999995</v>
      </c>
      <c r="C1140" s="10">
        <f t="shared" ca="1" si="53"/>
        <v>96.607399999999998</v>
      </c>
      <c r="D1140" s="10"/>
      <c r="E1140" s="10">
        <f t="shared" ca="1" si="55"/>
        <v>96.470733333333342</v>
      </c>
      <c r="F1140" s="10">
        <f t="shared" ca="1" si="55"/>
        <v>96.470733333333342</v>
      </c>
      <c r="G1140" s="10">
        <f t="shared" ca="1" si="55"/>
        <v>96.742100000000008</v>
      </c>
      <c r="H1140" s="10">
        <f t="shared" ca="1" si="55"/>
        <v>96.607399999999998</v>
      </c>
      <c r="I1140" s="10">
        <f t="shared" ca="1" si="55"/>
        <v>96.607399999999998</v>
      </c>
      <c r="J1140" s="10">
        <f t="shared" ca="1" si="55"/>
        <v>96.607399999999998</v>
      </c>
      <c r="K1140" s="10">
        <f t="shared" ca="1" si="55"/>
        <v>96.607399999999998</v>
      </c>
    </row>
    <row r="1141" spans="1:11" ht="15" x14ac:dyDescent="0.2">
      <c r="A1141" s="11">
        <f t="shared" si="51"/>
        <v>2098</v>
      </c>
      <c r="B1141" s="10">
        <f t="shared" ca="1" si="53"/>
        <v>98.529499999999999</v>
      </c>
      <c r="C1141" s="10">
        <f t="shared" ca="1" si="53"/>
        <v>98.097258333333343</v>
      </c>
      <c r="D1141" s="10"/>
      <c r="E1141" s="10">
        <f t="shared" ca="1" si="55"/>
        <v>97.960591666666673</v>
      </c>
      <c r="F1141" s="10">
        <f t="shared" ca="1" si="55"/>
        <v>97.960591666666673</v>
      </c>
      <c r="G1141" s="10">
        <f t="shared" ca="1" si="55"/>
        <v>98.231983333333332</v>
      </c>
      <c r="H1141" s="10">
        <f t="shared" ca="1" si="55"/>
        <v>98.097258333333343</v>
      </c>
      <c r="I1141" s="10">
        <f t="shared" ca="1" si="55"/>
        <v>98.097258333333343</v>
      </c>
      <c r="J1141" s="10">
        <f t="shared" ca="1" si="55"/>
        <v>98.097258333333343</v>
      </c>
      <c r="K1141" s="10">
        <f t="shared" ca="1" si="55"/>
        <v>98.097258333333343</v>
      </c>
    </row>
    <row r="1142" spans="1:11" ht="15" x14ac:dyDescent="0.2">
      <c r="A1142" s="11">
        <f t="shared" si="51"/>
        <v>2099</v>
      </c>
      <c r="B1142" s="10">
        <f t="shared" ca="1" si="53"/>
        <v>100.04278333333332</v>
      </c>
      <c r="C1142" s="10">
        <f t="shared" ca="1" si="53"/>
        <v>99.610558333333344</v>
      </c>
      <c r="D1142" s="10"/>
      <c r="E1142" s="10">
        <f t="shared" ca="1" si="55"/>
        <v>99.473875000000007</v>
      </c>
      <c r="F1142" s="10">
        <f t="shared" ca="1" si="55"/>
        <v>99.473875000000007</v>
      </c>
      <c r="G1142" s="10">
        <f t="shared" ca="1" si="55"/>
        <v>99.745258333333325</v>
      </c>
      <c r="H1142" s="10">
        <f t="shared" ca="1" si="55"/>
        <v>99.610558333333344</v>
      </c>
      <c r="I1142" s="10">
        <f t="shared" ca="1" si="55"/>
        <v>99.610558333333344</v>
      </c>
      <c r="J1142" s="10">
        <f t="shared" ca="1" si="55"/>
        <v>99.610558333333344</v>
      </c>
      <c r="K1142" s="10">
        <f t="shared" ca="1" si="55"/>
        <v>99.610558333333344</v>
      </c>
    </row>
    <row r="1143" spans="1:11" ht="15" x14ac:dyDescent="0.2">
      <c r="A1143" s="11">
        <f t="shared" si="51"/>
        <v>2100</v>
      </c>
      <c r="B1143" s="10">
        <f t="shared" ca="1" si="53"/>
        <v>101.57988333333333</v>
      </c>
      <c r="C1143" s="10">
        <f t="shared" ca="1" si="53"/>
        <v>101.14762500000001</v>
      </c>
      <c r="D1143" s="10"/>
      <c r="E1143" s="10">
        <f t="shared" ca="1" si="55"/>
        <v>101.01096666666666</v>
      </c>
      <c r="F1143" s="10">
        <f t="shared" ca="1" si="55"/>
        <v>101.01096666666666</v>
      </c>
      <c r="G1143" s="10">
        <f t="shared" ca="1" si="55"/>
        <v>101.28234166666665</v>
      </c>
      <c r="H1143" s="10">
        <f t="shared" ca="1" si="55"/>
        <v>101.14762500000001</v>
      </c>
      <c r="I1143" s="10">
        <f t="shared" ca="1" si="55"/>
        <v>101.14762500000001</v>
      </c>
      <c r="J1143" s="10">
        <f t="shared" ca="1" si="55"/>
        <v>101.14762500000001</v>
      </c>
      <c r="K1143" s="10">
        <f t="shared" ca="1" si="55"/>
        <v>101.14762500000001</v>
      </c>
    </row>
    <row r="1144" spans="1:11" x14ac:dyDescent="0.2">
      <c r="A1144" s="8"/>
    </row>
    <row r="1145" spans="1:11" x14ac:dyDescent="0.2">
      <c r="A1145" s="8"/>
    </row>
    <row r="1146" spans="1:11" x14ac:dyDescent="0.2">
      <c r="A1146" s="8"/>
    </row>
    <row r="1147" spans="1:11" x14ac:dyDescent="0.2">
      <c r="A1147" s="8"/>
    </row>
    <row r="1148" spans="1:11" x14ac:dyDescent="0.2">
      <c r="A1148" s="8"/>
    </row>
    <row r="1149" spans="1:11" x14ac:dyDescent="0.2">
      <c r="A1149" s="8"/>
    </row>
    <row r="1150" spans="1:11" x14ac:dyDescent="0.2">
      <c r="A1150" s="8"/>
    </row>
    <row r="1151" spans="1:11" x14ac:dyDescent="0.2">
      <c r="A1151" s="8"/>
    </row>
    <row r="1152" spans="1:11" x14ac:dyDescent="0.2">
      <c r="A1152" s="8"/>
    </row>
    <row r="1153" spans="1:1" x14ac:dyDescent="0.2">
      <c r="A1153" s="8"/>
    </row>
    <row r="1154" spans="1:1" x14ac:dyDescent="0.2">
      <c r="A1154" s="8"/>
    </row>
    <row r="1155" spans="1:1" x14ac:dyDescent="0.2">
      <c r="A1155" s="8"/>
    </row>
    <row r="1156" spans="1:1" x14ac:dyDescent="0.2">
      <c r="A1156" s="8"/>
    </row>
    <row r="1157" spans="1:1" x14ac:dyDescent="0.2">
      <c r="A1157" s="8"/>
    </row>
    <row r="1158" spans="1:1" x14ac:dyDescent="0.2">
      <c r="A1158" s="8"/>
    </row>
    <row r="1159" spans="1:1" x14ac:dyDescent="0.2">
      <c r="A1159" s="8"/>
    </row>
    <row r="1160" spans="1:1" x14ac:dyDescent="0.2">
      <c r="A1160" s="8"/>
    </row>
    <row r="1161" spans="1:1" x14ac:dyDescent="0.2">
      <c r="A1161" s="8"/>
    </row>
    <row r="1162" spans="1:1" x14ac:dyDescent="0.2">
      <c r="A1162" s="8"/>
    </row>
    <row r="1163" spans="1:1" x14ac:dyDescent="0.2">
      <c r="A1163" s="8"/>
    </row>
  </sheetData>
  <pageMargins left="0.25" right="0.25" top="0.5" bottom="0.5" header="0.25" footer="0.25"/>
  <pageSetup paperSize="5" scale="8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6</xdr:col>
                    <xdr:colOff>85725</xdr:colOff>
                    <xdr:row>7</xdr:row>
                    <xdr:rowOff>47625</xdr:rowOff>
                  </from>
                  <to>
                    <xdr:col>7</xdr:col>
                    <xdr:colOff>95250</xdr:colOff>
                    <xdr:row>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locked="0" defaultSize="0" autoLine="0" autoPict="0">
                <anchor moveWithCells="1">
                  <from>
                    <xdr:col>7</xdr:col>
                    <xdr:colOff>276225</xdr:colOff>
                    <xdr:row>7</xdr:row>
                    <xdr:rowOff>76200</xdr:rowOff>
                  </from>
                  <to>
                    <xdr:col>8</xdr:col>
                    <xdr:colOff>285750</xdr:colOff>
                    <xdr:row>8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63"/>
  <sheetViews>
    <sheetView zoomScale="70" zoomScaleNormal="70" workbookViewId="0">
      <pane xSplit="1" ySplit="11" topLeftCell="B12" activePane="bottomRight" state="frozen"/>
      <selection activeCell="A6" sqref="A6"/>
      <selection pane="topRight" activeCell="A6" sqref="A6"/>
      <selection pane="bottomLeft" activeCell="A6" sqref="A6"/>
      <selection pane="bottomRight" activeCell="B12" sqref="B12"/>
    </sheetView>
  </sheetViews>
  <sheetFormatPr defaultColWidth="7.109375" defaultRowHeight="12.75" x14ac:dyDescent="0.2"/>
  <cols>
    <col min="1" max="1" width="18.44140625" style="9" customWidth="1"/>
    <col min="2" max="3" width="14.5546875" style="9" customWidth="1"/>
    <col min="4" max="4" width="16.88671875" style="9" customWidth="1"/>
    <col min="5" max="5" width="14.5546875" style="9" customWidth="1"/>
    <col min="6" max="6" width="16.77734375" style="9" customWidth="1"/>
    <col min="7" max="9" width="14.5546875" style="9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98" t="s">
        <v>93</v>
      </c>
    </row>
    <row r="2" spans="1:10" ht="15.75" x14ac:dyDescent="0.25">
      <c r="A2" s="98" t="s">
        <v>94</v>
      </c>
    </row>
    <row r="3" spans="1:10" ht="15.75" x14ac:dyDescent="0.25">
      <c r="A3" s="98" t="s">
        <v>95</v>
      </c>
    </row>
    <row r="4" spans="1:10" ht="15.75" x14ac:dyDescent="0.25">
      <c r="A4" s="98" t="s">
        <v>96</v>
      </c>
    </row>
    <row r="5" spans="1:10" ht="15.75" x14ac:dyDescent="0.25">
      <c r="A5" s="98" t="s">
        <v>98</v>
      </c>
    </row>
    <row r="6" spans="1:10" ht="15.75" x14ac:dyDescent="0.25">
      <c r="A6" s="98" t="s">
        <v>101</v>
      </c>
    </row>
    <row r="8" spans="1:10" ht="15.75" x14ac:dyDescent="0.25">
      <c r="A8" s="30" t="s">
        <v>28</v>
      </c>
      <c r="B8" s="31"/>
      <c r="C8" s="24"/>
    </row>
    <row r="9" spans="1:10" ht="15.75" x14ac:dyDescent="0.25">
      <c r="A9" s="30"/>
      <c r="B9" s="24"/>
      <c r="C9" s="24"/>
      <c r="D9" s="23" t="s">
        <v>27</v>
      </c>
      <c r="E9" s="22">
        <f>1-0.263</f>
        <v>0.73699999999999999</v>
      </c>
      <c r="F9" s="23" t="s">
        <v>26</v>
      </c>
      <c r="G9" s="22">
        <f>1+0.263</f>
        <v>1.2629999999999999</v>
      </c>
    </row>
    <row r="10" spans="1:10" s="18" customFormat="1" ht="34.9" customHeight="1" x14ac:dyDescent="0.25">
      <c r="B10" s="21" t="s">
        <v>38</v>
      </c>
      <c r="C10" s="19" t="s">
        <v>37</v>
      </c>
      <c r="D10" s="21" t="s">
        <v>36</v>
      </c>
      <c r="E10" s="21" t="s">
        <v>35</v>
      </c>
      <c r="F10" s="21" t="s">
        <v>34</v>
      </c>
      <c r="G10" s="19" t="s">
        <v>33</v>
      </c>
      <c r="H10" s="19" t="s">
        <v>32</v>
      </c>
      <c r="I10" s="21" t="s">
        <v>31</v>
      </c>
      <c r="J10" s="19" t="s">
        <v>30</v>
      </c>
    </row>
    <row r="11" spans="1:10" s="18" customFormat="1" ht="21" customHeight="1" x14ac:dyDescent="0.25">
      <c r="A11" s="20" t="s">
        <v>15</v>
      </c>
      <c r="B11" s="20" t="s">
        <v>14</v>
      </c>
      <c r="C11" s="20" t="s">
        <v>14</v>
      </c>
      <c r="D11" s="20" t="s">
        <v>14</v>
      </c>
      <c r="E11" s="20" t="s">
        <v>14</v>
      </c>
      <c r="F11" s="20" t="s">
        <v>14</v>
      </c>
      <c r="G11" s="20" t="s">
        <v>14</v>
      </c>
      <c r="H11" s="20" t="s">
        <v>14</v>
      </c>
      <c r="I11" s="20" t="s">
        <v>14</v>
      </c>
      <c r="J11" s="20" t="s">
        <v>29</v>
      </c>
    </row>
    <row r="12" spans="1:10" ht="15" x14ac:dyDescent="0.2">
      <c r="A12" s="16">
        <v>41640</v>
      </c>
      <c r="B12" s="10">
        <v>16.436064253071699</v>
      </c>
      <c r="C12" s="10">
        <v>15.500883217915501</v>
      </c>
      <c r="D12" s="10">
        <v>15.493070717915501</v>
      </c>
      <c r="E12" s="28">
        <v>16.288836342915499</v>
      </c>
      <c r="F12" s="27">
        <v>16.279814253071699</v>
      </c>
      <c r="G12" s="10">
        <v>15.4993207179155</v>
      </c>
      <c r="H12" s="10">
        <v>15.4993207179155</v>
      </c>
      <c r="I12" s="10">
        <v>15.500883217915501</v>
      </c>
      <c r="J12" s="29">
        <f>98.77</f>
        <v>98.77</v>
      </c>
    </row>
    <row r="13" spans="1:10" ht="15" x14ac:dyDescent="0.2">
      <c r="A13" s="16">
        <v>41671</v>
      </c>
      <c r="B13" s="10">
        <v>17.464204878071701</v>
      </c>
      <c r="C13" s="10">
        <v>16.574555092915499</v>
      </c>
      <c r="D13" s="10">
        <v>16.566742592915499</v>
      </c>
      <c r="E13" s="28">
        <v>17.316976967915501</v>
      </c>
      <c r="F13" s="27">
        <v>17.307954878071701</v>
      </c>
      <c r="G13" s="10">
        <v>16.572992592915501</v>
      </c>
      <c r="H13" s="10">
        <v>16.572992592915501</v>
      </c>
      <c r="I13" s="10">
        <v>16.574555092915499</v>
      </c>
      <c r="J13" s="29">
        <f>94.99</f>
        <v>94.99</v>
      </c>
    </row>
    <row r="14" spans="1:10" ht="15" x14ac:dyDescent="0.2">
      <c r="A14" s="16">
        <v>41699</v>
      </c>
      <c r="B14" s="10">
        <v>17.5704548780717</v>
      </c>
      <c r="C14" s="10">
        <v>16.4154144679155</v>
      </c>
      <c r="D14" s="10">
        <v>16.4076019679155</v>
      </c>
      <c r="E14" s="28">
        <v>17.4232269679155</v>
      </c>
      <c r="F14" s="27">
        <v>17.4142048780717</v>
      </c>
      <c r="G14" s="10">
        <v>16.413851967915502</v>
      </c>
      <c r="H14" s="10">
        <v>16.413851967915502</v>
      </c>
      <c r="I14" s="10">
        <v>16.4154144679155</v>
      </c>
      <c r="J14" s="29">
        <f>102.92</f>
        <v>102.92</v>
      </c>
    </row>
    <row r="15" spans="1:10" ht="15" x14ac:dyDescent="0.2">
      <c r="A15" s="16">
        <v>41730</v>
      </c>
      <c r="B15" s="10">
        <v>16.605954878071699</v>
      </c>
      <c r="C15" s="10">
        <v>16.107164467915499</v>
      </c>
      <c r="D15" s="10">
        <v>16.099351967915499</v>
      </c>
      <c r="E15" s="28">
        <v>16.458726967915499</v>
      </c>
      <c r="F15" s="27">
        <v>16.449704878071699</v>
      </c>
      <c r="G15" s="10">
        <v>16.105601967915501</v>
      </c>
      <c r="H15" s="10">
        <v>16.105601967915501</v>
      </c>
      <c r="I15" s="10">
        <v>16.107164467915499</v>
      </c>
      <c r="J15" s="29">
        <f>99.43</f>
        <v>99.43</v>
      </c>
    </row>
    <row r="16" spans="1:10" ht="15" x14ac:dyDescent="0.2">
      <c r="A16" s="16">
        <v>41760</v>
      </c>
      <c r="B16" s="10">
        <f>15.8594 * CHOOSE(CONTROL!$C$15, $E$9, 100%, $G$9) + CHOOSE(CONTROL!$C$38, 0.0278, 0)</f>
        <v>15.8872</v>
      </c>
      <c r="C16" s="10">
        <f>15.3906 * CHOOSE(CONTROL!$C$15, $E$9, 100%, $G$9) + CHOOSE(CONTROL!$C$38, 0.0369, 0)</f>
        <v>15.427499999999998</v>
      </c>
      <c r="D16" s="10">
        <f>15.3828 * CHOOSE(CONTROL!$C$15, $E$9, 100%, $G$9) + CHOOSE(CONTROL!$C$38, 0.0369, 0)</f>
        <v>15.419699999999999</v>
      </c>
      <c r="E16" s="28">
        <f>15.7031 * CHOOSE(CONTROL!$C$15, $E$9, 100%, $G$9) + CHOOSE(CONTROL!$C$38, 0.0369, 0)</f>
        <v>15.739999999999998</v>
      </c>
      <c r="F16" s="27">
        <f>15.7031 * CHOOSE(CONTROL!$C$15, $E$9, 100%, $G$9) + CHOOSE(CONTROL!$C$38, 0.0278, 0)</f>
        <v>15.730899999999998</v>
      </c>
      <c r="G16" s="10">
        <f>15.3891 * CHOOSE(CONTROL!$C$15, $E$9, 100%, $G$9) + CHOOSE(CONTROL!$C$38, 0.0369, 0)</f>
        <v>15.425999999999998</v>
      </c>
      <c r="H16" s="10">
        <f>15.3891 * CHOOSE(CONTROL!$C$15, $E$9, 100%, $G$9) + CHOOSE(CONTROL!$C$38, 0.0369, 0)</f>
        <v>15.425999999999998</v>
      </c>
      <c r="I16" s="10">
        <f>15.3906 * CHOOSE(CONTROL!$C$15, $E$9, 100%, $G$9) + CHOOSE(CONTROL!$C$38, 0.0369, 0)</f>
        <v>15.427499999999998</v>
      </c>
      <c r="J16" s="29">
        <f>100.44</f>
        <v>100.44</v>
      </c>
    </row>
    <row r="17" spans="1:10" ht="15" x14ac:dyDescent="0.2">
      <c r="A17" s="16">
        <v>41791</v>
      </c>
      <c r="B17" s="10">
        <f>15.7031 * CHOOSE(CONTROL!$C$15, $E$9, 100%, $G$9) + CHOOSE(CONTROL!$C$38, 0.0278, 0)</f>
        <v>15.730899999999998</v>
      </c>
      <c r="C17" s="10">
        <f>15.2734 * CHOOSE(CONTROL!$C$15, $E$9, 100%, $G$9) + CHOOSE(CONTROL!$C$38, 0.0369, 0)</f>
        <v>15.3103</v>
      </c>
      <c r="D17" s="10">
        <f>15.2656 * CHOOSE(CONTROL!$C$15, $E$9, 100%, $G$9) + CHOOSE(CONTROL!$C$38, 0.0369, 0)</f>
        <v>15.302499999999998</v>
      </c>
      <c r="E17" s="28">
        <f>15.5469 * CHOOSE(CONTROL!$C$15, $E$9, 100%, $G$9) + CHOOSE(CONTROL!$C$38, 0.0369, 0)</f>
        <v>15.5838</v>
      </c>
      <c r="F17" s="27">
        <f>15.5469 * CHOOSE(CONTROL!$C$15, $E$9, 100%, $G$9) + CHOOSE(CONTROL!$C$38, 0.0278, 0)</f>
        <v>15.5747</v>
      </c>
      <c r="G17" s="10">
        <f>15.2719 * CHOOSE(CONTROL!$C$15, $E$9, 100%, $G$9) + CHOOSE(CONTROL!$C$38, 0.0369, 0)</f>
        <v>15.3088</v>
      </c>
      <c r="H17" s="10">
        <f>15.2719 * CHOOSE(CONTROL!$C$15, $E$9, 100%, $G$9) + CHOOSE(CONTROL!$C$38, 0.0369, 0)</f>
        <v>15.3088</v>
      </c>
      <c r="I17" s="10">
        <f>15.2734 * CHOOSE(CONTROL!$C$15, $E$9, 100%, $G$9) + CHOOSE(CONTROL!$C$38, 0.0369, 0)</f>
        <v>15.3103</v>
      </c>
      <c r="J17" s="29">
        <f>99.78</f>
        <v>99.78</v>
      </c>
    </row>
    <row r="18" spans="1:10" ht="15" x14ac:dyDescent="0.2">
      <c r="A18" s="16">
        <v>41821</v>
      </c>
      <c r="B18" s="10">
        <f>15.5703 * CHOOSE(CONTROL!$C$15, $E$9, 100%, $G$9) + CHOOSE(CONTROL!$C$38, 0.0278, 0)</f>
        <v>15.598099999999999</v>
      </c>
      <c r="C18" s="10">
        <f>15.1797 * CHOOSE(CONTROL!$C$15, $E$9, 100%, $G$9) + CHOOSE(CONTROL!$C$38, 0.0369, 0)</f>
        <v>15.2166</v>
      </c>
      <c r="D18" s="10">
        <f>15.1719 * CHOOSE(CONTROL!$C$15, $E$9, 100%, $G$9) + CHOOSE(CONTROL!$C$38, 0.0369, 0)</f>
        <v>15.2088</v>
      </c>
      <c r="E18" s="28">
        <f>15.4141 * CHOOSE(CONTROL!$C$15, $E$9, 100%, $G$9) + CHOOSE(CONTROL!$C$38, 0.0369, 0)</f>
        <v>15.450999999999999</v>
      </c>
      <c r="F18" s="27">
        <f>15.4141 * CHOOSE(CONTROL!$C$15, $E$9, 100%, $G$9) + CHOOSE(CONTROL!$C$38, 0.0278, 0)</f>
        <v>15.441899999999999</v>
      </c>
      <c r="G18" s="10">
        <f>15.1781 * CHOOSE(CONTROL!$C$15, $E$9, 100%, $G$9) + CHOOSE(CONTROL!$C$38, 0.0369, 0)</f>
        <v>15.215</v>
      </c>
      <c r="H18" s="10">
        <f>15.1781 * CHOOSE(CONTROL!$C$15, $E$9, 100%, $G$9) + CHOOSE(CONTROL!$C$38, 0.0369, 0)</f>
        <v>15.215</v>
      </c>
      <c r="I18" s="10">
        <f>15.1797 * CHOOSE(CONTROL!$C$15, $E$9, 100%, $G$9) + CHOOSE(CONTROL!$C$38, 0.0369, 0)</f>
        <v>15.2166</v>
      </c>
      <c r="J18" s="29">
        <f>99.03</f>
        <v>99.03</v>
      </c>
    </row>
    <row r="19" spans="1:10" ht="15" x14ac:dyDescent="0.2">
      <c r="A19" s="16">
        <v>41852</v>
      </c>
      <c r="B19" s="10">
        <f>15.5312 * CHOOSE(CONTROL!$C$15, $E$9, 100%, $G$9) + CHOOSE(CONTROL!$C$38, 0.0278, 0)</f>
        <v>15.558999999999999</v>
      </c>
      <c r="C19" s="10">
        <f>15.1016 * CHOOSE(CONTROL!$C$15, $E$9, 100%, $G$9) + CHOOSE(CONTROL!$C$38, 0.0369, 0)</f>
        <v>15.138499999999999</v>
      </c>
      <c r="D19" s="10">
        <f>15.0938 * CHOOSE(CONTROL!$C$15, $E$9, 100%, $G$9) + CHOOSE(CONTROL!$C$38, 0.0369, 0)</f>
        <v>15.130699999999999</v>
      </c>
      <c r="E19" s="28">
        <f>15.375 * CHOOSE(CONTROL!$C$15, $E$9, 100%, $G$9) + CHOOSE(CONTROL!$C$38, 0.0369, 0)</f>
        <v>15.411899999999999</v>
      </c>
      <c r="F19" s="27">
        <f>15.375 * CHOOSE(CONTROL!$C$15, $E$9, 100%, $G$9) + CHOOSE(CONTROL!$C$38, 0.0278, 0)</f>
        <v>15.402799999999999</v>
      </c>
      <c r="G19" s="10">
        <f>15.1 * CHOOSE(CONTROL!$C$15, $E$9, 100%, $G$9) + CHOOSE(CONTROL!$C$38, 0.0369, 0)</f>
        <v>15.136899999999999</v>
      </c>
      <c r="H19" s="10">
        <f>15.1 * CHOOSE(CONTROL!$C$15, $E$9, 100%, $G$9) + CHOOSE(CONTROL!$C$38, 0.0369, 0)</f>
        <v>15.136899999999999</v>
      </c>
      <c r="I19" s="10">
        <f>15.1016 * CHOOSE(CONTROL!$C$15, $E$9, 100%, $G$9) + CHOOSE(CONTROL!$C$38, 0.0369, 0)</f>
        <v>15.138499999999999</v>
      </c>
      <c r="J19" s="29">
        <f>98.18</f>
        <v>98.18</v>
      </c>
    </row>
    <row r="20" spans="1:10" ht="15" x14ac:dyDescent="0.2">
      <c r="A20" s="16">
        <v>41883</v>
      </c>
      <c r="B20" s="10">
        <f>15.4547 * CHOOSE(CONTROL!$C$15, $E$9, 100%, $G$9) + CHOOSE(CONTROL!$C$38, 0.0278, 0)</f>
        <v>15.4825</v>
      </c>
      <c r="C20" s="10">
        <f>15.0234 * CHOOSE(CONTROL!$C$15, $E$9, 100%, $G$9) + CHOOSE(CONTROL!$C$38, 0.0369, 0)</f>
        <v>15.0603</v>
      </c>
      <c r="D20" s="10">
        <f>15.0156 * CHOOSE(CONTROL!$C$15, $E$9, 100%, $G$9) + CHOOSE(CONTROL!$C$38, 0.0369, 0)</f>
        <v>15.052499999999998</v>
      </c>
      <c r="E20" s="28">
        <f>15.2984 * CHOOSE(CONTROL!$C$15, $E$9, 100%, $G$9) + CHOOSE(CONTROL!$C$38, 0.0369, 0)</f>
        <v>15.3353</v>
      </c>
      <c r="F20" s="27">
        <f>15.2984 * CHOOSE(CONTROL!$C$15, $E$9, 100%, $G$9) + CHOOSE(CONTROL!$C$38, 0.0278, 0)</f>
        <v>15.3262</v>
      </c>
      <c r="G20" s="10">
        <f>15.0219 * CHOOSE(CONTROL!$C$15, $E$9, 100%, $G$9) + CHOOSE(CONTROL!$C$38, 0.0369, 0)</f>
        <v>15.0588</v>
      </c>
      <c r="H20" s="10">
        <f>15.0219 * CHOOSE(CONTROL!$C$15, $E$9, 100%, $G$9) + CHOOSE(CONTROL!$C$38, 0.0369, 0)</f>
        <v>15.0588</v>
      </c>
      <c r="I20" s="10">
        <f>15.0234 * CHOOSE(CONTROL!$C$15, $E$9, 100%, $G$9) + CHOOSE(CONTROL!$C$38, 0.0369, 0)</f>
        <v>15.0603</v>
      </c>
      <c r="J20" s="29">
        <f>97.32</f>
        <v>97.32</v>
      </c>
    </row>
    <row r="21" spans="1:10" ht="15" x14ac:dyDescent="0.2">
      <c r="A21" s="16">
        <v>41913</v>
      </c>
      <c r="B21" s="10">
        <f>15.2969 * CHOOSE(CONTROL!$C$15, $E$9, 100%, $G$9) + CHOOSE(CONTROL!$C$38, 0.0256, 0)</f>
        <v>15.322500000000002</v>
      </c>
      <c r="C21" s="10">
        <f>14.8672 * CHOOSE(CONTROL!$C$15, $E$9, 100%, $G$9) + CHOOSE(CONTROL!$C$38, 0.0347, 0)</f>
        <v>14.901900000000001</v>
      </c>
      <c r="D21" s="10">
        <f>14.8594 * CHOOSE(CONTROL!$C$15, $E$9, 100%, $G$9) + CHOOSE(CONTROL!$C$38, 0.0347, 0)</f>
        <v>14.894100000000002</v>
      </c>
      <c r="E21" s="28">
        <f>15.1406 * CHOOSE(CONTROL!$C$15, $E$9, 100%, $G$9) + CHOOSE(CONTROL!$C$38, 0.0347, 0)</f>
        <v>15.1753</v>
      </c>
      <c r="F21" s="27">
        <f>15.1406 * CHOOSE(CONTROL!$C$15, $E$9, 100%, $G$9) + CHOOSE(CONTROL!$C$38, 0.0256, 0)</f>
        <v>15.1662</v>
      </c>
      <c r="G21" s="10">
        <f>14.8656 * CHOOSE(CONTROL!$C$15, $E$9, 100%, $G$9) + CHOOSE(CONTROL!$C$38, 0.0347, 0)</f>
        <v>14.900300000000001</v>
      </c>
      <c r="H21" s="10">
        <f>14.8656 * CHOOSE(CONTROL!$C$15, $E$9, 100%, $G$9) + CHOOSE(CONTROL!$C$38, 0.0347, 0)</f>
        <v>14.900300000000001</v>
      </c>
      <c r="I21" s="10">
        <f>14.8672 * CHOOSE(CONTROL!$C$15, $E$9, 100%, $G$9) + CHOOSE(CONTROL!$C$38, 0.0347, 0)</f>
        <v>14.901900000000001</v>
      </c>
      <c r="J21" s="29">
        <f>96.44</f>
        <v>96.44</v>
      </c>
    </row>
    <row r="22" spans="1:10" ht="15" x14ac:dyDescent="0.2">
      <c r="A22" s="16">
        <v>41944</v>
      </c>
      <c r="B22" s="10">
        <f>15.2969 * CHOOSE(CONTROL!$C$15, $E$9, 100%, $G$9) + CHOOSE(CONTROL!$C$38, 0.0256, 0)</f>
        <v>15.322500000000002</v>
      </c>
      <c r="C22" s="10">
        <f>14.8672 * CHOOSE(CONTROL!$C$15, $E$9, 100%, $G$9) + CHOOSE(CONTROL!$C$38, 0.0347, 0)</f>
        <v>14.901900000000001</v>
      </c>
      <c r="D22" s="10">
        <f>14.8594 * CHOOSE(CONTROL!$C$15, $E$9, 100%, $G$9) + CHOOSE(CONTROL!$C$38, 0.0347, 0)</f>
        <v>14.894100000000002</v>
      </c>
      <c r="E22" s="28">
        <f>15.1406 * CHOOSE(CONTROL!$C$15, $E$9, 100%, $G$9) + CHOOSE(CONTROL!$C$38, 0.0347, 0)</f>
        <v>15.1753</v>
      </c>
      <c r="F22" s="27">
        <f>15.1406 * CHOOSE(CONTROL!$C$15, $E$9, 100%, $G$9) + CHOOSE(CONTROL!$C$38, 0.0256, 0)</f>
        <v>15.1662</v>
      </c>
      <c r="G22" s="10">
        <f>14.8656 * CHOOSE(CONTROL!$C$15, $E$9, 100%, $G$9) + CHOOSE(CONTROL!$C$38, 0.0347, 0)</f>
        <v>14.900300000000001</v>
      </c>
      <c r="H22" s="10">
        <f>14.8656 * CHOOSE(CONTROL!$C$15, $E$9, 100%, $G$9) + CHOOSE(CONTROL!$C$38, 0.0347, 0)</f>
        <v>14.900300000000001</v>
      </c>
      <c r="I22" s="10">
        <f>14.8672 * CHOOSE(CONTROL!$C$15, $E$9, 100%, $G$9) + CHOOSE(CONTROL!$C$38, 0.0347, 0)</f>
        <v>14.901900000000001</v>
      </c>
      <c r="J22" s="29">
        <f>95.59</f>
        <v>95.59</v>
      </c>
    </row>
    <row r="23" spans="1:10" ht="15" x14ac:dyDescent="0.2">
      <c r="A23" s="16">
        <v>41974</v>
      </c>
      <c r="B23" s="10">
        <f>15.2969 * CHOOSE(CONTROL!$C$15, $E$9, 100%, $G$9) + CHOOSE(CONTROL!$C$38, 0.0256, 0)</f>
        <v>15.322500000000002</v>
      </c>
      <c r="C23" s="10">
        <f>14.8672 * CHOOSE(CONTROL!$C$15, $E$9, 100%, $G$9) + CHOOSE(CONTROL!$C$38, 0.0347, 0)</f>
        <v>14.901900000000001</v>
      </c>
      <c r="D23" s="10">
        <f>14.8594 * CHOOSE(CONTROL!$C$15, $E$9, 100%, $G$9) + CHOOSE(CONTROL!$C$38, 0.0347, 0)</f>
        <v>14.894100000000002</v>
      </c>
      <c r="E23" s="28">
        <f>15.1406 * CHOOSE(CONTROL!$C$15, $E$9, 100%, $G$9) + CHOOSE(CONTROL!$C$38, 0.0347, 0)</f>
        <v>15.1753</v>
      </c>
      <c r="F23" s="27">
        <f>15.1406 * CHOOSE(CONTROL!$C$15, $E$9, 100%, $G$9) + CHOOSE(CONTROL!$C$38, 0.0256, 0)</f>
        <v>15.1662</v>
      </c>
      <c r="G23" s="10">
        <f>14.8656 * CHOOSE(CONTROL!$C$15, $E$9, 100%, $G$9) + CHOOSE(CONTROL!$C$38, 0.0347, 0)</f>
        <v>14.900300000000001</v>
      </c>
      <c r="H23" s="10">
        <f>14.8656 * CHOOSE(CONTROL!$C$15, $E$9, 100%, $G$9) + CHOOSE(CONTROL!$C$38, 0.0347, 0)</f>
        <v>14.900300000000001</v>
      </c>
      <c r="I23" s="10">
        <f>14.8672 * CHOOSE(CONTROL!$C$15, $E$9, 100%, $G$9) + CHOOSE(CONTROL!$C$38, 0.0347, 0)</f>
        <v>14.901900000000001</v>
      </c>
      <c r="J23" s="29">
        <f>94.79</f>
        <v>94.79</v>
      </c>
    </row>
    <row r="24" spans="1:10" ht="15" x14ac:dyDescent="0.2">
      <c r="A24" s="16">
        <v>42005</v>
      </c>
      <c r="B24" s="10">
        <f>14.9141 * CHOOSE(CONTROL!$C$15, $E$9, 100%, $G$9) + CHOOSE(CONTROL!$C$38, 0.0256, 0)</f>
        <v>14.9397</v>
      </c>
      <c r="C24" s="10">
        <f>14.7344 * CHOOSE(CONTROL!$C$15, $E$9, 100%, $G$9) + CHOOSE(CONTROL!$C$38, 0.0347, 0)</f>
        <v>14.769100000000002</v>
      </c>
      <c r="D24" s="10">
        <f>14.7266 * CHOOSE(CONTROL!$C$15, $E$9, 100%, $G$9) + CHOOSE(CONTROL!$C$38, 0.0347, 0)</f>
        <v>14.7613</v>
      </c>
      <c r="E24" s="28">
        <f>14.7578 * CHOOSE(CONTROL!$C$15, $E$9, 100%, $G$9) + CHOOSE(CONTROL!$C$38, 0.0347, 0)</f>
        <v>14.7925</v>
      </c>
      <c r="F24" s="27">
        <f>14.7578 * CHOOSE(CONTROL!$C$15, $E$9, 100%, $G$9) + CHOOSE(CONTROL!$C$38, 0.0256, 0)</f>
        <v>14.7834</v>
      </c>
      <c r="G24" s="10">
        <f>14.7328 * CHOOSE(CONTROL!$C$15, $E$9, 100%, $G$9) + CHOOSE(CONTROL!$C$38, 0.0347, 0)</f>
        <v>14.7675</v>
      </c>
      <c r="H24" s="10">
        <f>14.7328 * CHOOSE(CONTROL!$C$15, $E$9, 100%, $G$9) + CHOOSE(CONTROL!$C$38, 0.0347, 0)</f>
        <v>14.7675</v>
      </c>
      <c r="I24" s="10">
        <f>14.7344 * CHOOSE(CONTROL!$C$15, $E$9, 100%, $G$9) + CHOOSE(CONTROL!$C$38, 0.0347, 0)</f>
        <v>14.769100000000002</v>
      </c>
      <c r="J24" s="29">
        <f>93.94</f>
        <v>93.94</v>
      </c>
    </row>
    <row r="25" spans="1:10" ht="15" x14ac:dyDescent="0.2">
      <c r="A25" s="16">
        <v>42036</v>
      </c>
      <c r="B25" s="10">
        <f>14.9141 * CHOOSE(CONTROL!$C$15, $E$9, 100%, $G$9) + CHOOSE(CONTROL!$C$38, 0.0256, 0)</f>
        <v>14.9397</v>
      </c>
      <c r="C25" s="10">
        <f>14.7344 * CHOOSE(CONTROL!$C$15, $E$9, 100%, $G$9) + CHOOSE(CONTROL!$C$38, 0.0347, 0)</f>
        <v>14.769100000000002</v>
      </c>
      <c r="D25" s="10">
        <f>14.7266 * CHOOSE(CONTROL!$C$15, $E$9, 100%, $G$9) + CHOOSE(CONTROL!$C$38, 0.0347, 0)</f>
        <v>14.7613</v>
      </c>
      <c r="E25" s="28">
        <f>14.7578 * CHOOSE(CONTROL!$C$15, $E$9, 100%, $G$9) + CHOOSE(CONTROL!$C$38, 0.0347, 0)</f>
        <v>14.7925</v>
      </c>
      <c r="F25" s="27">
        <f>14.7578 * CHOOSE(CONTROL!$C$15, $E$9, 100%, $G$9) + CHOOSE(CONTROL!$C$38, 0.0256, 0)</f>
        <v>14.7834</v>
      </c>
      <c r="G25" s="10">
        <f>14.7328 * CHOOSE(CONTROL!$C$15, $E$9, 100%, $G$9) + CHOOSE(CONTROL!$C$38, 0.0347, 0)</f>
        <v>14.7675</v>
      </c>
      <c r="H25" s="10">
        <f>14.7328 * CHOOSE(CONTROL!$C$15, $E$9, 100%, $G$9) + CHOOSE(CONTROL!$C$38, 0.0347, 0)</f>
        <v>14.7675</v>
      </c>
      <c r="I25" s="10">
        <f>14.7344 * CHOOSE(CONTROL!$C$15, $E$9, 100%, $G$9) + CHOOSE(CONTROL!$C$38, 0.0347, 0)</f>
        <v>14.769100000000002</v>
      </c>
      <c r="J25" s="29">
        <f>93.14</f>
        <v>93.14</v>
      </c>
    </row>
    <row r="26" spans="1:10" ht="15" x14ac:dyDescent="0.2">
      <c r="A26" s="16">
        <v>42064</v>
      </c>
      <c r="B26" s="10">
        <f>14.9141 * CHOOSE(CONTROL!$C$15, $E$9, 100%, $G$9) + CHOOSE(CONTROL!$C$38, 0.0256, 0)</f>
        <v>14.9397</v>
      </c>
      <c r="C26" s="10">
        <f>14.7344 * CHOOSE(CONTROL!$C$15, $E$9, 100%, $G$9) + CHOOSE(CONTROL!$C$38, 0.0347, 0)</f>
        <v>14.769100000000002</v>
      </c>
      <c r="D26" s="10">
        <f>14.7266 * CHOOSE(CONTROL!$C$15, $E$9, 100%, $G$9) + CHOOSE(CONTROL!$C$38, 0.0347, 0)</f>
        <v>14.7613</v>
      </c>
      <c r="E26" s="28">
        <f>14.7578 * CHOOSE(CONTROL!$C$15, $E$9, 100%, $G$9) + CHOOSE(CONTROL!$C$38, 0.0347, 0)</f>
        <v>14.7925</v>
      </c>
      <c r="F26" s="27">
        <f>14.7578 * CHOOSE(CONTROL!$C$15, $E$9, 100%, $G$9) + CHOOSE(CONTROL!$C$38, 0.0256, 0)</f>
        <v>14.7834</v>
      </c>
      <c r="G26" s="10">
        <f>14.7328 * CHOOSE(CONTROL!$C$15, $E$9, 100%, $G$9) + CHOOSE(CONTROL!$C$38, 0.0347, 0)</f>
        <v>14.7675</v>
      </c>
      <c r="H26" s="10">
        <f>14.7328 * CHOOSE(CONTROL!$C$15, $E$9, 100%, $G$9) + CHOOSE(CONTROL!$C$38, 0.0347, 0)</f>
        <v>14.7675</v>
      </c>
      <c r="I26" s="10">
        <f>14.7344 * CHOOSE(CONTROL!$C$15, $E$9, 100%, $G$9) + CHOOSE(CONTROL!$C$38, 0.0347, 0)</f>
        <v>14.769100000000002</v>
      </c>
      <c r="J26" s="29">
        <f>92.43</f>
        <v>92.43</v>
      </c>
    </row>
    <row r="27" spans="1:10" ht="15" x14ac:dyDescent="0.2">
      <c r="A27" s="16">
        <v>42095</v>
      </c>
      <c r="B27" s="10">
        <f>14.9141 * CHOOSE(CONTROL!$C$15, $E$9, 100%, $G$9) + CHOOSE(CONTROL!$C$38, 0.0256, 0)</f>
        <v>14.9397</v>
      </c>
      <c r="C27" s="10">
        <f>14.3906 * CHOOSE(CONTROL!$C$15, $E$9, 100%, $G$9) + CHOOSE(CONTROL!$C$38, 0.0347, 0)</f>
        <v>14.4253</v>
      </c>
      <c r="D27" s="10">
        <f>14.3828 * CHOOSE(CONTROL!$C$15, $E$9, 100%, $G$9) + CHOOSE(CONTROL!$C$38, 0.0347, 0)</f>
        <v>14.4175</v>
      </c>
      <c r="E27" s="28">
        <f>14.7578 * CHOOSE(CONTROL!$C$15, $E$9, 100%, $G$9) + CHOOSE(CONTROL!$C$38, 0.0347, 0)</f>
        <v>14.7925</v>
      </c>
      <c r="F27" s="27">
        <f>14.7578 * CHOOSE(CONTROL!$C$15, $E$9, 100%, $G$9) + CHOOSE(CONTROL!$C$38, 0.0256, 0)</f>
        <v>14.7834</v>
      </c>
      <c r="G27" s="10">
        <f>14.3891 * CHOOSE(CONTROL!$C$15, $E$9, 100%, $G$9) + CHOOSE(CONTROL!$C$38, 0.0347, 0)</f>
        <v>14.4238</v>
      </c>
      <c r="H27" s="10">
        <f>14.3891 * CHOOSE(CONTROL!$C$15, $E$9, 100%, $G$9) + CHOOSE(CONTROL!$C$38, 0.0347, 0)</f>
        <v>14.4238</v>
      </c>
      <c r="I27" s="10">
        <f>14.3906 * CHOOSE(CONTROL!$C$15, $E$9, 100%, $G$9) + CHOOSE(CONTROL!$C$38, 0.0347, 0)</f>
        <v>14.4253</v>
      </c>
      <c r="J27" s="29">
        <f>91.77</f>
        <v>91.77</v>
      </c>
    </row>
    <row r="28" spans="1:10" ht="15" x14ac:dyDescent="0.2">
      <c r="A28" s="16">
        <v>42125</v>
      </c>
      <c r="B28" s="10">
        <f>14.9141 * CHOOSE(CONTROL!$C$15, $E$9, 100%, $G$9) + CHOOSE(CONTROL!$C$38, 0.0256, 0)</f>
        <v>14.9397</v>
      </c>
      <c r="C28" s="10">
        <f>14.3906 * CHOOSE(CONTROL!$C$15, $E$9, 100%, $G$9) + CHOOSE(CONTROL!$C$38, 0.0347, 0)</f>
        <v>14.4253</v>
      </c>
      <c r="D28" s="10">
        <f>14.3828 * CHOOSE(CONTROL!$C$15, $E$9, 100%, $G$9) + CHOOSE(CONTROL!$C$38, 0.0347, 0)</f>
        <v>14.4175</v>
      </c>
      <c r="E28" s="28">
        <f>14.7578 * CHOOSE(CONTROL!$C$15, $E$9, 100%, $G$9) + CHOOSE(CONTROL!$C$38, 0.0347, 0)</f>
        <v>14.7925</v>
      </c>
      <c r="F28" s="27">
        <f>14.7578 * CHOOSE(CONTROL!$C$15, $E$9, 100%, $G$9) + CHOOSE(CONTROL!$C$38, 0.0256, 0)</f>
        <v>14.7834</v>
      </c>
      <c r="G28" s="10">
        <f>14.3891 * CHOOSE(CONTROL!$C$15, $E$9, 100%, $G$9) + CHOOSE(CONTROL!$C$38, 0.0347, 0)</f>
        <v>14.4238</v>
      </c>
      <c r="H28" s="10">
        <f>14.3891 * CHOOSE(CONTROL!$C$15, $E$9, 100%, $G$9) + CHOOSE(CONTROL!$C$38, 0.0347, 0)</f>
        <v>14.4238</v>
      </c>
      <c r="I28" s="10">
        <f>14.3906 * CHOOSE(CONTROL!$C$15, $E$9, 100%, $G$9) + CHOOSE(CONTROL!$C$38, 0.0347, 0)</f>
        <v>14.4253</v>
      </c>
      <c r="J28" s="29">
        <f>91.21</f>
        <v>91.21</v>
      </c>
    </row>
    <row r="29" spans="1:10" ht="15" x14ac:dyDescent="0.2">
      <c r="A29" s="16">
        <v>42156</v>
      </c>
      <c r="B29" s="10">
        <f>14.9141 * CHOOSE(CONTROL!$C$15, $E$9, 100%, $G$9) + CHOOSE(CONTROL!$C$38, 0.0256, 0)</f>
        <v>14.9397</v>
      </c>
      <c r="C29" s="10">
        <f>14.3906 * CHOOSE(CONTROL!$C$15, $E$9, 100%, $G$9) + CHOOSE(CONTROL!$C$38, 0.0347, 0)</f>
        <v>14.4253</v>
      </c>
      <c r="D29" s="10">
        <f>14.3828 * CHOOSE(CONTROL!$C$15, $E$9, 100%, $G$9) + CHOOSE(CONTROL!$C$38, 0.0347, 0)</f>
        <v>14.4175</v>
      </c>
      <c r="E29" s="28">
        <f>14.7578 * CHOOSE(CONTROL!$C$15, $E$9, 100%, $G$9) + CHOOSE(CONTROL!$C$38, 0.0347, 0)</f>
        <v>14.7925</v>
      </c>
      <c r="F29" s="27">
        <f>14.7578 * CHOOSE(CONTROL!$C$15, $E$9, 100%, $G$9) + CHOOSE(CONTROL!$C$38, 0.0256, 0)</f>
        <v>14.7834</v>
      </c>
      <c r="G29" s="10">
        <f>14.3891 * CHOOSE(CONTROL!$C$15, $E$9, 100%, $G$9) + CHOOSE(CONTROL!$C$38, 0.0347, 0)</f>
        <v>14.4238</v>
      </c>
      <c r="H29" s="10">
        <f>14.3891 * CHOOSE(CONTROL!$C$15, $E$9, 100%, $G$9) + CHOOSE(CONTROL!$C$38, 0.0347, 0)</f>
        <v>14.4238</v>
      </c>
      <c r="I29" s="10">
        <f>14.3906 * CHOOSE(CONTROL!$C$15, $E$9, 100%, $G$9) + CHOOSE(CONTROL!$C$38, 0.0347, 0)</f>
        <v>14.4253</v>
      </c>
      <c r="J29" s="29">
        <f>90.67</f>
        <v>90.67</v>
      </c>
    </row>
    <row r="30" spans="1:10" ht="15" x14ac:dyDescent="0.2">
      <c r="A30" s="16">
        <v>42186</v>
      </c>
      <c r="B30" s="10">
        <f>14.9141 * CHOOSE(CONTROL!$C$15, $E$9, 100%, $G$9) + CHOOSE(CONTROL!$C$38, 0.0256, 0)</f>
        <v>14.9397</v>
      </c>
      <c r="C30" s="10">
        <f>14.3906 * CHOOSE(CONTROL!$C$15, $E$9, 100%, $G$9) + CHOOSE(CONTROL!$C$38, 0.0347, 0)</f>
        <v>14.4253</v>
      </c>
      <c r="D30" s="10">
        <f>14.3828 * CHOOSE(CONTROL!$C$15, $E$9, 100%, $G$9) + CHOOSE(CONTROL!$C$38, 0.0347, 0)</f>
        <v>14.4175</v>
      </c>
      <c r="E30" s="28">
        <f>14.7578 * CHOOSE(CONTROL!$C$15, $E$9, 100%, $G$9) + CHOOSE(CONTROL!$C$38, 0.0347, 0)</f>
        <v>14.7925</v>
      </c>
      <c r="F30" s="27">
        <f>14.7578 * CHOOSE(CONTROL!$C$15, $E$9, 100%, $G$9) + CHOOSE(CONTROL!$C$38, 0.0256, 0)</f>
        <v>14.7834</v>
      </c>
      <c r="G30" s="10">
        <f>14.3891 * CHOOSE(CONTROL!$C$15, $E$9, 100%, $G$9) + CHOOSE(CONTROL!$C$38, 0.0347, 0)</f>
        <v>14.4238</v>
      </c>
      <c r="H30" s="10">
        <f>14.3891 * CHOOSE(CONTROL!$C$15, $E$9, 100%, $G$9) + CHOOSE(CONTROL!$C$38, 0.0347, 0)</f>
        <v>14.4238</v>
      </c>
      <c r="I30" s="10">
        <f>14.3906 * CHOOSE(CONTROL!$C$15, $E$9, 100%, $G$9) + CHOOSE(CONTROL!$C$38, 0.0347, 0)</f>
        <v>14.4253</v>
      </c>
      <c r="J30" s="29">
        <f>90.04</f>
        <v>90.04</v>
      </c>
    </row>
    <row r="31" spans="1:10" ht="15" x14ac:dyDescent="0.2">
      <c r="A31" s="16">
        <v>42217</v>
      </c>
      <c r="B31" s="10">
        <f>14.9141 * CHOOSE(CONTROL!$C$15, $E$9, 100%, $G$9) + CHOOSE(CONTROL!$C$38, 0.0256, 0)</f>
        <v>14.9397</v>
      </c>
      <c r="C31" s="10">
        <f>14.3906 * CHOOSE(CONTROL!$C$15, $E$9, 100%, $G$9) + CHOOSE(CONTROL!$C$38, 0.0347, 0)</f>
        <v>14.4253</v>
      </c>
      <c r="D31" s="10">
        <f>14.3828 * CHOOSE(CONTROL!$C$15, $E$9, 100%, $G$9) + CHOOSE(CONTROL!$C$38, 0.0347, 0)</f>
        <v>14.4175</v>
      </c>
      <c r="E31" s="28">
        <f>14.7578 * CHOOSE(CONTROL!$C$15, $E$9, 100%, $G$9) + CHOOSE(CONTROL!$C$38, 0.0347, 0)</f>
        <v>14.7925</v>
      </c>
      <c r="F31" s="27">
        <f>14.7578 * CHOOSE(CONTROL!$C$15, $E$9, 100%, $G$9) + CHOOSE(CONTROL!$C$38, 0.0256, 0)</f>
        <v>14.7834</v>
      </c>
      <c r="G31" s="10">
        <f>14.3891 * CHOOSE(CONTROL!$C$15, $E$9, 100%, $G$9) + CHOOSE(CONTROL!$C$38, 0.0347, 0)</f>
        <v>14.4238</v>
      </c>
      <c r="H31" s="10">
        <f>14.3891 * CHOOSE(CONTROL!$C$15, $E$9, 100%, $G$9) + CHOOSE(CONTROL!$C$38, 0.0347, 0)</f>
        <v>14.4238</v>
      </c>
      <c r="I31" s="10">
        <f>14.3906 * CHOOSE(CONTROL!$C$15, $E$9, 100%, $G$9) + CHOOSE(CONTROL!$C$38, 0.0347, 0)</f>
        <v>14.4253</v>
      </c>
      <c r="J31" s="29">
        <f>89.48</f>
        <v>89.48</v>
      </c>
    </row>
    <row r="32" spans="1:10" ht="15" x14ac:dyDescent="0.2">
      <c r="A32" s="16">
        <v>42248</v>
      </c>
      <c r="B32" s="10">
        <f>14.9141 * CHOOSE(CONTROL!$C$15, $E$9, 100%, $G$9) + CHOOSE(CONTROL!$C$38, 0.0256, 0)</f>
        <v>14.9397</v>
      </c>
      <c r="C32" s="10">
        <f>14.3906 * CHOOSE(CONTROL!$C$15, $E$9, 100%, $G$9) + CHOOSE(CONTROL!$C$38, 0.0347, 0)</f>
        <v>14.4253</v>
      </c>
      <c r="D32" s="10">
        <f>14.3828 * CHOOSE(CONTROL!$C$15, $E$9, 100%, $G$9) + CHOOSE(CONTROL!$C$38, 0.0347, 0)</f>
        <v>14.4175</v>
      </c>
      <c r="E32" s="28">
        <f>14.7578 * CHOOSE(CONTROL!$C$15, $E$9, 100%, $G$9) + CHOOSE(CONTROL!$C$38, 0.0347, 0)</f>
        <v>14.7925</v>
      </c>
      <c r="F32" s="27">
        <f>14.7578 * CHOOSE(CONTROL!$C$15, $E$9, 100%, $G$9) + CHOOSE(CONTROL!$C$38, 0.0256, 0)</f>
        <v>14.7834</v>
      </c>
      <c r="G32" s="10">
        <f>14.3891 * CHOOSE(CONTROL!$C$15, $E$9, 100%, $G$9) + CHOOSE(CONTROL!$C$38, 0.0347, 0)</f>
        <v>14.4238</v>
      </c>
      <c r="H32" s="10">
        <f>14.3891 * CHOOSE(CONTROL!$C$15, $E$9, 100%, $G$9) + CHOOSE(CONTROL!$C$38, 0.0347, 0)</f>
        <v>14.4238</v>
      </c>
      <c r="I32" s="10">
        <f>14.3906 * CHOOSE(CONTROL!$C$15, $E$9, 100%, $G$9) + CHOOSE(CONTROL!$C$38, 0.0347, 0)</f>
        <v>14.4253</v>
      </c>
      <c r="J32" s="29">
        <f>89.02</f>
        <v>89.02</v>
      </c>
    </row>
    <row r="33" spans="1:10" ht="15" x14ac:dyDescent="0.2">
      <c r="A33" s="16">
        <v>42278</v>
      </c>
      <c r="B33" s="10">
        <f>14.9141 * CHOOSE(CONTROL!$C$15, $E$9, 100%, $G$9) + CHOOSE(CONTROL!$C$38, 0.0256, 0)</f>
        <v>14.9397</v>
      </c>
      <c r="C33" s="10">
        <f>14.3906 * CHOOSE(CONTROL!$C$15, $E$9, 100%, $G$9) + CHOOSE(CONTROL!$C$38, 0.0347, 0)</f>
        <v>14.4253</v>
      </c>
      <c r="D33" s="10">
        <f>14.3828 * CHOOSE(CONTROL!$C$15, $E$9, 100%, $G$9) + CHOOSE(CONTROL!$C$38, 0.0347, 0)</f>
        <v>14.4175</v>
      </c>
      <c r="E33" s="28">
        <f>14.7578 * CHOOSE(CONTROL!$C$15, $E$9, 100%, $G$9) + CHOOSE(CONTROL!$C$38, 0.0347, 0)</f>
        <v>14.7925</v>
      </c>
      <c r="F33" s="27">
        <f>14.7578 * CHOOSE(CONTROL!$C$15, $E$9, 100%, $G$9) + CHOOSE(CONTROL!$C$38, 0.0256, 0)</f>
        <v>14.7834</v>
      </c>
      <c r="G33" s="10">
        <f>14.3891 * CHOOSE(CONTROL!$C$15, $E$9, 100%, $G$9) + CHOOSE(CONTROL!$C$38, 0.0347, 0)</f>
        <v>14.4238</v>
      </c>
      <c r="H33" s="10">
        <f>14.3891 * CHOOSE(CONTROL!$C$15, $E$9, 100%, $G$9) + CHOOSE(CONTROL!$C$38, 0.0347, 0)</f>
        <v>14.4238</v>
      </c>
      <c r="I33" s="10">
        <f>14.3906 * CHOOSE(CONTROL!$C$15, $E$9, 100%, $G$9) + CHOOSE(CONTROL!$C$38, 0.0347, 0)</f>
        <v>14.4253</v>
      </c>
      <c r="J33" s="29">
        <f>88.58</f>
        <v>88.58</v>
      </c>
    </row>
    <row r="34" spans="1:10" ht="15" x14ac:dyDescent="0.2">
      <c r="A34" s="16">
        <v>42309</v>
      </c>
      <c r="B34" s="10">
        <f>14.9141 * CHOOSE(CONTROL!$C$15, $E$9, 100%, $G$9) + CHOOSE(CONTROL!$C$38, 0.0256, 0)</f>
        <v>14.9397</v>
      </c>
      <c r="C34" s="10">
        <f>14.3906 * CHOOSE(CONTROL!$C$15, $E$9, 100%, $G$9) + CHOOSE(CONTROL!$C$38, 0.0347, 0)</f>
        <v>14.4253</v>
      </c>
      <c r="D34" s="10">
        <f>14.3828 * CHOOSE(CONTROL!$C$15, $E$9, 100%, $G$9) + CHOOSE(CONTROL!$C$38, 0.0347, 0)</f>
        <v>14.4175</v>
      </c>
      <c r="E34" s="28">
        <f>14.7578 * CHOOSE(CONTROL!$C$15, $E$9, 100%, $G$9) + CHOOSE(CONTROL!$C$38, 0.0347, 0)</f>
        <v>14.7925</v>
      </c>
      <c r="F34" s="27">
        <f>14.7578 * CHOOSE(CONTROL!$C$15, $E$9, 100%, $G$9) + CHOOSE(CONTROL!$C$38, 0.0256, 0)</f>
        <v>14.7834</v>
      </c>
      <c r="G34" s="10">
        <f>14.3891 * CHOOSE(CONTROL!$C$15, $E$9, 100%, $G$9) + CHOOSE(CONTROL!$C$38, 0.0347, 0)</f>
        <v>14.4238</v>
      </c>
      <c r="H34" s="10">
        <f>14.3891 * CHOOSE(CONTROL!$C$15, $E$9, 100%, $G$9) + CHOOSE(CONTROL!$C$38, 0.0347, 0)</f>
        <v>14.4238</v>
      </c>
      <c r="I34" s="10">
        <f>14.3906 * CHOOSE(CONTROL!$C$15, $E$9, 100%, $G$9) + CHOOSE(CONTROL!$C$38, 0.0347, 0)</f>
        <v>14.4253</v>
      </c>
      <c r="J34" s="29">
        <f>88.22</f>
        <v>88.22</v>
      </c>
    </row>
    <row r="35" spans="1:10" ht="15" x14ac:dyDescent="0.2">
      <c r="A35" s="16">
        <v>42339</v>
      </c>
      <c r="B35" s="10">
        <f>14.9141 * CHOOSE(CONTROL!$C$15, $E$9, 100%, $G$9) + CHOOSE(CONTROL!$C$38, 0.0256, 0)</f>
        <v>14.9397</v>
      </c>
      <c r="C35" s="10">
        <f>14.3906 * CHOOSE(CONTROL!$C$15, $E$9, 100%, $G$9) + CHOOSE(CONTROL!$C$38, 0.0347, 0)</f>
        <v>14.4253</v>
      </c>
      <c r="D35" s="10">
        <f>14.3828 * CHOOSE(CONTROL!$C$15, $E$9, 100%, $G$9) + CHOOSE(CONTROL!$C$38, 0.0347, 0)</f>
        <v>14.4175</v>
      </c>
      <c r="E35" s="28">
        <f>14.7578 * CHOOSE(CONTROL!$C$15, $E$9, 100%, $G$9) + CHOOSE(CONTROL!$C$38, 0.0347, 0)</f>
        <v>14.7925</v>
      </c>
      <c r="F35" s="27">
        <f>14.7578 * CHOOSE(CONTROL!$C$15, $E$9, 100%, $G$9) + CHOOSE(CONTROL!$C$38, 0.0256, 0)</f>
        <v>14.7834</v>
      </c>
      <c r="G35" s="10">
        <f>14.3891 * CHOOSE(CONTROL!$C$15, $E$9, 100%, $G$9) + CHOOSE(CONTROL!$C$38, 0.0347, 0)</f>
        <v>14.4238</v>
      </c>
      <c r="H35" s="10">
        <f>14.3891 * CHOOSE(CONTROL!$C$15, $E$9, 100%, $G$9) + CHOOSE(CONTROL!$C$38, 0.0347, 0)</f>
        <v>14.4238</v>
      </c>
      <c r="I35" s="10">
        <f>14.3906 * CHOOSE(CONTROL!$C$15, $E$9, 100%, $G$9) + CHOOSE(CONTROL!$C$38, 0.0347, 0)</f>
        <v>14.4253</v>
      </c>
      <c r="J35" s="29">
        <f>87.89</f>
        <v>87.89</v>
      </c>
    </row>
    <row r="36" spans="1:10" ht="15" x14ac:dyDescent="0.2">
      <c r="A36" s="16">
        <v>42370</v>
      </c>
      <c r="B36" s="10">
        <f>13.8922 * CHOOSE(CONTROL!$C$15, $E$9, 100%, $G$9) + CHOOSE(CONTROL!$C$38, 0.0256, 0)</f>
        <v>13.917800000000002</v>
      </c>
      <c r="C36" s="10">
        <f>14.0547 * CHOOSE(CONTROL!$C$15, $E$9, 100%, $G$9) + CHOOSE(CONTROL!$C$38, 0.0347, 0)</f>
        <v>14.089400000000001</v>
      </c>
      <c r="D36" s="10">
        <f>14.0469 * CHOOSE(CONTROL!$C$15, $E$9, 100%, $G$9) + CHOOSE(CONTROL!$C$38, 0.0347, 0)</f>
        <v>14.081600000000002</v>
      </c>
      <c r="E36" s="28">
        <f>13.7359 * CHOOSE(CONTROL!$C$15, $E$9, 100%, $G$9) + CHOOSE(CONTROL!$C$38, 0.0347, 0)</f>
        <v>13.770600000000002</v>
      </c>
      <c r="F36" s="27">
        <f>13.7359 * CHOOSE(CONTROL!$C$15, $E$9, 100%, $G$9) + CHOOSE(CONTROL!$C$38, 0.0256, 0)</f>
        <v>13.761500000000002</v>
      </c>
      <c r="G36" s="10">
        <f>14.0531 * CHOOSE(CONTROL!$C$15, $E$9, 100%, $G$9) + CHOOSE(CONTROL!$C$38, 0.0347, 0)</f>
        <v>14.087800000000001</v>
      </c>
      <c r="H36" s="10">
        <f>14.0531 * CHOOSE(CONTROL!$C$15, $E$9, 100%, $G$9) + CHOOSE(CONTROL!$C$38, 0.0347, 0)</f>
        <v>14.087800000000001</v>
      </c>
      <c r="I36" s="10">
        <f>14.0547 * CHOOSE(CONTROL!$C$15, $E$9, 100%, $G$9) + CHOOSE(CONTROL!$C$38, 0.0347, 0)</f>
        <v>14.089400000000001</v>
      </c>
      <c r="J36" s="29">
        <f>87.4</f>
        <v>87.4</v>
      </c>
    </row>
    <row r="37" spans="1:10" ht="15" x14ac:dyDescent="0.2">
      <c r="A37" s="16">
        <v>42401</v>
      </c>
      <c r="B37" s="10">
        <f>13.9453 * CHOOSE(CONTROL!$C$15, $E$9, 100%, $G$9) + CHOOSE(CONTROL!$C$38, 0.0256, 0)</f>
        <v>13.9709</v>
      </c>
      <c r="C37" s="10">
        <f>14.0547 * CHOOSE(CONTROL!$C$15, $E$9, 100%, $G$9) + CHOOSE(CONTROL!$C$38, 0.0347, 0)</f>
        <v>14.089400000000001</v>
      </c>
      <c r="D37" s="10">
        <f>14.0469 * CHOOSE(CONTROL!$C$15, $E$9, 100%, $G$9) + CHOOSE(CONTROL!$C$38, 0.0347, 0)</f>
        <v>14.081600000000002</v>
      </c>
      <c r="E37" s="28">
        <f>13.7891 * CHOOSE(CONTROL!$C$15, $E$9, 100%, $G$9) + CHOOSE(CONTROL!$C$38, 0.0347, 0)</f>
        <v>13.8238</v>
      </c>
      <c r="F37" s="27">
        <f>13.7891 * CHOOSE(CONTROL!$C$15, $E$9, 100%, $G$9) + CHOOSE(CONTROL!$C$38, 0.0256, 0)</f>
        <v>13.8147</v>
      </c>
      <c r="G37" s="10">
        <f>14.0531 * CHOOSE(CONTROL!$C$15, $E$9, 100%, $G$9) + CHOOSE(CONTROL!$C$38, 0.0347, 0)</f>
        <v>14.087800000000001</v>
      </c>
      <c r="H37" s="10">
        <f>14.0531 * CHOOSE(CONTROL!$C$15, $E$9, 100%, $G$9) + CHOOSE(CONTROL!$C$38, 0.0347, 0)</f>
        <v>14.087800000000001</v>
      </c>
      <c r="I37" s="10">
        <f>14.0547 * CHOOSE(CONTROL!$C$15, $E$9, 100%, $G$9) + CHOOSE(CONTROL!$C$38, 0.0347, 0)</f>
        <v>14.089400000000001</v>
      </c>
      <c r="J37" s="29">
        <f>86.94</f>
        <v>86.94</v>
      </c>
    </row>
    <row r="38" spans="1:10" ht="15" x14ac:dyDescent="0.2">
      <c r="A38" s="16">
        <v>42430</v>
      </c>
      <c r="B38" s="10">
        <f>13.9891 * CHOOSE(CONTROL!$C$15, $E$9, 100%, $G$9) + CHOOSE(CONTROL!$C$38, 0.0256, 0)</f>
        <v>14.014700000000001</v>
      </c>
      <c r="C38" s="10">
        <f>14.0547 * CHOOSE(CONTROL!$C$15, $E$9, 100%, $G$9) + CHOOSE(CONTROL!$C$38, 0.0347, 0)</f>
        <v>14.089400000000001</v>
      </c>
      <c r="D38" s="10">
        <f>14.0469 * CHOOSE(CONTROL!$C$15, $E$9, 100%, $G$9) + CHOOSE(CONTROL!$C$38, 0.0347, 0)</f>
        <v>14.081600000000002</v>
      </c>
      <c r="E38" s="28">
        <f>13.8328 * CHOOSE(CONTROL!$C$15, $E$9, 100%, $G$9) + CHOOSE(CONTROL!$C$38, 0.0347, 0)</f>
        <v>13.867500000000001</v>
      </c>
      <c r="F38" s="27">
        <f>13.8328 * CHOOSE(CONTROL!$C$15, $E$9, 100%, $G$9) + CHOOSE(CONTROL!$C$38, 0.0256, 0)</f>
        <v>13.858400000000001</v>
      </c>
      <c r="G38" s="10">
        <f>14.0531 * CHOOSE(CONTROL!$C$15, $E$9, 100%, $G$9) + CHOOSE(CONTROL!$C$38, 0.0347, 0)</f>
        <v>14.087800000000001</v>
      </c>
      <c r="H38" s="10">
        <f>14.0531 * CHOOSE(CONTROL!$C$15, $E$9, 100%, $G$9) + CHOOSE(CONTROL!$C$38, 0.0347, 0)</f>
        <v>14.087800000000001</v>
      </c>
      <c r="I38" s="10">
        <f>14.0547 * CHOOSE(CONTROL!$C$15, $E$9, 100%, $G$9) + CHOOSE(CONTROL!$C$38, 0.0347, 0)</f>
        <v>14.089400000000001</v>
      </c>
      <c r="J38" s="29">
        <f>86.51</f>
        <v>86.51</v>
      </c>
    </row>
    <row r="39" spans="1:10" ht="15" x14ac:dyDescent="0.2">
      <c r="A39" s="16">
        <v>42461</v>
      </c>
      <c r="B39" s="10">
        <f>14.0312 * CHOOSE(CONTROL!$C$15, $E$9, 100%, $G$9) + CHOOSE(CONTROL!$C$38, 0.0256, 0)</f>
        <v>14.056800000000001</v>
      </c>
      <c r="C39" s="10">
        <f>13.9012 * CHOOSE(CONTROL!$C$15, $E$9, 100%, $G$9) + CHOOSE(CONTROL!$C$38, 0.0347, 0)</f>
        <v>13.9359</v>
      </c>
      <c r="D39" s="10">
        <f>13.8934 * CHOOSE(CONTROL!$C$15, $E$9, 100%, $G$9) + CHOOSE(CONTROL!$C$38, 0.0347, 0)</f>
        <v>13.928100000000001</v>
      </c>
      <c r="E39" s="28">
        <f>13.875 * CHOOSE(CONTROL!$C$15, $E$9, 100%, $G$9) + CHOOSE(CONTROL!$C$38, 0.0347, 0)</f>
        <v>13.909700000000001</v>
      </c>
      <c r="F39" s="27">
        <f>13.875 * CHOOSE(CONTROL!$C$15, $E$9, 100%, $G$9) + CHOOSE(CONTROL!$C$38, 0.0256, 0)</f>
        <v>13.900600000000001</v>
      </c>
      <c r="G39" s="10">
        <f>13.8996 * CHOOSE(CONTROL!$C$15, $E$9, 100%, $G$9) + CHOOSE(CONTROL!$C$38, 0.0347, 0)</f>
        <v>13.9343</v>
      </c>
      <c r="H39" s="10">
        <f>13.8996 * CHOOSE(CONTROL!$C$15, $E$9, 100%, $G$9) + CHOOSE(CONTROL!$C$38, 0.0347, 0)</f>
        <v>13.9343</v>
      </c>
      <c r="I39" s="10">
        <f>13.9012 * CHOOSE(CONTROL!$C$15, $E$9, 100%, $G$9) + CHOOSE(CONTROL!$C$38, 0.0347, 0)</f>
        <v>13.9359</v>
      </c>
      <c r="J39" s="29">
        <f>86.12</f>
        <v>86.12</v>
      </c>
    </row>
    <row r="40" spans="1:10" ht="15" x14ac:dyDescent="0.2">
      <c r="A40" s="16">
        <v>42491</v>
      </c>
      <c r="B40" s="10">
        <f>14.0734 * CHOOSE(CONTROL!$C$15, $E$9, 100%, $G$9) + CHOOSE(CONTROL!$C$38, 0.0256, 0)</f>
        <v>14.099</v>
      </c>
      <c r="C40" s="10">
        <f>13.9395 * CHOOSE(CONTROL!$C$15, $E$9, 100%, $G$9) + CHOOSE(CONTROL!$C$38, 0.0347, 0)</f>
        <v>13.974200000000002</v>
      </c>
      <c r="D40" s="10">
        <f>13.9317 * CHOOSE(CONTROL!$C$15, $E$9, 100%, $G$9) + CHOOSE(CONTROL!$C$38, 0.0347, 0)</f>
        <v>13.9664</v>
      </c>
      <c r="E40" s="28">
        <f>13.9172 * CHOOSE(CONTROL!$C$15, $E$9, 100%, $G$9) + CHOOSE(CONTROL!$C$38, 0.0347, 0)</f>
        <v>13.9519</v>
      </c>
      <c r="F40" s="27">
        <f>13.9172 * CHOOSE(CONTROL!$C$15, $E$9, 100%, $G$9) + CHOOSE(CONTROL!$C$38, 0.0256, 0)</f>
        <v>13.9428</v>
      </c>
      <c r="G40" s="10">
        <f>13.938 * CHOOSE(CONTROL!$C$15, $E$9, 100%, $G$9) + CHOOSE(CONTROL!$C$38, 0.0347, 0)</f>
        <v>13.972700000000001</v>
      </c>
      <c r="H40" s="10">
        <f>13.938 * CHOOSE(CONTROL!$C$15, $E$9, 100%, $G$9) + CHOOSE(CONTROL!$C$38, 0.0347, 0)</f>
        <v>13.972700000000001</v>
      </c>
      <c r="I40" s="10">
        <f>13.9395 * CHOOSE(CONTROL!$C$15, $E$9, 100%, $G$9) + CHOOSE(CONTROL!$C$38, 0.0347, 0)</f>
        <v>13.974200000000002</v>
      </c>
      <c r="J40" s="29">
        <f>85.83</f>
        <v>85.83</v>
      </c>
    </row>
    <row r="41" spans="1:10" ht="15" x14ac:dyDescent="0.2">
      <c r="A41" s="16">
        <v>42522</v>
      </c>
      <c r="B41" s="10">
        <f>14.1203 * CHOOSE(CONTROL!$C$15, $E$9, 100%, $G$9) + CHOOSE(CONTROL!$C$38, 0.0256, 0)</f>
        <v>14.145900000000001</v>
      </c>
      <c r="C41" s="10">
        <f>13.9779 * CHOOSE(CONTROL!$C$15, $E$9, 100%, $G$9) + CHOOSE(CONTROL!$C$38, 0.0347, 0)</f>
        <v>14.012600000000001</v>
      </c>
      <c r="D41" s="10">
        <f>13.9701 * CHOOSE(CONTROL!$C$15, $E$9, 100%, $G$9) + CHOOSE(CONTROL!$C$38, 0.0347, 0)</f>
        <v>14.004800000000001</v>
      </c>
      <c r="E41" s="28">
        <f>13.9641 * CHOOSE(CONTROL!$C$15, $E$9, 100%, $G$9) + CHOOSE(CONTROL!$C$38, 0.0347, 0)</f>
        <v>13.998800000000001</v>
      </c>
      <c r="F41" s="27">
        <f>13.9641 * CHOOSE(CONTROL!$C$15, $E$9, 100%, $G$9) + CHOOSE(CONTROL!$C$38, 0.0256, 0)</f>
        <v>13.989700000000001</v>
      </c>
      <c r="G41" s="10">
        <f>13.9764 * CHOOSE(CONTROL!$C$15, $E$9, 100%, $G$9) + CHOOSE(CONTROL!$C$38, 0.0347, 0)</f>
        <v>14.011100000000001</v>
      </c>
      <c r="H41" s="10">
        <f>13.9764 * CHOOSE(CONTROL!$C$15, $E$9, 100%, $G$9) + CHOOSE(CONTROL!$C$38, 0.0347, 0)</f>
        <v>14.011100000000001</v>
      </c>
      <c r="I41" s="10">
        <f>13.9779 * CHOOSE(CONTROL!$C$15, $E$9, 100%, $G$9) + CHOOSE(CONTROL!$C$38, 0.0347, 0)</f>
        <v>14.012600000000001</v>
      </c>
      <c r="J41" s="29">
        <f>85.59</f>
        <v>85.59</v>
      </c>
    </row>
    <row r="42" spans="1:10" ht="15" x14ac:dyDescent="0.2">
      <c r="A42" s="16">
        <v>42552</v>
      </c>
      <c r="B42" s="10">
        <f>14.1641 * CHOOSE(CONTROL!$C$15, $E$9, 100%, $G$9) + CHOOSE(CONTROL!$C$38, 0.0256, 0)</f>
        <v>14.1897</v>
      </c>
      <c r="C42" s="10">
        <f>14.0163 * CHOOSE(CONTROL!$C$15, $E$9, 100%, $G$9) + CHOOSE(CONTROL!$C$38, 0.0347, 0)</f>
        <v>14.051</v>
      </c>
      <c r="D42" s="10">
        <f>14.0085 * CHOOSE(CONTROL!$C$15, $E$9, 100%, $G$9) + CHOOSE(CONTROL!$C$38, 0.0347, 0)</f>
        <v>14.043200000000001</v>
      </c>
      <c r="E42" s="28">
        <f>14.0078 * CHOOSE(CONTROL!$C$15, $E$9, 100%, $G$9) + CHOOSE(CONTROL!$C$38, 0.0347, 0)</f>
        <v>14.0425</v>
      </c>
      <c r="F42" s="27">
        <f>14.0078 * CHOOSE(CONTROL!$C$15, $E$9, 100%, $G$9) + CHOOSE(CONTROL!$C$38, 0.0256, 0)</f>
        <v>14.0334</v>
      </c>
      <c r="G42" s="10">
        <f>14.0147 * CHOOSE(CONTROL!$C$15, $E$9, 100%, $G$9) + CHOOSE(CONTROL!$C$38, 0.0347, 0)</f>
        <v>14.0494</v>
      </c>
      <c r="H42" s="10">
        <f>14.0147 * CHOOSE(CONTROL!$C$15, $E$9, 100%, $G$9) + CHOOSE(CONTROL!$C$38, 0.0347, 0)</f>
        <v>14.0494</v>
      </c>
      <c r="I42" s="10">
        <f>14.0163 * CHOOSE(CONTROL!$C$15, $E$9, 100%, $G$9) + CHOOSE(CONTROL!$C$38, 0.0347, 0)</f>
        <v>14.051</v>
      </c>
      <c r="J42" s="29">
        <f>85.24</f>
        <v>85.24</v>
      </c>
    </row>
    <row r="43" spans="1:10" ht="15" x14ac:dyDescent="0.2">
      <c r="A43" s="16">
        <v>42583</v>
      </c>
      <c r="B43" s="10">
        <f>14.2047 * CHOOSE(CONTROL!$C$15, $E$9, 100%, $G$9) + CHOOSE(CONTROL!$C$38, 0.0256, 0)</f>
        <v>14.230300000000002</v>
      </c>
      <c r="C43" s="10">
        <f>14.0547 * CHOOSE(CONTROL!$C$15, $E$9, 100%, $G$9) + CHOOSE(CONTROL!$C$38, 0.0347, 0)</f>
        <v>14.089400000000001</v>
      </c>
      <c r="D43" s="10">
        <f>14.0469 * CHOOSE(CONTROL!$C$15, $E$9, 100%, $G$9) + CHOOSE(CONTROL!$C$38, 0.0347, 0)</f>
        <v>14.081600000000002</v>
      </c>
      <c r="E43" s="28">
        <f>14.0484 * CHOOSE(CONTROL!$C$15, $E$9, 100%, $G$9) + CHOOSE(CONTROL!$C$38, 0.0347, 0)</f>
        <v>14.083100000000002</v>
      </c>
      <c r="F43" s="27">
        <f>14.0484 * CHOOSE(CONTROL!$C$15, $E$9, 100%, $G$9) + CHOOSE(CONTROL!$C$38, 0.0256, 0)</f>
        <v>14.074000000000002</v>
      </c>
      <c r="G43" s="10">
        <f>14.0531 * CHOOSE(CONTROL!$C$15, $E$9, 100%, $G$9) + CHOOSE(CONTROL!$C$38, 0.0347, 0)</f>
        <v>14.087800000000001</v>
      </c>
      <c r="H43" s="10">
        <f>14.0531 * CHOOSE(CONTROL!$C$15, $E$9, 100%, $G$9) + CHOOSE(CONTROL!$C$38, 0.0347, 0)</f>
        <v>14.087800000000001</v>
      </c>
      <c r="I43" s="10">
        <f>14.0547 * CHOOSE(CONTROL!$C$15, $E$9, 100%, $G$9) + CHOOSE(CONTROL!$C$38, 0.0347, 0)</f>
        <v>14.089400000000001</v>
      </c>
      <c r="J43" s="29">
        <f>84.94</f>
        <v>84.94</v>
      </c>
    </row>
    <row r="44" spans="1:10" ht="15" x14ac:dyDescent="0.2">
      <c r="A44" s="16">
        <v>42614</v>
      </c>
      <c r="B44" s="10">
        <f>14.2391 * CHOOSE(CONTROL!$C$15, $E$9, 100%, $G$9) + CHOOSE(CONTROL!$C$38, 0.0256, 0)</f>
        <v>14.264700000000001</v>
      </c>
      <c r="C44" s="10">
        <f>14.0931 * CHOOSE(CONTROL!$C$15, $E$9, 100%, $G$9) + CHOOSE(CONTROL!$C$38, 0.0347, 0)</f>
        <v>14.127800000000001</v>
      </c>
      <c r="D44" s="10">
        <f>14.0852 * CHOOSE(CONTROL!$C$15, $E$9, 100%, $G$9) + CHOOSE(CONTROL!$C$38, 0.0347, 0)</f>
        <v>14.119900000000001</v>
      </c>
      <c r="E44" s="28">
        <f>14.0828 * CHOOSE(CONTROL!$C$15, $E$9, 100%, $G$9) + CHOOSE(CONTROL!$C$38, 0.0347, 0)</f>
        <v>14.117500000000001</v>
      </c>
      <c r="F44" s="27">
        <f>14.0828 * CHOOSE(CONTROL!$C$15, $E$9, 100%, $G$9) + CHOOSE(CONTROL!$C$38, 0.0256, 0)</f>
        <v>14.108400000000001</v>
      </c>
      <c r="G44" s="10">
        <f>14.0915 * CHOOSE(CONTROL!$C$15, $E$9, 100%, $G$9) + CHOOSE(CONTROL!$C$38, 0.0347, 0)</f>
        <v>14.126200000000001</v>
      </c>
      <c r="H44" s="10">
        <f>14.0915 * CHOOSE(CONTROL!$C$15, $E$9, 100%, $G$9) + CHOOSE(CONTROL!$C$38, 0.0347, 0)</f>
        <v>14.126200000000001</v>
      </c>
      <c r="I44" s="10">
        <f>14.0931 * CHOOSE(CONTROL!$C$15, $E$9, 100%, $G$9) + CHOOSE(CONTROL!$C$38, 0.0347, 0)</f>
        <v>14.127800000000001</v>
      </c>
      <c r="J44" s="29">
        <f>84.7</f>
        <v>84.7</v>
      </c>
    </row>
    <row r="45" spans="1:10" ht="15" x14ac:dyDescent="0.2">
      <c r="A45" s="16">
        <v>42644</v>
      </c>
      <c r="B45" s="10">
        <f>14.2781 * CHOOSE(CONTROL!$C$15, $E$9, 100%, $G$9) + CHOOSE(CONTROL!$C$38, 0.0256, 0)</f>
        <v>14.303700000000001</v>
      </c>
      <c r="C45" s="10">
        <f>14.1314 * CHOOSE(CONTROL!$C$15, $E$9, 100%, $G$9) + CHOOSE(CONTROL!$C$38, 0.0347, 0)</f>
        <v>14.1661</v>
      </c>
      <c r="D45" s="10">
        <f>14.1236 * CHOOSE(CONTROL!$C$15, $E$9, 100%, $G$9) + CHOOSE(CONTROL!$C$38, 0.0347, 0)</f>
        <v>14.158300000000001</v>
      </c>
      <c r="E45" s="28">
        <f>14.1219 * CHOOSE(CONTROL!$C$15, $E$9, 100%, $G$9) + CHOOSE(CONTROL!$C$38, 0.0347, 0)</f>
        <v>14.156600000000001</v>
      </c>
      <c r="F45" s="27">
        <f>14.1219 * CHOOSE(CONTROL!$C$15, $E$9, 100%, $G$9) + CHOOSE(CONTROL!$C$38, 0.0256, 0)</f>
        <v>14.147500000000001</v>
      </c>
      <c r="G45" s="10">
        <f>14.1299 * CHOOSE(CONTROL!$C$15, $E$9, 100%, $G$9) + CHOOSE(CONTROL!$C$38, 0.0347, 0)</f>
        <v>14.1646</v>
      </c>
      <c r="H45" s="10">
        <f>14.1299 * CHOOSE(CONTROL!$C$15, $E$9, 100%, $G$9) + CHOOSE(CONTROL!$C$38, 0.0347, 0)</f>
        <v>14.1646</v>
      </c>
      <c r="I45" s="10">
        <f>14.1314 * CHOOSE(CONTROL!$C$15, $E$9, 100%, $G$9) + CHOOSE(CONTROL!$C$38, 0.0347, 0)</f>
        <v>14.1661</v>
      </c>
      <c r="J45" s="29">
        <f>84.51</f>
        <v>84.51</v>
      </c>
    </row>
    <row r="46" spans="1:10" ht="15" x14ac:dyDescent="0.2">
      <c r="A46" s="16">
        <v>42675</v>
      </c>
      <c r="B46" s="10">
        <f>14.3094 * CHOOSE(CONTROL!$C$15, $E$9, 100%, $G$9) + CHOOSE(CONTROL!$C$38, 0.0256, 0)</f>
        <v>14.335000000000001</v>
      </c>
      <c r="C46" s="10">
        <f>14.1698 * CHOOSE(CONTROL!$C$15, $E$9, 100%, $G$9) + CHOOSE(CONTROL!$C$38, 0.0347, 0)</f>
        <v>14.204500000000001</v>
      </c>
      <c r="D46" s="10">
        <f>14.162 * CHOOSE(CONTROL!$C$15, $E$9, 100%, $G$9) + CHOOSE(CONTROL!$C$38, 0.0347, 0)</f>
        <v>14.196700000000002</v>
      </c>
      <c r="E46" s="28">
        <f>14.1531 * CHOOSE(CONTROL!$C$15, $E$9, 100%, $G$9) + CHOOSE(CONTROL!$C$38, 0.0347, 0)</f>
        <v>14.187800000000001</v>
      </c>
      <c r="F46" s="27">
        <f>14.1531 * CHOOSE(CONTROL!$C$15, $E$9, 100%, $G$9) + CHOOSE(CONTROL!$C$38, 0.0256, 0)</f>
        <v>14.178700000000001</v>
      </c>
      <c r="G46" s="10">
        <f>14.1683 * CHOOSE(CONTROL!$C$15, $E$9, 100%, $G$9) + CHOOSE(CONTROL!$C$38, 0.0347, 0)</f>
        <v>14.203000000000001</v>
      </c>
      <c r="H46" s="10">
        <f>14.1683 * CHOOSE(CONTROL!$C$15, $E$9, 100%, $G$9) + CHOOSE(CONTROL!$C$38, 0.0347, 0)</f>
        <v>14.203000000000001</v>
      </c>
      <c r="I46" s="10">
        <f>14.1698 * CHOOSE(CONTROL!$C$15, $E$9, 100%, $G$9) + CHOOSE(CONTROL!$C$38, 0.0347, 0)</f>
        <v>14.204500000000001</v>
      </c>
      <c r="J46" s="29">
        <f>84.35</f>
        <v>84.35</v>
      </c>
    </row>
    <row r="47" spans="1:10" ht="15" x14ac:dyDescent="0.2">
      <c r="A47" s="16">
        <v>42705</v>
      </c>
      <c r="B47" s="10">
        <f>14.3422 * CHOOSE(CONTROL!$C$15, $E$9, 100%, $G$9) + CHOOSE(CONTROL!$C$38, 0.0256, 0)</f>
        <v>14.367800000000001</v>
      </c>
      <c r="C47" s="10">
        <f>14.2082 * CHOOSE(CONTROL!$C$15, $E$9, 100%, $G$9) + CHOOSE(CONTROL!$C$38, 0.0347, 0)</f>
        <v>14.242900000000001</v>
      </c>
      <c r="D47" s="10">
        <f>14.2004 * CHOOSE(CONTROL!$C$15, $E$9, 100%, $G$9) + CHOOSE(CONTROL!$C$38, 0.0347, 0)</f>
        <v>14.235100000000001</v>
      </c>
      <c r="E47" s="28">
        <f>14.1859 * CHOOSE(CONTROL!$C$15, $E$9, 100%, $G$9) + CHOOSE(CONTROL!$C$38, 0.0347, 0)</f>
        <v>14.220600000000001</v>
      </c>
      <c r="F47" s="27">
        <f>14.1859 * CHOOSE(CONTROL!$C$15, $E$9, 100%, $G$9) + CHOOSE(CONTROL!$C$38, 0.0256, 0)</f>
        <v>14.211500000000001</v>
      </c>
      <c r="G47" s="10">
        <f>14.2066 * CHOOSE(CONTROL!$C$15, $E$9, 100%, $G$9) + CHOOSE(CONTROL!$C$38, 0.0347, 0)</f>
        <v>14.241300000000001</v>
      </c>
      <c r="H47" s="10">
        <f>14.2066 * CHOOSE(CONTROL!$C$15, $E$9, 100%, $G$9) + CHOOSE(CONTROL!$C$38, 0.0347, 0)</f>
        <v>14.241300000000001</v>
      </c>
      <c r="I47" s="10">
        <f>14.2082 * CHOOSE(CONTROL!$C$15, $E$9, 100%, $G$9) + CHOOSE(CONTROL!$C$38, 0.0347, 0)</f>
        <v>14.242900000000001</v>
      </c>
      <c r="J47" s="29">
        <f>84.23</f>
        <v>84.23</v>
      </c>
    </row>
    <row r="48" spans="1:10" ht="15" x14ac:dyDescent="0.2">
      <c r="A48" s="16">
        <v>42736</v>
      </c>
      <c r="B48" s="10">
        <f>15.1768 * CHOOSE(CONTROL!$C$15, $E$9, 100%, $G$9) + CHOOSE(CONTROL!$C$38, 0.0256, 0)</f>
        <v>15.202400000000001</v>
      </c>
      <c r="C48" s="10">
        <f>14.7629 * CHOOSE(CONTROL!$C$15, $E$9, 100%, $G$9) + CHOOSE(CONTROL!$C$38, 0.0347, 0)</f>
        <v>14.797600000000001</v>
      </c>
      <c r="D48" s="10">
        <f>14.7551 * CHOOSE(CONTROL!$C$15, $E$9, 100%, $G$9) + CHOOSE(CONTROL!$C$38, 0.0347, 0)</f>
        <v>14.789800000000001</v>
      </c>
      <c r="E48" s="28">
        <f>15.0205 * CHOOSE(CONTROL!$C$15, $E$9, 100%, $G$9) + CHOOSE(CONTROL!$C$38, 0.0347, 0)</f>
        <v>15.055200000000001</v>
      </c>
      <c r="F48" s="27">
        <f>15.0205 * CHOOSE(CONTROL!$C$15, $E$9, 100%, $G$9) + CHOOSE(CONTROL!$C$38, 0.0256, 0)</f>
        <v>15.046100000000001</v>
      </c>
      <c r="G48" s="10">
        <f>14.7614 * CHOOSE(CONTROL!$C$15, $E$9, 100%, $G$9) + CHOOSE(CONTROL!$C$38, 0.0347, 0)</f>
        <v>14.796100000000001</v>
      </c>
      <c r="H48" s="10">
        <f>14.7614 * CHOOSE(CONTROL!$C$15, $E$9, 100%, $G$9) + CHOOSE(CONTROL!$C$38, 0.0347, 0)</f>
        <v>14.796100000000001</v>
      </c>
      <c r="I48" s="10">
        <f>14.7629 * CHOOSE(CONTROL!$C$15, $E$9, 100%, $G$9) + CHOOSE(CONTROL!$C$38, 0.0347, 0)</f>
        <v>14.797600000000001</v>
      </c>
      <c r="J48" s="29">
        <f>79.8358</f>
        <v>79.835800000000006</v>
      </c>
    </row>
    <row r="49" spans="1:10" ht="15" x14ac:dyDescent="0.2">
      <c r="A49" s="16">
        <v>42767</v>
      </c>
      <c r="B49" s="10">
        <f>15.3975 * CHOOSE(CONTROL!$C$15, $E$9, 100%, $G$9) + CHOOSE(CONTROL!$C$38, 0.0256, 0)</f>
        <v>15.423100000000002</v>
      </c>
      <c r="C49" s="10">
        <f>14.9837 * CHOOSE(CONTROL!$C$15, $E$9, 100%, $G$9) + CHOOSE(CONTROL!$C$38, 0.0347, 0)</f>
        <v>15.018400000000002</v>
      </c>
      <c r="D49" s="10">
        <f>14.9759 * CHOOSE(CONTROL!$C$15, $E$9, 100%, $G$9) + CHOOSE(CONTROL!$C$38, 0.0347, 0)</f>
        <v>15.0106</v>
      </c>
      <c r="E49" s="28">
        <f>15.2413 * CHOOSE(CONTROL!$C$15, $E$9, 100%, $G$9) + CHOOSE(CONTROL!$C$38, 0.0347, 0)</f>
        <v>15.276000000000002</v>
      </c>
      <c r="F49" s="27">
        <f>15.2413 * CHOOSE(CONTROL!$C$15, $E$9, 100%, $G$9) + CHOOSE(CONTROL!$C$38, 0.0256, 0)</f>
        <v>15.266900000000001</v>
      </c>
      <c r="G49" s="10">
        <f>14.9821 * CHOOSE(CONTROL!$C$15, $E$9, 100%, $G$9) + CHOOSE(CONTROL!$C$38, 0.0347, 0)</f>
        <v>15.016800000000002</v>
      </c>
      <c r="H49" s="10">
        <f>14.9821 * CHOOSE(CONTROL!$C$15, $E$9, 100%, $G$9) + CHOOSE(CONTROL!$C$38, 0.0347, 0)</f>
        <v>15.016800000000002</v>
      </c>
      <c r="I49" s="10">
        <f>14.9837 * CHOOSE(CONTROL!$C$15, $E$9, 100%, $G$9) + CHOOSE(CONTROL!$C$38, 0.0347, 0)</f>
        <v>15.018400000000002</v>
      </c>
      <c r="J49" s="29">
        <f>79.6139</f>
        <v>79.613900000000001</v>
      </c>
    </row>
    <row r="50" spans="1:10" ht="15" x14ac:dyDescent="0.2">
      <c r="A50" s="16">
        <v>42795</v>
      </c>
      <c r="B50" s="10">
        <f>14.8865 * CHOOSE(CONTROL!$C$15, $E$9, 100%, $G$9) + CHOOSE(CONTROL!$C$38, 0.0256, 0)</f>
        <v>14.912100000000001</v>
      </c>
      <c r="C50" s="10">
        <f>14.4726 * CHOOSE(CONTROL!$C$15, $E$9, 100%, $G$9) + CHOOSE(CONTROL!$C$38, 0.0347, 0)</f>
        <v>14.507300000000001</v>
      </c>
      <c r="D50" s="10">
        <f>14.4648 * CHOOSE(CONTROL!$C$15, $E$9, 100%, $G$9) + CHOOSE(CONTROL!$C$38, 0.0347, 0)</f>
        <v>14.499500000000001</v>
      </c>
      <c r="E50" s="28">
        <f>14.7302 * CHOOSE(CONTROL!$C$15, $E$9, 100%, $G$9) + CHOOSE(CONTROL!$C$38, 0.0347, 0)</f>
        <v>14.764900000000001</v>
      </c>
      <c r="F50" s="27">
        <f>14.7302 * CHOOSE(CONTROL!$C$15, $E$9, 100%, $G$9) + CHOOSE(CONTROL!$C$38, 0.0256, 0)</f>
        <v>14.755800000000001</v>
      </c>
      <c r="G50" s="10">
        <f>14.4711 * CHOOSE(CONTROL!$C$15, $E$9, 100%, $G$9) + CHOOSE(CONTROL!$C$38, 0.0347, 0)</f>
        <v>14.505800000000001</v>
      </c>
      <c r="H50" s="10">
        <f>14.4711 * CHOOSE(CONTROL!$C$15, $E$9, 100%, $G$9) + CHOOSE(CONTROL!$C$38, 0.0347, 0)</f>
        <v>14.505800000000001</v>
      </c>
      <c r="I50" s="10">
        <f>14.4726 * CHOOSE(CONTROL!$C$15, $E$9, 100%, $G$9) + CHOOSE(CONTROL!$C$38, 0.0347, 0)</f>
        <v>14.507300000000001</v>
      </c>
      <c r="J50" s="29">
        <f>83.81</f>
        <v>83.81</v>
      </c>
    </row>
    <row r="51" spans="1:10" ht="15" x14ac:dyDescent="0.2">
      <c r="A51" s="16">
        <v>42826</v>
      </c>
      <c r="B51" s="10">
        <f>14.3913 * CHOOSE(CONTROL!$C$15, $E$9, 100%, $G$9) + CHOOSE(CONTROL!$C$38, 0.0256, 0)</f>
        <v>14.4169</v>
      </c>
      <c r="C51" s="10">
        <f>13.9775 * CHOOSE(CONTROL!$C$15, $E$9, 100%, $G$9) + CHOOSE(CONTROL!$C$38, 0.0347, 0)</f>
        <v>14.0122</v>
      </c>
      <c r="D51" s="10">
        <f>13.9697 * CHOOSE(CONTROL!$C$15, $E$9, 100%, $G$9) + CHOOSE(CONTROL!$C$38, 0.0347, 0)</f>
        <v>14.0044</v>
      </c>
      <c r="E51" s="28">
        <f>14.2351 * CHOOSE(CONTROL!$C$15, $E$9, 100%, $G$9) + CHOOSE(CONTROL!$C$38, 0.0347, 0)</f>
        <v>14.2698</v>
      </c>
      <c r="F51" s="27">
        <f>14.2351 * CHOOSE(CONTROL!$C$15, $E$9, 100%, $G$9) + CHOOSE(CONTROL!$C$38, 0.0256, 0)</f>
        <v>14.2607</v>
      </c>
      <c r="G51" s="10">
        <f>13.9759 * CHOOSE(CONTROL!$C$15, $E$9, 100%, $G$9) + CHOOSE(CONTROL!$C$38, 0.0347, 0)</f>
        <v>14.0106</v>
      </c>
      <c r="H51" s="10">
        <f>13.9759 * CHOOSE(CONTROL!$C$15, $E$9, 100%, $G$9) + CHOOSE(CONTROL!$C$38, 0.0347, 0)</f>
        <v>14.0106</v>
      </c>
      <c r="I51" s="10">
        <f>13.9775 * CHOOSE(CONTROL!$C$15, $E$9, 100%, $G$9) + CHOOSE(CONTROL!$C$38, 0.0347, 0)</f>
        <v>14.0122</v>
      </c>
      <c r="J51" s="29">
        <f>89.2514</f>
        <v>89.251400000000004</v>
      </c>
    </row>
    <row r="52" spans="1:10" ht="15" x14ac:dyDescent="0.2">
      <c r="A52" s="16">
        <v>42856</v>
      </c>
      <c r="B52" s="10">
        <f>13.8752 * CHOOSE(CONTROL!$C$15, $E$9, 100%, $G$9) + CHOOSE(CONTROL!$C$38, 0.0256, 0)</f>
        <v>13.9008</v>
      </c>
      <c r="C52" s="10">
        <f>13.4614 * CHOOSE(CONTROL!$C$15, $E$9, 100%, $G$9) + CHOOSE(CONTROL!$C$38, 0.0347, 0)</f>
        <v>13.4961</v>
      </c>
      <c r="D52" s="10">
        <f>13.4535 * CHOOSE(CONTROL!$C$15, $E$9, 100%, $G$9) + CHOOSE(CONTROL!$C$38, 0.0347, 0)</f>
        <v>13.488200000000001</v>
      </c>
      <c r="E52" s="28">
        <f>13.7189 * CHOOSE(CONTROL!$C$15, $E$9, 100%, $G$9) + CHOOSE(CONTROL!$C$38, 0.0347, 0)</f>
        <v>13.7536</v>
      </c>
      <c r="F52" s="27">
        <f>13.7189 * CHOOSE(CONTROL!$C$15, $E$9, 100%, $G$9) + CHOOSE(CONTROL!$C$38, 0.0256, 0)</f>
        <v>13.7445</v>
      </c>
      <c r="G52" s="10">
        <f>13.4598 * CHOOSE(CONTROL!$C$15, $E$9, 100%, $G$9) + CHOOSE(CONTROL!$C$38, 0.0347, 0)</f>
        <v>13.4945</v>
      </c>
      <c r="H52" s="10">
        <f>13.4598 * CHOOSE(CONTROL!$C$15, $E$9, 100%, $G$9) + CHOOSE(CONTROL!$C$38, 0.0347, 0)</f>
        <v>13.4945</v>
      </c>
      <c r="I52" s="10">
        <f>13.4614 * CHOOSE(CONTROL!$C$15, $E$9, 100%, $G$9) + CHOOSE(CONTROL!$C$38, 0.0347, 0)</f>
        <v>13.4961</v>
      </c>
      <c r="J52" s="29">
        <f>92.2465</f>
        <v>92.246499999999997</v>
      </c>
    </row>
    <row r="53" spans="1:10" ht="15" x14ac:dyDescent="0.2">
      <c r="A53" s="16">
        <v>42887</v>
      </c>
      <c r="B53" s="10">
        <f>13.5134 * CHOOSE(CONTROL!$C$15, $E$9, 100%, $G$9) + CHOOSE(CONTROL!$C$38, 0.0256, 0)</f>
        <v>13.539000000000001</v>
      </c>
      <c r="C53" s="10">
        <f>13.0995 * CHOOSE(CONTROL!$C$15, $E$9, 100%, $G$9) + CHOOSE(CONTROL!$C$38, 0.0347, 0)</f>
        <v>13.134200000000002</v>
      </c>
      <c r="D53" s="10">
        <f>13.0917 * CHOOSE(CONTROL!$C$15, $E$9, 100%, $G$9) + CHOOSE(CONTROL!$C$38, 0.0347, 0)</f>
        <v>13.1264</v>
      </c>
      <c r="E53" s="28">
        <f>13.3571 * CHOOSE(CONTROL!$C$15, $E$9, 100%, $G$9) + CHOOSE(CONTROL!$C$38, 0.0347, 0)</f>
        <v>13.391800000000002</v>
      </c>
      <c r="F53" s="27">
        <f>13.3571 * CHOOSE(CONTROL!$C$15, $E$9, 100%, $G$9) + CHOOSE(CONTROL!$C$38, 0.0256, 0)</f>
        <v>13.382700000000002</v>
      </c>
      <c r="G53" s="10">
        <f>13.098 * CHOOSE(CONTROL!$C$15, $E$9, 100%, $G$9) + CHOOSE(CONTROL!$C$38, 0.0347, 0)</f>
        <v>13.132700000000002</v>
      </c>
      <c r="H53" s="10">
        <f>13.098 * CHOOSE(CONTROL!$C$15, $E$9, 100%, $G$9) + CHOOSE(CONTROL!$C$38, 0.0347, 0)</f>
        <v>13.132700000000002</v>
      </c>
      <c r="I53" s="10">
        <f>13.0995 * CHOOSE(CONTROL!$C$15, $E$9, 100%, $G$9) + CHOOSE(CONTROL!$C$38, 0.0347, 0)</f>
        <v>13.134200000000002</v>
      </c>
      <c r="J53" s="29">
        <f>93.5756</f>
        <v>93.575599999999994</v>
      </c>
    </row>
    <row r="54" spans="1:10" ht="15" x14ac:dyDescent="0.2">
      <c r="A54" s="16">
        <v>42917</v>
      </c>
      <c r="B54" s="10">
        <f>13.3069 * CHOOSE(CONTROL!$C$15, $E$9, 100%, $G$9) + CHOOSE(CONTROL!$C$38, 0.0256, 0)</f>
        <v>13.332500000000001</v>
      </c>
      <c r="C54" s="10">
        <f>12.893 * CHOOSE(CONTROL!$C$15, $E$9, 100%, $G$9) + CHOOSE(CONTROL!$C$38, 0.0347, 0)</f>
        <v>12.927700000000002</v>
      </c>
      <c r="D54" s="10">
        <f>12.8852 * CHOOSE(CONTROL!$C$15, $E$9, 100%, $G$9) + CHOOSE(CONTROL!$C$38, 0.0347, 0)</f>
        <v>12.9199</v>
      </c>
      <c r="E54" s="28">
        <f>13.1506 * CHOOSE(CONTROL!$C$15, $E$9, 100%, $G$9) + CHOOSE(CONTROL!$C$38, 0.0347, 0)</f>
        <v>13.185300000000002</v>
      </c>
      <c r="F54" s="27">
        <f>13.1506 * CHOOSE(CONTROL!$C$15, $E$9, 100%, $G$9) + CHOOSE(CONTROL!$C$38, 0.0256, 0)</f>
        <v>13.176200000000001</v>
      </c>
      <c r="G54" s="10">
        <f>12.8915 * CHOOSE(CONTROL!$C$15, $E$9, 100%, $G$9) + CHOOSE(CONTROL!$C$38, 0.0347, 0)</f>
        <v>12.926200000000001</v>
      </c>
      <c r="H54" s="10">
        <f>12.8915 * CHOOSE(CONTROL!$C$15, $E$9, 100%, $G$9) + CHOOSE(CONTROL!$C$38, 0.0347, 0)</f>
        <v>12.926200000000001</v>
      </c>
      <c r="I54" s="10">
        <f>12.893 * CHOOSE(CONTROL!$C$15, $E$9, 100%, $G$9) + CHOOSE(CONTROL!$C$38, 0.0347, 0)</f>
        <v>12.927700000000002</v>
      </c>
      <c r="J54" s="29">
        <f>93.138</f>
        <v>93.138000000000005</v>
      </c>
    </row>
    <row r="55" spans="1:10" ht="15" x14ac:dyDescent="0.2">
      <c r="A55" s="16">
        <v>42948</v>
      </c>
      <c r="B55" s="10">
        <f>13.4088 * CHOOSE(CONTROL!$C$15, $E$9, 100%, $G$9) + CHOOSE(CONTROL!$C$38, 0.0256, 0)</f>
        <v>13.4344</v>
      </c>
      <c r="C55" s="10">
        <f>12.9949 * CHOOSE(CONTROL!$C$15, $E$9, 100%, $G$9) + CHOOSE(CONTROL!$C$38, 0.0347, 0)</f>
        <v>13.0296</v>
      </c>
      <c r="D55" s="10">
        <f>12.9871 * CHOOSE(CONTROL!$C$15, $E$9, 100%, $G$9) + CHOOSE(CONTROL!$C$38, 0.0347, 0)</f>
        <v>13.021800000000001</v>
      </c>
      <c r="E55" s="28">
        <f>13.2525 * CHOOSE(CONTROL!$C$15, $E$9, 100%, $G$9) + CHOOSE(CONTROL!$C$38, 0.0347, 0)</f>
        <v>13.2872</v>
      </c>
      <c r="F55" s="27">
        <f>13.2525 * CHOOSE(CONTROL!$C$15, $E$9, 100%, $G$9) + CHOOSE(CONTROL!$C$38, 0.0256, 0)</f>
        <v>13.2781</v>
      </c>
      <c r="G55" s="10">
        <f>12.9934 * CHOOSE(CONTROL!$C$15, $E$9, 100%, $G$9) + CHOOSE(CONTROL!$C$38, 0.0347, 0)</f>
        <v>13.0281</v>
      </c>
      <c r="H55" s="10">
        <f>12.9934 * CHOOSE(CONTROL!$C$15, $E$9, 100%, $G$9) + CHOOSE(CONTROL!$C$38, 0.0347, 0)</f>
        <v>13.0281</v>
      </c>
      <c r="I55" s="10">
        <f>12.9949 * CHOOSE(CONTROL!$C$15, $E$9, 100%, $G$9) + CHOOSE(CONTROL!$C$38, 0.0347, 0)</f>
        <v>13.0296</v>
      </c>
      <c r="J55" s="29">
        <f>90.9698</f>
        <v>90.969800000000006</v>
      </c>
    </row>
    <row r="56" spans="1:10" ht="15" x14ac:dyDescent="0.2">
      <c r="A56" s="16">
        <v>42979</v>
      </c>
      <c r="B56" s="10">
        <f>13.6856 * CHOOSE(CONTROL!$C$15, $E$9, 100%, $G$9) + CHOOSE(CONTROL!$C$38, 0.0256, 0)</f>
        <v>13.711200000000002</v>
      </c>
      <c r="C56" s="10">
        <f>13.2717 * CHOOSE(CONTROL!$C$15, $E$9, 100%, $G$9) + CHOOSE(CONTROL!$C$38, 0.0347, 0)</f>
        <v>13.3064</v>
      </c>
      <c r="D56" s="10">
        <f>13.2639 * CHOOSE(CONTROL!$C$15, $E$9, 100%, $G$9) + CHOOSE(CONTROL!$C$38, 0.0347, 0)</f>
        <v>13.2986</v>
      </c>
      <c r="E56" s="28">
        <f>13.5293 * CHOOSE(CONTROL!$C$15, $E$9, 100%, $G$9) + CHOOSE(CONTROL!$C$38, 0.0347, 0)</f>
        <v>13.564</v>
      </c>
      <c r="F56" s="27">
        <f>13.5293 * CHOOSE(CONTROL!$C$15, $E$9, 100%, $G$9) + CHOOSE(CONTROL!$C$38, 0.0256, 0)</f>
        <v>13.5549</v>
      </c>
      <c r="G56" s="10">
        <f>13.2702 * CHOOSE(CONTROL!$C$15, $E$9, 100%, $G$9) + CHOOSE(CONTROL!$C$38, 0.0347, 0)</f>
        <v>13.304900000000002</v>
      </c>
      <c r="H56" s="10">
        <f>13.2702 * CHOOSE(CONTROL!$C$15, $E$9, 100%, $G$9) + CHOOSE(CONTROL!$C$38, 0.0347, 0)</f>
        <v>13.304900000000002</v>
      </c>
      <c r="I56" s="10">
        <f>13.2717 * CHOOSE(CONTROL!$C$15, $E$9, 100%, $G$9) + CHOOSE(CONTROL!$C$38, 0.0347, 0)</f>
        <v>13.3064</v>
      </c>
      <c r="J56" s="29">
        <f>87.9461</f>
        <v>87.946100000000001</v>
      </c>
    </row>
    <row r="57" spans="1:10" ht="15" x14ac:dyDescent="0.2">
      <c r="A57" s="16">
        <v>43009</v>
      </c>
      <c r="B57" s="10">
        <f>13.9174 * CHOOSE(CONTROL!$C$15, $E$9, 100%, $G$9) + CHOOSE(CONTROL!$C$38, 0.0256, 0)</f>
        <v>13.943000000000001</v>
      </c>
      <c r="C57" s="10">
        <f>13.5036 * CHOOSE(CONTROL!$C$15, $E$9, 100%, $G$9) + CHOOSE(CONTROL!$C$38, 0.0347, 0)</f>
        <v>13.538300000000001</v>
      </c>
      <c r="D57" s="10">
        <f>13.4957 * CHOOSE(CONTROL!$C$15, $E$9, 100%, $G$9) + CHOOSE(CONTROL!$C$38, 0.0347, 0)</f>
        <v>13.5304</v>
      </c>
      <c r="E57" s="28">
        <f>13.7612 * CHOOSE(CONTROL!$C$15, $E$9, 100%, $G$9) + CHOOSE(CONTROL!$C$38, 0.0347, 0)</f>
        <v>13.795900000000001</v>
      </c>
      <c r="F57" s="27">
        <f>13.7612 * CHOOSE(CONTROL!$C$15, $E$9, 100%, $G$9) + CHOOSE(CONTROL!$C$38, 0.0256, 0)</f>
        <v>13.786800000000001</v>
      </c>
      <c r="G57" s="10">
        <f>13.502 * CHOOSE(CONTROL!$C$15, $E$9, 100%, $G$9) + CHOOSE(CONTROL!$C$38, 0.0347, 0)</f>
        <v>13.536700000000002</v>
      </c>
      <c r="H57" s="10">
        <f>13.502 * CHOOSE(CONTROL!$C$15, $E$9, 100%, $G$9) + CHOOSE(CONTROL!$C$38, 0.0347, 0)</f>
        <v>13.536700000000002</v>
      </c>
      <c r="I57" s="10">
        <f>13.5036 * CHOOSE(CONTROL!$C$15, $E$9, 100%, $G$9) + CHOOSE(CONTROL!$C$38, 0.0347, 0)</f>
        <v>13.538300000000001</v>
      </c>
      <c r="J57" s="29">
        <f>84.9048</f>
        <v>84.904799999999994</v>
      </c>
    </row>
    <row r="58" spans="1:10" ht="15" x14ac:dyDescent="0.2">
      <c r="A58" s="16">
        <v>43040</v>
      </c>
      <c r="B58" s="10">
        <f>14.1108 * CHOOSE(CONTROL!$C$15, $E$9, 100%, $G$9) + CHOOSE(CONTROL!$C$38, 0.0256, 0)</f>
        <v>14.1364</v>
      </c>
      <c r="C58" s="10">
        <f>13.697 * CHOOSE(CONTROL!$C$15, $E$9, 100%, $G$9) + CHOOSE(CONTROL!$C$38, 0.0347, 0)</f>
        <v>13.7317</v>
      </c>
      <c r="D58" s="10">
        <f>13.6892 * CHOOSE(CONTROL!$C$15, $E$9, 100%, $G$9) + CHOOSE(CONTROL!$C$38, 0.0347, 0)</f>
        <v>13.7239</v>
      </c>
      <c r="E58" s="28">
        <f>13.9546 * CHOOSE(CONTROL!$C$15, $E$9, 100%, $G$9) + CHOOSE(CONTROL!$C$38, 0.0347, 0)</f>
        <v>13.9893</v>
      </c>
      <c r="F58" s="27">
        <f>13.9546 * CHOOSE(CONTROL!$C$15, $E$9, 100%, $G$9) + CHOOSE(CONTROL!$C$38, 0.0256, 0)</f>
        <v>13.9802</v>
      </c>
      <c r="G58" s="10">
        <f>13.6954 * CHOOSE(CONTROL!$C$15, $E$9, 100%, $G$9) + CHOOSE(CONTROL!$C$38, 0.0347, 0)</f>
        <v>13.7301</v>
      </c>
      <c r="H58" s="10">
        <f>13.6954 * CHOOSE(CONTROL!$C$15, $E$9, 100%, $G$9) + CHOOSE(CONTROL!$C$38, 0.0347, 0)</f>
        <v>13.7301</v>
      </c>
      <c r="I58" s="10">
        <f>13.697 * CHOOSE(CONTROL!$C$15, $E$9, 100%, $G$9) + CHOOSE(CONTROL!$C$38, 0.0347, 0)</f>
        <v>13.7317</v>
      </c>
      <c r="J58" s="29">
        <f>84.2999</f>
        <v>84.299899999999994</v>
      </c>
    </row>
    <row r="59" spans="1:10" ht="15" x14ac:dyDescent="0.2">
      <c r="A59" s="16">
        <v>43070</v>
      </c>
      <c r="B59" s="10">
        <f>14.7069 * CHOOSE(CONTROL!$C$15, $E$9, 100%, $G$9) + CHOOSE(CONTROL!$C$38, 0.0256, 0)</f>
        <v>14.7325</v>
      </c>
      <c r="C59" s="10">
        <f>14.2931 * CHOOSE(CONTROL!$C$15, $E$9, 100%, $G$9) + CHOOSE(CONTROL!$C$38, 0.0347, 0)</f>
        <v>14.327800000000002</v>
      </c>
      <c r="D59" s="10">
        <f>14.2853 * CHOOSE(CONTROL!$C$15, $E$9, 100%, $G$9) + CHOOSE(CONTROL!$C$38, 0.0347, 0)</f>
        <v>14.32</v>
      </c>
      <c r="E59" s="28">
        <f>14.5507 * CHOOSE(CONTROL!$C$15, $E$9, 100%, $G$9) + CHOOSE(CONTROL!$C$38, 0.0347, 0)</f>
        <v>14.585400000000002</v>
      </c>
      <c r="F59" s="27">
        <f>14.5507 * CHOOSE(CONTROL!$C$15, $E$9, 100%, $G$9) + CHOOSE(CONTROL!$C$38, 0.0256, 0)</f>
        <v>14.576300000000002</v>
      </c>
      <c r="G59" s="10">
        <f>14.2915 * CHOOSE(CONTROL!$C$15, $E$9, 100%, $G$9) + CHOOSE(CONTROL!$C$38, 0.0347, 0)</f>
        <v>14.3262</v>
      </c>
      <c r="H59" s="10">
        <f>14.2915 * CHOOSE(CONTROL!$C$15, $E$9, 100%, $G$9) + CHOOSE(CONTROL!$C$38, 0.0347, 0)</f>
        <v>14.3262</v>
      </c>
      <c r="I59" s="10">
        <f>14.2931 * CHOOSE(CONTROL!$C$15, $E$9, 100%, $G$9) + CHOOSE(CONTROL!$C$38, 0.0347, 0)</f>
        <v>14.327800000000002</v>
      </c>
      <c r="J59" s="29">
        <f>81.7983</f>
        <v>81.798299999999998</v>
      </c>
    </row>
    <row r="60" spans="1:10" ht="15" x14ac:dyDescent="0.2">
      <c r="A60" s="16">
        <v>43101</v>
      </c>
      <c r="B60" s="10">
        <f>15.4228 * CHOOSE(CONTROL!$C$15, $E$9, 100%, $G$9) + CHOOSE(CONTROL!$C$38, 0.0256, 0)</f>
        <v>15.448400000000001</v>
      </c>
      <c r="C60" s="10">
        <f>15.0115 * CHOOSE(CONTROL!$C$15, $E$9, 100%, $G$9) + CHOOSE(CONTROL!$C$38, 0.0347, 0)</f>
        <v>15.046200000000001</v>
      </c>
      <c r="D60" s="10">
        <f>15.0036 * CHOOSE(CONTROL!$C$15, $E$9, 100%, $G$9) + CHOOSE(CONTROL!$C$38, 0.0347, 0)</f>
        <v>15.038300000000001</v>
      </c>
      <c r="E60" s="28">
        <f>15.2666 * CHOOSE(CONTROL!$C$15, $E$9, 100%, $G$9) + CHOOSE(CONTROL!$C$38, 0.0347, 0)</f>
        <v>15.301300000000001</v>
      </c>
      <c r="F60" s="27">
        <f>15.2666 * CHOOSE(CONTROL!$C$15, $E$9, 100%, $G$9) + CHOOSE(CONTROL!$C$38, 0.0256, 0)</f>
        <v>15.292200000000001</v>
      </c>
      <c r="G60" s="10">
        <f>15.0099 * CHOOSE(CONTROL!$C$15, $E$9, 100%, $G$9) + CHOOSE(CONTROL!$C$38, 0.0347, 0)</f>
        <v>15.044600000000001</v>
      </c>
      <c r="H60" s="10">
        <f>15.0099 * CHOOSE(CONTROL!$C$15, $E$9, 100%, $G$9) + CHOOSE(CONTROL!$C$38, 0.0347, 0)</f>
        <v>15.044600000000001</v>
      </c>
      <c r="I60" s="10">
        <f>15.0115 * CHOOSE(CONTROL!$C$15, $E$9, 100%, $G$9) + CHOOSE(CONTROL!$C$38, 0.0347, 0)</f>
        <v>15.046200000000001</v>
      </c>
      <c r="J60" s="29">
        <f>81.9099</f>
        <v>81.909899999999993</v>
      </c>
    </row>
    <row r="61" spans="1:10" ht="15" x14ac:dyDescent="0.2">
      <c r="A61" s="16">
        <v>43132</v>
      </c>
      <c r="B61" s="10">
        <f>15.6436 * CHOOSE(CONTROL!$C$15, $E$9, 100%, $G$9) + CHOOSE(CONTROL!$C$38, 0.0256, 0)</f>
        <v>15.6692</v>
      </c>
      <c r="C61" s="10">
        <f>15.2322 * CHOOSE(CONTROL!$C$15, $E$9, 100%, $G$9) + CHOOSE(CONTROL!$C$38, 0.0347, 0)</f>
        <v>15.266900000000001</v>
      </c>
      <c r="D61" s="10">
        <f>15.2244 * CHOOSE(CONTROL!$C$15, $E$9, 100%, $G$9) + CHOOSE(CONTROL!$C$38, 0.0347, 0)</f>
        <v>15.2591</v>
      </c>
      <c r="E61" s="28">
        <f>15.4873 * CHOOSE(CONTROL!$C$15, $E$9, 100%, $G$9) + CHOOSE(CONTROL!$C$38, 0.0347, 0)</f>
        <v>15.522</v>
      </c>
      <c r="F61" s="27">
        <f>15.4873 * CHOOSE(CONTROL!$C$15, $E$9, 100%, $G$9) + CHOOSE(CONTROL!$C$38, 0.0256, 0)</f>
        <v>15.5129</v>
      </c>
      <c r="G61" s="10">
        <f>15.2307 * CHOOSE(CONTROL!$C$15, $E$9, 100%, $G$9) + CHOOSE(CONTROL!$C$38, 0.0347, 0)</f>
        <v>15.265400000000001</v>
      </c>
      <c r="H61" s="10">
        <f>15.2307 * CHOOSE(CONTROL!$C$15, $E$9, 100%, $G$9) + CHOOSE(CONTROL!$C$38, 0.0347, 0)</f>
        <v>15.265400000000001</v>
      </c>
      <c r="I61" s="10">
        <f>15.2322 * CHOOSE(CONTROL!$C$15, $E$9, 100%, $G$9) + CHOOSE(CONTROL!$C$38, 0.0347, 0)</f>
        <v>15.266900000000001</v>
      </c>
      <c r="J61" s="29">
        <f>81.6822</f>
        <v>81.682199999999995</v>
      </c>
    </row>
    <row r="62" spans="1:10" ht="15" x14ac:dyDescent="0.2">
      <c r="A62" s="16">
        <v>43160</v>
      </c>
      <c r="B62" s="10">
        <f>15.1325 * CHOOSE(CONTROL!$C$15, $E$9, 100%, $G$9) + CHOOSE(CONTROL!$C$38, 0.0256, 0)</f>
        <v>15.158100000000001</v>
      </c>
      <c r="C62" s="10">
        <f>14.7212 * CHOOSE(CONTROL!$C$15, $E$9, 100%, $G$9) + CHOOSE(CONTROL!$C$38, 0.0347, 0)</f>
        <v>14.7559</v>
      </c>
      <c r="D62" s="10">
        <f>14.7134 * CHOOSE(CONTROL!$C$15, $E$9, 100%, $G$9) + CHOOSE(CONTROL!$C$38, 0.0347, 0)</f>
        <v>14.748100000000001</v>
      </c>
      <c r="E62" s="28">
        <f>14.9763 * CHOOSE(CONTROL!$C$15, $E$9, 100%, $G$9) + CHOOSE(CONTROL!$C$38, 0.0347, 0)</f>
        <v>15.011000000000001</v>
      </c>
      <c r="F62" s="27">
        <f>14.9763 * CHOOSE(CONTROL!$C$15, $E$9, 100%, $G$9) + CHOOSE(CONTROL!$C$38, 0.0256, 0)</f>
        <v>15.001900000000001</v>
      </c>
      <c r="G62" s="10">
        <f>14.7196 * CHOOSE(CONTROL!$C$15, $E$9, 100%, $G$9) + CHOOSE(CONTROL!$C$38, 0.0347, 0)</f>
        <v>14.754300000000001</v>
      </c>
      <c r="H62" s="10">
        <f>14.7196 * CHOOSE(CONTROL!$C$15, $E$9, 100%, $G$9) + CHOOSE(CONTROL!$C$38, 0.0347, 0)</f>
        <v>14.754300000000001</v>
      </c>
      <c r="I62" s="10">
        <f>14.7212 * CHOOSE(CONTROL!$C$15, $E$9, 100%, $G$9) + CHOOSE(CONTROL!$C$38, 0.0347, 0)</f>
        <v>14.7559</v>
      </c>
      <c r="J62" s="29">
        <f>85.9874</f>
        <v>85.987399999999994</v>
      </c>
    </row>
    <row r="63" spans="1:10" ht="15" x14ac:dyDescent="0.2">
      <c r="A63" s="16">
        <v>43191</v>
      </c>
      <c r="B63" s="10">
        <f>14.6374 * CHOOSE(CONTROL!$C$15, $E$9, 100%, $G$9) + CHOOSE(CONTROL!$C$38, 0.0256, 0)</f>
        <v>14.663</v>
      </c>
      <c r="C63" s="10">
        <f>14.226 * CHOOSE(CONTROL!$C$15, $E$9, 100%, $G$9) + CHOOSE(CONTROL!$C$38, 0.0347, 0)</f>
        <v>14.260700000000002</v>
      </c>
      <c r="D63" s="10">
        <f>14.2182 * CHOOSE(CONTROL!$C$15, $E$9, 100%, $G$9) + CHOOSE(CONTROL!$C$38, 0.0347, 0)</f>
        <v>14.2529</v>
      </c>
      <c r="E63" s="28">
        <f>14.4811 * CHOOSE(CONTROL!$C$15, $E$9, 100%, $G$9) + CHOOSE(CONTROL!$C$38, 0.0347, 0)</f>
        <v>14.5158</v>
      </c>
      <c r="F63" s="27">
        <f>14.4811 * CHOOSE(CONTROL!$C$15, $E$9, 100%, $G$9) + CHOOSE(CONTROL!$C$38, 0.0256, 0)</f>
        <v>14.5067</v>
      </c>
      <c r="G63" s="10">
        <f>14.2244 * CHOOSE(CONTROL!$C$15, $E$9, 100%, $G$9) + CHOOSE(CONTROL!$C$38, 0.0347, 0)</f>
        <v>14.2591</v>
      </c>
      <c r="H63" s="10">
        <f>14.2244 * CHOOSE(CONTROL!$C$15, $E$9, 100%, $G$9) + CHOOSE(CONTROL!$C$38, 0.0347, 0)</f>
        <v>14.2591</v>
      </c>
      <c r="I63" s="10">
        <f>14.226 * CHOOSE(CONTROL!$C$15, $E$9, 100%, $G$9) + CHOOSE(CONTROL!$C$38, 0.0347, 0)</f>
        <v>14.260700000000002</v>
      </c>
      <c r="J63" s="29">
        <f>91.5701</f>
        <v>91.570099999999996</v>
      </c>
    </row>
    <row r="64" spans="1:10" ht="15" x14ac:dyDescent="0.2">
      <c r="A64" s="16">
        <v>43221</v>
      </c>
      <c r="B64" s="10">
        <f>14.1212 * CHOOSE(CONTROL!$C$15, $E$9, 100%, $G$9) + CHOOSE(CONTROL!$C$38, 0.0256, 0)</f>
        <v>14.146800000000001</v>
      </c>
      <c r="C64" s="10">
        <f>13.7099 * CHOOSE(CONTROL!$C$15, $E$9, 100%, $G$9) + CHOOSE(CONTROL!$C$38, 0.0347, 0)</f>
        <v>13.7446</v>
      </c>
      <c r="D64" s="10">
        <f>13.7021 * CHOOSE(CONTROL!$C$15, $E$9, 100%, $G$9) + CHOOSE(CONTROL!$C$38, 0.0347, 0)</f>
        <v>13.736800000000001</v>
      </c>
      <c r="E64" s="28">
        <f>13.965 * CHOOSE(CONTROL!$C$15, $E$9, 100%, $G$9) + CHOOSE(CONTROL!$C$38, 0.0347, 0)</f>
        <v>13.999700000000001</v>
      </c>
      <c r="F64" s="27">
        <f>13.965 * CHOOSE(CONTROL!$C$15, $E$9, 100%, $G$9) + CHOOSE(CONTROL!$C$38, 0.0256, 0)</f>
        <v>13.990600000000001</v>
      </c>
      <c r="G64" s="10">
        <f>13.7083 * CHOOSE(CONTROL!$C$15, $E$9, 100%, $G$9) + CHOOSE(CONTROL!$C$38, 0.0347, 0)</f>
        <v>13.743</v>
      </c>
      <c r="H64" s="10">
        <f>13.7083 * CHOOSE(CONTROL!$C$15, $E$9, 100%, $G$9) + CHOOSE(CONTROL!$C$38, 0.0347, 0)</f>
        <v>13.743</v>
      </c>
      <c r="I64" s="10">
        <f>13.7099 * CHOOSE(CONTROL!$C$15, $E$9, 100%, $G$9) + CHOOSE(CONTROL!$C$38, 0.0347, 0)</f>
        <v>13.7446</v>
      </c>
      <c r="J64" s="29">
        <f>94.643</f>
        <v>94.643000000000001</v>
      </c>
    </row>
    <row r="65" spans="1:10" ht="15" x14ac:dyDescent="0.2">
      <c r="A65" s="16">
        <v>43252</v>
      </c>
      <c r="B65" s="10">
        <f>13.7594 * CHOOSE(CONTROL!$C$15, $E$9, 100%, $G$9) + CHOOSE(CONTROL!$C$38, 0.0256, 0)</f>
        <v>13.785</v>
      </c>
      <c r="C65" s="10">
        <f>13.3481 * CHOOSE(CONTROL!$C$15, $E$9, 100%, $G$9) + CHOOSE(CONTROL!$C$38, 0.0347, 0)</f>
        <v>13.382800000000001</v>
      </c>
      <c r="D65" s="10">
        <f>13.3402 * CHOOSE(CONTROL!$C$15, $E$9, 100%, $G$9) + CHOOSE(CONTROL!$C$38, 0.0347, 0)</f>
        <v>13.3749</v>
      </c>
      <c r="E65" s="28">
        <f>13.6032 * CHOOSE(CONTROL!$C$15, $E$9, 100%, $G$9) + CHOOSE(CONTROL!$C$38, 0.0347, 0)</f>
        <v>13.6379</v>
      </c>
      <c r="F65" s="27">
        <f>13.6032 * CHOOSE(CONTROL!$C$15, $E$9, 100%, $G$9) + CHOOSE(CONTROL!$C$38, 0.0256, 0)</f>
        <v>13.6288</v>
      </c>
      <c r="G65" s="10">
        <f>13.3465 * CHOOSE(CONTROL!$C$15, $E$9, 100%, $G$9) + CHOOSE(CONTROL!$C$38, 0.0347, 0)</f>
        <v>13.381200000000002</v>
      </c>
      <c r="H65" s="10">
        <f>13.3465 * CHOOSE(CONTROL!$C$15, $E$9, 100%, $G$9) + CHOOSE(CONTROL!$C$38, 0.0347, 0)</f>
        <v>13.381200000000002</v>
      </c>
      <c r="I65" s="10">
        <f>13.3481 * CHOOSE(CONTROL!$C$15, $E$9, 100%, $G$9) + CHOOSE(CONTROL!$C$38, 0.0347, 0)</f>
        <v>13.382800000000001</v>
      </c>
      <c r="J65" s="29">
        <f>96.0067</f>
        <v>96.006699999999995</v>
      </c>
    </row>
    <row r="66" spans="1:10" ht="15" x14ac:dyDescent="0.2">
      <c r="A66" s="16">
        <v>43282</v>
      </c>
      <c r="B66" s="10">
        <f>13.5529 * CHOOSE(CONTROL!$C$15, $E$9, 100%, $G$9) + CHOOSE(CONTROL!$C$38, 0.0256, 0)</f>
        <v>13.5785</v>
      </c>
      <c r="C66" s="10">
        <f>13.1416 * CHOOSE(CONTROL!$C$15, $E$9, 100%, $G$9) + CHOOSE(CONTROL!$C$38, 0.0347, 0)</f>
        <v>13.176300000000001</v>
      </c>
      <c r="D66" s="10">
        <f>13.1338 * CHOOSE(CONTROL!$C$15, $E$9, 100%, $G$9) + CHOOSE(CONTROL!$C$38, 0.0347, 0)</f>
        <v>13.168500000000002</v>
      </c>
      <c r="E66" s="28">
        <f>13.3967 * CHOOSE(CONTROL!$C$15, $E$9, 100%, $G$9) + CHOOSE(CONTROL!$C$38, 0.0347, 0)</f>
        <v>13.4314</v>
      </c>
      <c r="F66" s="27">
        <f>13.3967 * CHOOSE(CONTROL!$C$15, $E$9, 100%, $G$9) + CHOOSE(CONTROL!$C$38, 0.0256, 0)</f>
        <v>13.4223</v>
      </c>
      <c r="G66" s="10">
        <f>13.14 * CHOOSE(CONTROL!$C$15, $E$9, 100%, $G$9) + CHOOSE(CONTROL!$C$38, 0.0347, 0)</f>
        <v>13.174700000000001</v>
      </c>
      <c r="H66" s="10">
        <f>13.14 * CHOOSE(CONTROL!$C$15, $E$9, 100%, $G$9) + CHOOSE(CONTROL!$C$38, 0.0347, 0)</f>
        <v>13.174700000000001</v>
      </c>
      <c r="I66" s="10">
        <f>13.1416 * CHOOSE(CONTROL!$C$15, $E$9, 100%, $G$9) + CHOOSE(CONTROL!$C$38, 0.0347, 0)</f>
        <v>13.176300000000001</v>
      </c>
      <c r="J66" s="29">
        <f>95.5577</f>
        <v>95.557699999999997</v>
      </c>
    </row>
    <row r="67" spans="1:10" ht="15" x14ac:dyDescent="0.2">
      <c r="A67" s="16">
        <v>43313</v>
      </c>
      <c r="B67" s="10">
        <f>13.6548 * CHOOSE(CONTROL!$C$15, $E$9, 100%, $G$9) + CHOOSE(CONTROL!$C$38, 0.0256, 0)</f>
        <v>13.680400000000001</v>
      </c>
      <c r="C67" s="10">
        <f>13.2435 * CHOOSE(CONTROL!$C$15, $E$9, 100%, $G$9) + CHOOSE(CONTROL!$C$38, 0.0347, 0)</f>
        <v>13.2782</v>
      </c>
      <c r="D67" s="10">
        <f>13.2357 * CHOOSE(CONTROL!$C$15, $E$9, 100%, $G$9) + CHOOSE(CONTROL!$C$38, 0.0347, 0)</f>
        <v>13.2704</v>
      </c>
      <c r="E67" s="28">
        <f>13.4986 * CHOOSE(CONTROL!$C$15, $E$9, 100%, $G$9) + CHOOSE(CONTROL!$C$38, 0.0347, 0)</f>
        <v>13.533300000000001</v>
      </c>
      <c r="F67" s="27">
        <f>13.4986 * CHOOSE(CONTROL!$C$15, $E$9, 100%, $G$9) + CHOOSE(CONTROL!$C$38, 0.0256, 0)</f>
        <v>13.5242</v>
      </c>
      <c r="G67" s="10">
        <f>13.2419 * CHOOSE(CONTROL!$C$15, $E$9, 100%, $G$9) + CHOOSE(CONTROL!$C$38, 0.0347, 0)</f>
        <v>13.2766</v>
      </c>
      <c r="H67" s="10">
        <f>13.2419 * CHOOSE(CONTROL!$C$15, $E$9, 100%, $G$9) + CHOOSE(CONTROL!$C$38, 0.0347, 0)</f>
        <v>13.2766</v>
      </c>
      <c r="I67" s="10">
        <f>13.2435 * CHOOSE(CONTROL!$C$15, $E$9, 100%, $G$9) + CHOOSE(CONTROL!$C$38, 0.0347, 0)</f>
        <v>13.2782</v>
      </c>
      <c r="J67" s="29">
        <f>93.3332</f>
        <v>93.333200000000005</v>
      </c>
    </row>
    <row r="68" spans="1:10" ht="15" x14ac:dyDescent="0.2">
      <c r="A68" s="16">
        <v>43344</v>
      </c>
      <c r="B68" s="10">
        <f>13.9316 * CHOOSE(CONTROL!$C$15, $E$9, 100%, $G$9) + CHOOSE(CONTROL!$C$38, 0.0256, 0)</f>
        <v>13.9572</v>
      </c>
      <c r="C68" s="10">
        <f>13.5203 * CHOOSE(CONTROL!$C$15, $E$9, 100%, $G$9) + CHOOSE(CONTROL!$C$38, 0.0347, 0)</f>
        <v>13.555000000000001</v>
      </c>
      <c r="D68" s="10">
        <f>13.5125 * CHOOSE(CONTROL!$C$15, $E$9, 100%, $G$9) + CHOOSE(CONTROL!$C$38, 0.0347, 0)</f>
        <v>13.5472</v>
      </c>
      <c r="E68" s="28">
        <f>13.7754 * CHOOSE(CONTROL!$C$15, $E$9, 100%, $G$9) + CHOOSE(CONTROL!$C$38, 0.0347, 0)</f>
        <v>13.8101</v>
      </c>
      <c r="F68" s="27">
        <f>13.7754 * CHOOSE(CONTROL!$C$15, $E$9, 100%, $G$9) + CHOOSE(CONTROL!$C$38, 0.0256, 0)</f>
        <v>13.801</v>
      </c>
      <c r="G68" s="10">
        <f>13.5187 * CHOOSE(CONTROL!$C$15, $E$9, 100%, $G$9) + CHOOSE(CONTROL!$C$38, 0.0347, 0)</f>
        <v>13.553400000000002</v>
      </c>
      <c r="H68" s="10">
        <f>13.5187 * CHOOSE(CONTROL!$C$15, $E$9, 100%, $G$9) + CHOOSE(CONTROL!$C$38, 0.0347, 0)</f>
        <v>13.553400000000002</v>
      </c>
      <c r="I68" s="10">
        <f>13.5203 * CHOOSE(CONTROL!$C$15, $E$9, 100%, $G$9) + CHOOSE(CONTROL!$C$38, 0.0347, 0)</f>
        <v>13.555000000000001</v>
      </c>
      <c r="J68" s="29">
        <f>90.2309</f>
        <v>90.230900000000005</v>
      </c>
    </row>
    <row r="69" spans="1:10" ht="15" x14ac:dyDescent="0.2">
      <c r="A69" s="16">
        <v>43374</v>
      </c>
      <c r="B69" s="10">
        <f>14.1634 * CHOOSE(CONTROL!$C$15, $E$9, 100%, $G$9) + CHOOSE(CONTROL!$C$38, 0.0256, 0)</f>
        <v>14.189</v>
      </c>
      <c r="C69" s="10">
        <f>13.7521 * CHOOSE(CONTROL!$C$15, $E$9, 100%, $G$9) + CHOOSE(CONTROL!$C$38, 0.0347, 0)</f>
        <v>13.786800000000001</v>
      </c>
      <c r="D69" s="10">
        <f>13.7443 * CHOOSE(CONTROL!$C$15, $E$9, 100%, $G$9) + CHOOSE(CONTROL!$C$38, 0.0347, 0)</f>
        <v>13.779000000000002</v>
      </c>
      <c r="E69" s="28">
        <f>14.0072 * CHOOSE(CONTROL!$C$15, $E$9, 100%, $G$9) + CHOOSE(CONTROL!$C$38, 0.0347, 0)</f>
        <v>14.0419</v>
      </c>
      <c r="F69" s="27">
        <f>14.0072 * CHOOSE(CONTROL!$C$15, $E$9, 100%, $G$9) + CHOOSE(CONTROL!$C$38, 0.0256, 0)</f>
        <v>14.0328</v>
      </c>
      <c r="G69" s="10">
        <f>13.7505 * CHOOSE(CONTROL!$C$15, $E$9, 100%, $G$9) + CHOOSE(CONTROL!$C$38, 0.0347, 0)</f>
        <v>13.785200000000001</v>
      </c>
      <c r="H69" s="10">
        <f>13.7505 * CHOOSE(CONTROL!$C$15, $E$9, 100%, $G$9) + CHOOSE(CONTROL!$C$38, 0.0347, 0)</f>
        <v>13.785200000000001</v>
      </c>
      <c r="I69" s="10">
        <f>13.7521 * CHOOSE(CONTROL!$C$15, $E$9, 100%, $G$9) + CHOOSE(CONTROL!$C$38, 0.0347, 0)</f>
        <v>13.786800000000001</v>
      </c>
      <c r="J69" s="29">
        <f>87.1106</f>
        <v>87.110600000000005</v>
      </c>
    </row>
    <row r="70" spans="1:10" ht="15" x14ac:dyDescent="0.2">
      <c r="A70" s="16">
        <v>43405</v>
      </c>
      <c r="B70" s="10">
        <f>14.3569 * CHOOSE(CONTROL!$C$15, $E$9, 100%, $G$9) + CHOOSE(CONTROL!$C$38, 0.0256, 0)</f>
        <v>14.3825</v>
      </c>
      <c r="C70" s="10">
        <f>13.9455 * CHOOSE(CONTROL!$C$15, $E$9, 100%, $G$9) + CHOOSE(CONTROL!$C$38, 0.0347, 0)</f>
        <v>13.9802</v>
      </c>
      <c r="D70" s="10">
        <f>13.9377 * CHOOSE(CONTROL!$C$15, $E$9, 100%, $G$9) + CHOOSE(CONTROL!$C$38, 0.0347, 0)</f>
        <v>13.9724</v>
      </c>
      <c r="E70" s="28">
        <f>14.2006 * CHOOSE(CONTROL!$C$15, $E$9, 100%, $G$9) + CHOOSE(CONTROL!$C$38, 0.0347, 0)</f>
        <v>14.235300000000001</v>
      </c>
      <c r="F70" s="27">
        <f>14.2006 * CHOOSE(CONTROL!$C$15, $E$9, 100%, $G$9) + CHOOSE(CONTROL!$C$38, 0.0256, 0)</f>
        <v>14.2262</v>
      </c>
      <c r="G70" s="10">
        <f>13.944 * CHOOSE(CONTROL!$C$15, $E$9, 100%, $G$9) + CHOOSE(CONTROL!$C$38, 0.0347, 0)</f>
        <v>13.978700000000002</v>
      </c>
      <c r="H70" s="10">
        <f>13.944 * CHOOSE(CONTROL!$C$15, $E$9, 100%, $G$9) + CHOOSE(CONTROL!$C$38, 0.0347, 0)</f>
        <v>13.978700000000002</v>
      </c>
      <c r="I70" s="10">
        <f>13.9455 * CHOOSE(CONTROL!$C$15, $E$9, 100%, $G$9) + CHOOSE(CONTROL!$C$38, 0.0347, 0)</f>
        <v>13.9802</v>
      </c>
      <c r="J70" s="29">
        <f>86.49</f>
        <v>86.49</v>
      </c>
    </row>
    <row r="71" spans="1:10" ht="15" x14ac:dyDescent="0.2">
      <c r="A71" s="16">
        <v>43435</v>
      </c>
      <c r="B71" s="10">
        <f>14.953 * CHOOSE(CONTROL!$C$15, $E$9, 100%, $G$9) + CHOOSE(CONTROL!$C$38, 0.0256, 0)</f>
        <v>14.9786</v>
      </c>
      <c r="C71" s="10">
        <f>14.5416 * CHOOSE(CONTROL!$C$15, $E$9, 100%, $G$9) + CHOOSE(CONTROL!$C$38, 0.0347, 0)</f>
        <v>14.576300000000002</v>
      </c>
      <c r="D71" s="10">
        <f>14.5338 * CHOOSE(CONTROL!$C$15, $E$9, 100%, $G$9) + CHOOSE(CONTROL!$C$38, 0.0347, 0)</f>
        <v>14.5685</v>
      </c>
      <c r="E71" s="28">
        <f>14.7967 * CHOOSE(CONTROL!$C$15, $E$9, 100%, $G$9) + CHOOSE(CONTROL!$C$38, 0.0347, 0)</f>
        <v>14.8314</v>
      </c>
      <c r="F71" s="27">
        <f>14.7967 * CHOOSE(CONTROL!$C$15, $E$9, 100%, $G$9) + CHOOSE(CONTROL!$C$38, 0.0256, 0)</f>
        <v>14.8223</v>
      </c>
      <c r="G71" s="10">
        <f>14.54 * CHOOSE(CONTROL!$C$15, $E$9, 100%, $G$9) + CHOOSE(CONTROL!$C$38, 0.0347, 0)</f>
        <v>14.5747</v>
      </c>
      <c r="H71" s="10">
        <f>14.54 * CHOOSE(CONTROL!$C$15, $E$9, 100%, $G$9) + CHOOSE(CONTROL!$C$38, 0.0347, 0)</f>
        <v>14.5747</v>
      </c>
      <c r="I71" s="10">
        <f>14.5416 * CHOOSE(CONTROL!$C$15, $E$9, 100%, $G$9) + CHOOSE(CONTROL!$C$38, 0.0347, 0)</f>
        <v>14.576300000000002</v>
      </c>
      <c r="J71" s="29">
        <f>83.9234</f>
        <v>83.923400000000001</v>
      </c>
    </row>
    <row r="72" spans="1:10" ht="15" x14ac:dyDescent="0.2">
      <c r="A72" s="16">
        <v>43466</v>
      </c>
      <c r="B72" s="10">
        <f>17.0237 * CHOOSE(CONTROL!$C$15, $E$9, 100%, $G$9) + CHOOSE(CONTROL!$C$38, 0.0256, 0)</f>
        <v>17.049300000000002</v>
      </c>
      <c r="C72" s="10">
        <f>16.1474 * CHOOSE(CONTROL!$C$15, $E$9, 100%, $G$9) + CHOOSE(CONTROL!$C$38, 0.0347, 0)</f>
        <v>16.182100000000002</v>
      </c>
      <c r="D72" s="10">
        <f>16.1396 * CHOOSE(CONTROL!$C$15, $E$9, 100%, $G$9) + CHOOSE(CONTROL!$C$38, 0.0347, 0)</f>
        <v>16.174300000000002</v>
      </c>
      <c r="E72" s="28">
        <f>16.8675 * CHOOSE(CONTROL!$C$15, $E$9, 100%, $G$9) + CHOOSE(CONTROL!$C$38, 0.0347, 0)</f>
        <v>16.902200000000001</v>
      </c>
      <c r="F72" s="27">
        <f>16.8675 * CHOOSE(CONTROL!$C$15, $E$9, 100%, $G$9) + CHOOSE(CONTROL!$C$38, 0.0256, 0)</f>
        <v>16.8931</v>
      </c>
      <c r="G72" s="10">
        <f>16.1459 * CHOOSE(CONTROL!$C$15, $E$9, 100%, $G$9) + CHOOSE(CONTROL!$C$38, 0.0347, 0)</f>
        <v>16.180600000000002</v>
      </c>
      <c r="H72" s="10">
        <f>16.1459 * CHOOSE(CONTROL!$C$15, $E$9, 100%, $G$9) + CHOOSE(CONTROL!$C$38, 0.0347, 0)</f>
        <v>16.180600000000002</v>
      </c>
      <c r="I72" s="10">
        <f>16.1474 * CHOOSE(CONTROL!$C$15, $E$9, 100%, $G$9) + CHOOSE(CONTROL!$C$38, 0.0347, 0)</f>
        <v>16.182100000000002</v>
      </c>
      <c r="J72" s="26">
        <f>93.2096</f>
        <v>93.209599999999995</v>
      </c>
    </row>
    <row r="73" spans="1:10" ht="15" x14ac:dyDescent="0.2">
      <c r="A73" s="16">
        <v>43497</v>
      </c>
      <c r="B73" s="10">
        <f>17.2445 * CHOOSE(CONTROL!$C$15, $E$9, 100%, $G$9) + CHOOSE(CONTROL!$C$38, 0.0256, 0)</f>
        <v>17.270099999999999</v>
      </c>
      <c r="C73" s="10">
        <f>16.3682 * CHOOSE(CONTROL!$C$15, $E$9, 100%, $G$9) + CHOOSE(CONTROL!$C$38, 0.0347, 0)</f>
        <v>16.402900000000002</v>
      </c>
      <c r="D73" s="10">
        <f>16.3604 * CHOOSE(CONTROL!$C$15, $E$9, 100%, $G$9) + CHOOSE(CONTROL!$C$38, 0.0347, 0)</f>
        <v>16.395099999999999</v>
      </c>
      <c r="E73" s="28">
        <f>17.0882 * CHOOSE(CONTROL!$C$15, $E$9, 100%, $G$9) + CHOOSE(CONTROL!$C$38, 0.0347, 0)</f>
        <v>17.122900000000001</v>
      </c>
      <c r="F73" s="27">
        <f>17.0882 * CHOOSE(CONTROL!$C$15, $E$9, 100%, $G$9) + CHOOSE(CONTROL!$C$38, 0.0256, 0)</f>
        <v>17.113800000000001</v>
      </c>
      <c r="G73" s="10">
        <f>16.3666 * CHOOSE(CONTROL!$C$15, $E$9, 100%, $G$9) + CHOOSE(CONTROL!$C$38, 0.0347, 0)</f>
        <v>16.401299999999999</v>
      </c>
      <c r="H73" s="10">
        <f>16.3666 * CHOOSE(CONTROL!$C$15, $E$9, 100%, $G$9) + CHOOSE(CONTROL!$C$38, 0.0347, 0)</f>
        <v>16.401299999999999</v>
      </c>
      <c r="I73" s="10">
        <f>16.3682 * CHOOSE(CONTROL!$C$15, $E$9, 100%, $G$9) + CHOOSE(CONTROL!$C$38, 0.0347, 0)</f>
        <v>16.402900000000002</v>
      </c>
      <c r="J73" s="26">
        <f>92.9505</f>
        <v>92.950500000000005</v>
      </c>
    </row>
    <row r="74" spans="1:10" ht="15" x14ac:dyDescent="0.2">
      <c r="A74" s="16">
        <v>43525</v>
      </c>
      <c r="B74" s="10">
        <f>16.7334 * CHOOSE(CONTROL!$C$15, $E$9, 100%, $G$9) + CHOOSE(CONTROL!$C$38, 0.0256, 0)</f>
        <v>16.759</v>
      </c>
      <c r="C74" s="10">
        <f>15.8572 * CHOOSE(CONTROL!$C$15, $E$9, 100%, $G$9) + CHOOSE(CONTROL!$C$38, 0.0347, 0)</f>
        <v>15.891900000000001</v>
      </c>
      <c r="D74" s="10">
        <f>15.8493 * CHOOSE(CONTROL!$C$15, $E$9, 100%, $G$9) + CHOOSE(CONTROL!$C$38, 0.0347, 0)</f>
        <v>15.884</v>
      </c>
      <c r="E74" s="28">
        <f>16.5772 * CHOOSE(CONTROL!$C$15, $E$9, 100%, $G$9) + CHOOSE(CONTROL!$C$38, 0.0347, 0)</f>
        <v>16.611900000000002</v>
      </c>
      <c r="F74" s="27">
        <f>16.5772 * CHOOSE(CONTROL!$C$15, $E$9, 100%, $G$9) + CHOOSE(CONTROL!$C$38, 0.0256, 0)</f>
        <v>16.602800000000002</v>
      </c>
      <c r="G74" s="10">
        <f>15.8556 * CHOOSE(CONTROL!$C$15, $E$9, 100%, $G$9) + CHOOSE(CONTROL!$C$38, 0.0347, 0)</f>
        <v>15.890300000000002</v>
      </c>
      <c r="H74" s="10">
        <f>15.8556 * CHOOSE(CONTROL!$C$15, $E$9, 100%, $G$9) + CHOOSE(CONTROL!$C$38, 0.0347, 0)</f>
        <v>15.890300000000002</v>
      </c>
      <c r="I74" s="10">
        <f>15.8572 * CHOOSE(CONTROL!$C$15, $E$9, 100%, $G$9) + CHOOSE(CONTROL!$C$38, 0.0347, 0)</f>
        <v>15.891900000000001</v>
      </c>
      <c r="J74" s="26">
        <f>97.8496</f>
        <v>97.849599999999995</v>
      </c>
    </row>
    <row r="75" spans="1:10" ht="15" x14ac:dyDescent="0.2">
      <c r="A75" s="16">
        <v>43556</v>
      </c>
      <c r="B75" s="10">
        <f>16.2383 * CHOOSE(CONTROL!$C$15, $E$9, 100%, $G$9) + CHOOSE(CONTROL!$C$38, 0.0256, 0)</f>
        <v>16.2639</v>
      </c>
      <c r="C75" s="10">
        <f>15.362 * CHOOSE(CONTROL!$C$15, $E$9, 100%, $G$9) + CHOOSE(CONTROL!$C$38, 0.0347, 0)</f>
        <v>15.396700000000001</v>
      </c>
      <c r="D75" s="10">
        <f>15.3542 * CHOOSE(CONTROL!$C$15, $E$9, 100%, $G$9) + CHOOSE(CONTROL!$C$38, 0.0347, 0)</f>
        <v>15.388900000000001</v>
      </c>
      <c r="E75" s="28">
        <f>16.082 * CHOOSE(CONTROL!$C$15, $E$9, 100%, $G$9) + CHOOSE(CONTROL!$C$38, 0.0347, 0)</f>
        <v>16.116700000000002</v>
      </c>
      <c r="F75" s="27">
        <f>16.082 * CHOOSE(CONTROL!$C$15, $E$9, 100%, $G$9) + CHOOSE(CONTROL!$C$38, 0.0256, 0)</f>
        <v>16.107600000000001</v>
      </c>
      <c r="G75" s="10">
        <f>15.3604 * CHOOSE(CONTROL!$C$15, $E$9, 100%, $G$9) + CHOOSE(CONTROL!$C$38, 0.0347, 0)</f>
        <v>15.395100000000001</v>
      </c>
      <c r="H75" s="10">
        <f>15.3604 * CHOOSE(CONTROL!$C$15, $E$9, 100%, $G$9) + CHOOSE(CONTROL!$C$38, 0.0347, 0)</f>
        <v>15.395100000000001</v>
      </c>
      <c r="I75" s="10">
        <f>15.362 * CHOOSE(CONTROL!$C$15, $E$9, 100%, $G$9) + CHOOSE(CONTROL!$C$38, 0.0347, 0)</f>
        <v>15.396700000000001</v>
      </c>
      <c r="J75" s="26">
        <f>104.2024</f>
        <v>104.2024</v>
      </c>
    </row>
    <row r="76" spans="1:10" ht="15" x14ac:dyDescent="0.2">
      <c r="A76" s="16">
        <v>43586</v>
      </c>
      <c r="B76" s="10">
        <f>15.7221 * CHOOSE(CONTROL!$C$15, $E$9, 100%, $G$9) + CHOOSE(CONTROL!$C$38, 0.0256, 0)</f>
        <v>15.7477</v>
      </c>
      <c r="C76" s="10">
        <f>14.8459 * CHOOSE(CONTROL!$C$15, $E$9, 100%, $G$9) + CHOOSE(CONTROL!$C$38, 0.0347, 0)</f>
        <v>14.880600000000001</v>
      </c>
      <c r="D76" s="10">
        <f>14.838 * CHOOSE(CONTROL!$C$15, $E$9, 100%, $G$9) + CHOOSE(CONTROL!$C$38, 0.0347, 0)</f>
        <v>14.8727</v>
      </c>
      <c r="E76" s="28">
        <f>15.5659 * CHOOSE(CONTROL!$C$15, $E$9, 100%, $G$9) + CHOOSE(CONTROL!$C$38, 0.0347, 0)</f>
        <v>15.6006</v>
      </c>
      <c r="F76" s="27">
        <f>15.5659 * CHOOSE(CONTROL!$C$15, $E$9, 100%, $G$9) + CHOOSE(CONTROL!$C$38, 0.0256, 0)</f>
        <v>15.5915</v>
      </c>
      <c r="G76" s="10">
        <f>14.8443 * CHOOSE(CONTROL!$C$15, $E$9, 100%, $G$9) + CHOOSE(CONTROL!$C$38, 0.0347, 0)</f>
        <v>14.879000000000001</v>
      </c>
      <c r="H76" s="10">
        <f>14.8443 * CHOOSE(CONTROL!$C$15, $E$9, 100%, $G$9) + CHOOSE(CONTROL!$C$38, 0.0347, 0)</f>
        <v>14.879000000000001</v>
      </c>
      <c r="I76" s="10">
        <f>14.8459 * CHOOSE(CONTROL!$C$15, $E$9, 100%, $G$9) + CHOOSE(CONTROL!$C$38, 0.0347, 0)</f>
        <v>14.880600000000001</v>
      </c>
      <c r="J76" s="26">
        <f>107.6993</f>
        <v>107.69929999999999</v>
      </c>
    </row>
    <row r="77" spans="1:10" ht="15" x14ac:dyDescent="0.2">
      <c r="A77" s="16">
        <v>43617</v>
      </c>
      <c r="B77" s="10">
        <f>15.3603 * CHOOSE(CONTROL!$C$15, $E$9, 100%, $G$9) + CHOOSE(CONTROL!$C$38, 0.0256, 0)</f>
        <v>15.385900000000001</v>
      </c>
      <c r="C77" s="10">
        <f>14.484 * CHOOSE(CONTROL!$C$15, $E$9, 100%, $G$9) + CHOOSE(CONTROL!$C$38, 0.0347, 0)</f>
        <v>14.518700000000001</v>
      </c>
      <c r="D77" s="10">
        <f>14.4762 * CHOOSE(CONTROL!$C$15, $E$9, 100%, $G$9) + CHOOSE(CONTROL!$C$38, 0.0347, 0)</f>
        <v>14.510900000000001</v>
      </c>
      <c r="E77" s="28">
        <f>15.2041 * CHOOSE(CONTROL!$C$15, $E$9, 100%, $G$9) + CHOOSE(CONTROL!$C$38, 0.0347, 0)</f>
        <v>15.238800000000001</v>
      </c>
      <c r="F77" s="27">
        <f>15.2041 * CHOOSE(CONTROL!$C$15, $E$9, 100%, $G$9) + CHOOSE(CONTROL!$C$38, 0.0256, 0)</f>
        <v>15.229700000000001</v>
      </c>
      <c r="G77" s="10">
        <f>14.4825 * CHOOSE(CONTROL!$C$15, $E$9, 100%, $G$9) + CHOOSE(CONTROL!$C$38, 0.0347, 0)</f>
        <v>14.517200000000001</v>
      </c>
      <c r="H77" s="10">
        <f>14.4825 * CHOOSE(CONTROL!$C$15, $E$9, 100%, $G$9) + CHOOSE(CONTROL!$C$38, 0.0347, 0)</f>
        <v>14.517200000000001</v>
      </c>
      <c r="I77" s="10">
        <f>14.484 * CHOOSE(CONTROL!$C$15, $E$9, 100%, $G$9) + CHOOSE(CONTROL!$C$38, 0.0347, 0)</f>
        <v>14.518700000000001</v>
      </c>
      <c r="J77" s="26">
        <f>109.2511</f>
        <v>109.25109999999999</v>
      </c>
    </row>
    <row r="78" spans="1:10" ht="15" x14ac:dyDescent="0.2">
      <c r="A78" s="16">
        <v>43647</v>
      </c>
      <c r="B78" s="10">
        <f>15.1538 * CHOOSE(CONTROL!$C$15, $E$9, 100%, $G$9) + CHOOSE(CONTROL!$C$38, 0.0256, 0)</f>
        <v>15.179400000000001</v>
      </c>
      <c r="C78" s="10">
        <f>14.2775 * CHOOSE(CONTROL!$C$15, $E$9, 100%, $G$9) + CHOOSE(CONTROL!$C$38, 0.0347, 0)</f>
        <v>14.312200000000001</v>
      </c>
      <c r="D78" s="10">
        <f>14.2697 * CHOOSE(CONTROL!$C$15, $E$9, 100%, $G$9) + CHOOSE(CONTROL!$C$38, 0.0347, 0)</f>
        <v>14.304400000000001</v>
      </c>
      <c r="E78" s="28">
        <f>14.9976 * CHOOSE(CONTROL!$C$15, $E$9, 100%, $G$9) + CHOOSE(CONTROL!$C$38, 0.0347, 0)</f>
        <v>15.032300000000001</v>
      </c>
      <c r="F78" s="27">
        <f>14.9976 * CHOOSE(CONTROL!$C$15, $E$9, 100%, $G$9) + CHOOSE(CONTROL!$C$38, 0.0256, 0)</f>
        <v>15.023200000000001</v>
      </c>
      <c r="G78" s="10">
        <f>14.276 * CHOOSE(CONTROL!$C$15, $E$9, 100%, $G$9) + CHOOSE(CONTROL!$C$38, 0.0347, 0)</f>
        <v>14.310700000000001</v>
      </c>
      <c r="H78" s="10">
        <f>14.276 * CHOOSE(CONTROL!$C$15, $E$9, 100%, $G$9) + CHOOSE(CONTROL!$C$38, 0.0347, 0)</f>
        <v>14.310700000000001</v>
      </c>
      <c r="I78" s="10">
        <f>14.2775 * CHOOSE(CONTROL!$C$15, $E$9, 100%, $G$9) + CHOOSE(CONTROL!$C$38, 0.0347, 0)</f>
        <v>14.312200000000001</v>
      </c>
      <c r="J78" s="26">
        <f>108.7402</f>
        <v>108.7402</v>
      </c>
    </row>
    <row r="79" spans="1:10" ht="15" x14ac:dyDescent="0.2">
      <c r="A79" s="16">
        <v>43678</v>
      </c>
      <c r="B79" s="10">
        <f>15.2557 * CHOOSE(CONTROL!$C$15, $E$9, 100%, $G$9) + CHOOSE(CONTROL!$C$38, 0.0256, 0)</f>
        <v>15.2813</v>
      </c>
      <c r="C79" s="10">
        <f>14.3794 * CHOOSE(CONTROL!$C$15, $E$9, 100%, $G$9) + CHOOSE(CONTROL!$C$38, 0.0347, 0)</f>
        <v>14.414100000000001</v>
      </c>
      <c r="D79" s="10">
        <f>14.3716 * CHOOSE(CONTROL!$C$15, $E$9, 100%, $G$9) + CHOOSE(CONTROL!$C$38, 0.0347, 0)</f>
        <v>14.406300000000002</v>
      </c>
      <c r="E79" s="28">
        <f>15.0995 * CHOOSE(CONTROL!$C$15, $E$9, 100%, $G$9) + CHOOSE(CONTROL!$C$38, 0.0347, 0)</f>
        <v>15.134200000000002</v>
      </c>
      <c r="F79" s="27">
        <f>15.0995 * CHOOSE(CONTROL!$C$15, $E$9, 100%, $G$9) + CHOOSE(CONTROL!$C$38, 0.0256, 0)</f>
        <v>15.125100000000002</v>
      </c>
      <c r="G79" s="10">
        <f>14.3779 * CHOOSE(CONTROL!$C$15, $E$9, 100%, $G$9) + CHOOSE(CONTROL!$C$38, 0.0347, 0)</f>
        <v>14.412600000000001</v>
      </c>
      <c r="H79" s="10">
        <f>14.3779 * CHOOSE(CONTROL!$C$15, $E$9, 100%, $G$9) + CHOOSE(CONTROL!$C$38, 0.0347, 0)</f>
        <v>14.412600000000001</v>
      </c>
      <c r="I79" s="10">
        <f>14.3794 * CHOOSE(CONTROL!$C$15, $E$9, 100%, $G$9) + CHOOSE(CONTROL!$C$38, 0.0347, 0)</f>
        <v>14.414100000000001</v>
      </c>
      <c r="J79" s="26">
        <f>106.2087</f>
        <v>106.20869999999999</v>
      </c>
    </row>
    <row r="80" spans="1:10" ht="15" x14ac:dyDescent="0.2">
      <c r="A80" s="16">
        <v>43709</v>
      </c>
      <c r="B80" s="10">
        <f>15.5325 * CHOOSE(CONTROL!$C$15, $E$9, 100%, $G$9) + CHOOSE(CONTROL!$C$38, 0.0256, 0)</f>
        <v>15.558100000000001</v>
      </c>
      <c r="C80" s="10">
        <f>14.6562 * CHOOSE(CONTROL!$C$15, $E$9, 100%, $G$9) + CHOOSE(CONTROL!$C$38, 0.0347, 0)</f>
        <v>14.690900000000001</v>
      </c>
      <c r="D80" s="10">
        <f>14.6484 * CHOOSE(CONTROL!$C$15, $E$9, 100%, $G$9) + CHOOSE(CONTROL!$C$38, 0.0347, 0)</f>
        <v>14.683100000000001</v>
      </c>
      <c r="E80" s="28">
        <f>15.3763 * CHOOSE(CONTROL!$C$15, $E$9, 100%, $G$9) + CHOOSE(CONTROL!$C$38, 0.0347, 0)</f>
        <v>15.411000000000001</v>
      </c>
      <c r="F80" s="27">
        <f>15.3763 * CHOOSE(CONTROL!$C$15, $E$9, 100%, $G$9) + CHOOSE(CONTROL!$C$38, 0.0256, 0)</f>
        <v>15.401900000000001</v>
      </c>
      <c r="G80" s="10">
        <f>14.6547 * CHOOSE(CONTROL!$C$15, $E$9, 100%, $G$9) + CHOOSE(CONTROL!$C$38, 0.0347, 0)</f>
        <v>14.689400000000001</v>
      </c>
      <c r="H80" s="10">
        <f>14.6547 * CHOOSE(CONTROL!$C$15, $E$9, 100%, $G$9) + CHOOSE(CONTROL!$C$38, 0.0347, 0)</f>
        <v>14.689400000000001</v>
      </c>
      <c r="I80" s="10">
        <f>14.6562 * CHOOSE(CONTROL!$C$15, $E$9, 100%, $G$9) + CHOOSE(CONTROL!$C$38, 0.0347, 0)</f>
        <v>14.690900000000001</v>
      </c>
      <c r="J80" s="26">
        <f>102.6785</f>
        <v>102.6785</v>
      </c>
    </row>
    <row r="81" spans="1:10" ht="15" x14ac:dyDescent="0.2">
      <c r="A81" s="16">
        <v>43739</v>
      </c>
      <c r="B81" s="10">
        <f>15.7644 * CHOOSE(CONTROL!$C$15, $E$9, 100%, $G$9) + CHOOSE(CONTROL!$C$38, 0.0256, 0)</f>
        <v>15.790000000000001</v>
      </c>
      <c r="C81" s="10">
        <f>14.8881 * CHOOSE(CONTROL!$C$15, $E$9, 100%, $G$9) + CHOOSE(CONTROL!$C$38, 0.0347, 0)</f>
        <v>14.922800000000001</v>
      </c>
      <c r="D81" s="10">
        <f>14.8803 * CHOOSE(CONTROL!$C$15, $E$9, 100%, $G$9) + CHOOSE(CONTROL!$C$38, 0.0347, 0)</f>
        <v>14.915000000000001</v>
      </c>
      <c r="E81" s="28">
        <f>15.6081 * CHOOSE(CONTROL!$C$15, $E$9, 100%, $G$9) + CHOOSE(CONTROL!$C$38, 0.0347, 0)</f>
        <v>15.642800000000001</v>
      </c>
      <c r="F81" s="27">
        <f>15.6081 * CHOOSE(CONTROL!$C$15, $E$9, 100%, $G$9) + CHOOSE(CONTROL!$C$38, 0.0256, 0)</f>
        <v>15.633700000000001</v>
      </c>
      <c r="G81" s="10">
        <f>14.8865 * CHOOSE(CONTROL!$C$15, $E$9, 100%, $G$9) + CHOOSE(CONTROL!$C$38, 0.0347, 0)</f>
        <v>14.921200000000001</v>
      </c>
      <c r="H81" s="10">
        <f>14.8865 * CHOOSE(CONTROL!$C$15, $E$9, 100%, $G$9) + CHOOSE(CONTROL!$C$38, 0.0347, 0)</f>
        <v>14.921200000000001</v>
      </c>
      <c r="I81" s="10">
        <f>14.8881 * CHOOSE(CONTROL!$C$15, $E$9, 100%, $G$9) + CHOOSE(CONTROL!$C$38, 0.0347, 0)</f>
        <v>14.922800000000001</v>
      </c>
      <c r="J81" s="26">
        <f>99.1278</f>
        <v>99.127799999999993</v>
      </c>
    </row>
    <row r="82" spans="1:10" ht="15" x14ac:dyDescent="0.2">
      <c r="A82" s="16">
        <v>43770</v>
      </c>
      <c r="B82" s="10">
        <f>15.9578 * CHOOSE(CONTROL!$C$15, $E$9, 100%, $G$9) + CHOOSE(CONTROL!$C$38, 0.0256, 0)</f>
        <v>15.983400000000001</v>
      </c>
      <c r="C82" s="10">
        <f>15.0815 * CHOOSE(CONTROL!$C$15, $E$9, 100%, $G$9) + CHOOSE(CONTROL!$C$38, 0.0347, 0)</f>
        <v>15.116200000000001</v>
      </c>
      <c r="D82" s="10">
        <f>15.0737 * CHOOSE(CONTROL!$C$15, $E$9, 100%, $G$9) + CHOOSE(CONTROL!$C$38, 0.0347, 0)</f>
        <v>15.108400000000001</v>
      </c>
      <c r="E82" s="28">
        <f>15.8015 * CHOOSE(CONTROL!$C$15, $E$9, 100%, $G$9) + CHOOSE(CONTROL!$C$38, 0.0347, 0)</f>
        <v>15.836200000000002</v>
      </c>
      <c r="F82" s="27">
        <f>15.8015 * CHOOSE(CONTROL!$C$15, $E$9, 100%, $G$9) + CHOOSE(CONTROL!$C$38, 0.0256, 0)</f>
        <v>15.827100000000002</v>
      </c>
      <c r="G82" s="10">
        <f>15.0799 * CHOOSE(CONTROL!$C$15, $E$9, 100%, $G$9) + CHOOSE(CONTROL!$C$38, 0.0347, 0)</f>
        <v>15.114600000000001</v>
      </c>
      <c r="H82" s="10">
        <f>15.0799 * CHOOSE(CONTROL!$C$15, $E$9, 100%, $G$9) + CHOOSE(CONTROL!$C$38, 0.0347, 0)</f>
        <v>15.114600000000001</v>
      </c>
      <c r="I82" s="10">
        <f>15.0815 * CHOOSE(CONTROL!$C$15, $E$9, 100%, $G$9) + CHOOSE(CONTROL!$C$38, 0.0347, 0)</f>
        <v>15.116200000000001</v>
      </c>
      <c r="J82" s="26">
        <f>98.4215</f>
        <v>98.421499999999995</v>
      </c>
    </row>
    <row r="83" spans="1:10" ht="15" x14ac:dyDescent="0.2">
      <c r="A83" s="16">
        <v>43800</v>
      </c>
      <c r="B83" s="10">
        <f>16.5539 * CHOOSE(CONTROL!$C$15, $E$9, 100%, $G$9) + CHOOSE(CONTROL!$C$38, 0.0256, 0)</f>
        <v>16.579499999999999</v>
      </c>
      <c r="C83" s="10">
        <f>15.6776 * CHOOSE(CONTROL!$C$15, $E$9, 100%, $G$9) + CHOOSE(CONTROL!$C$38, 0.0347, 0)</f>
        <v>15.712300000000001</v>
      </c>
      <c r="D83" s="10">
        <f>15.6698 * CHOOSE(CONTROL!$C$15, $E$9, 100%, $G$9) + CHOOSE(CONTROL!$C$38, 0.0347, 0)</f>
        <v>15.704500000000001</v>
      </c>
      <c r="E83" s="28">
        <f>16.3976 * CHOOSE(CONTROL!$C$15, $E$9, 100%, $G$9) + CHOOSE(CONTROL!$C$38, 0.0347, 0)</f>
        <v>16.432300000000001</v>
      </c>
      <c r="F83" s="27">
        <f>16.3976 * CHOOSE(CONTROL!$C$15, $E$9, 100%, $G$9) + CHOOSE(CONTROL!$C$38, 0.0256, 0)</f>
        <v>16.423200000000001</v>
      </c>
      <c r="G83" s="10">
        <f>15.676 * CHOOSE(CONTROL!$C$15, $E$9, 100%, $G$9) + CHOOSE(CONTROL!$C$38, 0.0347, 0)</f>
        <v>15.710700000000001</v>
      </c>
      <c r="H83" s="10">
        <f>15.676 * CHOOSE(CONTROL!$C$15, $E$9, 100%, $G$9) + CHOOSE(CONTROL!$C$38, 0.0347, 0)</f>
        <v>15.710700000000001</v>
      </c>
      <c r="I83" s="10">
        <f>15.6776 * CHOOSE(CONTROL!$C$15, $E$9, 100%, $G$9) + CHOOSE(CONTROL!$C$38, 0.0347, 0)</f>
        <v>15.712300000000001</v>
      </c>
      <c r="J83" s="26">
        <f>95.5008</f>
        <v>95.500799999999998</v>
      </c>
    </row>
    <row r="84" spans="1:10" ht="15" x14ac:dyDescent="0.2">
      <c r="A84" s="16">
        <v>43831</v>
      </c>
      <c r="B84" s="10">
        <f>17.9366 * CHOOSE(CONTROL!$C$15, $E$9, 100%, $G$9) + CHOOSE(CONTROL!$C$38, 0.0256, 0)</f>
        <v>17.962199999999999</v>
      </c>
      <c r="C84" s="10">
        <f>16.8896 * CHOOSE(CONTROL!$C$15, $E$9, 100%, $G$9) + CHOOSE(CONTROL!$C$38, 0.0347, 0)</f>
        <v>16.924300000000002</v>
      </c>
      <c r="D84" s="10">
        <f>16.8818 * CHOOSE(CONTROL!$C$15, $E$9, 100%, $G$9) + CHOOSE(CONTROL!$C$38, 0.0347, 0)</f>
        <v>16.916499999999999</v>
      </c>
      <c r="E84" s="28">
        <f>17.7804 * CHOOSE(CONTROL!$C$15, $E$9, 100%, $G$9) + CHOOSE(CONTROL!$C$38, 0.0347, 0)</f>
        <v>17.815100000000001</v>
      </c>
      <c r="F84" s="27">
        <f>17.7804 * CHOOSE(CONTROL!$C$15, $E$9, 100%, $G$9) + CHOOSE(CONTROL!$C$38, 0.0256, 0)</f>
        <v>17.806000000000001</v>
      </c>
      <c r="G84" s="10">
        <f>16.888 * CHOOSE(CONTROL!$C$15, $E$9, 100%, $G$9) + CHOOSE(CONTROL!$C$38, 0.0347, 0)</f>
        <v>16.922700000000003</v>
      </c>
      <c r="H84" s="10">
        <f>16.888 * CHOOSE(CONTROL!$C$15, $E$9, 100%, $G$9) + CHOOSE(CONTROL!$C$38, 0.0347, 0)</f>
        <v>16.922700000000003</v>
      </c>
      <c r="I84" s="10">
        <f>16.8896 * CHOOSE(CONTROL!$C$15, $E$9, 100%, $G$9) + CHOOSE(CONTROL!$C$38, 0.0347, 0)</f>
        <v>16.924300000000002</v>
      </c>
      <c r="J84" s="26">
        <f>97.0458</f>
        <v>97.0458</v>
      </c>
    </row>
    <row r="85" spans="1:10" ht="15" x14ac:dyDescent="0.2">
      <c r="A85" s="16">
        <v>43862</v>
      </c>
      <c r="B85" s="10">
        <f>18.1574 * CHOOSE(CONTROL!$C$15, $E$9, 100%, $G$9) + CHOOSE(CONTROL!$C$38, 0.0256, 0)</f>
        <v>18.183</v>
      </c>
      <c r="C85" s="10">
        <f>17.1104 * CHOOSE(CONTROL!$C$15, $E$9, 100%, $G$9) + CHOOSE(CONTROL!$C$38, 0.0347, 0)</f>
        <v>17.145099999999999</v>
      </c>
      <c r="D85" s="10">
        <f>17.1026 * CHOOSE(CONTROL!$C$15, $E$9, 100%, $G$9) + CHOOSE(CONTROL!$C$38, 0.0347, 0)</f>
        <v>17.1373</v>
      </c>
      <c r="E85" s="28">
        <f>18.0011 * CHOOSE(CONTROL!$C$15, $E$9, 100%, $G$9) + CHOOSE(CONTROL!$C$38, 0.0347, 0)</f>
        <v>18.035800000000002</v>
      </c>
      <c r="F85" s="27">
        <f>18.0011 * CHOOSE(CONTROL!$C$15, $E$9, 100%, $G$9) + CHOOSE(CONTROL!$C$38, 0.0256, 0)</f>
        <v>18.026700000000002</v>
      </c>
      <c r="G85" s="10">
        <f>17.1088 * CHOOSE(CONTROL!$C$15, $E$9, 100%, $G$9) + CHOOSE(CONTROL!$C$38, 0.0347, 0)</f>
        <v>17.1435</v>
      </c>
      <c r="H85" s="10">
        <f>17.1088 * CHOOSE(CONTROL!$C$15, $E$9, 100%, $G$9) + CHOOSE(CONTROL!$C$38, 0.0347, 0)</f>
        <v>17.1435</v>
      </c>
      <c r="I85" s="10">
        <f>17.1104 * CHOOSE(CONTROL!$C$15, $E$9, 100%, $G$9) + CHOOSE(CONTROL!$C$38, 0.0347, 0)</f>
        <v>17.145099999999999</v>
      </c>
      <c r="J85" s="26">
        <f>96.7761</f>
        <v>96.7761</v>
      </c>
    </row>
    <row r="86" spans="1:10" ht="15" x14ac:dyDescent="0.2">
      <c r="A86" s="16">
        <v>43891</v>
      </c>
      <c r="B86" s="10">
        <f>17.6463 * CHOOSE(CONTROL!$C$15, $E$9, 100%, $G$9) + CHOOSE(CONTROL!$C$38, 0.0256, 0)</f>
        <v>17.671900000000001</v>
      </c>
      <c r="C86" s="10">
        <f>16.5993 * CHOOSE(CONTROL!$C$15, $E$9, 100%, $G$9) + CHOOSE(CONTROL!$C$38, 0.0347, 0)</f>
        <v>16.634</v>
      </c>
      <c r="D86" s="10">
        <f>16.5915 * CHOOSE(CONTROL!$C$15, $E$9, 100%, $G$9) + CHOOSE(CONTROL!$C$38, 0.0347, 0)</f>
        <v>16.626200000000001</v>
      </c>
      <c r="E86" s="28">
        <f>17.4901 * CHOOSE(CONTROL!$C$15, $E$9, 100%, $G$9) + CHOOSE(CONTROL!$C$38, 0.0347, 0)</f>
        <v>17.524800000000003</v>
      </c>
      <c r="F86" s="27">
        <f>17.4901 * CHOOSE(CONTROL!$C$15, $E$9, 100%, $G$9) + CHOOSE(CONTROL!$C$38, 0.0256, 0)</f>
        <v>17.515700000000002</v>
      </c>
      <c r="G86" s="10">
        <f>16.5978 * CHOOSE(CONTROL!$C$15, $E$9, 100%, $G$9) + CHOOSE(CONTROL!$C$38, 0.0347, 0)</f>
        <v>16.6325</v>
      </c>
      <c r="H86" s="10">
        <f>16.5978 * CHOOSE(CONTROL!$C$15, $E$9, 100%, $G$9) + CHOOSE(CONTROL!$C$38, 0.0347, 0)</f>
        <v>16.6325</v>
      </c>
      <c r="I86" s="10">
        <f>16.5993 * CHOOSE(CONTROL!$C$15, $E$9, 100%, $G$9) + CHOOSE(CONTROL!$C$38, 0.0347, 0)</f>
        <v>16.634</v>
      </c>
      <c r="J86" s="26">
        <f>101.8767</f>
        <v>101.8767</v>
      </c>
    </row>
    <row r="87" spans="1:10" ht="15" x14ac:dyDescent="0.2">
      <c r="A87" s="16">
        <v>43922</v>
      </c>
      <c r="B87" s="10">
        <f>17.1512 * CHOOSE(CONTROL!$C$15, $E$9, 100%, $G$9) + CHOOSE(CONTROL!$C$38, 0.0256, 0)</f>
        <v>17.1768</v>
      </c>
      <c r="C87" s="10">
        <f>16.1042 * CHOOSE(CONTROL!$C$15, $E$9, 100%, $G$9) + CHOOSE(CONTROL!$C$38, 0.0347, 0)</f>
        <v>16.1389</v>
      </c>
      <c r="D87" s="10">
        <f>16.0963 * CHOOSE(CONTROL!$C$15, $E$9, 100%, $G$9) + CHOOSE(CONTROL!$C$38, 0.0347, 0)</f>
        <v>16.131</v>
      </c>
      <c r="E87" s="28">
        <f>16.9949 * CHOOSE(CONTROL!$C$15, $E$9, 100%, $G$9) + CHOOSE(CONTROL!$C$38, 0.0347, 0)</f>
        <v>17.029600000000002</v>
      </c>
      <c r="F87" s="27">
        <f>16.9949 * CHOOSE(CONTROL!$C$15, $E$9, 100%, $G$9) + CHOOSE(CONTROL!$C$38, 0.0256, 0)</f>
        <v>17.020500000000002</v>
      </c>
      <c r="G87" s="10">
        <f>16.1026 * CHOOSE(CONTROL!$C$15, $E$9, 100%, $G$9) + CHOOSE(CONTROL!$C$38, 0.0347, 0)</f>
        <v>16.1373</v>
      </c>
      <c r="H87" s="10">
        <f>16.1026 * CHOOSE(CONTROL!$C$15, $E$9, 100%, $G$9) + CHOOSE(CONTROL!$C$38, 0.0347, 0)</f>
        <v>16.1373</v>
      </c>
      <c r="I87" s="10">
        <f>16.1042 * CHOOSE(CONTROL!$C$15, $E$9, 100%, $G$9) + CHOOSE(CONTROL!$C$38, 0.0347, 0)</f>
        <v>16.1389</v>
      </c>
      <c r="J87" s="26">
        <f>108.4911</f>
        <v>108.4911</v>
      </c>
    </row>
    <row r="88" spans="1:10" ht="15" x14ac:dyDescent="0.2">
      <c r="A88" s="16">
        <v>43952</v>
      </c>
      <c r="B88" s="10">
        <f>16.635 * CHOOSE(CONTROL!$C$15, $E$9, 100%, $G$9) + CHOOSE(CONTROL!$C$38, 0.0256, 0)</f>
        <v>16.660600000000002</v>
      </c>
      <c r="C88" s="10">
        <f>15.588 * CHOOSE(CONTROL!$C$15, $E$9, 100%, $G$9) + CHOOSE(CONTROL!$C$38, 0.0347, 0)</f>
        <v>15.6227</v>
      </c>
      <c r="D88" s="10">
        <f>15.5802 * CHOOSE(CONTROL!$C$15, $E$9, 100%, $G$9) + CHOOSE(CONTROL!$C$38, 0.0347, 0)</f>
        <v>15.6149</v>
      </c>
      <c r="E88" s="28">
        <f>16.4788 * CHOOSE(CONTROL!$C$15, $E$9, 100%, $G$9) + CHOOSE(CONTROL!$C$38, 0.0347, 0)</f>
        <v>16.513500000000001</v>
      </c>
      <c r="F88" s="27">
        <f>16.4788 * CHOOSE(CONTROL!$C$15, $E$9, 100%, $G$9) + CHOOSE(CONTROL!$C$38, 0.0256, 0)</f>
        <v>16.5044</v>
      </c>
      <c r="G88" s="10">
        <f>15.5865 * CHOOSE(CONTROL!$C$15, $E$9, 100%, $G$9) + CHOOSE(CONTROL!$C$38, 0.0347, 0)</f>
        <v>15.6212</v>
      </c>
      <c r="H88" s="10">
        <f>15.5865 * CHOOSE(CONTROL!$C$15, $E$9, 100%, $G$9) + CHOOSE(CONTROL!$C$38, 0.0347, 0)</f>
        <v>15.6212</v>
      </c>
      <c r="I88" s="10">
        <f>15.588 * CHOOSE(CONTROL!$C$15, $E$9, 100%, $G$9) + CHOOSE(CONTROL!$C$38, 0.0347, 0)</f>
        <v>15.6227</v>
      </c>
      <c r="J88" s="26">
        <f>112.1318</f>
        <v>112.1318</v>
      </c>
    </row>
    <row r="89" spans="1:10" ht="15" x14ac:dyDescent="0.2">
      <c r="A89" s="16">
        <v>43983</v>
      </c>
      <c r="B89" s="10">
        <f>16.2732 * CHOOSE(CONTROL!$C$15, $E$9, 100%, $G$9) + CHOOSE(CONTROL!$C$38, 0.0256, 0)</f>
        <v>16.2988</v>
      </c>
      <c r="C89" s="10">
        <f>15.2262 * CHOOSE(CONTROL!$C$15, $E$9, 100%, $G$9) + CHOOSE(CONTROL!$C$38, 0.0347, 0)</f>
        <v>15.260900000000001</v>
      </c>
      <c r="D89" s="10">
        <f>15.2184 * CHOOSE(CONTROL!$C$15, $E$9, 100%, $G$9) + CHOOSE(CONTROL!$C$38, 0.0347, 0)</f>
        <v>15.253100000000002</v>
      </c>
      <c r="E89" s="28">
        <f>16.117 * CHOOSE(CONTROL!$C$15, $E$9, 100%, $G$9) + CHOOSE(CONTROL!$C$38, 0.0347, 0)</f>
        <v>16.151700000000002</v>
      </c>
      <c r="F89" s="27">
        <f>16.117 * CHOOSE(CONTROL!$C$15, $E$9, 100%, $G$9) + CHOOSE(CONTROL!$C$38, 0.0256, 0)</f>
        <v>16.142600000000002</v>
      </c>
      <c r="G89" s="10">
        <f>15.2247 * CHOOSE(CONTROL!$C$15, $E$9, 100%, $G$9) + CHOOSE(CONTROL!$C$38, 0.0347, 0)</f>
        <v>15.259400000000001</v>
      </c>
      <c r="H89" s="10">
        <f>15.2247 * CHOOSE(CONTROL!$C$15, $E$9, 100%, $G$9) + CHOOSE(CONTROL!$C$38, 0.0347, 0)</f>
        <v>15.259400000000001</v>
      </c>
      <c r="I89" s="10">
        <f>15.2262 * CHOOSE(CONTROL!$C$15, $E$9, 100%, $G$9) + CHOOSE(CONTROL!$C$38, 0.0347, 0)</f>
        <v>15.260900000000001</v>
      </c>
      <c r="J89" s="26">
        <f>113.7475</f>
        <v>113.7475</v>
      </c>
    </row>
    <row r="90" spans="1:10" ht="15" x14ac:dyDescent="0.2">
      <c r="A90" s="16">
        <v>44013</v>
      </c>
      <c r="B90" s="10">
        <f>16.0667 * CHOOSE(CONTROL!$C$15, $E$9, 100%, $G$9) + CHOOSE(CONTROL!$C$38, 0.0256, 0)</f>
        <v>16.092300000000002</v>
      </c>
      <c r="C90" s="10">
        <f>15.0197 * CHOOSE(CONTROL!$C$15, $E$9, 100%, $G$9) + CHOOSE(CONTROL!$C$38, 0.0347, 0)</f>
        <v>15.054400000000001</v>
      </c>
      <c r="D90" s="10">
        <f>15.0119 * CHOOSE(CONTROL!$C$15, $E$9, 100%, $G$9) + CHOOSE(CONTROL!$C$38, 0.0347, 0)</f>
        <v>15.046600000000002</v>
      </c>
      <c r="E90" s="28">
        <f>15.9105 * CHOOSE(CONTROL!$C$15, $E$9, 100%, $G$9) + CHOOSE(CONTROL!$C$38, 0.0347, 0)</f>
        <v>15.945200000000002</v>
      </c>
      <c r="F90" s="27">
        <f>15.9105 * CHOOSE(CONTROL!$C$15, $E$9, 100%, $G$9) + CHOOSE(CONTROL!$C$38, 0.0256, 0)</f>
        <v>15.936100000000001</v>
      </c>
      <c r="G90" s="10">
        <f>15.0182 * CHOOSE(CONTROL!$C$15, $E$9, 100%, $G$9) + CHOOSE(CONTROL!$C$38, 0.0347, 0)</f>
        <v>15.052900000000001</v>
      </c>
      <c r="H90" s="10">
        <f>15.0182 * CHOOSE(CONTROL!$C$15, $E$9, 100%, $G$9) + CHOOSE(CONTROL!$C$38, 0.0347, 0)</f>
        <v>15.052900000000001</v>
      </c>
      <c r="I90" s="10">
        <f>15.0197 * CHOOSE(CONTROL!$C$15, $E$9, 100%, $G$9) + CHOOSE(CONTROL!$C$38, 0.0347, 0)</f>
        <v>15.054400000000001</v>
      </c>
      <c r="J90" s="26">
        <f>113.2155</f>
        <v>113.21550000000001</v>
      </c>
    </row>
    <row r="91" spans="1:10" ht="15" x14ac:dyDescent="0.2">
      <c r="A91" s="16">
        <v>44044</v>
      </c>
      <c r="B91" s="10">
        <f>16.1686 * CHOOSE(CONTROL!$C$15, $E$9, 100%, $G$9) + CHOOSE(CONTROL!$C$38, 0.0256, 0)</f>
        <v>16.194200000000002</v>
      </c>
      <c r="C91" s="10">
        <f>15.1216 * CHOOSE(CONTROL!$C$15, $E$9, 100%, $G$9) + CHOOSE(CONTROL!$C$38, 0.0347, 0)</f>
        <v>15.156300000000002</v>
      </c>
      <c r="D91" s="10">
        <f>15.1138 * CHOOSE(CONTROL!$C$15, $E$9, 100%, $G$9) + CHOOSE(CONTROL!$C$38, 0.0347, 0)</f>
        <v>15.1485</v>
      </c>
      <c r="E91" s="28">
        <f>16.0124 * CHOOSE(CONTROL!$C$15, $E$9, 100%, $G$9) + CHOOSE(CONTROL!$C$38, 0.0347, 0)</f>
        <v>16.0471</v>
      </c>
      <c r="F91" s="27">
        <f>16.0124 * CHOOSE(CONTROL!$C$15, $E$9, 100%, $G$9) + CHOOSE(CONTROL!$C$38, 0.0256, 0)</f>
        <v>16.038</v>
      </c>
      <c r="G91" s="10">
        <f>15.1201 * CHOOSE(CONTROL!$C$15, $E$9, 100%, $G$9) + CHOOSE(CONTROL!$C$38, 0.0347, 0)</f>
        <v>15.154800000000002</v>
      </c>
      <c r="H91" s="10">
        <f>15.1201 * CHOOSE(CONTROL!$C$15, $E$9, 100%, $G$9) + CHOOSE(CONTROL!$C$38, 0.0347, 0)</f>
        <v>15.154800000000002</v>
      </c>
      <c r="I91" s="10">
        <f>15.1216 * CHOOSE(CONTROL!$C$15, $E$9, 100%, $G$9) + CHOOSE(CONTROL!$C$38, 0.0347, 0)</f>
        <v>15.156300000000002</v>
      </c>
      <c r="J91" s="26">
        <f>110.5799</f>
        <v>110.57989999999999</v>
      </c>
    </row>
    <row r="92" spans="1:10" ht="15" x14ac:dyDescent="0.2">
      <c r="A92" s="16">
        <v>44075</v>
      </c>
      <c r="B92" s="10">
        <f>16.4454 * CHOOSE(CONTROL!$C$15, $E$9, 100%, $G$9) + CHOOSE(CONTROL!$C$38, 0.0256, 0)</f>
        <v>16.471</v>
      </c>
      <c r="C92" s="10">
        <f>15.3984 * CHOOSE(CONTROL!$C$15, $E$9, 100%, $G$9) + CHOOSE(CONTROL!$C$38, 0.0347, 0)</f>
        <v>15.433100000000001</v>
      </c>
      <c r="D92" s="10">
        <f>15.3906 * CHOOSE(CONTROL!$C$15, $E$9, 100%, $G$9) + CHOOSE(CONTROL!$C$38, 0.0347, 0)</f>
        <v>15.4253</v>
      </c>
      <c r="E92" s="28">
        <f>16.2892 * CHOOSE(CONTROL!$C$15, $E$9, 100%, $G$9) + CHOOSE(CONTROL!$C$38, 0.0347, 0)</f>
        <v>16.323900000000002</v>
      </c>
      <c r="F92" s="27">
        <f>16.2892 * CHOOSE(CONTROL!$C$15, $E$9, 100%, $G$9) + CHOOSE(CONTROL!$C$38, 0.0256, 0)</f>
        <v>16.314800000000002</v>
      </c>
      <c r="G92" s="10">
        <f>15.3969 * CHOOSE(CONTROL!$C$15, $E$9, 100%, $G$9) + CHOOSE(CONTROL!$C$38, 0.0347, 0)</f>
        <v>15.431600000000001</v>
      </c>
      <c r="H92" s="10">
        <f>15.3969 * CHOOSE(CONTROL!$C$15, $E$9, 100%, $G$9) + CHOOSE(CONTROL!$C$38, 0.0347, 0)</f>
        <v>15.431600000000001</v>
      </c>
      <c r="I92" s="10">
        <f>15.3984 * CHOOSE(CONTROL!$C$15, $E$9, 100%, $G$9) + CHOOSE(CONTROL!$C$38, 0.0347, 0)</f>
        <v>15.433100000000001</v>
      </c>
      <c r="J92" s="26">
        <f>106.9044</f>
        <v>106.9044</v>
      </c>
    </row>
    <row r="93" spans="1:10" ht="15" x14ac:dyDescent="0.2">
      <c r="A93" s="16">
        <v>44105</v>
      </c>
      <c r="B93" s="10">
        <f>16.6772 * CHOOSE(CONTROL!$C$15, $E$9, 100%, $G$9) + CHOOSE(CONTROL!$C$38, 0.0256, 0)</f>
        <v>16.7028</v>
      </c>
      <c r="C93" s="10">
        <f>15.6303 * CHOOSE(CONTROL!$C$15, $E$9, 100%, $G$9) + CHOOSE(CONTROL!$C$38, 0.0347, 0)</f>
        <v>15.665000000000001</v>
      </c>
      <c r="D93" s="10">
        <f>15.6224 * CHOOSE(CONTROL!$C$15, $E$9, 100%, $G$9) + CHOOSE(CONTROL!$C$38, 0.0347, 0)</f>
        <v>15.657100000000002</v>
      </c>
      <c r="E93" s="28">
        <f>16.521 * CHOOSE(CONTROL!$C$15, $E$9, 100%, $G$9) + CHOOSE(CONTROL!$C$38, 0.0347, 0)</f>
        <v>16.555700000000002</v>
      </c>
      <c r="F93" s="27">
        <f>16.521 * CHOOSE(CONTROL!$C$15, $E$9, 100%, $G$9) + CHOOSE(CONTROL!$C$38, 0.0256, 0)</f>
        <v>16.546600000000002</v>
      </c>
      <c r="G93" s="10">
        <f>15.6287 * CHOOSE(CONTROL!$C$15, $E$9, 100%, $G$9) + CHOOSE(CONTROL!$C$38, 0.0347, 0)</f>
        <v>15.663400000000001</v>
      </c>
      <c r="H93" s="10">
        <f>15.6287 * CHOOSE(CONTROL!$C$15, $E$9, 100%, $G$9) + CHOOSE(CONTROL!$C$38, 0.0347, 0)</f>
        <v>15.663400000000001</v>
      </c>
      <c r="I93" s="10">
        <f>15.6303 * CHOOSE(CONTROL!$C$15, $E$9, 100%, $G$9) + CHOOSE(CONTROL!$C$38, 0.0347, 0)</f>
        <v>15.665000000000001</v>
      </c>
      <c r="J93" s="26">
        <f>103.2076</f>
        <v>103.2076</v>
      </c>
    </row>
    <row r="94" spans="1:10" ht="15" x14ac:dyDescent="0.2">
      <c r="A94" s="16">
        <v>44136</v>
      </c>
      <c r="B94" s="10">
        <f>16.8707 * CHOOSE(CONTROL!$C$15, $E$9, 100%, $G$9) + CHOOSE(CONTROL!$C$38, 0.0256, 0)</f>
        <v>16.8963</v>
      </c>
      <c r="C94" s="10">
        <f>15.8237 * CHOOSE(CONTROL!$C$15, $E$9, 100%, $G$9) + CHOOSE(CONTROL!$C$38, 0.0347, 0)</f>
        <v>15.858400000000001</v>
      </c>
      <c r="D94" s="10">
        <f>15.8159 * CHOOSE(CONTROL!$C$15, $E$9, 100%, $G$9) + CHOOSE(CONTROL!$C$38, 0.0347, 0)</f>
        <v>15.8506</v>
      </c>
      <c r="E94" s="28">
        <f>16.7144 * CHOOSE(CONTROL!$C$15, $E$9, 100%, $G$9) + CHOOSE(CONTROL!$C$38, 0.0347, 0)</f>
        <v>16.749100000000002</v>
      </c>
      <c r="F94" s="27">
        <f>16.7144 * CHOOSE(CONTROL!$C$15, $E$9, 100%, $G$9) + CHOOSE(CONTROL!$C$38, 0.0256, 0)</f>
        <v>16.740000000000002</v>
      </c>
      <c r="G94" s="10">
        <f>15.8221 * CHOOSE(CONTROL!$C$15, $E$9, 100%, $G$9) + CHOOSE(CONTROL!$C$38, 0.0347, 0)</f>
        <v>15.856800000000002</v>
      </c>
      <c r="H94" s="10">
        <f>15.8221 * CHOOSE(CONTROL!$C$15, $E$9, 100%, $G$9) + CHOOSE(CONTROL!$C$38, 0.0347, 0)</f>
        <v>15.856800000000002</v>
      </c>
      <c r="I94" s="10">
        <f>15.8237 * CHOOSE(CONTROL!$C$15, $E$9, 100%, $G$9) + CHOOSE(CONTROL!$C$38, 0.0347, 0)</f>
        <v>15.858400000000001</v>
      </c>
      <c r="J94" s="26">
        <f>102.4722</f>
        <v>102.4722</v>
      </c>
    </row>
    <row r="95" spans="1:10" ht="15" x14ac:dyDescent="0.2">
      <c r="A95" s="16">
        <v>44166</v>
      </c>
      <c r="B95" s="10">
        <f>17.4668 * CHOOSE(CONTROL!$C$15, $E$9, 100%, $G$9) + CHOOSE(CONTROL!$C$38, 0.0256, 0)</f>
        <v>17.4924</v>
      </c>
      <c r="C95" s="10">
        <f>16.4198 * CHOOSE(CONTROL!$C$15, $E$9, 100%, $G$9) + CHOOSE(CONTROL!$C$38, 0.0347, 0)</f>
        <v>16.454499999999999</v>
      </c>
      <c r="D95" s="10">
        <f>16.412 * CHOOSE(CONTROL!$C$15, $E$9, 100%, $G$9) + CHOOSE(CONTROL!$C$38, 0.0347, 0)</f>
        <v>16.4467</v>
      </c>
      <c r="E95" s="28">
        <f>17.3105 * CHOOSE(CONTROL!$C$15, $E$9, 100%, $G$9) + CHOOSE(CONTROL!$C$38, 0.0347, 0)</f>
        <v>17.345200000000002</v>
      </c>
      <c r="F95" s="27">
        <f>17.3105 * CHOOSE(CONTROL!$C$15, $E$9, 100%, $G$9) + CHOOSE(CONTROL!$C$38, 0.0256, 0)</f>
        <v>17.336100000000002</v>
      </c>
      <c r="G95" s="10">
        <f>16.4182 * CHOOSE(CONTROL!$C$15, $E$9, 100%, $G$9) + CHOOSE(CONTROL!$C$38, 0.0347, 0)</f>
        <v>16.4529</v>
      </c>
      <c r="H95" s="10">
        <f>16.4182 * CHOOSE(CONTROL!$C$15, $E$9, 100%, $G$9) + CHOOSE(CONTROL!$C$38, 0.0347, 0)</f>
        <v>16.4529</v>
      </c>
      <c r="I95" s="10">
        <f>16.4198 * CHOOSE(CONTROL!$C$15, $E$9, 100%, $G$9) + CHOOSE(CONTROL!$C$38, 0.0347, 0)</f>
        <v>16.454499999999999</v>
      </c>
      <c r="J95" s="26">
        <f>99.4313</f>
        <v>99.431299999999993</v>
      </c>
    </row>
    <row r="96" spans="1:10" ht="15" x14ac:dyDescent="0.2">
      <c r="A96" s="16">
        <v>44197</v>
      </c>
      <c r="B96" s="10">
        <f>18.7166 * CHOOSE(CONTROL!$C$15, $E$9, 100%, $G$9) + CHOOSE(CONTROL!$C$38, 0.0256, 0)</f>
        <v>18.7422</v>
      </c>
      <c r="C96" s="10">
        <f>17.4396 * CHOOSE(CONTROL!$C$15, $E$9, 100%, $G$9) + CHOOSE(CONTROL!$C$38, 0.0347, 0)</f>
        <v>17.474299999999999</v>
      </c>
      <c r="D96" s="10">
        <f>17.4318 * CHOOSE(CONTROL!$C$15, $E$9, 100%, $G$9) + CHOOSE(CONTROL!$C$38, 0.0347, 0)</f>
        <v>17.4665</v>
      </c>
      <c r="E96" s="28">
        <f>18.5603 * CHOOSE(CONTROL!$C$15, $E$9, 100%, $G$9) + CHOOSE(CONTROL!$C$38, 0.0347, 0)</f>
        <v>18.595000000000002</v>
      </c>
      <c r="F96" s="27">
        <f>18.5603 * CHOOSE(CONTROL!$C$15, $E$9, 100%, $G$9) + CHOOSE(CONTROL!$C$38, 0.0256, 0)</f>
        <v>18.585900000000002</v>
      </c>
      <c r="G96" s="10">
        <f>17.438 * CHOOSE(CONTROL!$C$15, $E$9, 100%, $G$9) + CHOOSE(CONTROL!$C$38, 0.0347, 0)</f>
        <v>17.4727</v>
      </c>
      <c r="H96" s="10">
        <f>17.438 * CHOOSE(CONTROL!$C$15, $E$9, 100%, $G$9) + CHOOSE(CONTROL!$C$38, 0.0347, 0)</f>
        <v>17.4727</v>
      </c>
      <c r="I96" s="10">
        <f>17.4396 * CHOOSE(CONTROL!$C$15, $E$9, 100%, $G$9) + CHOOSE(CONTROL!$C$38, 0.0347, 0)</f>
        <v>17.474299999999999</v>
      </c>
      <c r="J96" s="26">
        <f>101.0568</f>
        <v>101.0568</v>
      </c>
    </row>
    <row r="97" spans="1:10" ht="15" x14ac:dyDescent="0.2">
      <c r="A97" s="16">
        <v>44228</v>
      </c>
      <c r="B97" s="10">
        <f>18.9373 * CHOOSE(CONTROL!$C$15, $E$9, 100%, $G$9) + CHOOSE(CONTROL!$C$38, 0.0256, 0)</f>
        <v>18.962900000000001</v>
      </c>
      <c r="C97" s="10">
        <f>17.6604 * CHOOSE(CONTROL!$C$15, $E$9, 100%, $G$9) + CHOOSE(CONTROL!$C$38, 0.0347, 0)</f>
        <v>17.6951</v>
      </c>
      <c r="D97" s="10">
        <f>17.6526 * CHOOSE(CONTROL!$C$15, $E$9, 100%, $G$9) + CHOOSE(CONTROL!$C$38, 0.0347, 0)</f>
        <v>17.6873</v>
      </c>
      <c r="E97" s="28">
        <f>18.7811 * CHOOSE(CONTROL!$C$15, $E$9, 100%, $G$9) + CHOOSE(CONTROL!$C$38, 0.0347, 0)</f>
        <v>18.815799999999999</v>
      </c>
      <c r="F97" s="27">
        <f>18.7811 * CHOOSE(CONTROL!$C$15, $E$9, 100%, $G$9) + CHOOSE(CONTROL!$C$38, 0.0256, 0)</f>
        <v>18.806699999999999</v>
      </c>
      <c r="G97" s="10">
        <f>17.6588 * CHOOSE(CONTROL!$C$15, $E$9, 100%, $G$9) + CHOOSE(CONTROL!$C$38, 0.0347, 0)</f>
        <v>17.6935</v>
      </c>
      <c r="H97" s="10">
        <f>17.6588 * CHOOSE(CONTROL!$C$15, $E$9, 100%, $G$9) + CHOOSE(CONTROL!$C$38, 0.0347, 0)</f>
        <v>17.6935</v>
      </c>
      <c r="I97" s="10">
        <f>17.6604 * CHOOSE(CONTROL!$C$15, $E$9, 100%, $G$9) + CHOOSE(CONTROL!$C$38, 0.0347, 0)</f>
        <v>17.6951</v>
      </c>
      <c r="J97" s="26">
        <f>100.7759</f>
        <v>100.77589999999999</v>
      </c>
    </row>
    <row r="98" spans="1:10" ht="15" x14ac:dyDescent="0.2">
      <c r="A98" s="16">
        <v>44256</v>
      </c>
      <c r="B98" s="10">
        <f>18.4263 * CHOOSE(CONTROL!$C$15, $E$9, 100%, $G$9) + CHOOSE(CONTROL!$C$38, 0.0256, 0)</f>
        <v>18.451900000000002</v>
      </c>
      <c r="C98" s="10">
        <f>17.1493 * CHOOSE(CONTROL!$C$15, $E$9, 100%, $G$9) + CHOOSE(CONTROL!$C$38, 0.0347, 0)</f>
        <v>17.184000000000001</v>
      </c>
      <c r="D98" s="10">
        <f>17.1415 * CHOOSE(CONTROL!$C$15, $E$9, 100%, $G$9) + CHOOSE(CONTROL!$C$38, 0.0347, 0)</f>
        <v>17.176200000000001</v>
      </c>
      <c r="E98" s="28">
        <f>18.27 * CHOOSE(CONTROL!$C$15, $E$9, 100%, $G$9) + CHOOSE(CONTROL!$C$38, 0.0347, 0)</f>
        <v>18.3047</v>
      </c>
      <c r="F98" s="27">
        <f>18.27 * CHOOSE(CONTROL!$C$15, $E$9, 100%, $G$9) + CHOOSE(CONTROL!$C$38, 0.0256, 0)</f>
        <v>18.2956</v>
      </c>
      <c r="G98" s="10">
        <f>17.1478 * CHOOSE(CONTROL!$C$15, $E$9, 100%, $G$9) + CHOOSE(CONTROL!$C$38, 0.0347, 0)</f>
        <v>17.182500000000001</v>
      </c>
      <c r="H98" s="10">
        <f>17.1478 * CHOOSE(CONTROL!$C$15, $E$9, 100%, $G$9) + CHOOSE(CONTROL!$C$38, 0.0347, 0)</f>
        <v>17.182500000000001</v>
      </c>
      <c r="I98" s="10">
        <f>17.1493 * CHOOSE(CONTROL!$C$15, $E$9, 100%, $G$9) + CHOOSE(CONTROL!$C$38, 0.0347, 0)</f>
        <v>17.184000000000001</v>
      </c>
      <c r="J98" s="26">
        <f>106.0874</f>
        <v>106.0874</v>
      </c>
    </row>
    <row r="99" spans="1:10" ht="15" x14ac:dyDescent="0.2">
      <c r="A99" s="16">
        <v>44287</v>
      </c>
      <c r="B99" s="10">
        <f>17.9311 * CHOOSE(CONTROL!$C$15, $E$9, 100%, $G$9) + CHOOSE(CONTROL!$C$38, 0.0256, 0)</f>
        <v>17.956700000000001</v>
      </c>
      <c r="C99" s="10">
        <f>16.6542 * CHOOSE(CONTROL!$C$15, $E$9, 100%, $G$9) + CHOOSE(CONTROL!$C$38, 0.0347, 0)</f>
        <v>16.6889</v>
      </c>
      <c r="D99" s="10">
        <f>16.6463 * CHOOSE(CONTROL!$C$15, $E$9, 100%, $G$9) + CHOOSE(CONTROL!$C$38, 0.0347, 0)</f>
        <v>16.681000000000001</v>
      </c>
      <c r="E99" s="28">
        <f>17.7749 * CHOOSE(CONTROL!$C$15, $E$9, 100%, $G$9) + CHOOSE(CONTROL!$C$38, 0.0347, 0)</f>
        <v>17.8096</v>
      </c>
      <c r="F99" s="27">
        <f>17.7749 * CHOOSE(CONTROL!$C$15, $E$9, 100%, $G$9) + CHOOSE(CONTROL!$C$38, 0.0256, 0)</f>
        <v>17.8005</v>
      </c>
      <c r="G99" s="10">
        <f>16.6526 * CHOOSE(CONTROL!$C$15, $E$9, 100%, $G$9) + CHOOSE(CONTROL!$C$38, 0.0347, 0)</f>
        <v>16.6873</v>
      </c>
      <c r="H99" s="10">
        <f>16.6526 * CHOOSE(CONTROL!$C$15, $E$9, 100%, $G$9) + CHOOSE(CONTROL!$C$38, 0.0347, 0)</f>
        <v>16.6873</v>
      </c>
      <c r="I99" s="10">
        <f>16.6542 * CHOOSE(CONTROL!$C$15, $E$9, 100%, $G$9) + CHOOSE(CONTROL!$C$38, 0.0347, 0)</f>
        <v>16.6889</v>
      </c>
      <c r="J99" s="26">
        <f>112.9751</f>
        <v>112.9751</v>
      </c>
    </row>
    <row r="100" spans="1:10" ht="15" x14ac:dyDescent="0.2">
      <c r="A100" s="16">
        <v>44317</v>
      </c>
      <c r="B100" s="10">
        <f>17.415 * CHOOSE(CONTROL!$C$15, $E$9, 100%, $G$9) + CHOOSE(CONTROL!$C$38, 0.0256, 0)</f>
        <v>17.4406</v>
      </c>
      <c r="C100" s="10">
        <f>16.138 * CHOOSE(CONTROL!$C$15, $E$9, 100%, $G$9) + CHOOSE(CONTROL!$C$38, 0.0347, 0)</f>
        <v>16.172700000000003</v>
      </c>
      <c r="D100" s="10">
        <f>16.1302 * CHOOSE(CONTROL!$C$15, $E$9, 100%, $G$9) + CHOOSE(CONTROL!$C$38, 0.0347, 0)</f>
        <v>16.164899999999999</v>
      </c>
      <c r="E100" s="28">
        <f>17.2588 * CHOOSE(CONTROL!$C$15, $E$9, 100%, $G$9) + CHOOSE(CONTROL!$C$38, 0.0347, 0)</f>
        <v>17.293500000000002</v>
      </c>
      <c r="F100" s="27">
        <f>17.2588 * CHOOSE(CONTROL!$C$15, $E$9, 100%, $G$9) + CHOOSE(CONTROL!$C$38, 0.0256, 0)</f>
        <v>17.284400000000002</v>
      </c>
      <c r="G100" s="10">
        <f>16.1365 * CHOOSE(CONTROL!$C$15, $E$9, 100%, $G$9) + CHOOSE(CONTROL!$C$38, 0.0347, 0)</f>
        <v>16.171200000000002</v>
      </c>
      <c r="H100" s="10">
        <f>16.1365 * CHOOSE(CONTROL!$C$15, $E$9, 100%, $G$9) + CHOOSE(CONTROL!$C$38, 0.0347, 0)</f>
        <v>16.171200000000002</v>
      </c>
      <c r="I100" s="10">
        <f>16.138 * CHOOSE(CONTROL!$C$15, $E$9, 100%, $G$9) + CHOOSE(CONTROL!$C$38, 0.0347, 0)</f>
        <v>16.172700000000003</v>
      </c>
      <c r="J100" s="26">
        <f>116.7663</f>
        <v>116.7663</v>
      </c>
    </row>
    <row r="101" spans="1:10" ht="15" x14ac:dyDescent="0.2">
      <c r="A101" s="16">
        <v>44348</v>
      </c>
      <c r="B101" s="10">
        <f>17.0532 * CHOOSE(CONTROL!$C$15, $E$9, 100%, $G$9) + CHOOSE(CONTROL!$C$38, 0.0256, 0)</f>
        <v>17.078800000000001</v>
      </c>
      <c r="C101" s="10">
        <f>15.7762 * CHOOSE(CONTROL!$C$15, $E$9, 100%, $G$9) + CHOOSE(CONTROL!$C$38, 0.0347, 0)</f>
        <v>15.8109</v>
      </c>
      <c r="D101" s="10">
        <f>15.7684 * CHOOSE(CONTROL!$C$15, $E$9, 100%, $G$9) + CHOOSE(CONTROL!$C$38, 0.0347, 0)</f>
        <v>15.803100000000001</v>
      </c>
      <c r="E101" s="28">
        <f>16.8969 * CHOOSE(CONTROL!$C$15, $E$9, 100%, $G$9) + CHOOSE(CONTROL!$C$38, 0.0347, 0)</f>
        <v>16.9316</v>
      </c>
      <c r="F101" s="27">
        <f>16.8969 * CHOOSE(CONTROL!$C$15, $E$9, 100%, $G$9) + CHOOSE(CONTROL!$C$38, 0.0256, 0)</f>
        <v>16.922499999999999</v>
      </c>
      <c r="G101" s="10">
        <f>15.7747 * CHOOSE(CONTROL!$C$15, $E$9, 100%, $G$9) + CHOOSE(CONTROL!$C$38, 0.0347, 0)</f>
        <v>15.8094</v>
      </c>
      <c r="H101" s="10">
        <f>15.7747 * CHOOSE(CONTROL!$C$15, $E$9, 100%, $G$9) + CHOOSE(CONTROL!$C$38, 0.0347, 0)</f>
        <v>15.8094</v>
      </c>
      <c r="I101" s="10">
        <f>15.7762 * CHOOSE(CONTROL!$C$15, $E$9, 100%, $G$9) + CHOOSE(CONTROL!$C$38, 0.0347, 0)</f>
        <v>15.8109</v>
      </c>
      <c r="J101" s="26">
        <f>118.4488</f>
        <v>118.44880000000001</v>
      </c>
    </row>
    <row r="102" spans="1:10" ht="15" x14ac:dyDescent="0.2">
      <c r="A102" s="16">
        <v>44378</v>
      </c>
      <c r="B102" s="10">
        <f>16.8467 * CHOOSE(CONTROL!$C$15, $E$9, 100%, $G$9) + CHOOSE(CONTROL!$C$38, 0.0256, 0)</f>
        <v>16.872299999999999</v>
      </c>
      <c r="C102" s="10">
        <f>15.5697 * CHOOSE(CONTROL!$C$15, $E$9, 100%, $G$9) + CHOOSE(CONTROL!$C$38, 0.0347, 0)</f>
        <v>15.6044</v>
      </c>
      <c r="D102" s="10">
        <f>15.5619 * CHOOSE(CONTROL!$C$15, $E$9, 100%, $G$9) + CHOOSE(CONTROL!$C$38, 0.0347, 0)</f>
        <v>15.5966</v>
      </c>
      <c r="E102" s="28">
        <f>16.6904 * CHOOSE(CONTROL!$C$15, $E$9, 100%, $G$9) + CHOOSE(CONTROL!$C$38, 0.0347, 0)</f>
        <v>16.725100000000001</v>
      </c>
      <c r="F102" s="27">
        <f>16.6904 * CHOOSE(CONTROL!$C$15, $E$9, 100%, $G$9) + CHOOSE(CONTROL!$C$38, 0.0256, 0)</f>
        <v>16.716000000000001</v>
      </c>
      <c r="G102" s="10">
        <f>15.5682 * CHOOSE(CONTROL!$C$15, $E$9, 100%, $G$9) + CHOOSE(CONTROL!$C$38, 0.0347, 0)</f>
        <v>15.6029</v>
      </c>
      <c r="H102" s="10">
        <f>15.5682 * CHOOSE(CONTROL!$C$15, $E$9, 100%, $G$9) + CHOOSE(CONTROL!$C$38, 0.0347, 0)</f>
        <v>15.6029</v>
      </c>
      <c r="I102" s="10">
        <f>15.5697 * CHOOSE(CONTROL!$C$15, $E$9, 100%, $G$9) + CHOOSE(CONTROL!$C$38, 0.0347, 0)</f>
        <v>15.6044</v>
      </c>
      <c r="J102" s="26">
        <f>117.8948</f>
        <v>117.8948</v>
      </c>
    </row>
    <row r="103" spans="1:10" ht="15" x14ac:dyDescent="0.2">
      <c r="A103" s="16">
        <v>44409</v>
      </c>
      <c r="B103" s="10">
        <f>16.9486 * CHOOSE(CONTROL!$C$15, $E$9, 100%, $G$9) + CHOOSE(CONTROL!$C$38, 0.0256, 0)</f>
        <v>16.9742</v>
      </c>
      <c r="C103" s="10">
        <f>15.6716 * CHOOSE(CONTROL!$C$15, $E$9, 100%, $G$9) + CHOOSE(CONTROL!$C$38, 0.0347, 0)</f>
        <v>15.706300000000001</v>
      </c>
      <c r="D103" s="10">
        <f>15.6638 * CHOOSE(CONTROL!$C$15, $E$9, 100%, $G$9) + CHOOSE(CONTROL!$C$38, 0.0347, 0)</f>
        <v>15.698500000000001</v>
      </c>
      <c r="E103" s="28">
        <f>16.7923 * CHOOSE(CONTROL!$C$15, $E$9, 100%, $G$9) + CHOOSE(CONTROL!$C$38, 0.0347, 0)</f>
        <v>16.827000000000002</v>
      </c>
      <c r="F103" s="27">
        <f>16.7923 * CHOOSE(CONTROL!$C$15, $E$9, 100%, $G$9) + CHOOSE(CONTROL!$C$38, 0.0256, 0)</f>
        <v>16.817900000000002</v>
      </c>
      <c r="G103" s="10">
        <f>15.6701 * CHOOSE(CONTROL!$C$15, $E$9, 100%, $G$9) + CHOOSE(CONTROL!$C$38, 0.0347, 0)</f>
        <v>15.704800000000001</v>
      </c>
      <c r="H103" s="10">
        <f>15.6701 * CHOOSE(CONTROL!$C$15, $E$9, 100%, $G$9) + CHOOSE(CONTROL!$C$38, 0.0347, 0)</f>
        <v>15.704800000000001</v>
      </c>
      <c r="I103" s="10">
        <f>15.6716 * CHOOSE(CONTROL!$C$15, $E$9, 100%, $G$9) + CHOOSE(CONTROL!$C$38, 0.0347, 0)</f>
        <v>15.706300000000001</v>
      </c>
      <c r="J103" s="26">
        <f>115.1503</f>
        <v>115.1503</v>
      </c>
    </row>
    <row r="104" spans="1:10" ht="15" x14ac:dyDescent="0.2">
      <c r="A104" s="16">
        <v>44440</v>
      </c>
      <c r="B104" s="10">
        <f>17.2254 * CHOOSE(CONTROL!$C$15, $E$9, 100%, $G$9) + CHOOSE(CONTROL!$C$38, 0.0256, 0)</f>
        <v>17.251000000000001</v>
      </c>
      <c r="C104" s="10">
        <f>15.9484 * CHOOSE(CONTROL!$C$15, $E$9, 100%, $G$9) + CHOOSE(CONTROL!$C$38, 0.0347, 0)</f>
        <v>15.9831</v>
      </c>
      <c r="D104" s="10">
        <f>15.9406 * CHOOSE(CONTROL!$C$15, $E$9, 100%, $G$9) + CHOOSE(CONTROL!$C$38, 0.0347, 0)</f>
        <v>15.975300000000001</v>
      </c>
      <c r="E104" s="28">
        <f>17.0691 * CHOOSE(CONTROL!$C$15, $E$9, 100%, $G$9) + CHOOSE(CONTROL!$C$38, 0.0347, 0)</f>
        <v>17.1038</v>
      </c>
      <c r="F104" s="27">
        <f>17.0691 * CHOOSE(CONTROL!$C$15, $E$9, 100%, $G$9) + CHOOSE(CONTROL!$C$38, 0.0256, 0)</f>
        <v>17.0947</v>
      </c>
      <c r="G104" s="10">
        <f>15.9469 * CHOOSE(CONTROL!$C$15, $E$9, 100%, $G$9) + CHOOSE(CONTROL!$C$38, 0.0347, 0)</f>
        <v>15.9816</v>
      </c>
      <c r="H104" s="10">
        <f>15.9469 * CHOOSE(CONTROL!$C$15, $E$9, 100%, $G$9) + CHOOSE(CONTROL!$C$38, 0.0347, 0)</f>
        <v>15.9816</v>
      </c>
      <c r="I104" s="10">
        <f>15.9484 * CHOOSE(CONTROL!$C$15, $E$9, 100%, $G$9) + CHOOSE(CONTROL!$C$38, 0.0347, 0)</f>
        <v>15.9831</v>
      </c>
      <c r="J104" s="26">
        <f>111.3229</f>
        <v>111.3229</v>
      </c>
    </row>
    <row r="105" spans="1:10" ht="15" x14ac:dyDescent="0.2">
      <c r="A105" s="16">
        <v>44470</v>
      </c>
      <c r="B105" s="10">
        <f>17.4572 * CHOOSE(CONTROL!$C$15, $E$9, 100%, $G$9) + CHOOSE(CONTROL!$C$38, 0.0256, 0)</f>
        <v>17.482800000000001</v>
      </c>
      <c r="C105" s="10">
        <f>16.1803 * CHOOSE(CONTROL!$C$15, $E$9, 100%, $G$9) + CHOOSE(CONTROL!$C$38, 0.0347, 0)</f>
        <v>16.215</v>
      </c>
      <c r="D105" s="10">
        <f>16.1724 * CHOOSE(CONTROL!$C$15, $E$9, 100%, $G$9) + CHOOSE(CONTROL!$C$38, 0.0347, 0)</f>
        <v>16.207100000000001</v>
      </c>
      <c r="E105" s="28">
        <f>17.301 * CHOOSE(CONTROL!$C$15, $E$9, 100%, $G$9) + CHOOSE(CONTROL!$C$38, 0.0347, 0)</f>
        <v>17.335699999999999</v>
      </c>
      <c r="F105" s="27">
        <f>17.301 * CHOOSE(CONTROL!$C$15, $E$9, 100%, $G$9) + CHOOSE(CONTROL!$C$38, 0.0256, 0)</f>
        <v>17.326599999999999</v>
      </c>
      <c r="G105" s="10">
        <f>16.1787 * CHOOSE(CONTROL!$C$15, $E$9, 100%, $G$9) + CHOOSE(CONTROL!$C$38, 0.0347, 0)</f>
        <v>16.2134</v>
      </c>
      <c r="H105" s="10">
        <f>16.1787 * CHOOSE(CONTROL!$C$15, $E$9, 100%, $G$9) + CHOOSE(CONTROL!$C$38, 0.0347, 0)</f>
        <v>16.2134</v>
      </c>
      <c r="I105" s="10">
        <f>16.1803 * CHOOSE(CONTROL!$C$15, $E$9, 100%, $G$9) + CHOOSE(CONTROL!$C$38, 0.0347, 0)</f>
        <v>16.215</v>
      </c>
      <c r="J105" s="26">
        <f>107.4732</f>
        <v>107.47320000000001</v>
      </c>
    </row>
    <row r="106" spans="1:10" ht="15" x14ac:dyDescent="0.2">
      <c r="A106" s="16">
        <v>44501</v>
      </c>
      <c r="B106" s="10">
        <f>17.6506 * CHOOSE(CONTROL!$C$15, $E$9, 100%, $G$9) + CHOOSE(CONTROL!$C$38, 0.0256, 0)</f>
        <v>17.676200000000001</v>
      </c>
      <c r="C106" s="10">
        <f>16.3737 * CHOOSE(CONTROL!$C$15, $E$9, 100%, $G$9) + CHOOSE(CONTROL!$C$38, 0.0347, 0)</f>
        <v>16.4084</v>
      </c>
      <c r="D106" s="10">
        <f>16.3659 * CHOOSE(CONTROL!$C$15, $E$9, 100%, $G$9) + CHOOSE(CONTROL!$C$38, 0.0347, 0)</f>
        <v>16.400600000000001</v>
      </c>
      <c r="E106" s="28">
        <f>17.4944 * CHOOSE(CONTROL!$C$15, $E$9, 100%, $G$9) + CHOOSE(CONTROL!$C$38, 0.0347, 0)</f>
        <v>17.5291</v>
      </c>
      <c r="F106" s="27">
        <f>17.4944 * CHOOSE(CONTROL!$C$15, $E$9, 100%, $G$9) + CHOOSE(CONTROL!$C$38, 0.0256, 0)</f>
        <v>17.52</v>
      </c>
      <c r="G106" s="10">
        <f>16.3721 * CHOOSE(CONTROL!$C$15, $E$9, 100%, $G$9) + CHOOSE(CONTROL!$C$38, 0.0347, 0)</f>
        <v>16.4068</v>
      </c>
      <c r="H106" s="10">
        <f>16.3721 * CHOOSE(CONTROL!$C$15, $E$9, 100%, $G$9) + CHOOSE(CONTROL!$C$38, 0.0347, 0)</f>
        <v>16.4068</v>
      </c>
      <c r="I106" s="10">
        <f>16.3737 * CHOOSE(CONTROL!$C$15, $E$9, 100%, $G$9) + CHOOSE(CONTROL!$C$38, 0.0347, 0)</f>
        <v>16.4084</v>
      </c>
      <c r="J106" s="26">
        <f>106.7075</f>
        <v>106.7075</v>
      </c>
    </row>
    <row r="107" spans="1:10" ht="15" x14ac:dyDescent="0.2">
      <c r="A107" s="16">
        <v>44531</v>
      </c>
      <c r="B107" s="10">
        <f>18.2467 * CHOOSE(CONTROL!$C$15, $E$9, 100%, $G$9) + CHOOSE(CONTROL!$C$38, 0.0256, 0)</f>
        <v>18.272300000000001</v>
      </c>
      <c r="C107" s="10">
        <f>16.9698 * CHOOSE(CONTROL!$C$15, $E$9, 100%, $G$9) + CHOOSE(CONTROL!$C$38, 0.0347, 0)</f>
        <v>17.0045</v>
      </c>
      <c r="D107" s="10">
        <f>16.962 * CHOOSE(CONTROL!$C$15, $E$9, 100%, $G$9) + CHOOSE(CONTROL!$C$38, 0.0347, 0)</f>
        <v>16.996700000000001</v>
      </c>
      <c r="E107" s="28">
        <f>18.0905 * CHOOSE(CONTROL!$C$15, $E$9, 100%, $G$9) + CHOOSE(CONTROL!$C$38, 0.0347, 0)</f>
        <v>18.1252</v>
      </c>
      <c r="F107" s="27">
        <f>18.0905 * CHOOSE(CONTROL!$C$15, $E$9, 100%, $G$9) + CHOOSE(CONTROL!$C$38, 0.0256, 0)</f>
        <v>18.116099999999999</v>
      </c>
      <c r="G107" s="10">
        <f>16.9682 * CHOOSE(CONTROL!$C$15, $E$9, 100%, $G$9) + CHOOSE(CONTROL!$C$38, 0.0347, 0)</f>
        <v>17.0029</v>
      </c>
      <c r="H107" s="10">
        <f>16.9682 * CHOOSE(CONTROL!$C$15, $E$9, 100%, $G$9) + CHOOSE(CONTROL!$C$38, 0.0347, 0)</f>
        <v>17.0029</v>
      </c>
      <c r="I107" s="10">
        <f>16.9698 * CHOOSE(CONTROL!$C$15, $E$9, 100%, $G$9) + CHOOSE(CONTROL!$C$38, 0.0347, 0)</f>
        <v>17.0045</v>
      </c>
      <c r="J107" s="26">
        <f>103.5409</f>
        <v>103.54089999999999</v>
      </c>
    </row>
    <row r="108" spans="1:10" ht="15" x14ac:dyDescent="0.2">
      <c r="A108" s="16">
        <v>44562</v>
      </c>
      <c r="B108" s="10">
        <f>19.3556 * CHOOSE(CONTROL!$C$15, $E$9, 100%, $G$9) + CHOOSE(CONTROL!$C$38, 0.0256, 0)</f>
        <v>19.3812</v>
      </c>
      <c r="C108" s="10">
        <f>17.9849 * CHOOSE(CONTROL!$C$15, $E$9, 100%, $G$9) + CHOOSE(CONTROL!$C$38, 0.0347, 0)</f>
        <v>18.019600000000001</v>
      </c>
      <c r="D108" s="10">
        <f>17.9771 * CHOOSE(CONTROL!$C$15, $E$9, 100%, $G$9) + CHOOSE(CONTROL!$C$38, 0.0347, 0)</f>
        <v>18.011800000000001</v>
      </c>
      <c r="E108" s="28">
        <f>19.1993 * CHOOSE(CONTROL!$C$15, $E$9, 100%, $G$9) + CHOOSE(CONTROL!$C$38, 0.0347, 0)</f>
        <v>19.234000000000002</v>
      </c>
      <c r="F108" s="27">
        <f>19.1993 * CHOOSE(CONTROL!$C$15, $E$9, 100%, $G$9) + CHOOSE(CONTROL!$C$38, 0.0256, 0)</f>
        <v>19.224900000000002</v>
      </c>
      <c r="G108" s="10">
        <f>17.9834 * CHOOSE(CONTROL!$C$15, $E$9, 100%, $G$9) + CHOOSE(CONTROL!$C$38, 0.0347, 0)</f>
        <v>18.0181</v>
      </c>
      <c r="H108" s="10">
        <f>17.9834 * CHOOSE(CONTROL!$C$15, $E$9, 100%, $G$9) + CHOOSE(CONTROL!$C$38, 0.0347, 0)</f>
        <v>18.0181</v>
      </c>
      <c r="I108" s="10">
        <f>17.9849 * CHOOSE(CONTROL!$C$15, $E$9, 100%, $G$9) + CHOOSE(CONTROL!$C$38, 0.0347, 0)</f>
        <v>18.019600000000001</v>
      </c>
      <c r="J108" s="26">
        <f>105.2242</f>
        <v>105.2242</v>
      </c>
    </row>
    <row r="109" spans="1:10" ht="15" x14ac:dyDescent="0.2">
      <c r="A109" s="16">
        <v>44593</v>
      </c>
      <c r="B109" s="10">
        <f>19.5763 * CHOOSE(CONTROL!$C$15, $E$9, 100%, $G$9) + CHOOSE(CONTROL!$C$38, 0.0256, 0)</f>
        <v>19.601900000000001</v>
      </c>
      <c r="C109" s="10">
        <f>18.2057 * CHOOSE(CONTROL!$C$15, $E$9, 100%, $G$9) + CHOOSE(CONTROL!$C$38, 0.0347, 0)</f>
        <v>18.240400000000001</v>
      </c>
      <c r="D109" s="10">
        <f>18.1979 * CHOOSE(CONTROL!$C$15, $E$9, 100%, $G$9) + CHOOSE(CONTROL!$C$38, 0.0347, 0)</f>
        <v>18.232600000000001</v>
      </c>
      <c r="E109" s="28">
        <f>19.4201 * CHOOSE(CONTROL!$C$15, $E$9, 100%, $G$9) + CHOOSE(CONTROL!$C$38, 0.0347, 0)</f>
        <v>19.454800000000002</v>
      </c>
      <c r="F109" s="27">
        <f>19.4201 * CHOOSE(CONTROL!$C$15, $E$9, 100%, $G$9) + CHOOSE(CONTROL!$C$38, 0.0256, 0)</f>
        <v>19.445700000000002</v>
      </c>
      <c r="G109" s="10">
        <f>18.2041 * CHOOSE(CONTROL!$C$15, $E$9, 100%, $G$9) + CHOOSE(CONTROL!$C$38, 0.0347, 0)</f>
        <v>18.238800000000001</v>
      </c>
      <c r="H109" s="10">
        <f>18.2041 * CHOOSE(CONTROL!$C$15, $E$9, 100%, $G$9) + CHOOSE(CONTROL!$C$38, 0.0347, 0)</f>
        <v>18.238800000000001</v>
      </c>
      <c r="I109" s="10">
        <f>18.2057 * CHOOSE(CONTROL!$C$15, $E$9, 100%, $G$9) + CHOOSE(CONTROL!$C$38, 0.0347, 0)</f>
        <v>18.240400000000001</v>
      </c>
      <c r="J109" s="26">
        <f>104.9317</f>
        <v>104.93170000000001</v>
      </c>
    </row>
    <row r="110" spans="1:10" ht="15" x14ac:dyDescent="0.2">
      <c r="A110" s="16">
        <v>44621</v>
      </c>
      <c r="B110" s="10">
        <f>19.0653 * CHOOSE(CONTROL!$C$15, $E$9, 100%, $G$9) + CHOOSE(CONTROL!$C$38, 0.0256, 0)</f>
        <v>19.090900000000001</v>
      </c>
      <c r="C110" s="10">
        <f>17.6947 * CHOOSE(CONTROL!$C$15, $E$9, 100%, $G$9) + CHOOSE(CONTROL!$C$38, 0.0347, 0)</f>
        <v>17.729400000000002</v>
      </c>
      <c r="D110" s="10">
        <f>17.6868 * CHOOSE(CONTROL!$C$15, $E$9, 100%, $G$9) + CHOOSE(CONTROL!$C$38, 0.0347, 0)</f>
        <v>17.721500000000002</v>
      </c>
      <c r="E110" s="28">
        <f>18.9091 * CHOOSE(CONTROL!$C$15, $E$9, 100%, $G$9) + CHOOSE(CONTROL!$C$38, 0.0347, 0)</f>
        <v>18.9438</v>
      </c>
      <c r="F110" s="27">
        <f>18.9091 * CHOOSE(CONTROL!$C$15, $E$9, 100%, $G$9) + CHOOSE(CONTROL!$C$38, 0.0256, 0)</f>
        <v>18.934699999999999</v>
      </c>
      <c r="G110" s="10">
        <f>17.6931 * CHOOSE(CONTROL!$C$15, $E$9, 100%, $G$9) + CHOOSE(CONTROL!$C$38, 0.0347, 0)</f>
        <v>17.727800000000002</v>
      </c>
      <c r="H110" s="10">
        <f>17.6931 * CHOOSE(CONTROL!$C$15, $E$9, 100%, $G$9) + CHOOSE(CONTROL!$C$38, 0.0347, 0)</f>
        <v>17.727800000000002</v>
      </c>
      <c r="I110" s="10">
        <f>17.6947 * CHOOSE(CONTROL!$C$15, $E$9, 100%, $G$9) + CHOOSE(CONTROL!$C$38, 0.0347, 0)</f>
        <v>17.729400000000002</v>
      </c>
      <c r="J110" s="26">
        <f>110.4622</f>
        <v>110.4622</v>
      </c>
    </row>
    <row r="111" spans="1:10" ht="15" x14ac:dyDescent="0.2">
      <c r="A111" s="16">
        <v>44652</v>
      </c>
      <c r="B111" s="10">
        <f>18.5701 * CHOOSE(CONTROL!$C$15, $E$9, 100%, $G$9) + CHOOSE(CONTROL!$C$38, 0.0256, 0)</f>
        <v>18.595700000000001</v>
      </c>
      <c r="C111" s="10">
        <f>17.1995 * CHOOSE(CONTROL!$C$15, $E$9, 100%, $G$9) + CHOOSE(CONTROL!$C$38, 0.0347, 0)</f>
        <v>17.234200000000001</v>
      </c>
      <c r="D111" s="10">
        <f>17.1917 * CHOOSE(CONTROL!$C$15, $E$9, 100%, $G$9) + CHOOSE(CONTROL!$C$38, 0.0347, 0)</f>
        <v>17.226400000000002</v>
      </c>
      <c r="E111" s="28">
        <f>18.4139 * CHOOSE(CONTROL!$C$15, $E$9, 100%, $G$9) + CHOOSE(CONTROL!$C$38, 0.0347, 0)</f>
        <v>18.448600000000003</v>
      </c>
      <c r="F111" s="27">
        <f>18.4139 * CHOOSE(CONTROL!$C$15, $E$9, 100%, $G$9) + CHOOSE(CONTROL!$C$38, 0.0256, 0)</f>
        <v>18.439500000000002</v>
      </c>
      <c r="G111" s="10">
        <f>17.1979 * CHOOSE(CONTROL!$C$15, $E$9, 100%, $G$9) + CHOOSE(CONTROL!$C$38, 0.0347, 0)</f>
        <v>17.232600000000001</v>
      </c>
      <c r="H111" s="10">
        <f>17.1979 * CHOOSE(CONTROL!$C$15, $E$9, 100%, $G$9) + CHOOSE(CONTROL!$C$38, 0.0347, 0)</f>
        <v>17.232600000000001</v>
      </c>
      <c r="I111" s="10">
        <f>17.1995 * CHOOSE(CONTROL!$C$15, $E$9, 100%, $G$9) + CHOOSE(CONTROL!$C$38, 0.0347, 0)</f>
        <v>17.234200000000001</v>
      </c>
      <c r="J111" s="26">
        <f>117.634</f>
        <v>117.634</v>
      </c>
    </row>
    <row r="112" spans="1:10" ht="15" x14ac:dyDescent="0.2">
      <c r="A112" s="16">
        <v>44682</v>
      </c>
      <c r="B112" s="10">
        <f>18.054 * CHOOSE(CONTROL!$C$15, $E$9, 100%, $G$9) + CHOOSE(CONTROL!$C$38, 0.0256, 0)</f>
        <v>18.079599999999999</v>
      </c>
      <c r="C112" s="10">
        <f>16.6834 * CHOOSE(CONTROL!$C$15, $E$9, 100%, $G$9) + CHOOSE(CONTROL!$C$38, 0.0347, 0)</f>
        <v>16.7181</v>
      </c>
      <c r="D112" s="10">
        <f>16.6755 * CHOOSE(CONTROL!$C$15, $E$9, 100%, $G$9) + CHOOSE(CONTROL!$C$38, 0.0347, 0)</f>
        <v>16.7102</v>
      </c>
      <c r="E112" s="28">
        <f>17.8978 * CHOOSE(CONTROL!$C$15, $E$9, 100%, $G$9) + CHOOSE(CONTROL!$C$38, 0.0347, 0)</f>
        <v>17.932500000000001</v>
      </c>
      <c r="F112" s="27">
        <f>17.8978 * CHOOSE(CONTROL!$C$15, $E$9, 100%, $G$9) + CHOOSE(CONTROL!$C$38, 0.0256, 0)</f>
        <v>17.923400000000001</v>
      </c>
      <c r="G112" s="10">
        <f>16.6818 * CHOOSE(CONTROL!$C$15, $E$9, 100%, $G$9) + CHOOSE(CONTROL!$C$38, 0.0347, 0)</f>
        <v>16.7165</v>
      </c>
      <c r="H112" s="10">
        <f>16.6818 * CHOOSE(CONTROL!$C$15, $E$9, 100%, $G$9) + CHOOSE(CONTROL!$C$38, 0.0347, 0)</f>
        <v>16.7165</v>
      </c>
      <c r="I112" s="10">
        <f>16.6834 * CHOOSE(CONTROL!$C$15, $E$9, 100%, $G$9) + CHOOSE(CONTROL!$C$38, 0.0347, 0)</f>
        <v>16.7181</v>
      </c>
      <c r="J112" s="26">
        <f>121.5815</f>
        <v>121.58150000000001</v>
      </c>
    </row>
    <row r="113" spans="1:10" ht="15" x14ac:dyDescent="0.2">
      <c r="A113" s="16">
        <v>44713</v>
      </c>
      <c r="B113" s="10">
        <f>17.6922 * CHOOSE(CONTROL!$C$15, $E$9, 100%, $G$9) + CHOOSE(CONTROL!$C$38, 0.0256, 0)</f>
        <v>17.7178</v>
      </c>
      <c r="C113" s="10">
        <f>16.3215 * CHOOSE(CONTROL!$C$15, $E$9, 100%, $G$9) + CHOOSE(CONTROL!$C$38, 0.0347, 0)</f>
        <v>16.356200000000001</v>
      </c>
      <c r="D113" s="10">
        <f>16.3137 * CHOOSE(CONTROL!$C$15, $E$9, 100%, $G$9) + CHOOSE(CONTROL!$C$38, 0.0347, 0)</f>
        <v>16.348400000000002</v>
      </c>
      <c r="E113" s="28">
        <f>17.5359 * CHOOSE(CONTROL!$C$15, $E$9, 100%, $G$9) + CHOOSE(CONTROL!$C$38, 0.0347, 0)</f>
        <v>17.570600000000002</v>
      </c>
      <c r="F113" s="27">
        <f>17.5359 * CHOOSE(CONTROL!$C$15, $E$9, 100%, $G$9) + CHOOSE(CONTROL!$C$38, 0.0256, 0)</f>
        <v>17.561500000000002</v>
      </c>
      <c r="G113" s="10">
        <f>16.32 * CHOOSE(CONTROL!$C$15, $E$9, 100%, $G$9) + CHOOSE(CONTROL!$C$38, 0.0347, 0)</f>
        <v>16.354700000000001</v>
      </c>
      <c r="H113" s="10">
        <f>16.32 * CHOOSE(CONTROL!$C$15, $E$9, 100%, $G$9) + CHOOSE(CONTROL!$C$38, 0.0347, 0)</f>
        <v>16.354700000000001</v>
      </c>
      <c r="I113" s="10">
        <f>16.3215 * CHOOSE(CONTROL!$C$15, $E$9, 100%, $G$9) + CHOOSE(CONTROL!$C$38, 0.0347, 0)</f>
        <v>16.356200000000001</v>
      </c>
      <c r="J113" s="26">
        <f>123.3334</f>
        <v>123.3334</v>
      </c>
    </row>
    <row r="114" spans="1:10" ht="15" x14ac:dyDescent="0.2">
      <c r="A114" s="16">
        <v>44743</v>
      </c>
      <c r="B114" s="10">
        <f>17.4857 * CHOOSE(CONTROL!$C$15, $E$9, 100%, $G$9) + CHOOSE(CONTROL!$C$38, 0.0256, 0)</f>
        <v>17.511300000000002</v>
      </c>
      <c r="C114" s="10">
        <f>16.115 * CHOOSE(CONTROL!$C$15, $E$9, 100%, $G$9) + CHOOSE(CONTROL!$C$38, 0.0347, 0)</f>
        <v>16.149699999999999</v>
      </c>
      <c r="D114" s="10">
        <f>16.1072 * CHOOSE(CONTROL!$C$15, $E$9, 100%, $G$9) + CHOOSE(CONTROL!$C$38, 0.0347, 0)</f>
        <v>16.1419</v>
      </c>
      <c r="E114" s="28">
        <f>17.3295 * CHOOSE(CONTROL!$C$15, $E$9, 100%, $G$9) + CHOOSE(CONTROL!$C$38, 0.0347, 0)</f>
        <v>17.3642</v>
      </c>
      <c r="F114" s="27">
        <f>17.3295 * CHOOSE(CONTROL!$C$15, $E$9, 100%, $G$9) + CHOOSE(CONTROL!$C$38, 0.0256, 0)</f>
        <v>17.3551</v>
      </c>
      <c r="G114" s="10">
        <f>16.1135 * CHOOSE(CONTROL!$C$15, $E$9, 100%, $G$9) + CHOOSE(CONTROL!$C$38, 0.0347, 0)</f>
        <v>16.148199999999999</v>
      </c>
      <c r="H114" s="10">
        <f>16.1135 * CHOOSE(CONTROL!$C$15, $E$9, 100%, $G$9) + CHOOSE(CONTROL!$C$38, 0.0347, 0)</f>
        <v>16.148199999999999</v>
      </c>
      <c r="I114" s="10">
        <f>16.115 * CHOOSE(CONTROL!$C$15, $E$9, 100%, $G$9) + CHOOSE(CONTROL!$C$38, 0.0347, 0)</f>
        <v>16.149699999999999</v>
      </c>
      <c r="J114" s="26">
        <f>122.7566</f>
        <v>122.75660000000001</v>
      </c>
    </row>
    <row r="115" spans="1:10" ht="15" x14ac:dyDescent="0.2">
      <c r="A115" s="16">
        <v>44774</v>
      </c>
      <c r="B115" s="10">
        <f>17.5876 * CHOOSE(CONTROL!$C$15, $E$9, 100%, $G$9) + CHOOSE(CONTROL!$C$38, 0.0256, 0)</f>
        <v>17.613199999999999</v>
      </c>
      <c r="C115" s="10">
        <f>16.2169 * CHOOSE(CONTROL!$C$15, $E$9, 100%, $G$9) + CHOOSE(CONTROL!$C$38, 0.0347, 0)</f>
        <v>16.2516</v>
      </c>
      <c r="D115" s="10">
        <f>16.2091 * CHOOSE(CONTROL!$C$15, $E$9, 100%, $G$9) + CHOOSE(CONTROL!$C$38, 0.0347, 0)</f>
        <v>16.2438</v>
      </c>
      <c r="E115" s="28">
        <f>17.4314 * CHOOSE(CONTROL!$C$15, $E$9, 100%, $G$9) + CHOOSE(CONTROL!$C$38, 0.0347, 0)</f>
        <v>17.466100000000001</v>
      </c>
      <c r="F115" s="27">
        <f>17.4314 * CHOOSE(CONTROL!$C$15, $E$9, 100%, $G$9) + CHOOSE(CONTROL!$C$38, 0.0256, 0)</f>
        <v>17.457000000000001</v>
      </c>
      <c r="G115" s="10">
        <f>16.2154 * CHOOSE(CONTROL!$C$15, $E$9, 100%, $G$9) + CHOOSE(CONTROL!$C$38, 0.0347, 0)</f>
        <v>16.2501</v>
      </c>
      <c r="H115" s="10">
        <f>16.2154 * CHOOSE(CONTROL!$C$15, $E$9, 100%, $G$9) + CHOOSE(CONTROL!$C$38, 0.0347, 0)</f>
        <v>16.2501</v>
      </c>
      <c r="I115" s="10">
        <f>16.2169 * CHOOSE(CONTROL!$C$15, $E$9, 100%, $G$9) + CHOOSE(CONTROL!$C$38, 0.0347, 0)</f>
        <v>16.2516</v>
      </c>
      <c r="J115" s="26">
        <f>119.8989</f>
        <v>119.8989</v>
      </c>
    </row>
    <row r="116" spans="1:10" ht="15" x14ac:dyDescent="0.2">
      <c r="A116" s="16">
        <v>44805</v>
      </c>
      <c r="B116" s="10">
        <f>17.8644 * CHOOSE(CONTROL!$C$15, $E$9, 100%, $G$9) + CHOOSE(CONTROL!$C$38, 0.0256, 0)</f>
        <v>17.89</v>
      </c>
      <c r="C116" s="10">
        <f>16.4937 * CHOOSE(CONTROL!$C$15, $E$9, 100%, $G$9) + CHOOSE(CONTROL!$C$38, 0.0347, 0)</f>
        <v>16.528400000000001</v>
      </c>
      <c r="D116" s="10">
        <f>16.4859 * CHOOSE(CONTROL!$C$15, $E$9, 100%, $G$9) + CHOOSE(CONTROL!$C$38, 0.0347, 0)</f>
        <v>16.520600000000002</v>
      </c>
      <c r="E116" s="28">
        <f>17.7082 * CHOOSE(CONTROL!$C$15, $E$9, 100%, $G$9) + CHOOSE(CONTROL!$C$38, 0.0347, 0)</f>
        <v>17.742900000000002</v>
      </c>
      <c r="F116" s="27">
        <f>17.7082 * CHOOSE(CONTROL!$C$15, $E$9, 100%, $G$9) + CHOOSE(CONTROL!$C$38, 0.0256, 0)</f>
        <v>17.733800000000002</v>
      </c>
      <c r="G116" s="10">
        <f>16.4922 * CHOOSE(CONTROL!$C$15, $E$9, 100%, $G$9) + CHOOSE(CONTROL!$C$38, 0.0347, 0)</f>
        <v>16.526900000000001</v>
      </c>
      <c r="H116" s="10">
        <f>16.4922 * CHOOSE(CONTROL!$C$15, $E$9, 100%, $G$9) + CHOOSE(CONTROL!$C$38, 0.0347, 0)</f>
        <v>16.526900000000001</v>
      </c>
      <c r="I116" s="10">
        <f>16.4937 * CHOOSE(CONTROL!$C$15, $E$9, 100%, $G$9) + CHOOSE(CONTROL!$C$38, 0.0347, 0)</f>
        <v>16.528400000000001</v>
      </c>
      <c r="J116" s="26">
        <f>115.9136</f>
        <v>115.9136</v>
      </c>
    </row>
    <row r="117" spans="1:10" ht="15" x14ac:dyDescent="0.2">
      <c r="A117" s="16">
        <v>44835</v>
      </c>
      <c r="B117" s="10">
        <f>18.0962 * CHOOSE(CONTROL!$C$15, $E$9, 100%, $G$9) + CHOOSE(CONTROL!$C$38, 0.0256, 0)</f>
        <v>18.1218</v>
      </c>
      <c r="C117" s="10">
        <f>16.7256 * CHOOSE(CONTROL!$C$15, $E$9, 100%, $G$9) + CHOOSE(CONTROL!$C$38, 0.0347, 0)</f>
        <v>16.760300000000001</v>
      </c>
      <c r="D117" s="10">
        <f>16.7178 * CHOOSE(CONTROL!$C$15, $E$9, 100%, $G$9) + CHOOSE(CONTROL!$C$38, 0.0347, 0)</f>
        <v>16.752500000000001</v>
      </c>
      <c r="E117" s="28">
        <f>17.94 * CHOOSE(CONTROL!$C$15, $E$9, 100%, $G$9) + CHOOSE(CONTROL!$C$38, 0.0347, 0)</f>
        <v>17.974700000000002</v>
      </c>
      <c r="F117" s="27">
        <f>17.94 * CHOOSE(CONTROL!$C$15, $E$9, 100%, $G$9) + CHOOSE(CONTROL!$C$38, 0.0256, 0)</f>
        <v>17.965600000000002</v>
      </c>
      <c r="G117" s="10">
        <f>16.724 * CHOOSE(CONTROL!$C$15, $E$9, 100%, $G$9) + CHOOSE(CONTROL!$C$38, 0.0347, 0)</f>
        <v>16.758700000000001</v>
      </c>
      <c r="H117" s="10">
        <f>16.724 * CHOOSE(CONTROL!$C$15, $E$9, 100%, $G$9) + CHOOSE(CONTROL!$C$38, 0.0347, 0)</f>
        <v>16.758700000000001</v>
      </c>
      <c r="I117" s="10">
        <f>16.7256 * CHOOSE(CONTROL!$C$15, $E$9, 100%, $G$9) + CHOOSE(CONTROL!$C$38, 0.0347, 0)</f>
        <v>16.760300000000001</v>
      </c>
      <c r="J117" s="26">
        <f>111.9052</f>
        <v>111.90519999999999</v>
      </c>
    </row>
    <row r="118" spans="1:10" ht="15" x14ac:dyDescent="0.2">
      <c r="A118" s="16">
        <v>44866</v>
      </c>
      <c r="B118" s="10">
        <f>18.2897 * CHOOSE(CONTROL!$C$15, $E$9, 100%, $G$9) + CHOOSE(CONTROL!$C$38, 0.0256, 0)</f>
        <v>18.315300000000001</v>
      </c>
      <c r="C118" s="10">
        <f>16.919 * CHOOSE(CONTROL!$C$15, $E$9, 100%, $G$9) + CHOOSE(CONTROL!$C$38, 0.0347, 0)</f>
        <v>16.953700000000001</v>
      </c>
      <c r="D118" s="10">
        <f>16.9112 * CHOOSE(CONTROL!$C$15, $E$9, 100%, $G$9) + CHOOSE(CONTROL!$C$38, 0.0347, 0)</f>
        <v>16.945900000000002</v>
      </c>
      <c r="E118" s="28">
        <f>18.1334 * CHOOSE(CONTROL!$C$15, $E$9, 100%, $G$9) + CHOOSE(CONTROL!$C$38, 0.0347, 0)</f>
        <v>18.168100000000003</v>
      </c>
      <c r="F118" s="27">
        <f>18.1334 * CHOOSE(CONTROL!$C$15, $E$9, 100%, $G$9) + CHOOSE(CONTROL!$C$38, 0.0256, 0)</f>
        <v>18.159000000000002</v>
      </c>
      <c r="G118" s="10">
        <f>16.9174 * CHOOSE(CONTROL!$C$15, $E$9, 100%, $G$9) + CHOOSE(CONTROL!$C$38, 0.0347, 0)</f>
        <v>16.952100000000002</v>
      </c>
      <c r="H118" s="10">
        <f>16.9174 * CHOOSE(CONTROL!$C$15, $E$9, 100%, $G$9) + CHOOSE(CONTROL!$C$38, 0.0347, 0)</f>
        <v>16.952100000000002</v>
      </c>
      <c r="I118" s="10">
        <f>16.919 * CHOOSE(CONTROL!$C$15, $E$9, 100%, $G$9) + CHOOSE(CONTROL!$C$38, 0.0347, 0)</f>
        <v>16.953700000000001</v>
      </c>
      <c r="J118" s="26">
        <f>111.1079</f>
        <v>111.1079</v>
      </c>
    </row>
    <row r="119" spans="1:10" ht="15" x14ac:dyDescent="0.2">
      <c r="A119" s="16">
        <v>44896</v>
      </c>
      <c r="B119" s="10">
        <f>18.8857 * CHOOSE(CONTROL!$C$15, $E$9, 100%, $G$9) + CHOOSE(CONTROL!$C$38, 0.0256, 0)</f>
        <v>18.911300000000001</v>
      </c>
      <c r="C119" s="10">
        <f>17.5151 * CHOOSE(CONTROL!$C$15, $E$9, 100%, $G$9) + CHOOSE(CONTROL!$C$38, 0.0347, 0)</f>
        <v>17.549800000000001</v>
      </c>
      <c r="D119" s="10">
        <f>17.5073 * CHOOSE(CONTROL!$C$15, $E$9, 100%, $G$9) + CHOOSE(CONTROL!$C$38, 0.0347, 0)</f>
        <v>17.542000000000002</v>
      </c>
      <c r="E119" s="28">
        <f>18.7295 * CHOOSE(CONTROL!$C$15, $E$9, 100%, $G$9) + CHOOSE(CONTROL!$C$38, 0.0347, 0)</f>
        <v>18.764200000000002</v>
      </c>
      <c r="F119" s="27">
        <f>18.7295 * CHOOSE(CONTROL!$C$15, $E$9, 100%, $G$9) + CHOOSE(CONTROL!$C$38, 0.0256, 0)</f>
        <v>18.755100000000002</v>
      </c>
      <c r="G119" s="10">
        <f>17.5135 * CHOOSE(CONTROL!$C$15, $E$9, 100%, $G$9) + CHOOSE(CONTROL!$C$38, 0.0347, 0)</f>
        <v>17.548200000000001</v>
      </c>
      <c r="H119" s="10">
        <f>17.5135 * CHOOSE(CONTROL!$C$15, $E$9, 100%, $G$9) + CHOOSE(CONTROL!$C$38, 0.0347, 0)</f>
        <v>17.548200000000001</v>
      </c>
      <c r="I119" s="10">
        <f>17.5151 * CHOOSE(CONTROL!$C$15, $E$9, 100%, $G$9) + CHOOSE(CONTROL!$C$38, 0.0347, 0)</f>
        <v>17.549800000000001</v>
      </c>
      <c r="J119" s="26">
        <f>107.8107</f>
        <v>107.8107</v>
      </c>
    </row>
    <row r="120" spans="1:10" ht="15" x14ac:dyDescent="0.2">
      <c r="A120" s="16">
        <v>44927</v>
      </c>
      <c r="B120" s="10">
        <f>20.1548 * CHOOSE(CONTROL!$C$15, $E$9, 100%, $G$9) + CHOOSE(CONTROL!$C$38, 0.0256, 0)</f>
        <v>20.180400000000002</v>
      </c>
      <c r="C120" s="10">
        <f>18.6084 * CHOOSE(CONTROL!$C$15, $E$9, 100%, $G$9) + CHOOSE(CONTROL!$C$38, 0.0347, 0)</f>
        <v>18.6431</v>
      </c>
      <c r="D120" s="10">
        <f>18.6005 * CHOOSE(CONTROL!$C$15, $E$9, 100%, $G$9) + CHOOSE(CONTROL!$C$38, 0.0347, 0)</f>
        <v>18.635200000000001</v>
      </c>
      <c r="E120" s="28">
        <f>19.9985 * CHOOSE(CONTROL!$C$15, $E$9, 100%, $G$9) + CHOOSE(CONTROL!$C$38, 0.0347, 0)</f>
        <v>20.033200000000001</v>
      </c>
      <c r="F120" s="27">
        <f>19.9985 * CHOOSE(CONTROL!$C$15, $E$9, 100%, $G$9) + CHOOSE(CONTROL!$C$38, 0.0256, 0)</f>
        <v>20.024100000000001</v>
      </c>
      <c r="G120" s="10">
        <f>18.6068 * CHOOSE(CONTROL!$C$15, $E$9, 100%, $G$9) + CHOOSE(CONTROL!$C$38, 0.0347, 0)</f>
        <v>18.641500000000001</v>
      </c>
      <c r="H120" s="10">
        <f>18.6068 * CHOOSE(CONTROL!$C$15, $E$9, 100%, $G$9) + CHOOSE(CONTROL!$C$38, 0.0347, 0)</f>
        <v>18.641500000000001</v>
      </c>
      <c r="I120" s="10">
        <f>18.6084 * CHOOSE(CONTROL!$C$15, $E$9, 100%, $G$9) + CHOOSE(CONTROL!$C$38, 0.0347, 0)</f>
        <v>18.6431</v>
      </c>
      <c r="J120" s="26">
        <f>109.5664</f>
        <v>109.5664</v>
      </c>
    </row>
    <row r="121" spans="1:10" ht="15" x14ac:dyDescent="0.2">
      <c r="A121" s="16">
        <v>44958</v>
      </c>
      <c r="B121" s="10">
        <f>20.3755 * CHOOSE(CONTROL!$C$15, $E$9, 100%, $G$9) + CHOOSE(CONTROL!$C$38, 0.0256, 0)</f>
        <v>20.4011</v>
      </c>
      <c r="C121" s="10">
        <f>18.8291 * CHOOSE(CONTROL!$C$15, $E$9, 100%, $G$9) + CHOOSE(CONTROL!$C$38, 0.0347, 0)</f>
        <v>18.863800000000001</v>
      </c>
      <c r="D121" s="10">
        <f>18.8213 * CHOOSE(CONTROL!$C$15, $E$9, 100%, $G$9) + CHOOSE(CONTROL!$C$38, 0.0347, 0)</f>
        <v>18.856000000000002</v>
      </c>
      <c r="E121" s="28">
        <f>20.2193 * CHOOSE(CONTROL!$C$15, $E$9, 100%, $G$9) + CHOOSE(CONTROL!$C$38, 0.0347, 0)</f>
        <v>20.254000000000001</v>
      </c>
      <c r="F121" s="27">
        <f>20.2193 * CHOOSE(CONTROL!$C$15, $E$9, 100%, $G$9) + CHOOSE(CONTROL!$C$38, 0.0256, 0)</f>
        <v>20.244900000000001</v>
      </c>
      <c r="G121" s="10">
        <f>18.8276 * CHOOSE(CONTROL!$C$15, $E$9, 100%, $G$9) + CHOOSE(CONTROL!$C$38, 0.0347, 0)</f>
        <v>18.862300000000001</v>
      </c>
      <c r="H121" s="10">
        <f>18.8276 * CHOOSE(CONTROL!$C$15, $E$9, 100%, $G$9) + CHOOSE(CONTROL!$C$38, 0.0347, 0)</f>
        <v>18.862300000000001</v>
      </c>
      <c r="I121" s="10">
        <f>18.8291 * CHOOSE(CONTROL!$C$15, $E$9, 100%, $G$9) + CHOOSE(CONTROL!$C$38, 0.0347, 0)</f>
        <v>18.863800000000001</v>
      </c>
      <c r="J121" s="26">
        <f>109.2618</f>
        <v>109.26179999999999</v>
      </c>
    </row>
    <row r="122" spans="1:10" ht="15" x14ac:dyDescent="0.2">
      <c r="A122" s="16">
        <v>44986</v>
      </c>
      <c r="B122" s="10">
        <f>19.8645 * CHOOSE(CONTROL!$C$15, $E$9, 100%, $G$9) + CHOOSE(CONTROL!$C$38, 0.0256, 0)</f>
        <v>19.8901</v>
      </c>
      <c r="C122" s="10">
        <f>18.3181 * CHOOSE(CONTROL!$C$15, $E$9, 100%, $G$9) + CHOOSE(CONTROL!$C$38, 0.0347, 0)</f>
        <v>18.352800000000002</v>
      </c>
      <c r="D122" s="10">
        <f>18.3103 * CHOOSE(CONTROL!$C$15, $E$9, 100%, $G$9) + CHOOSE(CONTROL!$C$38, 0.0347, 0)</f>
        <v>18.345000000000002</v>
      </c>
      <c r="E122" s="28">
        <f>19.7082 * CHOOSE(CONTROL!$C$15, $E$9, 100%, $G$9) + CHOOSE(CONTROL!$C$38, 0.0347, 0)</f>
        <v>19.742900000000002</v>
      </c>
      <c r="F122" s="27">
        <f>19.7082 * CHOOSE(CONTROL!$C$15, $E$9, 100%, $G$9) + CHOOSE(CONTROL!$C$38, 0.0256, 0)</f>
        <v>19.733800000000002</v>
      </c>
      <c r="G122" s="10">
        <f>18.3165 * CHOOSE(CONTROL!$C$15, $E$9, 100%, $G$9) + CHOOSE(CONTROL!$C$38, 0.0347, 0)</f>
        <v>18.351200000000002</v>
      </c>
      <c r="H122" s="10">
        <f>18.3165 * CHOOSE(CONTROL!$C$15, $E$9, 100%, $G$9) + CHOOSE(CONTROL!$C$38, 0.0347, 0)</f>
        <v>18.351200000000002</v>
      </c>
      <c r="I122" s="10">
        <f>18.3181 * CHOOSE(CONTROL!$C$15, $E$9, 100%, $G$9) + CHOOSE(CONTROL!$C$38, 0.0347, 0)</f>
        <v>18.352800000000002</v>
      </c>
      <c r="J122" s="26">
        <f>115.0206</f>
        <v>115.0206</v>
      </c>
    </row>
    <row r="123" spans="1:10" ht="15" x14ac:dyDescent="0.2">
      <c r="A123" s="16">
        <v>45017</v>
      </c>
      <c r="B123" s="10">
        <f>19.3693 * CHOOSE(CONTROL!$C$15, $E$9, 100%, $G$9) + CHOOSE(CONTROL!$C$38, 0.0256, 0)</f>
        <v>19.3949</v>
      </c>
      <c r="C123" s="10">
        <f>17.8229 * CHOOSE(CONTROL!$C$15, $E$9, 100%, $G$9) + CHOOSE(CONTROL!$C$38, 0.0347, 0)</f>
        <v>17.857600000000001</v>
      </c>
      <c r="D123" s="10">
        <f>17.8151 * CHOOSE(CONTROL!$C$15, $E$9, 100%, $G$9) + CHOOSE(CONTROL!$C$38, 0.0347, 0)</f>
        <v>17.849800000000002</v>
      </c>
      <c r="E123" s="28">
        <f>19.2131 * CHOOSE(CONTROL!$C$15, $E$9, 100%, $G$9) + CHOOSE(CONTROL!$C$38, 0.0347, 0)</f>
        <v>19.247800000000002</v>
      </c>
      <c r="F123" s="27">
        <f>19.2131 * CHOOSE(CONTROL!$C$15, $E$9, 100%, $G$9) + CHOOSE(CONTROL!$C$38, 0.0256, 0)</f>
        <v>19.238700000000001</v>
      </c>
      <c r="G123" s="10">
        <f>17.8213 * CHOOSE(CONTROL!$C$15, $E$9, 100%, $G$9) + CHOOSE(CONTROL!$C$38, 0.0347, 0)</f>
        <v>17.856000000000002</v>
      </c>
      <c r="H123" s="10">
        <f>17.8213 * CHOOSE(CONTROL!$C$15, $E$9, 100%, $G$9) + CHOOSE(CONTROL!$C$38, 0.0347, 0)</f>
        <v>17.856000000000002</v>
      </c>
      <c r="I123" s="10">
        <f>17.8229 * CHOOSE(CONTROL!$C$15, $E$9, 100%, $G$9) + CHOOSE(CONTROL!$C$38, 0.0347, 0)</f>
        <v>17.857600000000001</v>
      </c>
      <c r="J123" s="26">
        <f>122.4882</f>
        <v>122.48820000000001</v>
      </c>
    </row>
    <row r="124" spans="1:10" ht="15" x14ac:dyDescent="0.2">
      <c r="A124" s="16">
        <v>45047</v>
      </c>
      <c r="B124" s="10">
        <f>18.8532 * CHOOSE(CONTROL!$C$15, $E$9, 100%, $G$9) + CHOOSE(CONTROL!$C$38, 0.0256, 0)</f>
        <v>18.878800000000002</v>
      </c>
      <c r="C124" s="10">
        <f>17.3068 * CHOOSE(CONTROL!$C$15, $E$9, 100%, $G$9) + CHOOSE(CONTROL!$C$38, 0.0347, 0)</f>
        <v>17.3415</v>
      </c>
      <c r="D124" s="10">
        <f>17.299 * CHOOSE(CONTROL!$C$15, $E$9, 100%, $G$9) + CHOOSE(CONTROL!$C$38, 0.0347, 0)</f>
        <v>17.3337</v>
      </c>
      <c r="E124" s="28">
        <f>18.697 * CHOOSE(CONTROL!$C$15, $E$9, 100%, $G$9) + CHOOSE(CONTROL!$C$38, 0.0347, 0)</f>
        <v>18.7317</v>
      </c>
      <c r="F124" s="27">
        <f>18.697 * CHOOSE(CONTROL!$C$15, $E$9, 100%, $G$9) + CHOOSE(CONTROL!$C$38, 0.0256, 0)</f>
        <v>18.7226</v>
      </c>
      <c r="G124" s="10">
        <f>17.3052 * CHOOSE(CONTROL!$C$15, $E$9, 100%, $G$9) + CHOOSE(CONTROL!$C$38, 0.0347, 0)</f>
        <v>17.3399</v>
      </c>
      <c r="H124" s="10">
        <f>17.3052 * CHOOSE(CONTROL!$C$15, $E$9, 100%, $G$9) + CHOOSE(CONTROL!$C$38, 0.0347, 0)</f>
        <v>17.3399</v>
      </c>
      <c r="I124" s="10">
        <f>17.3068 * CHOOSE(CONTROL!$C$15, $E$9, 100%, $G$9) + CHOOSE(CONTROL!$C$38, 0.0347, 0)</f>
        <v>17.3415</v>
      </c>
      <c r="J124" s="26">
        <f>126.5987</f>
        <v>126.59869999999999</v>
      </c>
    </row>
    <row r="125" spans="1:10" ht="15" x14ac:dyDescent="0.2">
      <c r="A125" s="16">
        <v>45078</v>
      </c>
      <c r="B125" s="10">
        <f>18.4914 * CHOOSE(CONTROL!$C$15, $E$9, 100%, $G$9) + CHOOSE(CONTROL!$C$38, 0.0256, 0)</f>
        <v>18.516999999999999</v>
      </c>
      <c r="C125" s="10">
        <f>16.945 * CHOOSE(CONTROL!$C$15, $E$9, 100%, $G$9) + CHOOSE(CONTROL!$C$38, 0.0347, 0)</f>
        <v>16.979700000000001</v>
      </c>
      <c r="D125" s="10">
        <f>16.9372 * CHOOSE(CONTROL!$C$15, $E$9, 100%, $G$9) + CHOOSE(CONTROL!$C$38, 0.0347, 0)</f>
        <v>16.971900000000002</v>
      </c>
      <c r="E125" s="28">
        <f>18.3351 * CHOOSE(CONTROL!$C$15, $E$9, 100%, $G$9) + CHOOSE(CONTROL!$C$38, 0.0347, 0)</f>
        <v>18.369800000000001</v>
      </c>
      <c r="F125" s="27">
        <f>18.3351 * CHOOSE(CONTROL!$C$15, $E$9, 100%, $G$9) + CHOOSE(CONTROL!$C$38, 0.0256, 0)</f>
        <v>18.360700000000001</v>
      </c>
      <c r="G125" s="10">
        <f>16.9434 * CHOOSE(CONTROL!$C$15, $E$9, 100%, $G$9) + CHOOSE(CONTROL!$C$38, 0.0347, 0)</f>
        <v>16.978100000000001</v>
      </c>
      <c r="H125" s="10">
        <f>16.9434 * CHOOSE(CONTROL!$C$15, $E$9, 100%, $G$9) + CHOOSE(CONTROL!$C$38, 0.0347, 0)</f>
        <v>16.978100000000001</v>
      </c>
      <c r="I125" s="10">
        <f>16.945 * CHOOSE(CONTROL!$C$15, $E$9, 100%, $G$9) + CHOOSE(CONTROL!$C$38, 0.0347, 0)</f>
        <v>16.979700000000001</v>
      </c>
      <c r="J125" s="26">
        <f>128.4229</f>
        <v>128.4229</v>
      </c>
    </row>
    <row r="126" spans="1:10" ht="15" x14ac:dyDescent="0.2">
      <c r="A126" s="16">
        <v>45108</v>
      </c>
      <c r="B126" s="10">
        <f>18.2849 * CHOOSE(CONTROL!$C$15, $E$9, 100%, $G$9) + CHOOSE(CONTROL!$C$38, 0.0256, 0)</f>
        <v>18.310500000000001</v>
      </c>
      <c r="C126" s="10">
        <f>16.7385 * CHOOSE(CONTROL!$C$15, $E$9, 100%, $G$9) + CHOOSE(CONTROL!$C$38, 0.0347, 0)</f>
        <v>16.773199999999999</v>
      </c>
      <c r="D126" s="10">
        <f>16.7307 * CHOOSE(CONTROL!$C$15, $E$9, 100%, $G$9) + CHOOSE(CONTROL!$C$38, 0.0347, 0)</f>
        <v>16.7654</v>
      </c>
      <c r="E126" s="28">
        <f>18.1286 * CHOOSE(CONTROL!$C$15, $E$9, 100%, $G$9) + CHOOSE(CONTROL!$C$38, 0.0347, 0)</f>
        <v>18.1633</v>
      </c>
      <c r="F126" s="27">
        <f>18.1286 * CHOOSE(CONTROL!$C$15, $E$9, 100%, $G$9) + CHOOSE(CONTROL!$C$38, 0.0256, 0)</f>
        <v>18.154199999999999</v>
      </c>
      <c r="G126" s="10">
        <f>16.7369 * CHOOSE(CONTROL!$C$15, $E$9, 100%, $G$9) + CHOOSE(CONTROL!$C$38, 0.0347, 0)</f>
        <v>16.771599999999999</v>
      </c>
      <c r="H126" s="10">
        <f>16.7369 * CHOOSE(CONTROL!$C$15, $E$9, 100%, $G$9) + CHOOSE(CONTROL!$C$38, 0.0347, 0)</f>
        <v>16.771599999999999</v>
      </c>
      <c r="I126" s="10">
        <f>16.7385 * CHOOSE(CONTROL!$C$15, $E$9, 100%, $G$9) + CHOOSE(CONTROL!$C$38, 0.0347, 0)</f>
        <v>16.773199999999999</v>
      </c>
      <c r="J126" s="26">
        <f>127.8223</f>
        <v>127.8223</v>
      </c>
    </row>
    <row r="127" spans="1:10" ht="15" x14ac:dyDescent="0.2">
      <c r="A127" s="16">
        <v>45139</v>
      </c>
      <c r="B127" s="10">
        <f>18.3868 * CHOOSE(CONTROL!$C$15, $E$9, 100%, $G$9) + CHOOSE(CONTROL!$C$38, 0.0256, 0)</f>
        <v>18.412400000000002</v>
      </c>
      <c r="C127" s="10">
        <f>16.8404 * CHOOSE(CONTROL!$C$15, $E$9, 100%, $G$9) + CHOOSE(CONTROL!$C$38, 0.0347, 0)</f>
        <v>16.8751</v>
      </c>
      <c r="D127" s="10">
        <f>16.8326 * CHOOSE(CONTROL!$C$15, $E$9, 100%, $G$9) + CHOOSE(CONTROL!$C$38, 0.0347, 0)</f>
        <v>16.8673</v>
      </c>
      <c r="E127" s="28">
        <f>18.2305 * CHOOSE(CONTROL!$C$15, $E$9, 100%, $G$9) + CHOOSE(CONTROL!$C$38, 0.0347, 0)</f>
        <v>18.2652</v>
      </c>
      <c r="F127" s="27">
        <f>18.2305 * CHOOSE(CONTROL!$C$15, $E$9, 100%, $G$9) + CHOOSE(CONTROL!$C$38, 0.0256, 0)</f>
        <v>18.2561</v>
      </c>
      <c r="G127" s="10">
        <f>16.8388 * CHOOSE(CONTROL!$C$15, $E$9, 100%, $G$9) + CHOOSE(CONTROL!$C$38, 0.0347, 0)</f>
        <v>16.8735</v>
      </c>
      <c r="H127" s="10">
        <f>16.8388 * CHOOSE(CONTROL!$C$15, $E$9, 100%, $G$9) + CHOOSE(CONTROL!$C$38, 0.0347, 0)</f>
        <v>16.8735</v>
      </c>
      <c r="I127" s="10">
        <f>16.8404 * CHOOSE(CONTROL!$C$15, $E$9, 100%, $G$9) + CHOOSE(CONTROL!$C$38, 0.0347, 0)</f>
        <v>16.8751</v>
      </c>
      <c r="J127" s="26">
        <f>124.8466</f>
        <v>124.8466</v>
      </c>
    </row>
    <row r="128" spans="1:10" ht="15" x14ac:dyDescent="0.2">
      <c r="A128" s="16">
        <v>45170</v>
      </c>
      <c r="B128" s="10">
        <f>18.6636 * CHOOSE(CONTROL!$C$15, $E$9, 100%, $G$9) + CHOOSE(CONTROL!$C$38, 0.0256, 0)</f>
        <v>18.6892</v>
      </c>
      <c r="C128" s="10">
        <f>17.1172 * CHOOSE(CONTROL!$C$15, $E$9, 100%, $G$9) + CHOOSE(CONTROL!$C$38, 0.0347, 0)</f>
        <v>17.151900000000001</v>
      </c>
      <c r="D128" s="10">
        <f>17.1094 * CHOOSE(CONTROL!$C$15, $E$9, 100%, $G$9) + CHOOSE(CONTROL!$C$38, 0.0347, 0)</f>
        <v>17.144100000000002</v>
      </c>
      <c r="E128" s="28">
        <f>18.5073 * CHOOSE(CONTROL!$C$15, $E$9, 100%, $G$9) + CHOOSE(CONTROL!$C$38, 0.0347, 0)</f>
        <v>18.542000000000002</v>
      </c>
      <c r="F128" s="27">
        <f>18.5073 * CHOOSE(CONTROL!$C$15, $E$9, 100%, $G$9) + CHOOSE(CONTROL!$C$38, 0.0256, 0)</f>
        <v>18.532900000000001</v>
      </c>
      <c r="G128" s="10">
        <f>17.1156 * CHOOSE(CONTROL!$C$15, $E$9, 100%, $G$9) + CHOOSE(CONTROL!$C$38, 0.0347, 0)</f>
        <v>17.150300000000001</v>
      </c>
      <c r="H128" s="10">
        <f>17.1156 * CHOOSE(CONTROL!$C$15, $E$9, 100%, $G$9) + CHOOSE(CONTROL!$C$38, 0.0347, 0)</f>
        <v>17.150300000000001</v>
      </c>
      <c r="I128" s="10">
        <f>17.1172 * CHOOSE(CONTROL!$C$15, $E$9, 100%, $G$9) + CHOOSE(CONTROL!$C$38, 0.0347, 0)</f>
        <v>17.151900000000001</v>
      </c>
      <c r="J128" s="26">
        <f>120.6969</f>
        <v>120.6969</v>
      </c>
    </row>
    <row r="129" spans="1:10" ht="15" x14ac:dyDescent="0.2">
      <c r="A129" s="16">
        <v>45200</v>
      </c>
      <c r="B129" s="10">
        <f>18.8954 * CHOOSE(CONTROL!$C$15, $E$9, 100%, $G$9) + CHOOSE(CONTROL!$C$38, 0.0256, 0)</f>
        <v>18.920999999999999</v>
      </c>
      <c r="C129" s="10">
        <f>17.349 * CHOOSE(CONTROL!$C$15, $E$9, 100%, $G$9) + CHOOSE(CONTROL!$C$38, 0.0347, 0)</f>
        <v>17.383700000000001</v>
      </c>
      <c r="D129" s="10">
        <f>17.3412 * CHOOSE(CONTROL!$C$15, $E$9, 100%, $G$9) + CHOOSE(CONTROL!$C$38, 0.0347, 0)</f>
        <v>17.375900000000001</v>
      </c>
      <c r="E129" s="28">
        <f>18.7392 * CHOOSE(CONTROL!$C$15, $E$9, 100%, $G$9) + CHOOSE(CONTROL!$C$38, 0.0347, 0)</f>
        <v>18.773900000000001</v>
      </c>
      <c r="F129" s="27">
        <f>18.7392 * CHOOSE(CONTROL!$C$15, $E$9, 100%, $G$9) + CHOOSE(CONTROL!$C$38, 0.0256, 0)</f>
        <v>18.764800000000001</v>
      </c>
      <c r="G129" s="10">
        <f>17.3474 * CHOOSE(CONTROL!$C$15, $E$9, 100%, $G$9) + CHOOSE(CONTROL!$C$38, 0.0347, 0)</f>
        <v>17.382100000000001</v>
      </c>
      <c r="H129" s="10">
        <f>17.3474 * CHOOSE(CONTROL!$C$15, $E$9, 100%, $G$9) + CHOOSE(CONTROL!$C$38, 0.0347, 0)</f>
        <v>17.382100000000001</v>
      </c>
      <c r="I129" s="10">
        <f>17.349 * CHOOSE(CONTROL!$C$15, $E$9, 100%, $G$9) + CHOOSE(CONTROL!$C$38, 0.0347, 0)</f>
        <v>17.383700000000001</v>
      </c>
      <c r="J129" s="26">
        <f>116.5231</f>
        <v>116.5231</v>
      </c>
    </row>
    <row r="130" spans="1:10" ht="15" x14ac:dyDescent="0.2">
      <c r="A130" s="16">
        <v>45231</v>
      </c>
      <c r="B130" s="10">
        <f>19.0889 * CHOOSE(CONTROL!$C$15, $E$9, 100%, $G$9) + CHOOSE(CONTROL!$C$38, 0.0256, 0)</f>
        <v>19.1145</v>
      </c>
      <c r="C130" s="10">
        <f>17.5424 * CHOOSE(CONTROL!$C$15, $E$9, 100%, $G$9) + CHOOSE(CONTROL!$C$38, 0.0347, 0)</f>
        <v>17.577100000000002</v>
      </c>
      <c r="D130" s="10">
        <f>17.5346 * CHOOSE(CONTROL!$C$15, $E$9, 100%, $G$9) + CHOOSE(CONTROL!$C$38, 0.0347, 0)</f>
        <v>17.569300000000002</v>
      </c>
      <c r="E130" s="28">
        <f>18.9326 * CHOOSE(CONTROL!$C$15, $E$9, 100%, $G$9) + CHOOSE(CONTROL!$C$38, 0.0347, 0)</f>
        <v>18.967300000000002</v>
      </c>
      <c r="F130" s="27">
        <f>18.9326 * CHOOSE(CONTROL!$C$15, $E$9, 100%, $G$9) + CHOOSE(CONTROL!$C$38, 0.0256, 0)</f>
        <v>18.958200000000001</v>
      </c>
      <c r="G130" s="10">
        <f>17.5409 * CHOOSE(CONTROL!$C$15, $E$9, 100%, $G$9) + CHOOSE(CONTROL!$C$38, 0.0347, 0)</f>
        <v>17.575600000000001</v>
      </c>
      <c r="H130" s="10">
        <f>17.5409 * CHOOSE(CONTROL!$C$15, $E$9, 100%, $G$9) + CHOOSE(CONTROL!$C$38, 0.0347, 0)</f>
        <v>17.575600000000001</v>
      </c>
      <c r="I130" s="10">
        <f>17.5424 * CHOOSE(CONTROL!$C$15, $E$9, 100%, $G$9) + CHOOSE(CONTROL!$C$38, 0.0347, 0)</f>
        <v>17.577100000000002</v>
      </c>
      <c r="J130" s="26">
        <f>115.6928</f>
        <v>115.69280000000001</v>
      </c>
    </row>
    <row r="131" spans="1:10" ht="15" x14ac:dyDescent="0.2">
      <c r="A131" s="16">
        <v>45261</v>
      </c>
      <c r="B131" s="10">
        <f>19.6849 * CHOOSE(CONTROL!$C$15, $E$9, 100%, $G$9) + CHOOSE(CONTROL!$C$38, 0.0256, 0)</f>
        <v>19.7105</v>
      </c>
      <c r="C131" s="10">
        <f>18.1385 * CHOOSE(CONTROL!$C$15, $E$9, 100%, $G$9) + CHOOSE(CONTROL!$C$38, 0.0347, 0)</f>
        <v>18.173200000000001</v>
      </c>
      <c r="D131" s="10">
        <f>18.1307 * CHOOSE(CONTROL!$C$15, $E$9, 100%, $G$9) + CHOOSE(CONTROL!$C$38, 0.0347, 0)</f>
        <v>18.165400000000002</v>
      </c>
      <c r="E131" s="28">
        <f>19.5287 * CHOOSE(CONTROL!$C$15, $E$9, 100%, $G$9) + CHOOSE(CONTROL!$C$38, 0.0347, 0)</f>
        <v>19.563400000000001</v>
      </c>
      <c r="F131" s="27">
        <f>19.5287 * CHOOSE(CONTROL!$C$15, $E$9, 100%, $G$9) + CHOOSE(CONTROL!$C$38, 0.0256, 0)</f>
        <v>19.554300000000001</v>
      </c>
      <c r="G131" s="10">
        <f>18.137 * CHOOSE(CONTROL!$C$15, $E$9, 100%, $G$9) + CHOOSE(CONTROL!$C$38, 0.0347, 0)</f>
        <v>18.171700000000001</v>
      </c>
      <c r="H131" s="10">
        <f>18.137 * CHOOSE(CONTROL!$C$15, $E$9, 100%, $G$9) + CHOOSE(CONTROL!$C$38, 0.0347, 0)</f>
        <v>18.171700000000001</v>
      </c>
      <c r="I131" s="10">
        <f>18.1385 * CHOOSE(CONTROL!$C$15, $E$9, 100%, $G$9) + CHOOSE(CONTROL!$C$38, 0.0347, 0)</f>
        <v>18.173200000000001</v>
      </c>
      <c r="J131" s="26">
        <f>112.2597</f>
        <v>112.2597</v>
      </c>
    </row>
    <row r="132" spans="1:10" ht="15" x14ac:dyDescent="0.2">
      <c r="A132" s="16">
        <v>45292</v>
      </c>
      <c r="B132" s="10">
        <f>20.9828 * CHOOSE(CONTROL!$C$15, $E$9, 100%, $G$9) + CHOOSE(CONTROL!$C$38, 0.0256, 0)</f>
        <v>21.008400000000002</v>
      </c>
      <c r="C132" s="10">
        <f>19.2599 * CHOOSE(CONTROL!$C$15, $E$9, 100%, $G$9) + CHOOSE(CONTROL!$C$38, 0.0347, 0)</f>
        <v>19.294599999999999</v>
      </c>
      <c r="D132" s="10">
        <f>19.2521 * CHOOSE(CONTROL!$C$15, $E$9, 100%, $G$9) + CHOOSE(CONTROL!$C$38, 0.0347, 0)</f>
        <v>19.286799999999999</v>
      </c>
      <c r="E132" s="28">
        <f>20.8265 * CHOOSE(CONTROL!$C$15, $E$9, 100%, $G$9) + CHOOSE(CONTROL!$C$38, 0.0347, 0)</f>
        <v>20.8612</v>
      </c>
      <c r="F132" s="27">
        <f>20.8265 * CHOOSE(CONTROL!$C$15, $E$9, 100%, $G$9) + CHOOSE(CONTROL!$C$38, 0.0256, 0)</f>
        <v>20.8521</v>
      </c>
      <c r="G132" s="10">
        <f>19.2584 * CHOOSE(CONTROL!$C$15, $E$9, 100%, $G$9) + CHOOSE(CONTROL!$C$38, 0.0347, 0)</f>
        <v>19.293100000000003</v>
      </c>
      <c r="H132" s="10">
        <f>19.2584 * CHOOSE(CONTROL!$C$15, $E$9, 100%, $G$9) + CHOOSE(CONTROL!$C$38, 0.0347, 0)</f>
        <v>19.293100000000003</v>
      </c>
      <c r="I132" s="10">
        <f>19.2599 * CHOOSE(CONTROL!$C$15, $E$9, 100%, $G$9) + CHOOSE(CONTROL!$C$38, 0.0347, 0)</f>
        <v>19.294599999999999</v>
      </c>
      <c r="J132" s="26">
        <f>114.0833</f>
        <v>114.08329999999999</v>
      </c>
    </row>
    <row r="133" spans="1:10" ht="15" x14ac:dyDescent="0.2">
      <c r="A133" s="16">
        <v>45323</v>
      </c>
      <c r="B133" s="10">
        <f>21.2035 * CHOOSE(CONTROL!$C$15, $E$9, 100%, $G$9) + CHOOSE(CONTROL!$C$38, 0.0256, 0)</f>
        <v>21.229099999999999</v>
      </c>
      <c r="C133" s="10">
        <f>19.4807 * CHOOSE(CONTROL!$C$15, $E$9, 100%, $G$9) + CHOOSE(CONTROL!$C$38, 0.0347, 0)</f>
        <v>19.5154</v>
      </c>
      <c r="D133" s="10">
        <f>19.4729 * CHOOSE(CONTROL!$C$15, $E$9, 100%, $G$9) + CHOOSE(CONTROL!$C$38, 0.0347, 0)</f>
        <v>19.5076</v>
      </c>
      <c r="E133" s="28">
        <f>21.0473 * CHOOSE(CONTROL!$C$15, $E$9, 100%, $G$9) + CHOOSE(CONTROL!$C$38, 0.0347, 0)</f>
        <v>21.082000000000001</v>
      </c>
      <c r="F133" s="27">
        <f>21.0473 * CHOOSE(CONTROL!$C$15, $E$9, 100%, $G$9) + CHOOSE(CONTROL!$C$38, 0.0256, 0)</f>
        <v>21.072900000000001</v>
      </c>
      <c r="G133" s="10">
        <f>19.4791 * CHOOSE(CONTROL!$C$15, $E$9, 100%, $G$9) + CHOOSE(CONTROL!$C$38, 0.0347, 0)</f>
        <v>19.5138</v>
      </c>
      <c r="H133" s="10">
        <f>19.4791 * CHOOSE(CONTROL!$C$15, $E$9, 100%, $G$9) + CHOOSE(CONTROL!$C$38, 0.0347, 0)</f>
        <v>19.5138</v>
      </c>
      <c r="I133" s="10">
        <f>19.4807 * CHOOSE(CONTROL!$C$15, $E$9, 100%, $G$9) + CHOOSE(CONTROL!$C$38, 0.0347, 0)</f>
        <v>19.5154</v>
      </c>
      <c r="J133" s="26">
        <f>113.7662</f>
        <v>113.7662</v>
      </c>
    </row>
    <row r="134" spans="1:10" ht="15" x14ac:dyDescent="0.2">
      <c r="A134" s="16">
        <v>45352</v>
      </c>
      <c r="B134" s="10">
        <f>20.6925 * CHOOSE(CONTROL!$C$15, $E$9, 100%, $G$9) + CHOOSE(CONTROL!$C$38, 0.0256, 0)</f>
        <v>20.7181</v>
      </c>
      <c r="C134" s="10">
        <f>18.9697 * CHOOSE(CONTROL!$C$15, $E$9, 100%, $G$9) + CHOOSE(CONTROL!$C$38, 0.0347, 0)</f>
        <v>19.0044</v>
      </c>
      <c r="D134" s="10">
        <f>18.9618 * CHOOSE(CONTROL!$C$15, $E$9, 100%, $G$9) + CHOOSE(CONTROL!$C$38, 0.0347, 0)</f>
        <v>18.996500000000001</v>
      </c>
      <c r="E134" s="28">
        <f>20.5363 * CHOOSE(CONTROL!$C$15, $E$9, 100%, $G$9) + CHOOSE(CONTROL!$C$38, 0.0347, 0)</f>
        <v>20.571000000000002</v>
      </c>
      <c r="F134" s="27">
        <f>20.5363 * CHOOSE(CONTROL!$C$15, $E$9, 100%, $G$9) + CHOOSE(CONTROL!$C$38, 0.0256, 0)</f>
        <v>20.561900000000001</v>
      </c>
      <c r="G134" s="10">
        <f>18.9681 * CHOOSE(CONTROL!$C$15, $E$9, 100%, $G$9) + CHOOSE(CONTROL!$C$38, 0.0347, 0)</f>
        <v>19.002800000000001</v>
      </c>
      <c r="H134" s="10">
        <f>18.9681 * CHOOSE(CONTROL!$C$15, $E$9, 100%, $G$9) + CHOOSE(CONTROL!$C$38, 0.0347, 0)</f>
        <v>19.002800000000001</v>
      </c>
      <c r="I134" s="10">
        <f>18.9697 * CHOOSE(CONTROL!$C$15, $E$9, 100%, $G$9) + CHOOSE(CONTROL!$C$38, 0.0347, 0)</f>
        <v>19.0044</v>
      </c>
      <c r="J134" s="26">
        <f>119.7624</f>
        <v>119.7624</v>
      </c>
    </row>
    <row r="135" spans="1:10" ht="15" x14ac:dyDescent="0.2">
      <c r="A135" s="16">
        <v>45383</v>
      </c>
      <c r="B135" s="10">
        <f>20.1973 * CHOOSE(CONTROL!$C$15, $E$9, 100%, $G$9) + CHOOSE(CONTROL!$C$38, 0.0256, 0)</f>
        <v>20.222899999999999</v>
      </c>
      <c r="C135" s="10">
        <f>18.4745 * CHOOSE(CONTROL!$C$15, $E$9, 100%, $G$9) + CHOOSE(CONTROL!$C$38, 0.0347, 0)</f>
        <v>18.5092</v>
      </c>
      <c r="D135" s="10">
        <f>18.4667 * CHOOSE(CONTROL!$C$15, $E$9, 100%, $G$9) + CHOOSE(CONTROL!$C$38, 0.0347, 0)</f>
        <v>18.5014</v>
      </c>
      <c r="E135" s="28">
        <f>20.0411 * CHOOSE(CONTROL!$C$15, $E$9, 100%, $G$9) + CHOOSE(CONTROL!$C$38, 0.0347, 0)</f>
        <v>20.075800000000001</v>
      </c>
      <c r="F135" s="27">
        <f>20.0411 * CHOOSE(CONTROL!$C$15, $E$9, 100%, $G$9) + CHOOSE(CONTROL!$C$38, 0.0256, 0)</f>
        <v>20.066700000000001</v>
      </c>
      <c r="G135" s="10">
        <f>18.4729 * CHOOSE(CONTROL!$C$15, $E$9, 100%, $G$9) + CHOOSE(CONTROL!$C$38, 0.0347, 0)</f>
        <v>18.5076</v>
      </c>
      <c r="H135" s="10">
        <f>18.4729 * CHOOSE(CONTROL!$C$15, $E$9, 100%, $G$9) + CHOOSE(CONTROL!$C$38, 0.0347, 0)</f>
        <v>18.5076</v>
      </c>
      <c r="I135" s="10">
        <f>18.4745 * CHOOSE(CONTROL!$C$15, $E$9, 100%, $G$9) + CHOOSE(CONTROL!$C$38, 0.0347, 0)</f>
        <v>18.5092</v>
      </c>
      <c r="J135" s="26">
        <f>127.5379</f>
        <v>127.53789999999999</v>
      </c>
    </row>
    <row r="136" spans="1:10" ht="15" x14ac:dyDescent="0.2">
      <c r="A136" s="16">
        <v>45413</v>
      </c>
      <c r="B136" s="10">
        <f>19.6812 * CHOOSE(CONTROL!$C$15, $E$9, 100%, $G$9) + CHOOSE(CONTROL!$C$38, 0.0256, 0)</f>
        <v>19.706800000000001</v>
      </c>
      <c r="C136" s="10">
        <f>17.9584 * CHOOSE(CONTROL!$C$15, $E$9, 100%, $G$9) + CHOOSE(CONTROL!$C$38, 0.0347, 0)</f>
        <v>17.993100000000002</v>
      </c>
      <c r="D136" s="10">
        <f>17.9505 * CHOOSE(CONTROL!$C$15, $E$9, 100%, $G$9) + CHOOSE(CONTROL!$C$38, 0.0347, 0)</f>
        <v>17.985200000000003</v>
      </c>
      <c r="E136" s="28">
        <f>19.525 * CHOOSE(CONTROL!$C$15, $E$9, 100%, $G$9) + CHOOSE(CONTROL!$C$38, 0.0347, 0)</f>
        <v>19.559699999999999</v>
      </c>
      <c r="F136" s="27">
        <f>19.525 * CHOOSE(CONTROL!$C$15, $E$9, 100%, $G$9) + CHOOSE(CONTROL!$C$38, 0.0256, 0)</f>
        <v>19.550599999999999</v>
      </c>
      <c r="G136" s="10">
        <f>17.9568 * CHOOSE(CONTROL!$C$15, $E$9, 100%, $G$9) + CHOOSE(CONTROL!$C$38, 0.0347, 0)</f>
        <v>17.991500000000002</v>
      </c>
      <c r="H136" s="10">
        <f>17.9568 * CHOOSE(CONTROL!$C$15, $E$9, 100%, $G$9) + CHOOSE(CONTROL!$C$38, 0.0347, 0)</f>
        <v>17.991500000000002</v>
      </c>
      <c r="I136" s="10">
        <f>17.9584 * CHOOSE(CONTROL!$C$15, $E$9, 100%, $G$9) + CHOOSE(CONTROL!$C$38, 0.0347, 0)</f>
        <v>17.993100000000002</v>
      </c>
      <c r="J136" s="26">
        <f>131.8179</f>
        <v>131.81790000000001</v>
      </c>
    </row>
    <row r="137" spans="1:10" ht="15" x14ac:dyDescent="0.2">
      <c r="A137" s="16">
        <v>45444</v>
      </c>
      <c r="B137" s="10">
        <f>19.3194 * CHOOSE(CONTROL!$C$15, $E$9, 100%, $G$9) + CHOOSE(CONTROL!$C$38, 0.0256, 0)</f>
        <v>19.345000000000002</v>
      </c>
      <c r="C137" s="10">
        <f>17.5965 * CHOOSE(CONTROL!$C$15, $E$9, 100%, $G$9) + CHOOSE(CONTROL!$C$38, 0.0347, 0)</f>
        <v>17.6312</v>
      </c>
      <c r="D137" s="10">
        <f>17.5887 * CHOOSE(CONTROL!$C$15, $E$9, 100%, $G$9) + CHOOSE(CONTROL!$C$38, 0.0347, 0)</f>
        <v>17.6234</v>
      </c>
      <c r="E137" s="28">
        <f>19.1631 * CHOOSE(CONTROL!$C$15, $E$9, 100%, $G$9) + CHOOSE(CONTROL!$C$38, 0.0347, 0)</f>
        <v>19.197800000000001</v>
      </c>
      <c r="F137" s="27">
        <f>19.1631 * CHOOSE(CONTROL!$C$15, $E$9, 100%, $G$9) + CHOOSE(CONTROL!$C$38, 0.0256, 0)</f>
        <v>19.188700000000001</v>
      </c>
      <c r="G137" s="10">
        <f>17.595 * CHOOSE(CONTROL!$C$15, $E$9, 100%, $G$9) + CHOOSE(CONTROL!$C$38, 0.0347, 0)</f>
        <v>17.6297</v>
      </c>
      <c r="H137" s="10">
        <f>17.595 * CHOOSE(CONTROL!$C$15, $E$9, 100%, $G$9) + CHOOSE(CONTROL!$C$38, 0.0347, 0)</f>
        <v>17.6297</v>
      </c>
      <c r="I137" s="10">
        <f>17.5965 * CHOOSE(CONTROL!$C$15, $E$9, 100%, $G$9) + CHOOSE(CONTROL!$C$38, 0.0347, 0)</f>
        <v>17.6312</v>
      </c>
      <c r="J137" s="26">
        <f>133.7172</f>
        <v>133.71719999999999</v>
      </c>
    </row>
    <row r="138" spans="1:10" ht="15" x14ac:dyDescent="0.2">
      <c r="A138" s="16">
        <v>45474</v>
      </c>
      <c r="B138" s="10">
        <f>19.1129 * CHOOSE(CONTROL!$C$15, $E$9, 100%, $G$9) + CHOOSE(CONTROL!$C$38, 0.0256, 0)</f>
        <v>19.138500000000001</v>
      </c>
      <c r="C138" s="10">
        <f>17.39 * CHOOSE(CONTROL!$C$15, $E$9, 100%, $G$9) + CHOOSE(CONTROL!$C$38, 0.0347, 0)</f>
        <v>17.424700000000001</v>
      </c>
      <c r="D138" s="10">
        <f>17.3822 * CHOOSE(CONTROL!$C$15, $E$9, 100%, $G$9) + CHOOSE(CONTROL!$C$38, 0.0347, 0)</f>
        <v>17.416900000000002</v>
      </c>
      <c r="E138" s="28">
        <f>18.9566 * CHOOSE(CONTROL!$C$15, $E$9, 100%, $G$9) + CHOOSE(CONTROL!$C$38, 0.0347, 0)</f>
        <v>18.991300000000003</v>
      </c>
      <c r="F138" s="27">
        <f>18.9566 * CHOOSE(CONTROL!$C$15, $E$9, 100%, $G$9) + CHOOSE(CONTROL!$C$38, 0.0256, 0)</f>
        <v>18.982200000000002</v>
      </c>
      <c r="G138" s="10">
        <f>17.3885 * CHOOSE(CONTROL!$C$15, $E$9, 100%, $G$9) + CHOOSE(CONTROL!$C$38, 0.0347, 0)</f>
        <v>17.423200000000001</v>
      </c>
      <c r="H138" s="10">
        <f>17.3885 * CHOOSE(CONTROL!$C$15, $E$9, 100%, $G$9) + CHOOSE(CONTROL!$C$38, 0.0347, 0)</f>
        <v>17.423200000000001</v>
      </c>
      <c r="I138" s="10">
        <f>17.39 * CHOOSE(CONTROL!$C$15, $E$9, 100%, $G$9) + CHOOSE(CONTROL!$C$38, 0.0347, 0)</f>
        <v>17.424700000000001</v>
      </c>
      <c r="J138" s="26">
        <f>133.0919</f>
        <v>133.09190000000001</v>
      </c>
    </row>
    <row r="139" spans="1:10" ht="15" x14ac:dyDescent="0.2">
      <c r="A139" s="16">
        <v>45505</v>
      </c>
      <c r="B139" s="10">
        <f>19.2148 * CHOOSE(CONTROL!$C$15, $E$9, 100%, $G$9) + CHOOSE(CONTROL!$C$38, 0.0256, 0)</f>
        <v>19.240400000000001</v>
      </c>
      <c r="C139" s="10">
        <f>17.4919 * CHOOSE(CONTROL!$C$15, $E$9, 100%, $G$9) + CHOOSE(CONTROL!$C$38, 0.0347, 0)</f>
        <v>17.526600000000002</v>
      </c>
      <c r="D139" s="10">
        <f>17.4841 * CHOOSE(CONTROL!$C$15, $E$9, 100%, $G$9) + CHOOSE(CONTROL!$C$38, 0.0347, 0)</f>
        <v>17.518800000000002</v>
      </c>
      <c r="E139" s="28">
        <f>19.0585 * CHOOSE(CONTROL!$C$15, $E$9, 100%, $G$9) + CHOOSE(CONTROL!$C$38, 0.0347, 0)</f>
        <v>19.0932</v>
      </c>
      <c r="F139" s="27">
        <f>19.0585 * CHOOSE(CONTROL!$C$15, $E$9, 100%, $G$9) + CHOOSE(CONTROL!$C$38, 0.0256, 0)</f>
        <v>19.084099999999999</v>
      </c>
      <c r="G139" s="10">
        <f>17.4904 * CHOOSE(CONTROL!$C$15, $E$9, 100%, $G$9) + CHOOSE(CONTROL!$C$38, 0.0347, 0)</f>
        <v>17.525100000000002</v>
      </c>
      <c r="H139" s="10">
        <f>17.4904 * CHOOSE(CONTROL!$C$15, $E$9, 100%, $G$9) + CHOOSE(CONTROL!$C$38, 0.0347, 0)</f>
        <v>17.525100000000002</v>
      </c>
      <c r="I139" s="10">
        <f>17.4919 * CHOOSE(CONTROL!$C$15, $E$9, 100%, $G$9) + CHOOSE(CONTROL!$C$38, 0.0347, 0)</f>
        <v>17.526600000000002</v>
      </c>
      <c r="J139" s="26">
        <f>129.9935</f>
        <v>129.99350000000001</v>
      </c>
    </row>
    <row r="140" spans="1:10" ht="15" x14ac:dyDescent="0.2">
      <c r="A140" s="16">
        <v>45536</v>
      </c>
      <c r="B140" s="10">
        <f>19.4916 * CHOOSE(CONTROL!$C$15, $E$9, 100%, $G$9) + CHOOSE(CONTROL!$C$38, 0.0256, 0)</f>
        <v>19.517199999999999</v>
      </c>
      <c r="C140" s="10">
        <f>17.7687 * CHOOSE(CONTROL!$C$15, $E$9, 100%, $G$9) + CHOOSE(CONTROL!$C$38, 0.0347, 0)</f>
        <v>17.8034</v>
      </c>
      <c r="D140" s="10">
        <f>17.7609 * CHOOSE(CONTROL!$C$15, $E$9, 100%, $G$9) + CHOOSE(CONTROL!$C$38, 0.0347, 0)</f>
        <v>17.7956</v>
      </c>
      <c r="E140" s="28">
        <f>19.3353 * CHOOSE(CONTROL!$C$15, $E$9, 100%, $G$9) + CHOOSE(CONTROL!$C$38, 0.0347, 0)</f>
        <v>19.37</v>
      </c>
      <c r="F140" s="27">
        <f>19.3353 * CHOOSE(CONTROL!$C$15, $E$9, 100%, $G$9) + CHOOSE(CONTROL!$C$38, 0.0256, 0)</f>
        <v>19.360900000000001</v>
      </c>
      <c r="G140" s="10">
        <f>17.7672 * CHOOSE(CONTROL!$C$15, $E$9, 100%, $G$9) + CHOOSE(CONTROL!$C$38, 0.0347, 0)</f>
        <v>17.8019</v>
      </c>
      <c r="H140" s="10">
        <f>17.7672 * CHOOSE(CONTROL!$C$15, $E$9, 100%, $G$9) + CHOOSE(CONTROL!$C$38, 0.0347, 0)</f>
        <v>17.8019</v>
      </c>
      <c r="I140" s="10">
        <f>17.7687 * CHOOSE(CONTROL!$C$15, $E$9, 100%, $G$9) + CHOOSE(CONTROL!$C$38, 0.0347, 0)</f>
        <v>17.8034</v>
      </c>
      <c r="J140" s="26">
        <f>125.6728</f>
        <v>125.6728</v>
      </c>
    </row>
    <row r="141" spans="1:10" ht="15" x14ac:dyDescent="0.2">
      <c r="A141" s="16">
        <v>45566</v>
      </c>
      <c r="B141" s="10">
        <f>19.7234 * CHOOSE(CONTROL!$C$15, $E$9, 100%, $G$9) + CHOOSE(CONTROL!$C$38, 0.0256, 0)</f>
        <v>19.749000000000002</v>
      </c>
      <c r="C141" s="10">
        <f>18.0006 * CHOOSE(CONTROL!$C$15, $E$9, 100%, $G$9) + CHOOSE(CONTROL!$C$38, 0.0347, 0)</f>
        <v>18.035299999999999</v>
      </c>
      <c r="D141" s="10">
        <f>17.9928 * CHOOSE(CONTROL!$C$15, $E$9, 100%, $G$9) + CHOOSE(CONTROL!$C$38, 0.0347, 0)</f>
        <v>18.0275</v>
      </c>
      <c r="E141" s="28">
        <f>19.5672 * CHOOSE(CONTROL!$C$15, $E$9, 100%, $G$9) + CHOOSE(CONTROL!$C$38, 0.0347, 0)</f>
        <v>19.601900000000001</v>
      </c>
      <c r="F141" s="27">
        <f>19.5672 * CHOOSE(CONTROL!$C$15, $E$9, 100%, $G$9) + CHOOSE(CONTROL!$C$38, 0.0256, 0)</f>
        <v>19.5928</v>
      </c>
      <c r="G141" s="10">
        <f>17.999 * CHOOSE(CONTROL!$C$15, $E$9, 100%, $G$9) + CHOOSE(CONTROL!$C$38, 0.0347, 0)</f>
        <v>18.0337</v>
      </c>
      <c r="H141" s="10">
        <f>17.999 * CHOOSE(CONTROL!$C$15, $E$9, 100%, $G$9) + CHOOSE(CONTROL!$C$38, 0.0347, 0)</f>
        <v>18.0337</v>
      </c>
      <c r="I141" s="10">
        <f>18.0006 * CHOOSE(CONTROL!$C$15, $E$9, 100%, $G$9) + CHOOSE(CONTROL!$C$38, 0.0347, 0)</f>
        <v>18.035299999999999</v>
      </c>
      <c r="J141" s="26">
        <f>121.3269</f>
        <v>121.32689999999999</v>
      </c>
    </row>
    <row r="142" spans="1:10" ht="15" x14ac:dyDescent="0.2">
      <c r="A142" s="16">
        <v>45597</v>
      </c>
      <c r="B142" s="10">
        <f>19.9169 * CHOOSE(CONTROL!$C$15, $E$9, 100%, $G$9) + CHOOSE(CONTROL!$C$38, 0.0256, 0)</f>
        <v>19.942499999999999</v>
      </c>
      <c r="C142" s="10">
        <f>18.194 * CHOOSE(CONTROL!$C$15, $E$9, 100%, $G$9) + CHOOSE(CONTROL!$C$38, 0.0347, 0)</f>
        <v>18.2287</v>
      </c>
      <c r="D142" s="10">
        <f>18.1862 * CHOOSE(CONTROL!$C$15, $E$9, 100%, $G$9) + CHOOSE(CONTROL!$C$38, 0.0347, 0)</f>
        <v>18.2209</v>
      </c>
      <c r="E142" s="28">
        <f>19.7606 * CHOOSE(CONTROL!$C$15, $E$9, 100%, $G$9) + CHOOSE(CONTROL!$C$38, 0.0347, 0)</f>
        <v>19.795300000000001</v>
      </c>
      <c r="F142" s="27">
        <f>19.7606 * CHOOSE(CONTROL!$C$15, $E$9, 100%, $G$9) + CHOOSE(CONTROL!$C$38, 0.0256, 0)</f>
        <v>19.786200000000001</v>
      </c>
      <c r="G142" s="10">
        <f>18.1924 * CHOOSE(CONTROL!$C$15, $E$9, 100%, $G$9) + CHOOSE(CONTROL!$C$38, 0.0347, 0)</f>
        <v>18.2271</v>
      </c>
      <c r="H142" s="10">
        <f>18.1924 * CHOOSE(CONTROL!$C$15, $E$9, 100%, $G$9) + CHOOSE(CONTROL!$C$38, 0.0347, 0)</f>
        <v>18.2271</v>
      </c>
      <c r="I142" s="10">
        <f>18.194 * CHOOSE(CONTROL!$C$15, $E$9, 100%, $G$9) + CHOOSE(CONTROL!$C$38, 0.0347, 0)</f>
        <v>18.2287</v>
      </c>
      <c r="J142" s="26">
        <f>120.4624</f>
        <v>120.4624</v>
      </c>
    </row>
    <row r="143" spans="1:10" ht="15" x14ac:dyDescent="0.2">
      <c r="A143" s="16">
        <v>45627</v>
      </c>
      <c r="B143" s="10">
        <f>20.5129 * CHOOSE(CONTROL!$C$15, $E$9, 100%, $G$9) + CHOOSE(CONTROL!$C$38, 0.0256, 0)</f>
        <v>20.538499999999999</v>
      </c>
      <c r="C143" s="10">
        <f>18.7901 * CHOOSE(CONTROL!$C$15, $E$9, 100%, $G$9) + CHOOSE(CONTROL!$C$38, 0.0347, 0)</f>
        <v>18.8248</v>
      </c>
      <c r="D143" s="10">
        <f>18.7823 * CHOOSE(CONTROL!$C$15, $E$9, 100%, $G$9) + CHOOSE(CONTROL!$C$38, 0.0347, 0)</f>
        <v>18.817</v>
      </c>
      <c r="E143" s="28">
        <f>20.3567 * CHOOSE(CONTROL!$C$15, $E$9, 100%, $G$9) + CHOOSE(CONTROL!$C$38, 0.0347, 0)</f>
        <v>20.391400000000001</v>
      </c>
      <c r="F143" s="27">
        <f>20.3567 * CHOOSE(CONTROL!$C$15, $E$9, 100%, $G$9) + CHOOSE(CONTROL!$C$38, 0.0256, 0)</f>
        <v>20.382300000000001</v>
      </c>
      <c r="G143" s="10">
        <f>18.7885 * CHOOSE(CONTROL!$C$15, $E$9, 100%, $G$9) + CHOOSE(CONTROL!$C$38, 0.0347, 0)</f>
        <v>18.8232</v>
      </c>
      <c r="H143" s="10">
        <f>18.7885 * CHOOSE(CONTROL!$C$15, $E$9, 100%, $G$9) + CHOOSE(CONTROL!$C$38, 0.0347, 0)</f>
        <v>18.8232</v>
      </c>
      <c r="I143" s="10">
        <f>18.7901 * CHOOSE(CONTROL!$C$15, $E$9, 100%, $G$9) + CHOOSE(CONTROL!$C$38, 0.0347, 0)</f>
        <v>18.8248</v>
      </c>
      <c r="J143" s="26">
        <f>116.8877</f>
        <v>116.8877</v>
      </c>
    </row>
    <row r="144" spans="1:10" ht="15" x14ac:dyDescent="0.2">
      <c r="A144" s="16">
        <v>45658</v>
      </c>
      <c r="B144" s="10">
        <f>21.87 * CHOOSE(CONTROL!$C$15, $E$9, 100%, $G$9) + CHOOSE(CONTROL!$C$38, 0.0256, 0)</f>
        <v>21.895600000000002</v>
      </c>
      <c r="C144" s="10">
        <f>19.9693 * CHOOSE(CONTROL!$C$15, $E$9, 100%, $G$9) + CHOOSE(CONTROL!$C$38, 0.0347, 0)</f>
        <v>20.004000000000001</v>
      </c>
      <c r="D144" s="10">
        <f>19.9615 * CHOOSE(CONTROL!$C$15, $E$9, 100%, $G$9) + CHOOSE(CONTROL!$C$38, 0.0347, 0)</f>
        <v>19.996200000000002</v>
      </c>
      <c r="E144" s="28">
        <f>21.7138 * CHOOSE(CONTROL!$C$15, $E$9, 100%, $G$9) + CHOOSE(CONTROL!$C$38, 0.0347, 0)</f>
        <v>21.7485</v>
      </c>
      <c r="F144" s="27">
        <f>21.7138 * CHOOSE(CONTROL!$C$15, $E$9, 100%, $G$9) + CHOOSE(CONTROL!$C$38, 0.0256, 0)</f>
        <v>21.7394</v>
      </c>
      <c r="G144" s="10">
        <f>19.9677 * CHOOSE(CONTROL!$C$15, $E$9, 100%, $G$9) + CHOOSE(CONTROL!$C$38, 0.0347, 0)</f>
        <v>20.002400000000002</v>
      </c>
      <c r="H144" s="10">
        <f>19.9677 * CHOOSE(CONTROL!$C$15, $E$9, 100%, $G$9) + CHOOSE(CONTROL!$C$38, 0.0347, 0)</f>
        <v>20.002400000000002</v>
      </c>
      <c r="I144" s="10">
        <f>19.9693 * CHOOSE(CONTROL!$C$15, $E$9, 100%, $G$9) + CHOOSE(CONTROL!$C$38, 0.0347, 0)</f>
        <v>20.004000000000001</v>
      </c>
      <c r="J144" s="26">
        <f>118.7751</f>
        <v>118.77509999999999</v>
      </c>
    </row>
    <row r="145" spans="1:10" ht="15" x14ac:dyDescent="0.2">
      <c r="A145" s="16">
        <v>45689</v>
      </c>
      <c r="B145" s="10">
        <f>22.0908 * CHOOSE(CONTROL!$C$15, $E$9, 100%, $G$9) + CHOOSE(CONTROL!$C$38, 0.0256, 0)</f>
        <v>22.116400000000002</v>
      </c>
      <c r="C145" s="10">
        <f>20.1901 * CHOOSE(CONTROL!$C$15, $E$9, 100%, $G$9) + CHOOSE(CONTROL!$C$38, 0.0347, 0)</f>
        <v>20.224800000000002</v>
      </c>
      <c r="D145" s="10">
        <f>20.1822 * CHOOSE(CONTROL!$C$15, $E$9, 100%, $G$9) + CHOOSE(CONTROL!$C$38, 0.0347, 0)</f>
        <v>20.216900000000003</v>
      </c>
      <c r="E145" s="28">
        <f>21.9346 * CHOOSE(CONTROL!$C$15, $E$9, 100%, $G$9) + CHOOSE(CONTROL!$C$38, 0.0347, 0)</f>
        <v>21.9693</v>
      </c>
      <c r="F145" s="27">
        <f>21.9346 * CHOOSE(CONTROL!$C$15, $E$9, 100%, $G$9) + CHOOSE(CONTROL!$C$38, 0.0256, 0)</f>
        <v>21.9602</v>
      </c>
      <c r="G145" s="10">
        <f>20.1885 * CHOOSE(CONTROL!$C$15, $E$9, 100%, $G$9) + CHOOSE(CONTROL!$C$38, 0.0347, 0)</f>
        <v>20.223200000000002</v>
      </c>
      <c r="H145" s="10">
        <f>20.1885 * CHOOSE(CONTROL!$C$15, $E$9, 100%, $G$9) + CHOOSE(CONTROL!$C$38, 0.0347, 0)</f>
        <v>20.223200000000002</v>
      </c>
      <c r="I145" s="10">
        <f>20.1901 * CHOOSE(CONTROL!$C$15, $E$9, 100%, $G$9) + CHOOSE(CONTROL!$C$38, 0.0347, 0)</f>
        <v>20.224800000000002</v>
      </c>
      <c r="J145" s="26">
        <f>118.445</f>
        <v>118.44499999999999</v>
      </c>
    </row>
    <row r="146" spans="1:10" ht="15" x14ac:dyDescent="0.2">
      <c r="A146" s="16">
        <v>45717</v>
      </c>
      <c r="B146" s="10">
        <f>21.5798 * CHOOSE(CONTROL!$C$15, $E$9, 100%, $G$9) + CHOOSE(CONTROL!$C$38, 0.0256, 0)</f>
        <v>21.605399999999999</v>
      </c>
      <c r="C146" s="10">
        <f>19.679 * CHOOSE(CONTROL!$C$15, $E$9, 100%, $G$9) + CHOOSE(CONTROL!$C$38, 0.0347, 0)</f>
        <v>19.713699999999999</v>
      </c>
      <c r="D146" s="10">
        <f>19.6712 * CHOOSE(CONTROL!$C$15, $E$9, 100%, $G$9) + CHOOSE(CONTROL!$C$38, 0.0347, 0)</f>
        <v>19.7059</v>
      </c>
      <c r="E146" s="28">
        <f>21.4235 * CHOOSE(CONTROL!$C$15, $E$9, 100%, $G$9) + CHOOSE(CONTROL!$C$38, 0.0347, 0)</f>
        <v>21.458200000000001</v>
      </c>
      <c r="F146" s="27">
        <f>21.4235 * CHOOSE(CONTROL!$C$15, $E$9, 100%, $G$9) + CHOOSE(CONTROL!$C$38, 0.0256, 0)</f>
        <v>21.449100000000001</v>
      </c>
      <c r="G146" s="10">
        <f>19.6775 * CHOOSE(CONTROL!$C$15, $E$9, 100%, $G$9) + CHOOSE(CONTROL!$C$38, 0.0347, 0)</f>
        <v>19.712199999999999</v>
      </c>
      <c r="H146" s="10">
        <f>19.6775 * CHOOSE(CONTROL!$C$15, $E$9, 100%, $G$9) + CHOOSE(CONTROL!$C$38, 0.0347, 0)</f>
        <v>19.712199999999999</v>
      </c>
      <c r="I146" s="10">
        <f>19.679 * CHOOSE(CONTROL!$C$15, $E$9, 100%, $G$9) + CHOOSE(CONTROL!$C$38, 0.0347, 0)</f>
        <v>19.713699999999999</v>
      </c>
      <c r="J146" s="26">
        <f>124.6877</f>
        <v>124.68770000000001</v>
      </c>
    </row>
    <row r="147" spans="1:10" ht="15" x14ac:dyDescent="0.2">
      <c r="A147" s="16">
        <v>45748</v>
      </c>
      <c r="B147" s="10">
        <f>21.0846 * CHOOSE(CONTROL!$C$15, $E$9, 100%, $G$9) + CHOOSE(CONTROL!$C$38, 0.0256, 0)</f>
        <v>21.110199999999999</v>
      </c>
      <c r="C147" s="10">
        <f>19.1838 * CHOOSE(CONTROL!$C$15, $E$9, 100%, $G$9) + CHOOSE(CONTROL!$C$38, 0.0347, 0)</f>
        <v>19.218500000000002</v>
      </c>
      <c r="D147" s="10">
        <f>19.176 * CHOOSE(CONTROL!$C$15, $E$9, 100%, $G$9) + CHOOSE(CONTROL!$C$38, 0.0347, 0)</f>
        <v>19.210699999999999</v>
      </c>
      <c r="E147" s="28">
        <f>20.9283 * CHOOSE(CONTROL!$C$15, $E$9, 100%, $G$9) + CHOOSE(CONTROL!$C$38, 0.0347, 0)</f>
        <v>20.963000000000001</v>
      </c>
      <c r="F147" s="27">
        <f>20.9283 * CHOOSE(CONTROL!$C$15, $E$9, 100%, $G$9) + CHOOSE(CONTROL!$C$38, 0.0256, 0)</f>
        <v>20.953900000000001</v>
      </c>
      <c r="G147" s="10">
        <f>19.1823 * CHOOSE(CONTROL!$C$15, $E$9, 100%, $G$9) + CHOOSE(CONTROL!$C$38, 0.0347, 0)</f>
        <v>19.217000000000002</v>
      </c>
      <c r="H147" s="10">
        <f>19.1823 * CHOOSE(CONTROL!$C$15, $E$9, 100%, $G$9) + CHOOSE(CONTROL!$C$38, 0.0347, 0)</f>
        <v>19.217000000000002</v>
      </c>
      <c r="I147" s="10">
        <f>19.1838 * CHOOSE(CONTROL!$C$15, $E$9, 100%, $G$9) + CHOOSE(CONTROL!$C$38, 0.0347, 0)</f>
        <v>19.218500000000002</v>
      </c>
      <c r="J147" s="26">
        <f>132.783</f>
        <v>132.78299999999999</v>
      </c>
    </row>
    <row r="148" spans="1:10" ht="15" x14ac:dyDescent="0.2">
      <c r="A148" s="16">
        <v>45778</v>
      </c>
      <c r="B148" s="10">
        <f>20.5685 * CHOOSE(CONTROL!$C$15, $E$9, 100%, $G$9) + CHOOSE(CONTROL!$C$38, 0.0256, 0)</f>
        <v>20.594100000000001</v>
      </c>
      <c r="C148" s="10">
        <f>18.6677 * CHOOSE(CONTROL!$C$15, $E$9, 100%, $G$9) + CHOOSE(CONTROL!$C$38, 0.0347, 0)</f>
        <v>18.702400000000001</v>
      </c>
      <c r="D148" s="10">
        <f>18.6599 * CHOOSE(CONTROL!$C$15, $E$9, 100%, $G$9) + CHOOSE(CONTROL!$C$38, 0.0347, 0)</f>
        <v>18.694600000000001</v>
      </c>
      <c r="E148" s="28">
        <f>20.4122 * CHOOSE(CONTROL!$C$15, $E$9, 100%, $G$9) + CHOOSE(CONTROL!$C$38, 0.0347, 0)</f>
        <v>20.446899999999999</v>
      </c>
      <c r="F148" s="27">
        <f>20.4122 * CHOOSE(CONTROL!$C$15, $E$9, 100%, $G$9) + CHOOSE(CONTROL!$C$38, 0.0256, 0)</f>
        <v>20.437799999999999</v>
      </c>
      <c r="G148" s="10">
        <f>18.6662 * CHOOSE(CONTROL!$C$15, $E$9, 100%, $G$9) + CHOOSE(CONTROL!$C$38, 0.0347, 0)</f>
        <v>18.700900000000001</v>
      </c>
      <c r="H148" s="10">
        <f>18.6662 * CHOOSE(CONTROL!$C$15, $E$9, 100%, $G$9) + CHOOSE(CONTROL!$C$38, 0.0347, 0)</f>
        <v>18.700900000000001</v>
      </c>
      <c r="I148" s="10">
        <f>18.6677 * CHOOSE(CONTROL!$C$15, $E$9, 100%, $G$9) + CHOOSE(CONTROL!$C$38, 0.0347, 0)</f>
        <v>18.702400000000001</v>
      </c>
      <c r="J148" s="26">
        <f>137.239</f>
        <v>137.239</v>
      </c>
    </row>
    <row r="149" spans="1:10" ht="15" x14ac:dyDescent="0.2">
      <c r="A149" s="16">
        <v>45809</v>
      </c>
      <c r="B149" s="10">
        <f>20.2066 * CHOOSE(CONTROL!$C$15, $E$9, 100%, $G$9) + CHOOSE(CONTROL!$C$38, 0.0256, 0)</f>
        <v>20.232200000000002</v>
      </c>
      <c r="C149" s="10">
        <f>18.3059 * CHOOSE(CONTROL!$C$15, $E$9, 100%, $G$9) + CHOOSE(CONTROL!$C$38, 0.0347, 0)</f>
        <v>18.340600000000002</v>
      </c>
      <c r="D149" s="10">
        <f>18.2981 * CHOOSE(CONTROL!$C$15, $E$9, 100%, $G$9) + CHOOSE(CONTROL!$C$38, 0.0347, 0)</f>
        <v>18.332800000000002</v>
      </c>
      <c r="E149" s="28">
        <f>20.0504 * CHOOSE(CONTROL!$C$15, $E$9, 100%, $G$9) + CHOOSE(CONTROL!$C$38, 0.0347, 0)</f>
        <v>20.085100000000001</v>
      </c>
      <c r="F149" s="27">
        <f>20.0504 * CHOOSE(CONTROL!$C$15, $E$9, 100%, $G$9) + CHOOSE(CONTROL!$C$38, 0.0256, 0)</f>
        <v>20.076000000000001</v>
      </c>
      <c r="G149" s="10">
        <f>18.3043 * CHOOSE(CONTROL!$C$15, $E$9, 100%, $G$9) + CHOOSE(CONTROL!$C$38, 0.0347, 0)</f>
        <v>18.339000000000002</v>
      </c>
      <c r="H149" s="10">
        <f>18.3043 * CHOOSE(CONTROL!$C$15, $E$9, 100%, $G$9) + CHOOSE(CONTROL!$C$38, 0.0347, 0)</f>
        <v>18.339000000000002</v>
      </c>
      <c r="I149" s="10">
        <f>18.3059 * CHOOSE(CONTROL!$C$15, $E$9, 100%, $G$9) + CHOOSE(CONTROL!$C$38, 0.0347, 0)</f>
        <v>18.340600000000002</v>
      </c>
      <c r="J149" s="26">
        <f>139.2164</f>
        <v>139.21639999999999</v>
      </c>
    </row>
    <row r="150" spans="1:10" ht="15" x14ac:dyDescent="0.2">
      <c r="A150" s="16">
        <v>45839</v>
      </c>
      <c r="B150" s="10">
        <f>20.0002 * CHOOSE(CONTROL!$C$15, $E$9, 100%, $G$9) + CHOOSE(CONTROL!$C$38, 0.0256, 0)</f>
        <v>20.0258</v>
      </c>
      <c r="C150" s="10">
        <f>18.0994 * CHOOSE(CONTROL!$C$15, $E$9, 100%, $G$9) + CHOOSE(CONTROL!$C$38, 0.0347, 0)</f>
        <v>18.1341</v>
      </c>
      <c r="D150" s="10">
        <f>18.0916 * CHOOSE(CONTROL!$C$15, $E$9, 100%, $G$9) + CHOOSE(CONTROL!$C$38, 0.0347, 0)</f>
        <v>18.126300000000001</v>
      </c>
      <c r="E150" s="28">
        <f>19.8439 * CHOOSE(CONTROL!$C$15, $E$9, 100%, $G$9) + CHOOSE(CONTROL!$C$38, 0.0347, 0)</f>
        <v>19.878600000000002</v>
      </c>
      <c r="F150" s="27">
        <f>19.8439 * CHOOSE(CONTROL!$C$15, $E$9, 100%, $G$9) + CHOOSE(CONTROL!$C$38, 0.0256, 0)</f>
        <v>19.869500000000002</v>
      </c>
      <c r="G150" s="10">
        <f>18.0978 * CHOOSE(CONTROL!$C$15, $E$9, 100%, $G$9) + CHOOSE(CONTROL!$C$38, 0.0347, 0)</f>
        <v>18.1325</v>
      </c>
      <c r="H150" s="10">
        <f>18.0978 * CHOOSE(CONTROL!$C$15, $E$9, 100%, $G$9) + CHOOSE(CONTROL!$C$38, 0.0347, 0)</f>
        <v>18.1325</v>
      </c>
      <c r="I150" s="10">
        <f>18.0994 * CHOOSE(CONTROL!$C$15, $E$9, 100%, $G$9) + CHOOSE(CONTROL!$C$38, 0.0347, 0)</f>
        <v>18.1341</v>
      </c>
      <c r="J150" s="26">
        <f>138.5653</f>
        <v>138.56530000000001</v>
      </c>
    </row>
    <row r="151" spans="1:10" ht="15" x14ac:dyDescent="0.2">
      <c r="A151" s="16">
        <v>45870</v>
      </c>
      <c r="B151" s="10">
        <f>20.1021 * CHOOSE(CONTROL!$C$15, $E$9, 100%, $G$9) + CHOOSE(CONTROL!$C$38, 0.0256, 0)</f>
        <v>20.127700000000001</v>
      </c>
      <c r="C151" s="10">
        <f>18.2013 * CHOOSE(CONTROL!$C$15, $E$9, 100%, $G$9) + CHOOSE(CONTROL!$C$38, 0.0347, 0)</f>
        <v>18.236000000000001</v>
      </c>
      <c r="D151" s="10">
        <f>18.1935 * CHOOSE(CONTROL!$C$15, $E$9, 100%, $G$9) + CHOOSE(CONTROL!$C$38, 0.0347, 0)</f>
        <v>18.228200000000001</v>
      </c>
      <c r="E151" s="28">
        <f>19.9458 * CHOOSE(CONTROL!$C$15, $E$9, 100%, $G$9) + CHOOSE(CONTROL!$C$38, 0.0347, 0)</f>
        <v>19.980499999999999</v>
      </c>
      <c r="F151" s="27">
        <f>19.9458 * CHOOSE(CONTROL!$C$15, $E$9, 100%, $G$9) + CHOOSE(CONTROL!$C$38, 0.0256, 0)</f>
        <v>19.971399999999999</v>
      </c>
      <c r="G151" s="10">
        <f>18.1998 * CHOOSE(CONTROL!$C$15, $E$9, 100%, $G$9) + CHOOSE(CONTROL!$C$38, 0.0347, 0)</f>
        <v>18.234500000000001</v>
      </c>
      <c r="H151" s="10">
        <f>18.1998 * CHOOSE(CONTROL!$C$15, $E$9, 100%, $G$9) + CHOOSE(CONTROL!$C$38, 0.0347, 0)</f>
        <v>18.234500000000001</v>
      </c>
      <c r="I151" s="10">
        <f>18.2013 * CHOOSE(CONTROL!$C$15, $E$9, 100%, $G$9) + CHOOSE(CONTROL!$C$38, 0.0347, 0)</f>
        <v>18.236000000000001</v>
      </c>
      <c r="J151" s="26">
        <f>135.3396</f>
        <v>135.33959999999999</v>
      </c>
    </row>
    <row r="152" spans="1:10" ht="15" x14ac:dyDescent="0.2">
      <c r="A152" s="16">
        <v>45901</v>
      </c>
      <c r="B152" s="10">
        <f>20.3789 * CHOOSE(CONTROL!$C$15, $E$9, 100%, $G$9) + CHOOSE(CONTROL!$C$38, 0.0256, 0)</f>
        <v>20.404500000000002</v>
      </c>
      <c r="C152" s="10">
        <f>18.4781 * CHOOSE(CONTROL!$C$15, $E$9, 100%, $G$9) + CHOOSE(CONTROL!$C$38, 0.0347, 0)</f>
        <v>18.512800000000002</v>
      </c>
      <c r="D152" s="10">
        <f>18.4703 * CHOOSE(CONTROL!$C$15, $E$9, 100%, $G$9) + CHOOSE(CONTROL!$C$38, 0.0347, 0)</f>
        <v>18.505000000000003</v>
      </c>
      <c r="E152" s="28">
        <f>20.2226 * CHOOSE(CONTROL!$C$15, $E$9, 100%, $G$9) + CHOOSE(CONTROL!$C$38, 0.0347, 0)</f>
        <v>20.257300000000001</v>
      </c>
      <c r="F152" s="27">
        <f>20.2226 * CHOOSE(CONTROL!$C$15, $E$9, 100%, $G$9) + CHOOSE(CONTROL!$C$38, 0.0256, 0)</f>
        <v>20.248200000000001</v>
      </c>
      <c r="G152" s="10">
        <f>18.4766 * CHOOSE(CONTROL!$C$15, $E$9, 100%, $G$9) + CHOOSE(CONTROL!$C$38, 0.0347, 0)</f>
        <v>18.511300000000002</v>
      </c>
      <c r="H152" s="10">
        <f>18.4766 * CHOOSE(CONTROL!$C$15, $E$9, 100%, $G$9) + CHOOSE(CONTROL!$C$38, 0.0347, 0)</f>
        <v>18.511300000000002</v>
      </c>
      <c r="I152" s="10">
        <f>18.4781 * CHOOSE(CONTROL!$C$15, $E$9, 100%, $G$9) + CHOOSE(CONTROL!$C$38, 0.0347, 0)</f>
        <v>18.512800000000002</v>
      </c>
      <c r="J152" s="26">
        <f>130.8411</f>
        <v>130.84110000000001</v>
      </c>
    </row>
    <row r="153" spans="1:10" ht="15" x14ac:dyDescent="0.2">
      <c r="A153" s="16">
        <v>45931</v>
      </c>
      <c r="B153" s="10">
        <f>20.6107 * CHOOSE(CONTROL!$C$15, $E$9, 100%, $G$9) + CHOOSE(CONTROL!$C$38, 0.0256, 0)</f>
        <v>20.636300000000002</v>
      </c>
      <c r="C153" s="10">
        <f>18.7099 * CHOOSE(CONTROL!$C$15, $E$9, 100%, $G$9) + CHOOSE(CONTROL!$C$38, 0.0347, 0)</f>
        <v>18.744600000000002</v>
      </c>
      <c r="D153" s="10">
        <f>18.7021 * CHOOSE(CONTROL!$C$15, $E$9, 100%, $G$9) + CHOOSE(CONTROL!$C$38, 0.0347, 0)</f>
        <v>18.736800000000002</v>
      </c>
      <c r="E153" s="28">
        <f>20.4544 * CHOOSE(CONTROL!$C$15, $E$9, 100%, $G$9) + CHOOSE(CONTROL!$C$38, 0.0347, 0)</f>
        <v>20.489100000000001</v>
      </c>
      <c r="F153" s="27">
        <f>20.4544 * CHOOSE(CONTROL!$C$15, $E$9, 100%, $G$9) + CHOOSE(CONTROL!$C$38, 0.0256, 0)</f>
        <v>20.48</v>
      </c>
      <c r="G153" s="10">
        <f>18.7084 * CHOOSE(CONTROL!$C$15, $E$9, 100%, $G$9) + CHOOSE(CONTROL!$C$38, 0.0347, 0)</f>
        <v>18.743100000000002</v>
      </c>
      <c r="H153" s="10">
        <f>18.7084 * CHOOSE(CONTROL!$C$15, $E$9, 100%, $G$9) + CHOOSE(CONTROL!$C$38, 0.0347, 0)</f>
        <v>18.743100000000002</v>
      </c>
      <c r="I153" s="10">
        <f>18.7099 * CHOOSE(CONTROL!$C$15, $E$9, 100%, $G$9) + CHOOSE(CONTROL!$C$38, 0.0347, 0)</f>
        <v>18.744600000000002</v>
      </c>
      <c r="J153" s="26">
        <f>126.3165</f>
        <v>126.3165</v>
      </c>
    </row>
    <row r="154" spans="1:10" ht="15" x14ac:dyDescent="0.2">
      <c r="A154" s="16">
        <v>45962</v>
      </c>
      <c r="B154" s="10">
        <f>20.8041 * CHOOSE(CONTROL!$C$15, $E$9, 100%, $G$9) + CHOOSE(CONTROL!$C$38, 0.0256, 0)</f>
        <v>20.829699999999999</v>
      </c>
      <c r="C154" s="10">
        <f>18.9034 * CHOOSE(CONTROL!$C$15, $E$9, 100%, $G$9) + CHOOSE(CONTROL!$C$38, 0.0347, 0)</f>
        <v>18.938100000000002</v>
      </c>
      <c r="D154" s="10">
        <f>18.8956 * CHOOSE(CONTROL!$C$15, $E$9, 100%, $G$9) + CHOOSE(CONTROL!$C$38, 0.0347, 0)</f>
        <v>18.930300000000003</v>
      </c>
      <c r="E154" s="28">
        <f>20.6479 * CHOOSE(CONTROL!$C$15, $E$9, 100%, $G$9) + CHOOSE(CONTROL!$C$38, 0.0347, 0)</f>
        <v>20.682600000000001</v>
      </c>
      <c r="F154" s="27">
        <f>20.6479 * CHOOSE(CONTROL!$C$15, $E$9, 100%, $G$9) + CHOOSE(CONTROL!$C$38, 0.0256, 0)</f>
        <v>20.673500000000001</v>
      </c>
      <c r="G154" s="10">
        <f>18.9018 * CHOOSE(CONTROL!$C$15, $E$9, 100%, $G$9) + CHOOSE(CONTROL!$C$38, 0.0347, 0)</f>
        <v>18.936500000000002</v>
      </c>
      <c r="H154" s="10">
        <f>18.9018 * CHOOSE(CONTROL!$C$15, $E$9, 100%, $G$9) + CHOOSE(CONTROL!$C$38, 0.0347, 0)</f>
        <v>18.936500000000002</v>
      </c>
      <c r="I154" s="10">
        <f>18.9034 * CHOOSE(CONTROL!$C$15, $E$9, 100%, $G$9) + CHOOSE(CONTROL!$C$38, 0.0347, 0)</f>
        <v>18.938100000000002</v>
      </c>
      <c r="J154" s="26">
        <f>125.4165</f>
        <v>125.4165</v>
      </c>
    </row>
    <row r="155" spans="1:10" ht="15" x14ac:dyDescent="0.2">
      <c r="A155" s="16">
        <v>45992</v>
      </c>
      <c r="B155" s="10">
        <f>21.4002 * CHOOSE(CONTROL!$C$15, $E$9, 100%, $G$9) + CHOOSE(CONTROL!$C$38, 0.0256, 0)</f>
        <v>21.425800000000002</v>
      </c>
      <c r="C155" s="10">
        <f>19.4995 * CHOOSE(CONTROL!$C$15, $E$9, 100%, $G$9) + CHOOSE(CONTROL!$C$38, 0.0347, 0)</f>
        <v>19.534200000000002</v>
      </c>
      <c r="D155" s="10">
        <f>19.4916 * CHOOSE(CONTROL!$C$15, $E$9, 100%, $G$9) + CHOOSE(CONTROL!$C$38, 0.0347, 0)</f>
        <v>19.526299999999999</v>
      </c>
      <c r="E155" s="28">
        <f>21.2439 * CHOOSE(CONTROL!$C$15, $E$9, 100%, $G$9) + CHOOSE(CONTROL!$C$38, 0.0347, 0)</f>
        <v>21.278600000000001</v>
      </c>
      <c r="F155" s="27">
        <f>21.2439 * CHOOSE(CONTROL!$C$15, $E$9, 100%, $G$9) + CHOOSE(CONTROL!$C$38, 0.0256, 0)</f>
        <v>21.269500000000001</v>
      </c>
      <c r="G155" s="10">
        <f>19.4979 * CHOOSE(CONTROL!$C$15, $E$9, 100%, $G$9) + CHOOSE(CONTROL!$C$38, 0.0347, 0)</f>
        <v>19.532600000000002</v>
      </c>
      <c r="H155" s="10">
        <f>19.4979 * CHOOSE(CONTROL!$C$15, $E$9, 100%, $G$9) + CHOOSE(CONTROL!$C$38, 0.0347, 0)</f>
        <v>19.532600000000002</v>
      </c>
      <c r="I155" s="10">
        <f>19.4995 * CHOOSE(CONTROL!$C$15, $E$9, 100%, $G$9) + CHOOSE(CONTROL!$C$38, 0.0347, 0)</f>
        <v>19.534200000000002</v>
      </c>
      <c r="J155" s="26">
        <f>121.6947</f>
        <v>121.6947</v>
      </c>
    </row>
    <row r="156" spans="1:10" ht="15" x14ac:dyDescent="0.2">
      <c r="A156" s="16">
        <v>46023</v>
      </c>
      <c r="B156" s="10">
        <f>22.6276 * CHOOSE(CONTROL!$C$15, $E$9, 100%, $G$9) + CHOOSE(CONTROL!$C$38, 0.0256, 0)</f>
        <v>22.653200000000002</v>
      </c>
      <c r="C156" s="10">
        <f>20.7084 * CHOOSE(CONTROL!$C$15, $E$9, 100%, $G$9) + CHOOSE(CONTROL!$C$38, 0.0347, 0)</f>
        <v>20.743100000000002</v>
      </c>
      <c r="D156" s="10">
        <f>20.7005 * CHOOSE(CONTROL!$C$15, $E$9, 100%, $G$9) + CHOOSE(CONTROL!$C$38, 0.0347, 0)</f>
        <v>20.735200000000003</v>
      </c>
      <c r="E156" s="28">
        <f>22.4713 * CHOOSE(CONTROL!$C$15, $E$9, 100%, $G$9) + CHOOSE(CONTROL!$C$38, 0.0347, 0)</f>
        <v>22.506</v>
      </c>
      <c r="F156" s="27">
        <f>22.4713 * CHOOSE(CONTROL!$C$15, $E$9, 100%, $G$9) + CHOOSE(CONTROL!$C$38, 0.0256, 0)</f>
        <v>22.4969</v>
      </c>
      <c r="G156" s="10">
        <f>20.7068 * CHOOSE(CONTROL!$C$15, $E$9, 100%, $G$9) + CHOOSE(CONTROL!$C$38, 0.0347, 0)</f>
        <v>20.741500000000002</v>
      </c>
      <c r="H156" s="10">
        <f>20.7068 * CHOOSE(CONTROL!$C$15, $E$9, 100%, $G$9) + CHOOSE(CONTROL!$C$38, 0.0347, 0)</f>
        <v>20.741500000000002</v>
      </c>
      <c r="I156" s="10">
        <f>20.7084 * CHOOSE(CONTROL!$C$15, $E$9, 100%, $G$9) + CHOOSE(CONTROL!$C$38, 0.0347, 0)</f>
        <v>20.743100000000002</v>
      </c>
      <c r="J156" s="26">
        <f>123.6692</f>
        <v>123.6692</v>
      </c>
    </row>
    <row r="157" spans="1:10" ht="15" x14ac:dyDescent="0.2">
      <c r="A157" s="16">
        <v>46054</v>
      </c>
      <c r="B157" s="10">
        <f>22.8483 * CHOOSE(CONTROL!$C$15, $E$9, 100%, $G$9) + CHOOSE(CONTROL!$C$38, 0.0256, 0)</f>
        <v>22.873899999999999</v>
      </c>
      <c r="C157" s="10">
        <f>20.9291 * CHOOSE(CONTROL!$C$15, $E$9, 100%, $G$9) + CHOOSE(CONTROL!$C$38, 0.0347, 0)</f>
        <v>20.963799999999999</v>
      </c>
      <c r="D157" s="10">
        <f>20.9213 * CHOOSE(CONTROL!$C$15, $E$9, 100%, $G$9) + CHOOSE(CONTROL!$C$38, 0.0347, 0)</f>
        <v>20.956</v>
      </c>
      <c r="E157" s="28">
        <f>22.6921 * CHOOSE(CONTROL!$C$15, $E$9, 100%, $G$9) + CHOOSE(CONTROL!$C$38, 0.0347, 0)</f>
        <v>22.726800000000001</v>
      </c>
      <c r="F157" s="27">
        <f>22.6921 * CHOOSE(CONTROL!$C$15, $E$9, 100%, $G$9) + CHOOSE(CONTROL!$C$38, 0.0256, 0)</f>
        <v>22.717700000000001</v>
      </c>
      <c r="G157" s="10">
        <f>20.9276 * CHOOSE(CONTROL!$C$15, $E$9, 100%, $G$9) + CHOOSE(CONTROL!$C$38, 0.0347, 0)</f>
        <v>20.962300000000003</v>
      </c>
      <c r="H157" s="10">
        <f>20.9276 * CHOOSE(CONTROL!$C$15, $E$9, 100%, $G$9) + CHOOSE(CONTROL!$C$38, 0.0347, 0)</f>
        <v>20.962300000000003</v>
      </c>
      <c r="I157" s="10">
        <f>20.9291 * CHOOSE(CONTROL!$C$15, $E$9, 100%, $G$9) + CHOOSE(CONTROL!$C$38, 0.0347, 0)</f>
        <v>20.963799999999999</v>
      </c>
      <c r="J157" s="26">
        <f>123.3255</f>
        <v>123.32550000000001</v>
      </c>
    </row>
    <row r="158" spans="1:10" ht="15" x14ac:dyDescent="0.2">
      <c r="A158" s="16">
        <v>46082</v>
      </c>
      <c r="B158" s="10">
        <f>22.3373 * CHOOSE(CONTROL!$C$15, $E$9, 100%, $G$9) + CHOOSE(CONTROL!$C$38, 0.0256, 0)</f>
        <v>22.3629</v>
      </c>
      <c r="C158" s="10">
        <f>20.4181 * CHOOSE(CONTROL!$C$15, $E$9, 100%, $G$9) + CHOOSE(CONTROL!$C$38, 0.0347, 0)</f>
        <v>20.4528</v>
      </c>
      <c r="D158" s="10">
        <f>20.4103 * CHOOSE(CONTROL!$C$15, $E$9, 100%, $G$9) + CHOOSE(CONTROL!$C$38, 0.0347, 0)</f>
        <v>20.445</v>
      </c>
      <c r="E158" s="28">
        <f>22.1811 * CHOOSE(CONTROL!$C$15, $E$9, 100%, $G$9) + CHOOSE(CONTROL!$C$38, 0.0347, 0)</f>
        <v>22.215800000000002</v>
      </c>
      <c r="F158" s="27">
        <f>22.1811 * CHOOSE(CONTROL!$C$15, $E$9, 100%, $G$9) + CHOOSE(CONTROL!$C$38, 0.0256, 0)</f>
        <v>22.206700000000001</v>
      </c>
      <c r="G158" s="10">
        <f>20.4165 * CHOOSE(CONTROL!$C$15, $E$9, 100%, $G$9) + CHOOSE(CONTROL!$C$38, 0.0347, 0)</f>
        <v>20.4512</v>
      </c>
      <c r="H158" s="10">
        <f>20.4165 * CHOOSE(CONTROL!$C$15, $E$9, 100%, $G$9) + CHOOSE(CONTROL!$C$38, 0.0347, 0)</f>
        <v>20.4512</v>
      </c>
      <c r="I158" s="10">
        <f>20.4181 * CHOOSE(CONTROL!$C$15, $E$9, 100%, $G$9) + CHOOSE(CONTROL!$C$38, 0.0347, 0)</f>
        <v>20.4528</v>
      </c>
      <c r="J158" s="26">
        <f>129.8255</f>
        <v>129.82550000000001</v>
      </c>
    </row>
    <row r="159" spans="1:10" ht="15" x14ac:dyDescent="0.2">
      <c r="A159" s="16">
        <v>46113</v>
      </c>
      <c r="B159" s="10">
        <f>21.8421 * CHOOSE(CONTROL!$C$15, $E$9, 100%, $G$9) + CHOOSE(CONTROL!$C$38, 0.0256, 0)</f>
        <v>21.867699999999999</v>
      </c>
      <c r="C159" s="10">
        <f>19.9229 * CHOOSE(CONTROL!$C$15, $E$9, 100%, $G$9) + CHOOSE(CONTROL!$C$38, 0.0347, 0)</f>
        <v>19.957599999999999</v>
      </c>
      <c r="D159" s="10">
        <f>19.9151 * CHOOSE(CONTROL!$C$15, $E$9, 100%, $G$9) + CHOOSE(CONTROL!$C$38, 0.0347, 0)</f>
        <v>19.9498</v>
      </c>
      <c r="E159" s="28">
        <f>21.6859 * CHOOSE(CONTROL!$C$15, $E$9, 100%, $G$9) + CHOOSE(CONTROL!$C$38, 0.0347, 0)</f>
        <v>21.720600000000001</v>
      </c>
      <c r="F159" s="27">
        <f>21.6859 * CHOOSE(CONTROL!$C$15, $E$9, 100%, $G$9) + CHOOSE(CONTROL!$C$38, 0.0256, 0)</f>
        <v>21.711500000000001</v>
      </c>
      <c r="G159" s="10">
        <f>19.9213 * CHOOSE(CONTROL!$C$15, $E$9, 100%, $G$9) + CHOOSE(CONTROL!$C$38, 0.0347, 0)</f>
        <v>19.956</v>
      </c>
      <c r="H159" s="10">
        <f>19.9213 * CHOOSE(CONTROL!$C$15, $E$9, 100%, $G$9) + CHOOSE(CONTROL!$C$38, 0.0347, 0)</f>
        <v>19.956</v>
      </c>
      <c r="I159" s="10">
        <f>19.9229 * CHOOSE(CONTROL!$C$15, $E$9, 100%, $G$9) + CHOOSE(CONTROL!$C$38, 0.0347, 0)</f>
        <v>19.957599999999999</v>
      </c>
      <c r="J159" s="26">
        <f>138.2544</f>
        <v>138.2544</v>
      </c>
    </row>
    <row r="160" spans="1:10" ht="15" x14ac:dyDescent="0.2">
      <c r="A160" s="16">
        <v>46143</v>
      </c>
      <c r="B160" s="10">
        <f>21.326 * CHOOSE(CONTROL!$C$15, $E$9, 100%, $G$9) + CHOOSE(CONTROL!$C$38, 0.0256, 0)</f>
        <v>21.351600000000001</v>
      </c>
      <c r="C160" s="10">
        <f>19.4068 * CHOOSE(CONTROL!$C$15, $E$9, 100%, $G$9) + CHOOSE(CONTROL!$C$38, 0.0347, 0)</f>
        <v>19.441500000000001</v>
      </c>
      <c r="D160" s="10">
        <f>19.399 * CHOOSE(CONTROL!$C$15, $E$9, 100%, $G$9) + CHOOSE(CONTROL!$C$38, 0.0347, 0)</f>
        <v>19.433700000000002</v>
      </c>
      <c r="E160" s="28">
        <f>21.1698 * CHOOSE(CONTROL!$C$15, $E$9, 100%, $G$9) + CHOOSE(CONTROL!$C$38, 0.0347, 0)</f>
        <v>21.204499999999999</v>
      </c>
      <c r="F160" s="27">
        <f>21.1698 * CHOOSE(CONTROL!$C$15, $E$9, 100%, $G$9) + CHOOSE(CONTROL!$C$38, 0.0256, 0)</f>
        <v>21.195399999999999</v>
      </c>
      <c r="G160" s="10">
        <f>19.4052 * CHOOSE(CONTROL!$C$15, $E$9, 100%, $G$9) + CHOOSE(CONTROL!$C$38, 0.0347, 0)</f>
        <v>19.439900000000002</v>
      </c>
      <c r="H160" s="10">
        <f>19.4052 * CHOOSE(CONTROL!$C$15, $E$9, 100%, $G$9) + CHOOSE(CONTROL!$C$38, 0.0347, 0)</f>
        <v>19.439900000000002</v>
      </c>
      <c r="I160" s="10">
        <f>19.4068 * CHOOSE(CONTROL!$C$15, $E$9, 100%, $G$9) + CHOOSE(CONTROL!$C$38, 0.0347, 0)</f>
        <v>19.441500000000001</v>
      </c>
      <c r="J160" s="26">
        <f>142.8939</f>
        <v>142.8939</v>
      </c>
    </row>
    <row r="161" spans="1:10" ht="15" x14ac:dyDescent="0.2">
      <c r="A161" s="16">
        <v>46174</v>
      </c>
      <c r="B161" s="10">
        <f>20.9642 * CHOOSE(CONTROL!$C$15, $E$9, 100%, $G$9) + CHOOSE(CONTROL!$C$38, 0.0256, 0)</f>
        <v>20.989800000000002</v>
      </c>
      <c r="C161" s="10">
        <f>19.045 * CHOOSE(CONTROL!$C$15, $E$9, 100%, $G$9) + CHOOSE(CONTROL!$C$38, 0.0347, 0)</f>
        <v>19.079700000000003</v>
      </c>
      <c r="D161" s="10">
        <f>19.0372 * CHOOSE(CONTROL!$C$15, $E$9, 100%, $G$9) + CHOOSE(CONTROL!$C$38, 0.0347, 0)</f>
        <v>19.071899999999999</v>
      </c>
      <c r="E161" s="28">
        <f>20.8079 * CHOOSE(CONTROL!$C$15, $E$9, 100%, $G$9) + CHOOSE(CONTROL!$C$38, 0.0347, 0)</f>
        <v>20.842600000000001</v>
      </c>
      <c r="F161" s="27">
        <f>20.8079 * CHOOSE(CONTROL!$C$15, $E$9, 100%, $G$9) + CHOOSE(CONTROL!$C$38, 0.0256, 0)</f>
        <v>20.833500000000001</v>
      </c>
      <c r="G161" s="10">
        <f>19.0434 * CHOOSE(CONTROL!$C$15, $E$9, 100%, $G$9) + CHOOSE(CONTROL!$C$38, 0.0347, 0)</f>
        <v>19.078099999999999</v>
      </c>
      <c r="H161" s="10">
        <f>19.0434 * CHOOSE(CONTROL!$C$15, $E$9, 100%, $G$9) + CHOOSE(CONTROL!$C$38, 0.0347, 0)</f>
        <v>19.078099999999999</v>
      </c>
      <c r="I161" s="10">
        <f>19.045 * CHOOSE(CONTROL!$C$15, $E$9, 100%, $G$9) + CHOOSE(CONTROL!$C$38, 0.0347, 0)</f>
        <v>19.079700000000003</v>
      </c>
      <c r="J161" s="26">
        <f>144.9528</f>
        <v>144.9528</v>
      </c>
    </row>
    <row r="162" spans="1:10" ht="15" x14ac:dyDescent="0.2">
      <c r="A162" s="16">
        <v>46204</v>
      </c>
      <c r="B162" s="10">
        <f>20.7577 * CHOOSE(CONTROL!$C$15, $E$9, 100%, $G$9) + CHOOSE(CONTROL!$C$38, 0.0256, 0)</f>
        <v>20.783300000000001</v>
      </c>
      <c r="C162" s="10">
        <f>18.8385 * CHOOSE(CONTROL!$C$15, $E$9, 100%, $G$9) + CHOOSE(CONTROL!$C$38, 0.0347, 0)</f>
        <v>18.873200000000001</v>
      </c>
      <c r="D162" s="10">
        <f>18.8307 * CHOOSE(CONTROL!$C$15, $E$9, 100%, $G$9) + CHOOSE(CONTROL!$C$38, 0.0347, 0)</f>
        <v>18.865400000000001</v>
      </c>
      <c r="E162" s="28">
        <f>20.6014 * CHOOSE(CONTROL!$C$15, $E$9, 100%, $G$9) + CHOOSE(CONTROL!$C$38, 0.0347, 0)</f>
        <v>20.636100000000003</v>
      </c>
      <c r="F162" s="27">
        <f>20.6014 * CHOOSE(CONTROL!$C$15, $E$9, 100%, $G$9) + CHOOSE(CONTROL!$C$38, 0.0256, 0)</f>
        <v>20.627000000000002</v>
      </c>
      <c r="G162" s="10">
        <f>18.8369 * CHOOSE(CONTROL!$C$15, $E$9, 100%, $G$9) + CHOOSE(CONTROL!$C$38, 0.0347, 0)</f>
        <v>18.871600000000001</v>
      </c>
      <c r="H162" s="10">
        <f>18.8369 * CHOOSE(CONTROL!$C$15, $E$9, 100%, $G$9) + CHOOSE(CONTROL!$C$38, 0.0347, 0)</f>
        <v>18.871600000000001</v>
      </c>
      <c r="I162" s="10">
        <f>18.8385 * CHOOSE(CONTROL!$C$15, $E$9, 100%, $G$9) + CHOOSE(CONTROL!$C$38, 0.0347, 0)</f>
        <v>18.873200000000001</v>
      </c>
      <c r="J162" s="26">
        <f>144.2749</f>
        <v>144.2749</v>
      </c>
    </row>
    <row r="163" spans="1:10" ht="15" x14ac:dyDescent="0.2">
      <c r="A163" s="16">
        <v>46235</v>
      </c>
      <c r="B163" s="10">
        <f>20.8596 * CHOOSE(CONTROL!$C$15, $E$9, 100%, $G$9) + CHOOSE(CONTROL!$C$38, 0.0256, 0)</f>
        <v>20.885200000000001</v>
      </c>
      <c r="C163" s="10">
        <f>18.9404 * CHOOSE(CONTROL!$C$15, $E$9, 100%, $G$9) + CHOOSE(CONTROL!$C$38, 0.0347, 0)</f>
        <v>18.975100000000001</v>
      </c>
      <c r="D163" s="10">
        <f>18.9326 * CHOOSE(CONTROL!$C$15, $E$9, 100%, $G$9) + CHOOSE(CONTROL!$C$38, 0.0347, 0)</f>
        <v>18.967300000000002</v>
      </c>
      <c r="E163" s="28">
        <f>20.7034 * CHOOSE(CONTROL!$C$15, $E$9, 100%, $G$9) + CHOOSE(CONTROL!$C$38, 0.0347, 0)</f>
        <v>20.738099999999999</v>
      </c>
      <c r="F163" s="27">
        <f>20.7034 * CHOOSE(CONTROL!$C$15, $E$9, 100%, $G$9) + CHOOSE(CONTROL!$C$38, 0.0256, 0)</f>
        <v>20.728999999999999</v>
      </c>
      <c r="G163" s="10">
        <f>18.9388 * CHOOSE(CONTROL!$C$15, $E$9, 100%, $G$9) + CHOOSE(CONTROL!$C$38, 0.0347, 0)</f>
        <v>18.973500000000001</v>
      </c>
      <c r="H163" s="10">
        <f>18.9388 * CHOOSE(CONTROL!$C$15, $E$9, 100%, $G$9) + CHOOSE(CONTROL!$C$38, 0.0347, 0)</f>
        <v>18.973500000000001</v>
      </c>
      <c r="I163" s="10">
        <f>18.9404 * CHOOSE(CONTROL!$C$15, $E$9, 100%, $G$9) + CHOOSE(CONTROL!$C$38, 0.0347, 0)</f>
        <v>18.975100000000001</v>
      </c>
      <c r="J163" s="26">
        <f>140.9163</f>
        <v>140.91630000000001</v>
      </c>
    </row>
    <row r="164" spans="1:10" ht="15" x14ac:dyDescent="0.2">
      <c r="A164" s="16">
        <v>46266</v>
      </c>
      <c r="B164" s="10">
        <f>21.1364 * CHOOSE(CONTROL!$C$15, $E$9, 100%, $G$9) + CHOOSE(CONTROL!$C$38, 0.0256, 0)</f>
        <v>21.161999999999999</v>
      </c>
      <c r="C164" s="10">
        <f>19.2172 * CHOOSE(CONTROL!$C$15, $E$9, 100%, $G$9) + CHOOSE(CONTROL!$C$38, 0.0347, 0)</f>
        <v>19.251899999999999</v>
      </c>
      <c r="D164" s="10">
        <f>19.2094 * CHOOSE(CONTROL!$C$15, $E$9, 100%, $G$9) + CHOOSE(CONTROL!$C$38, 0.0347, 0)</f>
        <v>19.2441</v>
      </c>
      <c r="E164" s="28">
        <f>20.9802 * CHOOSE(CONTROL!$C$15, $E$9, 100%, $G$9) + CHOOSE(CONTROL!$C$38, 0.0347, 0)</f>
        <v>21.014900000000001</v>
      </c>
      <c r="F164" s="27">
        <f>20.9802 * CHOOSE(CONTROL!$C$15, $E$9, 100%, $G$9) + CHOOSE(CONTROL!$C$38, 0.0256, 0)</f>
        <v>21.005800000000001</v>
      </c>
      <c r="G164" s="10">
        <f>19.2156 * CHOOSE(CONTROL!$C$15, $E$9, 100%, $G$9) + CHOOSE(CONTROL!$C$38, 0.0347, 0)</f>
        <v>19.250299999999999</v>
      </c>
      <c r="H164" s="10">
        <f>19.2156 * CHOOSE(CONTROL!$C$15, $E$9, 100%, $G$9) + CHOOSE(CONTROL!$C$38, 0.0347, 0)</f>
        <v>19.250299999999999</v>
      </c>
      <c r="I164" s="10">
        <f>19.2172 * CHOOSE(CONTROL!$C$15, $E$9, 100%, $G$9) + CHOOSE(CONTROL!$C$38, 0.0347, 0)</f>
        <v>19.251899999999999</v>
      </c>
      <c r="J164" s="26">
        <f>136.2325</f>
        <v>136.23249999999999</v>
      </c>
    </row>
    <row r="165" spans="1:10" ht="15" x14ac:dyDescent="0.2">
      <c r="A165" s="16">
        <v>46296</v>
      </c>
      <c r="B165" s="10">
        <f>21.3682 * CHOOSE(CONTROL!$C$15, $E$9, 100%, $G$9) + CHOOSE(CONTROL!$C$38, 0.0256, 0)</f>
        <v>21.393800000000002</v>
      </c>
      <c r="C165" s="10">
        <f>19.449 * CHOOSE(CONTROL!$C$15, $E$9, 100%, $G$9) + CHOOSE(CONTROL!$C$38, 0.0347, 0)</f>
        <v>19.483700000000002</v>
      </c>
      <c r="D165" s="10">
        <f>19.4412 * CHOOSE(CONTROL!$C$15, $E$9, 100%, $G$9) + CHOOSE(CONTROL!$C$38, 0.0347, 0)</f>
        <v>19.475899999999999</v>
      </c>
      <c r="E165" s="28">
        <f>21.212 * CHOOSE(CONTROL!$C$15, $E$9, 100%, $G$9) + CHOOSE(CONTROL!$C$38, 0.0347, 0)</f>
        <v>21.246700000000001</v>
      </c>
      <c r="F165" s="27">
        <f>21.212 * CHOOSE(CONTROL!$C$15, $E$9, 100%, $G$9) + CHOOSE(CONTROL!$C$38, 0.0256, 0)</f>
        <v>21.2376</v>
      </c>
      <c r="G165" s="10">
        <f>19.4474 * CHOOSE(CONTROL!$C$15, $E$9, 100%, $G$9) + CHOOSE(CONTROL!$C$38, 0.0347, 0)</f>
        <v>19.482099999999999</v>
      </c>
      <c r="H165" s="10">
        <f>19.4474 * CHOOSE(CONTROL!$C$15, $E$9, 100%, $G$9) + CHOOSE(CONTROL!$C$38, 0.0347, 0)</f>
        <v>19.482099999999999</v>
      </c>
      <c r="I165" s="10">
        <f>19.449 * CHOOSE(CONTROL!$C$15, $E$9, 100%, $G$9) + CHOOSE(CONTROL!$C$38, 0.0347, 0)</f>
        <v>19.483700000000002</v>
      </c>
      <c r="J165" s="26">
        <f>131.5214</f>
        <v>131.5214</v>
      </c>
    </row>
    <row r="166" spans="1:10" ht="15" x14ac:dyDescent="0.2">
      <c r="A166" s="16">
        <v>46327</v>
      </c>
      <c r="B166" s="10">
        <f>21.5617 * CHOOSE(CONTROL!$C$15, $E$9, 100%, $G$9) + CHOOSE(CONTROL!$C$38, 0.0256, 0)</f>
        <v>21.587299999999999</v>
      </c>
      <c r="C166" s="10">
        <f>19.6424 * CHOOSE(CONTROL!$C$15, $E$9, 100%, $G$9) + CHOOSE(CONTROL!$C$38, 0.0347, 0)</f>
        <v>19.677099999999999</v>
      </c>
      <c r="D166" s="10">
        <f>19.6346 * CHOOSE(CONTROL!$C$15, $E$9, 100%, $G$9) + CHOOSE(CONTROL!$C$38, 0.0347, 0)</f>
        <v>19.6693</v>
      </c>
      <c r="E166" s="28">
        <f>21.4054 * CHOOSE(CONTROL!$C$15, $E$9, 100%, $G$9) + CHOOSE(CONTROL!$C$38, 0.0347, 0)</f>
        <v>21.440100000000001</v>
      </c>
      <c r="F166" s="27">
        <f>21.4054 * CHOOSE(CONTROL!$C$15, $E$9, 100%, $G$9) + CHOOSE(CONTROL!$C$38, 0.0256, 0)</f>
        <v>21.431000000000001</v>
      </c>
      <c r="G166" s="10">
        <f>19.6409 * CHOOSE(CONTROL!$C$15, $E$9, 100%, $G$9) + CHOOSE(CONTROL!$C$38, 0.0347, 0)</f>
        <v>19.675599999999999</v>
      </c>
      <c r="H166" s="10">
        <f>19.6409 * CHOOSE(CONTROL!$C$15, $E$9, 100%, $G$9) + CHOOSE(CONTROL!$C$38, 0.0347, 0)</f>
        <v>19.675599999999999</v>
      </c>
      <c r="I166" s="10">
        <f>19.6424 * CHOOSE(CONTROL!$C$15, $E$9, 100%, $G$9) + CHOOSE(CONTROL!$C$38, 0.0347, 0)</f>
        <v>19.677099999999999</v>
      </c>
      <c r="J166" s="26">
        <f>130.5843</f>
        <v>130.58430000000001</v>
      </c>
    </row>
    <row r="167" spans="1:10" ht="15" x14ac:dyDescent="0.2">
      <c r="A167" s="16">
        <v>46357</v>
      </c>
      <c r="B167" s="10">
        <f>22.1577 * CHOOSE(CONTROL!$C$15, $E$9, 100%, $G$9) + CHOOSE(CONTROL!$C$38, 0.0256, 0)</f>
        <v>22.183299999999999</v>
      </c>
      <c r="C167" s="10">
        <f>20.2385 * CHOOSE(CONTROL!$C$15, $E$9, 100%, $G$9) + CHOOSE(CONTROL!$C$38, 0.0347, 0)</f>
        <v>20.273199999999999</v>
      </c>
      <c r="D167" s="10">
        <f>20.2307 * CHOOSE(CONTROL!$C$15, $E$9, 100%, $G$9) + CHOOSE(CONTROL!$C$38, 0.0347, 0)</f>
        <v>20.2654</v>
      </c>
      <c r="E167" s="28">
        <f>22.0015 * CHOOSE(CONTROL!$C$15, $E$9, 100%, $G$9) + CHOOSE(CONTROL!$C$38, 0.0347, 0)</f>
        <v>22.036200000000001</v>
      </c>
      <c r="F167" s="27">
        <f>22.0015 * CHOOSE(CONTROL!$C$15, $E$9, 100%, $G$9) + CHOOSE(CONTROL!$C$38, 0.0256, 0)</f>
        <v>22.027100000000001</v>
      </c>
      <c r="G167" s="10">
        <f>20.237 * CHOOSE(CONTROL!$C$15, $E$9, 100%, $G$9) + CHOOSE(CONTROL!$C$38, 0.0347, 0)</f>
        <v>20.271699999999999</v>
      </c>
      <c r="H167" s="10">
        <f>20.237 * CHOOSE(CONTROL!$C$15, $E$9, 100%, $G$9) + CHOOSE(CONTROL!$C$38, 0.0347, 0)</f>
        <v>20.271699999999999</v>
      </c>
      <c r="I167" s="10">
        <f>20.2385 * CHOOSE(CONTROL!$C$15, $E$9, 100%, $G$9) + CHOOSE(CONTROL!$C$38, 0.0347, 0)</f>
        <v>20.273199999999999</v>
      </c>
      <c r="J167" s="26">
        <f>126.7092</f>
        <v>126.7092</v>
      </c>
    </row>
    <row r="168" spans="1:10" ht="15" x14ac:dyDescent="0.2">
      <c r="A168" s="16">
        <v>46388</v>
      </c>
      <c r="B168" s="10">
        <f>23.4366 * CHOOSE(CONTROL!$C$15, $E$9, 100%, $G$9) + CHOOSE(CONTROL!$C$38, 0.0256, 0)</f>
        <v>23.462199999999999</v>
      </c>
      <c r="C168" s="10">
        <f>21.4977 * CHOOSE(CONTROL!$C$15, $E$9, 100%, $G$9) + CHOOSE(CONTROL!$C$38, 0.0347, 0)</f>
        <v>21.532399999999999</v>
      </c>
      <c r="D168" s="10">
        <f>21.4898 * CHOOSE(CONTROL!$C$15, $E$9, 100%, $G$9) + CHOOSE(CONTROL!$C$38, 0.0347, 0)</f>
        <v>21.5245</v>
      </c>
      <c r="E168" s="28">
        <f>23.2804 * CHOOSE(CONTROL!$C$15, $E$9, 100%, $G$9) + CHOOSE(CONTROL!$C$38, 0.0347, 0)</f>
        <v>23.315100000000001</v>
      </c>
      <c r="F168" s="27">
        <f>23.2804 * CHOOSE(CONTROL!$C$15, $E$9, 100%, $G$9) + CHOOSE(CONTROL!$C$38, 0.0256, 0)</f>
        <v>23.306000000000001</v>
      </c>
      <c r="G168" s="10">
        <f>21.4961 * CHOOSE(CONTROL!$C$15, $E$9, 100%, $G$9) + CHOOSE(CONTROL!$C$38, 0.0347, 0)</f>
        <v>21.530799999999999</v>
      </c>
      <c r="H168" s="10">
        <f>21.4961 * CHOOSE(CONTROL!$C$15, $E$9, 100%, $G$9) + CHOOSE(CONTROL!$C$38, 0.0347, 0)</f>
        <v>21.530799999999999</v>
      </c>
      <c r="I168" s="10">
        <f>21.4977 * CHOOSE(CONTROL!$C$15, $E$9, 100%, $G$9) + CHOOSE(CONTROL!$C$38, 0.0347, 0)</f>
        <v>21.532399999999999</v>
      </c>
      <c r="J168" s="26">
        <f>128.7566</f>
        <v>128.75659999999999</v>
      </c>
    </row>
    <row r="169" spans="1:10" ht="15" x14ac:dyDescent="0.2">
      <c r="A169" s="16">
        <v>46419</v>
      </c>
      <c r="B169" s="10">
        <f>23.6574 * CHOOSE(CONTROL!$C$15, $E$9, 100%, $G$9) + CHOOSE(CONTROL!$C$38, 0.0256, 0)</f>
        <v>23.683</v>
      </c>
      <c r="C169" s="10">
        <f>21.7184 * CHOOSE(CONTROL!$C$15, $E$9, 100%, $G$9) + CHOOSE(CONTROL!$C$38, 0.0347, 0)</f>
        <v>21.7531</v>
      </c>
      <c r="D169" s="10">
        <f>21.7106 * CHOOSE(CONTROL!$C$15, $E$9, 100%, $G$9) + CHOOSE(CONTROL!$C$38, 0.0347, 0)</f>
        <v>21.7453</v>
      </c>
      <c r="E169" s="28">
        <f>23.5011 * CHOOSE(CONTROL!$C$15, $E$9, 100%, $G$9) + CHOOSE(CONTROL!$C$38, 0.0347, 0)</f>
        <v>23.535800000000002</v>
      </c>
      <c r="F169" s="27">
        <f>23.5011 * CHOOSE(CONTROL!$C$15, $E$9, 100%, $G$9) + CHOOSE(CONTROL!$C$38, 0.0256, 0)</f>
        <v>23.526700000000002</v>
      </c>
      <c r="G169" s="10">
        <f>21.7169 * CHOOSE(CONTROL!$C$15, $E$9, 100%, $G$9) + CHOOSE(CONTROL!$C$38, 0.0347, 0)</f>
        <v>21.7516</v>
      </c>
      <c r="H169" s="10">
        <f>21.7169 * CHOOSE(CONTROL!$C$15, $E$9, 100%, $G$9) + CHOOSE(CONTROL!$C$38, 0.0347, 0)</f>
        <v>21.7516</v>
      </c>
      <c r="I169" s="10">
        <f>21.7184 * CHOOSE(CONTROL!$C$15, $E$9, 100%, $G$9) + CHOOSE(CONTROL!$C$38, 0.0347, 0)</f>
        <v>21.7531</v>
      </c>
      <c r="J169" s="26">
        <f>128.3987</f>
        <v>128.39869999999999</v>
      </c>
    </row>
    <row r="170" spans="1:10" ht="15" x14ac:dyDescent="0.2">
      <c r="A170" s="16">
        <v>46447</v>
      </c>
      <c r="B170" s="10">
        <f>23.1463 * CHOOSE(CONTROL!$C$15, $E$9, 100%, $G$9) + CHOOSE(CONTROL!$C$38, 0.0256, 0)</f>
        <v>23.171900000000001</v>
      </c>
      <c r="C170" s="10">
        <f>21.2074 * CHOOSE(CONTROL!$C$15, $E$9, 100%, $G$9) + CHOOSE(CONTROL!$C$38, 0.0347, 0)</f>
        <v>21.242100000000001</v>
      </c>
      <c r="D170" s="10">
        <f>21.1996 * CHOOSE(CONTROL!$C$15, $E$9, 100%, $G$9) + CHOOSE(CONTROL!$C$38, 0.0347, 0)</f>
        <v>21.234300000000001</v>
      </c>
      <c r="E170" s="28">
        <f>22.9901 * CHOOSE(CONTROL!$C$15, $E$9, 100%, $G$9) + CHOOSE(CONTROL!$C$38, 0.0347, 0)</f>
        <v>23.024800000000003</v>
      </c>
      <c r="F170" s="27">
        <f>22.9901 * CHOOSE(CONTROL!$C$15, $E$9, 100%, $G$9) + CHOOSE(CONTROL!$C$38, 0.0256, 0)</f>
        <v>23.015700000000002</v>
      </c>
      <c r="G170" s="10">
        <f>21.2058 * CHOOSE(CONTROL!$C$15, $E$9, 100%, $G$9) + CHOOSE(CONTROL!$C$38, 0.0347, 0)</f>
        <v>21.240500000000001</v>
      </c>
      <c r="H170" s="10">
        <f>21.2058 * CHOOSE(CONTROL!$C$15, $E$9, 100%, $G$9) + CHOOSE(CONTROL!$C$38, 0.0347, 0)</f>
        <v>21.240500000000001</v>
      </c>
      <c r="I170" s="10">
        <f>21.2074 * CHOOSE(CONTROL!$C$15, $E$9, 100%, $G$9) + CHOOSE(CONTROL!$C$38, 0.0347, 0)</f>
        <v>21.242100000000001</v>
      </c>
      <c r="J170" s="26">
        <f>135.1661</f>
        <v>135.1661</v>
      </c>
    </row>
    <row r="171" spans="1:10" ht="15" x14ac:dyDescent="0.2">
      <c r="A171" s="16">
        <v>46478</v>
      </c>
      <c r="B171" s="10">
        <f>22.6512 * CHOOSE(CONTROL!$C$15, $E$9, 100%, $G$9) + CHOOSE(CONTROL!$C$38, 0.0256, 0)</f>
        <v>22.6768</v>
      </c>
      <c r="C171" s="10">
        <f>20.7122 * CHOOSE(CONTROL!$C$15, $E$9, 100%, $G$9) + CHOOSE(CONTROL!$C$38, 0.0347, 0)</f>
        <v>20.7469</v>
      </c>
      <c r="D171" s="10">
        <f>20.7044 * CHOOSE(CONTROL!$C$15, $E$9, 100%, $G$9) + CHOOSE(CONTROL!$C$38, 0.0347, 0)</f>
        <v>20.739100000000001</v>
      </c>
      <c r="E171" s="28">
        <f>22.4949 * CHOOSE(CONTROL!$C$15, $E$9, 100%, $G$9) + CHOOSE(CONTROL!$C$38, 0.0347, 0)</f>
        <v>22.529600000000002</v>
      </c>
      <c r="F171" s="27">
        <f>22.4949 * CHOOSE(CONTROL!$C$15, $E$9, 100%, $G$9) + CHOOSE(CONTROL!$C$38, 0.0256, 0)</f>
        <v>22.520500000000002</v>
      </c>
      <c r="G171" s="10">
        <f>20.7106 * CHOOSE(CONTROL!$C$15, $E$9, 100%, $G$9) + CHOOSE(CONTROL!$C$38, 0.0347, 0)</f>
        <v>20.7453</v>
      </c>
      <c r="H171" s="10">
        <f>20.7106 * CHOOSE(CONTROL!$C$15, $E$9, 100%, $G$9) + CHOOSE(CONTROL!$C$38, 0.0347, 0)</f>
        <v>20.7453</v>
      </c>
      <c r="I171" s="10">
        <f>20.7122 * CHOOSE(CONTROL!$C$15, $E$9, 100%, $G$9) + CHOOSE(CONTROL!$C$38, 0.0347, 0)</f>
        <v>20.7469</v>
      </c>
      <c r="J171" s="26">
        <f>143.9417</f>
        <v>143.9417</v>
      </c>
    </row>
    <row r="172" spans="1:10" ht="15" x14ac:dyDescent="0.2">
      <c r="A172" s="16">
        <v>46508</v>
      </c>
      <c r="B172" s="10">
        <f>22.135 * CHOOSE(CONTROL!$C$15, $E$9, 100%, $G$9) + CHOOSE(CONTROL!$C$38, 0.0256, 0)</f>
        <v>22.160600000000002</v>
      </c>
      <c r="C172" s="10">
        <f>20.1961 * CHOOSE(CONTROL!$C$15, $E$9, 100%, $G$9) + CHOOSE(CONTROL!$C$38, 0.0347, 0)</f>
        <v>20.230800000000002</v>
      </c>
      <c r="D172" s="10">
        <f>20.1883 * CHOOSE(CONTROL!$C$15, $E$9, 100%, $G$9) + CHOOSE(CONTROL!$C$38, 0.0347, 0)</f>
        <v>20.223000000000003</v>
      </c>
      <c r="E172" s="28">
        <f>21.9788 * CHOOSE(CONTROL!$C$15, $E$9, 100%, $G$9) + CHOOSE(CONTROL!$C$38, 0.0347, 0)</f>
        <v>22.013500000000001</v>
      </c>
      <c r="F172" s="27">
        <f>21.9788 * CHOOSE(CONTROL!$C$15, $E$9, 100%, $G$9) + CHOOSE(CONTROL!$C$38, 0.0256, 0)</f>
        <v>22.0044</v>
      </c>
      <c r="G172" s="10">
        <f>20.1945 * CHOOSE(CONTROL!$C$15, $E$9, 100%, $G$9) + CHOOSE(CONTROL!$C$38, 0.0347, 0)</f>
        <v>20.229200000000002</v>
      </c>
      <c r="H172" s="10">
        <f>20.1945 * CHOOSE(CONTROL!$C$15, $E$9, 100%, $G$9) + CHOOSE(CONTROL!$C$38, 0.0347, 0)</f>
        <v>20.229200000000002</v>
      </c>
      <c r="I172" s="10">
        <f>20.1961 * CHOOSE(CONTROL!$C$15, $E$9, 100%, $G$9) + CHOOSE(CONTROL!$C$38, 0.0347, 0)</f>
        <v>20.230800000000002</v>
      </c>
      <c r="J172" s="26">
        <f>148.7721</f>
        <v>148.77209999999999</v>
      </c>
    </row>
    <row r="173" spans="1:10" ht="15" x14ac:dyDescent="0.2">
      <c r="A173" s="16">
        <v>46539</v>
      </c>
      <c r="B173" s="10">
        <f>21.7732 * CHOOSE(CONTROL!$C$15, $E$9, 100%, $G$9) + CHOOSE(CONTROL!$C$38, 0.0256, 0)</f>
        <v>21.7988</v>
      </c>
      <c r="C173" s="10">
        <f>19.8343 * CHOOSE(CONTROL!$C$15, $E$9, 100%, $G$9) + CHOOSE(CONTROL!$C$38, 0.0347, 0)</f>
        <v>19.869</v>
      </c>
      <c r="D173" s="10">
        <f>19.8264 * CHOOSE(CONTROL!$C$15, $E$9, 100%, $G$9) + CHOOSE(CONTROL!$C$38, 0.0347, 0)</f>
        <v>19.8611</v>
      </c>
      <c r="E173" s="28">
        <f>21.617 * CHOOSE(CONTROL!$C$15, $E$9, 100%, $G$9) + CHOOSE(CONTROL!$C$38, 0.0347, 0)</f>
        <v>21.651700000000002</v>
      </c>
      <c r="F173" s="27">
        <f>21.617 * CHOOSE(CONTROL!$C$15, $E$9, 100%, $G$9) + CHOOSE(CONTROL!$C$38, 0.0256, 0)</f>
        <v>21.642600000000002</v>
      </c>
      <c r="G173" s="10">
        <f>19.8327 * CHOOSE(CONTROL!$C$15, $E$9, 100%, $G$9) + CHOOSE(CONTROL!$C$38, 0.0347, 0)</f>
        <v>19.8674</v>
      </c>
      <c r="H173" s="10">
        <f>19.8327 * CHOOSE(CONTROL!$C$15, $E$9, 100%, $G$9) + CHOOSE(CONTROL!$C$38, 0.0347, 0)</f>
        <v>19.8674</v>
      </c>
      <c r="I173" s="10">
        <f>19.8343 * CHOOSE(CONTROL!$C$15, $E$9, 100%, $G$9) + CHOOSE(CONTROL!$C$38, 0.0347, 0)</f>
        <v>19.869</v>
      </c>
      <c r="J173" s="26">
        <f>150.9157</f>
        <v>150.91569999999999</v>
      </c>
    </row>
    <row r="174" spans="1:10" ht="15" x14ac:dyDescent="0.2">
      <c r="A174" s="16">
        <v>46569</v>
      </c>
      <c r="B174" s="10">
        <f>21.5667 * CHOOSE(CONTROL!$C$15, $E$9, 100%, $G$9) + CHOOSE(CONTROL!$C$38, 0.0256, 0)</f>
        <v>21.592300000000002</v>
      </c>
      <c r="C174" s="10">
        <f>19.6278 * CHOOSE(CONTROL!$C$15, $E$9, 100%, $G$9) + CHOOSE(CONTROL!$C$38, 0.0347, 0)</f>
        <v>19.662500000000001</v>
      </c>
      <c r="D174" s="10">
        <f>19.62 * CHOOSE(CONTROL!$C$15, $E$9, 100%, $G$9) + CHOOSE(CONTROL!$C$38, 0.0347, 0)</f>
        <v>19.654700000000002</v>
      </c>
      <c r="E174" s="28">
        <f>21.4105 * CHOOSE(CONTROL!$C$15, $E$9, 100%, $G$9) + CHOOSE(CONTROL!$C$38, 0.0347, 0)</f>
        <v>21.4452</v>
      </c>
      <c r="F174" s="27">
        <f>21.4105 * CHOOSE(CONTROL!$C$15, $E$9, 100%, $G$9) + CHOOSE(CONTROL!$C$38, 0.0256, 0)</f>
        <v>21.4361</v>
      </c>
      <c r="G174" s="10">
        <f>19.6262 * CHOOSE(CONTROL!$C$15, $E$9, 100%, $G$9) + CHOOSE(CONTROL!$C$38, 0.0347, 0)</f>
        <v>19.660900000000002</v>
      </c>
      <c r="H174" s="10">
        <f>19.6262 * CHOOSE(CONTROL!$C$15, $E$9, 100%, $G$9) + CHOOSE(CONTROL!$C$38, 0.0347, 0)</f>
        <v>19.660900000000002</v>
      </c>
      <c r="I174" s="10">
        <f>19.6278 * CHOOSE(CONTROL!$C$15, $E$9, 100%, $G$9) + CHOOSE(CONTROL!$C$38, 0.0347, 0)</f>
        <v>19.662500000000001</v>
      </c>
      <c r="J174" s="26">
        <f>150.21</f>
        <v>150.21</v>
      </c>
    </row>
    <row r="175" spans="1:10" ht="15" x14ac:dyDescent="0.2">
      <c r="A175" s="16">
        <v>46600</v>
      </c>
      <c r="B175" s="10">
        <f>21.6686 * CHOOSE(CONTROL!$C$15, $E$9, 100%, $G$9) + CHOOSE(CONTROL!$C$38, 0.0256, 0)</f>
        <v>21.694200000000002</v>
      </c>
      <c r="C175" s="10">
        <f>19.7297 * CHOOSE(CONTROL!$C$15, $E$9, 100%, $G$9) + CHOOSE(CONTROL!$C$38, 0.0347, 0)</f>
        <v>19.764400000000002</v>
      </c>
      <c r="D175" s="10">
        <f>19.7219 * CHOOSE(CONTROL!$C$15, $E$9, 100%, $G$9) + CHOOSE(CONTROL!$C$38, 0.0347, 0)</f>
        <v>19.756600000000002</v>
      </c>
      <c r="E175" s="28">
        <f>21.5124 * CHOOSE(CONTROL!$C$15, $E$9, 100%, $G$9) + CHOOSE(CONTROL!$C$38, 0.0347, 0)</f>
        <v>21.5471</v>
      </c>
      <c r="F175" s="27">
        <f>21.5124 * CHOOSE(CONTROL!$C$15, $E$9, 100%, $G$9) + CHOOSE(CONTROL!$C$38, 0.0256, 0)</f>
        <v>21.538</v>
      </c>
      <c r="G175" s="10">
        <f>19.7281 * CHOOSE(CONTROL!$C$15, $E$9, 100%, $G$9) + CHOOSE(CONTROL!$C$38, 0.0347, 0)</f>
        <v>19.762800000000002</v>
      </c>
      <c r="H175" s="10">
        <f>19.7281 * CHOOSE(CONTROL!$C$15, $E$9, 100%, $G$9) + CHOOSE(CONTROL!$C$38, 0.0347, 0)</f>
        <v>19.762800000000002</v>
      </c>
      <c r="I175" s="10">
        <f>19.7297 * CHOOSE(CONTROL!$C$15, $E$9, 100%, $G$9) + CHOOSE(CONTROL!$C$38, 0.0347, 0)</f>
        <v>19.764400000000002</v>
      </c>
      <c r="J175" s="26">
        <f>146.7131</f>
        <v>146.7131</v>
      </c>
    </row>
    <row r="176" spans="1:10" ht="15" x14ac:dyDescent="0.2">
      <c r="A176" s="16">
        <v>46631</v>
      </c>
      <c r="B176" s="10">
        <f>21.9454 * CHOOSE(CONTROL!$C$15, $E$9, 100%, $G$9) + CHOOSE(CONTROL!$C$38, 0.0256, 0)</f>
        <v>21.971</v>
      </c>
      <c r="C176" s="10">
        <f>20.0065 * CHOOSE(CONTROL!$C$15, $E$9, 100%, $G$9) + CHOOSE(CONTROL!$C$38, 0.0347, 0)</f>
        <v>20.0412</v>
      </c>
      <c r="D176" s="10">
        <f>19.9987 * CHOOSE(CONTROL!$C$15, $E$9, 100%, $G$9) + CHOOSE(CONTROL!$C$38, 0.0347, 0)</f>
        <v>20.0334</v>
      </c>
      <c r="E176" s="28">
        <f>21.7892 * CHOOSE(CONTROL!$C$15, $E$9, 100%, $G$9) + CHOOSE(CONTROL!$C$38, 0.0347, 0)</f>
        <v>21.823900000000002</v>
      </c>
      <c r="F176" s="27">
        <f>21.7892 * CHOOSE(CONTROL!$C$15, $E$9, 100%, $G$9) + CHOOSE(CONTROL!$C$38, 0.0256, 0)</f>
        <v>21.814800000000002</v>
      </c>
      <c r="G176" s="10">
        <f>20.0049 * CHOOSE(CONTROL!$C$15, $E$9, 100%, $G$9) + CHOOSE(CONTROL!$C$38, 0.0347, 0)</f>
        <v>20.0396</v>
      </c>
      <c r="H176" s="10">
        <f>20.0049 * CHOOSE(CONTROL!$C$15, $E$9, 100%, $G$9) + CHOOSE(CONTROL!$C$38, 0.0347, 0)</f>
        <v>20.0396</v>
      </c>
      <c r="I176" s="10">
        <f>20.0065 * CHOOSE(CONTROL!$C$15, $E$9, 100%, $G$9) + CHOOSE(CONTROL!$C$38, 0.0347, 0)</f>
        <v>20.0412</v>
      </c>
      <c r="J176" s="26">
        <f>141.8366</f>
        <v>141.8366</v>
      </c>
    </row>
    <row r="177" spans="1:10" ht="15" x14ac:dyDescent="0.2">
      <c r="A177" s="16">
        <v>46661</v>
      </c>
      <c r="B177" s="10">
        <f>22.1772 * CHOOSE(CONTROL!$C$15, $E$9, 100%, $G$9) + CHOOSE(CONTROL!$C$38, 0.0256, 0)</f>
        <v>22.2028</v>
      </c>
      <c r="C177" s="10">
        <f>20.2383 * CHOOSE(CONTROL!$C$15, $E$9, 100%, $G$9) + CHOOSE(CONTROL!$C$38, 0.0347, 0)</f>
        <v>20.273</v>
      </c>
      <c r="D177" s="10">
        <f>20.2305 * CHOOSE(CONTROL!$C$15, $E$9, 100%, $G$9) + CHOOSE(CONTROL!$C$38, 0.0347, 0)</f>
        <v>20.2652</v>
      </c>
      <c r="E177" s="28">
        <f>22.021 * CHOOSE(CONTROL!$C$15, $E$9, 100%, $G$9) + CHOOSE(CONTROL!$C$38, 0.0347, 0)</f>
        <v>22.055700000000002</v>
      </c>
      <c r="F177" s="27">
        <f>22.021 * CHOOSE(CONTROL!$C$15, $E$9, 100%, $G$9) + CHOOSE(CONTROL!$C$38, 0.0256, 0)</f>
        <v>22.046600000000002</v>
      </c>
      <c r="G177" s="10">
        <f>20.2367 * CHOOSE(CONTROL!$C$15, $E$9, 100%, $G$9) + CHOOSE(CONTROL!$C$38, 0.0347, 0)</f>
        <v>20.2714</v>
      </c>
      <c r="H177" s="10">
        <f>20.2367 * CHOOSE(CONTROL!$C$15, $E$9, 100%, $G$9) + CHOOSE(CONTROL!$C$38, 0.0347, 0)</f>
        <v>20.2714</v>
      </c>
      <c r="I177" s="10">
        <f>20.2383 * CHOOSE(CONTROL!$C$15, $E$9, 100%, $G$9) + CHOOSE(CONTROL!$C$38, 0.0347, 0)</f>
        <v>20.273</v>
      </c>
      <c r="J177" s="26">
        <f>136.9318</f>
        <v>136.93180000000001</v>
      </c>
    </row>
    <row r="178" spans="1:10" ht="15" x14ac:dyDescent="0.2">
      <c r="A178" s="16">
        <v>46692</v>
      </c>
      <c r="B178" s="10">
        <f>22.3707 * CHOOSE(CONTROL!$C$15, $E$9, 100%, $G$9) + CHOOSE(CONTROL!$C$38, 0.0256, 0)</f>
        <v>22.3963</v>
      </c>
      <c r="C178" s="10">
        <f>20.4317 * CHOOSE(CONTROL!$C$15, $E$9, 100%, $G$9) + CHOOSE(CONTROL!$C$38, 0.0347, 0)</f>
        <v>20.4664</v>
      </c>
      <c r="D178" s="10">
        <f>20.4239 * CHOOSE(CONTROL!$C$15, $E$9, 100%, $G$9) + CHOOSE(CONTROL!$C$38, 0.0347, 0)</f>
        <v>20.458600000000001</v>
      </c>
      <c r="E178" s="28">
        <f>22.2144 * CHOOSE(CONTROL!$C$15, $E$9, 100%, $G$9) + CHOOSE(CONTROL!$C$38, 0.0347, 0)</f>
        <v>22.249100000000002</v>
      </c>
      <c r="F178" s="27">
        <f>22.2144 * CHOOSE(CONTROL!$C$15, $E$9, 100%, $G$9) + CHOOSE(CONTROL!$C$38, 0.0256, 0)</f>
        <v>22.240000000000002</v>
      </c>
      <c r="G178" s="10">
        <f>20.4302 * CHOOSE(CONTROL!$C$15, $E$9, 100%, $G$9) + CHOOSE(CONTROL!$C$38, 0.0347, 0)</f>
        <v>20.4649</v>
      </c>
      <c r="H178" s="10">
        <f>20.4302 * CHOOSE(CONTROL!$C$15, $E$9, 100%, $G$9) + CHOOSE(CONTROL!$C$38, 0.0347, 0)</f>
        <v>20.4649</v>
      </c>
      <c r="I178" s="10">
        <f>20.4317 * CHOOSE(CONTROL!$C$15, $E$9, 100%, $G$9) + CHOOSE(CONTROL!$C$38, 0.0347, 0)</f>
        <v>20.4664</v>
      </c>
      <c r="J178" s="26">
        <f>135.9561</f>
        <v>135.95609999999999</v>
      </c>
    </row>
    <row r="179" spans="1:10" ht="15" x14ac:dyDescent="0.2">
      <c r="A179" s="16">
        <v>46722</v>
      </c>
      <c r="B179" s="10">
        <f>22.9668 * CHOOSE(CONTROL!$C$15, $E$9, 100%, $G$9) + CHOOSE(CONTROL!$C$38, 0.0256, 0)</f>
        <v>22.9924</v>
      </c>
      <c r="C179" s="10">
        <f>21.0278 * CHOOSE(CONTROL!$C$15, $E$9, 100%, $G$9) + CHOOSE(CONTROL!$C$38, 0.0347, 0)</f>
        <v>21.0625</v>
      </c>
      <c r="D179" s="10">
        <f>21.02 * CHOOSE(CONTROL!$C$15, $E$9, 100%, $G$9) + CHOOSE(CONTROL!$C$38, 0.0347, 0)</f>
        <v>21.0547</v>
      </c>
      <c r="E179" s="28">
        <f>22.8105 * CHOOSE(CONTROL!$C$15, $E$9, 100%, $G$9) + CHOOSE(CONTROL!$C$38, 0.0347, 0)</f>
        <v>22.845200000000002</v>
      </c>
      <c r="F179" s="27">
        <f>22.8105 * CHOOSE(CONTROL!$C$15, $E$9, 100%, $G$9) + CHOOSE(CONTROL!$C$38, 0.0256, 0)</f>
        <v>22.836100000000002</v>
      </c>
      <c r="G179" s="10">
        <f>21.0262 * CHOOSE(CONTROL!$C$15, $E$9, 100%, $G$9) + CHOOSE(CONTROL!$C$38, 0.0347, 0)</f>
        <v>21.0609</v>
      </c>
      <c r="H179" s="10">
        <f>21.0262 * CHOOSE(CONTROL!$C$15, $E$9, 100%, $G$9) + CHOOSE(CONTROL!$C$38, 0.0347, 0)</f>
        <v>21.0609</v>
      </c>
      <c r="I179" s="10">
        <f>21.0278 * CHOOSE(CONTROL!$C$15, $E$9, 100%, $G$9) + CHOOSE(CONTROL!$C$38, 0.0347, 0)</f>
        <v>21.0625</v>
      </c>
      <c r="J179" s="26">
        <f>131.9216</f>
        <v>131.92160000000001</v>
      </c>
    </row>
    <row r="180" spans="1:10" ht="15" x14ac:dyDescent="0.2">
      <c r="A180" s="16">
        <v>46753</v>
      </c>
      <c r="B180" s="10">
        <f>24.3557 * CHOOSE(CONTROL!$C$15, $E$9, 100%, $G$9) + CHOOSE(CONTROL!$C$38, 0.0256, 0)</f>
        <v>24.3813</v>
      </c>
      <c r="C180" s="10">
        <f>22.3943 * CHOOSE(CONTROL!$C$15, $E$9, 100%, $G$9) + CHOOSE(CONTROL!$C$38, 0.0347, 0)</f>
        <v>22.429000000000002</v>
      </c>
      <c r="D180" s="10">
        <f>22.3865 * CHOOSE(CONTROL!$C$15, $E$9, 100%, $G$9) + CHOOSE(CONTROL!$C$38, 0.0347, 0)</f>
        <v>22.421200000000002</v>
      </c>
      <c r="E180" s="28">
        <f>24.1994 * CHOOSE(CONTROL!$C$15, $E$9, 100%, $G$9) + CHOOSE(CONTROL!$C$38, 0.0347, 0)</f>
        <v>24.234100000000002</v>
      </c>
      <c r="F180" s="27">
        <f>24.1994 * CHOOSE(CONTROL!$C$15, $E$9, 100%, $G$9) + CHOOSE(CONTROL!$C$38, 0.0256, 0)</f>
        <v>24.225000000000001</v>
      </c>
      <c r="G180" s="10">
        <f>22.3927 * CHOOSE(CONTROL!$C$15, $E$9, 100%, $G$9) + CHOOSE(CONTROL!$C$38, 0.0347, 0)</f>
        <v>22.427400000000002</v>
      </c>
      <c r="H180" s="10">
        <f>22.3927 * CHOOSE(CONTROL!$C$15, $E$9, 100%, $G$9) + CHOOSE(CONTROL!$C$38, 0.0347, 0)</f>
        <v>22.427400000000002</v>
      </c>
      <c r="I180" s="10">
        <f>22.3943 * CHOOSE(CONTROL!$C$15, $E$9, 100%, $G$9) + CHOOSE(CONTROL!$C$38, 0.0347, 0)</f>
        <v>22.429000000000002</v>
      </c>
      <c r="J180" s="26">
        <f>134.0463</f>
        <v>134.0463</v>
      </c>
    </row>
    <row r="181" spans="1:10" ht="15" x14ac:dyDescent="0.2">
      <c r="A181" s="16">
        <v>46784</v>
      </c>
      <c r="B181" s="10">
        <f>24.5764 * CHOOSE(CONTROL!$C$15, $E$9, 100%, $G$9) + CHOOSE(CONTROL!$C$38, 0.0256, 0)</f>
        <v>24.602</v>
      </c>
      <c r="C181" s="10">
        <f>22.6151 * CHOOSE(CONTROL!$C$15, $E$9, 100%, $G$9) + CHOOSE(CONTROL!$C$38, 0.0347, 0)</f>
        <v>22.649800000000003</v>
      </c>
      <c r="D181" s="10">
        <f>22.6072 * CHOOSE(CONTROL!$C$15, $E$9, 100%, $G$9) + CHOOSE(CONTROL!$C$38, 0.0347, 0)</f>
        <v>22.6419</v>
      </c>
      <c r="E181" s="28">
        <f>24.4202 * CHOOSE(CONTROL!$C$15, $E$9, 100%, $G$9) + CHOOSE(CONTROL!$C$38, 0.0347, 0)</f>
        <v>24.454900000000002</v>
      </c>
      <c r="F181" s="27">
        <f>24.4202 * CHOOSE(CONTROL!$C$15, $E$9, 100%, $G$9) + CHOOSE(CONTROL!$C$38, 0.0256, 0)</f>
        <v>24.445800000000002</v>
      </c>
      <c r="G181" s="10">
        <f>22.6135 * CHOOSE(CONTROL!$C$15, $E$9, 100%, $G$9) + CHOOSE(CONTROL!$C$38, 0.0347, 0)</f>
        <v>22.648199999999999</v>
      </c>
      <c r="H181" s="10">
        <f>22.6135 * CHOOSE(CONTROL!$C$15, $E$9, 100%, $G$9) + CHOOSE(CONTROL!$C$38, 0.0347, 0)</f>
        <v>22.648199999999999</v>
      </c>
      <c r="I181" s="10">
        <f>22.6151 * CHOOSE(CONTROL!$C$15, $E$9, 100%, $G$9) + CHOOSE(CONTROL!$C$38, 0.0347, 0)</f>
        <v>22.649800000000003</v>
      </c>
      <c r="J181" s="26">
        <f>133.6737</f>
        <v>133.6737</v>
      </c>
    </row>
    <row r="182" spans="1:10" ht="15" x14ac:dyDescent="0.2">
      <c r="A182" s="16">
        <v>46813</v>
      </c>
      <c r="B182" s="10">
        <f>24.0654 * CHOOSE(CONTROL!$C$15, $E$9, 100%, $G$9) + CHOOSE(CONTROL!$C$38, 0.0256, 0)</f>
        <v>24.091000000000001</v>
      </c>
      <c r="C182" s="10">
        <f>22.104 * CHOOSE(CONTROL!$C$15, $E$9, 100%, $G$9) + CHOOSE(CONTROL!$C$38, 0.0347, 0)</f>
        <v>22.1387</v>
      </c>
      <c r="D182" s="10">
        <f>22.0962 * CHOOSE(CONTROL!$C$15, $E$9, 100%, $G$9) + CHOOSE(CONTROL!$C$38, 0.0347, 0)</f>
        <v>22.1309</v>
      </c>
      <c r="E182" s="28">
        <f>23.9091 * CHOOSE(CONTROL!$C$15, $E$9, 100%, $G$9) + CHOOSE(CONTROL!$C$38, 0.0347, 0)</f>
        <v>23.9438</v>
      </c>
      <c r="F182" s="27">
        <f>23.9091 * CHOOSE(CONTROL!$C$15, $E$9, 100%, $G$9) + CHOOSE(CONTROL!$C$38, 0.0256, 0)</f>
        <v>23.934699999999999</v>
      </c>
      <c r="G182" s="10">
        <f>22.1025 * CHOOSE(CONTROL!$C$15, $E$9, 100%, $G$9) + CHOOSE(CONTROL!$C$38, 0.0347, 0)</f>
        <v>22.1372</v>
      </c>
      <c r="H182" s="10">
        <f>22.1025 * CHOOSE(CONTROL!$C$15, $E$9, 100%, $G$9) + CHOOSE(CONTROL!$C$38, 0.0347, 0)</f>
        <v>22.1372</v>
      </c>
      <c r="I182" s="10">
        <f>22.104 * CHOOSE(CONTROL!$C$15, $E$9, 100%, $G$9) + CHOOSE(CONTROL!$C$38, 0.0347, 0)</f>
        <v>22.1387</v>
      </c>
      <c r="J182" s="26">
        <f>140.7191</f>
        <v>140.7191</v>
      </c>
    </row>
    <row r="183" spans="1:10" ht="15" x14ac:dyDescent="0.2">
      <c r="A183" s="16">
        <v>46844</v>
      </c>
      <c r="B183" s="10">
        <f>23.5702 * CHOOSE(CONTROL!$C$15, $E$9, 100%, $G$9) + CHOOSE(CONTROL!$C$38, 0.0256, 0)</f>
        <v>23.595800000000001</v>
      </c>
      <c r="C183" s="10">
        <f>21.6088 * CHOOSE(CONTROL!$C$15, $E$9, 100%, $G$9) + CHOOSE(CONTROL!$C$38, 0.0347, 0)</f>
        <v>21.6435</v>
      </c>
      <c r="D183" s="10">
        <f>21.601 * CHOOSE(CONTROL!$C$15, $E$9, 100%, $G$9) + CHOOSE(CONTROL!$C$38, 0.0347, 0)</f>
        <v>21.6357</v>
      </c>
      <c r="E183" s="28">
        <f>23.414 * CHOOSE(CONTROL!$C$15, $E$9, 100%, $G$9) + CHOOSE(CONTROL!$C$38, 0.0347, 0)</f>
        <v>23.448700000000002</v>
      </c>
      <c r="F183" s="27">
        <f>23.414 * CHOOSE(CONTROL!$C$15, $E$9, 100%, $G$9) + CHOOSE(CONTROL!$C$38, 0.0256, 0)</f>
        <v>23.439600000000002</v>
      </c>
      <c r="G183" s="10">
        <f>21.6073 * CHOOSE(CONTROL!$C$15, $E$9, 100%, $G$9) + CHOOSE(CONTROL!$C$38, 0.0347, 0)</f>
        <v>21.641999999999999</v>
      </c>
      <c r="H183" s="10">
        <f>21.6073 * CHOOSE(CONTROL!$C$15, $E$9, 100%, $G$9) + CHOOSE(CONTROL!$C$38, 0.0347, 0)</f>
        <v>21.641999999999999</v>
      </c>
      <c r="I183" s="10">
        <f>21.6088 * CHOOSE(CONTROL!$C$15, $E$9, 100%, $G$9) + CHOOSE(CONTROL!$C$38, 0.0347, 0)</f>
        <v>21.6435</v>
      </c>
      <c r="J183" s="26">
        <f>149.8553</f>
        <v>149.8553</v>
      </c>
    </row>
    <row r="184" spans="1:10" ht="15" x14ac:dyDescent="0.2">
      <c r="A184" s="16">
        <v>46874</v>
      </c>
      <c r="B184" s="10">
        <f>23.0541 * CHOOSE(CONTROL!$C$15, $E$9, 100%, $G$9) + CHOOSE(CONTROL!$C$38, 0.0256, 0)</f>
        <v>23.079699999999999</v>
      </c>
      <c r="C184" s="10">
        <f>21.0927 * CHOOSE(CONTROL!$C$15, $E$9, 100%, $G$9) + CHOOSE(CONTROL!$C$38, 0.0347, 0)</f>
        <v>21.127400000000002</v>
      </c>
      <c r="D184" s="10">
        <f>21.0849 * CHOOSE(CONTROL!$C$15, $E$9, 100%, $G$9) + CHOOSE(CONTROL!$C$38, 0.0347, 0)</f>
        <v>21.119600000000002</v>
      </c>
      <c r="E184" s="28">
        <f>22.8979 * CHOOSE(CONTROL!$C$15, $E$9, 100%, $G$9) + CHOOSE(CONTROL!$C$38, 0.0347, 0)</f>
        <v>22.932600000000001</v>
      </c>
      <c r="F184" s="27">
        <f>22.8979 * CHOOSE(CONTROL!$C$15, $E$9, 100%, $G$9) + CHOOSE(CONTROL!$C$38, 0.0256, 0)</f>
        <v>22.923500000000001</v>
      </c>
      <c r="G184" s="10">
        <f>21.0912 * CHOOSE(CONTROL!$C$15, $E$9, 100%, $G$9) + CHOOSE(CONTROL!$C$38, 0.0347, 0)</f>
        <v>21.125900000000001</v>
      </c>
      <c r="H184" s="10">
        <f>21.0912 * CHOOSE(CONTROL!$C$15, $E$9, 100%, $G$9) + CHOOSE(CONTROL!$C$38, 0.0347, 0)</f>
        <v>21.125900000000001</v>
      </c>
      <c r="I184" s="10">
        <f>21.0927 * CHOOSE(CONTROL!$C$15, $E$9, 100%, $G$9) + CHOOSE(CONTROL!$C$38, 0.0347, 0)</f>
        <v>21.127400000000002</v>
      </c>
      <c r="J184" s="26">
        <f>154.8841</f>
        <v>154.88409999999999</v>
      </c>
    </row>
    <row r="185" spans="1:10" ht="15" x14ac:dyDescent="0.2">
      <c r="A185" s="16">
        <v>46905</v>
      </c>
      <c r="B185" s="10">
        <f>22.6923 * CHOOSE(CONTROL!$C$15, $E$9, 100%, $G$9) + CHOOSE(CONTROL!$C$38, 0.0256, 0)</f>
        <v>22.7179</v>
      </c>
      <c r="C185" s="10">
        <f>20.7309 * CHOOSE(CONTROL!$C$15, $E$9, 100%, $G$9) + CHOOSE(CONTROL!$C$38, 0.0347, 0)</f>
        <v>20.765599999999999</v>
      </c>
      <c r="D185" s="10">
        <f>20.7231 * CHOOSE(CONTROL!$C$15, $E$9, 100%, $G$9) + CHOOSE(CONTROL!$C$38, 0.0347, 0)</f>
        <v>20.7578</v>
      </c>
      <c r="E185" s="28">
        <f>22.536 * CHOOSE(CONTROL!$C$15, $E$9, 100%, $G$9) + CHOOSE(CONTROL!$C$38, 0.0347, 0)</f>
        <v>22.570700000000002</v>
      </c>
      <c r="F185" s="27">
        <f>22.536 * CHOOSE(CONTROL!$C$15, $E$9, 100%, $G$9) + CHOOSE(CONTROL!$C$38, 0.0256, 0)</f>
        <v>22.561600000000002</v>
      </c>
      <c r="G185" s="10">
        <f>20.7293 * CHOOSE(CONTROL!$C$15, $E$9, 100%, $G$9) + CHOOSE(CONTROL!$C$38, 0.0347, 0)</f>
        <v>20.763999999999999</v>
      </c>
      <c r="H185" s="10">
        <f>20.7293 * CHOOSE(CONTROL!$C$15, $E$9, 100%, $G$9) + CHOOSE(CONTROL!$C$38, 0.0347, 0)</f>
        <v>20.763999999999999</v>
      </c>
      <c r="I185" s="10">
        <f>20.7309 * CHOOSE(CONTROL!$C$15, $E$9, 100%, $G$9) + CHOOSE(CONTROL!$C$38, 0.0347, 0)</f>
        <v>20.765599999999999</v>
      </c>
      <c r="J185" s="26">
        <f>157.1158</f>
        <v>157.11580000000001</v>
      </c>
    </row>
    <row r="186" spans="1:10" ht="15" x14ac:dyDescent="0.2">
      <c r="A186" s="16">
        <v>46935</v>
      </c>
      <c r="B186" s="10">
        <f>22.4858 * CHOOSE(CONTROL!$C$15, $E$9, 100%, $G$9) + CHOOSE(CONTROL!$C$38, 0.0256, 0)</f>
        <v>22.511400000000002</v>
      </c>
      <c r="C186" s="10">
        <f>20.5244 * CHOOSE(CONTROL!$C$15, $E$9, 100%, $G$9) + CHOOSE(CONTROL!$C$38, 0.0347, 0)</f>
        <v>20.559100000000001</v>
      </c>
      <c r="D186" s="10">
        <f>20.5166 * CHOOSE(CONTROL!$C$15, $E$9, 100%, $G$9) + CHOOSE(CONTROL!$C$38, 0.0347, 0)</f>
        <v>20.551300000000001</v>
      </c>
      <c r="E186" s="28">
        <f>22.3295 * CHOOSE(CONTROL!$C$15, $E$9, 100%, $G$9) + CHOOSE(CONTROL!$C$38, 0.0347, 0)</f>
        <v>22.3642</v>
      </c>
      <c r="F186" s="27">
        <f>22.3295 * CHOOSE(CONTROL!$C$15, $E$9, 100%, $G$9) + CHOOSE(CONTROL!$C$38, 0.0256, 0)</f>
        <v>22.3551</v>
      </c>
      <c r="G186" s="10">
        <f>20.5228 * CHOOSE(CONTROL!$C$15, $E$9, 100%, $G$9) + CHOOSE(CONTROL!$C$38, 0.0347, 0)</f>
        <v>20.557500000000001</v>
      </c>
      <c r="H186" s="10">
        <f>20.5228 * CHOOSE(CONTROL!$C$15, $E$9, 100%, $G$9) + CHOOSE(CONTROL!$C$38, 0.0347, 0)</f>
        <v>20.557500000000001</v>
      </c>
      <c r="I186" s="10">
        <f>20.5244 * CHOOSE(CONTROL!$C$15, $E$9, 100%, $G$9) + CHOOSE(CONTROL!$C$38, 0.0347, 0)</f>
        <v>20.559100000000001</v>
      </c>
      <c r="J186" s="26">
        <f>156.3811</f>
        <v>156.3811</v>
      </c>
    </row>
    <row r="187" spans="1:10" ht="15" x14ac:dyDescent="0.2">
      <c r="A187" s="16">
        <v>46966</v>
      </c>
      <c r="B187" s="10">
        <f>22.5877 * CHOOSE(CONTROL!$C$15, $E$9, 100%, $G$9) + CHOOSE(CONTROL!$C$38, 0.0256, 0)</f>
        <v>22.613300000000002</v>
      </c>
      <c r="C187" s="10">
        <f>20.6263 * CHOOSE(CONTROL!$C$15, $E$9, 100%, $G$9) + CHOOSE(CONTROL!$C$38, 0.0347, 0)</f>
        <v>20.661000000000001</v>
      </c>
      <c r="D187" s="10">
        <f>20.6185 * CHOOSE(CONTROL!$C$15, $E$9, 100%, $G$9) + CHOOSE(CONTROL!$C$38, 0.0347, 0)</f>
        <v>20.653200000000002</v>
      </c>
      <c r="E187" s="28">
        <f>22.4314 * CHOOSE(CONTROL!$C$15, $E$9, 100%, $G$9) + CHOOSE(CONTROL!$C$38, 0.0347, 0)</f>
        <v>22.466100000000001</v>
      </c>
      <c r="F187" s="27">
        <f>22.4314 * CHOOSE(CONTROL!$C$15, $E$9, 100%, $G$9) + CHOOSE(CONTROL!$C$38, 0.0256, 0)</f>
        <v>22.457000000000001</v>
      </c>
      <c r="G187" s="10">
        <f>20.6248 * CHOOSE(CONTROL!$C$15, $E$9, 100%, $G$9) + CHOOSE(CONTROL!$C$38, 0.0347, 0)</f>
        <v>20.659500000000001</v>
      </c>
      <c r="H187" s="10">
        <f>20.6248 * CHOOSE(CONTROL!$C$15, $E$9, 100%, $G$9) + CHOOSE(CONTROL!$C$38, 0.0347, 0)</f>
        <v>20.659500000000001</v>
      </c>
      <c r="I187" s="10">
        <f>20.6263 * CHOOSE(CONTROL!$C$15, $E$9, 100%, $G$9) + CHOOSE(CONTROL!$C$38, 0.0347, 0)</f>
        <v>20.661000000000001</v>
      </c>
      <c r="J187" s="26">
        <f>152.7406</f>
        <v>152.7406</v>
      </c>
    </row>
    <row r="188" spans="1:10" ht="15" x14ac:dyDescent="0.2">
      <c r="A188" s="16">
        <v>46997</v>
      </c>
      <c r="B188" s="10">
        <f>22.8645 * CHOOSE(CONTROL!$C$15, $E$9, 100%, $G$9) + CHOOSE(CONTROL!$C$38, 0.0256, 0)</f>
        <v>22.8901</v>
      </c>
      <c r="C188" s="10">
        <f>20.9031 * CHOOSE(CONTROL!$C$15, $E$9, 100%, $G$9) + CHOOSE(CONTROL!$C$38, 0.0347, 0)</f>
        <v>20.937799999999999</v>
      </c>
      <c r="D188" s="10">
        <f>20.8953 * CHOOSE(CONTROL!$C$15, $E$9, 100%, $G$9) + CHOOSE(CONTROL!$C$38, 0.0347, 0)</f>
        <v>20.93</v>
      </c>
      <c r="E188" s="28">
        <f>22.7082 * CHOOSE(CONTROL!$C$15, $E$9, 100%, $G$9) + CHOOSE(CONTROL!$C$38, 0.0347, 0)</f>
        <v>22.742900000000002</v>
      </c>
      <c r="F188" s="27">
        <f>22.7082 * CHOOSE(CONTROL!$C$15, $E$9, 100%, $G$9) + CHOOSE(CONTROL!$C$38, 0.0256, 0)</f>
        <v>22.733800000000002</v>
      </c>
      <c r="G188" s="10">
        <f>20.9016 * CHOOSE(CONTROL!$C$15, $E$9, 100%, $G$9) + CHOOSE(CONTROL!$C$38, 0.0347, 0)</f>
        <v>20.936299999999999</v>
      </c>
      <c r="H188" s="10">
        <f>20.9016 * CHOOSE(CONTROL!$C$15, $E$9, 100%, $G$9) + CHOOSE(CONTROL!$C$38, 0.0347, 0)</f>
        <v>20.936299999999999</v>
      </c>
      <c r="I188" s="10">
        <f>20.9031 * CHOOSE(CONTROL!$C$15, $E$9, 100%, $G$9) + CHOOSE(CONTROL!$C$38, 0.0347, 0)</f>
        <v>20.937799999999999</v>
      </c>
      <c r="J188" s="26">
        <f>147.6637</f>
        <v>147.66370000000001</v>
      </c>
    </row>
    <row r="189" spans="1:10" ht="15" x14ac:dyDescent="0.2">
      <c r="A189" s="16">
        <v>47027</v>
      </c>
      <c r="B189" s="10">
        <f>23.0963 * CHOOSE(CONTROL!$C$15, $E$9, 100%, $G$9) + CHOOSE(CONTROL!$C$38, 0.0256, 0)</f>
        <v>23.1219</v>
      </c>
      <c r="C189" s="10">
        <f>21.1349 * CHOOSE(CONTROL!$C$15, $E$9, 100%, $G$9) + CHOOSE(CONTROL!$C$38, 0.0347, 0)</f>
        <v>21.169599999999999</v>
      </c>
      <c r="D189" s="10">
        <f>21.1271 * CHOOSE(CONTROL!$C$15, $E$9, 100%, $G$9) + CHOOSE(CONTROL!$C$38, 0.0347, 0)</f>
        <v>21.161799999999999</v>
      </c>
      <c r="E189" s="28">
        <f>22.9401 * CHOOSE(CONTROL!$C$15, $E$9, 100%, $G$9) + CHOOSE(CONTROL!$C$38, 0.0347, 0)</f>
        <v>22.974800000000002</v>
      </c>
      <c r="F189" s="27">
        <f>22.9401 * CHOOSE(CONTROL!$C$15, $E$9, 100%, $G$9) + CHOOSE(CONTROL!$C$38, 0.0256, 0)</f>
        <v>22.965700000000002</v>
      </c>
      <c r="G189" s="10">
        <f>21.1334 * CHOOSE(CONTROL!$C$15, $E$9, 100%, $G$9) + CHOOSE(CONTROL!$C$38, 0.0347, 0)</f>
        <v>21.168100000000003</v>
      </c>
      <c r="H189" s="10">
        <f>21.1334 * CHOOSE(CONTROL!$C$15, $E$9, 100%, $G$9) + CHOOSE(CONTROL!$C$38, 0.0347, 0)</f>
        <v>21.168100000000003</v>
      </c>
      <c r="I189" s="10">
        <f>21.1349 * CHOOSE(CONTROL!$C$15, $E$9, 100%, $G$9) + CHOOSE(CONTROL!$C$38, 0.0347, 0)</f>
        <v>21.169599999999999</v>
      </c>
      <c r="J189" s="26">
        <f>142.5574</f>
        <v>142.5574</v>
      </c>
    </row>
    <row r="190" spans="1:10" ht="15" x14ac:dyDescent="0.2">
      <c r="A190" s="16">
        <v>47058</v>
      </c>
      <c r="B190" s="10">
        <f>23.2897 * CHOOSE(CONTROL!$C$15, $E$9, 100%, $G$9) + CHOOSE(CONTROL!$C$38, 0.0256, 0)</f>
        <v>23.315300000000001</v>
      </c>
      <c r="C190" s="10">
        <f>21.3284 * CHOOSE(CONTROL!$C$15, $E$9, 100%, $G$9) + CHOOSE(CONTROL!$C$38, 0.0347, 0)</f>
        <v>21.363099999999999</v>
      </c>
      <c r="D190" s="10">
        <f>21.3206 * CHOOSE(CONTROL!$C$15, $E$9, 100%, $G$9) + CHOOSE(CONTROL!$C$38, 0.0347, 0)</f>
        <v>21.3553</v>
      </c>
      <c r="E190" s="28">
        <f>23.1335 * CHOOSE(CONTROL!$C$15, $E$9, 100%, $G$9) + CHOOSE(CONTROL!$C$38, 0.0347, 0)</f>
        <v>23.168200000000002</v>
      </c>
      <c r="F190" s="27">
        <f>23.1335 * CHOOSE(CONTROL!$C$15, $E$9, 100%, $G$9) + CHOOSE(CONTROL!$C$38, 0.0256, 0)</f>
        <v>23.159100000000002</v>
      </c>
      <c r="G190" s="10">
        <f>21.3268 * CHOOSE(CONTROL!$C$15, $E$9, 100%, $G$9) + CHOOSE(CONTROL!$C$38, 0.0347, 0)</f>
        <v>21.361499999999999</v>
      </c>
      <c r="H190" s="10">
        <f>21.3268 * CHOOSE(CONTROL!$C$15, $E$9, 100%, $G$9) + CHOOSE(CONTROL!$C$38, 0.0347, 0)</f>
        <v>21.361499999999999</v>
      </c>
      <c r="I190" s="10">
        <f>21.3284 * CHOOSE(CONTROL!$C$15, $E$9, 100%, $G$9) + CHOOSE(CONTROL!$C$38, 0.0347, 0)</f>
        <v>21.363099999999999</v>
      </c>
      <c r="J190" s="26">
        <f>141.5416</f>
        <v>141.54159999999999</v>
      </c>
    </row>
    <row r="191" spans="1:10" ht="15" x14ac:dyDescent="0.2">
      <c r="A191" s="16">
        <v>47088</v>
      </c>
      <c r="B191" s="10">
        <f>23.8858 * CHOOSE(CONTROL!$C$15, $E$9, 100%, $G$9) + CHOOSE(CONTROL!$C$38, 0.0256, 0)</f>
        <v>23.9114</v>
      </c>
      <c r="C191" s="10">
        <f>21.9245 * CHOOSE(CONTROL!$C$15, $E$9, 100%, $G$9) + CHOOSE(CONTROL!$C$38, 0.0347, 0)</f>
        <v>21.959199999999999</v>
      </c>
      <c r="D191" s="10">
        <f>21.9166 * CHOOSE(CONTROL!$C$15, $E$9, 100%, $G$9) + CHOOSE(CONTROL!$C$38, 0.0347, 0)</f>
        <v>21.9513</v>
      </c>
      <c r="E191" s="28">
        <f>23.7296 * CHOOSE(CONTROL!$C$15, $E$9, 100%, $G$9) + CHOOSE(CONTROL!$C$38, 0.0347, 0)</f>
        <v>23.764300000000002</v>
      </c>
      <c r="F191" s="27">
        <f>23.7296 * CHOOSE(CONTROL!$C$15, $E$9, 100%, $G$9) + CHOOSE(CONTROL!$C$38, 0.0256, 0)</f>
        <v>23.755200000000002</v>
      </c>
      <c r="G191" s="10">
        <f>21.9229 * CHOOSE(CONTROL!$C$15, $E$9, 100%, $G$9) + CHOOSE(CONTROL!$C$38, 0.0347, 0)</f>
        <v>21.957599999999999</v>
      </c>
      <c r="H191" s="10">
        <f>21.9229 * CHOOSE(CONTROL!$C$15, $E$9, 100%, $G$9) + CHOOSE(CONTROL!$C$38, 0.0347, 0)</f>
        <v>21.957599999999999</v>
      </c>
      <c r="I191" s="10">
        <f>21.9245 * CHOOSE(CONTROL!$C$15, $E$9, 100%, $G$9) + CHOOSE(CONTROL!$C$38, 0.0347, 0)</f>
        <v>21.959199999999999</v>
      </c>
      <c r="J191" s="26">
        <f>137.3414</f>
        <v>137.34139999999999</v>
      </c>
    </row>
    <row r="192" spans="1:10" ht="15" x14ac:dyDescent="0.2">
      <c r="A192" s="16">
        <v>47119</v>
      </c>
      <c r="B192" s="10">
        <f>25.2958 * CHOOSE(CONTROL!$C$15, $E$9, 100%, $G$9) + CHOOSE(CONTROL!$C$38, 0.0256, 0)</f>
        <v>25.321400000000001</v>
      </c>
      <c r="C192" s="10">
        <f>23.3115 * CHOOSE(CONTROL!$C$15, $E$9, 100%, $G$9) + CHOOSE(CONTROL!$C$38, 0.0347, 0)</f>
        <v>23.3462</v>
      </c>
      <c r="D192" s="10">
        <f>23.3037 * CHOOSE(CONTROL!$C$15, $E$9, 100%, $G$9) + CHOOSE(CONTROL!$C$38, 0.0347, 0)</f>
        <v>23.3384</v>
      </c>
      <c r="E192" s="28">
        <f>25.1395 * CHOOSE(CONTROL!$C$15, $E$9, 100%, $G$9) + CHOOSE(CONTROL!$C$38, 0.0347, 0)</f>
        <v>25.174200000000003</v>
      </c>
      <c r="F192" s="27">
        <f>25.1395 * CHOOSE(CONTROL!$C$15, $E$9, 100%, $G$9) + CHOOSE(CONTROL!$C$38, 0.0256, 0)</f>
        <v>25.165100000000002</v>
      </c>
      <c r="G192" s="10">
        <f>23.3099 * CHOOSE(CONTROL!$C$15, $E$9, 100%, $G$9) + CHOOSE(CONTROL!$C$38, 0.0347, 0)</f>
        <v>23.3446</v>
      </c>
      <c r="H192" s="10">
        <f>23.3099 * CHOOSE(CONTROL!$C$15, $E$9, 100%, $G$9) + CHOOSE(CONTROL!$C$38, 0.0347, 0)</f>
        <v>23.3446</v>
      </c>
      <c r="I192" s="10">
        <f>23.3115 * CHOOSE(CONTROL!$C$15, $E$9, 100%, $G$9) + CHOOSE(CONTROL!$C$38, 0.0347, 0)</f>
        <v>23.3462</v>
      </c>
      <c r="J192" s="26">
        <f>139.5568</f>
        <v>139.55680000000001</v>
      </c>
    </row>
    <row r="193" spans="1:10" ht="15" x14ac:dyDescent="0.2">
      <c r="A193" s="16">
        <v>47150</v>
      </c>
      <c r="B193" s="10">
        <f>25.5165 * CHOOSE(CONTROL!$C$15, $E$9, 100%, $G$9) + CHOOSE(CONTROL!$C$38, 0.0256, 0)</f>
        <v>25.542100000000001</v>
      </c>
      <c r="C193" s="10">
        <f>23.5322 * CHOOSE(CONTROL!$C$15, $E$9, 100%, $G$9) + CHOOSE(CONTROL!$C$38, 0.0347, 0)</f>
        <v>23.5669</v>
      </c>
      <c r="D193" s="10">
        <f>23.5244 * CHOOSE(CONTROL!$C$15, $E$9, 100%, $G$9) + CHOOSE(CONTROL!$C$38, 0.0347, 0)</f>
        <v>23.559100000000001</v>
      </c>
      <c r="E193" s="28">
        <f>25.3603 * CHOOSE(CONTROL!$C$15, $E$9, 100%, $G$9) + CHOOSE(CONTROL!$C$38, 0.0347, 0)</f>
        <v>25.395</v>
      </c>
      <c r="F193" s="27">
        <f>25.3603 * CHOOSE(CONTROL!$C$15, $E$9, 100%, $G$9) + CHOOSE(CONTROL!$C$38, 0.0256, 0)</f>
        <v>25.385899999999999</v>
      </c>
      <c r="G193" s="10">
        <f>23.5307 * CHOOSE(CONTROL!$C$15, $E$9, 100%, $G$9) + CHOOSE(CONTROL!$C$38, 0.0347, 0)</f>
        <v>23.5654</v>
      </c>
      <c r="H193" s="10">
        <f>23.5307 * CHOOSE(CONTROL!$C$15, $E$9, 100%, $G$9) + CHOOSE(CONTROL!$C$38, 0.0347, 0)</f>
        <v>23.5654</v>
      </c>
      <c r="I193" s="10">
        <f>23.5322 * CHOOSE(CONTROL!$C$15, $E$9, 100%, $G$9) + CHOOSE(CONTROL!$C$38, 0.0347, 0)</f>
        <v>23.5669</v>
      </c>
      <c r="J193" s="26">
        <f>139.1689</f>
        <v>139.16890000000001</v>
      </c>
    </row>
    <row r="194" spans="1:10" ht="15" x14ac:dyDescent="0.2">
      <c r="A194" s="16">
        <v>47178</v>
      </c>
      <c r="B194" s="10">
        <f>25.0055 * CHOOSE(CONTROL!$C$15, $E$9, 100%, $G$9) + CHOOSE(CONTROL!$C$38, 0.0256, 0)</f>
        <v>25.031100000000002</v>
      </c>
      <c r="C194" s="10">
        <f>23.0212 * CHOOSE(CONTROL!$C$15, $E$9, 100%, $G$9) + CHOOSE(CONTROL!$C$38, 0.0347, 0)</f>
        <v>23.055900000000001</v>
      </c>
      <c r="D194" s="10">
        <f>23.0134 * CHOOSE(CONTROL!$C$15, $E$9, 100%, $G$9) + CHOOSE(CONTROL!$C$38, 0.0347, 0)</f>
        <v>23.048100000000002</v>
      </c>
      <c r="E194" s="28">
        <f>24.8493 * CHOOSE(CONTROL!$C$15, $E$9, 100%, $G$9) + CHOOSE(CONTROL!$C$38, 0.0347, 0)</f>
        <v>24.884</v>
      </c>
      <c r="F194" s="27">
        <f>24.8493 * CHOOSE(CONTROL!$C$15, $E$9, 100%, $G$9) + CHOOSE(CONTROL!$C$38, 0.0256, 0)</f>
        <v>24.8749</v>
      </c>
      <c r="G194" s="10">
        <f>23.0197 * CHOOSE(CONTROL!$C$15, $E$9, 100%, $G$9) + CHOOSE(CONTROL!$C$38, 0.0347, 0)</f>
        <v>23.054400000000001</v>
      </c>
      <c r="H194" s="10">
        <f>23.0197 * CHOOSE(CONTROL!$C$15, $E$9, 100%, $G$9) + CHOOSE(CONTROL!$C$38, 0.0347, 0)</f>
        <v>23.054400000000001</v>
      </c>
      <c r="I194" s="10">
        <f>23.0212 * CHOOSE(CONTROL!$C$15, $E$9, 100%, $G$9) + CHOOSE(CONTROL!$C$38, 0.0347, 0)</f>
        <v>23.055900000000001</v>
      </c>
      <c r="J194" s="26">
        <f>146.5039</f>
        <v>146.50389999999999</v>
      </c>
    </row>
    <row r="195" spans="1:10" ht="15" x14ac:dyDescent="0.2">
      <c r="A195" s="16">
        <v>47209</v>
      </c>
      <c r="B195" s="10">
        <f>24.5103 * CHOOSE(CONTROL!$C$15, $E$9, 100%, $G$9) + CHOOSE(CONTROL!$C$38, 0.0256, 0)</f>
        <v>24.535900000000002</v>
      </c>
      <c r="C195" s="10">
        <f>22.526 * CHOOSE(CONTROL!$C$15, $E$9, 100%, $G$9) + CHOOSE(CONTROL!$C$38, 0.0347, 0)</f>
        <v>22.560700000000001</v>
      </c>
      <c r="D195" s="10">
        <f>22.5182 * CHOOSE(CONTROL!$C$15, $E$9, 100%, $G$9) + CHOOSE(CONTROL!$C$38, 0.0347, 0)</f>
        <v>22.552900000000001</v>
      </c>
      <c r="E195" s="28">
        <f>24.3541 * CHOOSE(CONTROL!$C$15, $E$9, 100%, $G$9) + CHOOSE(CONTROL!$C$38, 0.0347, 0)</f>
        <v>24.3888</v>
      </c>
      <c r="F195" s="27">
        <f>24.3541 * CHOOSE(CONTROL!$C$15, $E$9, 100%, $G$9) + CHOOSE(CONTROL!$C$38, 0.0256, 0)</f>
        <v>24.3797</v>
      </c>
      <c r="G195" s="10">
        <f>22.5245 * CHOOSE(CONTROL!$C$15, $E$9, 100%, $G$9) + CHOOSE(CONTROL!$C$38, 0.0347, 0)</f>
        <v>22.559200000000001</v>
      </c>
      <c r="H195" s="10">
        <f>22.5245 * CHOOSE(CONTROL!$C$15, $E$9, 100%, $G$9) + CHOOSE(CONTROL!$C$38, 0.0347, 0)</f>
        <v>22.559200000000001</v>
      </c>
      <c r="I195" s="10">
        <f>22.526 * CHOOSE(CONTROL!$C$15, $E$9, 100%, $G$9) + CHOOSE(CONTROL!$C$38, 0.0347, 0)</f>
        <v>22.560700000000001</v>
      </c>
      <c r="J195" s="26">
        <f>156.0157</f>
        <v>156.01570000000001</v>
      </c>
    </row>
    <row r="196" spans="1:10" ht="15" x14ac:dyDescent="0.2">
      <c r="A196" s="16">
        <v>47239</v>
      </c>
      <c r="B196" s="10">
        <f>23.9942 * CHOOSE(CONTROL!$C$15, $E$9, 100%, $G$9) + CHOOSE(CONTROL!$C$38, 0.0256, 0)</f>
        <v>24.0198</v>
      </c>
      <c r="C196" s="10">
        <f>22.0099 * CHOOSE(CONTROL!$C$15, $E$9, 100%, $G$9) + CHOOSE(CONTROL!$C$38, 0.0347, 0)</f>
        <v>22.044599999999999</v>
      </c>
      <c r="D196" s="10">
        <f>22.0021 * CHOOSE(CONTROL!$C$15, $E$9, 100%, $G$9) + CHOOSE(CONTROL!$C$38, 0.0347, 0)</f>
        <v>22.036799999999999</v>
      </c>
      <c r="E196" s="28">
        <f>23.838 * CHOOSE(CONTROL!$C$15, $E$9, 100%, $G$9) + CHOOSE(CONTROL!$C$38, 0.0347, 0)</f>
        <v>23.872700000000002</v>
      </c>
      <c r="F196" s="27">
        <f>23.838 * CHOOSE(CONTROL!$C$15, $E$9, 100%, $G$9) + CHOOSE(CONTROL!$C$38, 0.0256, 0)</f>
        <v>23.863600000000002</v>
      </c>
      <c r="G196" s="10">
        <f>22.0084 * CHOOSE(CONTROL!$C$15, $E$9, 100%, $G$9) + CHOOSE(CONTROL!$C$38, 0.0347, 0)</f>
        <v>22.043100000000003</v>
      </c>
      <c r="H196" s="10">
        <f>22.0084 * CHOOSE(CONTROL!$C$15, $E$9, 100%, $G$9) + CHOOSE(CONTROL!$C$38, 0.0347, 0)</f>
        <v>22.043100000000003</v>
      </c>
      <c r="I196" s="10">
        <f>22.0099 * CHOOSE(CONTROL!$C$15, $E$9, 100%, $G$9) + CHOOSE(CONTROL!$C$38, 0.0347, 0)</f>
        <v>22.044599999999999</v>
      </c>
      <c r="J196" s="26">
        <f>161.2513</f>
        <v>161.25129999999999</v>
      </c>
    </row>
    <row r="197" spans="1:10" ht="15" x14ac:dyDescent="0.2">
      <c r="A197" s="16">
        <v>47270</v>
      </c>
      <c r="B197" s="10">
        <f>23.6324 * CHOOSE(CONTROL!$C$15, $E$9, 100%, $G$9) + CHOOSE(CONTROL!$C$38, 0.0256, 0)</f>
        <v>23.658000000000001</v>
      </c>
      <c r="C197" s="10">
        <f>21.6481 * CHOOSE(CONTROL!$C$15, $E$9, 100%, $G$9) + CHOOSE(CONTROL!$C$38, 0.0347, 0)</f>
        <v>21.6828</v>
      </c>
      <c r="D197" s="10">
        <f>21.6403 * CHOOSE(CONTROL!$C$15, $E$9, 100%, $G$9) + CHOOSE(CONTROL!$C$38, 0.0347, 0)</f>
        <v>21.675000000000001</v>
      </c>
      <c r="E197" s="28">
        <f>23.4761 * CHOOSE(CONTROL!$C$15, $E$9, 100%, $G$9) + CHOOSE(CONTROL!$C$38, 0.0347, 0)</f>
        <v>23.5108</v>
      </c>
      <c r="F197" s="27">
        <f>23.4761 * CHOOSE(CONTROL!$C$15, $E$9, 100%, $G$9) + CHOOSE(CONTROL!$C$38, 0.0256, 0)</f>
        <v>23.5017</v>
      </c>
      <c r="G197" s="10">
        <f>21.6465 * CHOOSE(CONTROL!$C$15, $E$9, 100%, $G$9) + CHOOSE(CONTROL!$C$38, 0.0347, 0)</f>
        <v>21.6812</v>
      </c>
      <c r="H197" s="10">
        <f>21.6465 * CHOOSE(CONTROL!$C$15, $E$9, 100%, $G$9) + CHOOSE(CONTROL!$C$38, 0.0347, 0)</f>
        <v>21.6812</v>
      </c>
      <c r="I197" s="10">
        <f>21.6481 * CHOOSE(CONTROL!$C$15, $E$9, 100%, $G$9) + CHOOSE(CONTROL!$C$38, 0.0347, 0)</f>
        <v>21.6828</v>
      </c>
      <c r="J197" s="26">
        <f>163.5747</f>
        <v>163.57470000000001</v>
      </c>
    </row>
    <row r="198" spans="1:10" ht="15" x14ac:dyDescent="0.2">
      <c r="A198" s="16">
        <v>47300</v>
      </c>
      <c r="B198" s="10">
        <f>23.4259 * CHOOSE(CONTROL!$C$15, $E$9, 100%, $G$9) + CHOOSE(CONTROL!$C$38, 0.0256, 0)</f>
        <v>23.451499999999999</v>
      </c>
      <c r="C198" s="10">
        <f>21.4416 * CHOOSE(CONTROL!$C$15, $E$9, 100%, $G$9) + CHOOSE(CONTROL!$C$38, 0.0347, 0)</f>
        <v>21.476300000000002</v>
      </c>
      <c r="D198" s="10">
        <f>21.4338 * CHOOSE(CONTROL!$C$15, $E$9, 100%, $G$9) + CHOOSE(CONTROL!$C$38, 0.0347, 0)</f>
        <v>21.468500000000002</v>
      </c>
      <c r="E198" s="28">
        <f>23.2696 * CHOOSE(CONTROL!$C$15, $E$9, 100%, $G$9) + CHOOSE(CONTROL!$C$38, 0.0347, 0)</f>
        <v>23.304300000000001</v>
      </c>
      <c r="F198" s="27">
        <f>23.2696 * CHOOSE(CONTROL!$C$15, $E$9, 100%, $G$9) + CHOOSE(CONTROL!$C$38, 0.0256, 0)</f>
        <v>23.295200000000001</v>
      </c>
      <c r="G198" s="10">
        <f>21.44 * CHOOSE(CONTROL!$C$15, $E$9, 100%, $G$9) + CHOOSE(CONTROL!$C$38, 0.0347, 0)</f>
        <v>21.474700000000002</v>
      </c>
      <c r="H198" s="10">
        <f>21.44 * CHOOSE(CONTROL!$C$15, $E$9, 100%, $G$9) + CHOOSE(CONTROL!$C$38, 0.0347, 0)</f>
        <v>21.474700000000002</v>
      </c>
      <c r="I198" s="10">
        <f>21.4416 * CHOOSE(CONTROL!$C$15, $E$9, 100%, $G$9) + CHOOSE(CONTROL!$C$38, 0.0347, 0)</f>
        <v>21.476300000000002</v>
      </c>
      <c r="J198" s="26">
        <f>162.8097</f>
        <v>162.80969999999999</v>
      </c>
    </row>
    <row r="199" spans="1:10" ht="15" x14ac:dyDescent="0.2">
      <c r="A199" s="16">
        <v>47331</v>
      </c>
      <c r="B199" s="10">
        <f>23.5278 * CHOOSE(CONTROL!$C$15, $E$9, 100%, $G$9) + CHOOSE(CONTROL!$C$38, 0.0256, 0)</f>
        <v>23.5534</v>
      </c>
      <c r="C199" s="10">
        <f>21.5435 * CHOOSE(CONTROL!$C$15, $E$9, 100%, $G$9) + CHOOSE(CONTROL!$C$38, 0.0347, 0)</f>
        <v>21.578200000000002</v>
      </c>
      <c r="D199" s="10">
        <f>21.5357 * CHOOSE(CONTROL!$C$15, $E$9, 100%, $G$9) + CHOOSE(CONTROL!$C$38, 0.0347, 0)</f>
        <v>21.570399999999999</v>
      </c>
      <c r="E199" s="28">
        <f>23.3716 * CHOOSE(CONTROL!$C$15, $E$9, 100%, $G$9) + CHOOSE(CONTROL!$C$38, 0.0347, 0)</f>
        <v>23.406300000000002</v>
      </c>
      <c r="F199" s="27">
        <f>23.3716 * CHOOSE(CONTROL!$C$15, $E$9, 100%, $G$9) + CHOOSE(CONTROL!$C$38, 0.0256, 0)</f>
        <v>23.397200000000002</v>
      </c>
      <c r="G199" s="10">
        <f>21.5419 * CHOOSE(CONTROL!$C$15, $E$9, 100%, $G$9) + CHOOSE(CONTROL!$C$38, 0.0347, 0)</f>
        <v>21.576599999999999</v>
      </c>
      <c r="H199" s="10">
        <f>21.5419 * CHOOSE(CONTROL!$C$15, $E$9, 100%, $G$9) + CHOOSE(CONTROL!$C$38, 0.0347, 0)</f>
        <v>21.576599999999999</v>
      </c>
      <c r="I199" s="10">
        <f>21.5435 * CHOOSE(CONTROL!$C$15, $E$9, 100%, $G$9) + CHOOSE(CONTROL!$C$38, 0.0347, 0)</f>
        <v>21.578200000000002</v>
      </c>
      <c r="J199" s="26">
        <f>159.0196</f>
        <v>159.0196</v>
      </c>
    </row>
    <row r="200" spans="1:10" ht="15" x14ac:dyDescent="0.2">
      <c r="A200" s="16">
        <v>47362</v>
      </c>
      <c r="B200" s="10">
        <f>23.8046 * CHOOSE(CONTROL!$C$15, $E$9, 100%, $G$9) + CHOOSE(CONTROL!$C$38, 0.0256, 0)</f>
        <v>23.830200000000001</v>
      </c>
      <c r="C200" s="10">
        <f>21.8203 * CHOOSE(CONTROL!$C$15, $E$9, 100%, $G$9) + CHOOSE(CONTROL!$C$38, 0.0347, 0)</f>
        <v>21.855</v>
      </c>
      <c r="D200" s="10">
        <f>21.8125 * CHOOSE(CONTROL!$C$15, $E$9, 100%, $G$9) + CHOOSE(CONTROL!$C$38, 0.0347, 0)</f>
        <v>21.847200000000001</v>
      </c>
      <c r="E200" s="28">
        <f>23.6484 * CHOOSE(CONTROL!$C$15, $E$9, 100%, $G$9) + CHOOSE(CONTROL!$C$38, 0.0347, 0)</f>
        <v>23.6831</v>
      </c>
      <c r="F200" s="27">
        <f>23.6484 * CHOOSE(CONTROL!$C$15, $E$9, 100%, $G$9) + CHOOSE(CONTROL!$C$38, 0.0256, 0)</f>
        <v>23.673999999999999</v>
      </c>
      <c r="G200" s="10">
        <f>21.8187 * CHOOSE(CONTROL!$C$15, $E$9, 100%, $G$9) + CHOOSE(CONTROL!$C$38, 0.0347, 0)</f>
        <v>21.853400000000001</v>
      </c>
      <c r="H200" s="10">
        <f>21.8187 * CHOOSE(CONTROL!$C$15, $E$9, 100%, $G$9) + CHOOSE(CONTROL!$C$38, 0.0347, 0)</f>
        <v>21.853400000000001</v>
      </c>
      <c r="I200" s="10">
        <f>21.8203 * CHOOSE(CONTROL!$C$15, $E$9, 100%, $G$9) + CHOOSE(CONTROL!$C$38, 0.0347, 0)</f>
        <v>21.855</v>
      </c>
      <c r="J200" s="26">
        <f>153.734</f>
        <v>153.73400000000001</v>
      </c>
    </row>
    <row r="201" spans="1:10" ht="15" x14ac:dyDescent="0.2">
      <c r="A201" s="16">
        <v>47392</v>
      </c>
      <c r="B201" s="10">
        <f>24.0364 * CHOOSE(CONTROL!$C$15, $E$9, 100%, $G$9) + CHOOSE(CONTROL!$C$38, 0.0256, 0)</f>
        <v>24.062000000000001</v>
      </c>
      <c r="C201" s="10">
        <f>22.0521 * CHOOSE(CONTROL!$C$15, $E$9, 100%, $G$9) + CHOOSE(CONTROL!$C$38, 0.0347, 0)</f>
        <v>22.0868</v>
      </c>
      <c r="D201" s="10">
        <f>22.0443 * CHOOSE(CONTROL!$C$15, $E$9, 100%, $G$9) + CHOOSE(CONTROL!$C$38, 0.0347, 0)</f>
        <v>22.079000000000001</v>
      </c>
      <c r="E201" s="28">
        <f>23.8802 * CHOOSE(CONTROL!$C$15, $E$9, 100%, $G$9) + CHOOSE(CONTROL!$C$38, 0.0347, 0)</f>
        <v>23.914899999999999</v>
      </c>
      <c r="F201" s="27">
        <f>23.8802 * CHOOSE(CONTROL!$C$15, $E$9, 100%, $G$9) + CHOOSE(CONTROL!$C$38, 0.0256, 0)</f>
        <v>23.905799999999999</v>
      </c>
      <c r="G201" s="10">
        <f>22.0506 * CHOOSE(CONTROL!$C$15, $E$9, 100%, $G$9) + CHOOSE(CONTROL!$C$38, 0.0347, 0)</f>
        <v>22.0853</v>
      </c>
      <c r="H201" s="10">
        <f>22.0506 * CHOOSE(CONTROL!$C$15, $E$9, 100%, $G$9) + CHOOSE(CONTROL!$C$38, 0.0347, 0)</f>
        <v>22.0853</v>
      </c>
      <c r="I201" s="10">
        <f>22.0521 * CHOOSE(CONTROL!$C$15, $E$9, 100%, $G$9) + CHOOSE(CONTROL!$C$38, 0.0347, 0)</f>
        <v>22.0868</v>
      </c>
      <c r="J201" s="26">
        <f>148.4178</f>
        <v>148.4178</v>
      </c>
    </row>
    <row r="202" spans="1:10" ht="15" x14ac:dyDescent="0.2">
      <c r="A202" s="16">
        <v>47423</v>
      </c>
      <c r="B202" s="10">
        <f>24.2299 * CHOOSE(CONTROL!$C$15, $E$9, 100%, $G$9) + CHOOSE(CONTROL!$C$38, 0.0256, 0)</f>
        <v>24.255500000000001</v>
      </c>
      <c r="C202" s="10">
        <f>22.2456 * CHOOSE(CONTROL!$C$15, $E$9, 100%, $G$9) + CHOOSE(CONTROL!$C$38, 0.0347, 0)</f>
        <v>22.2803</v>
      </c>
      <c r="D202" s="10">
        <f>22.2378 * CHOOSE(CONTROL!$C$15, $E$9, 100%, $G$9) + CHOOSE(CONTROL!$C$38, 0.0347, 0)</f>
        <v>22.272500000000001</v>
      </c>
      <c r="E202" s="28">
        <f>24.0736 * CHOOSE(CONTROL!$C$15, $E$9, 100%, $G$9) + CHOOSE(CONTROL!$C$38, 0.0347, 0)</f>
        <v>24.1083</v>
      </c>
      <c r="F202" s="27">
        <f>24.0736 * CHOOSE(CONTROL!$C$15, $E$9, 100%, $G$9) + CHOOSE(CONTROL!$C$38, 0.0256, 0)</f>
        <v>24.0992</v>
      </c>
      <c r="G202" s="10">
        <f>22.244 * CHOOSE(CONTROL!$C$15, $E$9, 100%, $G$9) + CHOOSE(CONTROL!$C$38, 0.0347, 0)</f>
        <v>22.278700000000001</v>
      </c>
      <c r="H202" s="10">
        <f>22.244 * CHOOSE(CONTROL!$C$15, $E$9, 100%, $G$9) + CHOOSE(CONTROL!$C$38, 0.0347, 0)</f>
        <v>22.278700000000001</v>
      </c>
      <c r="I202" s="10">
        <f>22.2456 * CHOOSE(CONTROL!$C$15, $E$9, 100%, $G$9) + CHOOSE(CONTROL!$C$38, 0.0347, 0)</f>
        <v>22.2803</v>
      </c>
      <c r="J202" s="26">
        <f>147.3602</f>
        <v>147.36019999999999</v>
      </c>
    </row>
    <row r="203" spans="1:10" ht="15" x14ac:dyDescent="0.2">
      <c r="A203" s="16">
        <v>47453</v>
      </c>
      <c r="B203" s="10">
        <f>24.8259 * CHOOSE(CONTROL!$C$15, $E$9, 100%, $G$9) + CHOOSE(CONTROL!$C$38, 0.0256, 0)</f>
        <v>24.851500000000001</v>
      </c>
      <c r="C203" s="10">
        <f>22.8416 * CHOOSE(CONTROL!$C$15, $E$9, 100%, $G$9) + CHOOSE(CONTROL!$C$38, 0.0347, 0)</f>
        <v>22.876300000000001</v>
      </c>
      <c r="D203" s="10">
        <f>22.8338 * CHOOSE(CONTROL!$C$15, $E$9, 100%, $G$9) + CHOOSE(CONTROL!$C$38, 0.0347, 0)</f>
        <v>22.868500000000001</v>
      </c>
      <c r="E203" s="28">
        <f>24.6697 * CHOOSE(CONTROL!$C$15, $E$9, 100%, $G$9) + CHOOSE(CONTROL!$C$38, 0.0347, 0)</f>
        <v>24.7044</v>
      </c>
      <c r="F203" s="27">
        <f>24.6697 * CHOOSE(CONTROL!$C$15, $E$9, 100%, $G$9) + CHOOSE(CONTROL!$C$38, 0.0256, 0)</f>
        <v>24.6953</v>
      </c>
      <c r="G203" s="10">
        <f>22.8401 * CHOOSE(CONTROL!$C$15, $E$9, 100%, $G$9) + CHOOSE(CONTROL!$C$38, 0.0347, 0)</f>
        <v>22.8748</v>
      </c>
      <c r="H203" s="10">
        <f>22.8401 * CHOOSE(CONTROL!$C$15, $E$9, 100%, $G$9) + CHOOSE(CONTROL!$C$38, 0.0347, 0)</f>
        <v>22.8748</v>
      </c>
      <c r="I203" s="10">
        <f>22.8416 * CHOOSE(CONTROL!$C$15, $E$9, 100%, $G$9) + CHOOSE(CONTROL!$C$38, 0.0347, 0)</f>
        <v>22.876300000000001</v>
      </c>
      <c r="J203" s="26">
        <f>142.9873</f>
        <v>142.9873</v>
      </c>
    </row>
    <row r="204" spans="1:10" ht="15" x14ac:dyDescent="0.2">
      <c r="A204" s="16">
        <v>47484</v>
      </c>
      <c r="B204" s="10">
        <f>26.2743 * CHOOSE(CONTROL!$C$15, $E$9, 100%, $G$9) + CHOOSE(CONTROL!$C$38, 0.0256, 0)</f>
        <v>26.299900000000001</v>
      </c>
      <c r="C204" s="10">
        <f>24.2662 * CHOOSE(CONTROL!$C$15, $E$9, 100%, $G$9) + CHOOSE(CONTROL!$C$38, 0.0347, 0)</f>
        <v>24.300900000000002</v>
      </c>
      <c r="D204" s="10">
        <f>24.2584 * CHOOSE(CONTROL!$C$15, $E$9, 100%, $G$9) + CHOOSE(CONTROL!$C$38, 0.0347, 0)</f>
        <v>24.293100000000003</v>
      </c>
      <c r="E204" s="28">
        <f>26.1181 * CHOOSE(CONTROL!$C$15, $E$9, 100%, $G$9) + CHOOSE(CONTROL!$C$38, 0.0347, 0)</f>
        <v>26.152799999999999</v>
      </c>
      <c r="F204" s="27">
        <f>26.1181 * CHOOSE(CONTROL!$C$15, $E$9, 100%, $G$9) + CHOOSE(CONTROL!$C$38, 0.0256, 0)</f>
        <v>26.143699999999999</v>
      </c>
      <c r="G204" s="10">
        <f>24.2646 * CHOOSE(CONTROL!$C$15, $E$9, 100%, $G$9) + CHOOSE(CONTROL!$C$38, 0.0347, 0)</f>
        <v>24.299300000000002</v>
      </c>
      <c r="H204" s="10">
        <f>24.2646 * CHOOSE(CONTROL!$C$15, $E$9, 100%, $G$9) + CHOOSE(CONTROL!$C$38, 0.0347, 0)</f>
        <v>24.299300000000002</v>
      </c>
      <c r="I204" s="10">
        <f>24.2662 * CHOOSE(CONTROL!$C$15, $E$9, 100%, $G$9) + CHOOSE(CONTROL!$C$38, 0.0347, 0)</f>
        <v>24.300900000000002</v>
      </c>
      <c r="J204" s="26">
        <f>145.2881</f>
        <v>145.28809999999999</v>
      </c>
    </row>
    <row r="205" spans="1:10" ht="15" x14ac:dyDescent="0.2">
      <c r="A205" s="16">
        <v>47515</v>
      </c>
      <c r="B205" s="10">
        <f>26.4951 * CHOOSE(CONTROL!$C$15, $E$9, 100%, $G$9) + CHOOSE(CONTROL!$C$38, 0.0256, 0)</f>
        <v>26.520700000000001</v>
      </c>
      <c r="C205" s="10">
        <f>24.4869 * CHOOSE(CONTROL!$C$15, $E$9, 100%, $G$9) + CHOOSE(CONTROL!$C$38, 0.0347, 0)</f>
        <v>24.521599999999999</v>
      </c>
      <c r="D205" s="10">
        <f>24.4791 * CHOOSE(CONTROL!$C$15, $E$9, 100%, $G$9) + CHOOSE(CONTROL!$C$38, 0.0347, 0)</f>
        <v>24.5138</v>
      </c>
      <c r="E205" s="28">
        <f>26.3388 * CHOOSE(CONTROL!$C$15, $E$9, 100%, $G$9) + CHOOSE(CONTROL!$C$38, 0.0347, 0)</f>
        <v>26.3735</v>
      </c>
      <c r="F205" s="27">
        <f>26.3388 * CHOOSE(CONTROL!$C$15, $E$9, 100%, $G$9) + CHOOSE(CONTROL!$C$38, 0.0256, 0)</f>
        <v>26.3644</v>
      </c>
      <c r="G205" s="10">
        <f>24.4854 * CHOOSE(CONTROL!$C$15, $E$9, 100%, $G$9) + CHOOSE(CONTROL!$C$38, 0.0347, 0)</f>
        <v>24.520099999999999</v>
      </c>
      <c r="H205" s="10">
        <f>24.4854 * CHOOSE(CONTROL!$C$15, $E$9, 100%, $G$9) + CHOOSE(CONTROL!$C$38, 0.0347, 0)</f>
        <v>24.520099999999999</v>
      </c>
      <c r="I205" s="10">
        <f>24.4869 * CHOOSE(CONTROL!$C$15, $E$9, 100%, $G$9) + CHOOSE(CONTROL!$C$38, 0.0347, 0)</f>
        <v>24.521599999999999</v>
      </c>
      <c r="J205" s="26">
        <f>144.8843</f>
        <v>144.8843</v>
      </c>
    </row>
    <row r="206" spans="1:10" ht="15" x14ac:dyDescent="0.2">
      <c r="A206" s="16">
        <v>47543</v>
      </c>
      <c r="B206" s="10">
        <f>25.9841 * CHOOSE(CONTROL!$C$15, $E$9, 100%, $G$9) + CHOOSE(CONTROL!$C$38, 0.0256, 0)</f>
        <v>26.009700000000002</v>
      </c>
      <c r="C206" s="10">
        <f>23.9759 * CHOOSE(CONTROL!$C$15, $E$9, 100%, $G$9) + CHOOSE(CONTROL!$C$38, 0.0347, 0)</f>
        <v>24.0106</v>
      </c>
      <c r="D206" s="10">
        <f>23.9681 * CHOOSE(CONTROL!$C$15, $E$9, 100%, $G$9) + CHOOSE(CONTROL!$C$38, 0.0347, 0)</f>
        <v>24.002800000000001</v>
      </c>
      <c r="E206" s="28">
        <f>25.8278 * CHOOSE(CONTROL!$C$15, $E$9, 100%, $G$9) + CHOOSE(CONTROL!$C$38, 0.0347, 0)</f>
        <v>25.862500000000001</v>
      </c>
      <c r="F206" s="27">
        <f>25.8278 * CHOOSE(CONTROL!$C$15, $E$9, 100%, $G$9) + CHOOSE(CONTROL!$C$38, 0.0256, 0)</f>
        <v>25.853400000000001</v>
      </c>
      <c r="G206" s="10">
        <f>23.9743 * CHOOSE(CONTROL!$C$15, $E$9, 100%, $G$9) + CHOOSE(CONTROL!$C$38, 0.0347, 0)</f>
        <v>24.009</v>
      </c>
      <c r="H206" s="10">
        <f>23.9743 * CHOOSE(CONTROL!$C$15, $E$9, 100%, $G$9) + CHOOSE(CONTROL!$C$38, 0.0347, 0)</f>
        <v>24.009</v>
      </c>
      <c r="I206" s="10">
        <f>23.9759 * CHOOSE(CONTROL!$C$15, $E$9, 100%, $G$9) + CHOOSE(CONTROL!$C$38, 0.0347, 0)</f>
        <v>24.0106</v>
      </c>
      <c r="J206" s="26">
        <f>152.5205</f>
        <v>152.5205</v>
      </c>
    </row>
    <row r="207" spans="1:10" ht="15" x14ac:dyDescent="0.2">
      <c r="A207" s="16">
        <v>47574</v>
      </c>
      <c r="B207" s="10">
        <f>25.4889 * CHOOSE(CONTROL!$C$15, $E$9, 100%, $G$9) + CHOOSE(CONTROL!$C$38, 0.0256, 0)</f>
        <v>25.514500000000002</v>
      </c>
      <c r="C207" s="10">
        <f>23.4807 * CHOOSE(CONTROL!$C$15, $E$9, 100%, $G$9) + CHOOSE(CONTROL!$C$38, 0.0347, 0)</f>
        <v>23.5154</v>
      </c>
      <c r="D207" s="10">
        <f>23.4729 * CHOOSE(CONTROL!$C$15, $E$9, 100%, $G$9) + CHOOSE(CONTROL!$C$38, 0.0347, 0)</f>
        <v>23.5076</v>
      </c>
      <c r="E207" s="28">
        <f>25.3326 * CHOOSE(CONTROL!$C$15, $E$9, 100%, $G$9) + CHOOSE(CONTROL!$C$38, 0.0347, 0)</f>
        <v>25.3673</v>
      </c>
      <c r="F207" s="27">
        <f>25.3326 * CHOOSE(CONTROL!$C$15, $E$9, 100%, $G$9) + CHOOSE(CONTROL!$C$38, 0.0256, 0)</f>
        <v>25.3582</v>
      </c>
      <c r="G207" s="10">
        <f>23.4792 * CHOOSE(CONTROL!$C$15, $E$9, 100%, $G$9) + CHOOSE(CONTROL!$C$38, 0.0347, 0)</f>
        <v>23.5139</v>
      </c>
      <c r="H207" s="10">
        <f>23.4792 * CHOOSE(CONTROL!$C$15, $E$9, 100%, $G$9) + CHOOSE(CONTROL!$C$38, 0.0347, 0)</f>
        <v>23.5139</v>
      </c>
      <c r="I207" s="10">
        <f>23.4807 * CHOOSE(CONTROL!$C$15, $E$9, 100%, $G$9) + CHOOSE(CONTROL!$C$38, 0.0347, 0)</f>
        <v>23.5154</v>
      </c>
      <c r="J207" s="26">
        <f>162.4229</f>
        <v>162.4229</v>
      </c>
    </row>
    <row r="208" spans="1:10" ht="15" x14ac:dyDescent="0.2">
      <c r="A208" s="16">
        <v>47604</v>
      </c>
      <c r="B208" s="10">
        <f>24.9728 * CHOOSE(CONTROL!$C$15, $E$9, 100%, $G$9) + CHOOSE(CONTROL!$C$38, 0.0256, 0)</f>
        <v>24.9984</v>
      </c>
      <c r="C208" s="10">
        <f>22.9646 * CHOOSE(CONTROL!$C$15, $E$9, 100%, $G$9) + CHOOSE(CONTROL!$C$38, 0.0347, 0)</f>
        <v>22.999300000000002</v>
      </c>
      <c r="D208" s="10">
        <f>22.9568 * CHOOSE(CONTROL!$C$15, $E$9, 100%, $G$9) + CHOOSE(CONTROL!$C$38, 0.0347, 0)</f>
        <v>22.991500000000002</v>
      </c>
      <c r="E208" s="28">
        <f>24.8165 * CHOOSE(CONTROL!$C$15, $E$9, 100%, $G$9) + CHOOSE(CONTROL!$C$38, 0.0347, 0)</f>
        <v>24.851200000000002</v>
      </c>
      <c r="F208" s="27">
        <f>24.8165 * CHOOSE(CONTROL!$C$15, $E$9, 100%, $G$9) + CHOOSE(CONTROL!$C$38, 0.0256, 0)</f>
        <v>24.842100000000002</v>
      </c>
      <c r="G208" s="10">
        <f>22.963 * CHOOSE(CONTROL!$C$15, $E$9, 100%, $G$9) + CHOOSE(CONTROL!$C$38, 0.0347, 0)</f>
        <v>22.997700000000002</v>
      </c>
      <c r="H208" s="10">
        <f>22.963 * CHOOSE(CONTROL!$C$15, $E$9, 100%, $G$9) + CHOOSE(CONTROL!$C$38, 0.0347, 0)</f>
        <v>22.997700000000002</v>
      </c>
      <c r="I208" s="10">
        <f>22.9646 * CHOOSE(CONTROL!$C$15, $E$9, 100%, $G$9) + CHOOSE(CONTROL!$C$38, 0.0347, 0)</f>
        <v>22.999300000000002</v>
      </c>
      <c r="J208" s="26">
        <f>167.8735</f>
        <v>167.87350000000001</v>
      </c>
    </row>
    <row r="209" spans="1:10" ht="15" x14ac:dyDescent="0.2">
      <c r="A209" s="16">
        <v>47635</v>
      </c>
      <c r="B209" s="10">
        <f>24.6109 * CHOOSE(CONTROL!$C$15, $E$9, 100%, $G$9) + CHOOSE(CONTROL!$C$38, 0.0256, 0)</f>
        <v>24.636500000000002</v>
      </c>
      <c r="C209" s="10">
        <f>22.6028 * CHOOSE(CONTROL!$C$15, $E$9, 100%, $G$9) + CHOOSE(CONTROL!$C$38, 0.0347, 0)</f>
        <v>22.637499999999999</v>
      </c>
      <c r="D209" s="10">
        <f>22.595 * CHOOSE(CONTROL!$C$15, $E$9, 100%, $G$9) + CHOOSE(CONTROL!$C$38, 0.0347, 0)</f>
        <v>22.6297</v>
      </c>
      <c r="E209" s="28">
        <f>24.4547 * CHOOSE(CONTROL!$C$15, $E$9, 100%, $G$9) + CHOOSE(CONTROL!$C$38, 0.0347, 0)</f>
        <v>24.4894</v>
      </c>
      <c r="F209" s="27">
        <f>24.4547 * CHOOSE(CONTROL!$C$15, $E$9, 100%, $G$9) + CHOOSE(CONTROL!$C$38, 0.0256, 0)</f>
        <v>24.4803</v>
      </c>
      <c r="G209" s="10">
        <f>22.6012 * CHOOSE(CONTROL!$C$15, $E$9, 100%, $G$9) + CHOOSE(CONTROL!$C$38, 0.0347, 0)</f>
        <v>22.635899999999999</v>
      </c>
      <c r="H209" s="10">
        <f>22.6012 * CHOOSE(CONTROL!$C$15, $E$9, 100%, $G$9) + CHOOSE(CONTROL!$C$38, 0.0347, 0)</f>
        <v>22.635899999999999</v>
      </c>
      <c r="I209" s="10">
        <f>22.6028 * CHOOSE(CONTROL!$C$15, $E$9, 100%, $G$9) + CHOOSE(CONTROL!$C$38, 0.0347, 0)</f>
        <v>22.637499999999999</v>
      </c>
      <c r="J209" s="26">
        <f>170.2924</f>
        <v>170.29239999999999</v>
      </c>
    </row>
    <row r="210" spans="1:10" ht="15" x14ac:dyDescent="0.2">
      <c r="A210" s="16">
        <v>47665</v>
      </c>
      <c r="B210" s="10">
        <f>24.4045 * CHOOSE(CONTROL!$C$15, $E$9, 100%, $G$9) + CHOOSE(CONTROL!$C$38, 0.0256, 0)</f>
        <v>24.430099999999999</v>
      </c>
      <c r="C210" s="10">
        <f>22.3963 * CHOOSE(CONTROL!$C$15, $E$9, 100%, $G$9) + CHOOSE(CONTROL!$C$38, 0.0347, 0)</f>
        <v>22.431000000000001</v>
      </c>
      <c r="D210" s="10">
        <f>22.3885 * CHOOSE(CONTROL!$C$15, $E$9, 100%, $G$9) + CHOOSE(CONTROL!$C$38, 0.0347, 0)</f>
        <v>22.423200000000001</v>
      </c>
      <c r="E210" s="28">
        <f>24.2482 * CHOOSE(CONTROL!$C$15, $E$9, 100%, $G$9) + CHOOSE(CONTROL!$C$38, 0.0347, 0)</f>
        <v>24.282900000000001</v>
      </c>
      <c r="F210" s="27">
        <f>24.2482 * CHOOSE(CONTROL!$C$15, $E$9, 100%, $G$9) + CHOOSE(CONTROL!$C$38, 0.0256, 0)</f>
        <v>24.273800000000001</v>
      </c>
      <c r="G210" s="10">
        <f>22.3947 * CHOOSE(CONTROL!$C$15, $E$9, 100%, $G$9) + CHOOSE(CONTROL!$C$38, 0.0347, 0)</f>
        <v>22.429400000000001</v>
      </c>
      <c r="H210" s="10">
        <f>22.3947 * CHOOSE(CONTROL!$C$15, $E$9, 100%, $G$9) + CHOOSE(CONTROL!$C$38, 0.0347, 0)</f>
        <v>22.429400000000001</v>
      </c>
      <c r="I210" s="10">
        <f>22.3963 * CHOOSE(CONTROL!$C$15, $E$9, 100%, $G$9) + CHOOSE(CONTROL!$C$38, 0.0347, 0)</f>
        <v>22.431000000000001</v>
      </c>
      <c r="J210" s="26">
        <f>169.496</f>
        <v>169.49600000000001</v>
      </c>
    </row>
    <row r="211" spans="1:10" ht="15" x14ac:dyDescent="0.2">
      <c r="A211" s="16">
        <v>47696</v>
      </c>
      <c r="B211" s="10">
        <f>24.5064 * CHOOSE(CONTROL!$C$15, $E$9, 100%, $G$9) + CHOOSE(CONTROL!$C$38, 0.0256, 0)</f>
        <v>24.532</v>
      </c>
      <c r="C211" s="10">
        <f>22.4982 * CHOOSE(CONTROL!$C$15, $E$9, 100%, $G$9) + CHOOSE(CONTROL!$C$38, 0.0347, 0)</f>
        <v>22.532900000000001</v>
      </c>
      <c r="D211" s="10">
        <f>22.4904 * CHOOSE(CONTROL!$C$15, $E$9, 100%, $G$9) + CHOOSE(CONTROL!$C$38, 0.0347, 0)</f>
        <v>22.525100000000002</v>
      </c>
      <c r="E211" s="28">
        <f>24.3501 * CHOOSE(CONTROL!$C$15, $E$9, 100%, $G$9) + CHOOSE(CONTROL!$C$38, 0.0347, 0)</f>
        <v>24.384800000000002</v>
      </c>
      <c r="F211" s="27">
        <f>24.3501 * CHOOSE(CONTROL!$C$15, $E$9, 100%, $G$9) + CHOOSE(CONTROL!$C$38, 0.0256, 0)</f>
        <v>24.375700000000002</v>
      </c>
      <c r="G211" s="10">
        <f>22.4966 * CHOOSE(CONTROL!$C$15, $E$9, 100%, $G$9) + CHOOSE(CONTROL!$C$38, 0.0347, 0)</f>
        <v>22.531300000000002</v>
      </c>
      <c r="H211" s="10">
        <f>22.4966 * CHOOSE(CONTROL!$C$15, $E$9, 100%, $G$9) + CHOOSE(CONTROL!$C$38, 0.0347, 0)</f>
        <v>22.531300000000002</v>
      </c>
      <c r="I211" s="10">
        <f>22.4982 * CHOOSE(CONTROL!$C$15, $E$9, 100%, $G$9) + CHOOSE(CONTROL!$C$38, 0.0347, 0)</f>
        <v>22.532900000000001</v>
      </c>
      <c r="J211" s="26">
        <f>165.5502</f>
        <v>165.55019999999999</v>
      </c>
    </row>
    <row r="212" spans="1:10" ht="15" x14ac:dyDescent="0.2">
      <c r="A212" s="16">
        <v>47727</v>
      </c>
      <c r="B212" s="10">
        <f>24.7832 * CHOOSE(CONTROL!$C$15, $E$9, 100%, $G$9) + CHOOSE(CONTROL!$C$38, 0.0256, 0)</f>
        <v>24.808800000000002</v>
      </c>
      <c r="C212" s="10">
        <f>22.775 * CHOOSE(CONTROL!$C$15, $E$9, 100%, $G$9) + CHOOSE(CONTROL!$C$38, 0.0347, 0)</f>
        <v>22.809699999999999</v>
      </c>
      <c r="D212" s="10">
        <f>22.7672 * CHOOSE(CONTROL!$C$15, $E$9, 100%, $G$9) + CHOOSE(CONTROL!$C$38, 0.0347, 0)</f>
        <v>22.8019</v>
      </c>
      <c r="E212" s="28">
        <f>24.6269 * CHOOSE(CONTROL!$C$15, $E$9, 100%, $G$9) + CHOOSE(CONTROL!$C$38, 0.0347, 0)</f>
        <v>24.6616</v>
      </c>
      <c r="F212" s="27">
        <f>24.6269 * CHOOSE(CONTROL!$C$15, $E$9, 100%, $G$9) + CHOOSE(CONTROL!$C$38, 0.0256, 0)</f>
        <v>24.6525</v>
      </c>
      <c r="G212" s="10">
        <f>22.7734 * CHOOSE(CONTROL!$C$15, $E$9, 100%, $G$9) + CHOOSE(CONTROL!$C$38, 0.0347, 0)</f>
        <v>22.8081</v>
      </c>
      <c r="H212" s="10">
        <f>22.7734 * CHOOSE(CONTROL!$C$15, $E$9, 100%, $G$9) + CHOOSE(CONTROL!$C$38, 0.0347, 0)</f>
        <v>22.8081</v>
      </c>
      <c r="I212" s="10">
        <f>22.775 * CHOOSE(CONTROL!$C$15, $E$9, 100%, $G$9) + CHOOSE(CONTROL!$C$38, 0.0347, 0)</f>
        <v>22.809699999999999</v>
      </c>
      <c r="J212" s="26">
        <f>160.0476</f>
        <v>160.04759999999999</v>
      </c>
    </row>
    <row r="213" spans="1:10" ht="15" x14ac:dyDescent="0.2">
      <c r="A213" s="16">
        <v>47757</v>
      </c>
      <c r="B213" s="10">
        <f>25.015 * CHOOSE(CONTROL!$C$15, $E$9, 100%, $G$9) + CHOOSE(CONTROL!$C$38, 0.0256, 0)</f>
        <v>25.040600000000001</v>
      </c>
      <c r="C213" s="10">
        <f>23.0068 * CHOOSE(CONTROL!$C$15, $E$9, 100%, $G$9) + CHOOSE(CONTROL!$C$38, 0.0347, 0)</f>
        <v>23.041499999999999</v>
      </c>
      <c r="D213" s="10">
        <f>22.999 * CHOOSE(CONTROL!$C$15, $E$9, 100%, $G$9) + CHOOSE(CONTROL!$C$38, 0.0347, 0)</f>
        <v>23.0337</v>
      </c>
      <c r="E213" s="28">
        <f>24.8587 * CHOOSE(CONTROL!$C$15, $E$9, 100%, $G$9) + CHOOSE(CONTROL!$C$38, 0.0347, 0)</f>
        <v>24.8934</v>
      </c>
      <c r="F213" s="27">
        <f>24.8587 * CHOOSE(CONTROL!$C$15, $E$9, 100%, $G$9) + CHOOSE(CONTROL!$C$38, 0.0256, 0)</f>
        <v>24.8843</v>
      </c>
      <c r="G213" s="10">
        <f>23.0053 * CHOOSE(CONTROL!$C$15, $E$9, 100%, $G$9) + CHOOSE(CONTROL!$C$38, 0.0347, 0)</f>
        <v>23.04</v>
      </c>
      <c r="H213" s="10">
        <f>23.0053 * CHOOSE(CONTROL!$C$15, $E$9, 100%, $G$9) + CHOOSE(CONTROL!$C$38, 0.0347, 0)</f>
        <v>23.04</v>
      </c>
      <c r="I213" s="10">
        <f>23.0068 * CHOOSE(CONTROL!$C$15, $E$9, 100%, $G$9) + CHOOSE(CONTROL!$C$38, 0.0347, 0)</f>
        <v>23.041499999999999</v>
      </c>
      <c r="J213" s="26">
        <f>154.513</f>
        <v>154.51300000000001</v>
      </c>
    </row>
    <row r="214" spans="1:10" ht="15" x14ac:dyDescent="0.2">
      <c r="A214" s="16">
        <v>47788</v>
      </c>
      <c r="B214" s="10">
        <f>25.2084 * CHOOSE(CONTROL!$C$15, $E$9, 100%, $G$9) + CHOOSE(CONTROL!$C$38, 0.0256, 0)</f>
        <v>25.234000000000002</v>
      </c>
      <c r="C214" s="10">
        <f>23.2003 * CHOOSE(CONTROL!$C$15, $E$9, 100%, $G$9) + CHOOSE(CONTROL!$C$38, 0.0347, 0)</f>
        <v>23.234999999999999</v>
      </c>
      <c r="D214" s="10">
        <f>23.1924 * CHOOSE(CONTROL!$C$15, $E$9, 100%, $G$9) + CHOOSE(CONTROL!$C$38, 0.0347, 0)</f>
        <v>23.2271</v>
      </c>
      <c r="E214" s="28">
        <f>25.0522 * CHOOSE(CONTROL!$C$15, $E$9, 100%, $G$9) + CHOOSE(CONTROL!$C$38, 0.0347, 0)</f>
        <v>25.0869</v>
      </c>
      <c r="F214" s="27">
        <f>25.0522 * CHOOSE(CONTROL!$C$15, $E$9, 100%, $G$9) + CHOOSE(CONTROL!$C$38, 0.0256, 0)</f>
        <v>25.0778</v>
      </c>
      <c r="G214" s="10">
        <f>23.1987 * CHOOSE(CONTROL!$C$15, $E$9, 100%, $G$9) + CHOOSE(CONTROL!$C$38, 0.0347, 0)</f>
        <v>23.2334</v>
      </c>
      <c r="H214" s="10">
        <f>23.1987 * CHOOSE(CONTROL!$C$15, $E$9, 100%, $G$9) + CHOOSE(CONTROL!$C$38, 0.0347, 0)</f>
        <v>23.2334</v>
      </c>
      <c r="I214" s="10">
        <f>23.2003 * CHOOSE(CONTROL!$C$15, $E$9, 100%, $G$9) + CHOOSE(CONTROL!$C$38, 0.0347, 0)</f>
        <v>23.234999999999999</v>
      </c>
      <c r="J214" s="26">
        <f>153.412</f>
        <v>153.41200000000001</v>
      </c>
    </row>
    <row r="215" spans="1:10" ht="15" x14ac:dyDescent="0.2">
      <c r="A215" s="16">
        <v>47818</v>
      </c>
      <c r="B215" s="10">
        <f>25.8045 * CHOOSE(CONTROL!$C$15, $E$9, 100%, $G$9) + CHOOSE(CONTROL!$C$38, 0.0256, 0)</f>
        <v>25.830100000000002</v>
      </c>
      <c r="C215" s="10">
        <f>23.7963 * CHOOSE(CONTROL!$C$15, $E$9, 100%, $G$9) + CHOOSE(CONTROL!$C$38, 0.0347, 0)</f>
        <v>23.831</v>
      </c>
      <c r="D215" s="10">
        <f>23.7885 * CHOOSE(CONTROL!$C$15, $E$9, 100%, $G$9) + CHOOSE(CONTROL!$C$38, 0.0347, 0)</f>
        <v>23.8232</v>
      </c>
      <c r="E215" s="28">
        <f>25.6482 * CHOOSE(CONTROL!$C$15, $E$9, 100%, $G$9) + CHOOSE(CONTROL!$C$38, 0.0347, 0)</f>
        <v>25.6829</v>
      </c>
      <c r="F215" s="27">
        <f>25.6482 * CHOOSE(CONTROL!$C$15, $E$9, 100%, $G$9) + CHOOSE(CONTROL!$C$38, 0.0256, 0)</f>
        <v>25.6738</v>
      </c>
      <c r="G215" s="10">
        <f>23.7948 * CHOOSE(CONTROL!$C$15, $E$9, 100%, $G$9) + CHOOSE(CONTROL!$C$38, 0.0347, 0)</f>
        <v>23.829499999999999</v>
      </c>
      <c r="H215" s="10">
        <f>23.7948 * CHOOSE(CONTROL!$C$15, $E$9, 100%, $G$9) + CHOOSE(CONTROL!$C$38, 0.0347, 0)</f>
        <v>23.829499999999999</v>
      </c>
      <c r="I215" s="10">
        <f>23.7963 * CHOOSE(CONTROL!$C$15, $E$9, 100%, $G$9) + CHOOSE(CONTROL!$C$38, 0.0347, 0)</f>
        <v>23.831</v>
      </c>
      <c r="J215" s="26">
        <f>148.8595</f>
        <v>148.8595</v>
      </c>
    </row>
    <row r="216" spans="1:10" ht="15" x14ac:dyDescent="0.2">
      <c r="A216" s="16">
        <v>47849</v>
      </c>
      <c r="B216" s="10">
        <f>26.7104 * CHOOSE(CONTROL!$C$15, $E$9, 100%, $G$9) + CHOOSE(CONTROL!$C$38, 0.0256, 0)</f>
        <v>26.736000000000001</v>
      </c>
      <c r="C216" s="10">
        <f>24.6695 * CHOOSE(CONTROL!$C$15, $E$9, 100%, $G$9) + CHOOSE(CONTROL!$C$38, 0.0347, 0)</f>
        <v>24.7042</v>
      </c>
      <c r="D216" s="10">
        <f>24.6617 * CHOOSE(CONTROL!$C$15, $E$9, 100%, $G$9) + CHOOSE(CONTROL!$C$38, 0.0347, 0)</f>
        <v>24.696400000000001</v>
      </c>
      <c r="E216" s="28">
        <f>26.5541 * CHOOSE(CONTROL!$C$15, $E$9, 100%, $G$9) + CHOOSE(CONTROL!$C$38, 0.0347, 0)</f>
        <v>26.588799999999999</v>
      </c>
      <c r="F216" s="27">
        <f>26.5541 * CHOOSE(CONTROL!$C$15, $E$9, 100%, $G$9) + CHOOSE(CONTROL!$C$38, 0.0256, 0)</f>
        <v>26.579699999999999</v>
      </c>
      <c r="G216" s="10">
        <f>24.6679 * CHOOSE(CONTROL!$C$15, $E$9, 100%, $G$9) + CHOOSE(CONTROL!$C$38, 0.0347, 0)</f>
        <v>24.7026</v>
      </c>
      <c r="H216" s="10">
        <f>24.6679 * CHOOSE(CONTROL!$C$15, $E$9, 100%, $G$9) + CHOOSE(CONTROL!$C$38, 0.0347, 0)</f>
        <v>24.7026</v>
      </c>
      <c r="I216" s="10">
        <f>24.6695 * CHOOSE(CONTROL!$C$15, $E$9, 100%, $G$9) + CHOOSE(CONTROL!$C$38, 0.0347, 0)</f>
        <v>24.7042</v>
      </c>
      <c r="J216" s="26">
        <f>147.8624</f>
        <v>147.86240000000001</v>
      </c>
    </row>
    <row r="217" spans="1:10" ht="15" x14ac:dyDescent="0.2">
      <c r="A217" s="16">
        <v>47880</v>
      </c>
      <c r="B217" s="10">
        <f>26.9311 * CHOOSE(CONTROL!$C$15, $E$9, 100%, $G$9) + CHOOSE(CONTROL!$C$38, 0.0256, 0)</f>
        <v>26.956700000000001</v>
      </c>
      <c r="C217" s="10">
        <f>24.8902 * CHOOSE(CONTROL!$C$15, $E$9, 100%, $G$9) + CHOOSE(CONTROL!$C$38, 0.0347, 0)</f>
        <v>24.924900000000001</v>
      </c>
      <c r="D217" s="10">
        <f>24.8824 * CHOOSE(CONTROL!$C$15, $E$9, 100%, $G$9) + CHOOSE(CONTROL!$C$38, 0.0347, 0)</f>
        <v>24.917100000000001</v>
      </c>
      <c r="E217" s="28">
        <f>26.7749 * CHOOSE(CONTROL!$C$15, $E$9, 100%, $G$9) + CHOOSE(CONTROL!$C$38, 0.0347, 0)</f>
        <v>26.8096</v>
      </c>
      <c r="F217" s="27">
        <f>26.7749 * CHOOSE(CONTROL!$C$15, $E$9, 100%, $G$9) + CHOOSE(CONTROL!$C$38, 0.0256, 0)</f>
        <v>26.8005</v>
      </c>
      <c r="G217" s="10">
        <f>24.8887 * CHOOSE(CONTROL!$C$15, $E$9, 100%, $G$9) + CHOOSE(CONTROL!$C$38, 0.0347, 0)</f>
        <v>24.923400000000001</v>
      </c>
      <c r="H217" s="10">
        <f>24.8887 * CHOOSE(CONTROL!$C$15, $E$9, 100%, $G$9) + CHOOSE(CONTROL!$C$38, 0.0347, 0)</f>
        <v>24.923400000000001</v>
      </c>
      <c r="I217" s="10">
        <f>24.8902 * CHOOSE(CONTROL!$C$15, $E$9, 100%, $G$9) + CHOOSE(CONTROL!$C$38, 0.0347, 0)</f>
        <v>24.924900000000001</v>
      </c>
      <c r="J217" s="26">
        <f>147.4514</f>
        <v>147.45140000000001</v>
      </c>
    </row>
    <row r="218" spans="1:10" ht="15" x14ac:dyDescent="0.2">
      <c r="A218" s="16">
        <v>47908</v>
      </c>
      <c r="B218" s="10">
        <f>26.4201 * CHOOSE(CONTROL!$C$15, $E$9, 100%, $G$9) + CHOOSE(CONTROL!$C$38, 0.0256, 0)</f>
        <v>26.445700000000002</v>
      </c>
      <c r="C218" s="10">
        <f>24.3792 * CHOOSE(CONTROL!$C$15, $E$9, 100%, $G$9) + CHOOSE(CONTROL!$C$38, 0.0347, 0)</f>
        <v>24.413900000000002</v>
      </c>
      <c r="D218" s="10">
        <f>24.3714 * CHOOSE(CONTROL!$C$15, $E$9, 100%, $G$9) + CHOOSE(CONTROL!$C$38, 0.0347, 0)</f>
        <v>24.406100000000002</v>
      </c>
      <c r="E218" s="28">
        <f>26.2638 * CHOOSE(CONTROL!$C$15, $E$9, 100%, $G$9) + CHOOSE(CONTROL!$C$38, 0.0347, 0)</f>
        <v>26.298500000000001</v>
      </c>
      <c r="F218" s="27">
        <f>26.2638 * CHOOSE(CONTROL!$C$15, $E$9, 100%, $G$9) + CHOOSE(CONTROL!$C$38, 0.0256, 0)</f>
        <v>26.289400000000001</v>
      </c>
      <c r="G218" s="10">
        <f>24.3776 * CHOOSE(CONTROL!$C$15, $E$9, 100%, $G$9) + CHOOSE(CONTROL!$C$38, 0.0347, 0)</f>
        <v>24.412300000000002</v>
      </c>
      <c r="H218" s="10">
        <f>24.3776 * CHOOSE(CONTROL!$C$15, $E$9, 100%, $G$9) + CHOOSE(CONTROL!$C$38, 0.0347, 0)</f>
        <v>24.412300000000002</v>
      </c>
      <c r="I218" s="10">
        <f>24.3792 * CHOOSE(CONTROL!$C$15, $E$9, 100%, $G$9) + CHOOSE(CONTROL!$C$38, 0.0347, 0)</f>
        <v>24.413900000000002</v>
      </c>
      <c r="J218" s="26">
        <f>155.2229</f>
        <v>155.22290000000001</v>
      </c>
    </row>
    <row r="219" spans="1:10" ht="15" x14ac:dyDescent="0.2">
      <c r="A219" s="16">
        <v>47939</v>
      </c>
      <c r="B219" s="10">
        <f>25.9249 * CHOOSE(CONTROL!$C$15, $E$9, 100%, $G$9) + CHOOSE(CONTROL!$C$38, 0.0256, 0)</f>
        <v>25.950500000000002</v>
      </c>
      <c r="C219" s="10">
        <f>23.884 * CHOOSE(CONTROL!$C$15, $E$9, 100%, $G$9) + CHOOSE(CONTROL!$C$38, 0.0347, 0)</f>
        <v>23.918700000000001</v>
      </c>
      <c r="D219" s="10">
        <f>23.8762 * CHOOSE(CONTROL!$C$15, $E$9, 100%, $G$9) + CHOOSE(CONTROL!$C$38, 0.0347, 0)</f>
        <v>23.910900000000002</v>
      </c>
      <c r="E219" s="28">
        <f>25.7687 * CHOOSE(CONTROL!$C$15, $E$9, 100%, $G$9) + CHOOSE(CONTROL!$C$38, 0.0347, 0)</f>
        <v>25.8034</v>
      </c>
      <c r="F219" s="27">
        <f>25.7687 * CHOOSE(CONTROL!$C$15, $E$9, 100%, $G$9) + CHOOSE(CONTROL!$C$38, 0.0256, 0)</f>
        <v>25.7943</v>
      </c>
      <c r="G219" s="10">
        <f>23.8825 * CHOOSE(CONTROL!$C$15, $E$9, 100%, $G$9) + CHOOSE(CONTROL!$C$38, 0.0347, 0)</f>
        <v>23.917200000000001</v>
      </c>
      <c r="H219" s="10">
        <f>23.8825 * CHOOSE(CONTROL!$C$15, $E$9, 100%, $G$9) + CHOOSE(CONTROL!$C$38, 0.0347, 0)</f>
        <v>23.917200000000001</v>
      </c>
      <c r="I219" s="10">
        <f>23.884 * CHOOSE(CONTROL!$C$15, $E$9, 100%, $G$9) + CHOOSE(CONTROL!$C$38, 0.0347, 0)</f>
        <v>23.918700000000001</v>
      </c>
      <c r="J219" s="26">
        <f>165.3007</f>
        <v>165.30070000000001</v>
      </c>
    </row>
    <row r="220" spans="1:10" ht="15" x14ac:dyDescent="0.2">
      <c r="A220" s="16">
        <v>47969</v>
      </c>
      <c r="B220" s="10">
        <f>25.4088 * CHOOSE(CONTROL!$C$15, $E$9, 100%, $G$9) + CHOOSE(CONTROL!$C$38, 0.0256, 0)</f>
        <v>25.4344</v>
      </c>
      <c r="C220" s="10">
        <f>23.3679 * CHOOSE(CONTROL!$C$15, $E$9, 100%, $G$9) + CHOOSE(CONTROL!$C$38, 0.0347, 0)</f>
        <v>23.4026</v>
      </c>
      <c r="D220" s="10">
        <f>23.3601 * CHOOSE(CONTROL!$C$15, $E$9, 100%, $G$9) + CHOOSE(CONTROL!$C$38, 0.0347, 0)</f>
        <v>23.3948</v>
      </c>
      <c r="E220" s="28">
        <f>25.2526 * CHOOSE(CONTROL!$C$15, $E$9, 100%, $G$9) + CHOOSE(CONTROL!$C$38, 0.0347, 0)</f>
        <v>25.287300000000002</v>
      </c>
      <c r="F220" s="27">
        <f>25.2526 * CHOOSE(CONTROL!$C$15, $E$9, 100%, $G$9) + CHOOSE(CONTROL!$C$38, 0.0256, 0)</f>
        <v>25.278200000000002</v>
      </c>
      <c r="G220" s="10">
        <f>23.3664 * CHOOSE(CONTROL!$C$15, $E$9, 100%, $G$9) + CHOOSE(CONTROL!$C$38, 0.0347, 0)</f>
        <v>23.4011</v>
      </c>
      <c r="H220" s="10">
        <f>23.3664 * CHOOSE(CONTROL!$C$15, $E$9, 100%, $G$9) + CHOOSE(CONTROL!$C$38, 0.0347, 0)</f>
        <v>23.4011</v>
      </c>
      <c r="I220" s="10">
        <f>23.3679 * CHOOSE(CONTROL!$C$15, $E$9, 100%, $G$9) + CHOOSE(CONTROL!$C$38, 0.0347, 0)</f>
        <v>23.4026</v>
      </c>
      <c r="J220" s="26">
        <f>170.8479</f>
        <v>170.84790000000001</v>
      </c>
    </row>
    <row r="221" spans="1:10" ht="15" x14ac:dyDescent="0.2">
      <c r="A221" s="16">
        <v>48000</v>
      </c>
      <c r="B221" s="10">
        <f>25.047 * CHOOSE(CONTROL!$C$15, $E$9, 100%, $G$9) + CHOOSE(CONTROL!$C$38, 0.0256, 0)</f>
        <v>25.072600000000001</v>
      </c>
      <c r="C221" s="10">
        <f>23.0061 * CHOOSE(CONTROL!$C$15, $E$9, 100%, $G$9) + CHOOSE(CONTROL!$C$38, 0.0347, 0)</f>
        <v>23.040800000000001</v>
      </c>
      <c r="D221" s="10">
        <f>22.9983 * CHOOSE(CONTROL!$C$15, $E$9, 100%, $G$9) + CHOOSE(CONTROL!$C$38, 0.0347, 0)</f>
        <v>23.033000000000001</v>
      </c>
      <c r="E221" s="28">
        <f>24.8907 * CHOOSE(CONTROL!$C$15, $E$9, 100%, $G$9) + CHOOSE(CONTROL!$C$38, 0.0347, 0)</f>
        <v>24.9254</v>
      </c>
      <c r="F221" s="27">
        <f>24.8907 * CHOOSE(CONTROL!$C$15, $E$9, 100%, $G$9) + CHOOSE(CONTROL!$C$38, 0.0256, 0)</f>
        <v>24.9163</v>
      </c>
      <c r="G221" s="10">
        <f>23.0045 * CHOOSE(CONTROL!$C$15, $E$9, 100%, $G$9) + CHOOSE(CONTROL!$C$38, 0.0347, 0)</f>
        <v>23.039200000000001</v>
      </c>
      <c r="H221" s="10">
        <f>23.0045 * CHOOSE(CONTROL!$C$15, $E$9, 100%, $G$9) + CHOOSE(CONTROL!$C$38, 0.0347, 0)</f>
        <v>23.039200000000001</v>
      </c>
      <c r="I221" s="10">
        <f>23.0061 * CHOOSE(CONTROL!$C$15, $E$9, 100%, $G$9) + CHOOSE(CONTROL!$C$38, 0.0347, 0)</f>
        <v>23.040800000000001</v>
      </c>
      <c r="J221" s="26">
        <f>173.3096</f>
        <v>173.30959999999999</v>
      </c>
    </row>
    <row r="222" spans="1:10" ht="15" x14ac:dyDescent="0.2">
      <c r="A222" s="16">
        <v>48030</v>
      </c>
      <c r="B222" s="10">
        <f>24.8405 * CHOOSE(CONTROL!$C$15, $E$9, 100%, $G$9) + CHOOSE(CONTROL!$C$38, 0.0256, 0)</f>
        <v>24.866099999999999</v>
      </c>
      <c r="C222" s="10">
        <f>22.7996 * CHOOSE(CONTROL!$C$15, $E$9, 100%, $G$9) + CHOOSE(CONTROL!$C$38, 0.0347, 0)</f>
        <v>22.834300000000002</v>
      </c>
      <c r="D222" s="10">
        <f>22.7918 * CHOOSE(CONTROL!$C$15, $E$9, 100%, $G$9) + CHOOSE(CONTROL!$C$38, 0.0347, 0)</f>
        <v>22.826499999999999</v>
      </c>
      <c r="E222" s="28">
        <f>24.6842 * CHOOSE(CONTROL!$C$15, $E$9, 100%, $G$9) + CHOOSE(CONTROL!$C$38, 0.0347, 0)</f>
        <v>24.718900000000001</v>
      </c>
      <c r="F222" s="27">
        <f>24.6842 * CHOOSE(CONTROL!$C$15, $E$9, 100%, $G$9) + CHOOSE(CONTROL!$C$38, 0.0256, 0)</f>
        <v>24.709800000000001</v>
      </c>
      <c r="G222" s="10">
        <f>22.798 * CHOOSE(CONTROL!$C$15, $E$9, 100%, $G$9) + CHOOSE(CONTROL!$C$38, 0.0347, 0)</f>
        <v>22.832699999999999</v>
      </c>
      <c r="H222" s="10">
        <f>22.798 * CHOOSE(CONTROL!$C$15, $E$9, 100%, $G$9) + CHOOSE(CONTROL!$C$38, 0.0347, 0)</f>
        <v>22.832699999999999</v>
      </c>
      <c r="I222" s="10">
        <f>22.7996 * CHOOSE(CONTROL!$C$15, $E$9, 100%, $G$9) + CHOOSE(CONTROL!$C$38, 0.0347, 0)</f>
        <v>22.834300000000002</v>
      </c>
      <c r="J222" s="26">
        <f>172.4991</f>
        <v>172.4991</v>
      </c>
    </row>
    <row r="223" spans="1:10" ht="15" x14ac:dyDescent="0.2">
      <c r="A223" s="16">
        <v>48061</v>
      </c>
      <c r="B223" s="10">
        <f>24.9424 * CHOOSE(CONTROL!$C$15, $E$9, 100%, $G$9) + CHOOSE(CONTROL!$C$38, 0.0256, 0)</f>
        <v>24.968</v>
      </c>
      <c r="C223" s="10">
        <f>22.9015 * CHOOSE(CONTROL!$C$15, $E$9, 100%, $G$9) + CHOOSE(CONTROL!$C$38, 0.0347, 0)</f>
        <v>22.936199999999999</v>
      </c>
      <c r="D223" s="10">
        <f>22.8937 * CHOOSE(CONTROL!$C$15, $E$9, 100%, $G$9) + CHOOSE(CONTROL!$C$38, 0.0347, 0)</f>
        <v>22.9284</v>
      </c>
      <c r="E223" s="28">
        <f>24.7861 * CHOOSE(CONTROL!$C$15, $E$9, 100%, $G$9) + CHOOSE(CONTROL!$C$38, 0.0347, 0)</f>
        <v>24.820800000000002</v>
      </c>
      <c r="F223" s="27">
        <f>24.7861 * CHOOSE(CONTROL!$C$15, $E$9, 100%, $G$9) + CHOOSE(CONTROL!$C$38, 0.0256, 0)</f>
        <v>24.811700000000002</v>
      </c>
      <c r="G223" s="10">
        <f>22.8999 * CHOOSE(CONTROL!$C$15, $E$9, 100%, $G$9) + CHOOSE(CONTROL!$C$38, 0.0347, 0)</f>
        <v>22.9346</v>
      </c>
      <c r="H223" s="10">
        <f>22.8999 * CHOOSE(CONTROL!$C$15, $E$9, 100%, $G$9) + CHOOSE(CONTROL!$C$38, 0.0347, 0)</f>
        <v>22.9346</v>
      </c>
      <c r="I223" s="10">
        <f>22.9015 * CHOOSE(CONTROL!$C$15, $E$9, 100%, $G$9) + CHOOSE(CONTROL!$C$38, 0.0347, 0)</f>
        <v>22.936199999999999</v>
      </c>
      <c r="J223" s="26">
        <f>168.4834</f>
        <v>168.48339999999999</v>
      </c>
    </row>
    <row r="224" spans="1:10" ht="15" x14ac:dyDescent="0.2">
      <c r="A224" s="16">
        <v>48092</v>
      </c>
      <c r="B224" s="10">
        <f>25.2192 * CHOOSE(CONTROL!$C$15, $E$9, 100%, $G$9) + CHOOSE(CONTROL!$C$38, 0.0256, 0)</f>
        <v>25.244800000000001</v>
      </c>
      <c r="C224" s="10">
        <f>23.1783 * CHOOSE(CONTROL!$C$15, $E$9, 100%, $G$9) + CHOOSE(CONTROL!$C$38, 0.0347, 0)</f>
        <v>23.213000000000001</v>
      </c>
      <c r="D224" s="10">
        <f>23.1705 * CHOOSE(CONTROL!$C$15, $E$9, 100%, $G$9) + CHOOSE(CONTROL!$C$38, 0.0347, 0)</f>
        <v>23.205200000000001</v>
      </c>
      <c r="E224" s="28">
        <f>25.0629 * CHOOSE(CONTROL!$C$15, $E$9, 100%, $G$9) + CHOOSE(CONTROL!$C$38, 0.0347, 0)</f>
        <v>25.0976</v>
      </c>
      <c r="F224" s="27">
        <f>25.0629 * CHOOSE(CONTROL!$C$15, $E$9, 100%, $G$9) + CHOOSE(CONTROL!$C$38, 0.0256, 0)</f>
        <v>25.0885</v>
      </c>
      <c r="G224" s="10">
        <f>23.1767 * CHOOSE(CONTROL!$C$15, $E$9, 100%, $G$9) + CHOOSE(CONTROL!$C$38, 0.0347, 0)</f>
        <v>23.211400000000001</v>
      </c>
      <c r="H224" s="10">
        <f>23.1767 * CHOOSE(CONTROL!$C$15, $E$9, 100%, $G$9) + CHOOSE(CONTROL!$C$38, 0.0347, 0)</f>
        <v>23.211400000000001</v>
      </c>
      <c r="I224" s="10">
        <f>23.1783 * CHOOSE(CONTROL!$C$15, $E$9, 100%, $G$9) + CHOOSE(CONTROL!$C$38, 0.0347, 0)</f>
        <v>23.213000000000001</v>
      </c>
      <c r="J224" s="26">
        <f>162.8833</f>
        <v>162.88329999999999</v>
      </c>
    </row>
    <row r="225" spans="1:10" ht="15" x14ac:dyDescent="0.2">
      <c r="A225" s="16">
        <v>48122</v>
      </c>
      <c r="B225" s="10">
        <f>25.451 * CHOOSE(CONTROL!$C$15, $E$9, 100%, $G$9) + CHOOSE(CONTROL!$C$38, 0.0256, 0)</f>
        <v>25.476600000000001</v>
      </c>
      <c r="C225" s="10">
        <f>23.4101 * CHOOSE(CONTROL!$C$15, $E$9, 100%, $G$9) + CHOOSE(CONTROL!$C$38, 0.0347, 0)</f>
        <v>23.444800000000001</v>
      </c>
      <c r="D225" s="10">
        <f>23.4023 * CHOOSE(CONTROL!$C$15, $E$9, 100%, $G$9) + CHOOSE(CONTROL!$C$38, 0.0347, 0)</f>
        <v>23.437000000000001</v>
      </c>
      <c r="E225" s="28">
        <f>25.2948 * CHOOSE(CONTROL!$C$15, $E$9, 100%, $G$9) + CHOOSE(CONTROL!$C$38, 0.0347, 0)</f>
        <v>25.329499999999999</v>
      </c>
      <c r="F225" s="27">
        <f>25.2948 * CHOOSE(CONTROL!$C$15, $E$9, 100%, $G$9) + CHOOSE(CONTROL!$C$38, 0.0256, 0)</f>
        <v>25.320399999999999</v>
      </c>
      <c r="G225" s="10">
        <f>23.4086 * CHOOSE(CONTROL!$C$15, $E$9, 100%, $G$9) + CHOOSE(CONTROL!$C$38, 0.0347, 0)</f>
        <v>23.443300000000001</v>
      </c>
      <c r="H225" s="10">
        <f>23.4086 * CHOOSE(CONTROL!$C$15, $E$9, 100%, $G$9) + CHOOSE(CONTROL!$C$38, 0.0347, 0)</f>
        <v>23.443300000000001</v>
      </c>
      <c r="I225" s="10">
        <f>23.4101 * CHOOSE(CONTROL!$C$15, $E$9, 100%, $G$9) + CHOOSE(CONTROL!$C$38, 0.0347, 0)</f>
        <v>23.444800000000001</v>
      </c>
      <c r="J225" s="26">
        <f>157.2506</f>
        <v>157.25059999999999</v>
      </c>
    </row>
    <row r="226" spans="1:10" ht="15" x14ac:dyDescent="0.2">
      <c r="A226" s="16">
        <v>48153</v>
      </c>
      <c r="B226" s="10">
        <f>25.6444 * CHOOSE(CONTROL!$C$15, $E$9, 100%, $G$9) + CHOOSE(CONTROL!$C$38, 0.0256, 0)</f>
        <v>25.67</v>
      </c>
      <c r="C226" s="10">
        <f>23.6036 * CHOOSE(CONTROL!$C$15, $E$9, 100%, $G$9) + CHOOSE(CONTROL!$C$38, 0.0347, 0)</f>
        <v>23.638300000000001</v>
      </c>
      <c r="D226" s="10">
        <f>23.5958 * CHOOSE(CONTROL!$C$15, $E$9, 100%, $G$9) + CHOOSE(CONTROL!$C$38, 0.0347, 0)</f>
        <v>23.630500000000001</v>
      </c>
      <c r="E226" s="28">
        <f>25.4882 * CHOOSE(CONTROL!$C$15, $E$9, 100%, $G$9) + CHOOSE(CONTROL!$C$38, 0.0347, 0)</f>
        <v>25.5229</v>
      </c>
      <c r="F226" s="27">
        <f>25.4882 * CHOOSE(CONTROL!$C$15, $E$9, 100%, $G$9) + CHOOSE(CONTROL!$C$38, 0.0256, 0)</f>
        <v>25.5138</v>
      </c>
      <c r="G226" s="10">
        <f>23.602 * CHOOSE(CONTROL!$C$15, $E$9, 100%, $G$9) + CHOOSE(CONTROL!$C$38, 0.0347, 0)</f>
        <v>23.636700000000001</v>
      </c>
      <c r="H226" s="10">
        <f>23.602 * CHOOSE(CONTROL!$C$15, $E$9, 100%, $G$9) + CHOOSE(CONTROL!$C$38, 0.0347, 0)</f>
        <v>23.636700000000001</v>
      </c>
      <c r="I226" s="10">
        <f>23.6036 * CHOOSE(CONTROL!$C$15, $E$9, 100%, $G$9) + CHOOSE(CONTROL!$C$38, 0.0347, 0)</f>
        <v>23.638300000000001</v>
      </c>
      <c r="J226" s="26">
        <f>156.1302</f>
        <v>156.1302</v>
      </c>
    </row>
    <row r="227" spans="1:10" ht="15" x14ac:dyDescent="0.2">
      <c r="A227" s="16">
        <v>48183</v>
      </c>
      <c r="B227" s="10">
        <f>26.2405 * CHOOSE(CONTROL!$C$15, $E$9, 100%, $G$9) + CHOOSE(CONTROL!$C$38, 0.0256, 0)</f>
        <v>26.266100000000002</v>
      </c>
      <c r="C227" s="10">
        <f>24.1996 * CHOOSE(CONTROL!$C$15, $E$9, 100%, $G$9) + CHOOSE(CONTROL!$C$38, 0.0347, 0)</f>
        <v>24.234300000000001</v>
      </c>
      <c r="D227" s="10">
        <f>24.1918 * CHOOSE(CONTROL!$C$15, $E$9, 100%, $G$9) + CHOOSE(CONTROL!$C$38, 0.0347, 0)</f>
        <v>24.226500000000001</v>
      </c>
      <c r="E227" s="28">
        <f>26.0843 * CHOOSE(CONTROL!$C$15, $E$9, 100%, $G$9) + CHOOSE(CONTROL!$C$38, 0.0347, 0)</f>
        <v>26.119</v>
      </c>
      <c r="F227" s="27">
        <f>26.0843 * CHOOSE(CONTROL!$C$15, $E$9, 100%, $G$9) + CHOOSE(CONTROL!$C$38, 0.0256, 0)</f>
        <v>26.1099</v>
      </c>
      <c r="G227" s="10">
        <f>24.1981 * CHOOSE(CONTROL!$C$15, $E$9, 100%, $G$9) + CHOOSE(CONTROL!$C$38, 0.0347, 0)</f>
        <v>24.232800000000001</v>
      </c>
      <c r="H227" s="10">
        <f>24.1981 * CHOOSE(CONTROL!$C$15, $E$9, 100%, $G$9) + CHOOSE(CONTROL!$C$38, 0.0347, 0)</f>
        <v>24.232800000000001</v>
      </c>
      <c r="I227" s="10">
        <f>24.1996 * CHOOSE(CONTROL!$C$15, $E$9, 100%, $G$9) + CHOOSE(CONTROL!$C$38, 0.0347, 0)</f>
        <v>24.234300000000001</v>
      </c>
      <c r="J227" s="26">
        <f>151.497</f>
        <v>151.49700000000001</v>
      </c>
    </row>
    <row r="228" spans="1:10" ht="15" x14ac:dyDescent="0.2">
      <c r="A228" s="16">
        <v>48214</v>
      </c>
      <c r="B228" s="10">
        <f>27.1541 * CHOOSE(CONTROL!$C$15, $E$9, 100%, $G$9) + CHOOSE(CONTROL!$C$38, 0.0256, 0)</f>
        <v>27.1797</v>
      </c>
      <c r="C228" s="10">
        <f>25.0799 * CHOOSE(CONTROL!$C$15, $E$9, 100%, $G$9) + CHOOSE(CONTROL!$C$38, 0.0347, 0)</f>
        <v>25.114599999999999</v>
      </c>
      <c r="D228" s="10">
        <f>25.0721 * CHOOSE(CONTROL!$C$15, $E$9, 100%, $G$9) + CHOOSE(CONTROL!$C$38, 0.0347, 0)</f>
        <v>25.1068</v>
      </c>
      <c r="E228" s="28">
        <f>26.9978 * CHOOSE(CONTROL!$C$15, $E$9, 100%, $G$9) + CHOOSE(CONTROL!$C$38, 0.0347, 0)</f>
        <v>27.032500000000002</v>
      </c>
      <c r="F228" s="27">
        <f>26.9978 * CHOOSE(CONTROL!$C$15, $E$9, 100%, $G$9) + CHOOSE(CONTROL!$C$38, 0.0256, 0)</f>
        <v>27.023400000000002</v>
      </c>
      <c r="G228" s="10">
        <f>25.0783 * CHOOSE(CONTROL!$C$15, $E$9, 100%, $G$9) + CHOOSE(CONTROL!$C$38, 0.0347, 0)</f>
        <v>25.113</v>
      </c>
      <c r="H228" s="10">
        <f>25.0783 * CHOOSE(CONTROL!$C$15, $E$9, 100%, $G$9) + CHOOSE(CONTROL!$C$38, 0.0347, 0)</f>
        <v>25.113</v>
      </c>
      <c r="I228" s="10">
        <f>25.0799 * CHOOSE(CONTROL!$C$15, $E$9, 100%, $G$9) + CHOOSE(CONTROL!$C$38, 0.0347, 0)</f>
        <v>25.114599999999999</v>
      </c>
      <c r="J228" s="26">
        <f>150.4822</f>
        <v>150.48220000000001</v>
      </c>
    </row>
    <row r="229" spans="1:10" ht="15" x14ac:dyDescent="0.2">
      <c r="A229" s="16">
        <v>48245</v>
      </c>
      <c r="B229" s="10">
        <f>27.3749 * CHOOSE(CONTROL!$C$15, $E$9, 100%, $G$9) + CHOOSE(CONTROL!$C$38, 0.0256, 0)</f>
        <v>27.400500000000001</v>
      </c>
      <c r="C229" s="10">
        <f>25.3007 * CHOOSE(CONTROL!$C$15, $E$9, 100%, $G$9) + CHOOSE(CONTROL!$C$38, 0.0347, 0)</f>
        <v>25.3354</v>
      </c>
      <c r="D229" s="10">
        <f>25.2929 * CHOOSE(CONTROL!$C$15, $E$9, 100%, $G$9) + CHOOSE(CONTROL!$C$38, 0.0347, 0)</f>
        <v>25.3276</v>
      </c>
      <c r="E229" s="28">
        <f>27.2186 * CHOOSE(CONTROL!$C$15, $E$9, 100%, $G$9) + CHOOSE(CONTROL!$C$38, 0.0347, 0)</f>
        <v>27.253299999999999</v>
      </c>
      <c r="F229" s="27">
        <f>27.2186 * CHOOSE(CONTROL!$C$15, $E$9, 100%, $G$9) + CHOOSE(CONTROL!$C$38, 0.0256, 0)</f>
        <v>27.244199999999999</v>
      </c>
      <c r="G229" s="10">
        <f>25.2991 * CHOOSE(CONTROL!$C$15, $E$9, 100%, $G$9) + CHOOSE(CONTROL!$C$38, 0.0347, 0)</f>
        <v>25.3338</v>
      </c>
      <c r="H229" s="10">
        <f>25.2991 * CHOOSE(CONTROL!$C$15, $E$9, 100%, $G$9) + CHOOSE(CONTROL!$C$38, 0.0347, 0)</f>
        <v>25.3338</v>
      </c>
      <c r="I229" s="10">
        <f>25.3007 * CHOOSE(CONTROL!$C$15, $E$9, 100%, $G$9) + CHOOSE(CONTROL!$C$38, 0.0347, 0)</f>
        <v>25.3354</v>
      </c>
      <c r="J229" s="26">
        <f>150.0639</f>
        <v>150.06389999999999</v>
      </c>
    </row>
    <row r="230" spans="1:10" ht="15" x14ac:dyDescent="0.2">
      <c r="A230" s="16">
        <v>48274</v>
      </c>
      <c r="B230" s="10">
        <f>26.8638 * CHOOSE(CONTROL!$C$15, $E$9, 100%, $G$9) + CHOOSE(CONTROL!$C$38, 0.0256, 0)</f>
        <v>26.889400000000002</v>
      </c>
      <c r="C230" s="10">
        <f>24.7896 * CHOOSE(CONTROL!$C$15, $E$9, 100%, $G$9) + CHOOSE(CONTROL!$C$38, 0.0347, 0)</f>
        <v>24.824300000000001</v>
      </c>
      <c r="D230" s="10">
        <f>24.7818 * CHOOSE(CONTROL!$C$15, $E$9, 100%, $G$9) + CHOOSE(CONTROL!$C$38, 0.0347, 0)</f>
        <v>24.816500000000001</v>
      </c>
      <c r="E230" s="28">
        <f>26.7076 * CHOOSE(CONTROL!$C$15, $E$9, 100%, $G$9) + CHOOSE(CONTROL!$C$38, 0.0347, 0)</f>
        <v>26.7423</v>
      </c>
      <c r="F230" s="27">
        <f>26.7076 * CHOOSE(CONTROL!$C$15, $E$9, 100%, $G$9) + CHOOSE(CONTROL!$C$38, 0.0256, 0)</f>
        <v>26.7332</v>
      </c>
      <c r="G230" s="10">
        <f>24.7881 * CHOOSE(CONTROL!$C$15, $E$9, 100%, $G$9) + CHOOSE(CONTROL!$C$38, 0.0347, 0)</f>
        <v>24.822800000000001</v>
      </c>
      <c r="H230" s="10">
        <f>24.7881 * CHOOSE(CONTROL!$C$15, $E$9, 100%, $G$9) + CHOOSE(CONTROL!$C$38, 0.0347, 0)</f>
        <v>24.822800000000001</v>
      </c>
      <c r="I230" s="10">
        <f>24.7896 * CHOOSE(CONTROL!$C$15, $E$9, 100%, $G$9) + CHOOSE(CONTROL!$C$38, 0.0347, 0)</f>
        <v>24.824300000000001</v>
      </c>
      <c r="J230" s="26">
        <f>157.9732</f>
        <v>157.97319999999999</v>
      </c>
    </row>
    <row r="231" spans="1:10" ht="15" x14ac:dyDescent="0.2">
      <c r="A231" s="16">
        <v>48305</v>
      </c>
      <c r="B231" s="10">
        <f>26.3686 * CHOOSE(CONTROL!$C$15, $E$9, 100%, $G$9) + CHOOSE(CONTROL!$C$38, 0.0256, 0)</f>
        <v>26.394200000000001</v>
      </c>
      <c r="C231" s="10">
        <f>24.2945 * CHOOSE(CONTROL!$C$15, $E$9, 100%, $G$9) + CHOOSE(CONTROL!$C$38, 0.0347, 0)</f>
        <v>24.3292</v>
      </c>
      <c r="D231" s="10">
        <f>24.2866 * CHOOSE(CONTROL!$C$15, $E$9, 100%, $G$9) + CHOOSE(CONTROL!$C$38, 0.0347, 0)</f>
        <v>24.321300000000001</v>
      </c>
      <c r="E231" s="28">
        <f>26.2124 * CHOOSE(CONTROL!$C$15, $E$9, 100%, $G$9) + CHOOSE(CONTROL!$C$38, 0.0347, 0)</f>
        <v>26.2471</v>
      </c>
      <c r="F231" s="27">
        <f>26.2124 * CHOOSE(CONTROL!$C$15, $E$9, 100%, $G$9) + CHOOSE(CONTROL!$C$38, 0.0256, 0)</f>
        <v>26.238</v>
      </c>
      <c r="G231" s="10">
        <f>24.2929 * CHOOSE(CONTROL!$C$15, $E$9, 100%, $G$9) + CHOOSE(CONTROL!$C$38, 0.0347, 0)</f>
        <v>24.3276</v>
      </c>
      <c r="H231" s="10">
        <f>24.2929 * CHOOSE(CONTROL!$C$15, $E$9, 100%, $G$9) + CHOOSE(CONTROL!$C$38, 0.0347, 0)</f>
        <v>24.3276</v>
      </c>
      <c r="I231" s="10">
        <f>24.2945 * CHOOSE(CONTROL!$C$15, $E$9, 100%, $G$9) + CHOOSE(CONTROL!$C$38, 0.0347, 0)</f>
        <v>24.3292</v>
      </c>
      <c r="J231" s="26">
        <f>168.2295</f>
        <v>168.2295</v>
      </c>
    </row>
    <row r="232" spans="1:10" ht="15" x14ac:dyDescent="0.2">
      <c r="A232" s="16">
        <v>48335</v>
      </c>
      <c r="B232" s="10">
        <f>25.8525 * CHOOSE(CONTROL!$C$15, $E$9, 100%, $G$9) + CHOOSE(CONTROL!$C$38, 0.0256, 0)</f>
        <v>25.8781</v>
      </c>
      <c r="C232" s="10">
        <f>23.7783 * CHOOSE(CONTROL!$C$15, $E$9, 100%, $G$9) + CHOOSE(CONTROL!$C$38, 0.0347, 0)</f>
        <v>23.813000000000002</v>
      </c>
      <c r="D232" s="10">
        <f>23.7705 * CHOOSE(CONTROL!$C$15, $E$9, 100%, $G$9) + CHOOSE(CONTROL!$C$38, 0.0347, 0)</f>
        <v>23.805199999999999</v>
      </c>
      <c r="E232" s="28">
        <f>25.6963 * CHOOSE(CONTROL!$C$15, $E$9, 100%, $G$9) + CHOOSE(CONTROL!$C$38, 0.0347, 0)</f>
        <v>25.731000000000002</v>
      </c>
      <c r="F232" s="27">
        <f>25.6963 * CHOOSE(CONTROL!$C$15, $E$9, 100%, $G$9) + CHOOSE(CONTROL!$C$38, 0.0256, 0)</f>
        <v>25.721900000000002</v>
      </c>
      <c r="G232" s="10">
        <f>23.7768 * CHOOSE(CONTROL!$C$15, $E$9, 100%, $G$9) + CHOOSE(CONTROL!$C$38, 0.0347, 0)</f>
        <v>23.811500000000002</v>
      </c>
      <c r="H232" s="10">
        <f>23.7768 * CHOOSE(CONTROL!$C$15, $E$9, 100%, $G$9) + CHOOSE(CONTROL!$C$38, 0.0347, 0)</f>
        <v>23.811500000000002</v>
      </c>
      <c r="I232" s="10">
        <f>23.7783 * CHOOSE(CONTROL!$C$15, $E$9, 100%, $G$9) + CHOOSE(CONTROL!$C$38, 0.0347, 0)</f>
        <v>23.813000000000002</v>
      </c>
      <c r="J232" s="26">
        <f>173.875</f>
        <v>173.875</v>
      </c>
    </row>
    <row r="233" spans="1:10" ht="15" x14ac:dyDescent="0.2">
      <c r="A233" s="16">
        <v>48366</v>
      </c>
      <c r="B233" s="10">
        <f>25.4907 * CHOOSE(CONTROL!$C$15, $E$9, 100%, $G$9) + CHOOSE(CONTROL!$C$38, 0.0256, 0)</f>
        <v>25.516300000000001</v>
      </c>
      <c r="C233" s="10">
        <f>23.4165 * CHOOSE(CONTROL!$C$15, $E$9, 100%, $G$9) + CHOOSE(CONTROL!$C$38, 0.0347, 0)</f>
        <v>23.4512</v>
      </c>
      <c r="D233" s="10">
        <f>23.4087 * CHOOSE(CONTROL!$C$15, $E$9, 100%, $G$9) + CHOOSE(CONTROL!$C$38, 0.0347, 0)</f>
        <v>23.4434</v>
      </c>
      <c r="E233" s="28">
        <f>25.3344 * CHOOSE(CONTROL!$C$15, $E$9, 100%, $G$9) + CHOOSE(CONTROL!$C$38, 0.0347, 0)</f>
        <v>25.3691</v>
      </c>
      <c r="F233" s="27">
        <f>25.3344 * CHOOSE(CONTROL!$C$15, $E$9, 100%, $G$9) + CHOOSE(CONTROL!$C$38, 0.0256, 0)</f>
        <v>25.36</v>
      </c>
      <c r="G233" s="10">
        <f>23.415 * CHOOSE(CONTROL!$C$15, $E$9, 100%, $G$9) + CHOOSE(CONTROL!$C$38, 0.0347, 0)</f>
        <v>23.4497</v>
      </c>
      <c r="H233" s="10">
        <f>23.415 * CHOOSE(CONTROL!$C$15, $E$9, 100%, $G$9) + CHOOSE(CONTROL!$C$38, 0.0347, 0)</f>
        <v>23.4497</v>
      </c>
      <c r="I233" s="10">
        <f>23.4165 * CHOOSE(CONTROL!$C$15, $E$9, 100%, $G$9) + CHOOSE(CONTROL!$C$38, 0.0347, 0)</f>
        <v>23.4512</v>
      </c>
      <c r="J233" s="26">
        <f>176.3804</f>
        <v>176.38040000000001</v>
      </c>
    </row>
    <row r="234" spans="1:10" ht="15" x14ac:dyDescent="0.2">
      <c r="A234" s="16">
        <v>48396</v>
      </c>
      <c r="B234" s="10">
        <f>25.2842 * CHOOSE(CONTROL!$C$15, $E$9, 100%, $G$9) + CHOOSE(CONTROL!$C$38, 0.0256, 0)</f>
        <v>25.309799999999999</v>
      </c>
      <c r="C234" s="10">
        <f>23.21 * CHOOSE(CONTROL!$C$15, $E$9, 100%, $G$9) + CHOOSE(CONTROL!$C$38, 0.0347, 0)</f>
        <v>23.244700000000002</v>
      </c>
      <c r="D234" s="10">
        <f>23.2022 * CHOOSE(CONTROL!$C$15, $E$9, 100%, $G$9) + CHOOSE(CONTROL!$C$38, 0.0347, 0)</f>
        <v>23.236900000000002</v>
      </c>
      <c r="E234" s="28">
        <f>25.128 * CHOOSE(CONTROL!$C$15, $E$9, 100%, $G$9) + CHOOSE(CONTROL!$C$38, 0.0347, 0)</f>
        <v>25.162700000000001</v>
      </c>
      <c r="F234" s="27">
        <f>25.128 * CHOOSE(CONTROL!$C$15, $E$9, 100%, $G$9) + CHOOSE(CONTROL!$C$38, 0.0256, 0)</f>
        <v>25.153600000000001</v>
      </c>
      <c r="G234" s="10">
        <f>23.2085 * CHOOSE(CONTROL!$C$15, $E$9, 100%, $G$9) + CHOOSE(CONTROL!$C$38, 0.0347, 0)</f>
        <v>23.243200000000002</v>
      </c>
      <c r="H234" s="10">
        <f>23.2085 * CHOOSE(CONTROL!$C$15, $E$9, 100%, $G$9) + CHOOSE(CONTROL!$C$38, 0.0347, 0)</f>
        <v>23.243200000000002</v>
      </c>
      <c r="I234" s="10">
        <f>23.21 * CHOOSE(CONTROL!$C$15, $E$9, 100%, $G$9) + CHOOSE(CONTROL!$C$38, 0.0347, 0)</f>
        <v>23.244700000000002</v>
      </c>
      <c r="J234" s="26">
        <f>175.5555</f>
        <v>175.55549999999999</v>
      </c>
    </row>
    <row r="235" spans="1:10" ht="15" x14ac:dyDescent="0.2">
      <c r="A235" s="16">
        <v>48427</v>
      </c>
      <c r="B235" s="10">
        <f>25.3861 * CHOOSE(CONTROL!$C$15, $E$9, 100%, $G$9) + CHOOSE(CONTROL!$C$38, 0.0256, 0)</f>
        <v>25.4117</v>
      </c>
      <c r="C235" s="10">
        <f>23.3119 * CHOOSE(CONTROL!$C$15, $E$9, 100%, $G$9) + CHOOSE(CONTROL!$C$38, 0.0347, 0)</f>
        <v>23.346600000000002</v>
      </c>
      <c r="D235" s="10">
        <f>23.3041 * CHOOSE(CONTROL!$C$15, $E$9, 100%, $G$9) + CHOOSE(CONTROL!$C$38, 0.0347, 0)</f>
        <v>23.338799999999999</v>
      </c>
      <c r="E235" s="28">
        <f>25.2299 * CHOOSE(CONTROL!$C$15, $E$9, 100%, $G$9) + CHOOSE(CONTROL!$C$38, 0.0347, 0)</f>
        <v>25.264600000000002</v>
      </c>
      <c r="F235" s="27">
        <f>25.2299 * CHOOSE(CONTROL!$C$15, $E$9, 100%, $G$9) + CHOOSE(CONTROL!$C$38, 0.0256, 0)</f>
        <v>25.255500000000001</v>
      </c>
      <c r="G235" s="10">
        <f>23.3104 * CHOOSE(CONTROL!$C$15, $E$9, 100%, $G$9) + CHOOSE(CONTROL!$C$38, 0.0347, 0)</f>
        <v>23.345100000000002</v>
      </c>
      <c r="H235" s="10">
        <f>23.3104 * CHOOSE(CONTROL!$C$15, $E$9, 100%, $G$9) + CHOOSE(CONTROL!$C$38, 0.0347, 0)</f>
        <v>23.345100000000002</v>
      </c>
      <c r="I235" s="10">
        <f>23.3119 * CHOOSE(CONTROL!$C$15, $E$9, 100%, $G$9) + CHOOSE(CONTROL!$C$38, 0.0347, 0)</f>
        <v>23.346600000000002</v>
      </c>
      <c r="J235" s="26">
        <f>171.4686</f>
        <v>171.46860000000001</v>
      </c>
    </row>
    <row r="236" spans="1:10" ht="15" x14ac:dyDescent="0.2">
      <c r="A236" s="16">
        <v>48458</v>
      </c>
      <c r="B236" s="10">
        <f>25.6629 * CHOOSE(CONTROL!$C$15, $E$9, 100%, $G$9) + CHOOSE(CONTROL!$C$38, 0.0256, 0)</f>
        <v>25.688500000000001</v>
      </c>
      <c r="C236" s="10">
        <f>23.5887 * CHOOSE(CONTROL!$C$15, $E$9, 100%, $G$9) + CHOOSE(CONTROL!$C$38, 0.0347, 0)</f>
        <v>23.6234</v>
      </c>
      <c r="D236" s="10">
        <f>23.5809 * CHOOSE(CONTROL!$C$15, $E$9, 100%, $G$9) + CHOOSE(CONTROL!$C$38, 0.0347, 0)</f>
        <v>23.615600000000001</v>
      </c>
      <c r="E236" s="28">
        <f>25.5067 * CHOOSE(CONTROL!$C$15, $E$9, 100%, $G$9) + CHOOSE(CONTROL!$C$38, 0.0347, 0)</f>
        <v>25.541399999999999</v>
      </c>
      <c r="F236" s="27">
        <f>25.5067 * CHOOSE(CONTROL!$C$15, $E$9, 100%, $G$9) + CHOOSE(CONTROL!$C$38, 0.0256, 0)</f>
        <v>25.532299999999999</v>
      </c>
      <c r="G236" s="10">
        <f>23.5872 * CHOOSE(CONTROL!$C$15, $E$9, 100%, $G$9) + CHOOSE(CONTROL!$C$38, 0.0347, 0)</f>
        <v>23.6219</v>
      </c>
      <c r="H236" s="10">
        <f>23.5872 * CHOOSE(CONTROL!$C$15, $E$9, 100%, $G$9) + CHOOSE(CONTROL!$C$38, 0.0347, 0)</f>
        <v>23.6219</v>
      </c>
      <c r="I236" s="10">
        <f>23.5887 * CHOOSE(CONTROL!$C$15, $E$9, 100%, $G$9) + CHOOSE(CONTROL!$C$38, 0.0347, 0)</f>
        <v>23.6234</v>
      </c>
      <c r="J236" s="26">
        <f>165.7693</f>
        <v>165.76929999999999</v>
      </c>
    </row>
    <row r="237" spans="1:10" ht="15" x14ac:dyDescent="0.2">
      <c r="A237" s="16">
        <v>48488</v>
      </c>
      <c r="B237" s="10">
        <f>25.8947 * CHOOSE(CONTROL!$C$15, $E$9, 100%, $G$9) + CHOOSE(CONTROL!$C$38, 0.0256, 0)</f>
        <v>25.920300000000001</v>
      </c>
      <c r="C237" s="10">
        <f>23.8206 * CHOOSE(CONTROL!$C$15, $E$9, 100%, $G$9) + CHOOSE(CONTROL!$C$38, 0.0347, 0)</f>
        <v>23.8553</v>
      </c>
      <c r="D237" s="10">
        <f>23.8127 * CHOOSE(CONTROL!$C$15, $E$9, 100%, $G$9) + CHOOSE(CONTROL!$C$38, 0.0347, 0)</f>
        <v>23.8474</v>
      </c>
      <c r="E237" s="28">
        <f>25.7385 * CHOOSE(CONTROL!$C$15, $E$9, 100%, $G$9) + CHOOSE(CONTROL!$C$38, 0.0347, 0)</f>
        <v>25.773199999999999</v>
      </c>
      <c r="F237" s="27">
        <f>25.7385 * CHOOSE(CONTROL!$C$15, $E$9, 100%, $G$9) + CHOOSE(CONTROL!$C$38, 0.0256, 0)</f>
        <v>25.764099999999999</v>
      </c>
      <c r="G237" s="10">
        <f>23.819 * CHOOSE(CONTROL!$C$15, $E$9, 100%, $G$9) + CHOOSE(CONTROL!$C$38, 0.0347, 0)</f>
        <v>23.8537</v>
      </c>
      <c r="H237" s="10">
        <f>23.819 * CHOOSE(CONTROL!$C$15, $E$9, 100%, $G$9) + CHOOSE(CONTROL!$C$38, 0.0347, 0)</f>
        <v>23.8537</v>
      </c>
      <c r="I237" s="10">
        <f>23.8206 * CHOOSE(CONTROL!$C$15, $E$9, 100%, $G$9) + CHOOSE(CONTROL!$C$38, 0.0347, 0)</f>
        <v>23.8553</v>
      </c>
      <c r="J237" s="26">
        <f>160.0368</f>
        <v>160.0368</v>
      </c>
    </row>
    <row r="238" spans="1:10" ht="15" x14ac:dyDescent="0.2">
      <c r="A238" s="16">
        <v>48519</v>
      </c>
      <c r="B238" s="10">
        <f>26.0882 * CHOOSE(CONTROL!$C$15, $E$9, 100%, $G$9) + CHOOSE(CONTROL!$C$38, 0.0256, 0)</f>
        <v>26.113800000000001</v>
      </c>
      <c r="C238" s="10">
        <f>24.014 * CHOOSE(CONTROL!$C$15, $E$9, 100%, $G$9) + CHOOSE(CONTROL!$C$38, 0.0347, 0)</f>
        <v>24.0487</v>
      </c>
      <c r="D238" s="10">
        <f>24.0062 * CHOOSE(CONTROL!$C$15, $E$9, 100%, $G$9) + CHOOSE(CONTROL!$C$38, 0.0347, 0)</f>
        <v>24.040900000000001</v>
      </c>
      <c r="E238" s="28">
        <f>25.9319 * CHOOSE(CONTROL!$C$15, $E$9, 100%, $G$9) + CHOOSE(CONTROL!$C$38, 0.0347, 0)</f>
        <v>25.9666</v>
      </c>
      <c r="F238" s="27">
        <f>25.9319 * CHOOSE(CONTROL!$C$15, $E$9, 100%, $G$9) + CHOOSE(CONTROL!$C$38, 0.0256, 0)</f>
        <v>25.9575</v>
      </c>
      <c r="G238" s="10">
        <f>24.0124 * CHOOSE(CONTROL!$C$15, $E$9, 100%, $G$9) + CHOOSE(CONTROL!$C$38, 0.0347, 0)</f>
        <v>24.0471</v>
      </c>
      <c r="H238" s="10">
        <f>24.0124 * CHOOSE(CONTROL!$C$15, $E$9, 100%, $G$9) + CHOOSE(CONTROL!$C$38, 0.0347, 0)</f>
        <v>24.0471</v>
      </c>
      <c r="I238" s="10">
        <f>24.014 * CHOOSE(CONTROL!$C$15, $E$9, 100%, $G$9) + CHOOSE(CONTROL!$C$38, 0.0347, 0)</f>
        <v>24.0487</v>
      </c>
      <c r="J238" s="26">
        <f>158.8965</f>
        <v>158.8965</v>
      </c>
    </row>
    <row r="239" spans="1:10" ht="15" x14ac:dyDescent="0.2">
      <c r="A239" s="16">
        <v>48549</v>
      </c>
      <c r="B239" s="10">
        <f>26.6842 * CHOOSE(CONTROL!$C$15, $E$9, 100%, $G$9) + CHOOSE(CONTROL!$C$38, 0.0256, 0)</f>
        <v>26.709800000000001</v>
      </c>
      <c r="C239" s="10">
        <f>24.6101 * CHOOSE(CONTROL!$C$15, $E$9, 100%, $G$9) + CHOOSE(CONTROL!$C$38, 0.0347, 0)</f>
        <v>24.6448</v>
      </c>
      <c r="D239" s="10">
        <f>24.6023 * CHOOSE(CONTROL!$C$15, $E$9, 100%, $G$9) + CHOOSE(CONTROL!$C$38, 0.0347, 0)</f>
        <v>24.637</v>
      </c>
      <c r="E239" s="28">
        <f>26.528 * CHOOSE(CONTROL!$C$15, $E$9, 100%, $G$9) + CHOOSE(CONTROL!$C$38, 0.0347, 0)</f>
        <v>26.5627</v>
      </c>
      <c r="F239" s="27">
        <f>26.528 * CHOOSE(CONTROL!$C$15, $E$9, 100%, $G$9) + CHOOSE(CONTROL!$C$38, 0.0256, 0)</f>
        <v>26.553599999999999</v>
      </c>
      <c r="G239" s="10">
        <f>24.6085 * CHOOSE(CONTROL!$C$15, $E$9, 100%, $G$9) + CHOOSE(CONTROL!$C$38, 0.0347, 0)</f>
        <v>24.6432</v>
      </c>
      <c r="H239" s="10">
        <f>24.6085 * CHOOSE(CONTROL!$C$15, $E$9, 100%, $G$9) + CHOOSE(CONTROL!$C$38, 0.0347, 0)</f>
        <v>24.6432</v>
      </c>
      <c r="I239" s="10">
        <f>24.6101 * CHOOSE(CONTROL!$C$15, $E$9, 100%, $G$9) + CHOOSE(CONTROL!$C$38, 0.0347, 0)</f>
        <v>24.6448</v>
      </c>
      <c r="J239" s="26">
        <f>154.1813</f>
        <v>154.18129999999999</v>
      </c>
    </row>
    <row r="240" spans="1:10" ht="15" x14ac:dyDescent="0.2">
      <c r="A240" s="16">
        <v>48580</v>
      </c>
      <c r="B240" s="10">
        <f>27.6057 * CHOOSE(CONTROL!$C$15, $E$9, 100%, $G$9) + CHOOSE(CONTROL!$C$38, 0.0256, 0)</f>
        <v>27.6313</v>
      </c>
      <c r="C240" s="10">
        <f>25.4976 * CHOOSE(CONTROL!$C$15, $E$9, 100%, $G$9) + CHOOSE(CONTROL!$C$38, 0.0347, 0)</f>
        <v>25.532299999999999</v>
      </c>
      <c r="D240" s="10">
        <f>25.4898 * CHOOSE(CONTROL!$C$15, $E$9, 100%, $G$9) + CHOOSE(CONTROL!$C$38, 0.0347, 0)</f>
        <v>25.5245</v>
      </c>
      <c r="E240" s="28">
        <f>27.4494 * CHOOSE(CONTROL!$C$15, $E$9, 100%, $G$9) + CHOOSE(CONTROL!$C$38, 0.0347, 0)</f>
        <v>27.484100000000002</v>
      </c>
      <c r="F240" s="27">
        <f>27.4494 * CHOOSE(CONTROL!$C$15, $E$9, 100%, $G$9) + CHOOSE(CONTROL!$C$38, 0.0256, 0)</f>
        <v>27.475000000000001</v>
      </c>
      <c r="G240" s="10">
        <f>25.496 * CHOOSE(CONTROL!$C$15, $E$9, 100%, $G$9) + CHOOSE(CONTROL!$C$38, 0.0347, 0)</f>
        <v>25.5307</v>
      </c>
      <c r="H240" s="10">
        <f>25.496 * CHOOSE(CONTROL!$C$15, $E$9, 100%, $G$9) + CHOOSE(CONTROL!$C$38, 0.0347, 0)</f>
        <v>25.5307</v>
      </c>
      <c r="I240" s="10">
        <f>25.4976 * CHOOSE(CONTROL!$C$15, $E$9, 100%, $G$9) + CHOOSE(CONTROL!$C$38, 0.0347, 0)</f>
        <v>25.532299999999999</v>
      </c>
      <c r="J240" s="26">
        <f>153.1485</f>
        <v>153.14850000000001</v>
      </c>
    </row>
    <row r="241" spans="1:10" ht="15" x14ac:dyDescent="0.2">
      <c r="A241" s="16">
        <v>48611</v>
      </c>
      <c r="B241" s="10">
        <f>27.8264 * CHOOSE(CONTROL!$C$15, $E$9, 100%, $G$9) + CHOOSE(CONTROL!$C$38, 0.0256, 0)</f>
        <v>27.852</v>
      </c>
      <c r="C241" s="10">
        <f>25.7184 * CHOOSE(CONTROL!$C$15, $E$9, 100%, $G$9) + CHOOSE(CONTROL!$C$38, 0.0347, 0)</f>
        <v>25.7531</v>
      </c>
      <c r="D241" s="10">
        <f>25.7105 * CHOOSE(CONTROL!$C$15, $E$9, 100%, $G$9) + CHOOSE(CONTROL!$C$38, 0.0347, 0)</f>
        <v>25.745200000000001</v>
      </c>
      <c r="E241" s="28">
        <f>27.6702 * CHOOSE(CONTROL!$C$15, $E$9, 100%, $G$9) + CHOOSE(CONTROL!$C$38, 0.0347, 0)</f>
        <v>27.704900000000002</v>
      </c>
      <c r="F241" s="27">
        <f>27.6702 * CHOOSE(CONTROL!$C$15, $E$9, 100%, $G$9) + CHOOSE(CONTROL!$C$38, 0.0256, 0)</f>
        <v>27.695800000000002</v>
      </c>
      <c r="G241" s="10">
        <f>25.7168 * CHOOSE(CONTROL!$C$15, $E$9, 100%, $G$9) + CHOOSE(CONTROL!$C$38, 0.0347, 0)</f>
        <v>25.7515</v>
      </c>
      <c r="H241" s="10">
        <f>25.7168 * CHOOSE(CONTROL!$C$15, $E$9, 100%, $G$9) + CHOOSE(CONTROL!$C$38, 0.0347, 0)</f>
        <v>25.7515</v>
      </c>
      <c r="I241" s="10">
        <f>25.7184 * CHOOSE(CONTROL!$C$15, $E$9, 100%, $G$9) + CHOOSE(CONTROL!$C$38, 0.0347, 0)</f>
        <v>25.7531</v>
      </c>
      <c r="J241" s="26">
        <f>152.7228</f>
        <v>152.72280000000001</v>
      </c>
    </row>
    <row r="242" spans="1:10" ht="15" x14ac:dyDescent="0.2">
      <c r="A242" s="16">
        <v>48639</v>
      </c>
      <c r="B242" s="10">
        <f>27.3154 * CHOOSE(CONTROL!$C$15, $E$9, 100%, $G$9) + CHOOSE(CONTROL!$C$38, 0.0256, 0)</f>
        <v>27.341000000000001</v>
      </c>
      <c r="C242" s="10">
        <f>25.2073 * CHOOSE(CONTROL!$C$15, $E$9, 100%, $G$9) + CHOOSE(CONTROL!$C$38, 0.0347, 0)</f>
        <v>25.242000000000001</v>
      </c>
      <c r="D242" s="10">
        <f>25.1995 * CHOOSE(CONTROL!$C$15, $E$9, 100%, $G$9) + CHOOSE(CONTROL!$C$38, 0.0347, 0)</f>
        <v>25.234200000000001</v>
      </c>
      <c r="E242" s="28">
        <f>27.1591 * CHOOSE(CONTROL!$C$15, $E$9, 100%, $G$9) + CHOOSE(CONTROL!$C$38, 0.0347, 0)</f>
        <v>27.1938</v>
      </c>
      <c r="F242" s="27">
        <f>27.1591 * CHOOSE(CONTROL!$C$15, $E$9, 100%, $G$9) + CHOOSE(CONTROL!$C$38, 0.0256, 0)</f>
        <v>27.184699999999999</v>
      </c>
      <c r="G242" s="10">
        <f>25.2058 * CHOOSE(CONTROL!$C$15, $E$9, 100%, $G$9) + CHOOSE(CONTROL!$C$38, 0.0347, 0)</f>
        <v>25.240500000000001</v>
      </c>
      <c r="H242" s="10">
        <f>25.2058 * CHOOSE(CONTROL!$C$15, $E$9, 100%, $G$9) + CHOOSE(CONTROL!$C$38, 0.0347, 0)</f>
        <v>25.240500000000001</v>
      </c>
      <c r="I242" s="10">
        <f>25.2073 * CHOOSE(CONTROL!$C$15, $E$9, 100%, $G$9) + CHOOSE(CONTROL!$C$38, 0.0347, 0)</f>
        <v>25.242000000000001</v>
      </c>
      <c r="J242" s="26">
        <f>160.7721</f>
        <v>160.77209999999999</v>
      </c>
    </row>
    <row r="243" spans="1:10" ht="15" x14ac:dyDescent="0.2">
      <c r="A243" s="16">
        <v>48670</v>
      </c>
      <c r="B243" s="10">
        <f>26.8202 * CHOOSE(CONTROL!$C$15, $E$9, 100%, $G$9) + CHOOSE(CONTROL!$C$38, 0.0256, 0)</f>
        <v>26.845800000000001</v>
      </c>
      <c r="C243" s="10">
        <f>24.7121 * CHOOSE(CONTROL!$C$15, $E$9, 100%, $G$9) + CHOOSE(CONTROL!$C$38, 0.0347, 0)</f>
        <v>24.7468</v>
      </c>
      <c r="D243" s="10">
        <f>24.7043 * CHOOSE(CONTROL!$C$15, $E$9, 100%, $G$9) + CHOOSE(CONTROL!$C$38, 0.0347, 0)</f>
        <v>24.739000000000001</v>
      </c>
      <c r="E243" s="28">
        <f>26.664 * CHOOSE(CONTROL!$C$15, $E$9, 100%, $G$9) + CHOOSE(CONTROL!$C$38, 0.0347, 0)</f>
        <v>26.698700000000002</v>
      </c>
      <c r="F243" s="27">
        <f>26.664 * CHOOSE(CONTROL!$C$15, $E$9, 100%, $G$9) + CHOOSE(CONTROL!$C$38, 0.0256, 0)</f>
        <v>26.689600000000002</v>
      </c>
      <c r="G243" s="10">
        <f>24.7106 * CHOOSE(CONTROL!$C$15, $E$9, 100%, $G$9) + CHOOSE(CONTROL!$C$38, 0.0347, 0)</f>
        <v>24.7453</v>
      </c>
      <c r="H243" s="10">
        <f>24.7106 * CHOOSE(CONTROL!$C$15, $E$9, 100%, $G$9) + CHOOSE(CONTROL!$C$38, 0.0347, 0)</f>
        <v>24.7453</v>
      </c>
      <c r="I243" s="10">
        <f>24.7121 * CHOOSE(CONTROL!$C$15, $E$9, 100%, $G$9) + CHOOSE(CONTROL!$C$38, 0.0347, 0)</f>
        <v>24.7468</v>
      </c>
      <c r="J243" s="26">
        <f>171.2103</f>
        <v>171.21029999999999</v>
      </c>
    </row>
    <row r="244" spans="1:10" ht="15" x14ac:dyDescent="0.2">
      <c r="A244" s="16">
        <v>48700</v>
      </c>
      <c r="B244" s="10">
        <f>26.3041 * CHOOSE(CONTROL!$C$15, $E$9, 100%, $G$9) + CHOOSE(CONTROL!$C$38, 0.0256, 0)</f>
        <v>26.329699999999999</v>
      </c>
      <c r="C244" s="10">
        <f>24.196 * CHOOSE(CONTROL!$C$15, $E$9, 100%, $G$9) + CHOOSE(CONTROL!$C$38, 0.0347, 0)</f>
        <v>24.230700000000002</v>
      </c>
      <c r="D244" s="10">
        <f>24.1882 * CHOOSE(CONTROL!$C$15, $E$9, 100%, $G$9) + CHOOSE(CONTROL!$C$38, 0.0347, 0)</f>
        <v>24.222899999999999</v>
      </c>
      <c r="E244" s="28">
        <f>26.1479 * CHOOSE(CONTROL!$C$15, $E$9, 100%, $G$9) + CHOOSE(CONTROL!$C$38, 0.0347, 0)</f>
        <v>26.182600000000001</v>
      </c>
      <c r="F244" s="27">
        <f>26.1479 * CHOOSE(CONTROL!$C$15, $E$9, 100%, $G$9) + CHOOSE(CONTROL!$C$38, 0.0256, 0)</f>
        <v>26.173500000000001</v>
      </c>
      <c r="G244" s="10">
        <f>24.1945 * CHOOSE(CONTROL!$C$15, $E$9, 100%, $G$9) + CHOOSE(CONTROL!$C$38, 0.0347, 0)</f>
        <v>24.229200000000002</v>
      </c>
      <c r="H244" s="10">
        <f>24.1945 * CHOOSE(CONTROL!$C$15, $E$9, 100%, $G$9) + CHOOSE(CONTROL!$C$38, 0.0347, 0)</f>
        <v>24.229200000000002</v>
      </c>
      <c r="I244" s="10">
        <f>24.196 * CHOOSE(CONTROL!$C$15, $E$9, 100%, $G$9) + CHOOSE(CONTROL!$C$38, 0.0347, 0)</f>
        <v>24.230700000000002</v>
      </c>
      <c r="J244" s="26">
        <f>176.9557</f>
        <v>176.95570000000001</v>
      </c>
    </row>
    <row r="245" spans="1:10" ht="15" x14ac:dyDescent="0.2">
      <c r="A245" s="16">
        <v>48731</v>
      </c>
      <c r="B245" s="10">
        <f>25.9423 * CHOOSE(CONTROL!$C$15, $E$9, 100%, $G$9) + CHOOSE(CONTROL!$C$38, 0.0256, 0)</f>
        <v>25.9679</v>
      </c>
      <c r="C245" s="10">
        <f>23.8342 * CHOOSE(CONTROL!$C$15, $E$9, 100%, $G$9) + CHOOSE(CONTROL!$C$38, 0.0347, 0)</f>
        <v>23.8689</v>
      </c>
      <c r="D245" s="10">
        <f>23.8264 * CHOOSE(CONTROL!$C$15, $E$9, 100%, $G$9) + CHOOSE(CONTROL!$C$38, 0.0347, 0)</f>
        <v>23.8611</v>
      </c>
      <c r="E245" s="28">
        <f>25.786 * CHOOSE(CONTROL!$C$15, $E$9, 100%, $G$9) + CHOOSE(CONTROL!$C$38, 0.0347, 0)</f>
        <v>25.820700000000002</v>
      </c>
      <c r="F245" s="27">
        <f>25.786 * CHOOSE(CONTROL!$C$15, $E$9, 100%, $G$9) + CHOOSE(CONTROL!$C$38, 0.0256, 0)</f>
        <v>25.811600000000002</v>
      </c>
      <c r="G245" s="10">
        <f>23.8326 * CHOOSE(CONTROL!$C$15, $E$9, 100%, $G$9) + CHOOSE(CONTROL!$C$38, 0.0347, 0)</f>
        <v>23.8673</v>
      </c>
      <c r="H245" s="10">
        <f>23.8326 * CHOOSE(CONTROL!$C$15, $E$9, 100%, $G$9) + CHOOSE(CONTROL!$C$38, 0.0347, 0)</f>
        <v>23.8673</v>
      </c>
      <c r="I245" s="10">
        <f>23.8342 * CHOOSE(CONTROL!$C$15, $E$9, 100%, $G$9) + CHOOSE(CONTROL!$C$38, 0.0347, 0)</f>
        <v>23.8689</v>
      </c>
      <c r="J245" s="26">
        <f>179.5055</f>
        <v>179.50550000000001</v>
      </c>
    </row>
    <row r="246" spans="1:10" ht="15" x14ac:dyDescent="0.2">
      <c r="A246" s="16">
        <v>48761</v>
      </c>
      <c r="B246" s="10">
        <f>25.7358 * CHOOSE(CONTROL!$C$15, $E$9, 100%, $G$9) + CHOOSE(CONTROL!$C$38, 0.0256, 0)</f>
        <v>25.761400000000002</v>
      </c>
      <c r="C246" s="10">
        <f>23.6277 * CHOOSE(CONTROL!$C$15, $E$9, 100%, $G$9) + CHOOSE(CONTROL!$C$38, 0.0347, 0)</f>
        <v>23.662400000000002</v>
      </c>
      <c r="D246" s="10">
        <f>23.6199 * CHOOSE(CONTROL!$C$15, $E$9, 100%, $G$9) + CHOOSE(CONTROL!$C$38, 0.0347, 0)</f>
        <v>23.654600000000002</v>
      </c>
      <c r="E246" s="28">
        <f>25.5795 * CHOOSE(CONTROL!$C$15, $E$9, 100%, $G$9) + CHOOSE(CONTROL!$C$38, 0.0347, 0)</f>
        <v>25.6142</v>
      </c>
      <c r="F246" s="27">
        <f>25.5795 * CHOOSE(CONTROL!$C$15, $E$9, 100%, $G$9) + CHOOSE(CONTROL!$C$38, 0.0256, 0)</f>
        <v>25.6051</v>
      </c>
      <c r="G246" s="10">
        <f>23.6261 * CHOOSE(CONTROL!$C$15, $E$9, 100%, $G$9) + CHOOSE(CONTROL!$C$38, 0.0347, 0)</f>
        <v>23.660800000000002</v>
      </c>
      <c r="H246" s="10">
        <f>23.6261 * CHOOSE(CONTROL!$C$15, $E$9, 100%, $G$9) + CHOOSE(CONTROL!$C$38, 0.0347, 0)</f>
        <v>23.660800000000002</v>
      </c>
      <c r="I246" s="10">
        <f>23.6277 * CHOOSE(CONTROL!$C$15, $E$9, 100%, $G$9) + CHOOSE(CONTROL!$C$38, 0.0347, 0)</f>
        <v>23.662400000000002</v>
      </c>
      <c r="J246" s="26">
        <f>178.666</f>
        <v>178.666</v>
      </c>
    </row>
    <row r="247" spans="1:10" ht="15" x14ac:dyDescent="0.2">
      <c r="A247" s="16">
        <v>48792</v>
      </c>
      <c r="B247" s="10">
        <f>25.8377 * CHOOSE(CONTROL!$C$15, $E$9, 100%, $G$9) + CHOOSE(CONTROL!$C$38, 0.0256, 0)</f>
        <v>25.863300000000002</v>
      </c>
      <c r="C247" s="10">
        <f>23.7296 * CHOOSE(CONTROL!$C$15, $E$9, 100%, $G$9) + CHOOSE(CONTROL!$C$38, 0.0347, 0)</f>
        <v>23.764300000000002</v>
      </c>
      <c r="D247" s="10">
        <f>23.7218 * CHOOSE(CONTROL!$C$15, $E$9, 100%, $G$9) + CHOOSE(CONTROL!$C$38, 0.0347, 0)</f>
        <v>23.756500000000003</v>
      </c>
      <c r="E247" s="28">
        <f>25.6814 * CHOOSE(CONTROL!$C$15, $E$9, 100%, $G$9) + CHOOSE(CONTROL!$C$38, 0.0347, 0)</f>
        <v>25.716100000000001</v>
      </c>
      <c r="F247" s="27">
        <f>25.6814 * CHOOSE(CONTROL!$C$15, $E$9, 100%, $G$9) + CHOOSE(CONTROL!$C$38, 0.0256, 0)</f>
        <v>25.707000000000001</v>
      </c>
      <c r="G247" s="10">
        <f>23.7281 * CHOOSE(CONTROL!$C$15, $E$9, 100%, $G$9) + CHOOSE(CONTROL!$C$38, 0.0347, 0)</f>
        <v>23.762800000000002</v>
      </c>
      <c r="H247" s="10">
        <f>23.7281 * CHOOSE(CONTROL!$C$15, $E$9, 100%, $G$9) + CHOOSE(CONTROL!$C$38, 0.0347, 0)</f>
        <v>23.762800000000002</v>
      </c>
      <c r="I247" s="10">
        <f>23.7296 * CHOOSE(CONTROL!$C$15, $E$9, 100%, $G$9) + CHOOSE(CONTROL!$C$38, 0.0347, 0)</f>
        <v>23.764300000000002</v>
      </c>
      <c r="J247" s="26">
        <f>174.5067</f>
        <v>174.5067</v>
      </c>
    </row>
    <row r="248" spans="1:10" ht="15" x14ac:dyDescent="0.2">
      <c r="A248" s="16">
        <v>48823</v>
      </c>
      <c r="B248" s="10">
        <f>26.1145 * CHOOSE(CONTROL!$C$15, $E$9, 100%, $G$9) + CHOOSE(CONTROL!$C$38, 0.0256, 0)</f>
        <v>26.1401</v>
      </c>
      <c r="C248" s="10">
        <f>24.0064 * CHOOSE(CONTROL!$C$15, $E$9, 100%, $G$9) + CHOOSE(CONTROL!$C$38, 0.0347, 0)</f>
        <v>24.0411</v>
      </c>
      <c r="D248" s="10">
        <f>23.9986 * CHOOSE(CONTROL!$C$15, $E$9, 100%, $G$9) + CHOOSE(CONTROL!$C$38, 0.0347, 0)</f>
        <v>24.033300000000001</v>
      </c>
      <c r="E248" s="28">
        <f>25.9582 * CHOOSE(CONTROL!$C$15, $E$9, 100%, $G$9) + CHOOSE(CONTROL!$C$38, 0.0347, 0)</f>
        <v>25.992900000000002</v>
      </c>
      <c r="F248" s="27">
        <f>25.9582 * CHOOSE(CONTROL!$C$15, $E$9, 100%, $G$9) + CHOOSE(CONTROL!$C$38, 0.0256, 0)</f>
        <v>25.983800000000002</v>
      </c>
      <c r="G248" s="10">
        <f>24.0049 * CHOOSE(CONTROL!$C$15, $E$9, 100%, $G$9) + CHOOSE(CONTROL!$C$38, 0.0347, 0)</f>
        <v>24.0396</v>
      </c>
      <c r="H248" s="10">
        <f>24.0049 * CHOOSE(CONTROL!$C$15, $E$9, 100%, $G$9) + CHOOSE(CONTROL!$C$38, 0.0347, 0)</f>
        <v>24.0396</v>
      </c>
      <c r="I248" s="10">
        <f>24.0064 * CHOOSE(CONTROL!$C$15, $E$9, 100%, $G$9) + CHOOSE(CONTROL!$C$38, 0.0347, 0)</f>
        <v>24.0411</v>
      </c>
      <c r="J248" s="26">
        <f>168.7064</f>
        <v>168.7064</v>
      </c>
    </row>
    <row r="249" spans="1:10" ht="15" x14ac:dyDescent="0.2">
      <c r="A249" s="16">
        <v>48853</v>
      </c>
      <c r="B249" s="10">
        <f>26.3463 * CHOOSE(CONTROL!$C$15, $E$9, 100%, $G$9) + CHOOSE(CONTROL!$C$38, 0.0256, 0)</f>
        <v>26.3719</v>
      </c>
      <c r="C249" s="10">
        <f>24.2382 * CHOOSE(CONTROL!$C$15, $E$9, 100%, $G$9) + CHOOSE(CONTROL!$C$38, 0.0347, 0)</f>
        <v>24.2729</v>
      </c>
      <c r="D249" s="10">
        <f>24.2304 * CHOOSE(CONTROL!$C$15, $E$9, 100%, $G$9) + CHOOSE(CONTROL!$C$38, 0.0347, 0)</f>
        <v>24.2651</v>
      </c>
      <c r="E249" s="28">
        <f>26.1901 * CHOOSE(CONTROL!$C$15, $E$9, 100%, $G$9) + CHOOSE(CONTROL!$C$38, 0.0347, 0)</f>
        <v>26.224800000000002</v>
      </c>
      <c r="F249" s="27">
        <f>26.1901 * CHOOSE(CONTROL!$C$15, $E$9, 100%, $G$9) + CHOOSE(CONTROL!$C$38, 0.0256, 0)</f>
        <v>26.215700000000002</v>
      </c>
      <c r="G249" s="10">
        <f>24.2367 * CHOOSE(CONTROL!$C$15, $E$9, 100%, $G$9) + CHOOSE(CONTROL!$C$38, 0.0347, 0)</f>
        <v>24.2714</v>
      </c>
      <c r="H249" s="10">
        <f>24.2367 * CHOOSE(CONTROL!$C$15, $E$9, 100%, $G$9) + CHOOSE(CONTROL!$C$38, 0.0347, 0)</f>
        <v>24.2714</v>
      </c>
      <c r="I249" s="10">
        <f>24.2382 * CHOOSE(CONTROL!$C$15, $E$9, 100%, $G$9) + CHOOSE(CONTROL!$C$38, 0.0347, 0)</f>
        <v>24.2729</v>
      </c>
      <c r="J249" s="26">
        <f>162.8724</f>
        <v>162.8724</v>
      </c>
    </row>
    <row r="250" spans="1:10" ht="15" x14ac:dyDescent="0.2">
      <c r="A250" s="16">
        <v>48884</v>
      </c>
      <c r="B250" s="10">
        <f>26.5397 * CHOOSE(CONTROL!$C$15, $E$9, 100%, $G$9) + CHOOSE(CONTROL!$C$38, 0.0256, 0)</f>
        <v>26.565300000000001</v>
      </c>
      <c r="C250" s="10">
        <f>24.4317 * CHOOSE(CONTROL!$C$15, $E$9, 100%, $G$9) + CHOOSE(CONTROL!$C$38, 0.0347, 0)</f>
        <v>24.4664</v>
      </c>
      <c r="D250" s="10">
        <f>24.4239 * CHOOSE(CONTROL!$C$15, $E$9, 100%, $G$9) + CHOOSE(CONTROL!$C$38, 0.0347, 0)</f>
        <v>24.458600000000001</v>
      </c>
      <c r="E250" s="28">
        <f>26.3835 * CHOOSE(CONTROL!$C$15, $E$9, 100%, $G$9) + CHOOSE(CONTROL!$C$38, 0.0347, 0)</f>
        <v>26.418200000000002</v>
      </c>
      <c r="F250" s="27">
        <f>26.3835 * CHOOSE(CONTROL!$C$15, $E$9, 100%, $G$9) + CHOOSE(CONTROL!$C$38, 0.0256, 0)</f>
        <v>26.409100000000002</v>
      </c>
      <c r="G250" s="10">
        <f>24.4301 * CHOOSE(CONTROL!$C$15, $E$9, 100%, $G$9) + CHOOSE(CONTROL!$C$38, 0.0347, 0)</f>
        <v>24.4648</v>
      </c>
      <c r="H250" s="10">
        <f>24.4301 * CHOOSE(CONTROL!$C$15, $E$9, 100%, $G$9) + CHOOSE(CONTROL!$C$38, 0.0347, 0)</f>
        <v>24.4648</v>
      </c>
      <c r="I250" s="10">
        <f>24.4317 * CHOOSE(CONTROL!$C$15, $E$9, 100%, $G$9) + CHOOSE(CONTROL!$C$38, 0.0347, 0)</f>
        <v>24.4664</v>
      </c>
      <c r="J250" s="26">
        <f>161.7119</f>
        <v>161.71190000000001</v>
      </c>
    </row>
    <row r="251" spans="1:10" ht="15" x14ac:dyDescent="0.2">
      <c r="A251" s="16">
        <v>48914</v>
      </c>
      <c r="B251" s="10">
        <f>27.1358 * CHOOSE(CONTROL!$C$15, $E$9, 100%, $G$9) + CHOOSE(CONTROL!$C$38, 0.0256, 0)</f>
        <v>27.1614</v>
      </c>
      <c r="C251" s="10">
        <f>25.0277 * CHOOSE(CONTROL!$C$15, $E$9, 100%, $G$9) + CHOOSE(CONTROL!$C$38, 0.0347, 0)</f>
        <v>25.0624</v>
      </c>
      <c r="D251" s="10">
        <f>25.0199 * CHOOSE(CONTROL!$C$15, $E$9, 100%, $G$9) + CHOOSE(CONTROL!$C$38, 0.0347, 0)</f>
        <v>25.054600000000001</v>
      </c>
      <c r="E251" s="28">
        <f>26.9796 * CHOOSE(CONTROL!$C$15, $E$9, 100%, $G$9) + CHOOSE(CONTROL!$C$38, 0.0347, 0)</f>
        <v>27.014300000000002</v>
      </c>
      <c r="F251" s="27">
        <f>26.9796 * CHOOSE(CONTROL!$C$15, $E$9, 100%, $G$9) + CHOOSE(CONTROL!$C$38, 0.0256, 0)</f>
        <v>27.005200000000002</v>
      </c>
      <c r="G251" s="10">
        <f>25.0262 * CHOOSE(CONTROL!$C$15, $E$9, 100%, $G$9) + CHOOSE(CONTROL!$C$38, 0.0347, 0)</f>
        <v>25.0609</v>
      </c>
      <c r="H251" s="10">
        <f>25.0262 * CHOOSE(CONTROL!$C$15, $E$9, 100%, $G$9) + CHOOSE(CONTROL!$C$38, 0.0347, 0)</f>
        <v>25.0609</v>
      </c>
      <c r="I251" s="10">
        <f>25.0277 * CHOOSE(CONTROL!$C$15, $E$9, 100%, $G$9) + CHOOSE(CONTROL!$C$38, 0.0347, 0)</f>
        <v>25.0624</v>
      </c>
      <c r="J251" s="26">
        <f>156.9131</f>
        <v>156.91309999999999</v>
      </c>
    </row>
    <row r="252" spans="1:10" ht="15" x14ac:dyDescent="0.2">
      <c r="A252" s="16">
        <v>48945</v>
      </c>
      <c r="B252" s="10">
        <f>28.0652 * CHOOSE(CONTROL!$C$15, $E$9, 100%, $G$9) + CHOOSE(CONTROL!$C$38, 0.0256, 0)</f>
        <v>28.090800000000002</v>
      </c>
      <c r="C252" s="10">
        <f>25.9227 * CHOOSE(CONTROL!$C$15, $E$9, 100%, $G$9) + CHOOSE(CONTROL!$C$38, 0.0347, 0)</f>
        <v>25.9574</v>
      </c>
      <c r="D252" s="10">
        <f>25.9148 * CHOOSE(CONTROL!$C$15, $E$9, 100%, $G$9) + CHOOSE(CONTROL!$C$38, 0.0347, 0)</f>
        <v>25.9495</v>
      </c>
      <c r="E252" s="28">
        <f>27.909 * CHOOSE(CONTROL!$C$15, $E$9, 100%, $G$9) + CHOOSE(CONTROL!$C$38, 0.0347, 0)</f>
        <v>27.9437</v>
      </c>
      <c r="F252" s="27">
        <f>27.909 * CHOOSE(CONTROL!$C$15, $E$9, 100%, $G$9) + CHOOSE(CONTROL!$C$38, 0.0256, 0)</f>
        <v>27.9346</v>
      </c>
      <c r="G252" s="10">
        <f>25.9211 * CHOOSE(CONTROL!$C$15, $E$9, 100%, $G$9) + CHOOSE(CONTROL!$C$38, 0.0347, 0)</f>
        <v>25.9558</v>
      </c>
      <c r="H252" s="10">
        <f>25.9211 * CHOOSE(CONTROL!$C$15, $E$9, 100%, $G$9) + CHOOSE(CONTROL!$C$38, 0.0347, 0)</f>
        <v>25.9558</v>
      </c>
      <c r="I252" s="10">
        <f>25.9227 * CHOOSE(CONTROL!$C$15, $E$9, 100%, $G$9) + CHOOSE(CONTROL!$C$38, 0.0347, 0)</f>
        <v>25.9574</v>
      </c>
      <c r="J252" s="26">
        <f>155.862</f>
        <v>155.86199999999999</v>
      </c>
    </row>
    <row r="253" spans="1:10" ht="15" x14ac:dyDescent="0.2">
      <c r="A253" s="16">
        <v>48976</v>
      </c>
      <c r="B253" s="10">
        <f>28.286 * CHOOSE(CONTROL!$C$15, $E$9, 100%, $G$9) + CHOOSE(CONTROL!$C$38, 0.0256, 0)</f>
        <v>28.311600000000002</v>
      </c>
      <c r="C253" s="10">
        <f>26.1434 * CHOOSE(CONTROL!$C$15, $E$9, 100%, $G$9) + CHOOSE(CONTROL!$C$38, 0.0347, 0)</f>
        <v>26.178100000000001</v>
      </c>
      <c r="D253" s="10">
        <f>26.1356 * CHOOSE(CONTROL!$C$15, $E$9, 100%, $G$9) + CHOOSE(CONTROL!$C$38, 0.0347, 0)</f>
        <v>26.170300000000001</v>
      </c>
      <c r="E253" s="28">
        <f>28.1297 * CHOOSE(CONTROL!$C$15, $E$9, 100%, $G$9) + CHOOSE(CONTROL!$C$38, 0.0347, 0)</f>
        <v>28.164400000000001</v>
      </c>
      <c r="F253" s="27">
        <f>28.1297 * CHOOSE(CONTROL!$C$15, $E$9, 100%, $G$9) + CHOOSE(CONTROL!$C$38, 0.0256, 0)</f>
        <v>28.1553</v>
      </c>
      <c r="G253" s="10">
        <f>26.1419 * CHOOSE(CONTROL!$C$15, $E$9, 100%, $G$9) + CHOOSE(CONTROL!$C$38, 0.0347, 0)</f>
        <v>26.176600000000001</v>
      </c>
      <c r="H253" s="10">
        <f>26.1419 * CHOOSE(CONTROL!$C$15, $E$9, 100%, $G$9) + CHOOSE(CONTROL!$C$38, 0.0347, 0)</f>
        <v>26.176600000000001</v>
      </c>
      <c r="I253" s="10">
        <f>26.1434 * CHOOSE(CONTROL!$C$15, $E$9, 100%, $G$9) + CHOOSE(CONTROL!$C$38, 0.0347, 0)</f>
        <v>26.178100000000001</v>
      </c>
      <c r="J253" s="26">
        <f>155.4287</f>
        <v>155.42869999999999</v>
      </c>
    </row>
    <row r="254" spans="1:10" ht="15" x14ac:dyDescent="0.2">
      <c r="A254" s="16">
        <v>49004</v>
      </c>
      <c r="B254" s="10">
        <f>27.7749 * CHOOSE(CONTROL!$C$15, $E$9, 100%, $G$9) + CHOOSE(CONTROL!$C$38, 0.0256, 0)</f>
        <v>27.8005</v>
      </c>
      <c r="C254" s="10">
        <f>25.6324 * CHOOSE(CONTROL!$C$15, $E$9, 100%, $G$9) + CHOOSE(CONTROL!$C$38, 0.0347, 0)</f>
        <v>25.667100000000001</v>
      </c>
      <c r="D254" s="10">
        <f>25.6246 * CHOOSE(CONTROL!$C$15, $E$9, 100%, $G$9) + CHOOSE(CONTROL!$C$38, 0.0347, 0)</f>
        <v>25.659300000000002</v>
      </c>
      <c r="E254" s="28">
        <f>27.6187 * CHOOSE(CONTROL!$C$15, $E$9, 100%, $G$9) + CHOOSE(CONTROL!$C$38, 0.0347, 0)</f>
        <v>27.653400000000001</v>
      </c>
      <c r="F254" s="27">
        <f>27.6187 * CHOOSE(CONTROL!$C$15, $E$9, 100%, $G$9) + CHOOSE(CONTROL!$C$38, 0.0256, 0)</f>
        <v>27.644300000000001</v>
      </c>
      <c r="G254" s="10">
        <f>25.6308 * CHOOSE(CONTROL!$C$15, $E$9, 100%, $G$9) + CHOOSE(CONTROL!$C$38, 0.0347, 0)</f>
        <v>25.665500000000002</v>
      </c>
      <c r="H254" s="10">
        <f>25.6308 * CHOOSE(CONTROL!$C$15, $E$9, 100%, $G$9) + CHOOSE(CONTROL!$C$38, 0.0347, 0)</f>
        <v>25.665500000000002</v>
      </c>
      <c r="I254" s="10">
        <f>25.6324 * CHOOSE(CONTROL!$C$15, $E$9, 100%, $G$9) + CHOOSE(CONTROL!$C$38, 0.0347, 0)</f>
        <v>25.667100000000001</v>
      </c>
      <c r="J254" s="26">
        <f>163.6207</f>
        <v>163.6207</v>
      </c>
    </row>
    <row r="255" spans="1:10" ht="15" x14ac:dyDescent="0.2">
      <c r="A255" s="16">
        <v>49035</v>
      </c>
      <c r="B255" s="10">
        <f>27.2798 * CHOOSE(CONTROL!$C$15, $E$9, 100%, $G$9) + CHOOSE(CONTROL!$C$38, 0.0256, 0)</f>
        <v>27.305400000000002</v>
      </c>
      <c r="C255" s="10">
        <f>25.1372 * CHOOSE(CONTROL!$C$15, $E$9, 100%, $G$9) + CHOOSE(CONTROL!$C$38, 0.0347, 0)</f>
        <v>25.171900000000001</v>
      </c>
      <c r="D255" s="10">
        <f>25.1294 * CHOOSE(CONTROL!$C$15, $E$9, 100%, $G$9) + CHOOSE(CONTROL!$C$38, 0.0347, 0)</f>
        <v>25.164100000000001</v>
      </c>
      <c r="E255" s="28">
        <f>27.1235 * CHOOSE(CONTROL!$C$15, $E$9, 100%, $G$9) + CHOOSE(CONTROL!$C$38, 0.0347, 0)</f>
        <v>27.158200000000001</v>
      </c>
      <c r="F255" s="27">
        <f>27.1235 * CHOOSE(CONTROL!$C$15, $E$9, 100%, $G$9) + CHOOSE(CONTROL!$C$38, 0.0256, 0)</f>
        <v>27.149100000000001</v>
      </c>
      <c r="G255" s="10">
        <f>25.1356 * CHOOSE(CONTROL!$C$15, $E$9, 100%, $G$9) + CHOOSE(CONTROL!$C$38, 0.0347, 0)</f>
        <v>25.170300000000001</v>
      </c>
      <c r="H255" s="10">
        <f>25.1356 * CHOOSE(CONTROL!$C$15, $E$9, 100%, $G$9) + CHOOSE(CONTROL!$C$38, 0.0347, 0)</f>
        <v>25.170300000000001</v>
      </c>
      <c r="I255" s="10">
        <f>25.1372 * CHOOSE(CONTROL!$C$15, $E$9, 100%, $G$9) + CHOOSE(CONTROL!$C$38, 0.0347, 0)</f>
        <v>25.171900000000001</v>
      </c>
      <c r="J255" s="26">
        <f>174.2438</f>
        <v>174.24379999999999</v>
      </c>
    </row>
    <row r="256" spans="1:10" ht="15" x14ac:dyDescent="0.2">
      <c r="A256" s="16">
        <v>49065</v>
      </c>
      <c r="B256" s="10">
        <f>26.7636 * CHOOSE(CONTROL!$C$15, $E$9, 100%, $G$9) + CHOOSE(CONTROL!$C$38, 0.0256, 0)</f>
        <v>26.789200000000001</v>
      </c>
      <c r="C256" s="10">
        <f>24.6211 * CHOOSE(CONTROL!$C$15, $E$9, 100%, $G$9) + CHOOSE(CONTROL!$C$38, 0.0347, 0)</f>
        <v>24.655799999999999</v>
      </c>
      <c r="D256" s="10">
        <f>24.6133 * CHOOSE(CONTROL!$C$15, $E$9, 100%, $G$9) + CHOOSE(CONTROL!$C$38, 0.0347, 0)</f>
        <v>24.648</v>
      </c>
      <c r="E256" s="28">
        <f>26.6074 * CHOOSE(CONTROL!$C$15, $E$9, 100%, $G$9) + CHOOSE(CONTROL!$C$38, 0.0347, 0)</f>
        <v>26.642099999999999</v>
      </c>
      <c r="F256" s="27">
        <f>26.6074 * CHOOSE(CONTROL!$C$15, $E$9, 100%, $G$9) + CHOOSE(CONTROL!$C$38, 0.0256, 0)</f>
        <v>26.632999999999999</v>
      </c>
      <c r="G256" s="10">
        <f>24.6195 * CHOOSE(CONTROL!$C$15, $E$9, 100%, $G$9) + CHOOSE(CONTROL!$C$38, 0.0347, 0)</f>
        <v>24.654199999999999</v>
      </c>
      <c r="H256" s="10">
        <f>24.6195 * CHOOSE(CONTROL!$C$15, $E$9, 100%, $G$9) + CHOOSE(CONTROL!$C$38, 0.0347, 0)</f>
        <v>24.654199999999999</v>
      </c>
      <c r="I256" s="10">
        <f>24.6211 * CHOOSE(CONTROL!$C$15, $E$9, 100%, $G$9) + CHOOSE(CONTROL!$C$38, 0.0347, 0)</f>
        <v>24.655799999999999</v>
      </c>
      <c r="J256" s="26">
        <f>180.0911</f>
        <v>180.09110000000001</v>
      </c>
    </row>
    <row r="257" spans="1:10" ht="15" x14ac:dyDescent="0.2">
      <c r="A257" s="16">
        <v>49096</v>
      </c>
      <c r="B257" s="10">
        <f>26.4018 * CHOOSE(CONTROL!$C$15, $E$9, 100%, $G$9) + CHOOSE(CONTROL!$C$38, 0.0256, 0)</f>
        <v>26.427400000000002</v>
      </c>
      <c r="C257" s="10">
        <f>24.2593 * CHOOSE(CONTROL!$C$15, $E$9, 100%, $G$9) + CHOOSE(CONTROL!$C$38, 0.0347, 0)</f>
        <v>24.294</v>
      </c>
      <c r="D257" s="10">
        <f>24.2514 * CHOOSE(CONTROL!$C$15, $E$9, 100%, $G$9) + CHOOSE(CONTROL!$C$38, 0.0347, 0)</f>
        <v>24.286100000000001</v>
      </c>
      <c r="E257" s="28">
        <f>26.2456 * CHOOSE(CONTROL!$C$15, $E$9, 100%, $G$9) + CHOOSE(CONTROL!$C$38, 0.0347, 0)</f>
        <v>26.2803</v>
      </c>
      <c r="F257" s="27">
        <f>26.2456 * CHOOSE(CONTROL!$C$15, $E$9, 100%, $G$9) + CHOOSE(CONTROL!$C$38, 0.0256, 0)</f>
        <v>26.2712</v>
      </c>
      <c r="G257" s="10">
        <f>24.2577 * CHOOSE(CONTROL!$C$15, $E$9, 100%, $G$9) + CHOOSE(CONTROL!$C$38, 0.0347, 0)</f>
        <v>24.292400000000001</v>
      </c>
      <c r="H257" s="10">
        <f>24.2577 * CHOOSE(CONTROL!$C$15, $E$9, 100%, $G$9) + CHOOSE(CONTROL!$C$38, 0.0347, 0)</f>
        <v>24.292400000000001</v>
      </c>
      <c r="I257" s="10">
        <f>24.2593 * CHOOSE(CONTROL!$C$15, $E$9, 100%, $G$9) + CHOOSE(CONTROL!$C$38, 0.0347, 0)</f>
        <v>24.294</v>
      </c>
      <c r="J257" s="26">
        <f>182.686</f>
        <v>182.68600000000001</v>
      </c>
    </row>
    <row r="258" spans="1:10" ht="15" x14ac:dyDescent="0.2">
      <c r="A258" s="16">
        <v>49126</v>
      </c>
      <c r="B258" s="10">
        <f>26.1953 * CHOOSE(CONTROL!$C$15, $E$9, 100%, $G$9) + CHOOSE(CONTROL!$C$38, 0.0256, 0)</f>
        <v>26.2209</v>
      </c>
      <c r="C258" s="10">
        <f>24.0528 * CHOOSE(CONTROL!$C$15, $E$9, 100%, $G$9) + CHOOSE(CONTROL!$C$38, 0.0347, 0)</f>
        <v>24.087500000000002</v>
      </c>
      <c r="D258" s="10">
        <f>24.045 * CHOOSE(CONTROL!$C$15, $E$9, 100%, $G$9) + CHOOSE(CONTROL!$C$38, 0.0347, 0)</f>
        <v>24.079700000000003</v>
      </c>
      <c r="E258" s="28">
        <f>26.0391 * CHOOSE(CONTROL!$C$15, $E$9, 100%, $G$9) + CHOOSE(CONTROL!$C$38, 0.0347, 0)</f>
        <v>26.073800000000002</v>
      </c>
      <c r="F258" s="27">
        <f>26.0391 * CHOOSE(CONTROL!$C$15, $E$9, 100%, $G$9) + CHOOSE(CONTROL!$C$38, 0.0256, 0)</f>
        <v>26.064700000000002</v>
      </c>
      <c r="G258" s="10">
        <f>24.0512 * CHOOSE(CONTROL!$C$15, $E$9, 100%, $G$9) + CHOOSE(CONTROL!$C$38, 0.0347, 0)</f>
        <v>24.085900000000002</v>
      </c>
      <c r="H258" s="10">
        <f>24.0512 * CHOOSE(CONTROL!$C$15, $E$9, 100%, $G$9) + CHOOSE(CONTROL!$C$38, 0.0347, 0)</f>
        <v>24.085900000000002</v>
      </c>
      <c r="I258" s="10">
        <f>24.0528 * CHOOSE(CONTROL!$C$15, $E$9, 100%, $G$9) + CHOOSE(CONTROL!$C$38, 0.0347, 0)</f>
        <v>24.087500000000002</v>
      </c>
      <c r="J258" s="26">
        <f>181.8316</f>
        <v>181.83160000000001</v>
      </c>
    </row>
    <row r="259" spans="1:10" ht="15" x14ac:dyDescent="0.2">
      <c r="A259" s="16">
        <v>49157</v>
      </c>
      <c r="B259" s="10">
        <f>26.2972 * CHOOSE(CONTROL!$C$15, $E$9, 100%, $G$9) + CHOOSE(CONTROL!$C$38, 0.0256, 0)</f>
        <v>26.322800000000001</v>
      </c>
      <c r="C259" s="10">
        <f>24.1547 * CHOOSE(CONTROL!$C$15, $E$9, 100%, $G$9) + CHOOSE(CONTROL!$C$38, 0.0347, 0)</f>
        <v>24.189399999999999</v>
      </c>
      <c r="D259" s="10">
        <f>24.1469 * CHOOSE(CONTROL!$C$15, $E$9, 100%, $G$9) + CHOOSE(CONTROL!$C$38, 0.0347, 0)</f>
        <v>24.1816</v>
      </c>
      <c r="E259" s="28">
        <f>26.141 * CHOOSE(CONTROL!$C$15, $E$9, 100%, $G$9) + CHOOSE(CONTROL!$C$38, 0.0347, 0)</f>
        <v>26.175699999999999</v>
      </c>
      <c r="F259" s="27">
        <f>26.141 * CHOOSE(CONTROL!$C$15, $E$9, 100%, $G$9) + CHOOSE(CONTROL!$C$38, 0.0256, 0)</f>
        <v>26.166599999999999</v>
      </c>
      <c r="G259" s="10">
        <f>24.1531 * CHOOSE(CONTROL!$C$15, $E$9, 100%, $G$9) + CHOOSE(CONTROL!$C$38, 0.0347, 0)</f>
        <v>24.187799999999999</v>
      </c>
      <c r="H259" s="10">
        <f>24.1531 * CHOOSE(CONTROL!$C$15, $E$9, 100%, $G$9) + CHOOSE(CONTROL!$C$38, 0.0347, 0)</f>
        <v>24.187799999999999</v>
      </c>
      <c r="I259" s="10">
        <f>24.1547 * CHOOSE(CONTROL!$C$15, $E$9, 100%, $G$9) + CHOOSE(CONTROL!$C$38, 0.0347, 0)</f>
        <v>24.189399999999999</v>
      </c>
      <c r="J259" s="26">
        <f>177.5986</f>
        <v>177.5986</v>
      </c>
    </row>
    <row r="260" spans="1:10" ht="15" x14ac:dyDescent="0.2">
      <c r="A260" s="16">
        <v>49188</v>
      </c>
      <c r="B260" s="10">
        <f>26.574 * CHOOSE(CONTROL!$C$15, $E$9, 100%, $G$9) + CHOOSE(CONTROL!$C$38, 0.0256, 0)</f>
        <v>26.599600000000002</v>
      </c>
      <c r="C260" s="10">
        <f>24.4315 * CHOOSE(CONTROL!$C$15, $E$9, 100%, $G$9) + CHOOSE(CONTROL!$C$38, 0.0347, 0)</f>
        <v>24.466200000000001</v>
      </c>
      <c r="D260" s="10">
        <f>24.4237 * CHOOSE(CONTROL!$C$15, $E$9, 100%, $G$9) + CHOOSE(CONTROL!$C$38, 0.0347, 0)</f>
        <v>24.458400000000001</v>
      </c>
      <c r="E260" s="28">
        <f>26.4178 * CHOOSE(CONTROL!$C$15, $E$9, 100%, $G$9) + CHOOSE(CONTROL!$C$38, 0.0347, 0)</f>
        <v>26.452500000000001</v>
      </c>
      <c r="F260" s="27">
        <f>26.4178 * CHOOSE(CONTROL!$C$15, $E$9, 100%, $G$9) + CHOOSE(CONTROL!$C$38, 0.0256, 0)</f>
        <v>26.4434</v>
      </c>
      <c r="G260" s="10">
        <f>24.4299 * CHOOSE(CONTROL!$C$15, $E$9, 100%, $G$9) + CHOOSE(CONTROL!$C$38, 0.0347, 0)</f>
        <v>24.464600000000001</v>
      </c>
      <c r="H260" s="10">
        <f>24.4299 * CHOOSE(CONTROL!$C$15, $E$9, 100%, $G$9) + CHOOSE(CONTROL!$C$38, 0.0347, 0)</f>
        <v>24.464600000000001</v>
      </c>
      <c r="I260" s="10">
        <f>24.4315 * CHOOSE(CONTROL!$C$15, $E$9, 100%, $G$9) + CHOOSE(CONTROL!$C$38, 0.0347, 0)</f>
        <v>24.466200000000001</v>
      </c>
      <c r="J260" s="26">
        <f>171.6956</f>
        <v>171.69560000000001</v>
      </c>
    </row>
    <row r="261" spans="1:10" ht="15" x14ac:dyDescent="0.2">
      <c r="A261" s="16">
        <v>49218</v>
      </c>
      <c r="B261" s="10">
        <f>26.8059 * CHOOSE(CONTROL!$C$15, $E$9, 100%, $G$9) + CHOOSE(CONTROL!$C$38, 0.0256, 0)</f>
        <v>26.831500000000002</v>
      </c>
      <c r="C261" s="10">
        <f>24.6633 * CHOOSE(CONTROL!$C$15, $E$9, 100%, $G$9) + CHOOSE(CONTROL!$C$38, 0.0347, 0)</f>
        <v>24.698</v>
      </c>
      <c r="D261" s="10">
        <f>24.6555 * CHOOSE(CONTROL!$C$15, $E$9, 100%, $G$9) + CHOOSE(CONTROL!$C$38, 0.0347, 0)</f>
        <v>24.690200000000001</v>
      </c>
      <c r="E261" s="28">
        <f>26.6496 * CHOOSE(CONTROL!$C$15, $E$9, 100%, $G$9) + CHOOSE(CONTROL!$C$38, 0.0347, 0)</f>
        <v>26.6843</v>
      </c>
      <c r="F261" s="27">
        <f>26.6496 * CHOOSE(CONTROL!$C$15, $E$9, 100%, $G$9) + CHOOSE(CONTROL!$C$38, 0.0256, 0)</f>
        <v>26.6752</v>
      </c>
      <c r="G261" s="10">
        <f>24.6617 * CHOOSE(CONTROL!$C$15, $E$9, 100%, $G$9) + CHOOSE(CONTROL!$C$38, 0.0347, 0)</f>
        <v>24.696400000000001</v>
      </c>
      <c r="H261" s="10">
        <f>24.6617 * CHOOSE(CONTROL!$C$15, $E$9, 100%, $G$9) + CHOOSE(CONTROL!$C$38, 0.0347, 0)</f>
        <v>24.696400000000001</v>
      </c>
      <c r="I261" s="10">
        <f>24.6633 * CHOOSE(CONTROL!$C$15, $E$9, 100%, $G$9) + CHOOSE(CONTROL!$C$38, 0.0347, 0)</f>
        <v>24.698</v>
      </c>
      <c r="J261" s="26">
        <f>165.7582</f>
        <v>165.75819999999999</v>
      </c>
    </row>
    <row r="262" spans="1:10" ht="15" x14ac:dyDescent="0.2">
      <c r="A262" s="16">
        <v>49249</v>
      </c>
      <c r="B262" s="10">
        <f>26.9993 * CHOOSE(CONTROL!$C$15, $E$9, 100%, $G$9) + CHOOSE(CONTROL!$C$38, 0.0256, 0)</f>
        <v>27.024900000000002</v>
      </c>
      <c r="C262" s="10">
        <f>24.8567 * CHOOSE(CONTROL!$C$15, $E$9, 100%, $G$9) + CHOOSE(CONTROL!$C$38, 0.0347, 0)</f>
        <v>24.891400000000001</v>
      </c>
      <c r="D262" s="10">
        <f>24.8489 * CHOOSE(CONTROL!$C$15, $E$9, 100%, $G$9) + CHOOSE(CONTROL!$C$38, 0.0347, 0)</f>
        <v>24.883600000000001</v>
      </c>
      <c r="E262" s="28">
        <f>26.843 * CHOOSE(CONTROL!$C$15, $E$9, 100%, $G$9) + CHOOSE(CONTROL!$C$38, 0.0347, 0)</f>
        <v>26.877700000000001</v>
      </c>
      <c r="F262" s="27">
        <f>26.843 * CHOOSE(CONTROL!$C$15, $E$9, 100%, $G$9) + CHOOSE(CONTROL!$C$38, 0.0256, 0)</f>
        <v>26.868600000000001</v>
      </c>
      <c r="G262" s="10">
        <f>24.8552 * CHOOSE(CONTROL!$C$15, $E$9, 100%, $G$9) + CHOOSE(CONTROL!$C$38, 0.0347, 0)</f>
        <v>24.889900000000001</v>
      </c>
      <c r="H262" s="10">
        <f>24.8552 * CHOOSE(CONTROL!$C$15, $E$9, 100%, $G$9) + CHOOSE(CONTROL!$C$38, 0.0347, 0)</f>
        <v>24.889900000000001</v>
      </c>
      <c r="I262" s="10">
        <f>24.8567 * CHOOSE(CONTROL!$C$15, $E$9, 100%, $G$9) + CHOOSE(CONTROL!$C$38, 0.0347, 0)</f>
        <v>24.891400000000001</v>
      </c>
      <c r="J262" s="26">
        <f>164.5771</f>
        <v>164.5771</v>
      </c>
    </row>
    <row r="263" spans="1:10" ht="15" x14ac:dyDescent="0.2">
      <c r="A263" s="16">
        <v>49279</v>
      </c>
      <c r="B263" s="10">
        <f>27.5954 * CHOOSE(CONTROL!$C$15, $E$9, 100%, $G$9) + CHOOSE(CONTROL!$C$38, 0.0256, 0)</f>
        <v>27.621000000000002</v>
      </c>
      <c r="C263" s="10">
        <f>25.4528 * CHOOSE(CONTROL!$C$15, $E$9, 100%, $G$9) + CHOOSE(CONTROL!$C$38, 0.0347, 0)</f>
        <v>25.487500000000001</v>
      </c>
      <c r="D263" s="10">
        <f>25.445 * CHOOSE(CONTROL!$C$15, $E$9, 100%, $G$9) + CHOOSE(CONTROL!$C$38, 0.0347, 0)</f>
        <v>25.479700000000001</v>
      </c>
      <c r="E263" s="28">
        <f>27.4391 * CHOOSE(CONTROL!$C$15, $E$9, 100%, $G$9) + CHOOSE(CONTROL!$C$38, 0.0347, 0)</f>
        <v>27.473800000000001</v>
      </c>
      <c r="F263" s="27">
        <f>27.4391 * CHOOSE(CONTROL!$C$15, $E$9, 100%, $G$9) + CHOOSE(CONTROL!$C$38, 0.0256, 0)</f>
        <v>27.464700000000001</v>
      </c>
      <c r="G263" s="10">
        <f>25.4512 * CHOOSE(CONTROL!$C$15, $E$9, 100%, $G$9) + CHOOSE(CONTROL!$C$38, 0.0347, 0)</f>
        <v>25.485900000000001</v>
      </c>
      <c r="H263" s="10">
        <f>25.4512 * CHOOSE(CONTROL!$C$15, $E$9, 100%, $G$9) + CHOOSE(CONTROL!$C$38, 0.0347, 0)</f>
        <v>25.485900000000001</v>
      </c>
      <c r="I263" s="10">
        <f>25.4528 * CHOOSE(CONTROL!$C$15, $E$9, 100%, $G$9) + CHOOSE(CONTROL!$C$38, 0.0347, 0)</f>
        <v>25.487500000000001</v>
      </c>
      <c r="J263" s="26">
        <f>159.6933</f>
        <v>159.69329999999999</v>
      </c>
    </row>
    <row r="264" spans="1:10" ht="15" x14ac:dyDescent="0.2">
      <c r="A264" s="16">
        <v>49310</v>
      </c>
      <c r="B264" s="10">
        <f>28.5329 * CHOOSE(CONTROL!$C$15, $E$9, 100%, $G$9) + CHOOSE(CONTROL!$C$38, 0.0256, 0)</f>
        <v>28.558500000000002</v>
      </c>
      <c r="C264" s="10">
        <f>26.3552 * CHOOSE(CONTROL!$C$15, $E$9, 100%, $G$9) + CHOOSE(CONTROL!$C$38, 0.0347, 0)</f>
        <v>26.389900000000001</v>
      </c>
      <c r="D264" s="10">
        <f>26.3474 * CHOOSE(CONTROL!$C$15, $E$9, 100%, $G$9) + CHOOSE(CONTROL!$C$38, 0.0347, 0)</f>
        <v>26.382100000000001</v>
      </c>
      <c r="E264" s="28">
        <f>28.3766 * CHOOSE(CONTROL!$C$15, $E$9, 100%, $G$9) + CHOOSE(CONTROL!$C$38, 0.0347, 0)</f>
        <v>28.411300000000001</v>
      </c>
      <c r="F264" s="27">
        <f>28.3766 * CHOOSE(CONTROL!$C$15, $E$9, 100%, $G$9) + CHOOSE(CONTROL!$C$38, 0.0256, 0)</f>
        <v>28.402200000000001</v>
      </c>
      <c r="G264" s="10">
        <f>26.3537 * CHOOSE(CONTROL!$C$15, $E$9, 100%, $G$9) + CHOOSE(CONTROL!$C$38, 0.0347, 0)</f>
        <v>26.388400000000001</v>
      </c>
      <c r="H264" s="10">
        <f>26.3537 * CHOOSE(CONTROL!$C$15, $E$9, 100%, $G$9) + CHOOSE(CONTROL!$C$38, 0.0347, 0)</f>
        <v>26.388400000000001</v>
      </c>
      <c r="I264" s="10">
        <f>26.3552 * CHOOSE(CONTROL!$C$15, $E$9, 100%, $G$9) + CHOOSE(CONTROL!$C$38, 0.0347, 0)</f>
        <v>26.389900000000001</v>
      </c>
      <c r="J264" s="26">
        <f>158.6236</f>
        <v>158.62360000000001</v>
      </c>
    </row>
    <row r="265" spans="1:10" ht="15" x14ac:dyDescent="0.2">
      <c r="A265" s="16">
        <v>49341</v>
      </c>
      <c r="B265" s="10">
        <f>28.7536 * CHOOSE(CONTROL!$C$15, $E$9, 100%, $G$9) + CHOOSE(CONTROL!$C$38, 0.0256, 0)</f>
        <v>28.779199999999999</v>
      </c>
      <c r="C265" s="10">
        <f>26.576 * CHOOSE(CONTROL!$C$15, $E$9, 100%, $G$9) + CHOOSE(CONTROL!$C$38, 0.0347, 0)</f>
        <v>26.610700000000001</v>
      </c>
      <c r="D265" s="10">
        <f>26.5682 * CHOOSE(CONTROL!$C$15, $E$9, 100%, $G$9) + CHOOSE(CONTROL!$C$38, 0.0347, 0)</f>
        <v>26.602900000000002</v>
      </c>
      <c r="E265" s="28">
        <f>28.5974 * CHOOSE(CONTROL!$C$15, $E$9, 100%, $G$9) + CHOOSE(CONTROL!$C$38, 0.0347, 0)</f>
        <v>28.632100000000001</v>
      </c>
      <c r="F265" s="27">
        <f>28.5974 * CHOOSE(CONTROL!$C$15, $E$9, 100%, $G$9) + CHOOSE(CONTROL!$C$38, 0.0256, 0)</f>
        <v>28.623000000000001</v>
      </c>
      <c r="G265" s="10">
        <f>26.5744 * CHOOSE(CONTROL!$C$15, $E$9, 100%, $G$9) + CHOOSE(CONTROL!$C$38, 0.0347, 0)</f>
        <v>26.609100000000002</v>
      </c>
      <c r="H265" s="10">
        <f>26.5744 * CHOOSE(CONTROL!$C$15, $E$9, 100%, $G$9) + CHOOSE(CONTROL!$C$38, 0.0347, 0)</f>
        <v>26.609100000000002</v>
      </c>
      <c r="I265" s="10">
        <f>26.576 * CHOOSE(CONTROL!$C$15, $E$9, 100%, $G$9) + CHOOSE(CONTROL!$C$38, 0.0347, 0)</f>
        <v>26.610700000000001</v>
      </c>
      <c r="J265" s="26">
        <f>158.1826</f>
        <v>158.18260000000001</v>
      </c>
    </row>
    <row r="266" spans="1:10" ht="15" x14ac:dyDescent="0.2">
      <c r="A266" s="16">
        <v>49369</v>
      </c>
      <c r="B266" s="10">
        <f>28.2426 * CHOOSE(CONTROL!$C$15, $E$9, 100%, $G$9) + CHOOSE(CONTROL!$C$38, 0.0256, 0)</f>
        <v>28.2682</v>
      </c>
      <c r="C266" s="10">
        <f>26.065 * CHOOSE(CONTROL!$C$15, $E$9, 100%, $G$9) + CHOOSE(CONTROL!$C$38, 0.0347, 0)</f>
        <v>26.099700000000002</v>
      </c>
      <c r="D266" s="10">
        <f>26.0571 * CHOOSE(CONTROL!$C$15, $E$9, 100%, $G$9) + CHOOSE(CONTROL!$C$38, 0.0347, 0)</f>
        <v>26.091799999999999</v>
      </c>
      <c r="E266" s="28">
        <f>28.0864 * CHOOSE(CONTROL!$C$15, $E$9, 100%, $G$9) + CHOOSE(CONTROL!$C$38, 0.0347, 0)</f>
        <v>28.121100000000002</v>
      </c>
      <c r="F266" s="27">
        <f>28.0864 * CHOOSE(CONTROL!$C$15, $E$9, 100%, $G$9) + CHOOSE(CONTROL!$C$38, 0.0256, 0)</f>
        <v>28.112000000000002</v>
      </c>
      <c r="G266" s="10">
        <f>26.0634 * CHOOSE(CONTROL!$C$15, $E$9, 100%, $G$9) + CHOOSE(CONTROL!$C$38, 0.0347, 0)</f>
        <v>26.098100000000002</v>
      </c>
      <c r="H266" s="10">
        <f>26.0634 * CHOOSE(CONTROL!$C$15, $E$9, 100%, $G$9) + CHOOSE(CONTROL!$C$38, 0.0347, 0)</f>
        <v>26.098100000000002</v>
      </c>
      <c r="I266" s="10">
        <f>26.065 * CHOOSE(CONTROL!$C$15, $E$9, 100%, $G$9) + CHOOSE(CONTROL!$C$38, 0.0347, 0)</f>
        <v>26.099700000000002</v>
      </c>
      <c r="J266" s="26">
        <f>166.5198</f>
        <v>166.5198</v>
      </c>
    </row>
    <row r="267" spans="1:10" ht="15" x14ac:dyDescent="0.2">
      <c r="A267" s="16">
        <v>49400</v>
      </c>
      <c r="B267" s="10">
        <f>27.7474 * CHOOSE(CONTROL!$C$15, $E$9, 100%, $G$9) + CHOOSE(CONTROL!$C$38, 0.0256, 0)</f>
        <v>27.773</v>
      </c>
      <c r="C267" s="10">
        <f>25.5698 * CHOOSE(CONTROL!$C$15, $E$9, 100%, $G$9) + CHOOSE(CONTROL!$C$38, 0.0347, 0)</f>
        <v>25.604500000000002</v>
      </c>
      <c r="D267" s="10">
        <f>25.562 * CHOOSE(CONTROL!$C$15, $E$9, 100%, $G$9) + CHOOSE(CONTROL!$C$38, 0.0347, 0)</f>
        <v>25.596700000000002</v>
      </c>
      <c r="E267" s="28">
        <f>27.5912 * CHOOSE(CONTROL!$C$15, $E$9, 100%, $G$9) + CHOOSE(CONTROL!$C$38, 0.0347, 0)</f>
        <v>27.625900000000001</v>
      </c>
      <c r="F267" s="27">
        <f>27.5912 * CHOOSE(CONTROL!$C$15, $E$9, 100%, $G$9) + CHOOSE(CONTROL!$C$38, 0.0256, 0)</f>
        <v>27.616800000000001</v>
      </c>
      <c r="G267" s="10">
        <f>25.5682 * CHOOSE(CONTROL!$C$15, $E$9, 100%, $G$9) + CHOOSE(CONTROL!$C$38, 0.0347, 0)</f>
        <v>25.602900000000002</v>
      </c>
      <c r="H267" s="10">
        <f>25.5682 * CHOOSE(CONTROL!$C$15, $E$9, 100%, $G$9) + CHOOSE(CONTROL!$C$38, 0.0347, 0)</f>
        <v>25.602900000000002</v>
      </c>
      <c r="I267" s="10">
        <f>25.5698 * CHOOSE(CONTROL!$C$15, $E$9, 100%, $G$9) + CHOOSE(CONTROL!$C$38, 0.0347, 0)</f>
        <v>25.604500000000002</v>
      </c>
      <c r="J267" s="26">
        <f>177.3311</f>
        <v>177.33109999999999</v>
      </c>
    </row>
    <row r="268" spans="1:10" ht="15" x14ac:dyDescent="0.2">
      <c r="A268" s="16">
        <v>49430</v>
      </c>
      <c r="B268" s="10">
        <f>27.2313 * CHOOSE(CONTROL!$C$15, $E$9, 100%, $G$9) + CHOOSE(CONTROL!$C$38, 0.0256, 0)</f>
        <v>27.256900000000002</v>
      </c>
      <c r="C268" s="10">
        <f>25.0537 * CHOOSE(CONTROL!$C$15, $E$9, 100%, $G$9) + CHOOSE(CONTROL!$C$38, 0.0347, 0)</f>
        <v>25.0884</v>
      </c>
      <c r="D268" s="10">
        <f>25.0459 * CHOOSE(CONTROL!$C$15, $E$9, 100%, $G$9) + CHOOSE(CONTROL!$C$38, 0.0347, 0)</f>
        <v>25.0806</v>
      </c>
      <c r="E268" s="28">
        <f>27.0751 * CHOOSE(CONTROL!$C$15, $E$9, 100%, $G$9) + CHOOSE(CONTROL!$C$38, 0.0347, 0)</f>
        <v>27.1098</v>
      </c>
      <c r="F268" s="27">
        <f>27.0751 * CHOOSE(CONTROL!$C$15, $E$9, 100%, $G$9) + CHOOSE(CONTROL!$C$38, 0.0256, 0)</f>
        <v>27.1007</v>
      </c>
      <c r="G268" s="10">
        <f>25.0521 * CHOOSE(CONTROL!$C$15, $E$9, 100%, $G$9) + CHOOSE(CONTROL!$C$38, 0.0347, 0)</f>
        <v>25.0868</v>
      </c>
      <c r="H268" s="10">
        <f>25.0521 * CHOOSE(CONTROL!$C$15, $E$9, 100%, $G$9) + CHOOSE(CONTROL!$C$38, 0.0347, 0)</f>
        <v>25.0868</v>
      </c>
      <c r="I268" s="10">
        <f>25.0537 * CHOOSE(CONTROL!$C$15, $E$9, 100%, $G$9) + CHOOSE(CONTROL!$C$38, 0.0347, 0)</f>
        <v>25.0884</v>
      </c>
      <c r="J268" s="26">
        <f>183.2819</f>
        <v>183.28190000000001</v>
      </c>
    </row>
    <row r="269" spans="1:10" ht="15" x14ac:dyDescent="0.2">
      <c r="A269" s="15">
        <v>49461</v>
      </c>
      <c r="B269" s="10">
        <f>26.8695 * CHOOSE(CONTROL!$C$15, $E$9, 100%, $G$9) + CHOOSE(CONTROL!$C$38, 0.0256, 0)</f>
        <v>26.895099999999999</v>
      </c>
      <c r="C269" s="10">
        <f>24.6918 * CHOOSE(CONTROL!$C$15, $E$9, 100%, $G$9) + CHOOSE(CONTROL!$C$38, 0.0347, 0)</f>
        <v>24.726500000000001</v>
      </c>
      <c r="D269" s="10">
        <f>24.684 * CHOOSE(CONTROL!$C$15, $E$9, 100%, $G$9) + CHOOSE(CONTROL!$C$38, 0.0347, 0)</f>
        <v>24.718700000000002</v>
      </c>
      <c r="E269" s="28">
        <f>26.7132 * CHOOSE(CONTROL!$C$15, $E$9, 100%, $G$9) + CHOOSE(CONTROL!$C$38, 0.0347, 0)</f>
        <v>26.747900000000001</v>
      </c>
      <c r="F269" s="27">
        <f>26.7132 * CHOOSE(CONTROL!$C$15, $E$9, 100%, $G$9) + CHOOSE(CONTROL!$C$38, 0.0256, 0)</f>
        <v>26.738800000000001</v>
      </c>
      <c r="G269" s="10">
        <f>24.6903 * CHOOSE(CONTROL!$C$15, $E$9, 100%, $G$9) + CHOOSE(CONTROL!$C$38, 0.0347, 0)</f>
        <v>24.725000000000001</v>
      </c>
      <c r="H269" s="10">
        <f>24.6903 * CHOOSE(CONTROL!$C$15, $E$9, 100%, $G$9) + CHOOSE(CONTROL!$C$38, 0.0347, 0)</f>
        <v>24.725000000000001</v>
      </c>
      <c r="I269" s="10">
        <f>24.6918 * CHOOSE(CONTROL!$C$15, $E$9, 100%, $G$9) + CHOOSE(CONTROL!$C$38, 0.0347, 0)</f>
        <v>24.726500000000001</v>
      </c>
      <c r="J269" s="26">
        <f>185.9228</f>
        <v>185.9228</v>
      </c>
    </row>
    <row r="270" spans="1:10" ht="15" x14ac:dyDescent="0.2">
      <c r="A270" s="15">
        <v>49491</v>
      </c>
      <c r="B270" s="10">
        <f>26.663 * CHOOSE(CONTROL!$C$15, $E$9, 100%, $G$9) + CHOOSE(CONTROL!$C$38, 0.0256, 0)</f>
        <v>26.688600000000001</v>
      </c>
      <c r="C270" s="10">
        <f>24.4853 * CHOOSE(CONTROL!$C$15, $E$9, 100%, $G$9) + CHOOSE(CONTROL!$C$38, 0.0347, 0)</f>
        <v>24.52</v>
      </c>
      <c r="D270" s="10">
        <f>24.4775 * CHOOSE(CONTROL!$C$15, $E$9, 100%, $G$9) + CHOOSE(CONTROL!$C$38, 0.0347, 0)</f>
        <v>24.5122</v>
      </c>
      <c r="E270" s="28">
        <f>26.5067 * CHOOSE(CONTROL!$C$15, $E$9, 100%, $G$9) + CHOOSE(CONTROL!$C$38, 0.0347, 0)</f>
        <v>26.541399999999999</v>
      </c>
      <c r="F270" s="27">
        <f>26.5067 * CHOOSE(CONTROL!$C$15, $E$9, 100%, $G$9) + CHOOSE(CONTROL!$C$38, 0.0256, 0)</f>
        <v>26.532299999999999</v>
      </c>
      <c r="G270" s="10">
        <f>24.4838 * CHOOSE(CONTROL!$C$15, $E$9, 100%, $G$9) + CHOOSE(CONTROL!$C$38, 0.0347, 0)</f>
        <v>24.5185</v>
      </c>
      <c r="H270" s="10">
        <f>24.4838 * CHOOSE(CONTROL!$C$15, $E$9, 100%, $G$9) + CHOOSE(CONTROL!$C$38, 0.0347, 0)</f>
        <v>24.5185</v>
      </c>
      <c r="I270" s="10">
        <f>24.4853 * CHOOSE(CONTROL!$C$15, $E$9, 100%, $G$9) + CHOOSE(CONTROL!$C$38, 0.0347, 0)</f>
        <v>24.52</v>
      </c>
      <c r="J270" s="26">
        <f>185.0533</f>
        <v>185.05330000000001</v>
      </c>
    </row>
    <row r="271" spans="1:10" ht="15" x14ac:dyDescent="0.2">
      <c r="A271" s="15">
        <v>49522</v>
      </c>
      <c r="B271" s="10">
        <f>26.7649 * CHOOSE(CONTROL!$C$15, $E$9, 100%, $G$9) + CHOOSE(CONTROL!$C$38, 0.0256, 0)</f>
        <v>26.790500000000002</v>
      </c>
      <c r="C271" s="10">
        <f>24.5873 * CHOOSE(CONTROL!$C$15, $E$9, 100%, $G$9) + CHOOSE(CONTROL!$C$38, 0.0347, 0)</f>
        <v>24.622</v>
      </c>
      <c r="D271" s="10">
        <f>24.5794 * CHOOSE(CONTROL!$C$15, $E$9, 100%, $G$9) + CHOOSE(CONTROL!$C$38, 0.0347, 0)</f>
        <v>24.614100000000001</v>
      </c>
      <c r="E271" s="28">
        <f>26.6087 * CHOOSE(CONTROL!$C$15, $E$9, 100%, $G$9) + CHOOSE(CONTROL!$C$38, 0.0347, 0)</f>
        <v>26.6434</v>
      </c>
      <c r="F271" s="27">
        <f>26.6087 * CHOOSE(CONTROL!$C$15, $E$9, 100%, $G$9) + CHOOSE(CONTROL!$C$38, 0.0256, 0)</f>
        <v>26.6343</v>
      </c>
      <c r="G271" s="10">
        <f>24.5857 * CHOOSE(CONTROL!$C$15, $E$9, 100%, $G$9) + CHOOSE(CONTROL!$C$38, 0.0347, 0)</f>
        <v>24.6204</v>
      </c>
      <c r="H271" s="10">
        <f>24.5857 * CHOOSE(CONTROL!$C$15, $E$9, 100%, $G$9) + CHOOSE(CONTROL!$C$38, 0.0347, 0)</f>
        <v>24.6204</v>
      </c>
      <c r="I271" s="10">
        <f>24.5873 * CHOOSE(CONTROL!$C$15, $E$9, 100%, $G$9) + CHOOSE(CONTROL!$C$38, 0.0347, 0)</f>
        <v>24.622</v>
      </c>
      <c r="J271" s="26">
        <f>180.7454</f>
        <v>180.74539999999999</v>
      </c>
    </row>
    <row r="272" spans="1:10" ht="15" x14ac:dyDescent="0.2">
      <c r="A272" s="15">
        <v>49553</v>
      </c>
      <c r="B272" s="10">
        <f>27.0417 * CHOOSE(CONTROL!$C$15, $E$9, 100%, $G$9) + CHOOSE(CONTROL!$C$38, 0.0256, 0)</f>
        <v>27.067299999999999</v>
      </c>
      <c r="C272" s="10">
        <f>24.8641 * CHOOSE(CONTROL!$C$15, $E$9, 100%, $G$9) + CHOOSE(CONTROL!$C$38, 0.0347, 0)</f>
        <v>24.898800000000001</v>
      </c>
      <c r="D272" s="10">
        <f>24.8562 * CHOOSE(CONTROL!$C$15, $E$9, 100%, $G$9) + CHOOSE(CONTROL!$C$38, 0.0347, 0)</f>
        <v>24.890900000000002</v>
      </c>
      <c r="E272" s="28">
        <f>26.8854 * CHOOSE(CONTROL!$C$15, $E$9, 100%, $G$9) + CHOOSE(CONTROL!$C$38, 0.0347, 0)</f>
        <v>26.920100000000001</v>
      </c>
      <c r="F272" s="27">
        <f>26.8854 * CHOOSE(CONTROL!$C$15, $E$9, 100%, $G$9) + CHOOSE(CONTROL!$C$38, 0.0256, 0)</f>
        <v>26.911000000000001</v>
      </c>
      <c r="G272" s="10">
        <f>24.8625 * CHOOSE(CONTROL!$C$15, $E$9, 100%, $G$9) + CHOOSE(CONTROL!$C$38, 0.0347, 0)</f>
        <v>24.897200000000002</v>
      </c>
      <c r="H272" s="10">
        <f>24.8625 * CHOOSE(CONTROL!$C$15, $E$9, 100%, $G$9) + CHOOSE(CONTROL!$C$38, 0.0347, 0)</f>
        <v>24.897200000000002</v>
      </c>
      <c r="I272" s="10">
        <f>24.8641 * CHOOSE(CONTROL!$C$15, $E$9, 100%, $G$9) + CHOOSE(CONTROL!$C$38, 0.0347, 0)</f>
        <v>24.898800000000001</v>
      </c>
      <c r="J272" s="26">
        <f>174.7377</f>
        <v>174.73769999999999</v>
      </c>
    </row>
    <row r="273" spans="1:10" ht="15" x14ac:dyDescent="0.2">
      <c r="A273" s="15">
        <v>49583</v>
      </c>
      <c r="B273" s="10">
        <f>27.2735 * CHOOSE(CONTROL!$C$15, $E$9, 100%, $G$9) + CHOOSE(CONTROL!$C$38, 0.0256, 0)</f>
        <v>27.299099999999999</v>
      </c>
      <c r="C273" s="10">
        <f>25.0959 * CHOOSE(CONTROL!$C$15, $E$9, 100%, $G$9) + CHOOSE(CONTROL!$C$38, 0.0347, 0)</f>
        <v>25.130600000000001</v>
      </c>
      <c r="D273" s="10">
        <f>25.0881 * CHOOSE(CONTROL!$C$15, $E$9, 100%, $G$9) + CHOOSE(CONTROL!$C$38, 0.0347, 0)</f>
        <v>25.122800000000002</v>
      </c>
      <c r="E273" s="28">
        <f>27.1173 * CHOOSE(CONTROL!$C$15, $E$9, 100%, $G$9) + CHOOSE(CONTROL!$C$38, 0.0347, 0)</f>
        <v>27.152000000000001</v>
      </c>
      <c r="F273" s="27">
        <f>27.1173 * CHOOSE(CONTROL!$C$15, $E$9, 100%, $G$9) + CHOOSE(CONTROL!$C$38, 0.0256, 0)</f>
        <v>27.142900000000001</v>
      </c>
      <c r="G273" s="10">
        <f>25.0943 * CHOOSE(CONTROL!$C$15, $E$9, 100%, $G$9) + CHOOSE(CONTROL!$C$38, 0.0347, 0)</f>
        <v>25.129000000000001</v>
      </c>
      <c r="H273" s="10">
        <f>25.0943 * CHOOSE(CONTROL!$C$15, $E$9, 100%, $G$9) + CHOOSE(CONTROL!$C$38, 0.0347, 0)</f>
        <v>25.129000000000001</v>
      </c>
      <c r="I273" s="10">
        <f>25.0959 * CHOOSE(CONTROL!$C$15, $E$9, 100%, $G$9) + CHOOSE(CONTROL!$C$38, 0.0347, 0)</f>
        <v>25.130600000000001</v>
      </c>
      <c r="J273" s="26">
        <f>168.6951</f>
        <v>168.6951</v>
      </c>
    </row>
    <row r="274" spans="1:10" ht="15" x14ac:dyDescent="0.2">
      <c r="A274" s="15">
        <v>49614</v>
      </c>
      <c r="B274" s="10">
        <f>27.467 * CHOOSE(CONTROL!$C$15, $E$9, 100%, $G$9) + CHOOSE(CONTROL!$C$38, 0.0256, 0)</f>
        <v>27.492599999999999</v>
      </c>
      <c r="C274" s="10">
        <f>25.2893 * CHOOSE(CONTROL!$C$15, $E$9, 100%, $G$9) + CHOOSE(CONTROL!$C$38, 0.0347, 0)</f>
        <v>25.324000000000002</v>
      </c>
      <c r="D274" s="10">
        <f>25.2815 * CHOOSE(CONTROL!$C$15, $E$9, 100%, $G$9) + CHOOSE(CONTROL!$C$38, 0.0347, 0)</f>
        <v>25.316200000000002</v>
      </c>
      <c r="E274" s="28">
        <f>27.3107 * CHOOSE(CONTROL!$C$15, $E$9, 100%, $G$9) + CHOOSE(CONTROL!$C$38, 0.0347, 0)</f>
        <v>27.345400000000001</v>
      </c>
      <c r="F274" s="27">
        <f>27.3107 * CHOOSE(CONTROL!$C$15, $E$9, 100%, $G$9) + CHOOSE(CONTROL!$C$38, 0.0256, 0)</f>
        <v>27.336300000000001</v>
      </c>
      <c r="G274" s="10">
        <f>25.2878 * CHOOSE(CONTROL!$C$15, $E$9, 100%, $G$9) + CHOOSE(CONTROL!$C$38, 0.0347, 0)</f>
        <v>25.322500000000002</v>
      </c>
      <c r="H274" s="10">
        <f>25.2878 * CHOOSE(CONTROL!$C$15, $E$9, 100%, $G$9) + CHOOSE(CONTROL!$C$38, 0.0347, 0)</f>
        <v>25.322500000000002</v>
      </c>
      <c r="I274" s="10">
        <f>25.2893 * CHOOSE(CONTROL!$C$15, $E$9, 100%, $G$9) + CHOOSE(CONTROL!$C$38, 0.0347, 0)</f>
        <v>25.324000000000002</v>
      </c>
      <c r="J274" s="26">
        <f>167.4931</f>
        <v>167.4931</v>
      </c>
    </row>
    <row r="275" spans="1:10" ht="15" x14ac:dyDescent="0.2">
      <c r="A275" s="15">
        <v>49644</v>
      </c>
      <c r="B275" s="10">
        <f>28.063 * CHOOSE(CONTROL!$C$15, $E$9, 100%, $G$9) + CHOOSE(CONTROL!$C$38, 0.0256, 0)</f>
        <v>28.0886</v>
      </c>
      <c r="C275" s="10">
        <f>25.8854 * CHOOSE(CONTROL!$C$15, $E$9, 100%, $G$9) + CHOOSE(CONTROL!$C$38, 0.0347, 0)</f>
        <v>25.920100000000001</v>
      </c>
      <c r="D275" s="10">
        <f>25.8776 * CHOOSE(CONTROL!$C$15, $E$9, 100%, $G$9) + CHOOSE(CONTROL!$C$38, 0.0347, 0)</f>
        <v>25.912300000000002</v>
      </c>
      <c r="E275" s="28">
        <f>27.9068 * CHOOSE(CONTROL!$C$15, $E$9, 100%, $G$9) + CHOOSE(CONTROL!$C$38, 0.0347, 0)</f>
        <v>27.941500000000001</v>
      </c>
      <c r="F275" s="27">
        <f>27.9068 * CHOOSE(CONTROL!$C$15, $E$9, 100%, $G$9) + CHOOSE(CONTROL!$C$38, 0.0256, 0)</f>
        <v>27.932400000000001</v>
      </c>
      <c r="G275" s="10">
        <f>25.8838 * CHOOSE(CONTROL!$C$15, $E$9, 100%, $G$9) + CHOOSE(CONTROL!$C$38, 0.0347, 0)</f>
        <v>25.918500000000002</v>
      </c>
      <c r="H275" s="10">
        <f>25.8838 * CHOOSE(CONTROL!$C$15, $E$9, 100%, $G$9) + CHOOSE(CONTROL!$C$38, 0.0347, 0)</f>
        <v>25.918500000000002</v>
      </c>
      <c r="I275" s="10">
        <f>25.8854 * CHOOSE(CONTROL!$C$15, $E$9, 100%, $G$9) + CHOOSE(CONTROL!$C$38, 0.0347, 0)</f>
        <v>25.920100000000001</v>
      </c>
      <c r="J275" s="26">
        <f>162.5227</f>
        <v>162.52269999999999</v>
      </c>
    </row>
    <row r="276" spans="1:10" ht="15" x14ac:dyDescent="0.2">
      <c r="A276" s="15">
        <v>49675</v>
      </c>
      <c r="B276" s="10">
        <f>29.0088 * CHOOSE(CONTROL!$C$15, $E$9, 100%, $G$9) + CHOOSE(CONTROL!$C$38, 0.0256, 0)</f>
        <v>29.034400000000002</v>
      </c>
      <c r="C276" s="10">
        <f>26.7954 * CHOOSE(CONTROL!$C$15, $E$9, 100%, $G$9) + CHOOSE(CONTROL!$C$38, 0.0347, 0)</f>
        <v>26.830100000000002</v>
      </c>
      <c r="D276" s="10">
        <f>26.7876 * CHOOSE(CONTROL!$C$15, $E$9, 100%, $G$9) + CHOOSE(CONTROL!$C$38, 0.0347, 0)</f>
        <v>26.822300000000002</v>
      </c>
      <c r="E276" s="28">
        <f>28.8526 * CHOOSE(CONTROL!$C$15, $E$9, 100%, $G$9) + CHOOSE(CONTROL!$C$38, 0.0347, 0)</f>
        <v>28.8873</v>
      </c>
      <c r="F276" s="27">
        <f>28.8526 * CHOOSE(CONTROL!$C$15, $E$9, 100%, $G$9) + CHOOSE(CONTROL!$C$38, 0.0256, 0)</f>
        <v>28.8782</v>
      </c>
      <c r="G276" s="10">
        <f>26.7939 * CHOOSE(CONTROL!$C$15, $E$9, 100%, $G$9) + CHOOSE(CONTROL!$C$38, 0.0347, 0)</f>
        <v>26.828600000000002</v>
      </c>
      <c r="H276" s="10">
        <f>26.7939 * CHOOSE(CONTROL!$C$15, $E$9, 100%, $G$9) + CHOOSE(CONTROL!$C$38, 0.0347, 0)</f>
        <v>26.828600000000002</v>
      </c>
      <c r="I276" s="10">
        <f>26.7954 * CHOOSE(CONTROL!$C$15, $E$9, 100%, $G$9) + CHOOSE(CONTROL!$C$38, 0.0347, 0)</f>
        <v>26.830100000000002</v>
      </c>
      <c r="J276" s="26">
        <f>161.4341</f>
        <v>161.4341</v>
      </c>
    </row>
    <row r="277" spans="1:10" ht="15" x14ac:dyDescent="0.2">
      <c r="A277" s="15">
        <v>49706</v>
      </c>
      <c r="B277" s="10">
        <f>29.2296 * CHOOSE(CONTROL!$C$15, $E$9, 100%, $G$9) + CHOOSE(CONTROL!$C$38, 0.0256, 0)</f>
        <v>29.255200000000002</v>
      </c>
      <c r="C277" s="10">
        <f>27.0162 * CHOOSE(CONTROL!$C$15, $E$9, 100%, $G$9) + CHOOSE(CONTROL!$C$38, 0.0347, 0)</f>
        <v>27.050900000000002</v>
      </c>
      <c r="D277" s="10">
        <f>27.0084 * CHOOSE(CONTROL!$C$15, $E$9, 100%, $G$9) + CHOOSE(CONTROL!$C$38, 0.0347, 0)</f>
        <v>27.043100000000003</v>
      </c>
      <c r="E277" s="28">
        <f>29.0733 * CHOOSE(CONTROL!$C$15, $E$9, 100%, $G$9) + CHOOSE(CONTROL!$C$38, 0.0347, 0)</f>
        <v>29.108000000000001</v>
      </c>
      <c r="F277" s="27">
        <f>29.0733 * CHOOSE(CONTROL!$C$15, $E$9, 100%, $G$9) + CHOOSE(CONTROL!$C$38, 0.0256, 0)</f>
        <v>29.0989</v>
      </c>
      <c r="G277" s="10">
        <f>27.0146 * CHOOSE(CONTROL!$C$15, $E$9, 100%, $G$9) + CHOOSE(CONTROL!$C$38, 0.0347, 0)</f>
        <v>27.049300000000002</v>
      </c>
      <c r="H277" s="10">
        <f>27.0146 * CHOOSE(CONTROL!$C$15, $E$9, 100%, $G$9) + CHOOSE(CONTROL!$C$38, 0.0347, 0)</f>
        <v>27.049300000000002</v>
      </c>
      <c r="I277" s="10">
        <f>27.0162 * CHOOSE(CONTROL!$C$15, $E$9, 100%, $G$9) + CHOOSE(CONTROL!$C$38, 0.0347, 0)</f>
        <v>27.050900000000002</v>
      </c>
      <c r="J277" s="26">
        <f>160.9853</f>
        <v>160.9853</v>
      </c>
    </row>
    <row r="278" spans="1:10" ht="15" x14ac:dyDescent="0.2">
      <c r="A278" s="15">
        <v>49735</v>
      </c>
      <c r="B278" s="10">
        <f>28.7185 * CHOOSE(CONTROL!$C$15, $E$9, 100%, $G$9) + CHOOSE(CONTROL!$C$38, 0.0256, 0)</f>
        <v>28.7441</v>
      </c>
      <c r="C278" s="10">
        <f>26.5052 * CHOOSE(CONTROL!$C$15, $E$9, 100%, $G$9) + CHOOSE(CONTROL!$C$38, 0.0347, 0)</f>
        <v>26.539899999999999</v>
      </c>
      <c r="D278" s="10">
        <f>26.4974 * CHOOSE(CONTROL!$C$15, $E$9, 100%, $G$9) + CHOOSE(CONTROL!$C$38, 0.0347, 0)</f>
        <v>26.5321</v>
      </c>
      <c r="E278" s="28">
        <f>28.5623 * CHOOSE(CONTROL!$C$15, $E$9, 100%, $G$9) + CHOOSE(CONTROL!$C$38, 0.0347, 0)</f>
        <v>28.597000000000001</v>
      </c>
      <c r="F278" s="27">
        <f>28.5623 * CHOOSE(CONTROL!$C$15, $E$9, 100%, $G$9) + CHOOSE(CONTROL!$C$38, 0.0256, 0)</f>
        <v>28.587900000000001</v>
      </c>
      <c r="G278" s="10">
        <f>26.5036 * CHOOSE(CONTROL!$C$15, $E$9, 100%, $G$9) + CHOOSE(CONTROL!$C$38, 0.0347, 0)</f>
        <v>26.5383</v>
      </c>
      <c r="H278" s="10">
        <f>26.5036 * CHOOSE(CONTROL!$C$15, $E$9, 100%, $G$9) + CHOOSE(CONTROL!$C$38, 0.0347, 0)</f>
        <v>26.5383</v>
      </c>
      <c r="I278" s="10">
        <f>26.5052 * CHOOSE(CONTROL!$C$15, $E$9, 100%, $G$9) + CHOOSE(CONTROL!$C$38, 0.0347, 0)</f>
        <v>26.539899999999999</v>
      </c>
      <c r="J278" s="26">
        <f>169.4702</f>
        <v>169.47020000000001</v>
      </c>
    </row>
    <row r="279" spans="1:10" ht="15" x14ac:dyDescent="0.2">
      <c r="A279" s="15">
        <v>49766</v>
      </c>
      <c r="B279" s="10">
        <f>28.2234 * CHOOSE(CONTROL!$C$15, $E$9, 100%, $G$9) + CHOOSE(CONTROL!$C$38, 0.0256, 0)</f>
        <v>28.249000000000002</v>
      </c>
      <c r="C279" s="10">
        <f>26.01 * CHOOSE(CONTROL!$C$15, $E$9, 100%, $G$9) + CHOOSE(CONTROL!$C$38, 0.0347, 0)</f>
        <v>26.044700000000002</v>
      </c>
      <c r="D279" s="10">
        <f>26.0022 * CHOOSE(CONTROL!$C$15, $E$9, 100%, $G$9) + CHOOSE(CONTROL!$C$38, 0.0347, 0)</f>
        <v>26.036899999999999</v>
      </c>
      <c r="E279" s="28">
        <f>28.0671 * CHOOSE(CONTROL!$C$15, $E$9, 100%, $G$9) + CHOOSE(CONTROL!$C$38, 0.0347, 0)</f>
        <v>28.101800000000001</v>
      </c>
      <c r="F279" s="27">
        <f>28.0671 * CHOOSE(CONTROL!$C$15, $E$9, 100%, $G$9) + CHOOSE(CONTROL!$C$38, 0.0256, 0)</f>
        <v>28.092700000000001</v>
      </c>
      <c r="G279" s="10">
        <f>26.0084 * CHOOSE(CONTROL!$C$15, $E$9, 100%, $G$9) + CHOOSE(CONTROL!$C$38, 0.0347, 0)</f>
        <v>26.043100000000003</v>
      </c>
      <c r="H279" s="10">
        <f>26.0084 * CHOOSE(CONTROL!$C$15, $E$9, 100%, $G$9) + CHOOSE(CONTROL!$C$38, 0.0347, 0)</f>
        <v>26.043100000000003</v>
      </c>
      <c r="I279" s="10">
        <f>26.01 * CHOOSE(CONTROL!$C$15, $E$9, 100%, $G$9) + CHOOSE(CONTROL!$C$38, 0.0347, 0)</f>
        <v>26.044700000000002</v>
      </c>
      <c r="J279" s="26">
        <f>180.473</f>
        <v>180.47300000000001</v>
      </c>
    </row>
    <row r="280" spans="1:10" ht="15" x14ac:dyDescent="0.2">
      <c r="A280" s="15">
        <v>49796</v>
      </c>
      <c r="B280" s="10">
        <f>27.7072 * CHOOSE(CONTROL!$C$15, $E$9, 100%, $G$9) + CHOOSE(CONTROL!$C$38, 0.0256, 0)</f>
        <v>27.732800000000001</v>
      </c>
      <c r="C280" s="10">
        <f>25.4939 * CHOOSE(CONTROL!$C$15, $E$9, 100%, $G$9) + CHOOSE(CONTROL!$C$38, 0.0347, 0)</f>
        <v>25.528600000000001</v>
      </c>
      <c r="D280" s="10">
        <f>25.4861 * CHOOSE(CONTROL!$C$15, $E$9, 100%, $G$9) + CHOOSE(CONTROL!$C$38, 0.0347, 0)</f>
        <v>25.520800000000001</v>
      </c>
      <c r="E280" s="28">
        <f>27.551 * CHOOSE(CONTROL!$C$15, $E$9, 100%, $G$9) + CHOOSE(CONTROL!$C$38, 0.0347, 0)</f>
        <v>27.585699999999999</v>
      </c>
      <c r="F280" s="27">
        <f>27.551 * CHOOSE(CONTROL!$C$15, $E$9, 100%, $G$9) + CHOOSE(CONTROL!$C$38, 0.0256, 0)</f>
        <v>27.576599999999999</v>
      </c>
      <c r="G280" s="10">
        <f>25.4923 * CHOOSE(CONTROL!$C$15, $E$9, 100%, $G$9) + CHOOSE(CONTROL!$C$38, 0.0347, 0)</f>
        <v>25.527000000000001</v>
      </c>
      <c r="H280" s="10">
        <f>25.4923 * CHOOSE(CONTROL!$C$15, $E$9, 100%, $G$9) + CHOOSE(CONTROL!$C$38, 0.0347, 0)</f>
        <v>25.527000000000001</v>
      </c>
      <c r="I280" s="10">
        <f>25.4939 * CHOOSE(CONTROL!$C$15, $E$9, 100%, $G$9) + CHOOSE(CONTROL!$C$38, 0.0347, 0)</f>
        <v>25.528600000000001</v>
      </c>
      <c r="J280" s="26">
        <f>186.5293</f>
        <v>186.52930000000001</v>
      </c>
    </row>
    <row r="281" spans="1:10" ht="15" x14ac:dyDescent="0.2">
      <c r="A281" s="15">
        <v>49827</v>
      </c>
      <c r="B281" s="10">
        <f>27.3454 * CHOOSE(CONTROL!$C$15, $E$9, 100%, $G$9) + CHOOSE(CONTROL!$C$38, 0.0256, 0)</f>
        <v>27.371000000000002</v>
      </c>
      <c r="C281" s="10">
        <f>25.1321 * CHOOSE(CONTROL!$C$15, $E$9, 100%, $G$9) + CHOOSE(CONTROL!$C$38, 0.0347, 0)</f>
        <v>25.166800000000002</v>
      </c>
      <c r="D281" s="10">
        <f>25.1242 * CHOOSE(CONTROL!$C$15, $E$9, 100%, $G$9) + CHOOSE(CONTROL!$C$38, 0.0347, 0)</f>
        <v>25.158899999999999</v>
      </c>
      <c r="E281" s="28">
        <f>27.1892 * CHOOSE(CONTROL!$C$15, $E$9, 100%, $G$9) + CHOOSE(CONTROL!$C$38, 0.0347, 0)</f>
        <v>27.2239</v>
      </c>
      <c r="F281" s="27">
        <f>27.1892 * CHOOSE(CONTROL!$C$15, $E$9, 100%, $G$9) + CHOOSE(CONTROL!$C$38, 0.0256, 0)</f>
        <v>27.2148</v>
      </c>
      <c r="G281" s="10">
        <f>25.1305 * CHOOSE(CONTROL!$C$15, $E$9, 100%, $G$9) + CHOOSE(CONTROL!$C$38, 0.0347, 0)</f>
        <v>25.165200000000002</v>
      </c>
      <c r="H281" s="10">
        <f>25.1305 * CHOOSE(CONTROL!$C$15, $E$9, 100%, $G$9) + CHOOSE(CONTROL!$C$38, 0.0347, 0)</f>
        <v>25.165200000000002</v>
      </c>
      <c r="I281" s="10">
        <f>25.1321 * CHOOSE(CONTROL!$C$15, $E$9, 100%, $G$9) + CHOOSE(CONTROL!$C$38, 0.0347, 0)</f>
        <v>25.166800000000002</v>
      </c>
      <c r="J281" s="26">
        <f>189.217</f>
        <v>189.21700000000001</v>
      </c>
    </row>
    <row r="282" spans="1:10" ht="15" x14ac:dyDescent="0.2">
      <c r="A282" s="15">
        <v>49857</v>
      </c>
      <c r="B282" s="10">
        <f>27.1389 * CHOOSE(CONTROL!$C$15, $E$9, 100%, $G$9) + CHOOSE(CONTROL!$C$38, 0.0256, 0)</f>
        <v>27.1645</v>
      </c>
      <c r="C282" s="10">
        <f>24.9256 * CHOOSE(CONTROL!$C$15, $E$9, 100%, $G$9) + CHOOSE(CONTROL!$C$38, 0.0347, 0)</f>
        <v>24.9603</v>
      </c>
      <c r="D282" s="10">
        <f>24.9177 * CHOOSE(CONTROL!$C$15, $E$9, 100%, $G$9) + CHOOSE(CONTROL!$C$38, 0.0347, 0)</f>
        <v>24.952400000000001</v>
      </c>
      <c r="E282" s="28">
        <f>26.9827 * CHOOSE(CONTROL!$C$15, $E$9, 100%, $G$9) + CHOOSE(CONTROL!$C$38, 0.0347, 0)</f>
        <v>27.017400000000002</v>
      </c>
      <c r="F282" s="27">
        <f>26.9827 * CHOOSE(CONTROL!$C$15, $E$9, 100%, $G$9) + CHOOSE(CONTROL!$C$38, 0.0256, 0)</f>
        <v>27.008300000000002</v>
      </c>
      <c r="G282" s="10">
        <f>24.924 * CHOOSE(CONTROL!$C$15, $E$9, 100%, $G$9) + CHOOSE(CONTROL!$C$38, 0.0347, 0)</f>
        <v>24.9587</v>
      </c>
      <c r="H282" s="10">
        <f>24.924 * CHOOSE(CONTROL!$C$15, $E$9, 100%, $G$9) + CHOOSE(CONTROL!$C$38, 0.0347, 0)</f>
        <v>24.9587</v>
      </c>
      <c r="I282" s="10">
        <f>24.9256 * CHOOSE(CONTROL!$C$15, $E$9, 100%, $G$9) + CHOOSE(CONTROL!$C$38, 0.0347, 0)</f>
        <v>24.9603</v>
      </c>
      <c r="J282" s="26">
        <f>188.3321</f>
        <v>188.3321</v>
      </c>
    </row>
    <row r="283" spans="1:10" ht="15" x14ac:dyDescent="0.2">
      <c r="A283" s="15">
        <v>49888</v>
      </c>
      <c r="B283" s="10">
        <f>27.2408 * CHOOSE(CONTROL!$C$15, $E$9, 100%, $G$9) + CHOOSE(CONTROL!$C$38, 0.0256, 0)</f>
        <v>27.266400000000001</v>
      </c>
      <c r="C283" s="10">
        <f>25.0275 * CHOOSE(CONTROL!$C$15, $E$9, 100%, $G$9) + CHOOSE(CONTROL!$C$38, 0.0347, 0)</f>
        <v>25.062200000000001</v>
      </c>
      <c r="D283" s="10">
        <f>25.0197 * CHOOSE(CONTROL!$C$15, $E$9, 100%, $G$9) + CHOOSE(CONTROL!$C$38, 0.0347, 0)</f>
        <v>25.054400000000001</v>
      </c>
      <c r="E283" s="28">
        <f>27.0846 * CHOOSE(CONTROL!$C$15, $E$9, 100%, $G$9) + CHOOSE(CONTROL!$C$38, 0.0347, 0)</f>
        <v>27.119299999999999</v>
      </c>
      <c r="F283" s="27">
        <f>27.0846 * CHOOSE(CONTROL!$C$15, $E$9, 100%, $G$9) + CHOOSE(CONTROL!$C$38, 0.0256, 0)</f>
        <v>27.110199999999999</v>
      </c>
      <c r="G283" s="10">
        <f>25.0259 * CHOOSE(CONTROL!$C$15, $E$9, 100%, $G$9) + CHOOSE(CONTROL!$C$38, 0.0347, 0)</f>
        <v>25.060600000000001</v>
      </c>
      <c r="H283" s="10">
        <f>25.0259 * CHOOSE(CONTROL!$C$15, $E$9, 100%, $G$9) + CHOOSE(CONTROL!$C$38, 0.0347, 0)</f>
        <v>25.060600000000001</v>
      </c>
      <c r="I283" s="10">
        <f>25.0275 * CHOOSE(CONTROL!$C$15, $E$9, 100%, $G$9) + CHOOSE(CONTROL!$C$38, 0.0347, 0)</f>
        <v>25.062200000000001</v>
      </c>
      <c r="J283" s="26">
        <f>183.9478</f>
        <v>183.9478</v>
      </c>
    </row>
    <row r="284" spans="1:10" ht="15" x14ac:dyDescent="0.2">
      <c r="A284" s="15">
        <v>49919</v>
      </c>
      <c r="B284" s="10">
        <f>27.5176 * CHOOSE(CONTROL!$C$15, $E$9, 100%, $G$9) + CHOOSE(CONTROL!$C$38, 0.0256, 0)</f>
        <v>27.543200000000002</v>
      </c>
      <c r="C284" s="10">
        <f>25.3043 * CHOOSE(CONTROL!$C$15, $E$9, 100%, $G$9) + CHOOSE(CONTROL!$C$38, 0.0347, 0)</f>
        <v>25.339000000000002</v>
      </c>
      <c r="D284" s="10">
        <f>25.2965 * CHOOSE(CONTROL!$C$15, $E$9, 100%, $G$9) + CHOOSE(CONTROL!$C$38, 0.0347, 0)</f>
        <v>25.331200000000003</v>
      </c>
      <c r="E284" s="28">
        <f>27.3614 * CHOOSE(CONTROL!$C$15, $E$9, 100%, $G$9) + CHOOSE(CONTROL!$C$38, 0.0347, 0)</f>
        <v>27.396100000000001</v>
      </c>
      <c r="F284" s="27">
        <f>27.3614 * CHOOSE(CONTROL!$C$15, $E$9, 100%, $G$9) + CHOOSE(CONTROL!$C$38, 0.0256, 0)</f>
        <v>27.387</v>
      </c>
      <c r="G284" s="10">
        <f>25.3027 * CHOOSE(CONTROL!$C$15, $E$9, 100%, $G$9) + CHOOSE(CONTROL!$C$38, 0.0347, 0)</f>
        <v>25.337400000000002</v>
      </c>
      <c r="H284" s="10">
        <f>25.3027 * CHOOSE(CONTROL!$C$15, $E$9, 100%, $G$9) + CHOOSE(CONTROL!$C$38, 0.0347, 0)</f>
        <v>25.337400000000002</v>
      </c>
      <c r="I284" s="10">
        <f>25.3043 * CHOOSE(CONTROL!$C$15, $E$9, 100%, $G$9) + CHOOSE(CONTROL!$C$38, 0.0347, 0)</f>
        <v>25.339000000000002</v>
      </c>
      <c r="J284" s="26">
        <f>177.8337</f>
        <v>177.83369999999999</v>
      </c>
    </row>
    <row r="285" spans="1:10" ht="15" x14ac:dyDescent="0.2">
      <c r="A285" s="15">
        <v>49949</v>
      </c>
      <c r="B285" s="10">
        <f>27.7495 * CHOOSE(CONTROL!$C$15, $E$9, 100%, $G$9) + CHOOSE(CONTROL!$C$38, 0.0256, 0)</f>
        <v>27.775100000000002</v>
      </c>
      <c r="C285" s="10">
        <f>25.5361 * CHOOSE(CONTROL!$C$15, $E$9, 100%, $G$9) + CHOOSE(CONTROL!$C$38, 0.0347, 0)</f>
        <v>25.570800000000002</v>
      </c>
      <c r="D285" s="10">
        <f>25.5283 * CHOOSE(CONTROL!$C$15, $E$9, 100%, $G$9) + CHOOSE(CONTROL!$C$38, 0.0347, 0)</f>
        <v>25.563000000000002</v>
      </c>
      <c r="E285" s="28">
        <f>27.5932 * CHOOSE(CONTROL!$C$15, $E$9, 100%, $G$9) + CHOOSE(CONTROL!$C$38, 0.0347, 0)</f>
        <v>27.6279</v>
      </c>
      <c r="F285" s="27">
        <f>27.5932 * CHOOSE(CONTROL!$C$15, $E$9, 100%, $G$9) + CHOOSE(CONTROL!$C$38, 0.0256, 0)</f>
        <v>27.6188</v>
      </c>
      <c r="G285" s="10">
        <f>25.5345 * CHOOSE(CONTROL!$C$15, $E$9, 100%, $G$9) + CHOOSE(CONTROL!$C$38, 0.0347, 0)</f>
        <v>25.569200000000002</v>
      </c>
      <c r="H285" s="10">
        <f>25.5345 * CHOOSE(CONTROL!$C$15, $E$9, 100%, $G$9) + CHOOSE(CONTROL!$C$38, 0.0347, 0)</f>
        <v>25.569200000000002</v>
      </c>
      <c r="I285" s="10">
        <f>25.5361 * CHOOSE(CONTROL!$C$15, $E$9, 100%, $G$9) + CHOOSE(CONTROL!$C$38, 0.0347, 0)</f>
        <v>25.570800000000002</v>
      </c>
      <c r="J285" s="26">
        <f>171.684</f>
        <v>171.684</v>
      </c>
    </row>
    <row r="286" spans="1:10" ht="15" x14ac:dyDescent="0.2">
      <c r="A286" s="15">
        <v>49980</v>
      </c>
      <c r="B286" s="10">
        <f>27.9429 * CHOOSE(CONTROL!$C$15, $E$9, 100%, $G$9) + CHOOSE(CONTROL!$C$38, 0.0256, 0)</f>
        <v>27.968500000000002</v>
      </c>
      <c r="C286" s="10">
        <f>25.7295 * CHOOSE(CONTROL!$C$15, $E$9, 100%, $G$9) + CHOOSE(CONTROL!$C$38, 0.0347, 0)</f>
        <v>25.764200000000002</v>
      </c>
      <c r="D286" s="10">
        <f>25.7217 * CHOOSE(CONTROL!$C$15, $E$9, 100%, $G$9) + CHOOSE(CONTROL!$C$38, 0.0347, 0)</f>
        <v>25.756399999999999</v>
      </c>
      <c r="E286" s="28">
        <f>27.7866 * CHOOSE(CONTROL!$C$15, $E$9, 100%, $G$9) + CHOOSE(CONTROL!$C$38, 0.0347, 0)</f>
        <v>27.821300000000001</v>
      </c>
      <c r="F286" s="27">
        <f>27.7866 * CHOOSE(CONTROL!$C$15, $E$9, 100%, $G$9) + CHOOSE(CONTROL!$C$38, 0.0256, 0)</f>
        <v>27.812200000000001</v>
      </c>
      <c r="G286" s="10">
        <f>25.728 * CHOOSE(CONTROL!$C$15, $E$9, 100%, $G$9) + CHOOSE(CONTROL!$C$38, 0.0347, 0)</f>
        <v>25.762700000000002</v>
      </c>
      <c r="H286" s="10">
        <f>25.728 * CHOOSE(CONTROL!$C$15, $E$9, 100%, $G$9) + CHOOSE(CONTROL!$C$38, 0.0347, 0)</f>
        <v>25.762700000000002</v>
      </c>
      <c r="I286" s="10">
        <f>25.7295 * CHOOSE(CONTROL!$C$15, $E$9, 100%, $G$9) + CHOOSE(CONTROL!$C$38, 0.0347, 0)</f>
        <v>25.764200000000002</v>
      </c>
      <c r="J286" s="26">
        <f>170.4607</f>
        <v>170.4607</v>
      </c>
    </row>
    <row r="287" spans="1:10" ht="15" x14ac:dyDescent="0.2">
      <c r="A287" s="15">
        <v>50010</v>
      </c>
      <c r="B287" s="10">
        <f>28.539 * CHOOSE(CONTROL!$C$15, $E$9, 100%, $G$9) + CHOOSE(CONTROL!$C$38, 0.0256, 0)</f>
        <v>28.564600000000002</v>
      </c>
      <c r="C287" s="10">
        <f>26.3256 * CHOOSE(CONTROL!$C$15, $E$9, 100%, $G$9) + CHOOSE(CONTROL!$C$38, 0.0347, 0)</f>
        <v>26.360300000000002</v>
      </c>
      <c r="D287" s="10">
        <f>26.3178 * CHOOSE(CONTROL!$C$15, $E$9, 100%, $G$9) + CHOOSE(CONTROL!$C$38, 0.0347, 0)</f>
        <v>26.352499999999999</v>
      </c>
      <c r="E287" s="28">
        <f>28.3827 * CHOOSE(CONTROL!$C$15, $E$9, 100%, $G$9) + CHOOSE(CONTROL!$C$38, 0.0347, 0)</f>
        <v>28.417400000000001</v>
      </c>
      <c r="F287" s="27">
        <f>28.3827 * CHOOSE(CONTROL!$C$15, $E$9, 100%, $G$9) + CHOOSE(CONTROL!$C$38, 0.0256, 0)</f>
        <v>28.408300000000001</v>
      </c>
      <c r="G287" s="10">
        <f>26.324 * CHOOSE(CONTROL!$C$15, $E$9, 100%, $G$9) + CHOOSE(CONTROL!$C$38, 0.0347, 0)</f>
        <v>26.358700000000002</v>
      </c>
      <c r="H287" s="10">
        <f>26.324 * CHOOSE(CONTROL!$C$15, $E$9, 100%, $G$9) + CHOOSE(CONTROL!$C$38, 0.0347, 0)</f>
        <v>26.358700000000002</v>
      </c>
      <c r="I287" s="10">
        <f>26.3256 * CHOOSE(CONTROL!$C$15, $E$9, 100%, $G$9) + CHOOSE(CONTROL!$C$38, 0.0347, 0)</f>
        <v>26.360300000000002</v>
      </c>
      <c r="J287" s="26">
        <f>165.4023</f>
        <v>165.4023</v>
      </c>
    </row>
    <row r="288" spans="1:10" ht="15" x14ac:dyDescent="0.2">
      <c r="A288" s="15">
        <v>50041</v>
      </c>
      <c r="B288" s="10">
        <f>29.4932 * CHOOSE(CONTROL!$C$15, $E$9, 100%, $G$9) + CHOOSE(CONTROL!$C$38, 0.0256, 0)</f>
        <v>29.518800000000002</v>
      </c>
      <c r="C288" s="10">
        <f>27.2434 * CHOOSE(CONTROL!$C$15, $E$9, 100%, $G$9) + CHOOSE(CONTROL!$C$38, 0.0347, 0)</f>
        <v>27.278100000000002</v>
      </c>
      <c r="D288" s="10">
        <f>27.2356 * CHOOSE(CONTROL!$C$15, $E$9, 100%, $G$9) + CHOOSE(CONTROL!$C$38, 0.0347, 0)</f>
        <v>27.270300000000002</v>
      </c>
      <c r="E288" s="28">
        <f>29.3369 * CHOOSE(CONTROL!$C$15, $E$9, 100%, $G$9) + CHOOSE(CONTROL!$C$38, 0.0347, 0)</f>
        <v>29.371600000000001</v>
      </c>
      <c r="F288" s="27">
        <f>29.3369 * CHOOSE(CONTROL!$C$15, $E$9, 100%, $G$9) + CHOOSE(CONTROL!$C$38, 0.0256, 0)</f>
        <v>29.362500000000001</v>
      </c>
      <c r="G288" s="10">
        <f>27.2419 * CHOOSE(CONTROL!$C$15, $E$9, 100%, $G$9) + CHOOSE(CONTROL!$C$38, 0.0347, 0)</f>
        <v>27.276600000000002</v>
      </c>
      <c r="H288" s="10">
        <f>27.2419 * CHOOSE(CONTROL!$C$15, $E$9, 100%, $G$9) + CHOOSE(CONTROL!$C$38, 0.0347, 0)</f>
        <v>27.276600000000002</v>
      </c>
      <c r="I288" s="10">
        <f>27.2434 * CHOOSE(CONTROL!$C$15, $E$9, 100%, $G$9) + CHOOSE(CONTROL!$C$38, 0.0347, 0)</f>
        <v>27.278100000000002</v>
      </c>
      <c r="J288" s="26">
        <f>164.2944</f>
        <v>164.2944</v>
      </c>
    </row>
    <row r="289" spans="1:10" ht="15" x14ac:dyDescent="0.2">
      <c r="A289" s="15">
        <v>50072</v>
      </c>
      <c r="B289" s="10">
        <f>29.7139 * CHOOSE(CONTROL!$C$15, $E$9, 100%, $G$9) + CHOOSE(CONTROL!$C$38, 0.0256, 0)</f>
        <v>29.7395</v>
      </c>
      <c r="C289" s="10">
        <f>27.4642 * CHOOSE(CONTROL!$C$15, $E$9, 100%, $G$9) + CHOOSE(CONTROL!$C$38, 0.0347, 0)</f>
        <v>27.498900000000003</v>
      </c>
      <c r="D289" s="10">
        <f>27.4564 * CHOOSE(CONTROL!$C$15, $E$9, 100%, $G$9) + CHOOSE(CONTROL!$C$38, 0.0347, 0)</f>
        <v>27.491099999999999</v>
      </c>
      <c r="E289" s="28">
        <f>29.5577 * CHOOSE(CONTROL!$C$15, $E$9, 100%, $G$9) + CHOOSE(CONTROL!$C$38, 0.0347, 0)</f>
        <v>29.592400000000001</v>
      </c>
      <c r="F289" s="27">
        <f>29.5577 * CHOOSE(CONTROL!$C$15, $E$9, 100%, $G$9) + CHOOSE(CONTROL!$C$38, 0.0256, 0)</f>
        <v>29.583300000000001</v>
      </c>
      <c r="G289" s="10">
        <f>27.4626 * CHOOSE(CONTROL!$C$15, $E$9, 100%, $G$9) + CHOOSE(CONTROL!$C$38, 0.0347, 0)</f>
        <v>27.497299999999999</v>
      </c>
      <c r="H289" s="10">
        <f>27.4626 * CHOOSE(CONTROL!$C$15, $E$9, 100%, $G$9) + CHOOSE(CONTROL!$C$38, 0.0347, 0)</f>
        <v>27.497299999999999</v>
      </c>
      <c r="I289" s="10">
        <f>27.4642 * CHOOSE(CONTROL!$C$15, $E$9, 100%, $G$9) + CHOOSE(CONTROL!$C$38, 0.0347, 0)</f>
        <v>27.498900000000003</v>
      </c>
      <c r="J289" s="26">
        <f>163.8377</f>
        <v>163.83770000000001</v>
      </c>
    </row>
    <row r="290" spans="1:10" ht="15" x14ac:dyDescent="0.2">
      <c r="A290" s="15">
        <v>50100</v>
      </c>
      <c r="B290" s="10">
        <f>29.2029 * CHOOSE(CONTROL!$C$15, $E$9, 100%, $G$9) + CHOOSE(CONTROL!$C$38, 0.0256, 0)</f>
        <v>29.2285</v>
      </c>
      <c r="C290" s="10">
        <f>26.9532 * CHOOSE(CONTROL!$C$15, $E$9, 100%, $G$9) + CHOOSE(CONTROL!$C$38, 0.0347, 0)</f>
        <v>26.9879</v>
      </c>
      <c r="D290" s="10">
        <f>26.9454 * CHOOSE(CONTROL!$C$15, $E$9, 100%, $G$9) + CHOOSE(CONTROL!$C$38, 0.0347, 0)</f>
        <v>26.9801</v>
      </c>
      <c r="E290" s="28">
        <f>29.0466 * CHOOSE(CONTROL!$C$15, $E$9, 100%, $G$9) + CHOOSE(CONTROL!$C$38, 0.0347, 0)</f>
        <v>29.081300000000002</v>
      </c>
      <c r="F290" s="27">
        <f>29.0466 * CHOOSE(CONTROL!$C$15, $E$9, 100%, $G$9) + CHOOSE(CONTROL!$C$38, 0.0256, 0)</f>
        <v>29.072200000000002</v>
      </c>
      <c r="G290" s="10">
        <f>26.9516 * CHOOSE(CONTROL!$C$15, $E$9, 100%, $G$9) + CHOOSE(CONTROL!$C$38, 0.0347, 0)</f>
        <v>26.9863</v>
      </c>
      <c r="H290" s="10">
        <f>26.9516 * CHOOSE(CONTROL!$C$15, $E$9, 100%, $G$9) + CHOOSE(CONTROL!$C$38, 0.0347, 0)</f>
        <v>26.9863</v>
      </c>
      <c r="I290" s="10">
        <f>26.9532 * CHOOSE(CONTROL!$C$15, $E$9, 100%, $G$9) + CHOOSE(CONTROL!$C$38, 0.0347, 0)</f>
        <v>26.9879</v>
      </c>
      <c r="J290" s="26">
        <f>172.4729</f>
        <v>172.47290000000001</v>
      </c>
    </row>
    <row r="291" spans="1:10" ht="15" x14ac:dyDescent="0.2">
      <c r="A291" s="15">
        <v>50131</v>
      </c>
      <c r="B291" s="10">
        <f>28.7077 * CHOOSE(CONTROL!$C$15, $E$9, 100%, $G$9) + CHOOSE(CONTROL!$C$38, 0.0256, 0)</f>
        <v>28.7333</v>
      </c>
      <c r="C291" s="10">
        <f>26.458 * CHOOSE(CONTROL!$C$15, $E$9, 100%, $G$9) + CHOOSE(CONTROL!$C$38, 0.0347, 0)</f>
        <v>26.492699999999999</v>
      </c>
      <c r="D291" s="10">
        <f>26.4502 * CHOOSE(CONTROL!$C$15, $E$9, 100%, $G$9) + CHOOSE(CONTROL!$C$38, 0.0347, 0)</f>
        <v>26.4849</v>
      </c>
      <c r="E291" s="28">
        <f>28.5515 * CHOOSE(CONTROL!$C$15, $E$9, 100%, $G$9) + CHOOSE(CONTROL!$C$38, 0.0347, 0)</f>
        <v>28.586200000000002</v>
      </c>
      <c r="F291" s="27">
        <f>28.5515 * CHOOSE(CONTROL!$C$15, $E$9, 100%, $G$9) + CHOOSE(CONTROL!$C$38, 0.0256, 0)</f>
        <v>28.577100000000002</v>
      </c>
      <c r="G291" s="10">
        <f>26.4564 * CHOOSE(CONTROL!$C$15, $E$9, 100%, $G$9) + CHOOSE(CONTROL!$C$38, 0.0347, 0)</f>
        <v>26.491099999999999</v>
      </c>
      <c r="H291" s="10">
        <f>26.4564 * CHOOSE(CONTROL!$C$15, $E$9, 100%, $G$9) + CHOOSE(CONTROL!$C$38, 0.0347, 0)</f>
        <v>26.491099999999999</v>
      </c>
      <c r="I291" s="10">
        <f>26.458 * CHOOSE(CONTROL!$C$15, $E$9, 100%, $G$9) + CHOOSE(CONTROL!$C$38, 0.0347, 0)</f>
        <v>26.492699999999999</v>
      </c>
      <c r="J291" s="26">
        <f>183.6707</f>
        <v>183.67070000000001</v>
      </c>
    </row>
    <row r="292" spans="1:10" ht="15" x14ac:dyDescent="0.2">
      <c r="A292" s="15">
        <v>50161</v>
      </c>
      <c r="B292" s="10">
        <f>28.1916 * CHOOSE(CONTROL!$C$15, $E$9, 100%, $G$9) + CHOOSE(CONTROL!$C$38, 0.0256, 0)</f>
        <v>28.217200000000002</v>
      </c>
      <c r="C292" s="10">
        <f>25.9419 * CHOOSE(CONTROL!$C$15, $E$9, 100%, $G$9) + CHOOSE(CONTROL!$C$38, 0.0347, 0)</f>
        <v>25.976600000000001</v>
      </c>
      <c r="D292" s="10">
        <f>25.9341 * CHOOSE(CONTROL!$C$15, $E$9, 100%, $G$9) + CHOOSE(CONTROL!$C$38, 0.0347, 0)</f>
        <v>25.968800000000002</v>
      </c>
      <c r="E292" s="28">
        <f>28.0353 * CHOOSE(CONTROL!$C$15, $E$9, 100%, $G$9) + CHOOSE(CONTROL!$C$38, 0.0347, 0)</f>
        <v>28.07</v>
      </c>
      <c r="F292" s="27">
        <f>28.0353 * CHOOSE(CONTROL!$C$15, $E$9, 100%, $G$9) + CHOOSE(CONTROL!$C$38, 0.0256, 0)</f>
        <v>28.0609</v>
      </c>
      <c r="G292" s="10">
        <f>25.9403 * CHOOSE(CONTROL!$C$15, $E$9, 100%, $G$9) + CHOOSE(CONTROL!$C$38, 0.0347, 0)</f>
        <v>25.975000000000001</v>
      </c>
      <c r="H292" s="10">
        <f>25.9403 * CHOOSE(CONTROL!$C$15, $E$9, 100%, $G$9) + CHOOSE(CONTROL!$C$38, 0.0347, 0)</f>
        <v>25.975000000000001</v>
      </c>
      <c r="I292" s="10">
        <f>25.9419 * CHOOSE(CONTROL!$C$15, $E$9, 100%, $G$9) + CHOOSE(CONTROL!$C$38, 0.0347, 0)</f>
        <v>25.976600000000001</v>
      </c>
      <c r="J292" s="26">
        <f>189.8343</f>
        <v>189.83430000000001</v>
      </c>
    </row>
    <row r="293" spans="1:10" ht="15" x14ac:dyDescent="0.2">
      <c r="A293" s="15">
        <v>50192</v>
      </c>
      <c r="B293" s="10">
        <f>27.8298 * CHOOSE(CONTROL!$C$15, $E$9, 100%, $G$9) + CHOOSE(CONTROL!$C$38, 0.0256, 0)</f>
        <v>27.855399999999999</v>
      </c>
      <c r="C293" s="10">
        <f>25.58 * CHOOSE(CONTROL!$C$15, $E$9, 100%, $G$9) + CHOOSE(CONTROL!$C$38, 0.0347, 0)</f>
        <v>25.614699999999999</v>
      </c>
      <c r="D293" s="10">
        <f>25.5722 * CHOOSE(CONTROL!$C$15, $E$9, 100%, $G$9) + CHOOSE(CONTROL!$C$38, 0.0347, 0)</f>
        <v>25.6069</v>
      </c>
      <c r="E293" s="28">
        <f>27.6735 * CHOOSE(CONTROL!$C$15, $E$9, 100%, $G$9) + CHOOSE(CONTROL!$C$38, 0.0347, 0)</f>
        <v>27.708200000000001</v>
      </c>
      <c r="F293" s="27">
        <f>27.6735 * CHOOSE(CONTROL!$C$15, $E$9, 100%, $G$9) + CHOOSE(CONTROL!$C$38, 0.0256, 0)</f>
        <v>27.699100000000001</v>
      </c>
      <c r="G293" s="10">
        <f>25.5785 * CHOOSE(CONTROL!$C$15, $E$9, 100%, $G$9) + CHOOSE(CONTROL!$C$38, 0.0347, 0)</f>
        <v>25.613199999999999</v>
      </c>
      <c r="H293" s="10">
        <f>25.5785 * CHOOSE(CONTROL!$C$15, $E$9, 100%, $G$9) + CHOOSE(CONTROL!$C$38, 0.0347, 0)</f>
        <v>25.613199999999999</v>
      </c>
      <c r="I293" s="10">
        <f>25.58 * CHOOSE(CONTROL!$C$15, $E$9, 100%, $G$9) + CHOOSE(CONTROL!$C$38, 0.0347, 0)</f>
        <v>25.614699999999999</v>
      </c>
      <c r="J293" s="26">
        <f>192.5696</f>
        <v>192.56960000000001</v>
      </c>
    </row>
    <row r="294" spans="1:10" ht="15" x14ac:dyDescent="0.2">
      <c r="A294" s="15">
        <v>50222</v>
      </c>
      <c r="B294" s="10">
        <f>27.6233 * CHOOSE(CONTROL!$C$15, $E$9, 100%, $G$9) + CHOOSE(CONTROL!$C$38, 0.0256, 0)</f>
        <v>27.648900000000001</v>
      </c>
      <c r="C294" s="10">
        <f>25.3736 * CHOOSE(CONTROL!$C$15, $E$9, 100%, $G$9) + CHOOSE(CONTROL!$C$38, 0.0347, 0)</f>
        <v>25.408300000000001</v>
      </c>
      <c r="D294" s="10">
        <f>25.3657 * CHOOSE(CONTROL!$C$15, $E$9, 100%, $G$9) + CHOOSE(CONTROL!$C$38, 0.0347, 0)</f>
        <v>25.400400000000001</v>
      </c>
      <c r="E294" s="28">
        <f>27.467 * CHOOSE(CONTROL!$C$15, $E$9, 100%, $G$9) + CHOOSE(CONTROL!$C$38, 0.0347, 0)</f>
        <v>27.5017</v>
      </c>
      <c r="F294" s="27">
        <f>27.467 * CHOOSE(CONTROL!$C$15, $E$9, 100%, $G$9) + CHOOSE(CONTROL!$C$38, 0.0256, 0)</f>
        <v>27.492599999999999</v>
      </c>
      <c r="G294" s="10">
        <f>25.372 * CHOOSE(CONTROL!$C$15, $E$9, 100%, $G$9) + CHOOSE(CONTROL!$C$38, 0.0347, 0)</f>
        <v>25.406700000000001</v>
      </c>
      <c r="H294" s="10">
        <f>25.372 * CHOOSE(CONTROL!$C$15, $E$9, 100%, $G$9) + CHOOSE(CONTROL!$C$38, 0.0347, 0)</f>
        <v>25.406700000000001</v>
      </c>
      <c r="I294" s="10">
        <f>25.3736 * CHOOSE(CONTROL!$C$15, $E$9, 100%, $G$9) + CHOOSE(CONTROL!$C$38, 0.0347, 0)</f>
        <v>25.408300000000001</v>
      </c>
      <c r="J294" s="26">
        <f>191.669</f>
        <v>191.66900000000001</v>
      </c>
    </row>
    <row r="295" spans="1:10" ht="15" x14ac:dyDescent="0.2">
      <c r="A295" s="15">
        <v>50253</v>
      </c>
      <c r="B295" s="10">
        <f>27.7252 * CHOOSE(CONTROL!$C$15, $E$9, 100%, $G$9) + CHOOSE(CONTROL!$C$38, 0.0256, 0)</f>
        <v>27.750800000000002</v>
      </c>
      <c r="C295" s="10">
        <f>25.4755 * CHOOSE(CONTROL!$C$15, $E$9, 100%, $G$9) + CHOOSE(CONTROL!$C$38, 0.0347, 0)</f>
        <v>25.510200000000001</v>
      </c>
      <c r="D295" s="10">
        <f>25.4677 * CHOOSE(CONTROL!$C$15, $E$9, 100%, $G$9) + CHOOSE(CONTROL!$C$38, 0.0347, 0)</f>
        <v>25.502400000000002</v>
      </c>
      <c r="E295" s="28">
        <f>27.5689 * CHOOSE(CONTROL!$C$15, $E$9, 100%, $G$9) + CHOOSE(CONTROL!$C$38, 0.0347, 0)</f>
        <v>27.6036</v>
      </c>
      <c r="F295" s="27">
        <f>27.5689 * CHOOSE(CONTROL!$C$15, $E$9, 100%, $G$9) + CHOOSE(CONTROL!$C$38, 0.0256, 0)</f>
        <v>27.5945</v>
      </c>
      <c r="G295" s="10">
        <f>25.4739 * CHOOSE(CONTROL!$C$15, $E$9, 100%, $G$9) + CHOOSE(CONTROL!$C$38, 0.0347, 0)</f>
        <v>25.508600000000001</v>
      </c>
      <c r="H295" s="10">
        <f>25.4739 * CHOOSE(CONTROL!$C$15, $E$9, 100%, $G$9) + CHOOSE(CONTROL!$C$38, 0.0347, 0)</f>
        <v>25.508600000000001</v>
      </c>
      <c r="I295" s="10">
        <f>25.4755 * CHOOSE(CONTROL!$C$15, $E$9, 100%, $G$9) + CHOOSE(CONTROL!$C$38, 0.0347, 0)</f>
        <v>25.510200000000001</v>
      </c>
      <c r="J295" s="26">
        <f>187.207</f>
        <v>187.20699999999999</v>
      </c>
    </row>
    <row r="296" spans="1:10" ht="15" x14ac:dyDescent="0.2">
      <c r="A296" s="15">
        <v>50284</v>
      </c>
      <c r="B296" s="10">
        <f>28.002 * CHOOSE(CONTROL!$C$15, $E$9, 100%, $G$9) + CHOOSE(CONTROL!$C$38, 0.0256, 0)</f>
        <v>28.0276</v>
      </c>
      <c r="C296" s="10">
        <f>25.7523 * CHOOSE(CONTROL!$C$15, $E$9, 100%, $G$9) + CHOOSE(CONTROL!$C$38, 0.0347, 0)</f>
        <v>25.787000000000003</v>
      </c>
      <c r="D296" s="10">
        <f>25.7444 * CHOOSE(CONTROL!$C$15, $E$9, 100%, $G$9) + CHOOSE(CONTROL!$C$38, 0.0347, 0)</f>
        <v>25.7791</v>
      </c>
      <c r="E296" s="28">
        <f>27.8457 * CHOOSE(CONTROL!$C$15, $E$9, 100%, $G$9) + CHOOSE(CONTROL!$C$38, 0.0347, 0)</f>
        <v>27.880400000000002</v>
      </c>
      <c r="F296" s="27">
        <f>27.8457 * CHOOSE(CONTROL!$C$15, $E$9, 100%, $G$9) + CHOOSE(CONTROL!$C$38, 0.0256, 0)</f>
        <v>27.871300000000002</v>
      </c>
      <c r="G296" s="10">
        <f>25.7507 * CHOOSE(CONTROL!$C$15, $E$9, 100%, $G$9) + CHOOSE(CONTROL!$C$38, 0.0347, 0)</f>
        <v>25.785399999999999</v>
      </c>
      <c r="H296" s="10">
        <f>25.7507 * CHOOSE(CONTROL!$C$15, $E$9, 100%, $G$9) + CHOOSE(CONTROL!$C$38, 0.0347, 0)</f>
        <v>25.785399999999999</v>
      </c>
      <c r="I296" s="10">
        <f>25.7523 * CHOOSE(CONTROL!$C$15, $E$9, 100%, $G$9) + CHOOSE(CONTROL!$C$38, 0.0347, 0)</f>
        <v>25.787000000000003</v>
      </c>
      <c r="J296" s="26">
        <f>180.9846</f>
        <v>180.9846</v>
      </c>
    </row>
    <row r="297" spans="1:10" ht="15" x14ac:dyDescent="0.2">
      <c r="A297" s="15">
        <v>50314</v>
      </c>
      <c r="B297" s="10">
        <f>28.2338 * CHOOSE(CONTROL!$C$15, $E$9, 100%, $G$9) + CHOOSE(CONTROL!$C$38, 0.0256, 0)</f>
        <v>28.259399999999999</v>
      </c>
      <c r="C297" s="10">
        <f>25.9841 * CHOOSE(CONTROL!$C$15, $E$9, 100%, $G$9) + CHOOSE(CONTROL!$C$38, 0.0347, 0)</f>
        <v>26.018800000000002</v>
      </c>
      <c r="D297" s="10">
        <f>25.9763 * CHOOSE(CONTROL!$C$15, $E$9, 100%, $G$9) + CHOOSE(CONTROL!$C$38, 0.0347, 0)</f>
        <v>26.010999999999999</v>
      </c>
      <c r="E297" s="28">
        <f>28.0775 * CHOOSE(CONTROL!$C$15, $E$9, 100%, $G$9) + CHOOSE(CONTROL!$C$38, 0.0347, 0)</f>
        <v>28.112200000000001</v>
      </c>
      <c r="F297" s="27">
        <f>28.0775 * CHOOSE(CONTROL!$C$15, $E$9, 100%, $G$9) + CHOOSE(CONTROL!$C$38, 0.0256, 0)</f>
        <v>28.103100000000001</v>
      </c>
      <c r="G297" s="10">
        <f>25.9825 * CHOOSE(CONTROL!$C$15, $E$9, 100%, $G$9) + CHOOSE(CONTROL!$C$38, 0.0347, 0)</f>
        <v>26.017200000000003</v>
      </c>
      <c r="H297" s="10">
        <f>25.9825 * CHOOSE(CONTROL!$C$15, $E$9, 100%, $G$9) + CHOOSE(CONTROL!$C$38, 0.0347, 0)</f>
        <v>26.017200000000003</v>
      </c>
      <c r="I297" s="10">
        <f>25.9841 * CHOOSE(CONTROL!$C$15, $E$9, 100%, $G$9) + CHOOSE(CONTROL!$C$38, 0.0347, 0)</f>
        <v>26.018800000000002</v>
      </c>
      <c r="J297" s="26">
        <f>174.726</f>
        <v>174.726</v>
      </c>
    </row>
    <row r="298" spans="1:10" ht="15" x14ac:dyDescent="0.2">
      <c r="A298" s="15">
        <v>50345</v>
      </c>
      <c r="B298" s="10">
        <f>28.4272 * CHOOSE(CONTROL!$C$15, $E$9, 100%, $G$9) + CHOOSE(CONTROL!$C$38, 0.0256, 0)</f>
        <v>28.4528</v>
      </c>
      <c r="C298" s="10">
        <f>26.1775 * CHOOSE(CONTROL!$C$15, $E$9, 100%, $G$9) + CHOOSE(CONTROL!$C$38, 0.0347, 0)</f>
        <v>26.212199999999999</v>
      </c>
      <c r="D298" s="10">
        <f>26.1697 * CHOOSE(CONTROL!$C$15, $E$9, 100%, $G$9) + CHOOSE(CONTROL!$C$38, 0.0347, 0)</f>
        <v>26.2044</v>
      </c>
      <c r="E298" s="28">
        <f>28.271 * CHOOSE(CONTROL!$C$15, $E$9, 100%, $G$9) + CHOOSE(CONTROL!$C$38, 0.0347, 0)</f>
        <v>28.305700000000002</v>
      </c>
      <c r="F298" s="27">
        <f>28.271 * CHOOSE(CONTROL!$C$15, $E$9, 100%, $G$9) + CHOOSE(CONTROL!$C$38, 0.0256, 0)</f>
        <v>28.296600000000002</v>
      </c>
      <c r="G298" s="10">
        <f>26.176 * CHOOSE(CONTROL!$C$15, $E$9, 100%, $G$9) + CHOOSE(CONTROL!$C$38, 0.0347, 0)</f>
        <v>26.210699999999999</v>
      </c>
      <c r="H298" s="10">
        <f>26.176 * CHOOSE(CONTROL!$C$15, $E$9, 100%, $G$9) + CHOOSE(CONTROL!$C$38, 0.0347, 0)</f>
        <v>26.210699999999999</v>
      </c>
      <c r="I298" s="10">
        <f>26.1775 * CHOOSE(CONTROL!$C$15, $E$9, 100%, $G$9) + CHOOSE(CONTROL!$C$38, 0.0347, 0)</f>
        <v>26.212199999999999</v>
      </c>
      <c r="J298" s="26">
        <f>173.481</f>
        <v>173.48099999999999</v>
      </c>
    </row>
    <row r="299" spans="1:10" ht="15" x14ac:dyDescent="0.2">
      <c r="A299" s="15">
        <v>50375</v>
      </c>
      <c r="B299" s="10">
        <f>29.0233 * CHOOSE(CONTROL!$C$15, $E$9, 100%, $G$9) + CHOOSE(CONTROL!$C$38, 0.0256, 0)</f>
        <v>29.0489</v>
      </c>
      <c r="C299" s="10">
        <f>26.7736 * CHOOSE(CONTROL!$C$15, $E$9, 100%, $G$9) + CHOOSE(CONTROL!$C$38, 0.0347, 0)</f>
        <v>26.808299999999999</v>
      </c>
      <c r="D299" s="10">
        <f>26.7658 * CHOOSE(CONTROL!$C$15, $E$9, 100%, $G$9) + CHOOSE(CONTROL!$C$38, 0.0347, 0)</f>
        <v>26.8005</v>
      </c>
      <c r="E299" s="28">
        <f>28.8671 * CHOOSE(CONTROL!$C$15, $E$9, 100%, $G$9) + CHOOSE(CONTROL!$C$38, 0.0347, 0)</f>
        <v>28.901800000000001</v>
      </c>
      <c r="F299" s="27">
        <f>28.8671 * CHOOSE(CONTROL!$C$15, $E$9, 100%, $G$9) + CHOOSE(CONTROL!$C$38, 0.0256, 0)</f>
        <v>28.892700000000001</v>
      </c>
      <c r="G299" s="10">
        <f>26.772 * CHOOSE(CONTROL!$C$15, $E$9, 100%, $G$9) + CHOOSE(CONTROL!$C$38, 0.0347, 0)</f>
        <v>26.806699999999999</v>
      </c>
      <c r="H299" s="10">
        <f>26.772 * CHOOSE(CONTROL!$C$15, $E$9, 100%, $G$9) + CHOOSE(CONTROL!$C$38, 0.0347, 0)</f>
        <v>26.806699999999999</v>
      </c>
      <c r="I299" s="10">
        <f>26.7736 * CHOOSE(CONTROL!$C$15, $E$9, 100%, $G$9) + CHOOSE(CONTROL!$C$38, 0.0347, 0)</f>
        <v>26.808299999999999</v>
      </c>
      <c r="J299" s="26">
        <f>168.3329</f>
        <v>168.3329</v>
      </c>
    </row>
    <row r="300" spans="1:10" ht="15.75" x14ac:dyDescent="0.25">
      <c r="A300" s="14">
        <v>50436</v>
      </c>
      <c r="B300" s="10">
        <f>29.986 * CHOOSE(CONTROL!$C$15, $E$9, 100%, $G$9) + CHOOSE(CONTROL!$C$38, 0.0256, 0)</f>
        <v>30.011600000000001</v>
      </c>
      <c r="C300" s="10">
        <f>27.6994 * CHOOSE(CONTROL!$C$15, $E$9, 100%, $G$9) + CHOOSE(CONTROL!$C$38, 0.0347, 0)</f>
        <v>27.734100000000002</v>
      </c>
      <c r="D300" s="10">
        <f>27.6915 * CHOOSE(CONTROL!$C$15, $E$9, 100%, $G$9) + CHOOSE(CONTROL!$C$38, 0.0347, 0)</f>
        <v>27.726200000000002</v>
      </c>
      <c r="E300" s="28">
        <f>29.8298 * CHOOSE(CONTROL!$C$15, $E$9, 100%, $G$9) + CHOOSE(CONTROL!$C$38, 0.0347, 0)</f>
        <v>29.8645</v>
      </c>
      <c r="F300" s="27">
        <f>29.8298 * CHOOSE(CONTROL!$C$15, $E$9, 100%, $G$9) + CHOOSE(CONTROL!$C$38, 0.0256, 0)</f>
        <v>29.855399999999999</v>
      </c>
      <c r="G300" s="10">
        <f>27.6978 * CHOOSE(CONTROL!$C$15, $E$9, 100%, $G$9) + CHOOSE(CONTROL!$C$38, 0.0347, 0)</f>
        <v>27.732500000000002</v>
      </c>
      <c r="H300" s="10">
        <f>27.6978 * CHOOSE(CONTROL!$C$15, $E$9, 100%, $G$9) + CHOOSE(CONTROL!$C$38, 0.0347, 0)</f>
        <v>27.732500000000002</v>
      </c>
      <c r="I300" s="10">
        <f>27.6994 * CHOOSE(CONTROL!$C$15, $E$9, 100%, $G$9) + CHOOSE(CONTROL!$C$38, 0.0347, 0)</f>
        <v>27.734100000000002</v>
      </c>
      <c r="J300" s="26">
        <f>167.2054</f>
        <v>167.2054</v>
      </c>
    </row>
    <row r="301" spans="1:10" ht="15.75" x14ac:dyDescent="0.25">
      <c r="A301" s="14">
        <v>50464</v>
      </c>
      <c r="B301" s="10">
        <f>30.2068 * CHOOSE(CONTROL!$C$15, $E$9, 100%, $G$9) + CHOOSE(CONTROL!$C$38, 0.0256, 0)</f>
        <v>30.232400000000002</v>
      </c>
      <c r="C301" s="10">
        <f>27.9201 * CHOOSE(CONTROL!$C$15, $E$9, 100%, $G$9) + CHOOSE(CONTROL!$C$38, 0.0347, 0)</f>
        <v>27.954800000000002</v>
      </c>
      <c r="D301" s="10">
        <f>27.9123 * CHOOSE(CONTROL!$C$15, $E$9, 100%, $G$9) + CHOOSE(CONTROL!$C$38, 0.0347, 0)</f>
        <v>27.946999999999999</v>
      </c>
      <c r="E301" s="28">
        <f>30.0506 * CHOOSE(CONTROL!$C$15, $E$9, 100%, $G$9) + CHOOSE(CONTROL!$C$38, 0.0347, 0)</f>
        <v>30.0853</v>
      </c>
      <c r="F301" s="27">
        <f>30.0506 * CHOOSE(CONTROL!$C$15, $E$9, 100%, $G$9) + CHOOSE(CONTROL!$C$38, 0.0256, 0)</f>
        <v>30.0762</v>
      </c>
      <c r="G301" s="10">
        <f>27.9186 * CHOOSE(CONTROL!$C$15, $E$9, 100%, $G$9) + CHOOSE(CONTROL!$C$38, 0.0347, 0)</f>
        <v>27.953300000000002</v>
      </c>
      <c r="H301" s="10">
        <f>27.9186 * CHOOSE(CONTROL!$C$15, $E$9, 100%, $G$9) + CHOOSE(CONTROL!$C$38, 0.0347, 0)</f>
        <v>27.953300000000002</v>
      </c>
      <c r="I301" s="10">
        <f>27.9201 * CHOOSE(CONTROL!$C$15, $E$9, 100%, $G$9) + CHOOSE(CONTROL!$C$38, 0.0347, 0)</f>
        <v>27.954800000000002</v>
      </c>
      <c r="J301" s="26">
        <f>166.7406</f>
        <v>166.7406</v>
      </c>
    </row>
    <row r="302" spans="1:10" ht="15.75" x14ac:dyDescent="0.25">
      <c r="A302" s="14">
        <v>50495</v>
      </c>
      <c r="B302" s="10">
        <f>29.6958 * CHOOSE(CONTROL!$C$15, $E$9, 100%, $G$9) + CHOOSE(CONTROL!$C$38, 0.0256, 0)</f>
        <v>29.721399999999999</v>
      </c>
      <c r="C302" s="10">
        <f>27.4091 * CHOOSE(CONTROL!$C$15, $E$9, 100%, $G$9) + CHOOSE(CONTROL!$C$38, 0.0347, 0)</f>
        <v>27.4438</v>
      </c>
      <c r="D302" s="10">
        <f>27.4013 * CHOOSE(CONTROL!$C$15, $E$9, 100%, $G$9) + CHOOSE(CONTROL!$C$38, 0.0347, 0)</f>
        <v>27.436</v>
      </c>
      <c r="E302" s="28">
        <f>29.5395 * CHOOSE(CONTROL!$C$15, $E$9, 100%, $G$9) + CHOOSE(CONTROL!$C$38, 0.0347, 0)</f>
        <v>29.574200000000001</v>
      </c>
      <c r="F302" s="27">
        <f>29.5395 * CHOOSE(CONTROL!$C$15, $E$9, 100%, $G$9) + CHOOSE(CONTROL!$C$38, 0.0256, 0)</f>
        <v>29.565100000000001</v>
      </c>
      <c r="G302" s="10">
        <f>27.4075 * CHOOSE(CONTROL!$C$15, $E$9, 100%, $G$9) + CHOOSE(CONTROL!$C$38, 0.0347, 0)</f>
        <v>27.4422</v>
      </c>
      <c r="H302" s="10">
        <f>27.4075 * CHOOSE(CONTROL!$C$15, $E$9, 100%, $G$9) + CHOOSE(CONTROL!$C$38, 0.0347, 0)</f>
        <v>27.4422</v>
      </c>
      <c r="I302" s="10">
        <f>27.4091 * CHOOSE(CONTROL!$C$15, $E$9, 100%, $G$9) + CHOOSE(CONTROL!$C$38, 0.0347, 0)</f>
        <v>27.4438</v>
      </c>
      <c r="J302" s="26">
        <f>175.5288</f>
        <v>175.52879999999999</v>
      </c>
    </row>
    <row r="303" spans="1:10" ht="15.75" x14ac:dyDescent="0.25">
      <c r="A303" s="14">
        <v>50525</v>
      </c>
      <c r="B303" s="10">
        <f>29.2006 * CHOOSE(CONTROL!$C$15, $E$9, 100%, $G$9) + CHOOSE(CONTROL!$C$38, 0.0256, 0)</f>
        <v>29.226200000000002</v>
      </c>
      <c r="C303" s="10">
        <f>26.9139 * CHOOSE(CONTROL!$C$15, $E$9, 100%, $G$9) + CHOOSE(CONTROL!$C$38, 0.0347, 0)</f>
        <v>26.948600000000003</v>
      </c>
      <c r="D303" s="10">
        <f>26.9061 * CHOOSE(CONTROL!$C$15, $E$9, 100%, $G$9) + CHOOSE(CONTROL!$C$38, 0.0347, 0)</f>
        <v>26.940799999999999</v>
      </c>
      <c r="E303" s="28">
        <f>29.0443 * CHOOSE(CONTROL!$C$15, $E$9, 100%, $G$9) + CHOOSE(CONTROL!$C$38, 0.0347, 0)</f>
        <v>29.079000000000001</v>
      </c>
      <c r="F303" s="27">
        <f>29.0443 * CHOOSE(CONTROL!$C$15, $E$9, 100%, $G$9) + CHOOSE(CONTROL!$C$38, 0.0256, 0)</f>
        <v>29.069900000000001</v>
      </c>
      <c r="G303" s="10">
        <f>26.9123 * CHOOSE(CONTROL!$C$15, $E$9, 100%, $G$9) + CHOOSE(CONTROL!$C$38, 0.0347, 0)</f>
        <v>26.946999999999999</v>
      </c>
      <c r="H303" s="10">
        <f>26.9123 * CHOOSE(CONTROL!$C$15, $E$9, 100%, $G$9) + CHOOSE(CONTROL!$C$38, 0.0347, 0)</f>
        <v>26.946999999999999</v>
      </c>
      <c r="I303" s="10">
        <f>26.9139 * CHOOSE(CONTROL!$C$15, $E$9, 100%, $G$9) + CHOOSE(CONTROL!$C$38, 0.0347, 0)</f>
        <v>26.948600000000003</v>
      </c>
      <c r="J303" s="26">
        <f>186.925</f>
        <v>186.92500000000001</v>
      </c>
    </row>
    <row r="304" spans="1:10" ht="15.75" x14ac:dyDescent="0.25">
      <c r="A304" s="14">
        <v>50556</v>
      </c>
      <c r="B304" s="10">
        <f>28.6845 * CHOOSE(CONTROL!$C$15, $E$9, 100%, $G$9) + CHOOSE(CONTROL!$C$38, 0.0256, 0)</f>
        <v>28.710100000000001</v>
      </c>
      <c r="C304" s="10">
        <f>26.3978 * CHOOSE(CONTROL!$C$15, $E$9, 100%, $G$9) + CHOOSE(CONTROL!$C$38, 0.0347, 0)</f>
        <v>26.432500000000001</v>
      </c>
      <c r="D304" s="10">
        <f>26.39 * CHOOSE(CONTROL!$C$15, $E$9, 100%, $G$9) + CHOOSE(CONTROL!$C$38, 0.0347, 0)</f>
        <v>26.424700000000001</v>
      </c>
      <c r="E304" s="28">
        <f>28.5282 * CHOOSE(CONTROL!$C$15, $E$9, 100%, $G$9) + CHOOSE(CONTROL!$C$38, 0.0347, 0)</f>
        <v>28.562899999999999</v>
      </c>
      <c r="F304" s="27">
        <f>28.5282 * CHOOSE(CONTROL!$C$15, $E$9, 100%, $G$9) + CHOOSE(CONTROL!$C$38, 0.0256, 0)</f>
        <v>28.553799999999999</v>
      </c>
      <c r="G304" s="10">
        <f>26.3962 * CHOOSE(CONTROL!$C$15, $E$9, 100%, $G$9) + CHOOSE(CONTROL!$C$38, 0.0347, 0)</f>
        <v>26.430900000000001</v>
      </c>
      <c r="H304" s="10">
        <f>26.3962 * CHOOSE(CONTROL!$C$15, $E$9, 100%, $G$9) + CHOOSE(CONTROL!$C$38, 0.0347, 0)</f>
        <v>26.430900000000001</v>
      </c>
      <c r="I304" s="10">
        <f>26.3978 * CHOOSE(CONTROL!$C$15, $E$9, 100%, $G$9) + CHOOSE(CONTROL!$C$38, 0.0347, 0)</f>
        <v>26.432500000000001</v>
      </c>
      <c r="J304" s="26">
        <f>193.1978</f>
        <v>193.1978</v>
      </c>
    </row>
    <row r="305" spans="1:10" ht="15.75" x14ac:dyDescent="0.25">
      <c r="A305" s="14">
        <v>50586</v>
      </c>
      <c r="B305" s="10">
        <f>28.3227 * CHOOSE(CONTROL!$C$15, $E$9, 100%, $G$9) + CHOOSE(CONTROL!$C$38, 0.0256, 0)</f>
        <v>28.348300000000002</v>
      </c>
      <c r="C305" s="10">
        <f>26.036 * CHOOSE(CONTROL!$C$15, $E$9, 100%, $G$9) + CHOOSE(CONTROL!$C$38, 0.0347, 0)</f>
        <v>26.070700000000002</v>
      </c>
      <c r="D305" s="10">
        <f>26.0281 * CHOOSE(CONTROL!$C$15, $E$9, 100%, $G$9) + CHOOSE(CONTROL!$C$38, 0.0347, 0)</f>
        <v>26.062799999999999</v>
      </c>
      <c r="E305" s="28">
        <f>28.1664 * CHOOSE(CONTROL!$C$15, $E$9, 100%, $G$9) + CHOOSE(CONTROL!$C$38, 0.0347, 0)</f>
        <v>28.2011</v>
      </c>
      <c r="F305" s="27">
        <f>28.1664 * CHOOSE(CONTROL!$C$15, $E$9, 100%, $G$9) + CHOOSE(CONTROL!$C$38, 0.0256, 0)</f>
        <v>28.192</v>
      </c>
      <c r="G305" s="10">
        <f>26.0344 * CHOOSE(CONTROL!$C$15, $E$9, 100%, $G$9) + CHOOSE(CONTROL!$C$38, 0.0347, 0)</f>
        <v>26.069100000000002</v>
      </c>
      <c r="H305" s="10">
        <f>26.0344 * CHOOSE(CONTROL!$C$15, $E$9, 100%, $G$9) + CHOOSE(CONTROL!$C$38, 0.0347, 0)</f>
        <v>26.069100000000002</v>
      </c>
      <c r="I305" s="10">
        <f>26.036 * CHOOSE(CONTROL!$C$15, $E$9, 100%, $G$9) + CHOOSE(CONTROL!$C$38, 0.0347, 0)</f>
        <v>26.070700000000002</v>
      </c>
      <c r="J305" s="26">
        <f>195.9816</f>
        <v>195.98159999999999</v>
      </c>
    </row>
    <row r="306" spans="1:10" ht="15.75" x14ac:dyDescent="0.25">
      <c r="A306" s="14">
        <v>50617</v>
      </c>
      <c r="B306" s="10">
        <f>28.1162 * CHOOSE(CONTROL!$C$15, $E$9, 100%, $G$9) + CHOOSE(CONTROL!$C$38, 0.0256, 0)</f>
        <v>28.1418</v>
      </c>
      <c r="C306" s="10">
        <f>25.8295 * CHOOSE(CONTROL!$C$15, $E$9, 100%, $G$9) + CHOOSE(CONTROL!$C$38, 0.0347, 0)</f>
        <v>25.8642</v>
      </c>
      <c r="D306" s="10">
        <f>25.8217 * CHOOSE(CONTROL!$C$15, $E$9, 100%, $G$9) + CHOOSE(CONTROL!$C$38, 0.0347, 0)</f>
        <v>25.856400000000001</v>
      </c>
      <c r="E306" s="28">
        <f>27.9599 * CHOOSE(CONTROL!$C$15, $E$9, 100%, $G$9) + CHOOSE(CONTROL!$C$38, 0.0347, 0)</f>
        <v>27.994600000000002</v>
      </c>
      <c r="F306" s="27">
        <f>27.9599 * CHOOSE(CONTROL!$C$15, $E$9, 100%, $G$9) + CHOOSE(CONTROL!$C$38, 0.0256, 0)</f>
        <v>27.985500000000002</v>
      </c>
      <c r="G306" s="10">
        <f>25.8279 * CHOOSE(CONTROL!$C$15, $E$9, 100%, $G$9) + CHOOSE(CONTROL!$C$38, 0.0347, 0)</f>
        <v>25.8626</v>
      </c>
      <c r="H306" s="10">
        <f>25.8279 * CHOOSE(CONTROL!$C$15, $E$9, 100%, $G$9) + CHOOSE(CONTROL!$C$38, 0.0347, 0)</f>
        <v>25.8626</v>
      </c>
      <c r="I306" s="10">
        <f>25.8295 * CHOOSE(CONTROL!$C$15, $E$9, 100%, $G$9) + CHOOSE(CONTROL!$C$38, 0.0347, 0)</f>
        <v>25.8642</v>
      </c>
      <c r="J306" s="26">
        <f>195.065</f>
        <v>195.065</v>
      </c>
    </row>
    <row r="307" spans="1:10" ht="15.75" x14ac:dyDescent="0.25">
      <c r="A307" s="14">
        <v>50648</v>
      </c>
      <c r="B307" s="10">
        <f>28.2181 * CHOOSE(CONTROL!$C$15, $E$9, 100%, $G$9) + CHOOSE(CONTROL!$C$38, 0.0256, 0)</f>
        <v>28.2437</v>
      </c>
      <c r="C307" s="10">
        <f>25.9314 * CHOOSE(CONTROL!$C$15, $E$9, 100%, $G$9) + CHOOSE(CONTROL!$C$38, 0.0347, 0)</f>
        <v>25.966100000000001</v>
      </c>
      <c r="D307" s="10">
        <f>25.9236 * CHOOSE(CONTROL!$C$15, $E$9, 100%, $G$9) + CHOOSE(CONTROL!$C$38, 0.0347, 0)</f>
        <v>25.958300000000001</v>
      </c>
      <c r="E307" s="28">
        <f>28.0618 * CHOOSE(CONTROL!$C$15, $E$9, 100%, $G$9) + CHOOSE(CONTROL!$C$38, 0.0347, 0)</f>
        <v>28.096500000000002</v>
      </c>
      <c r="F307" s="27">
        <f>28.0618 * CHOOSE(CONTROL!$C$15, $E$9, 100%, $G$9) + CHOOSE(CONTROL!$C$38, 0.0256, 0)</f>
        <v>28.087400000000002</v>
      </c>
      <c r="G307" s="10">
        <f>25.9298 * CHOOSE(CONTROL!$C$15, $E$9, 100%, $G$9) + CHOOSE(CONTROL!$C$38, 0.0347, 0)</f>
        <v>25.964500000000001</v>
      </c>
      <c r="H307" s="10">
        <f>25.9298 * CHOOSE(CONTROL!$C$15, $E$9, 100%, $G$9) + CHOOSE(CONTROL!$C$38, 0.0347, 0)</f>
        <v>25.964500000000001</v>
      </c>
      <c r="I307" s="10">
        <f>25.9314 * CHOOSE(CONTROL!$C$15, $E$9, 100%, $G$9) + CHOOSE(CONTROL!$C$38, 0.0347, 0)</f>
        <v>25.966100000000001</v>
      </c>
      <c r="J307" s="26">
        <f>190.524</f>
        <v>190.524</v>
      </c>
    </row>
    <row r="308" spans="1:10" ht="15.75" x14ac:dyDescent="0.25">
      <c r="A308" s="14">
        <v>50678</v>
      </c>
      <c r="B308" s="10">
        <f>28.4949 * CHOOSE(CONTROL!$C$15, $E$9, 100%, $G$9) + CHOOSE(CONTROL!$C$38, 0.0256, 0)</f>
        <v>28.520500000000002</v>
      </c>
      <c r="C308" s="10">
        <f>26.2082 * CHOOSE(CONTROL!$C$15, $E$9, 100%, $G$9) + CHOOSE(CONTROL!$C$38, 0.0347, 0)</f>
        <v>26.242900000000002</v>
      </c>
      <c r="D308" s="10">
        <f>26.2004 * CHOOSE(CONTROL!$C$15, $E$9, 100%, $G$9) + CHOOSE(CONTROL!$C$38, 0.0347, 0)</f>
        <v>26.235099999999999</v>
      </c>
      <c r="E308" s="28">
        <f>28.3386 * CHOOSE(CONTROL!$C$15, $E$9, 100%, $G$9) + CHOOSE(CONTROL!$C$38, 0.0347, 0)</f>
        <v>28.3733</v>
      </c>
      <c r="F308" s="27">
        <f>28.3386 * CHOOSE(CONTROL!$C$15, $E$9, 100%, $G$9) + CHOOSE(CONTROL!$C$38, 0.0256, 0)</f>
        <v>28.3642</v>
      </c>
      <c r="G308" s="10">
        <f>26.2066 * CHOOSE(CONTROL!$C$15, $E$9, 100%, $G$9) + CHOOSE(CONTROL!$C$38, 0.0347, 0)</f>
        <v>26.241300000000003</v>
      </c>
      <c r="H308" s="10">
        <f>26.2066 * CHOOSE(CONTROL!$C$15, $E$9, 100%, $G$9) + CHOOSE(CONTROL!$C$38, 0.0347, 0)</f>
        <v>26.241300000000003</v>
      </c>
      <c r="I308" s="10">
        <f>26.2082 * CHOOSE(CONTROL!$C$15, $E$9, 100%, $G$9) + CHOOSE(CONTROL!$C$38, 0.0347, 0)</f>
        <v>26.242900000000002</v>
      </c>
      <c r="J308" s="26">
        <f>184.1913</f>
        <v>184.19130000000001</v>
      </c>
    </row>
    <row r="309" spans="1:10" ht="15.75" x14ac:dyDescent="0.25">
      <c r="A309" s="14">
        <v>50709</v>
      </c>
      <c r="B309" s="10">
        <f>28.7267 * CHOOSE(CONTROL!$C$15, $E$9, 100%, $G$9) + CHOOSE(CONTROL!$C$38, 0.0256, 0)</f>
        <v>28.752300000000002</v>
      </c>
      <c r="C309" s="10">
        <f>26.44 * CHOOSE(CONTROL!$C$15, $E$9, 100%, $G$9) + CHOOSE(CONTROL!$C$38, 0.0347, 0)</f>
        <v>26.474700000000002</v>
      </c>
      <c r="D309" s="10">
        <f>26.4322 * CHOOSE(CONTROL!$C$15, $E$9, 100%, $G$9) + CHOOSE(CONTROL!$C$38, 0.0347, 0)</f>
        <v>26.466900000000003</v>
      </c>
      <c r="E309" s="28">
        <f>28.5704 * CHOOSE(CONTROL!$C$15, $E$9, 100%, $G$9) + CHOOSE(CONTROL!$C$38, 0.0347, 0)</f>
        <v>28.6051</v>
      </c>
      <c r="F309" s="27">
        <f>28.5704 * CHOOSE(CONTROL!$C$15, $E$9, 100%, $G$9) + CHOOSE(CONTROL!$C$38, 0.0256, 0)</f>
        <v>28.596</v>
      </c>
      <c r="G309" s="10">
        <f>26.4384 * CHOOSE(CONTROL!$C$15, $E$9, 100%, $G$9) + CHOOSE(CONTROL!$C$38, 0.0347, 0)</f>
        <v>26.473100000000002</v>
      </c>
      <c r="H309" s="10">
        <f>26.4384 * CHOOSE(CONTROL!$C$15, $E$9, 100%, $G$9) + CHOOSE(CONTROL!$C$38, 0.0347, 0)</f>
        <v>26.473100000000002</v>
      </c>
      <c r="I309" s="10">
        <f>26.44 * CHOOSE(CONTROL!$C$15, $E$9, 100%, $G$9) + CHOOSE(CONTROL!$C$38, 0.0347, 0)</f>
        <v>26.474700000000002</v>
      </c>
      <c r="J309" s="26">
        <f>177.8218</f>
        <v>177.8218</v>
      </c>
    </row>
    <row r="310" spans="1:10" ht="15.75" x14ac:dyDescent="0.25">
      <c r="A310" s="14">
        <v>50739</v>
      </c>
      <c r="B310" s="10">
        <f>28.9201 * CHOOSE(CONTROL!$C$15, $E$9, 100%, $G$9) + CHOOSE(CONTROL!$C$38, 0.0256, 0)</f>
        <v>28.945700000000002</v>
      </c>
      <c r="C310" s="10">
        <f>26.6334 * CHOOSE(CONTROL!$C$15, $E$9, 100%, $G$9) + CHOOSE(CONTROL!$C$38, 0.0347, 0)</f>
        <v>26.668100000000003</v>
      </c>
      <c r="D310" s="10">
        <f>26.6256 * CHOOSE(CONTROL!$C$15, $E$9, 100%, $G$9) + CHOOSE(CONTROL!$C$38, 0.0347, 0)</f>
        <v>26.660299999999999</v>
      </c>
      <c r="E310" s="28">
        <f>28.7639 * CHOOSE(CONTROL!$C$15, $E$9, 100%, $G$9) + CHOOSE(CONTROL!$C$38, 0.0347, 0)</f>
        <v>28.7986</v>
      </c>
      <c r="F310" s="27">
        <f>28.7639 * CHOOSE(CONTROL!$C$15, $E$9, 100%, $G$9) + CHOOSE(CONTROL!$C$38, 0.0256, 0)</f>
        <v>28.7895</v>
      </c>
      <c r="G310" s="10">
        <f>26.6319 * CHOOSE(CONTROL!$C$15, $E$9, 100%, $G$9) + CHOOSE(CONTROL!$C$38, 0.0347, 0)</f>
        <v>26.666600000000003</v>
      </c>
      <c r="H310" s="10">
        <f>26.6319 * CHOOSE(CONTROL!$C$15, $E$9, 100%, $G$9) + CHOOSE(CONTROL!$C$38, 0.0347, 0)</f>
        <v>26.666600000000003</v>
      </c>
      <c r="I310" s="10">
        <f>26.6334 * CHOOSE(CONTROL!$C$15, $E$9, 100%, $G$9) + CHOOSE(CONTROL!$C$38, 0.0347, 0)</f>
        <v>26.668100000000003</v>
      </c>
      <c r="J310" s="26">
        <f>176.5547</f>
        <v>176.5547</v>
      </c>
    </row>
    <row r="311" spans="1:10" ht="15.75" x14ac:dyDescent="0.25">
      <c r="A311" s="14">
        <v>50770</v>
      </c>
      <c r="B311" s="10">
        <f>29.5162 * CHOOSE(CONTROL!$C$15, $E$9, 100%, $G$9) + CHOOSE(CONTROL!$C$38, 0.0256, 0)</f>
        <v>29.541800000000002</v>
      </c>
      <c r="C311" s="10">
        <f>27.2295 * CHOOSE(CONTROL!$C$15, $E$9, 100%, $G$9) + CHOOSE(CONTROL!$C$38, 0.0347, 0)</f>
        <v>27.264200000000002</v>
      </c>
      <c r="D311" s="10">
        <f>27.2217 * CHOOSE(CONTROL!$C$15, $E$9, 100%, $G$9) + CHOOSE(CONTROL!$C$38, 0.0347, 0)</f>
        <v>27.256399999999999</v>
      </c>
      <c r="E311" s="28">
        <f>29.36 * CHOOSE(CONTROL!$C$15, $E$9, 100%, $G$9) + CHOOSE(CONTROL!$C$38, 0.0347, 0)</f>
        <v>29.3947</v>
      </c>
      <c r="F311" s="27">
        <f>29.36 * CHOOSE(CONTROL!$C$15, $E$9, 100%, $G$9) + CHOOSE(CONTROL!$C$38, 0.0256, 0)</f>
        <v>29.3856</v>
      </c>
      <c r="G311" s="10">
        <f>27.2279 * CHOOSE(CONTROL!$C$15, $E$9, 100%, $G$9) + CHOOSE(CONTROL!$C$38, 0.0347, 0)</f>
        <v>27.262600000000003</v>
      </c>
      <c r="H311" s="10">
        <f>27.2279 * CHOOSE(CONTROL!$C$15, $E$9, 100%, $G$9) + CHOOSE(CONTROL!$C$38, 0.0347, 0)</f>
        <v>27.262600000000003</v>
      </c>
      <c r="I311" s="10">
        <f>27.2295 * CHOOSE(CONTROL!$C$15, $E$9, 100%, $G$9) + CHOOSE(CONTROL!$C$38, 0.0347, 0)</f>
        <v>27.264200000000002</v>
      </c>
      <c r="J311" s="26">
        <f>171.3155</f>
        <v>171.31549999999999</v>
      </c>
    </row>
    <row r="312" spans="1:10" ht="15.75" x14ac:dyDescent="0.25">
      <c r="A312" s="14">
        <v>50801</v>
      </c>
      <c r="B312" s="10">
        <f>30.4877 * CHOOSE(CONTROL!$C$15, $E$9, 100%, $G$9) + CHOOSE(CONTROL!$C$38, 0.0256, 0)</f>
        <v>30.513300000000001</v>
      </c>
      <c r="C312" s="10">
        <f>28.1633 * CHOOSE(CONTROL!$C$15, $E$9, 100%, $G$9) + CHOOSE(CONTROL!$C$38, 0.0347, 0)</f>
        <v>28.198</v>
      </c>
      <c r="D312" s="10">
        <f>28.1555 * CHOOSE(CONTROL!$C$15, $E$9, 100%, $G$9) + CHOOSE(CONTROL!$C$38, 0.0347, 0)</f>
        <v>28.190200000000001</v>
      </c>
      <c r="E312" s="28">
        <f>30.3314 * CHOOSE(CONTROL!$C$15, $E$9, 100%, $G$9) + CHOOSE(CONTROL!$C$38, 0.0347, 0)</f>
        <v>30.366099999999999</v>
      </c>
      <c r="F312" s="27">
        <f>30.3314 * CHOOSE(CONTROL!$C$15, $E$9, 100%, $G$9) + CHOOSE(CONTROL!$C$38, 0.0256, 0)</f>
        <v>30.356999999999999</v>
      </c>
      <c r="G312" s="10">
        <f>28.1618 * CHOOSE(CONTROL!$C$15, $E$9, 100%, $G$9) + CHOOSE(CONTROL!$C$38, 0.0347, 0)</f>
        <v>28.1965</v>
      </c>
      <c r="H312" s="10">
        <f>28.1618 * CHOOSE(CONTROL!$C$15, $E$9, 100%, $G$9) + CHOOSE(CONTROL!$C$38, 0.0347, 0)</f>
        <v>28.1965</v>
      </c>
      <c r="I312" s="10">
        <f>28.1633 * CHOOSE(CONTROL!$C$15, $E$9, 100%, $G$9) + CHOOSE(CONTROL!$C$38, 0.0347, 0)</f>
        <v>28.198</v>
      </c>
      <c r="J312" s="26">
        <f>170.1679</f>
        <v>170.1679</v>
      </c>
    </row>
    <row r="313" spans="1:10" ht="15.75" x14ac:dyDescent="0.25">
      <c r="A313" s="14">
        <v>50829</v>
      </c>
      <c r="B313" s="10">
        <f>30.7084 * CHOOSE(CONTROL!$C$15, $E$9, 100%, $G$9) + CHOOSE(CONTROL!$C$38, 0.0256, 0)</f>
        <v>30.734000000000002</v>
      </c>
      <c r="C313" s="10">
        <f>28.3841 * CHOOSE(CONTROL!$C$15, $E$9, 100%, $G$9) + CHOOSE(CONTROL!$C$38, 0.0347, 0)</f>
        <v>28.418800000000001</v>
      </c>
      <c r="D313" s="10">
        <f>28.3763 * CHOOSE(CONTROL!$C$15, $E$9, 100%, $G$9) + CHOOSE(CONTROL!$C$38, 0.0347, 0)</f>
        <v>28.411000000000001</v>
      </c>
      <c r="E313" s="28">
        <f>30.5522 * CHOOSE(CONTROL!$C$15, $E$9, 100%, $G$9) + CHOOSE(CONTROL!$C$38, 0.0347, 0)</f>
        <v>30.5869</v>
      </c>
      <c r="F313" s="27">
        <f>30.5522 * CHOOSE(CONTROL!$C$15, $E$9, 100%, $G$9) + CHOOSE(CONTROL!$C$38, 0.0256, 0)</f>
        <v>30.5778</v>
      </c>
      <c r="G313" s="10">
        <f>28.3825 * CHOOSE(CONTROL!$C$15, $E$9, 100%, $G$9) + CHOOSE(CONTROL!$C$38, 0.0347, 0)</f>
        <v>28.417200000000001</v>
      </c>
      <c r="H313" s="10">
        <f>28.3825 * CHOOSE(CONTROL!$C$15, $E$9, 100%, $G$9) + CHOOSE(CONTROL!$C$38, 0.0347, 0)</f>
        <v>28.417200000000001</v>
      </c>
      <c r="I313" s="10">
        <f>28.3841 * CHOOSE(CONTROL!$C$15, $E$9, 100%, $G$9) + CHOOSE(CONTROL!$C$38, 0.0347, 0)</f>
        <v>28.418800000000001</v>
      </c>
      <c r="J313" s="26">
        <f>169.6949</f>
        <v>169.69489999999999</v>
      </c>
    </row>
    <row r="314" spans="1:10" ht="15.75" x14ac:dyDescent="0.25">
      <c r="A314" s="14">
        <v>50860</v>
      </c>
      <c r="B314" s="10">
        <f>30.1974 * CHOOSE(CONTROL!$C$15, $E$9, 100%, $G$9) + CHOOSE(CONTROL!$C$38, 0.0256, 0)</f>
        <v>30.222999999999999</v>
      </c>
      <c r="C314" s="10">
        <f>27.873 * CHOOSE(CONTROL!$C$15, $E$9, 100%, $G$9) + CHOOSE(CONTROL!$C$38, 0.0347, 0)</f>
        <v>27.907700000000002</v>
      </c>
      <c r="D314" s="10">
        <f>27.8652 * CHOOSE(CONTROL!$C$15, $E$9, 100%, $G$9) + CHOOSE(CONTROL!$C$38, 0.0347, 0)</f>
        <v>27.899900000000002</v>
      </c>
      <c r="E314" s="28">
        <f>30.0411 * CHOOSE(CONTROL!$C$15, $E$9, 100%, $G$9) + CHOOSE(CONTROL!$C$38, 0.0347, 0)</f>
        <v>30.075800000000001</v>
      </c>
      <c r="F314" s="27">
        <f>30.0411 * CHOOSE(CONTROL!$C$15, $E$9, 100%, $G$9) + CHOOSE(CONTROL!$C$38, 0.0256, 0)</f>
        <v>30.066700000000001</v>
      </c>
      <c r="G314" s="10">
        <f>27.8715 * CHOOSE(CONTROL!$C$15, $E$9, 100%, $G$9) + CHOOSE(CONTROL!$C$38, 0.0347, 0)</f>
        <v>27.906200000000002</v>
      </c>
      <c r="H314" s="10">
        <f>27.8715 * CHOOSE(CONTROL!$C$15, $E$9, 100%, $G$9) + CHOOSE(CONTROL!$C$38, 0.0347, 0)</f>
        <v>27.906200000000002</v>
      </c>
      <c r="I314" s="10">
        <f>27.873 * CHOOSE(CONTROL!$C$15, $E$9, 100%, $G$9) + CHOOSE(CONTROL!$C$38, 0.0347, 0)</f>
        <v>27.907700000000002</v>
      </c>
      <c r="J314" s="26">
        <f>178.6388</f>
        <v>178.6388</v>
      </c>
    </row>
    <row r="315" spans="1:10" ht="15.75" x14ac:dyDescent="0.25">
      <c r="A315" s="14">
        <v>50890</v>
      </c>
      <c r="B315" s="10">
        <f>29.7022 * CHOOSE(CONTROL!$C$15, $E$9, 100%, $G$9) + CHOOSE(CONTROL!$C$38, 0.0256, 0)</f>
        <v>29.727800000000002</v>
      </c>
      <c r="C315" s="10">
        <f>27.3779 * CHOOSE(CONTROL!$C$15, $E$9, 100%, $G$9) + CHOOSE(CONTROL!$C$38, 0.0347, 0)</f>
        <v>27.412600000000001</v>
      </c>
      <c r="D315" s="10">
        <f>27.3701 * CHOOSE(CONTROL!$C$15, $E$9, 100%, $G$9) + CHOOSE(CONTROL!$C$38, 0.0347, 0)</f>
        <v>27.404800000000002</v>
      </c>
      <c r="E315" s="28">
        <f>29.546 * CHOOSE(CONTROL!$C$15, $E$9, 100%, $G$9) + CHOOSE(CONTROL!$C$38, 0.0347, 0)</f>
        <v>29.5807</v>
      </c>
      <c r="F315" s="27">
        <f>29.546 * CHOOSE(CONTROL!$C$15, $E$9, 100%, $G$9) + CHOOSE(CONTROL!$C$38, 0.0256, 0)</f>
        <v>29.5716</v>
      </c>
      <c r="G315" s="10">
        <f>27.3763 * CHOOSE(CONTROL!$C$15, $E$9, 100%, $G$9) + CHOOSE(CONTROL!$C$38, 0.0347, 0)</f>
        <v>27.411000000000001</v>
      </c>
      <c r="H315" s="10">
        <f>27.3763 * CHOOSE(CONTROL!$C$15, $E$9, 100%, $G$9) + CHOOSE(CONTROL!$C$38, 0.0347, 0)</f>
        <v>27.411000000000001</v>
      </c>
      <c r="I315" s="10">
        <f>27.3779 * CHOOSE(CONTROL!$C$15, $E$9, 100%, $G$9) + CHOOSE(CONTROL!$C$38, 0.0347, 0)</f>
        <v>27.412600000000001</v>
      </c>
      <c r="J315" s="26">
        <f>190.2369</f>
        <v>190.23689999999999</v>
      </c>
    </row>
    <row r="316" spans="1:10" ht="15.75" x14ac:dyDescent="0.25">
      <c r="A316" s="14">
        <v>50921</v>
      </c>
      <c r="B316" s="10">
        <f>29.1861 * CHOOSE(CONTROL!$C$15, $E$9, 100%, $G$9) + CHOOSE(CONTROL!$C$38, 0.0256, 0)</f>
        <v>29.2117</v>
      </c>
      <c r="C316" s="10">
        <f>26.8618 * CHOOSE(CONTROL!$C$15, $E$9, 100%, $G$9) + CHOOSE(CONTROL!$C$38, 0.0347, 0)</f>
        <v>26.8965</v>
      </c>
      <c r="D316" s="10">
        <f>26.8539 * CHOOSE(CONTROL!$C$15, $E$9, 100%, $G$9) + CHOOSE(CONTROL!$C$38, 0.0347, 0)</f>
        <v>26.8886</v>
      </c>
      <c r="E316" s="28">
        <f>29.0298 * CHOOSE(CONTROL!$C$15, $E$9, 100%, $G$9) + CHOOSE(CONTROL!$C$38, 0.0347, 0)</f>
        <v>29.064500000000002</v>
      </c>
      <c r="F316" s="27">
        <f>29.0298 * CHOOSE(CONTROL!$C$15, $E$9, 100%, $G$9) + CHOOSE(CONTROL!$C$38, 0.0256, 0)</f>
        <v>29.055400000000002</v>
      </c>
      <c r="G316" s="10">
        <f>26.8602 * CHOOSE(CONTROL!$C$15, $E$9, 100%, $G$9) + CHOOSE(CONTROL!$C$38, 0.0347, 0)</f>
        <v>26.8949</v>
      </c>
      <c r="H316" s="10">
        <f>26.8602 * CHOOSE(CONTROL!$C$15, $E$9, 100%, $G$9) + CHOOSE(CONTROL!$C$38, 0.0347, 0)</f>
        <v>26.8949</v>
      </c>
      <c r="I316" s="10">
        <f>26.8618 * CHOOSE(CONTROL!$C$15, $E$9, 100%, $G$9) + CHOOSE(CONTROL!$C$38, 0.0347, 0)</f>
        <v>26.8965</v>
      </c>
      <c r="J316" s="26">
        <f>196.6209</f>
        <v>196.62090000000001</v>
      </c>
    </row>
    <row r="317" spans="1:10" ht="15.75" x14ac:dyDescent="0.25">
      <c r="A317" s="14">
        <v>50951</v>
      </c>
      <c r="B317" s="10">
        <f>28.8243 * CHOOSE(CONTROL!$C$15, $E$9, 100%, $G$9) + CHOOSE(CONTROL!$C$38, 0.0256, 0)</f>
        <v>28.849900000000002</v>
      </c>
      <c r="C317" s="10">
        <f>26.4999 * CHOOSE(CONTROL!$C$15, $E$9, 100%, $G$9) + CHOOSE(CONTROL!$C$38, 0.0347, 0)</f>
        <v>26.534600000000001</v>
      </c>
      <c r="D317" s="10">
        <f>26.4921 * CHOOSE(CONTROL!$C$15, $E$9, 100%, $G$9) + CHOOSE(CONTROL!$C$38, 0.0347, 0)</f>
        <v>26.526800000000001</v>
      </c>
      <c r="E317" s="28">
        <f>28.668 * CHOOSE(CONTROL!$C$15, $E$9, 100%, $G$9) + CHOOSE(CONTROL!$C$38, 0.0347, 0)</f>
        <v>28.7027</v>
      </c>
      <c r="F317" s="27">
        <f>28.668 * CHOOSE(CONTROL!$C$15, $E$9, 100%, $G$9) + CHOOSE(CONTROL!$C$38, 0.0256, 0)</f>
        <v>28.6936</v>
      </c>
      <c r="G317" s="10">
        <f>26.4984 * CHOOSE(CONTROL!$C$15, $E$9, 100%, $G$9) + CHOOSE(CONTROL!$C$38, 0.0347, 0)</f>
        <v>26.533100000000001</v>
      </c>
      <c r="H317" s="10">
        <f>26.4984 * CHOOSE(CONTROL!$C$15, $E$9, 100%, $G$9) + CHOOSE(CONTROL!$C$38, 0.0347, 0)</f>
        <v>26.533100000000001</v>
      </c>
      <c r="I317" s="10">
        <f>26.4999 * CHOOSE(CONTROL!$C$15, $E$9, 100%, $G$9) + CHOOSE(CONTROL!$C$38, 0.0347, 0)</f>
        <v>26.534600000000001</v>
      </c>
      <c r="J317" s="26">
        <f>199.454</f>
        <v>199.45400000000001</v>
      </c>
    </row>
    <row r="318" spans="1:10" ht="15.75" x14ac:dyDescent="0.25">
      <c r="A318" s="14">
        <v>50982</v>
      </c>
      <c r="B318" s="10">
        <f>28.6178 * CHOOSE(CONTROL!$C$15, $E$9, 100%, $G$9) + CHOOSE(CONTROL!$C$38, 0.0256, 0)</f>
        <v>28.6434</v>
      </c>
      <c r="C318" s="10">
        <f>26.2934 * CHOOSE(CONTROL!$C$15, $E$9, 100%, $G$9) + CHOOSE(CONTROL!$C$38, 0.0347, 0)</f>
        <v>26.328099999999999</v>
      </c>
      <c r="D318" s="10">
        <f>26.2856 * CHOOSE(CONTROL!$C$15, $E$9, 100%, $G$9) + CHOOSE(CONTROL!$C$38, 0.0347, 0)</f>
        <v>26.3203</v>
      </c>
      <c r="E318" s="28">
        <f>28.4615 * CHOOSE(CONTROL!$C$15, $E$9, 100%, $G$9) + CHOOSE(CONTROL!$C$38, 0.0347, 0)</f>
        <v>28.496200000000002</v>
      </c>
      <c r="F318" s="27">
        <f>28.4615 * CHOOSE(CONTROL!$C$15, $E$9, 100%, $G$9) + CHOOSE(CONTROL!$C$38, 0.0256, 0)</f>
        <v>28.487100000000002</v>
      </c>
      <c r="G318" s="10">
        <f>26.2919 * CHOOSE(CONTROL!$C$15, $E$9, 100%, $G$9) + CHOOSE(CONTROL!$C$38, 0.0347, 0)</f>
        <v>26.326599999999999</v>
      </c>
      <c r="H318" s="10">
        <f>26.2919 * CHOOSE(CONTROL!$C$15, $E$9, 100%, $G$9) + CHOOSE(CONTROL!$C$38, 0.0347, 0)</f>
        <v>26.326599999999999</v>
      </c>
      <c r="I318" s="10">
        <f>26.2934 * CHOOSE(CONTROL!$C$15, $E$9, 100%, $G$9) + CHOOSE(CONTROL!$C$38, 0.0347, 0)</f>
        <v>26.328099999999999</v>
      </c>
      <c r="J318" s="26">
        <f>198.5212</f>
        <v>198.52119999999999</v>
      </c>
    </row>
    <row r="319" spans="1:10" ht="15.75" x14ac:dyDescent="0.25">
      <c r="A319" s="14">
        <v>51013</v>
      </c>
      <c r="B319" s="10">
        <f>28.7197 * CHOOSE(CONTROL!$C$15, $E$9, 100%, $G$9) + CHOOSE(CONTROL!$C$38, 0.0256, 0)</f>
        <v>28.7453</v>
      </c>
      <c r="C319" s="10">
        <f>26.3953 * CHOOSE(CONTROL!$C$15, $E$9, 100%, $G$9) + CHOOSE(CONTROL!$C$38, 0.0347, 0)</f>
        <v>26.43</v>
      </c>
      <c r="D319" s="10">
        <f>26.3875 * CHOOSE(CONTROL!$C$15, $E$9, 100%, $G$9) + CHOOSE(CONTROL!$C$38, 0.0347, 0)</f>
        <v>26.4222</v>
      </c>
      <c r="E319" s="28">
        <f>28.5634 * CHOOSE(CONTROL!$C$15, $E$9, 100%, $G$9) + CHOOSE(CONTROL!$C$38, 0.0347, 0)</f>
        <v>28.598100000000002</v>
      </c>
      <c r="F319" s="27">
        <f>28.5634 * CHOOSE(CONTROL!$C$15, $E$9, 100%, $G$9) + CHOOSE(CONTROL!$C$38, 0.0256, 0)</f>
        <v>28.589000000000002</v>
      </c>
      <c r="G319" s="10">
        <f>26.3938 * CHOOSE(CONTROL!$C$15, $E$9, 100%, $G$9) + CHOOSE(CONTROL!$C$38, 0.0347, 0)</f>
        <v>26.4285</v>
      </c>
      <c r="H319" s="10">
        <f>26.3938 * CHOOSE(CONTROL!$C$15, $E$9, 100%, $G$9) + CHOOSE(CONTROL!$C$38, 0.0347, 0)</f>
        <v>26.4285</v>
      </c>
      <c r="I319" s="10">
        <f>26.3953 * CHOOSE(CONTROL!$C$15, $E$9, 100%, $G$9) + CHOOSE(CONTROL!$C$38, 0.0347, 0)</f>
        <v>26.43</v>
      </c>
      <c r="J319" s="26">
        <f>193.8997</f>
        <v>193.8997</v>
      </c>
    </row>
    <row r="320" spans="1:10" ht="15.75" x14ac:dyDescent="0.25">
      <c r="A320" s="14">
        <v>51043</v>
      </c>
      <c r="B320" s="10">
        <f>28.9965 * CHOOSE(CONTROL!$C$15, $E$9, 100%, $G$9) + CHOOSE(CONTROL!$C$38, 0.0256, 0)</f>
        <v>29.022100000000002</v>
      </c>
      <c r="C320" s="10">
        <f>26.6721 * CHOOSE(CONTROL!$C$15, $E$9, 100%, $G$9) + CHOOSE(CONTROL!$C$38, 0.0347, 0)</f>
        <v>26.706800000000001</v>
      </c>
      <c r="D320" s="10">
        <f>26.6643 * CHOOSE(CONTROL!$C$15, $E$9, 100%, $G$9) + CHOOSE(CONTROL!$C$38, 0.0347, 0)</f>
        <v>26.699000000000002</v>
      </c>
      <c r="E320" s="28">
        <f>28.8402 * CHOOSE(CONTROL!$C$15, $E$9, 100%, $G$9) + CHOOSE(CONTROL!$C$38, 0.0347, 0)</f>
        <v>28.8749</v>
      </c>
      <c r="F320" s="27">
        <f>28.8402 * CHOOSE(CONTROL!$C$15, $E$9, 100%, $G$9) + CHOOSE(CONTROL!$C$38, 0.0256, 0)</f>
        <v>28.8658</v>
      </c>
      <c r="G320" s="10">
        <f>26.6706 * CHOOSE(CONTROL!$C$15, $E$9, 100%, $G$9) + CHOOSE(CONTROL!$C$38, 0.0347, 0)</f>
        <v>26.705300000000001</v>
      </c>
      <c r="H320" s="10">
        <f>26.6706 * CHOOSE(CONTROL!$C$15, $E$9, 100%, $G$9) + CHOOSE(CONTROL!$C$38, 0.0347, 0)</f>
        <v>26.705300000000001</v>
      </c>
      <c r="I320" s="10">
        <f>26.6721 * CHOOSE(CONTROL!$C$15, $E$9, 100%, $G$9) + CHOOSE(CONTROL!$C$38, 0.0347, 0)</f>
        <v>26.706800000000001</v>
      </c>
      <c r="J320" s="26">
        <f>187.4548</f>
        <v>187.45480000000001</v>
      </c>
    </row>
    <row r="321" spans="1:10" ht="15.75" x14ac:dyDescent="0.25">
      <c r="A321" s="14">
        <v>51074</v>
      </c>
      <c r="B321" s="10">
        <f>29.2283 * CHOOSE(CONTROL!$C$15, $E$9, 100%, $G$9) + CHOOSE(CONTROL!$C$38, 0.0256, 0)</f>
        <v>29.253900000000002</v>
      </c>
      <c r="C321" s="10">
        <f>26.904 * CHOOSE(CONTROL!$C$15, $E$9, 100%, $G$9) + CHOOSE(CONTROL!$C$38, 0.0347, 0)</f>
        <v>26.938700000000001</v>
      </c>
      <c r="D321" s="10">
        <f>26.8961 * CHOOSE(CONTROL!$C$15, $E$9, 100%, $G$9) + CHOOSE(CONTROL!$C$38, 0.0347, 0)</f>
        <v>26.930800000000001</v>
      </c>
      <c r="E321" s="28">
        <f>29.072 * CHOOSE(CONTROL!$C$15, $E$9, 100%, $G$9) + CHOOSE(CONTROL!$C$38, 0.0347, 0)</f>
        <v>29.1067</v>
      </c>
      <c r="F321" s="27">
        <f>29.072 * CHOOSE(CONTROL!$C$15, $E$9, 100%, $G$9) + CHOOSE(CONTROL!$C$38, 0.0256, 0)</f>
        <v>29.0976</v>
      </c>
      <c r="G321" s="10">
        <f>26.9024 * CHOOSE(CONTROL!$C$15, $E$9, 100%, $G$9) + CHOOSE(CONTROL!$C$38, 0.0347, 0)</f>
        <v>26.937100000000001</v>
      </c>
      <c r="H321" s="10">
        <f>26.9024 * CHOOSE(CONTROL!$C$15, $E$9, 100%, $G$9) + CHOOSE(CONTROL!$C$38, 0.0347, 0)</f>
        <v>26.937100000000001</v>
      </c>
      <c r="I321" s="10">
        <f>26.904 * CHOOSE(CONTROL!$C$15, $E$9, 100%, $G$9) + CHOOSE(CONTROL!$C$38, 0.0347, 0)</f>
        <v>26.938700000000001</v>
      </c>
      <c r="J321" s="26">
        <f>180.9724</f>
        <v>180.97239999999999</v>
      </c>
    </row>
    <row r="322" spans="1:10" ht="15.75" x14ac:dyDescent="0.25">
      <c r="A322" s="14">
        <v>51104</v>
      </c>
      <c r="B322" s="10">
        <f>29.4217 * CHOOSE(CONTROL!$C$15, $E$9, 100%, $G$9) + CHOOSE(CONTROL!$C$38, 0.0256, 0)</f>
        <v>29.447300000000002</v>
      </c>
      <c r="C322" s="10">
        <f>27.0974 * CHOOSE(CONTROL!$C$15, $E$9, 100%, $G$9) + CHOOSE(CONTROL!$C$38, 0.0347, 0)</f>
        <v>27.132100000000001</v>
      </c>
      <c r="D322" s="10">
        <f>27.0896 * CHOOSE(CONTROL!$C$15, $E$9, 100%, $G$9) + CHOOSE(CONTROL!$C$38, 0.0347, 0)</f>
        <v>27.124300000000002</v>
      </c>
      <c r="E322" s="28">
        <f>29.2655 * CHOOSE(CONTROL!$C$15, $E$9, 100%, $G$9) + CHOOSE(CONTROL!$C$38, 0.0347, 0)</f>
        <v>29.3002</v>
      </c>
      <c r="F322" s="27">
        <f>29.2655 * CHOOSE(CONTROL!$C$15, $E$9, 100%, $G$9) + CHOOSE(CONTROL!$C$38, 0.0256, 0)</f>
        <v>29.2911</v>
      </c>
      <c r="G322" s="10">
        <f>27.0958 * CHOOSE(CONTROL!$C$15, $E$9, 100%, $G$9) + CHOOSE(CONTROL!$C$38, 0.0347, 0)</f>
        <v>27.130500000000001</v>
      </c>
      <c r="H322" s="10">
        <f>27.0958 * CHOOSE(CONTROL!$C$15, $E$9, 100%, $G$9) + CHOOSE(CONTROL!$C$38, 0.0347, 0)</f>
        <v>27.130500000000001</v>
      </c>
      <c r="I322" s="10">
        <f>27.0974 * CHOOSE(CONTROL!$C$15, $E$9, 100%, $G$9) + CHOOSE(CONTROL!$C$38, 0.0347, 0)</f>
        <v>27.132100000000001</v>
      </c>
      <c r="J322" s="26">
        <f>179.683</f>
        <v>179.68299999999999</v>
      </c>
    </row>
    <row r="323" spans="1:10" ht="15.75" x14ac:dyDescent="0.25">
      <c r="A323" s="14">
        <v>51135</v>
      </c>
      <c r="B323" s="10">
        <f>30.0178 * CHOOSE(CONTROL!$C$15, $E$9, 100%, $G$9) + CHOOSE(CONTROL!$C$38, 0.0256, 0)</f>
        <v>30.043400000000002</v>
      </c>
      <c r="C323" s="10">
        <f>27.6935 * CHOOSE(CONTROL!$C$15, $E$9, 100%, $G$9) + CHOOSE(CONTROL!$C$38, 0.0347, 0)</f>
        <v>27.728200000000001</v>
      </c>
      <c r="D323" s="10">
        <f>27.6857 * CHOOSE(CONTROL!$C$15, $E$9, 100%, $G$9) + CHOOSE(CONTROL!$C$38, 0.0347, 0)</f>
        <v>27.720400000000001</v>
      </c>
      <c r="E323" s="28">
        <f>29.8616 * CHOOSE(CONTROL!$C$15, $E$9, 100%, $G$9) + CHOOSE(CONTROL!$C$38, 0.0347, 0)</f>
        <v>29.8963</v>
      </c>
      <c r="F323" s="27">
        <f>29.8616 * CHOOSE(CONTROL!$C$15, $E$9, 100%, $G$9) + CHOOSE(CONTROL!$C$38, 0.0256, 0)</f>
        <v>29.8872</v>
      </c>
      <c r="G323" s="10">
        <f>27.6919 * CHOOSE(CONTROL!$C$15, $E$9, 100%, $G$9) + CHOOSE(CONTROL!$C$38, 0.0347, 0)</f>
        <v>27.726600000000001</v>
      </c>
      <c r="H323" s="10">
        <f>27.6919 * CHOOSE(CONTROL!$C$15, $E$9, 100%, $G$9) + CHOOSE(CONTROL!$C$38, 0.0347, 0)</f>
        <v>27.726600000000001</v>
      </c>
      <c r="I323" s="10">
        <f>27.6935 * CHOOSE(CONTROL!$C$15, $E$9, 100%, $G$9) + CHOOSE(CONTROL!$C$38, 0.0347, 0)</f>
        <v>27.728200000000001</v>
      </c>
      <c r="J323" s="26">
        <f>174.3509</f>
        <v>174.3509</v>
      </c>
    </row>
    <row r="324" spans="1:10" ht="15.75" x14ac:dyDescent="0.25">
      <c r="A324" s="14">
        <v>51166</v>
      </c>
      <c r="B324" s="10">
        <f>30.9981 * CHOOSE(CONTROL!$C$15, $E$9, 100%, $G$9) + CHOOSE(CONTROL!$C$38, 0.0256, 0)</f>
        <v>31.023700000000002</v>
      </c>
      <c r="C324" s="10">
        <f>28.6355 * CHOOSE(CONTROL!$C$15, $E$9, 100%, $G$9) + CHOOSE(CONTROL!$C$38, 0.0347, 0)</f>
        <v>28.670200000000001</v>
      </c>
      <c r="D324" s="10">
        <f>28.6277 * CHOOSE(CONTROL!$C$15, $E$9, 100%, $G$9) + CHOOSE(CONTROL!$C$38, 0.0347, 0)</f>
        <v>28.662400000000002</v>
      </c>
      <c r="E324" s="28">
        <f>30.8419 * CHOOSE(CONTROL!$C$15, $E$9, 100%, $G$9) + CHOOSE(CONTROL!$C$38, 0.0347, 0)</f>
        <v>30.8766</v>
      </c>
      <c r="F324" s="27">
        <f>30.8419 * CHOOSE(CONTROL!$C$15, $E$9, 100%, $G$9) + CHOOSE(CONTROL!$C$38, 0.0256, 0)</f>
        <v>30.8675</v>
      </c>
      <c r="G324" s="10">
        <f>28.6339 * CHOOSE(CONTROL!$C$15, $E$9, 100%, $G$9) + CHOOSE(CONTROL!$C$38, 0.0347, 0)</f>
        <v>28.668600000000001</v>
      </c>
      <c r="H324" s="10">
        <f>28.6339 * CHOOSE(CONTROL!$C$15, $E$9, 100%, $G$9) + CHOOSE(CONTROL!$C$38, 0.0347, 0)</f>
        <v>28.668600000000001</v>
      </c>
      <c r="I324" s="10">
        <f>28.6355 * CHOOSE(CONTROL!$C$15, $E$9, 100%, $G$9) + CHOOSE(CONTROL!$C$38, 0.0347, 0)</f>
        <v>28.670200000000001</v>
      </c>
      <c r="J324" s="26">
        <f>173.183</f>
        <v>173.18299999999999</v>
      </c>
    </row>
    <row r="325" spans="1:10" ht="15.75" x14ac:dyDescent="0.25">
      <c r="A325" s="14">
        <v>51194</v>
      </c>
      <c r="B325" s="10">
        <f>31.2189 * CHOOSE(CONTROL!$C$15, $E$9, 100%, $G$9) + CHOOSE(CONTROL!$C$38, 0.0256, 0)</f>
        <v>31.244500000000002</v>
      </c>
      <c r="C325" s="10">
        <f>28.8562 * CHOOSE(CONTROL!$C$15, $E$9, 100%, $G$9) + CHOOSE(CONTROL!$C$38, 0.0347, 0)</f>
        <v>28.890900000000002</v>
      </c>
      <c r="D325" s="10">
        <f>28.8484 * CHOOSE(CONTROL!$C$15, $E$9, 100%, $G$9) + CHOOSE(CONTROL!$C$38, 0.0347, 0)</f>
        <v>28.883100000000002</v>
      </c>
      <c r="E325" s="28">
        <f>31.0626 * CHOOSE(CONTROL!$C$15, $E$9, 100%, $G$9) + CHOOSE(CONTROL!$C$38, 0.0347, 0)</f>
        <v>31.097300000000001</v>
      </c>
      <c r="F325" s="27">
        <f>31.0626 * CHOOSE(CONTROL!$C$15, $E$9, 100%, $G$9) + CHOOSE(CONTROL!$C$38, 0.0256, 0)</f>
        <v>31.088200000000001</v>
      </c>
      <c r="G325" s="10">
        <f>28.8547 * CHOOSE(CONTROL!$C$15, $E$9, 100%, $G$9) + CHOOSE(CONTROL!$C$38, 0.0347, 0)</f>
        <v>28.889400000000002</v>
      </c>
      <c r="H325" s="10">
        <f>28.8547 * CHOOSE(CONTROL!$C$15, $E$9, 100%, $G$9) + CHOOSE(CONTROL!$C$38, 0.0347, 0)</f>
        <v>28.889400000000002</v>
      </c>
      <c r="I325" s="10">
        <f>28.8562 * CHOOSE(CONTROL!$C$15, $E$9, 100%, $G$9) + CHOOSE(CONTROL!$C$38, 0.0347, 0)</f>
        <v>28.890900000000002</v>
      </c>
      <c r="J325" s="26">
        <f>172.7016</f>
        <v>172.70160000000001</v>
      </c>
    </row>
    <row r="326" spans="1:10" ht="15.75" x14ac:dyDescent="0.25">
      <c r="A326" s="14">
        <v>51226</v>
      </c>
      <c r="B326" s="10">
        <f>30.7079 * CHOOSE(CONTROL!$C$15, $E$9, 100%, $G$9) + CHOOSE(CONTROL!$C$38, 0.0256, 0)</f>
        <v>30.733499999999999</v>
      </c>
      <c r="C326" s="10">
        <f>28.3452 * CHOOSE(CONTROL!$C$15, $E$9, 100%, $G$9) + CHOOSE(CONTROL!$C$38, 0.0347, 0)</f>
        <v>28.379899999999999</v>
      </c>
      <c r="D326" s="10">
        <f>28.3374 * CHOOSE(CONTROL!$C$15, $E$9, 100%, $G$9) + CHOOSE(CONTROL!$C$38, 0.0347, 0)</f>
        <v>28.3721</v>
      </c>
      <c r="E326" s="28">
        <f>30.5516 * CHOOSE(CONTROL!$C$15, $E$9, 100%, $G$9) + CHOOSE(CONTROL!$C$38, 0.0347, 0)</f>
        <v>30.586300000000001</v>
      </c>
      <c r="F326" s="27">
        <f>30.5516 * CHOOSE(CONTROL!$C$15, $E$9, 100%, $G$9) + CHOOSE(CONTROL!$C$38, 0.0256, 0)</f>
        <v>30.577200000000001</v>
      </c>
      <c r="G326" s="10">
        <f>28.3436 * CHOOSE(CONTROL!$C$15, $E$9, 100%, $G$9) + CHOOSE(CONTROL!$C$38, 0.0347, 0)</f>
        <v>28.378299999999999</v>
      </c>
      <c r="H326" s="10">
        <f>28.3436 * CHOOSE(CONTROL!$C$15, $E$9, 100%, $G$9) + CHOOSE(CONTROL!$C$38, 0.0347, 0)</f>
        <v>28.378299999999999</v>
      </c>
      <c r="I326" s="10">
        <f>28.3452 * CHOOSE(CONTROL!$C$15, $E$9, 100%, $G$9) + CHOOSE(CONTROL!$C$38, 0.0347, 0)</f>
        <v>28.379899999999999</v>
      </c>
      <c r="J326" s="26">
        <f>181.804</f>
        <v>181.804</v>
      </c>
    </row>
    <row r="327" spans="1:10" ht="15.75" x14ac:dyDescent="0.25">
      <c r="A327" s="14">
        <v>51256</v>
      </c>
      <c r="B327" s="10">
        <f>30.2127 * CHOOSE(CONTROL!$C$15, $E$9, 100%, $G$9) + CHOOSE(CONTROL!$C$38, 0.0256, 0)</f>
        <v>30.238300000000002</v>
      </c>
      <c r="C327" s="10">
        <f>27.85 * CHOOSE(CONTROL!$C$15, $E$9, 100%, $G$9) + CHOOSE(CONTROL!$C$38, 0.0347, 0)</f>
        <v>27.884700000000002</v>
      </c>
      <c r="D327" s="10">
        <f>27.8422 * CHOOSE(CONTROL!$C$15, $E$9, 100%, $G$9) + CHOOSE(CONTROL!$C$38, 0.0347, 0)</f>
        <v>27.876899999999999</v>
      </c>
      <c r="E327" s="28">
        <f>30.0564 * CHOOSE(CONTROL!$C$15, $E$9, 100%, $G$9) + CHOOSE(CONTROL!$C$38, 0.0347, 0)</f>
        <v>30.091100000000001</v>
      </c>
      <c r="F327" s="27">
        <f>30.0564 * CHOOSE(CONTROL!$C$15, $E$9, 100%, $G$9) + CHOOSE(CONTROL!$C$38, 0.0256, 0)</f>
        <v>30.082000000000001</v>
      </c>
      <c r="G327" s="10">
        <f>27.8485 * CHOOSE(CONTROL!$C$15, $E$9, 100%, $G$9) + CHOOSE(CONTROL!$C$38, 0.0347, 0)</f>
        <v>27.883200000000002</v>
      </c>
      <c r="H327" s="10">
        <f>27.8485 * CHOOSE(CONTROL!$C$15, $E$9, 100%, $G$9) + CHOOSE(CONTROL!$C$38, 0.0347, 0)</f>
        <v>27.883200000000002</v>
      </c>
      <c r="I327" s="10">
        <f>27.85 * CHOOSE(CONTROL!$C$15, $E$9, 100%, $G$9) + CHOOSE(CONTROL!$C$38, 0.0347, 0)</f>
        <v>27.884700000000002</v>
      </c>
      <c r="J327" s="26">
        <f>193.6076</f>
        <v>193.60759999999999</v>
      </c>
    </row>
    <row r="328" spans="1:10" ht="15.75" x14ac:dyDescent="0.25">
      <c r="A328" s="14">
        <v>51287</v>
      </c>
      <c r="B328" s="10">
        <f>29.6966 * CHOOSE(CONTROL!$C$15, $E$9, 100%, $G$9) + CHOOSE(CONTROL!$C$38, 0.0256, 0)</f>
        <v>29.722200000000001</v>
      </c>
      <c r="C328" s="10">
        <f>27.3339 * CHOOSE(CONTROL!$C$15, $E$9, 100%, $G$9) + CHOOSE(CONTROL!$C$38, 0.0347, 0)</f>
        <v>27.368600000000001</v>
      </c>
      <c r="D328" s="10">
        <f>27.3261 * CHOOSE(CONTROL!$C$15, $E$9, 100%, $G$9) + CHOOSE(CONTROL!$C$38, 0.0347, 0)</f>
        <v>27.360800000000001</v>
      </c>
      <c r="E328" s="28">
        <f>29.5403 * CHOOSE(CONTROL!$C$15, $E$9, 100%, $G$9) + CHOOSE(CONTROL!$C$38, 0.0347, 0)</f>
        <v>29.574999999999999</v>
      </c>
      <c r="F328" s="27">
        <f>29.5403 * CHOOSE(CONTROL!$C$15, $E$9, 100%, $G$9) + CHOOSE(CONTROL!$C$38, 0.0256, 0)</f>
        <v>29.565899999999999</v>
      </c>
      <c r="G328" s="10">
        <f>27.3324 * CHOOSE(CONTROL!$C$15, $E$9, 100%, $G$9) + CHOOSE(CONTROL!$C$38, 0.0347, 0)</f>
        <v>27.367100000000001</v>
      </c>
      <c r="H328" s="10">
        <f>27.3324 * CHOOSE(CONTROL!$C$15, $E$9, 100%, $G$9) + CHOOSE(CONTROL!$C$38, 0.0347, 0)</f>
        <v>27.367100000000001</v>
      </c>
      <c r="I328" s="10">
        <f>27.3339 * CHOOSE(CONTROL!$C$15, $E$9, 100%, $G$9) + CHOOSE(CONTROL!$C$38, 0.0347, 0)</f>
        <v>27.368600000000001</v>
      </c>
      <c r="J328" s="26">
        <f>200.1046</f>
        <v>200.1046</v>
      </c>
    </row>
    <row r="329" spans="1:10" ht="15.75" x14ac:dyDescent="0.25">
      <c r="A329" s="14">
        <v>51317</v>
      </c>
      <c r="B329" s="10">
        <f>29.3347 * CHOOSE(CONTROL!$C$15, $E$9, 100%, $G$9) + CHOOSE(CONTROL!$C$38, 0.0256, 0)</f>
        <v>29.360300000000002</v>
      </c>
      <c r="C329" s="10">
        <f>26.9721 * CHOOSE(CONTROL!$C$15, $E$9, 100%, $G$9) + CHOOSE(CONTROL!$C$38, 0.0347, 0)</f>
        <v>27.006800000000002</v>
      </c>
      <c r="D329" s="10">
        <f>26.9643 * CHOOSE(CONTROL!$C$15, $E$9, 100%, $G$9) + CHOOSE(CONTROL!$C$38, 0.0347, 0)</f>
        <v>26.999000000000002</v>
      </c>
      <c r="E329" s="28">
        <f>29.1785 * CHOOSE(CONTROL!$C$15, $E$9, 100%, $G$9) + CHOOSE(CONTROL!$C$38, 0.0347, 0)</f>
        <v>29.213200000000001</v>
      </c>
      <c r="F329" s="27">
        <f>29.1785 * CHOOSE(CONTROL!$C$15, $E$9, 100%, $G$9) + CHOOSE(CONTROL!$C$38, 0.0256, 0)</f>
        <v>29.2041</v>
      </c>
      <c r="G329" s="10">
        <f>26.9705 * CHOOSE(CONTROL!$C$15, $E$9, 100%, $G$9) + CHOOSE(CONTROL!$C$38, 0.0347, 0)</f>
        <v>27.005200000000002</v>
      </c>
      <c r="H329" s="10">
        <f>26.9705 * CHOOSE(CONTROL!$C$15, $E$9, 100%, $G$9) + CHOOSE(CONTROL!$C$38, 0.0347, 0)</f>
        <v>27.005200000000002</v>
      </c>
      <c r="I329" s="10">
        <f>26.9721 * CHOOSE(CONTROL!$C$15, $E$9, 100%, $G$9) + CHOOSE(CONTROL!$C$38, 0.0347, 0)</f>
        <v>27.006800000000002</v>
      </c>
      <c r="J329" s="26">
        <f>202.9879</f>
        <v>202.9879</v>
      </c>
    </row>
    <row r="330" spans="1:10" ht="15.75" x14ac:dyDescent="0.25">
      <c r="A330" s="14">
        <v>51348</v>
      </c>
      <c r="B330" s="10">
        <f>29.1282 * CHOOSE(CONTROL!$C$15, $E$9, 100%, $G$9) + CHOOSE(CONTROL!$C$38, 0.0256, 0)</f>
        <v>29.1538</v>
      </c>
      <c r="C330" s="10">
        <f>26.7656 * CHOOSE(CONTROL!$C$15, $E$9, 100%, $G$9) + CHOOSE(CONTROL!$C$38, 0.0347, 0)</f>
        <v>26.8003</v>
      </c>
      <c r="D330" s="10">
        <f>26.7578 * CHOOSE(CONTROL!$C$15, $E$9, 100%, $G$9) + CHOOSE(CONTROL!$C$38, 0.0347, 0)</f>
        <v>26.7925</v>
      </c>
      <c r="E330" s="28">
        <f>28.972 * CHOOSE(CONTROL!$C$15, $E$9, 100%, $G$9) + CHOOSE(CONTROL!$C$38, 0.0347, 0)</f>
        <v>29.006700000000002</v>
      </c>
      <c r="F330" s="27">
        <f>28.972 * CHOOSE(CONTROL!$C$15, $E$9, 100%, $G$9) + CHOOSE(CONTROL!$C$38, 0.0256, 0)</f>
        <v>28.997600000000002</v>
      </c>
      <c r="G330" s="10">
        <f>26.764 * CHOOSE(CONTROL!$C$15, $E$9, 100%, $G$9) + CHOOSE(CONTROL!$C$38, 0.0347, 0)</f>
        <v>26.7987</v>
      </c>
      <c r="H330" s="10">
        <f>26.764 * CHOOSE(CONTROL!$C$15, $E$9, 100%, $G$9) + CHOOSE(CONTROL!$C$38, 0.0347, 0)</f>
        <v>26.7987</v>
      </c>
      <c r="I330" s="10">
        <f>26.7656 * CHOOSE(CONTROL!$C$15, $E$9, 100%, $G$9) + CHOOSE(CONTROL!$C$38, 0.0347, 0)</f>
        <v>26.8003</v>
      </c>
      <c r="J330" s="26">
        <f>202.0386</f>
        <v>202.0386</v>
      </c>
    </row>
    <row r="331" spans="1:10" ht="15.75" x14ac:dyDescent="0.25">
      <c r="A331" s="14">
        <v>51379</v>
      </c>
      <c r="B331" s="10">
        <f>29.2301 * CHOOSE(CONTROL!$C$15, $E$9, 100%, $G$9) + CHOOSE(CONTROL!$C$38, 0.0256, 0)</f>
        <v>29.255700000000001</v>
      </c>
      <c r="C331" s="10">
        <f>26.8675 * CHOOSE(CONTROL!$C$15, $E$9, 100%, $G$9) + CHOOSE(CONTROL!$C$38, 0.0347, 0)</f>
        <v>26.902200000000001</v>
      </c>
      <c r="D331" s="10">
        <f>26.8597 * CHOOSE(CONTROL!$C$15, $E$9, 100%, $G$9) + CHOOSE(CONTROL!$C$38, 0.0347, 0)</f>
        <v>26.894400000000001</v>
      </c>
      <c r="E331" s="28">
        <f>29.0739 * CHOOSE(CONTROL!$C$15, $E$9, 100%, $G$9) + CHOOSE(CONTROL!$C$38, 0.0347, 0)</f>
        <v>29.108599999999999</v>
      </c>
      <c r="F331" s="27">
        <f>29.0739 * CHOOSE(CONTROL!$C$15, $E$9, 100%, $G$9) + CHOOSE(CONTROL!$C$38, 0.0256, 0)</f>
        <v>29.099499999999999</v>
      </c>
      <c r="G331" s="10">
        <f>26.8659 * CHOOSE(CONTROL!$C$15, $E$9, 100%, $G$9) + CHOOSE(CONTROL!$C$38, 0.0347, 0)</f>
        <v>26.900600000000001</v>
      </c>
      <c r="H331" s="10">
        <f>26.8659 * CHOOSE(CONTROL!$C$15, $E$9, 100%, $G$9) + CHOOSE(CONTROL!$C$38, 0.0347, 0)</f>
        <v>26.900600000000001</v>
      </c>
      <c r="I331" s="10">
        <f>26.8675 * CHOOSE(CONTROL!$C$15, $E$9, 100%, $G$9) + CHOOSE(CONTROL!$C$38, 0.0347, 0)</f>
        <v>26.902200000000001</v>
      </c>
      <c r="J331" s="26">
        <f>197.3352</f>
        <v>197.33519999999999</v>
      </c>
    </row>
    <row r="332" spans="1:10" ht="15.75" x14ac:dyDescent="0.25">
      <c r="A332" s="14">
        <v>51409</v>
      </c>
      <c r="B332" s="10">
        <f>29.5069 * CHOOSE(CONTROL!$C$15, $E$9, 100%, $G$9) + CHOOSE(CONTROL!$C$38, 0.0256, 0)</f>
        <v>29.532500000000002</v>
      </c>
      <c r="C332" s="10">
        <f>27.1443 * CHOOSE(CONTROL!$C$15, $E$9, 100%, $G$9) + CHOOSE(CONTROL!$C$38, 0.0347, 0)</f>
        <v>27.179000000000002</v>
      </c>
      <c r="D332" s="10">
        <f>27.1365 * CHOOSE(CONTROL!$C$15, $E$9, 100%, $G$9) + CHOOSE(CONTROL!$C$38, 0.0347, 0)</f>
        <v>27.171200000000002</v>
      </c>
      <c r="E332" s="28">
        <f>29.3507 * CHOOSE(CONTROL!$C$15, $E$9, 100%, $G$9) + CHOOSE(CONTROL!$C$38, 0.0347, 0)</f>
        <v>29.385400000000001</v>
      </c>
      <c r="F332" s="27">
        <f>29.3507 * CHOOSE(CONTROL!$C$15, $E$9, 100%, $G$9) + CHOOSE(CONTROL!$C$38, 0.0256, 0)</f>
        <v>29.376300000000001</v>
      </c>
      <c r="G332" s="10">
        <f>27.1427 * CHOOSE(CONTROL!$C$15, $E$9, 100%, $G$9) + CHOOSE(CONTROL!$C$38, 0.0347, 0)</f>
        <v>27.177400000000002</v>
      </c>
      <c r="H332" s="10">
        <f>27.1427 * CHOOSE(CONTROL!$C$15, $E$9, 100%, $G$9) + CHOOSE(CONTROL!$C$38, 0.0347, 0)</f>
        <v>27.177400000000002</v>
      </c>
      <c r="I332" s="10">
        <f>27.1443 * CHOOSE(CONTROL!$C$15, $E$9, 100%, $G$9) + CHOOSE(CONTROL!$C$38, 0.0347, 0)</f>
        <v>27.179000000000002</v>
      </c>
      <c r="J332" s="26">
        <f>190.7762</f>
        <v>190.77619999999999</v>
      </c>
    </row>
    <row r="333" spans="1:10" ht="15.75" x14ac:dyDescent="0.25">
      <c r="A333" s="14">
        <v>51440</v>
      </c>
      <c r="B333" s="10">
        <f>29.7388 * CHOOSE(CONTROL!$C$15, $E$9, 100%, $G$9) + CHOOSE(CONTROL!$C$38, 0.0256, 0)</f>
        <v>29.764400000000002</v>
      </c>
      <c r="C333" s="10">
        <f>27.3761 * CHOOSE(CONTROL!$C$15, $E$9, 100%, $G$9) + CHOOSE(CONTROL!$C$38, 0.0347, 0)</f>
        <v>27.410800000000002</v>
      </c>
      <c r="D333" s="10">
        <f>27.3683 * CHOOSE(CONTROL!$C$15, $E$9, 100%, $G$9) + CHOOSE(CONTROL!$C$38, 0.0347, 0)</f>
        <v>27.403000000000002</v>
      </c>
      <c r="E333" s="28">
        <f>29.5825 * CHOOSE(CONTROL!$C$15, $E$9, 100%, $G$9) + CHOOSE(CONTROL!$C$38, 0.0347, 0)</f>
        <v>29.6172</v>
      </c>
      <c r="F333" s="27">
        <f>29.5825 * CHOOSE(CONTROL!$C$15, $E$9, 100%, $G$9) + CHOOSE(CONTROL!$C$38, 0.0256, 0)</f>
        <v>29.6081</v>
      </c>
      <c r="G333" s="10">
        <f>27.3746 * CHOOSE(CONTROL!$C$15, $E$9, 100%, $G$9) + CHOOSE(CONTROL!$C$38, 0.0347, 0)</f>
        <v>27.409300000000002</v>
      </c>
      <c r="H333" s="10">
        <f>27.3746 * CHOOSE(CONTROL!$C$15, $E$9, 100%, $G$9) + CHOOSE(CONTROL!$C$38, 0.0347, 0)</f>
        <v>27.409300000000002</v>
      </c>
      <c r="I333" s="10">
        <f>27.3761 * CHOOSE(CONTROL!$C$15, $E$9, 100%, $G$9) + CHOOSE(CONTROL!$C$38, 0.0347, 0)</f>
        <v>27.410800000000002</v>
      </c>
      <c r="J333" s="26">
        <f>184.1789</f>
        <v>184.1789</v>
      </c>
    </row>
    <row r="334" spans="1:10" ht="15.75" x14ac:dyDescent="0.25">
      <c r="A334" s="14">
        <v>51470</v>
      </c>
      <c r="B334" s="10">
        <f>29.9322 * CHOOSE(CONTROL!$C$15, $E$9, 100%, $G$9) + CHOOSE(CONTROL!$C$38, 0.0256, 0)</f>
        <v>29.957800000000002</v>
      </c>
      <c r="C334" s="10">
        <f>27.5696 * CHOOSE(CONTROL!$C$15, $E$9, 100%, $G$9) + CHOOSE(CONTROL!$C$38, 0.0347, 0)</f>
        <v>27.604300000000002</v>
      </c>
      <c r="D334" s="10">
        <f>27.5617 * CHOOSE(CONTROL!$C$15, $E$9, 100%, $G$9) + CHOOSE(CONTROL!$C$38, 0.0347, 0)</f>
        <v>27.596399999999999</v>
      </c>
      <c r="E334" s="28">
        <f>29.776 * CHOOSE(CONTROL!$C$15, $E$9, 100%, $G$9) + CHOOSE(CONTROL!$C$38, 0.0347, 0)</f>
        <v>29.810700000000001</v>
      </c>
      <c r="F334" s="27">
        <f>29.776 * CHOOSE(CONTROL!$C$15, $E$9, 100%, $G$9) + CHOOSE(CONTROL!$C$38, 0.0256, 0)</f>
        <v>29.801600000000001</v>
      </c>
      <c r="G334" s="10">
        <f>27.568 * CHOOSE(CONTROL!$C$15, $E$9, 100%, $G$9) + CHOOSE(CONTROL!$C$38, 0.0347, 0)</f>
        <v>27.602700000000002</v>
      </c>
      <c r="H334" s="10">
        <f>27.568 * CHOOSE(CONTROL!$C$15, $E$9, 100%, $G$9) + CHOOSE(CONTROL!$C$38, 0.0347, 0)</f>
        <v>27.602700000000002</v>
      </c>
      <c r="I334" s="10">
        <f>27.5696 * CHOOSE(CONTROL!$C$15, $E$9, 100%, $G$9) + CHOOSE(CONTROL!$C$38, 0.0347, 0)</f>
        <v>27.604300000000002</v>
      </c>
      <c r="J334" s="26">
        <f>182.8666</f>
        <v>182.86660000000001</v>
      </c>
    </row>
    <row r="335" spans="1:10" ht="15.75" x14ac:dyDescent="0.25">
      <c r="A335" s="14">
        <v>51501</v>
      </c>
      <c r="B335" s="10">
        <f>30.5283 * CHOOSE(CONTROL!$C$15, $E$9, 100%, $G$9) + CHOOSE(CONTROL!$C$38, 0.0256, 0)</f>
        <v>30.553900000000002</v>
      </c>
      <c r="C335" s="10">
        <f>28.1656 * CHOOSE(CONTROL!$C$15, $E$9, 100%, $G$9) + CHOOSE(CONTROL!$C$38, 0.0347, 0)</f>
        <v>28.200300000000002</v>
      </c>
      <c r="D335" s="10">
        <f>28.1578 * CHOOSE(CONTROL!$C$15, $E$9, 100%, $G$9) + CHOOSE(CONTROL!$C$38, 0.0347, 0)</f>
        <v>28.192500000000003</v>
      </c>
      <c r="E335" s="28">
        <f>30.372 * CHOOSE(CONTROL!$C$15, $E$9, 100%, $G$9) + CHOOSE(CONTROL!$C$38, 0.0347, 0)</f>
        <v>30.406700000000001</v>
      </c>
      <c r="F335" s="27">
        <f>30.372 * CHOOSE(CONTROL!$C$15, $E$9, 100%, $G$9) + CHOOSE(CONTROL!$C$38, 0.0256, 0)</f>
        <v>30.397600000000001</v>
      </c>
      <c r="G335" s="10">
        <f>28.1641 * CHOOSE(CONTROL!$C$15, $E$9, 100%, $G$9) + CHOOSE(CONTROL!$C$38, 0.0347, 0)</f>
        <v>28.198800000000002</v>
      </c>
      <c r="H335" s="10">
        <f>28.1641 * CHOOSE(CONTROL!$C$15, $E$9, 100%, $G$9) + CHOOSE(CONTROL!$C$38, 0.0347, 0)</f>
        <v>28.198800000000002</v>
      </c>
      <c r="I335" s="10">
        <f>28.1656 * CHOOSE(CONTROL!$C$15, $E$9, 100%, $G$9) + CHOOSE(CONTROL!$C$38, 0.0347, 0)</f>
        <v>28.200300000000002</v>
      </c>
      <c r="J335" s="26">
        <f>177.44</f>
        <v>177.44</v>
      </c>
    </row>
    <row r="336" spans="1:10" ht="15.75" x14ac:dyDescent="0.25">
      <c r="A336" s="14">
        <v>51532</v>
      </c>
      <c r="B336" s="10">
        <f>31.5176 * CHOOSE(CONTROL!$C$15, $E$9, 100%, $G$9) + CHOOSE(CONTROL!$C$38, 0.0256, 0)</f>
        <v>31.543200000000002</v>
      </c>
      <c r="C336" s="10">
        <f>29.116 * CHOOSE(CONTROL!$C$15, $E$9, 100%, $G$9) + CHOOSE(CONTROL!$C$38, 0.0347, 0)</f>
        <v>29.150700000000001</v>
      </c>
      <c r="D336" s="10">
        <f>29.1082 * CHOOSE(CONTROL!$C$15, $E$9, 100%, $G$9) + CHOOSE(CONTROL!$C$38, 0.0347, 0)</f>
        <v>29.142900000000001</v>
      </c>
      <c r="E336" s="28">
        <f>31.3614 * CHOOSE(CONTROL!$C$15, $E$9, 100%, $G$9) + CHOOSE(CONTROL!$C$38, 0.0347, 0)</f>
        <v>31.396100000000001</v>
      </c>
      <c r="F336" s="27">
        <f>31.3614 * CHOOSE(CONTROL!$C$15, $E$9, 100%, $G$9) + CHOOSE(CONTROL!$C$38, 0.0256, 0)</f>
        <v>31.387</v>
      </c>
      <c r="G336" s="10">
        <f>29.1144 * CHOOSE(CONTROL!$C$15, $E$9, 100%, $G$9) + CHOOSE(CONTROL!$C$38, 0.0347, 0)</f>
        <v>29.149100000000001</v>
      </c>
      <c r="H336" s="10">
        <f>29.1144 * CHOOSE(CONTROL!$C$15, $E$9, 100%, $G$9) + CHOOSE(CONTROL!$C$38, 0.0347, 0)</f>
        <v>29.149100000000001</v>
      </c>
      <c r="I336" s="10">
        <f>29.116 * CHOOSE(CONTROL!$C$15, $E$9, 100%, $G$9) + CHOOSE(CONTROL!$C$38, 0.0347, 0)</f>
        <v>29.150700000000001</v>
      </c>
      <c r="J336" s="26">
        <f>176.2514</f>
        <v>176.25139999999999</v>
      </c>
    </row>
    <row r="337" spans="1:10" ht="15.75" x14ac:dyDescent="0.25">
      <c r="A337" s="14">
        <v>51560</v>
      </c>
      <c r="B337" s="10">
        <f>31.7384 * CHOOSE(CONTROL!$C$15, $E$9, 100%, $G$9) + CHOOSE(CONTROL!$C$38, 0.0256, 0)</f>
        <v>31.763999999999999</v>
      </c>
      <c r="C337" s="10">
        <f>29.3367 * CHOOSE(CONTROL!$C$15, $E$9, 100%, $G$9) + CHOOSE(CONTROL!$C$38, 0.0347, 0)</f>
        <v>29.371400000000001</v>
      </c>
      <c r="D337" s="10">
        <f>29.3289 * CHOOSE(CONTROL!$C$15, $E$9, 100%, $G$9) + CHOOSE(CONTROL!$C$38, 0.0347, 0)</f>
        <v>29.363600000000002</v>
      </c>
      <c r="E337" s="28">
        <f>31.5821 * CHOOSE(CONTROL!$C$15, $E$9, 100%, $G$9) + CHOOSE(CONTROL!$C$38, 0.0347, 0)</f>
        <v>31.616800000000001</v>
      </c>
      <c r="F337" s="27">
        <f>31.5821 * CHOOSE(CONTROL!$C$15, $E$9, 100%, $G$9) + CHOOSE(CONTROL!$C$38, 0.0256, 0)</f>
        <v>31.607700000000001</v>
      </c>
      <c r="G337" s="10">
        <f>29.3352 * CHOOSE(CONTROL!$C$15, $E$9, 100%, $G$9) + CHOOSE(CONTROL!$C$38, 0.0347, 0)</f>
        <v>29.369900000000001</v>
      </c>
      <c r="H337" s="10">
        <f>29.3352 * CHOOSE(CONTROL!$C$15, $E$9, 100%, $G$9) + CHOOSE(CONTROL!$C$38, 0.0347, 0)</f>
        <v>29.369900000000001</v>
      </c>
      <c r="I337" s="10">
        <f>29.3367 * CHOOSE(CONTROL!$C$15, $E$9, 100%, $G$9) + CHOOSE(CONTROL!$C$38, 0.0347, 0)</f>
        <v>29.371400000000001</v>
      </c>
      <c r="J337" s="26">
        <f>175.7615</f>
        <v>175.76150000000001</v>
      </c>
    </row>
    <row r="338" spans="1:10" ht="15.75" x14ac:dyDescent="0.25">
      <c r="A338" s="14">
        <v>51591</v>
      </c>
      <c r="B338" s="10">
        <f>31.2273 * CHOOSE(CONTROL!$C$15, $E$9, 100%, $G$9) + CHOOSE(CONTROL!$C$38, 0.0256, 0)</f>
        <v>31.2529</v>
      </c>
      <c r="C338" s="10">
        <f>28.8257 * CHOOSE(CONTROL!$C$15, $E$9, 100%, $G$9) + CHOOSE(CONTROL!$C$38, 0.0347, 0)</f>
        <v>28.860400000000002</v>
      </c>
      <c r="D338" s="10">
        <f>28.8179 * CHOOSE(CONTROL!$C$15, $E$9, 100%, $G$9) + CHOOSE(CONTROL!$C$38, 0.0347, 0)</f>
        <v>28.852600000000002</v>
      </c>
      <c r="E338" s="28">
        <f>31.0711 * CHOOSE(CONTROL!$C$15, $E$9, 100%, $G$9) + CHOOSE(CONTROL!$C$38, 0.0347, 0)</f>
        <v>31.105800000000002</v>
      </c>
      <c r="F338" s="27">
        <f>31.0711 * CHOOSE(CONTROL!$C$15, $E$9, 100%, $G$9) + CHOOSE(CONTROL!$C$38, 0.0256, 0)</f>
        <v>31.096700000000002</v>
      </c>
      <c r="G338" s="10">
        <f>28.8241 * CHOOSE(CONTROL!$C$15, $E$9, 100%, $G$9) + CHOOSE(CONTROL!$C$38, 0.0347, 0)</f>
        <v>28.858800000000002</v>
      </c>
      <c r="H338" s="10">
        <f>28.8241 * CHOOSE(CONTROL!$C$15, $E$9, 100%, $G$9) + CHOOSE(CONTROL!$C$38, 0.0347, 0)</f>
        <v>28.858800000000002</v>
      </c>
      <c r="I338" s="10">
        <f>28.8257 * CHOOSE(CONTROL!$C$15, $E$9, 100%, $G$9) + CHOOSE(CONTROL!$C$38, 0.0347, 0)</f>
        <v>28.860400000000002</v>
      </c>
      <c r="J338" s="26">
        <f>185.0252</f>
        <v>185.02520000000001</v>
      </c>
    </row>
    <row r="339" spans="1:10" ht="15.75" x14ac:dyDescent="0.25">
      <c r="A339" s="14">
        <v>51621</v>
      </c>
      <c r="B339" s="10">
        <f>30.7322 * CHOOSE(CONTROL!$C$15, $E$9, 100%, $G$9) + CHOOSE(CONTROL!$C$38, 0.0256, 0)</f>
        <v>30.7578</v>
      </c>
      <c r="C339" s="10">
        <f>28.3305 * CHOOSE(CONTROL!$C$15, $E$9, 100%, $G$9) + CHOOSE(CONTROL!$C$38, 0.0347, 0)</f>
        <v>28.365200000000002</v>
      </c>
      <c r="D339" s="10">
        <f>28.3227 * CHOOSE(CONTROL!$C$15, $E$9, 100%, $G$9) + CHOOSE(CONTROL!$C$38, 0.0347, 0)</f>
        <v>28.357400000000002</v>
      </c>
      <c r="E339" s="28">
        <f>30.5759 * CHOOSE(CONTROL!$C$15, $E$9, 100%, $G$9) + CHOOSE(CONTROL!$C$38, 0.0347, 0)</f>
        <v>30.610600000000002</v>
      </c>
      <c r="F339" s="27">
        <f>30.5759 * CHOOSE(CONTROL!$C$15, $E$9, 100%, $G$9) + CHOOSE(CONTROL!$C$38, 0.0256, 0)</f>
        <v>30.601500000000001</v>
      </c>
      <c r="G339" s="10">
        <f>28.329 * CHOOSE(CONTROL!$C$15, $E$9, 100%, $G$9) + CHOOSE(CONTROL!$C$38, 0.0347, 0)</f>
        <v>28.363700000000001</v>
      </c>
      <c r="H339" s="10">
        <f>28.329 * CHOOSE(CONTROL!$C$15, $E$9, 100%, $G$9) + CHOOSE(CONTROL!$C$38, 0.0347, 0)</f>
        <v>28.363700000000001</v>
      </c>
      <c r="I339" s="10">
        <f>28.3305 * CHOOSE(CONTROL!$C$15, $E$9, 100%, $G$9) + CHOOSE(CONTROL!$C$38, 0.0347, 0)</f>
        <v>28.365200000000002</v>
      </c>
      <c r="J339" s="26">
        <f>197.0379</f>
        <v>197.03790000000001</v>
      </c>
    </row>
    <row r="340" spans="1:10" ht="15.75" x14ac:dyDescent="0.25">
      <c r="A340" s="14">
        <v>51652</v>
      </c>
      <c r="B340" s="10">
        <f>30.216 * CHOOSE(CONTROL!$C$15, $E$9, 100%, $G$9) + CHOOSE(CONTROL!$C$38, 0.0256, 0)</f>
        <v>30.241600000000002</v>
      </c>
      <c r="C340" s="10">
        <f>27.8144 * CHOOSE(CONTROL!$C$15, $E$9, 100%, $G$9) + CHOOSE(CONTROL!$C$38, 0.0347, 0)</f>
        <v>27.8491</v>
      </c>
      <c r="D340" s="10">
        <f>27.8066 * CHOOSE(CONTROL!$C$15, $E$9, 100%, $G$9) + CHOOSE(CONTROL!$C$38, 0.0347, 0)</f>
        <v>27.8413</v>
      </c>
      <c r="E340" s="28">
        <f>30.0598 * CHOOSE(CONTROL!$C$15, $E$9, 100%, $G$9) + CHOOSE(CONTROL!$C$38, 0.0347, 0)</f>
        <v>30.0945</v>
      </c>
      <c r="F340" s="27">
        <f>30.0598 * CHOOSE(CONTROL!$C$15, $E$9, 100%, $G$9) + CHOOSE(CONTROL!$C$38, 0.0256, 0)</f>
        <v>30.0854</v>
      </c>
      <c r="G340" s="10">
        <f>27.8129 * CHOOSE(CONTROL!$C$15, $E$9, 100%, $G$9) + CHOOSE(CONTROL!$C$38, 0.0347, 0)</f>
        <v>27.8476</v>
      </c>
      <c r="H340" s="10">
        <f>27.8129 * CHOOSE(CONTROL!$C$15, $E$9, 100%, $G$9) + CHOOSE(CONTROL!$C$38, 0.0347, 0)</f>
        <v>27.8476</v>
      </c>
      <c r="I340" s="10">
        <f>27.8144 * CHOOSE(CONTROL!$C$15, $E$9, 100%, $G$9) + CHOOSE(CONTROL!$C$38, 0.0347, 0)</f>
        <v>27.8491</v>
      </c>
      <c r="J340" s="26">
        <f>203.6501</f>
        <v>203.65010000000001</v>
      </c>
    </row>
    <row r="341" spans="1:10" ht="15.75" x14ac:dyDescent="0.25">
      <c r="A341" s="14">
        <v>51682</v>
      </c>
      <c r="B341" s="10">
        <f>29.8542 * CHOOSE(CONTROL!$C$15, $E$9, 100%, $G$9) + CHOOSE(CONTROL!$C$38, 0.0256, 0)</f>
        <v>29.879799999999999</v>
      </c>
      <c r="C341" s="10">
        <f>27.4526 * CHOOSE(CONTROL!$C$15, $E$9, 100%, $G$9) + CHOOSE(CONTROL!$C$38, 0.0347, 0)</f>
        <v>27.487300000000001</v>
      </c>
      <c r="D341" s="10">
        <f>27.4448 * CHOOSE(CONTROL!$C$15, $E$9, 100%, $G$9) + CHOOSE(CONTROL!$C$38, 0.0347, 0)</f>
        <v>27.479500000000002</v>
      </c>
      <c r="E341" s="28">
        <f>29.698 * CHOOSE(CONTROL!$C$15, $E$9, 100%, $G$9) + CHOOSE(CONTROL!$C$38, 0.0347, 0)</f>
        <v>29.732700000000001</v>
      </c>
      <c r="F341" s="27">
        <f>29.698 * CHOOSE(CONTROL!$C$15, $E$9, 100%, $G$9) + CHOOSE(CONTROL!$C$38, 0.0256, 0)</f>
        <v>29.723600000000001</v>
      </c>
      <c r="G341" s="10">
        <f>27.451 * CHOOSE(CONTROL!$C$15, $E$9, 100%, $G$9) + CHOOSE(CONTROL!$C$38, 0.0347, 0)</f>
        <v>27.485700000000001</v>
      </c>
      <c r="H341" s="10">
        <f>27.451 * CHOOSE(CONTROL!$C$15, $E$9, 100%, $G$9) + CHOOSE(CONTROL!$C$38, 0.0347, 0)</f>
        <v>27.485700000000001</v>
      </c>
      <c r="I341" s="10">
        <f>27.4526 * CHOOSE(CONTROL!$C$15, $E$9, 100%, $G$9) + CHOOSE(CONTROL!$C$38, 0.0347, 0)</f>
        <v>27.487300000000001</v>
      </c>
      <c r="J341" s="26">
        <f>206.5845</f>
        <v>206.58449999999999</v>
      </c>
    </row>
    <row r="342" spans="1:10" ht="15.75" x14ac:dyDescent="0.25">
      <c r="A342" s="14">
        <v>51713</v>
      </c>
      <c r="B342" s="10">
        <f>29.6477 * CHOOSE(CONTROL!$C$15, $E$9, 100%, $G$9) + CHOOSE(CONTROL!$C$38, 0.0256, 0)</f>
        <v>29.673300000000001</v>
      </c>
      <c r="C342" s="10">
        <f>27.2461 * CHOOSE(CONTROL!$C$15, $E$9, 100%, $G$9) + CHOOSE(CONTROL!$C$38, 0.0347, 0)</f>
        <v>27.280799999999999</v>
      </c>
      <c r="D342" s="10">
        <f>27.2383 * CHOOSE(CONTROL!$C$15, $E$9, 100%, $G$9) + CHOOSE(CONTROL!$C$38, 0.0347, 0)</f>
        <v>27.273</v>
      </c>
      <c r="E342" s="28">
        <f>29.4915 * CHOOSE(CONTROL!$C$15, $E$9, 100%, $G$9) + CHOOSE(CONTROL!$C$38, 0.0347, 0)</f>
        <v>29.526199999999999</v>
      </c>
      <c r="F342" s="27">
        <f>29.4915 * CHOOSE(CONTROL!$C$15, $E$9, 100%, $G$9) + CHOOSE(CONTROL!$C$38, 0.0256, 0)</f>
        <v>29.517099999999999</v>
      </c>
      <c r="G342" s="10">
        <f>27.2445 * CHOOSE(CONTROL!$C$15, $E$9, 100%, $G$9) + CHOOSE(CONTROL!$C$38, 0.0347, 0)</f>
        <v>27.279199999999999</v>
      </c>
      <c r="H342" s="10">
        <f>27.2445 * CHOOSE(CONTROL!$C$15, $E$9, 100%, $G$9) + CHOOSE(CONTROL!$C$38, 0.0347, 0)</f>
        <v>27.279199999999999</v>
      </c>
      <c r="I342" s="10">
        <f>27.2461 * CHOOSE(CONTROL!$C$15, $E$9, 100%, $G$9) + CHOOSE(CONTROL!$C$38, 0.0347, 0)</f>
        <v>27.280799999999999</v>
      </c>
      <c r="J342" s="26">
        <f>205.6184</f>
        <v>205.61840000000001</v>
      </c>
    </row>
    <row r="343" spans="1:10" ht="15.75" x14ac:dyDescent="0.25">
      <c r="A343" s="14">
        <v>51744</v>
      </c>
      <c r="B343" s="10">
        <f>29.7496 * CHOOSE(CONTROL!$C$15, $E$9, 100%, $G$9) + CHOOSE(CONTROL!$C$38, 0.0256, 0)</f>
        <v>29.775200000000002</v>
      </c>
      <c r="C343" s="10">
        <f>27.348 * CHOOSE(CONTROL!$C$15, $E$9, 100%, $G$9) + CHOOSE(CONTROL!$C$38, 0.0347, 0)</f>
        <v>27.3827</v>
      </c>
      <c r="D343" s="10">
        <f>27.3402 * CHOOSE(CONTROL!$C$15, $E$9, 100%, $G$9) + CHOOSE(CONTROL!$C$38, 0.0347, 0)</f>
        <v>27.3749</v>
      </c>
      <c r="E343" s="28">
        <f>29.5934 * CHOOSE(CONTROL!$C$15, $E$9, 100%, $G$9) + CHOOSE(CONTROL!$C$38, 0.0347, 0)</f>
        <v>29.6281</v>
      </c>
      <c r="F343" s="27">
        <f>29.5934 * CHOOSE(CONTROL!$C$15, $E$9, 100%, $G$9) + CHOOSE(CONTROL!$C$38, 0.0256, 0)</f>
        <v>29.619</v>
      </c>
      <c r="G343" s="10">
        <f>27.3464 * CHOOSE(CONTROL!$C$15, $E$9, 100%, $G$9) + CHOOSE(CONTROL!$C$38, 0.0347, 0)</f>
        <v>27.3811</v>
      </c>
      <c r="H343" s="10">
        <f>27.3464 * CHOOSE(CONTROL!$C$15, $E$9, 100%, $G$9) + CHOOSE(CONTROL!$C$38, 0.0347, 0)</f>
        <v>27.3811</v>
      </c>
      <c r="I343" s="10">
        <f>27.348 * CHOOSE(CONTROL!$C$15, $E$9, 100%, $G$9) + CHOOSE(CONTROL!$C$38, 0.0347, 0)</f>
        <v>27.3827</v>
      </c>
      <c r="J343" s="26">
        <f>200.8317</f>
        <v>200.83170000000001</v>
      </c>
    </row>
    <row r="344" spans="1:10" ht="15.75" x14ac:dyDescent="0.25">
      <c r="A344" s="14">
        <v>51774</v>
      </c>
      <c r="B344" s="10">
        <f>30.0264 * CHOOSE(CONTROL!$C$15, $E$9, 100%, $G$9) + CHOOSE(CONTROL!$C$38, 0.0256, 0)</f>
        <v>30.052</v>
      </c>
      <c r="C344" s="10">
        <f>27.6248 * CHOOSE(CONTROL!$C$15, $E$9, 100%, $G$9) + CHOOSE(CONTROL!$C$38, 0.0347, 0)</f>
        <v>27.659500000000001</v>
      </c>
      <c r="D344" s="10">
        <f>27.617 * CHOOSE(CONTROL!$C$15, $E$9, 100%, $G$9) + CHOOSE(CONTROL!$C$38, 0.0347, 0)</f>
        <v>27.651700000000002</v>
      </c>
      <c r="E344" s="28">
        <f>29.8702 * CHOOSE(CONTROL!$C$15, $E$9, 100%, $G$9) + CHOOSE(CONTROL!$C$38, 0.0347, 0)</f>
        <v>29.904900000000001</v>
      </c>
      <c r="F344" s="27">
        <f>29.8702 * CHOOSE(CONTROL!$C$15, $E$9, 100%, $G$9) + CHOOSE(CONTROL!$C$38, 0.0256, 0)</f>
        <v>29.895800000000001</v>
      </c>
      <c r="G344" s="10">
        <f>27.6232 * CHOOSE(CONTROL!$C$15, $E$9, 100%, $G$9) + CHOOSE(CONTROL!$C$38, 0.0347, 0)</f>
        <v>27.657900000000001</v>
      </c>
      <c r="H344" s="10">
        <f>27.6232 * CHOOSE(CONTROL!$C$15, $E$9, 100%, $G$9) + CHOOSE(CONTROL!$C$38, 0.0347, 0)</f>
        <v>27.657900000000001</v>
      </c>
      <c r="I344" s="10">
        <f>27.6248 * CHOOSE(CONTROL!$C$15, $E$9, 100%, $G$9) + CHOOSE(CONTROL!$C$38, 0.0347, 0)</f>
        <v>27.659500000000001</v>
      </c>
      <c r="J344" s="26">
        <f>194.1564</f>
        <v>194.15639999999999</v>
      </c>
    </row>
    <row r="345" spans="1:10" ht="15.75" x14ac:dyDescent="0.25">
      <c r="A345" s="14">
        <v>51805</v>
      </c>
      <c r="B345" s="10">
        <f>30.2583 * CHOOSE(CONTROL!$C$15, $E$9, 100%, $G$9) + CHOOSE(CONTROL!$C$38, 0.0256, 0)</f>
        <v>30.283899999999999</v>
      </c>
      <c r="C345" s="10">
        <f>27.8566 * CHOOSE(CONTROL!$C$15, $E$9, 100%, $G$9) + CHOOSE(CONTROL!$C$38, 0.0347, 0)</f>
        <v>27.891300000000001</v>
      </c>
      <c r="D345" s="10">
        <f>27.8488 * CHOOSE(CONTROL!$C$15, $E$9, 100%, $G$9) + CHOOSE(CONTROL!$C$38, 0.0347, 0)</f>
        <v>27.883500000000002</v>
      </c>
      <c r="E345" s="28">
        <f>30.102 * CHOOSE(CONTROL!$C$15, $E$9, 100%, $G$9) + CHOOSE(CONTROL!$C$38, 0.0347, 0)</f>
        <v>30.136700000000001</v>
      </c>
      <c r="F345" s="27">
        <f>30.102 * CHOOSE(CONTROL!$C$15, $E$9, 100%, $G$9) + CHOOSE(CONTROL!$C$38, 0.0256, 0)</f>
        <v>30.127600000000001</v>
      </c>
      <c r="G345" s="10">
        <f>27.8551 * CHOOSE(CONTROL!$C$15, $E$9, 100%, $G$9) + CHOOSE(CONTROL!$C$38, 0.0347, 0)</f>
        <v>27.889800000000001</v>
      </c>
      <c r="H345" s="10">
        <f>27.8551 * CHOOSE(CONTROL!$C$15, $E$9, 100%, $G$9) + CHOOSE(CONTROL!$C$38, 0.0347, 0)</f>
        <v>27.889800000000001</v>
      </c>
      <c r="I345" s="10">
        <f>27.8566 * CHOOSE(CONTROL!$C$15, $E$9, 100%, $G$9) + CHOOSE(CONTROL!$C$38, 0.0347, 0)</f>
        <v>27.891300000000001</v>
      </c>
      <c r="J345" s="26">
        <f>187.4422</f>
        <v>187.44220000000001</v>
      </c>
    </row>
    <row r="346" spans="1:10" ht="15.75" x14ac:dyDescent="0.25">
      <c r="A346" s="14">
        <v>51835</v>
      </c>
      <c r="B346" s="10">
        <f>30.4517 * CHOOSE(CONTROL!$C$15, $E$9, 100%, $G$9) + CHOOSE(CONTROL!$C$38, 0.0256, 0)</f>
        <v>30.4773</v>
      </c>
      <c r="C346" s="10">
        <f>28.0501 * CHOOSE(CONTROL!$C$15, $E$9, 100%, $G$9) + CHOOSE(CONTROL!$C$38, 0.0347, 0)</f>
        <v>28.084800000000001</v>
      </c>
      <c r="D346" s="10">
        <f>28.0423 * CHOOSE(CONTROL!$C$15, $E$9, 100%, $G$9) + CHOOSE(CONTROL!$C$38, 0.0347, 0)</f>
        <v>28.077000000000002</v>
      </c>
      <c r="E346" s="28">
        <f>30.2954 * CHOOSE(CONTROL!$C$15, $E$9, 100%, $G$9) + CHOOSE(CONTROL!$C$38, 0.0347, 0)</f>
        <v>30.330100000000002</v>
      </c>
      <c r="F346" s="27">
        <f>30.2954 * CHOOSE(CONTROL!$C$15, $E$9, 100%, $G$9) + CHOOSE(CONTROL!$C$38, 0.0256, 0)</f>
        <v>30.321000000000002</v>
      </c>
      <c r="G346" s="10">
        <f>28.0485 * CHOOSE(CONTROL!$C$15, $E$9, 100%, $G$9) + CHOOSE(CONTROL!$C$38, 0.0347, 0)</f>
        <v>28.083200000000001</v>
      </c>
      <c r="H346" s="10">
        <f>28.0485 * CHOOSE(CONTROL!$C$15, $E$9, 100%, $G$9) + CHOOSE(CONTROL!$C$38, 0.0347, 0)</f>
        <v>28.083200000000001</v>
      </c>
      <c r="I346" s="10">
        <f>28.0501 * CHOOSE(CONTROL!$C$15, $E$9, 100%, $G$9) + CHOOSE(CONTROL!$C$38, 0.0347, 0)</f>
        <v>28.084800000000001</v>
      </c>
      <c r="J346" s="26">
        <f>186.1067</f>
        <v>186.10669999999999</v>
      </c>
    </row>
    <row r="347" spans="1:10" ht="15.75" x14ac:dyDescent="0.25">
      <c r="A347" s="14">
        <v>51866</v>
      </c>
      <c r="B347" s="10">
        <f>31.0478 * CHOOSE(CONTROL!$C$15, $E$9, 100%, $G$9) + CHOOSE(CONTROL!$C$38, 0.0256, 0)</f>
        <v>31.073399999999999</v>
      </c>
      <c r="C347" s="10">
        <f>28.6461 * CHOOSE(CONTROL!$C$15, $E$9, 100%, $G$9) + CHOOSE(CONTROL!$C$38, 0.0347, 0)</f>
        <v>28.680800000000001</v>
      </c>
      <c r="D347" s="10">
        <f>28.6383 * CHOOSE(CONTROL!$C$15, $E$9, 100%, $G$9) + CHOOSE(CONTROL!$C$38, 0.0347, 0)</f>
        <v>28.673000000000002</v>
      </c>
      <c r="E347" s="28">
        <f>30.8915 * CHOOSE(CONTROL!$C$15, $E$9, 100%, $G$9) + CHOOSE(CONTROL!$C$38, 0.0347, 0)</f>
        <v>30.926200000000001</v>
      </c>
      <c r="F347" s="27">
        <f>30.8915 * CHOOSE(CONTROL!$C$15, $E$9, 100%, $G$9) + CHOOSE(CONTROL!$C$38, 0.0256, 0)</f>
        <v>30.917100000000001</v>
      </c>
      <c r="G347" s="10">
        <f>28.6446 * CHOOSE(CONTROL!$C$15, $E$9, 100%, $G$9) + CHOOSE(CONTROL!$C$38, 0.0347, 0)</f>
        <v>28.679300000000001</v>
      </c>
      <c r="H347" s="10">
        <f>28.6446 * CHOOSE(CONTROL!$C$15, $E$9, 100%, $G$9) + CHOOSE(CONTROL!$C$38, 0.0347, 0)</f>
        <v>28.679300000000001</v>
      </c>
      <c r="I347" s="10">
        <f>28.6461 * CHOOSE(CONTROL!$C$15, $E$9, 100%, $G$9) + CHOOSE(CONTROL!$C$38, 0.0347, 0)</f>
        <v>28.680800000000001</v>
      </c>
      <c r="J347" s="26">
        <f>180.5839</f>
        <v>180.5839</v>
      </c>
    </row>
    <row r="348" spans="1:10" ht="15.75" x14ac:dyDescent="0.25">
      <c r="A348" s="14">
        <v>51897</v>
      </c>
      <c r="B348" s="10">
        <f>32.0463 * CHOOSE(CONTROL!$C$15, $E$9, 100%, $G$9) + CHOOSE(CONTROL!$C$38, 0.0256, 0)</f>
        <v>32.071899999999999</v>
      </c>
      <c r="C348" s="10">
        <f>29.605 * CHOOSE(CONTROL!$C$15, $E$9, 100%, $G$9) + CHOOSE(CONTROL!$C$38, 0.0347, 0)</f>
        <v>29.639700000000001</v>
      </c>
      <c r="D348" s="10">
        <f>29.5972 * CHOOSE(CONTROL!$C$15, $E$9, 100%, $G$9) + CHOOSE(CONTROL!$C$38, 0.0347, 0)</f>
        <v>29.631900000000002</v>
      </c>
      <c r="E348" s="28">
        <f>31.89 * CHOOSE(CONTROL!$C$15, $E$9, 100%, $G$9) + CHOOSE(CONTROL!$C$38, 0.0347, 0)</f>
        <v>31.924700000000001</v>
      </c>
      <c r="F348" s="27">
        <f>31.89 * CHOOSE(CONTROL!$C$15, $E$9, 100%, $G$9) + CHOOSE(CONTROL!$C$38, 0.0256, 0)</f>
        <v>31.915600000000001</v>
      </c>
      <c r="G348" s="10">
        <f>29.6034 * CHOOSE(CONTROL!$C$15, $E$9, 100%, $G$9) + CHOOSE(CONTROL!$C$38, 0.0347, 0)</f>
        <v>29.638100000000001</v>
      </c>
      <c r="H348" s="10">
        <f>29.6034 * CHOOSE(CONTROL!$C$15, $E$9, 100%, $G$9) + CHOOSE(CONTROL!$C$38, 0.0347, 0)</f>
        <v>29.638100000000001</v>
      </c>
      <c r="I348" s="10">
        <f>29.605 * CHOOSE(CONTROL!$C$15, $E$9, 100%, $G$9) + CHOOSE(CONTROL!$C$38, 0.0347, 0)</f>
        <v>29.639700000000001</v>
      </c>
      <c r="J348" s="26">
        <f>179.3743</f>
        <v>179.37430000000001</v>
      </c>
    </row>
    <row r="349" spans="1:10" ht="15.75" x14ac:dyDescent="0.25">
      <c r="A349" s="14">
        <v>51925</v>
      </c>
      <c r="B349" s="10">
        <f>32.267 * CHOOSE(CONTROL!$C$15, $E$9, 100%, $G$9) + CHOOSE(CONTROL!$C$38, 0.0256, 0)</f>
        <v>32.2926</v>
      </c>
      <c r="C349" s="10">
        <f>29.8257 * CHOOSE(CONTROL!$C$15, $E$9, 100%, $G$9) + CHOOSE(CONTROL!$C$38, 0.0347, 0)</f>
        <v>29.860400000000002</v>
      </c>
      <c r="D349" s="10">
        <f>29.8179 * CHOOSE(CONTROL!$C$15, $E$9, 100%, $G$9) + CHOOSE(CONTROL!$C$38, 0.0347, 0)</f>
        <v>29.852600000000002</v>
      </c>
      <c r="E349" s="28">
        <f>32.1108 * CHOOSE(CONTROL!$C$15, $E$9, 100%, $G$9) + CHOOSE(CONTROL!$C$38, 0.0347, 0)</f>
        <v>32.145499999999998</v>
      </c>
      <c r="F349" s="27">
        <f>32.1108 * CHOOSE(CONTROL!$C$15, $E$9, 100%, $G$9) + CHOOSE(CONTROL!$C$38, 0.0256, 0)</f>
        <v>32.136399999999995</v>
      </c>
      <c r="G349" s="10">
        <f>29.8242 * CHOOSE(CONTROL!$C$15, $E$9, 100%, $G$9) + CHOOSE(CONTROL!$C$38, 0.0347, 0)</f>
        <v>29.858900000000002</v>
      </c>
      <c r="H349" s="10">
        <f>29.8242 * CHOOSE(CONTROL!$C$15, $E$9, 100%, $G$9) + CHOOSE(CONTROL!$C$38, 0.0347, 0)</f>
        <v>29.858900000000002</v>
      </c>
      <c r="I349" s="10">
        <f>29.8257 * CHOOSE(CONTROL!$C$15, $E$9, 100%, $G$9) + CHOOSE(CONTROL!$C$38, 0.0347, 0)</f>
        <v>29.860400000000002</v>
      </c>
      <c r="J349" s="26">
        <f>178.8757</f>
        <v>178.87569999999999</v>
      </c>
    </row>
    <row r="350" spans="1:10" ht="15.75" x14ac:dyDescent="0.25">
      <c r="A350" s="14">
        <v>51956</v>
      </c>
      <c r="B350" s="10">
        <f>31.756 * CHOOSE(CONTROL!$C$15, $E$9, 100%, $G$9) + CHOOSE(CONTROL!$C$38, 0.0256, 0)</f>
        <v>31.781600000000001</v>
      </c>
      <c r="C350" s="10">
        <f>29.3147 * CHOOSE(CONTROL!$C$15, $E$9, 100%, $G$9) + CHOOSE(CONTROL!$C$38, 0.0347, 0)</f>
        <v>29.349399999999999</v>
      </c>
      <c r="D350" s="10">
        <f>29.3069 * CHOOSE(CONTROL!$C$15, $E$9, 100%, $G$9) + CHOOSE(CONTROL!$C$38, 0.0347, 0)</f>
        <v>29.3416</v>
      </c>
      <c r="E350" s="28">
        <f>31.5998 * CHOOSE(CONTROL!$C$15, $E$9, 100%, $G$9) + CHOOSE(CONTROL!$C$38, 0.0347, 0)</f>
        <v>31.634499999999999</v>
      </c>
      <c r="F350" s="27">
        <f>31.5998 * CHOOSE(CONTROL!$C$15, $E$9, 100%, $G$9) + CHOOSE(CONTROL!$C$38, 0.0256, 0)</f>
        <v>31.625399999999999</v>
      </c>
      <c r="G350" s="10">
        <f>29.3131 * CHOOSE(CONTROL!$C$15, $E$9, 100%, $G$9) + CHOOSE(CONTROL!$C$38, 0.0347, 0)</f>
        <v>29.347799999999999</v>
      </c>
      <c r="H350" s="10">
        <f>29.3131 * CHOOSE(CONTROL!$C$15, $E$9, 100%, $G$9) + CHOOSE(CONTROL!$C$38, 0.0347, 0)</f>
        <v>29.347799999999999</v>
      </c>
      <c r="I350" s="10">
        <f>29.3147 * CHOOSE(CONTROL!$C$15, $E$9, 100%, $G$9) + CHOOSE(CONTROL!$C$38, 0.0347, 0)</f>
        <v>29.349399999999999</v>
      </c>
      <c r="J350" s="26">
        <f>188.3035</f>
        <v>188.30350000000001</v>
      </c>
    </row>
    <row r="351" spans="1:10" ht="15.75" x14ac:dyDescent="0.25">
      <c r="A351" s="14">
        <v>51986</v>
      </c>
      <c r="B351" s="10">
        <f>31.2608 * CHOOSE(CONTROL!$C$15, $E$9, 100%, $G$9) + CHOOSE(CONTROL!$C$38, 0.0256, 0)</f>
        <v>31.2864</v>
      </c>
      <c r="C351" s="10">
        <f>28.8195 * CHOOSE(CONTROL!$C$15, $E$9, 100%, $G$9) + CHOOSE(CONTROL!$C$38, 0.0347, 0)</f>
        <v>28.854200000000002</v>
      </c>
      <c r="D351" s="10">
        <f>28.8117 * CHOOSE(CONTROL!$C$15, $E$9, 100%, $G$9) + CHOOSE(CONTROL!$C$38, 0.0347, 0)</f>
        <v>28.846399999999999</v>
      </c>
      <c r="E351" s="28">
        <f>31.1046 * CHOOSE(CONTROL!$C$15, $E$9, 100%, $G$9) + CHOOSE(CONTROL!$C$38, 0.0347, 0)</f>
        <v>31.139300000000002</v>
      </c>
      <c r="F351" s="27">
        <f>31.1046 * CHOOSE(CONTROL!$C$15, $E$9, 100%, $G$9) + CHOOSE(CONTROL!$C$38, 0.0256, 0)</f>
        <v>31.130200000000002</v>
      </c>
      <c r="G351" s="10">
        <f>28.818 * CHOOSE(CONTROL!$C$15, $E$9, 100%, $G$9) + CHOOSE(CONTROL!$C$38, 0.0347, 0)</f>
        <v>28.852700000000002</v>
      </c>
      <c r="H351" s="10">
        <f>28.818 * CHOOSE(CONTROL!$C$15, $E$9, 100%, $G$9) + CHOOSE(CONTROL!$C$38, 0.0347, 0)</f>
        <v>28.852700000000002</v>
      </c>
      <c r="I351" s="10">
        <f>28.8195 * CHOOSE(CONTROL!$C$15, $E$9, 100%, $G$9) + CHOOSE(CONTROL!$C$38, 0.0347, 0)</f>
        <v>28.854200000000002</v>
      </c>
      <c r="J351" s="26">
        <f>200.5291</f>
        <v>200.5291</v>
      </c>
    </row>
    <row r="352" spans="1:10" ht="15.75" x14ac:dyDescent="0.25">
      <c r="A352" s="14">
        <v>52017</v>
      </c>
      <c r="B352" s="10">
        <f>30.7447 * CHOOSE(CONTROL!$C$15, $E$9, 100%, $G$9) + CHOOSE(CONTROL!$C$38, 0.0256, 0)</f>
        <v>30.770300000000002</v>
      </c>
      <c r="C352" s="10">
        <f>28.3034 * CHOOSE(CONTROL!$C$15, $E$9, 100%, $G$9) + CHOOSE(CONTROL!$C$38, 0.0347, 0)</f>
        <v>28.338100000000001</v>
      </c>
      <c r="D352" s="10">
        <f>28.2956 * CHOOSE(CONTROL!$C$15, $E$9, 100%, $G$9) + CHOOSE(CONTROL!$C$38, 0.0347, 0)</f>
        <v>28.330300000000001</v>
      </c>
      <c r="E352" s="28">
        <f>30.5885 * CHOOSE(CONTROL!$C$15, $E$9, 100%, $G$9) + CHOOSE(CONTROL!$C$38, 0.0347, 0)</f>
        <v>30.623200000000001</v>
      </c>
      <c r="F352" s="27">
        <f>30.5885 * CHOOSE(CONTROL!$C$15, $E$9, 100%, $G$9) + CHOOSE(CONTROL!$C$38, 0.0256, 0)</f>
        <v>30.614100000000001</v>
      </c>
      <c r="G352" s="10">
        <f>28.3018 * CHOOSE(CONTROL!$C$15, $E$9, 100%, $G$9) + CHOOSE(CONTROL!$C$38, 0.0347, 0)</f>
        <v>28.336500000000001</v>
      </c>
      <c r="H352" s="10">
        <f>28.3018 * CHOOSE(CONTROL!$C$15, $E$9, 100%, $G$9) + CHOOSE(CONTROL!$C$38, 0.0347, 0)</f>
        <v>28.336500000000001</v>
      </c>
      <c r="I352" s="10">
        <f>28.3034 * CHOOSE(CONTROL!$C$15, $E$9, 100%, $G$9) + CHOOSE(CONTROL!$C$38, 0.0347, 0)</f>
        <v>28.338100000000001</v>
      </c>
      <c r="J352" s="26">
        <f>207.2584</f>
        <v>207.25839999999999</v>
      </c>
    </row>
    <row r="353" spans="1:10" ht="15.75" x14ac:dyDescent="0.25">
      <c r="A353" s="14">
        <v>52047</v>
      </c>
      <c r="B353" s="10">
        <f>30.3829 * CHOOSE(CONTROL!$C$15, $E$9, 100%, $G$9) + CHOOSE(CONTROL!$C$38, 0.0256, 0)</f>
        <v>30.4085</v>
      </c>
      <c r="C353" s="10">
        <f>27.9416 * CHOOSE(CONTROL!$C$15, $E$9, 100%, $G$9) + CHOOSE(CONTROL!$C$38, 0.0347, 0)</f>
        <v>27.976300000000002</v>
      </c>
      <c r="D353" s="10">
        <f>27.9338 * CHOOSE(CONTROL!$C$15, $E$9, 100%, $G$9) + CHOOSE(CONTROL!$C$38, 0.0347, 0)</f>
        <v>27.968500000000002</v>
      </c>
      <c r="E353" s="28">
        <f>30.2266 * CHOOSE(CONTROL!$C$15, $E$9, 100%, $G$9) + CHOOSE(CONTROL!$C$38, 0.0347, 0)</f>
        <v>30.261300000000002</v>
      </c>
      <c r="F353" s="27">
        <f>30.2266 * CHOOSE(CONTROL!$C$15, $E$9, 100%, $G$9) + CHOOSE(CONTROL!$C$38, 0.0256, 0)</f>
        <v>30.252200000000002</v>
      </c>
      <c r="G353" s="10">
        <f>27.94 * CHOOSE(CONTROL!$C$15, $E$9, 100%, $G$9) + CHOOSE(CONTROL!$C$38, 0.0347, 0)</f>
        <v>27.974700000000002</v>
      </c>
      <c r="H353" s="10">
        <f>27.94 * CHOOSE(CONTROL!$C$15, $E$9, 100%, $G$9) + CHOOSE(CONTROL!$C$38, 0.0347, 0)</f>
        <v>27.974700000000002</v>
      </c>
      <c r="I353" s="10">
        <f>27.9416 * CHOOSE(CONTROL!$C$15, $E$9, 100%, $G$9) + CHOOSE(CONTROL!$C$38, 0.0347, 0)</f>
        <v>27.976300000000002</v>
      </c>
      <c r="J353" s="26">
        <f>210.2448</f>
        <v>210.2448</v>
      </c>
    </row>
    <row r="354" spans="1:10" ht="15.75" x14ac:dyDescent="0.25">
      <c r="A354" s="14">
        <v>52078</v>
      </c>
      <c r="B354" s="10">
        <f>30.1764 * CHOOSE(CONTROL!$C$15, $E$9, 100%, $G$9) + CHOOSE(CONTROL!$C$38, 0.0256, 0)</f>
        <v>30.202000000000002</v>
      </c>
      <c r="C354" s="10">
        <f>27.7351 * CHOOSE(CONTROL!$C$15, $E$9, 100%, $G$9) + CHOOSE(CONTROL!$C$38, 0.0347, 0)</f>
        <v>27.7698</v>
      </c>
      <c r="D354" s="10">
        <f>27.7273 * CHOOSE(CONTROL!$C$15, $E$9, 100%, $G$9) + CHOOSE(CONTROL!$C$38, 0.0347, 0)</f>
        <v>27.762</v>
      </c>
      <c r="E354" s="28">
        <f>30.0201 * CHOOSE(CONTROL!$C$15, $E$9, 100%, $G$9) + CHOOSE(CONTROL!$C$38, 0.0347, 0)</f>
        <v>30.0548</v>
      </c>
      <c r="F354" s="27">
        <f>30.0201 * CHOOSE(CONTROL!$C$15, $E$9, 100%, $G$9) + CHOOSE(CONTROL!$C$38, 0.0256, 0)</f>
        <v>30.0457</v>
      </c>
      <c r="G354" s="10">
        <f>27.7335 * CHOOSE(CONTROL!$C$15, $E$9, 100%, $G$9) + CHOOSE(CONTROL!$C$38, 0.0347, 0)</f>
        <v>27.7682</v>
      </c>
      <c r="H354" s="10">
        <f>27.7335 * CHOOSE(CONTROL!$C$15, $E$9, 100%, $G$9) + CHOOSE(CONTROL!$C$38, 0.0347, 0)</f>
        <v>27.7682</v>
      </c>
      <c r="I354" s="10">
        <f>27.7351 * CHOOSE(CONTROL!$C$15, $E$9, 100%, $G$9) + CHOOSE(CONTROL!$C$38, 0.0347, 0)</f>
        <v>27.7698</v>
      </c>
      <c r="J354" s="26">
        <f>209.2615</f>
        <v>209.26150000000001</v>
      </c>
    </row>
    <row r="355" spans="1:10" ht="15.75" x14ac:dyDescent="0.25">
      <c r="A355" s="14">
        <v>52109</v>
      </c>
      <c r="B355" s="10">
        <f>30.2783 * CHOOSE(CONTROL!$C$15, $E$9, 100%, $G$9) + CHOOSE(CONTROL!$C$38, 0.0256, 0)</f>
        <v>30.303900000000002</v>
      </c>
      <c r="C355" s="10">
        <f>27.837 * CHOOSE(CONTROL!$C$15, $E$9, 100%, $G$9) + CHOOSE(CONTROL!$C$38, 0.0347, 0)</f>
        <v>27.871700000000001</v>
      </c>
      <c r="D355" s="10">
        <f>27.8292 * CHOOSE(CONTROL!$C$15, $E$9, 100%, $G$9) + CHOOSE(CONTROL!$C$38, 0.0347, 0)</f>
        <v>27.863900000000001</v>
      </c>
      <c r="E355" s="28">
        <f>30.122 * CHOOSE(CONTROL!$C$15, $E$9, 100%, $G$9) + CHOOSE(CONTROL!$C$38, 0.0347, 0)</f>
        <v>30.156700000000001</v>
      </c>
      <c r="F355" s="27">
        <f>30.122 * CHOOSE(CONTROL!$C$15, $E$9, 100%, $G$9) + CHOOSE(CONTROL!$C$38, 0.0256, 0)</f>
        <v>30.147600000000001</v>
      </c>
      <c r="G355" s="10">
        <f>27.8354 * CHOOSE(CONTROL!$C$15, $E$9, 100%, $G$9) + CHOOSE(CONTROL!$C$38, 0.0347, 0)</f>
        <v>27.870100000000001</v>
      </c>
      <c r="H355" s="10">
        <f>27.8354 * CHOOSE(CONTROL!$C$15, $E$9, 100%, $G$9) + CHOOSE(CONTROL!$C$38, 0.0347, 0)</f>
        <v>27.870100000000001</v>
      </c>
      <c r="I355" s="10">
        <f>27.837 * CHOOSE(CONTROL!$C$15, $E$9, 100%, $G$9) + CHOOSE(CONTROL!$C$38, 0.0347, 0)</f>
        <v>27.871700000000001</v>
      </c>
      <c r="J355" s="26">
        <f>204.39</f>
        <v>204.39</v>
      </c>
    </row>
    <row r="356" spans="1:10" ht="15.75" x14ac:dyDescent="0.25">
      <c r="A356" s="14">
        <v>52139</v>
      </c>
      <c r="B356" s="10">
        <f>30.5551 * CHOOSE(CONTROL!$C$15, $E$9, 100%, $G$9) + CHOOSE(CONTROL!$C$38, 0.0256, 0)</f>
        <v>30.5807</v>
      </c>
      <c r="C356" s="10">
        <f>28.1138 * CHOOSE(CONTROL!$C$15, $E$9, 100%, $G$9) + CHOOSE(CONTROL!$C$38, 0.0347, 0)</f>
        <v>28.148500000000002</v>
      </c>
      <c r="D356" s="10">
        <f>28.106 * CHOOSE(CONTROL!$C$15, $E$9, 100%, $G$9) + CHOOSE(CONTROL!$C$38, 0.0347, 0)</f>
        <v>28.140700000000002</v>
      </c>
      <c r="E356" s="28">
        <f>30.3988 * CHOOSE(CONTROL!$C$15, $E$9, 100%, $G$9) + CHOOSE(CONTROL!$C$38, 0.0347, 0)</f>
        <v>30.433500000000002</v>
      </c>
      <c r="F356" s="27">
        <f>30.3988 * CHOOSE(CONTROL!$C$15, $E$9, 100%, $G$9) + CHOOSE(CONTROL!$C$38, 0.0256, 0)</f>
        <v>30.424400000000002</v>
      </c>
      <c r="G356" s="10">
        <f>28.1122 * CHOOSE(CONTROL!$C$15, $E$9, 100%, $G$9) + CHOOSE(CONTROL!$C$38, 0.0347, 0)</f>
        <v>28.146900000000002</v>
      </c>
      <c r="H356" s="10">
        <f>28.1122 * CHOOSE(CONTROL!$C$15, $E$9, 100%, $G$9) + CHOOSE(CONTROL!$C$38, 0.0347, 0)</f>
        <v>28.146900000000002</v>
      </c>
      <c r="I356" s="10">
        <f>28.1138 * CHOOSE(CONTROL!$C$15, $E$9, 100%, $G$9) + CHOOSE(CONTROL!$C$38, 0.0347, 0)</f>
        <v>28.148500000000002</v>
      </c>
      <c r="J356" s="26">
        <f>197.5964</f>
        <v>197.59639999999999</v>
      </c>
    </row>
    <row r="357" spans="1:10" ht="15.75" x14ac:dyDescent="0.25">
      <c r="A357" s="14">
        <v>52170</v>
      </c>
      <c r="B357" s="10">
        <f>30.7869 * CHOOSE(CONTROL!$C$15, $E$9, 100%, $G$9) + CHOOSE(CONTROL!$C$38, 0.0256, 0)</f>
        <v>30.8125</v>
      </c>
      <c r="C357" s="10">
        <f>28.3456 * CHOOSE(CONTROL!$C$15, $E$9, 100%, $G$9) + CHOOSE(CONTROL!$C$38, 0.0347, 0)</f>
        <v>28.380300000000002</v>
      </c>
      <c r="D357" s="10">
        <f>28.3378 * CHOOSE(CONTROL!$C$15, $E$9, 100%, $G$9) + CHOOSE(CONTROL!$C$38, 0.0347, 0)</f>
        <v>28.372500000000002</v>
      </c>
      <c r="E357" s="28">
        <f>30.6307 * CHOOSE(CONTROL!$C$15, $E$9, 100%, $G$9) + CHOOSE(CONTROL!$C$38, 0.0347, 0)</f>
        <v>30.665400000000002</v>
      </c>
      <c r="F357" s="27">
        <f>30.6307 * CHOOSE(CONTROL!$C$15, $E$9, 100%, $G$9) + CHOOSE(CONTROL!$C$38, 0.0256, 0)</f>
        <v>30.656300000000002</v>
      </c>
      <c r="G357" s="10">
        <f>28.3441 * CHOOSE(CONTROL!$C$15, $E$9, 100%, $G$9) + CHOOSE(CONTROL!$C$38, 0.0347, 0)</f>
        <v>28.378800000000002</v>
      </c>
      <c r="H357" s="10">
        <f>28.3441 * CHOOSE(CONTROL!$C$15, $E$9, 100%, $G$9) + CHOOSE(CONTROL!$C$38, 0.0347, 0)</f>
        <v>28.378800000000002</v>
      </c>
      <c r="I357" s="10">
        <f>28.3456 * CHOOSE(CONTROL!$C$15, $E$9, 100%, $G$9) + CHOOSE(CONTROL!$C$38, 0.0347, 0)</f>
        <v>28.380300000000002</v>
      </c>
      <c r="J357" s="26">
        <f>190.7634</f>
        <v>190.76339999999999</v>
      </c>
    </row>
    <row r="358" spans="1:10" ht="15.75" x14ac:dyDescent="0.25">
      <c r="A358" s="14">
        <v>52200</v>
      </c>
      <c r="B358" s="10">
        <f>30.9804 * CHOOSE(CONTROL!$C$15, $E$9, 100%, $G$9) + CHOOSE(CONTROL!$C$38, 0.0256, 0)</f>
        <v>31.006</v>
      </c>
      <c r="C358" s="10">
        <f>28.5391 * CHOOSE(CONTROL!$C$15, $E$9, 100%, $G$9) + CHOOSE(CONTROL!$C$38, 0.0347, 0)</f>
        <v>28.573800000000002</v>
      </c>
      <c r="D358" s="10">
        <f>28.5312 * CHOOSE(CONTROL!$C$15, $E$9, 100%, $G$9) + CHOOSE(CONTROL!$C$38, 0.0347, 0)</f>
        <v>28.565899999999999</v>
      </c>
      <c r="E358" s="28">
        <f>30.8241 * CHOOSE(CONTROL!$C$15, $E$9, 100%, $G$9) + CHOOSE(CONTROL!$C$38, 0.0347, 0)</f>
        <v>30.858800000000002</v>
      </c>
      <c r="F358" s="27">
        <f>30.8241 * CHOOSE(CONTROL!$C$15, $E$9, 100%, $G$9) + CHOOSE(CONTROL!$C$38, 0.0256, 0)</f>
        <v>30.849700000000002</v>
      </c>
      <c r="G358" s="10">
        <f>28.5375 * CHOOSE(CONTROL!$C$15, $E$9, 100%, $G$9) + CHOOSE(CONTROL!$C$38, 0.0347, 0)</f>
        <v>28.572200000000002</v>
      </c>
      <c r="H358" s="10">
        <f>28.5375 * CHOOSE(CONTROL!$C$15, $E$9, 100%, $G$9) + CHOOSE(CONTROL!$C$38, 0.0347, 0)</f>
        <v>28.572200000000002</v>
      </c>
      <c r="I358" s="10">
        <f>28.5391 * CHOOSE(CONTROL!$C$15, $E$9, 100%, $G$9) + CHOOSE(CONTROL!$C$38, 0.0347, 0)</f>
        <v>28.573800000000002</v>
      </c>
      <c r="J358" s="26">
        <f>189.4041</f>
        <v>189.4041</v>
      </c>
    </row>
    <row r="359" spans="1:10" ht="15.75" x14ac:dyDescent="0.25">
      <c r="A359" s="14">
        <v>52231</v>
      </c>
      <c r="B359" s="10">
        <f>31.5764 * CHOOSE(CONTROL!$C$15, $E$9, 100%, $G$9) + CHOOSE(CONTROL!$C$38, 0.0256, 0)</f>
        <v>31.602</v>
      </c>
      <c r="C359" s="10">
        <f>29.1351 * CHOOSE(CONTROL!$C$15, $E$9, 100%, $G$9) + CHOOSE(CONTROL!$C$38, 0.0347, 0)</f>
        <v>29.169800000000002</v>
      </c>
      <c r="D359" s="10">
        <f>29.1273 * CHOOSE(CONTROL!$C$15, $E$9, 100%, $G$9) + CHOOSE(CONTROL!$C$38, 0.0347, 0)</f>
        <v>29.162000000000003</v>
      </c>
      <c r="E359" s="28">
        <f>31.4202 * CHOOSE(CONTROL!$C$15, $E$9, 100%, $G$9) + CHOOSE(CONTROL!$C$38, 0.0347, 0)</f>
        <v>31.454900000000002</v>
      </c>
      <c r="F359" s="27">
        <f>31.4202 * CHOOSE(CONTROL!$C$15, $E$9, 100%, $G$9) + CHOOSE(CONTROL!$C$38, 0.0256, 0)</f>
        <v>31.445800000000002</v>
      </c>
      <c r="G359" s="10">
        <f>29.1336 * CHOOSE(CONTROL!$C$15, $E$9, 100%, $G$9) + CHOOSE(CONTROL!$C$38, 0.0347, 0)</f>
        <v>29.168300000000002</v>
      </c>
      <c r="H359" s="10">
        <f>29.1336 * CHOOSE(CONTROL!$C$15, $E$9, 100%, $G$9) + CHOOSE(CONTROL!$C$38, 0.0347, 0)</f>
        <v>29.168300000000002</v>
      </c>
      <c r="I359" s="10">
        <f>29.1351 * CHOOSE(CONTROL!$C$15, $E$9, 100%, $G$9) + CHOOSE(CONTROL!$C$38, 0.0347, 0)</f>
        <v>29.169800000000002</v>
      </c>
      <c r="J359" s="26">
        <f>183.7835</f>
        <v>183.7835</v>
      </c>
    </row>
    <row r="360" spans="1:10" ht="15.75" x14ac:dyDescent="0.25">
      <c r="A360" s="14">
        <v>52262</v>
      </c>
      <c r="B360" s="10">
        <f>32.5843 * CHOOSE(CONTROL!$C$15, $E$9, 100%, $G$9) + CHOOSE(CONTROL!$C$38, 0.0256, 0)</f>
        <v>32.609899999999996</v>
      </c>
      <c r="C360" s="10">
        <f>30.1026 * CHOOSE(CONTROL!$C$15, $E$9, 100%, $G$9) + CHOOSE(CONTROL!$C$38, 0.0347, 0)</f>
        <v>30.1373</v>
      </c>
      <c r="D360" s="10">
        <f>30.0948 * CHOOSE(CONTROL!$C$15, $E$9, 100%, $G$9) + CHOOSE(CONTROL!$C$38, 0.0347, 0)</f>
        <v>30.1295</v>
      </c>
      <c r="E360" s="28">
        <f>32.428 * CHOOSE(CONTROL!$C$15, $E$9, 100%, $G$9) + CHOOSE(CONTROL!$C$38, 0.0347, 0)</f>
        <v>32.462699999999998</v>
      </c>
      <c r="F360" s="27">
        <f>32.428 * CHOOSE(CONTROL!$C$15, $E$9, 100%, $G$9) + CHOOSE(CONTROL!$C$38, 0.0256, 0)</f>
        <v>32.453599999999994</v>
      </c>
      <c r="G360" s="10">
        <f>30.101 * CHOOSE(CONTROL!$C$15, $E$9, 100%, $G$9) + CHOOSE(CONTROL!$C$38, 0.0347, 0)</f>
        <v>30.1357</v>
      </c>
      <c r="H360" s="10">
        <f>30.101 * CHOOSE(CONTROL!$C$15, $E$9, 100%, $G$9) + CHOOSE(CONTROL!$C$38, 0.0347, 0)</f>
        <v>30.1357</v>
      </c>
      <c r="I360" s="10">
        <f>30.1026 * CHOOSE(CONTROL!$C$15, $E$9, 100%, $G$9) + CHOOSE(CONTROL!$C$38, 0.0347, 0)</f>
        <v>30.1373</v>
      </c>
      <c r="J360" s="26">
        <f>182.5525</f>
        <v>182.55250000000001</v>
      </c>
    </row>
    <row r="361" spans="1:10" ht="15.75" x14ac:dyDescent="0.25">
      <c r="A361" s="14">
        <v>52290</v>
      </c>
      <c r="B361" s="10">
        <f>32.805 * CHOOSE(CONTROL!$C$15, $E$9, 100%, $G$9) + CHOOSE(CONTROL!$C$38, 0.0256, 0)</f>
        <v>32.830599999999997</v>
      </c>
      <c r="C361" s="10">
        <f>30.3234 * CHOOSE(CONTROL!$C$15, $E$9, 100%, $G$9) + CHOOSE(CONTROL!$C$38, 0.0347, 0)</f>
        <v>30.3581</v>
      </c>
      <c r="D361" s="10">
        <f>30.3156 * CHOOSE(CONTROL!$C$15, $E$9, 100%, $G$9) + CHOOSE(CONTROL!$C$38, 0.0347, 0)</f>
        <v>30.350300000000001</v>
      </c>
      <c r="E361" s="28">
        <f>32.6488 * CHOOSE(CONTROL!$C$15, $E$9, 100%, $G$9) + CHOOSE(CONTROL!$C$38, 0.0347, 0)</f>
        <v>32.683500000000002</v>
      </c>
      <c r="F361" s="27">
        <f>32.6488 * CHOOSE(CONTROL!$C$15, $E$9, 100%, $G$9) + CHOOSE(CONTROL!$C$38, 0.0256, 0)</f>
        <v>32.674399999999999</v>
      </c>
      <c r="G361" s="10">
        <f>30.3218 * CHOOSE(CONTROL!$C$15, $E$9, 100%, $G$9) + CHOOSE(CONTROL!$C$38, 0.0347, 0)</f>
        <v>30.3565</v>
      </c>
      <c r="H361" s="10">
        <f>30.3218 * CHOOSE(CONTROL!$C$15, $E$9, 100%, $G$9) + CHOOSE(CONTROL!$C$38, 0.0347, 0)</f>
        <v>30.3565</v>
      </c>
      <c r="I361" s="10">
        <f>30.3234 * CHOOSE(CONTROL!$C$15, $E$9, 100%, $G$9) + CHOOSE(CONTROL!$C$38, 0.0347, 0)</f>
        <v>30.3581</v>
      </c>
      <c r="J361" s="26">
        <f>182.045</f>
        <v>182.04499999999999</v>
      </c>
    </row>
    <row r="362" spans="1:10" ht="15.75" x14ac:dyDescent="0.25">
      <c r="A362" s="14">
        <v>52321</v>
      </c>
      <c r="B362" s="10">
        <f>32.294 * CHOOSE(CONTROL!$C$15, $E$9, 100%, $G$9) + CHOOSE(CONTROL!$C$38, 0.0256, 0)</f>
        <v>32.319599999999994</v>
      </c>
      <c r="C362" s="10">
        <f>29.8123 * CHOOSE(CONTROL!$C$15, $E$9, 100%, $G$9) + CHOOSE(CONTROL!$C$38, 0.0347, 0)</f>
        <v>29.847000000000001</v>
      </c>
      <c r="D362" s="10">
        <f>29.8045 * CHOOSE(CONTROL!$C$15, $E$9, 100%, $G$9) + CHOOSE(CONTROL!$C$38, 0.0347, 0)</f>
        <v>29.839200000000002</v>
      </c>
      <c r="E362" s="28">
        <f>32.1378 * CHOOSE(CONTROL!$C$15, $E$9, 100%, $G$9) + CHOOSE(CONTROL!$C$38, 0.0347, 0)</f>
        <v>32.172499999999999</v>
      </c>
      <c r="F362" s="27">
        <f>32.1378 * CHOOSE(CONTROL!$C$15, $E$9, 100%, $G$9) + CHOOSE(CONTROL!$C$38, 0.0256, 0)</f>
        <v>32.163399999999996</v>
      </c>
      <c r="G362" s="10">
        <f>29.8108 * CHOOSE(CONTROL!$C$15, $E$9, 100%, $G$9) + CHOOSE(CONTROL!$C$38, 0.0347, 0)</f>
        <v>29.845500000000001</v>
      </c>
      <c r="H362" s="10">
        <f>29.8108 * CHOOSE(CONTROL!$C$15, $E$9, 100%, $G$9) + CHOOSE(CONTROL!$C$38, 0.0347, 0)</f>
        <v>29.845500000000001</v>
      </c>
      <c r="I362" s="10">
        <f>29.8123 * CHOOSE(CONTROL!$C$15, $E$9, 100%, $G$9) + CHOOSE(CONTROL!$C$38, 0.0347, 0)</f>
        <v>29.847000000000001</v>
      </c>
      <c r="J362" s="26">
        <f>191.6399</f>
        <v>191.63990000000001</v>
      </c>
    </row>
    <row r="363" spans="1:10" ht="15.75" x14ac:dyDescent="0.25">
      <c r="A363" s="14">
        <v>52351</v>
      </c>
      <c r="B363" s="10">
        <f>31.7988 * CHOOSE(CONTROL!$C$15, $E$9, 100%, $G$9) + CHOOSE(CONTROL!$C$38, 0.0256, 0)</f>
        <v>31.824400000000001</v>
      </c>
      <c r="C363" s="10">
        <f>29.3172 * CHOOSE(CONTROL!$C$15, $E$9, 100%, $G$9) + CHOOSE(CONTROL!$C$38, 0.0347, 0)</f>
        <v>29.351900000000001</v>
      </c>
      <c r="D363" s="10">
        <f>29.3093 * CHOOSE(CONTROL!$C$15, $E$9, 100%, $G$9) + CHOOSE(CONTROL!$C$38, 0.0347, 0)</f>
        <v>29.344000000000001</v>
      </c>
      <c r="E363" s="28">
        <f>31.6426 * CHOOSE(CONTROL!$C$15, $E$9, 100%, $G$9) + CHOOSE(CONTROL!$C$38, 0.0347, 0)</f>
        <v>31.677300000000002</v>
      </c>
      <c r="F363" s="27">
        <f>31.6426 * CHOOSE(CONTROL!$C$15, $E$9, 100%, $G$9) + CHOOSE(CONTROL!$C$38, 0.0256, 0)</f>
        <v>31.668200000000002</v>
      </c>
      <c r="G363" s="10">
        <f>29.3156 * CHOOSE(CONTROL!$C$15, $E$9, 100%, $G$9) + CHOOSE(CONTROL!$C$38, 0.0347, 0)</f>
        <v>29.350300000000001</v>
      </c>
      <c r="H363" s="10">
        <f>29.3156 * CHOOSE(CONTROL!$C$15, $E$9, 100%, $G$9) + CHOOSE(CONTROL!$C$38, 0.0347, 0)</f>
        <v>29.350300000000001</v>
      </c>
      <c r="I363" s="10">
        <f>29.3172 * CHOOSE(CONTROL!$C$15, $E$9, 100%, $G$9) + CHOOSE(CONTROL!$C$38, 0.0347, 0)</f>
        <v>29.351900000000001</v>
      </c>
      <c r="J363" s="26">
        <f>204.0821</f>
        <v>204.0821</v>
      </c>
    </row>
    <row r="364" spans="1:10" ht="15.75" x14ac:dyDescent="0.25">
      <c r="A364" s="14">
        <v>52382</v>
      </c>
      <c r="B364" s="10">
        <f>31.2827 * CHOOSE(CONTROL!$C$15, $E$9, 100%, $G$9) + CHOOSE(CONTROL!$C$38, 0.0256, 0)</f>
        <v>31.308299999999999</v>
      </c>
      <c r="C364" s="10">
        <f>28.801 * CHOOSE(CONTROL!$C$15, $E$9, 100%, $G$9) + CHOOSE(CONTROL!$C$38, 0.0347, 0)</f>
        <v>28.835699999999999</v>
      </c>
      <c r="D364" s="10">
        <f>28.7932 * CHOOSE(CONTROL!$C$15, $E$9, 100%, $G$9) + CHOOSE(CONTROL!$C$38, 0.0347, 0)</f>
        <v>28.8279</v>
      </c>
      <c r="E364" s="28">
        <f>31.1265 * CHOOSE(CONTROL!$C$15, $E$9, 100%, $G$9) + CHOOSE(CONTROL!$C$38, 0.0347, 0)</f>
        <v>31.161200000000001</v>
      </c>
      <c r="F364" s="27">
        <f>31.1265 * CHOOSE(CONTROL!$C$15, $E$9, 100%, $G$9) + CHOOSE(CONTROL!$C$38, 0.0256, 0)</f>
        <v>31.152100000000001</v>
      </c>
      <c r="G364" s="10">
        <f>28.7995 * CHOOSE(CONTROL!$C$15, $E$9, 100%, $G$9) + CHOOSE(CONTROL!$C$38, 0.0347, 0)</f>
        <v>28.834199999999999</v>
      </c>
      <c r="H364" s="10">
        <f>28.7995 * CHOOSE(CONTROL!$C$15, $E$9, 100%, $G$9) + CHOOSE(CONTROL!$C$38, 0.0347, 0)</f>
        <v>28.834199999999999</v>
      </c>
      <c r="I364" s="10">
        <f>28.801 * CHOOSE(CONTROL!$C$15, $E$9, 100%, $G$9) + CHOOSE(CONTROL!$C$38, 0.0347, 0)</f>
        <v>28.835699999999999</v>
      </c>
      <c r="J364" s="26">
        <f>210.9306</f>
        <v>210.9306</v>
      </c>
    </row>
    <row r="365" spans="1:10" ht="15.75" x14ac:dyDescent="0.25">
      <c r="A365" s="14">
        <v>52412</v>
      </c>
      <c r="B365" s="10">
        <f>30.9209 * CHOOSE(CONTROL!$C$15, $E$9, 100%, $G$9) + CHOOSE(CONTROL!$C$38, 0.0256, 0)</f>
        <v>30.9465</v>
      </c>
      <c r="C365" s="10">
        <f>28.4392 * CHOOSE(CONTROL!$C$15, $E$9, 100%, $G$9) + CHOOSE(CONTROL!$C$38, 0.0347, 0)</f>
        <v>28.4739</v>
      </c>
      <c r="D365" s="10">
        <f>28.4314 * CHOOSE(CONTROL!$C$15, $E$9, 100%, $G$9) + CHOOSE(CONTROL!$C$38, 0.0347, 0)</f>
        <v>28.466100000000001</v>
      </c>
      <c r="E365" s="28">
        <f>30.7646 * CHOOSE(CONTROL!$C$15, $E$9, 100%, $G$9) + CHOOSE(CONTROL!$C$38, 0.0347, 0)</f>
        <v>30.799300000000002</v>
      </c>
      <c r="F365" s="27">
        <f>30.7646 * CHOOSE(CONTROL!$C$15, $E$9, 100%, $G$9) + CHOOSE(CONTROL!$C$38, 0.0256, 0)</f>
        <v>30.790200000000002</v>
      </c>
      <c r="G365" s="10">
        <f>28.4376 * CHOOSE(CONTROL!$C$15, $E$9, 100%, $G$9) + CHOOSE(CONTROL!$C$38, 0.0347, 0)</f>
        <v>28.472300000000001</v>
      </c>
      <c r="H365" s="10">
        <f>28.4376 * CHOOSE(CONTROL!$C$15, $E$9, 100%, $G$9) + CHOOSE(CONTROL!$C$38, 0.0347, 0)</f>
        <v>28.472300000000001</v>
      </c>
      <c r="I365" s="10">
        <f>28.4392 * CHOOSE(CONTROL!$C$15, $E$9, 100%, $G$9) + CHOOSE(CONTROL!$C$38, 0.0347, 0)</f>
        <v>28.4739</v>
      </c>
      <c r="J365" s="26">
        <f>213.9699</f>
        <v>213.9699</v>
      </c>
    </row>
    <row r="366" spans="1:10" ht="15.75" x14ac:dyDescent="0.25">
      <c r="A366" s="14">
        <v>52443</v>
      </c>
      <c r="B366" s="10">
        <f>30.7144 * CHOOSE(CONTROL!$C$15, $E$9, 100%, $G$9) + CHOOSE(CONTROL!$C$38, 0.0256, 0)</f>
        <v>30.740000000000002</v>
      </c>
      <c r="C366" s="10">
        <f>28.2327 * CHOOSE(CONTROL!$C$15, $E$9, 100%, $G$9) + CHOOSE(CONTROL!$C$38, 0.0347, 0)</f>
        <v>28.267400000000002</v>
      </c>
      <c r="D366" s="10">
        <f>28.2249 * CHOOSE(CONTROL!$C$15, $E$9, 100%, $G$9) + CHOOSE(CONTROL!$C$38, 0.0347, 0)</f>
        <v>28.259600000000002</v>
      </c>
      <c r="E366" s="28">
        <f>30.5581 * CHOOSE(CONTROL!$C$15, $E$9, 100%, $G$9) + CHOOSE(CONTROL!$C$38, 0.0347, 0)</f>
        <v>30.5928</v>
      </c>
      <c r="F366" s="27">
        <f>30.5581 * CHOOSE(CONTROL!$C$15, $E$9, 100%, $G$9) + CHOOSE(CONTROL!$C$38, 0.0256, 0)</f>
        <v>30.5837</v>
      </c>
      <c r="G366" s="10">
        <f>28.2312 * CHOOSE(CONTROL!$C$15, $E$9, 100%, $G$9) + CHOOSE(CONTROL!$C$38, 0.0347, 0)</f>
        <v>28.265900000000002</v>
      </c>
      <c r="H366" s="10">
        <f>28.2312 * CHOOSE(CONTROL!$C$15, $E$9, 100%, $G$9) + CHOOSE(CONTROL!$C$38, 0.0347, 0)</f>
        <v>28.265900000000002</v>
      </c>
      <c r="I366" s="10">
        <f>28.2327 * CHOOSE(CONTROL!$C$15, $E$9, 100%, $G$9) + CHOOSE(CONTROL!$C$38, 0.0347, 0)</f>
        <v>28.267400000000002</v>
      </c>
      <c r="J366" s="26">
        <f>212.9693</f>
        <v>212.9693</v>
      </c>
    </row>
    <row r="367" spans="1:10" ht="15.75" x14ac:dyDescent="0.25">
      <c r="A367" s="14">
        <v>52474</v>
      </c>
      <c r="B367" s="10">
        <f>30.8163 * CHOOSE(CONTROL!$C$15, $E$9, 100%, $G$9) + CHOOSE(CONTROL!$C$38, 0.0256, 0)</f>
        <v>30.841899999999999</v>
      </c>
      <c r="C367" s="10">
        <f>28.3346 * CHOOSE(CONTROL!$C$15, $E$9, 100%, $G$9) + CHOOSE(CONTROL!$C$38, 0.0347, 0)</f>
        <v>28.369299999999999</v>
      </c>
      <c r="D367" s="10">
        <f>28.3268 * CHOOSE(CONTROL!$C$15, $E$9, 100%, $G$9) + CHOOSE(CONTROL!$C$38, 0.0347, 0)</f>
        <v>28.361499999999999</v>
      </c>
      <c r="E367" s="28">
        <f>30.6601 * CHOOSE(CONTROL!$C$15, $E$9, 100%, $G$9) + CHOOSE(CONTROL!$C$38, 0.0347, 0)</f>
        <v>30.694800000000001</v>
      </c>
      <c r="F367" s="27">
        <f>30.6601 * CHOOSE(CONTROL!$C$15, $E$9, 100%, $G$9) + CHOOSE(CONTROL!$C$38, 0.0256, 0)</f>
        <v>30.685700000000001</v>
      </c>
      <c r="G367" s="10">
        <f>28.3331 * CHOOSE(CONTROL!$C$15, $E$9, 100%, $G$9) + CHOOSE(CONTROL!$C$38, 0.0347, 0)</f>
        <v>28.367800000000003</v>
      </c>
      <c r="H367" s="10">
        <f>28.3331 * CHOOSE(CONTROL!$C$15, $E$9, 100%, $G$9) + CHOOSE(CONTROL!$C$38, 0.0347, 0)</f>
        <v>28.367800000000003</v>
      </c>
      <c r="I367" s="10">
        <f>28.3346 * CHOOSE(CONTROL!$C$15, $E$9, 100%, $G$9) + CHOOSE(CONTROL!$C$38, 0.0347, 0)</f>
        <v>28.369299999999999</v>
      </c>
      <c r="J367" s="26">
        <f>208.0114</f>
        <v>208.01140000000001</v>
      </c>
    </row>
    <row r="368" spans="1:10" ht="15.75" x14ac:dyDescent="0.25">
      <c r="A368" s="14">
        <v>52504</v>
      </c>
      <c r="B368" s="10">
        <f>31.0931 * CHOOSE(CONTROL!$C$15, $E$9, 100%, $G$9) + CHOOSE(CONTROL!$C$38, 0.0256, 0)</f>
        <v>31.1187</v>
      </c>
      <c r="C368" s="10">
        <f>28.6114 * CHOOSE(CONTROL!$C$15, $E$9, 100%, $G$9) + CHOOSE(CONTROL!$C$38, 0.0347, 0)</f>
        <v>28.646100000000001</v>
      </c>
      <c r="D368" s="10">
        <f>28.6036 * CHOOSE(CONTROL!$C$15, $E$9, 100%, $G$9) + CHOOSE(CONTROL!$C$38, 0.0347, 0)</f>
        <v>28.638300000000001</v>
      </c>
      <c r="E368" s="28">
        <f>30.9369 * CHOOSE(CONTROL!$C$15, $E$9, 100%, $G$9) + CHOOSE(CONTROL!$C$38, 0.0347, 0)</f>
        <v>30.971600000000002</v>
      </c>
      <c r="F368" s="27">
        <f>30.9369 * CHOOSE(CONTROL!$C$15, $E$9, 100%, $G$9) + CHOOSE(CONTROL!$C$38, 0.0256, 0)</f>
        <v>30.962500000000002</v>
      </c>
      <c r="G368" s="10">
        <f>28.6099 * CHOOSE(CONTROL!$C$15, $E$9, 100%, $G$9) + CHOOSE(CONTROL!$C$38, 0.0347, 0)</f>
        <v>28.644600000000001</v>
      </c>
      <c r="H368" s="10">
        <f>28.6099 * CHOOSE(CONTROL!$C$15, $E$9, 100%, $G$9) + CHOOSE(CONTROL!$C$38, 0.0347, 0)</f>
        <v>28.644600000000001</v>
      </c>
      <c r="I368" s="10">
        <f>28.6114 * CHOOSE(CONTROL!$C$15, $E$9, 100%, $G$9) + CHOOSE(CONTROL!$C$38, 0.0347, 0)</f>
        <v>28.646100000000001</v>
      </c>
      <c r="J368" s="26">
        <f>201.0975</f>
        <v>201.0975</v>
      </c>
    </row>
    <row r="369" spans="1:10" ht="15.75" x14ac:dyDescent="0.25">
      <c r="A369" s="14">
        <v>52535</v>
      </c>
      <c r="B369" s="10">
        <f>31.3249 * CHOOSE(CONTROL!$C$15, $E$9, 100%, $G$9) + CHOOSE(CONTROL!$C$38, 0.0256, 0)</f>
        <v>31.3505</v>
      </c>
      <c r="C369" s="10">
        <f>28.8433 * CHOOSE(CONTROL!$C$15, $E$9, 100%, $G$9) + CHOOSE(CONTROL!$C$38, 0.0347, 0)</f>
        <v>28.878</v>
      </c>
      <c r="D369" s="10">
        <f>28.8354 * CHOOSE(CONTROL!$C$15, $E$9, 100%, $G$9) + CHOOSE(CONTROL!$C$38, 0.0347, 0)</f>
        <v>28.870100000000001</v>
      </c>
      <c r="E369" s="28">
        <f>31.1687 * CHOOSE(CONTROL!$C$15, $E$9, 100%, $G$9) + CHOOSE(CONTROL!$C$38, 0.0347, 0)</f>
        <v>31.203400000000002</v>
      </c>
      <c r="F369" s="27">
        <f>31.1687 * CHOOSE(CONTROL!$C$15, $E$9, 100%, $G$9) + CHOOSE(CONTROL!$C$38, 0.0256, 0)</f>
        <v>31.194300000000002</v>
      </c>
      <c r="G369" s="10">
        <f>28.8417 * CHOOSE(CONTROL!$C$15, $E$9, 100%, $G$9) + CHOOSE(CONTROL!$C$38, 0.0347, 0)</f>
        <v>28.8764</v>
      </c>
      <c r="H369" s="10">
        <f>28.8417 * CHOOSE(CONTROL!$C$15, $E$9, 100%, $G$9) + CHOOSE(CONTROL!$C$38, 0.0347, 0)</f>
        <v>28.8764</v>
      </c>
      <c r="I369" s="10">
        <f>28.8433 * CHOOSE(CONTROL!$C$15, $E$9, 100%, $G$9) + CHOOSE(CONTROL!$C$38, 0.0347, 0)</f>
        <v>28.878</v>
      </c>
      <c r="J369" s="26">
        <f>194.1433</f>
        <v>194.14330000000001</v>
      </c>
    </row>
    <row r="370" spans="1:10" ht="15.75" x14ac:dyDescent="0.25">
      <c r="A370" s="14">
        <v>52565</v>
      </c>
      <c r="B370" s="10">
        <f>31.5184 * CHOOSE(CONTROL!$C$15, $E$9, 100%, $G$9) + CHOOSE(CONTROL!$C$38, 0.0256, 0)</f>
        <v>31.544</v>
      </c>
      <c r="C370" s="10">
        <f>29.0367 * CHOOSE(CONTROL!$C$15, $E$9, 100%, $G$9) + CHOOSE(CONTROL!$C$38, 0.0347, 0)</f>
        <v>29.071400000000001</v>
      </c>
      <c r="D370" s="10">
        <f>29.0289 * CHOOSE(CONTROL!$C$15, $E$9, 100%, $G$9) + CHOOSE(CONTROL!$C$38, 0.0347, 0)</f>
        <v>29.063600000000001</v>
      </c>
      <c r="E370" s="28">
        <f>31.3621 * CHOOSE(CONTROL!$C$15, $E$9, 100%, $G$9) + CHOOSE(CONTROL!$C$38, 0.0347, 0)</f>
        <v>31.396800000000002</v>
      </c>
      <c r="F370" s="27">
        <f>31.3621 * CHOOSE(CONTROL!$C$15, $E$9, 100%, $G$9) + CHOOSE(CONTROL!$C$38, 0.0256, 0)</f>
        <v>31.387700000000002</v>
      </c>
      <c r="G370" s="10">
        <f>29.0351 * CHOOSE(CONTROL!$C$15, $E$9, 100%, $G$9) + CHOOSE(CONTROL!$C$38, 0.0347, 0)</f>
        <v>29.069800000000001</v>
      </c>
      <c r="H370" s="10">
        <f>29.0351 * CHOOSE(CONTROL!$C$15, $E$9, 100%, $G$9) + CHOOSE(CONTROL!$C$38, 0.0347, 0)</f>
        <v>29.069800000000001</v>
      </c>
      <c r="I370" s="10">
        <f>29.0367 * CHOOSE(CONTROL!$C$15, $E$9, 100%, $G$9) + CHOOSE(CONTROL!$C$38, 0.0347, 0)</f>
        <v>29.071400000000001</v>
      </c>
      <c r="J370" s="26">
        <f>192.76</f>
        <v>192.76</v>
      </c>
    </row>
    <row r="371" spans="1:10" ht="15.75" x14ac:dyDescent="0.25">
      <c r="A371" s="14">
        <v>52596</v>
      </c>
      <c r="B371" s="10">
        <f>32.1144 * CHOOSE(CONTROL!$C$15, $E$9, 100%, $G$9) + CHOOSE(CONTROL!$C$38, 0.0256, 0)</f>
        <v>32.14</v>
      </c>
      <c r="C371" s="10">
        <f>29.6328 * CHOOSE(CONTROL!$C$15, $E$9, 100%, $G$9) + CHOOSE(CONTROL!$C$38, 0.0347, 0)</f>
        <v>29.6675</v>
      </c>
      <c r="D371" s="10">
        <f>29.6249 * CHOOSE(CONTROL!$C$15, $E$9, 100%, $G$9) + CHOOSE(CONTROL!$C$38, 0.0347, 0)</f>
        <v>29.659600000000001</v>
      </c>
      <c r="E371" s="28">
        <f>31.9582 * CHOOSE(CONTROL!$C$15, $E$9, 100%, $G$9) + CHOOSE(CONTROL!$C$38, 0.0347, 0)</f>
        <v>31.992900000000002</v>
      </c>
      <c r="F371" s="27">
        <f>31.9582 * CHOOSE(CONTROL!$C$15, $E$9, 100%, $G$9) + CHOOSE(CONTROL!$C$38, 0.0256, 0)</f>
        <v>31.983800000000002</v>
      </c>
      <c r="G371" s="10">
        <f>29.6312 * CHOOSE(CONTROL!$C$15, $E$9, 100%, $G$9) + CHOOSE(CONTROL!$C$38, 0.0347, 0)</f>
        <v>29.665900000000001</v>
      </c>
      <c r="H371" s="10">
        <f>29.6312 * CHOOSE(CONTROL!$C$15, $E$9, 100%, $G$9) + CHOOSE(CONTROL!$C$38, 0.0347, 0)</f>
        <v>29.665900000000001</v>
      </c>
      <c r="I371" s="10">
        <f>29.6328 * CHOOSE(CONTROL!$C$15, $E$9, 100%, $G$9) + CHOOSE(CONTROL!$C$38, 0.0347, 0)</f>
        <v>29.6675</v>
      </c>
      <c r="J371" s="26">
        <f>187.0398</f>
        <v>187.03980000000001</v>
      </c>
    </row>
    <row r="372" spans="1:10" ht="15.75" x14ac:dyDescent="0.25">
      <c r="A372" s="14">
        <v>52627</v>
      </c>
      <c r="B372" s="10">
        <f>33.1318 * CHOOSE(CONTROL!$C$15, $E$9, 100%, $G$9) + CHOOSE(CONTROL!$C$38, 0.0256, 0)</f>
        <v>33.157399999999996</v>
      </c>
      <c r="C372" s="10">
        <f>30.609 * CHOOSE(CONTROL!$C$15, $E$9, 100%, $G$9) + CHOOSE(CONTROL!$C$38, 0.0347, 0)</f>
        <v>30.643700000000003</v>
      </c>
      <c r="D372" s="10">
        <f>30.6012 * CHOOSE(CONTROL!$C$15, $E$9, 100%, $G$9) + CHOOSE(CONTROL!$C$38, 0.0347, 0)</f>
        <v>30.635899999999999</v>
      </c>
      <c r="E372" s="28">
        <f>32.9755 * CHOOSE(CONTROL!$C$15, $E$9, 100%, $G$9) + CHOOSE(CONTROL!$C$38, 0.0347, 0)</f>
        <v>33.010199999999998</v>
      </c>
      <c r="F372" s="27">
        <f>32.9755 * CHOOSE(CONTROL!$C$15, $E$9, 100%, $G$9) + CHOOSE(CONTROL!$C$38, 0.0256, 0)</f>
        <v>33.001099999999994</v>
      </c>
      <c r="G372" s="10">
        <f>30.6075 * CHOOSE(CONTROL!$C$15, $E$9, 100%, $G$9) + CHOOSE(CONTROL!$C$38, 0.0347, 0)</f>
        <v>30.642200000000003</v>
      </c>
      <c r="H372" s="10">
        <f>30.6075 * CHOOSE(CONTROL!$C$15, $E$9, 100%, $G$9) + CHOOSE(CONTROL!$C$38, 0.0347, 0)</f>
        <v>30.642200000000003</v>
      </c>
      <c r="I372" s="10">
        <f>30.609 * CHOOSE(CONTROL!$C$15, $E$9, 100%, $G$9) + CHOOSE(CONTROL!$C$38, 0.0347, 0)</f>
        <v>30.643700000000003</v>
      </c>
      <c r="J372" s="26">
        <f>185.787</f>
        <v>185.78700000000001</v>
      </c>
    </row>
    <row r="373" spans="1:10" ht="15.75" x14ac:dyDescent="0.25">
      <c r="A373" s="14">
        <v>52655</v>
      </c>
      <c r="B373" s="10">
        <f>33.3526 * CHOOSE(CONTROL!$C$15, $E$9, 100%, $G$9) + CHOOSE(CONTROL!$C$38, 0.0256, 0)</f>
        <v>33.3782</v>
      </c>
      <c r="C373" s="10">
        <f>30.8298 * CHOOSE(CONTROL!$C$15, $E$9, 100%, $G$9) + CHOOSE(CONTROL!$C$38, 0.0347, 0)</f>
        <v>30.8645</v>
      </c>
      <c r="D373" s="10">
        <f>30.822 * CHOOSE(CONTROL!$C$15, $E$9, 100%, $G$9) + CHOOSE(CONTROL!$C$38, 0.0347, 0)</f>
        <v>30.8567</v>
      </c>
      <c r="E373" s="28">
        <f>33.1963 * CHOOSE(CONTROL!$C$15, $E$9, 100%, $G$9) + CHOOSE(CONTROL!$C$38, 0.0347, 0)</f>
        <v>33.231000000000002</v>
      </c>
      <c r="F373" s="27">
        <f>33.1963 * CHOOSE(CONTROL!$C$15, $E$9, 100%, $G$9) + CHOOSE(CONTROL!$C$38, 0.0256, 0)</f>
        <v>33.221899999999998</v>
      </c>
      <c r="G373" s="10">
        <f>30.8282 * CHOOSE(CONTROL!$C$15, $E$9, 100%, $G$9) + CHOOSE(CONTROL!$C$38, 0.0347, 0)</f>
        <v>30.8629</v>
      </c>
      <c r="H373" s="10">
        <f>30.8282 * CHOOSE(CONTROL!$C$15, $E$9, 100%, $G$9) + CHOOSE(CONTROL!$C$38, 0.0347, 0)</f>
        <v>30.8629</v>
      </c>
      <c r="I373" s="10">
        <f>30.8298 * CHOOSE(CONTROL!$C$15, $E$9, 100%, $G$9) + CHOOSE(CONTROL!$C$38, 0.0347, 0)</f>
        <v>30.8645</v>
      </c>
      <c r="J373" s="26">
        <f>185.2705</f>
        <v>185.2705</v>
      </c>
    </row>
    <row r="374" spans="1:10" ht="15.75" x14ac:dyDescent="0.25">
      <c r="A374" s="14">
        <v>52687</v>
      </c>
      <c r="B374" s="10">
        <f>32.8415 * CHOOSE(CONTROL!$C$15, $E$9, 100%, $G$9) + CHOOSE(CONTROL!$C$38, 0.0256, 0)</f>
        <v>32.867100000000001</v>
      </c>
      <c r="C374" s="10">
        <f>30.3188 * CHOOSE(CONTROL!$C$15, $E$9, 100%, $G$9) + CHOOSE(CONTROL!$C$38, 0.0347, 0)</f>
        <v>30.3535</v>
      </c>
      <c r="D374" s="10">
        <f>30.311 * CHOOSE(CONTROL!$C$15, $E$9, 100%, $G$9) + CHOOSE(CONTROL!$C$38, 0.0347, 0)</f>
        <v>30.345700000000001</v>
      </c>
      <c r="E374" s="28">
        <f>32.6853 * CHOOSE(CONTROL!$C$15, $E$9, 100%, $G$9) + CHOOSE(CONTROL!$C$38, 0.0347, 0)</f>
        <v>32.72</v>
      </c>
      <c r="F374" s="27">
        <f>32.6853 * CHOOSE(CONTROL!$C$15, $E$9, 100%, $G$9) + CHOOSE(CONTROL!$C$38, 0.0256, 0)</f>
        <v>32.710899999999995</v>
      </c>
      <c r="G374" s="10">
        <f>30.3172 * CHOOSE(CONTROL!$C$15, $E$9, 100%, $G$9) + CHOOSE(CONTROL!$C$38, 0.0347, 0)</f>
        <v>30.351900000000001</v>
      </c>
      <c r="H374" s="10">
        <f>30.3172 * CHOOSE(CONTROL!$C$15, $E$9, 100%, $G$9) + CHOOSE(CONTROL!$C$38, 0.0347, 0)</f>
        <v>30.351900000000001</v>
      </c>
      <c r="I374" s="10">
        <f>30.3188 * CHOOSE(CONTROL!$C$15, $E$9, 100%, $G$9) + CHOOSE(CONTROL!$C$38, 0.0347, 0)</f>
        <v>30.3535</v>
      </c>
      <c r="J374" s="26">
        <f>195.0354</f>
        <v>195.03540000000001</v>
      </c>
    </row>
    <row r="375" spans="1:10" ht="15.75" x14ac:dyDescent="0.25">
      <c r="A375" s="14">
        <v>52717</v>
      </c>
      <c r="B375" s="10">
        <f>32.3463 * CHOOSE(CONTROL!$C$15, $E$9, 100%, $G$9) + CHOOSE(CONTROL!$C$38, 0.0256, 0)</f>
        <v>32.371899999999997</v>
      </c>
      <c r="C375" s="10">
        <f>29.8236 * CHOOSE(CONTROL!$C$15, $E$9, 100%, $G$9) + CHOOSE(CONTROL!$C$38, 0.0347, 0)</f>
        <v>29.8583</v>
      </c>
      <c r="D375" s="10">
        <f>29.8158 * CHOOSE(CONTROL!$C$15, $E$9, 100%, $G$9) + CHOOSE(CONTROL!$C$38, 0.0347, 0)</f>
        <v>29.8505</v>
      </c>
      <c r="E375" s="28">
        <f>32.1901 * CHOOSE(CONTROL!$C$15, $E$9, 100%, $G$9) + CHOOSE(CONTROL!$C$38, 0.0347, 0)</f>
        <v>32.224800000000002</v>
      </c>
      <c r="F375" s="27">
        <f>32.1901 * CHOOSE(CONTROL!$C$15, $E$9, 100%, $G$9) + CHOOSE(CONTROL!$C$38, 0.0256, 0)</f>
        <v>32.215699999999998</v>
      </c>
      <c r="G375" s="10">
        <f>29.822 * CHOOSE(CONTROL!$C$15, $E$9, 100%, $G$9) + CHOOSE(CONTROL!$C$38, 0.0347, 0)</f>
        <v>29.8567</v>
      </c>
      <c r="H375" s="10">
        <f>29.822 * CHOOSE(CONTROL!$C$15, $E$9, 100%, $G$9) + CHOOSE(CONTROL!$C$38, 0.0347, 0)</f>
        <v>29.8567</v>
      </c>
      <c r="I375" s="10">
        <f>29.8236 * CHOOSE(CONTROL!$C$15, $E$9, 100%, $G$9) + CHOOSE(CONTROL!$C$38, 0.0347, 0)</f>
        <v>29.8583</v>
      </c>
      <c r="J375" s="26">
        <f>207.698</f>
        <v>207.69800000000001</v>
      </c>
    </row>
    <row r="376" spans="1:10" ht="15.75" x14ac:dyDescent="0.25">
      <c r="A376" s="14">
        <v>52748</v>
      </c>
      <c r="B376" s="10">
        <f>31.8302 * CHOOSE(CONTROL!$C$15, $E$9, 100%, $G$9) + CHOOSE(CONTROL!$C$38, 0.0256, 0)</f>
        <v>31.855800000000002</v>
      </c>
      <c r="C376" s="10">
        <f>29.3075 * CHOOSE(CONTROL!$C$15, $E$9, 100%, $G$9) + CHOOSE(CONTROL!$C$38, 0.0347, 0)</f>
        <v>29.342200000000002</v>
      </c>
      <c r="D376" s="10">
        <f>29.2997 * CHOOSE(CONTROL!$C$15, $E$9, 100%, $G$9) + CHOOSE(CONTROL!$C$38, 0.0347, 0)</f>
        <v>29.334400000000002</v>
      </c>
      <c r="E376" s="28">
        <f>31.674 * CHOOSE(CONTROL!$C$15, $E$9, 100%, $G$9) + CHOOSE(CONTROL!$C$38, 0.0347, 0)</f>
        <v>31.7087</v>
      </c>
      <c r="F376" s="27">
        <f>31.674 * CHOOSE(CONTROL!$C$15, $E$9, 100%, $G$9) + CHOOSE(CONTROL!$C$38, 0.0256, 0)</f>
        <v>31.6996</v>
      </c>
      <c r="G376" s="10">
        <f>29.3059 * CHOOSE(CONTROL!$C$15, $E$9, 100%, $G$9) + CHOOSE(CONTROL!$C$38, 0.0347, 0)</f>
        <v>29.340600000000002</v>
      </c>
      <c r="H376" s="10">
        <f>29.3059 * CHOOSE(CONTROL!$C$15, $E$9, 100%, $G$9) + CHOOSE(CONTROL!$C$38, 0.0347, 0)</f>
        <v>29.340600000000002</v>
      </c>
      <c r="I376" s="10">
        <f>29.3075 * CHOOSE(CONTROL!$C$15, $E$9, 100%, $G$9) + CHOOSE(CONTROL!$C$38, 0.0347, 0)</f>
        <v>29.342200000000002</v>
      </c>
      <c r="J376" s="26">
        <f>214.6679</f>
        <v>214.6679</v>
      </c>
    </row>
    <row r="377" spans="1:10" ht="15.75" x14ac:dyDescent="0.25">
      <c r="A377" s="14">
        <v>52778</v>
      </c>
      <c r="B377" s="10">
        <f>31.4684 * CHOOSE(CONTROL!$C$15, $E$9, 100%, $G$9) + CHOOSE(CONTROL!$C$38, 0.0256, 0)</f>
        <v>31.494</v>
      </c>
      <c r="C377" s="10">
        <f>28.9456 * CHOOSE(CONTROL!$C$15, $E$9, 100%, $G$9) + CHOOSE(CONTROL!$C$38, 0.0347, 0)</f>
        <v>28.9803</v>
      </c>
      <c r="D377" s="10">
        <f>28.9378 * CHOOSE(CONTROL!$C$15, $E$9, 100%, $G$9) + CHOOSE(CONTROL!$C$38, 0.0347, 0)</f>
        <v>28.9725</v>
      </c>
      <c r="E377" s="28">
        <f>31.3121 * CHOOSE(CONTROL!$C$15, $E$9, 100%, $G$9) + CHOOSE(CONTROL!$C$38, 0.0347, 0)</f>
        <v>31.346800000000002</v>
      </c>
      <c r="F377" s="27">
        <f>31.3121 * CHOOSE(CONTROL!$C$15, $E$9, 100%, $G$9) + CHOOSE(CONTROL!$C$38, 0.0256, 0)</f>
        <v>31.337700000000002</v>
      </c>
      <c r="G377" s="10">
        <f>28.9441 * CHOOSE(CONTROL!$C$15, $E$9, 100%, $G$9) + CHOOSE(CONTROL!$C$38, 0.0347, 0)</f>
        <v>28.9788</v>
      </c>
      <c r="H377" s="10">
        <f>28.9441 * CHOOSE(CONTROL!$C$15, $E$9, 100%, $G$9) + CHOOSE(CONTROL!$C$38, 0.0347, 0)</f>
        <v>28.9788</v>
      </c>
      <c r="I377" s="10">
        <f>28.9456 * CHOOSE(CONTROL!$C$15, $E$9, 100%, $G$9) + CHOOSE(CONTROL!$C$38, 0.0347, 0)</f>
        <v>28.9803</v>
      </c>
      <c r="J377" s="26">
        <f>217.7611</f>
        <v>217.7611</v>
      </c>
    </row>
    <row r="378" spans="1:10" ht="15.75" x14ac:dyDescent="0.25">
      <c r="A378" s="14">
        <v>52809</v>
      </c>
      <c r="B378" s="10">
        <f>31.2619 * CHOOSE(CONTROL!$C$15, $E$9, 100%, $G$9) + CHOOSE(CONTROL!$C$38, 0.0256, 0)</f>
        <v>31.287500000000001</v>
      </c>
      <c r="C378" s="10">
        <f>28.7391 * CHOOSE(CONTROL!$C$15, $E$9, 100%, $G$9) + CHOOSE(CONTROL!$C$38, 0.0347, 0)</f>
        <v>28.773800000000001</v>
      </c>
      <c r="D378" s="10">
        <f>28.7313 * CHOOSE(CONTROL!$C$15, $E$9, 100%, $G$9) + CHOOSE(CONTROL!$C$38, 0.0347, 0)</f>
        <v>28.766000000000002</v>
      </c>
      <c r="E378" s="28">
        <f>31.1057 * CHOOSE(CONTROL!$C$15, $E$9, 100%, $G$9) + CHOOSE(CONTROL!$C$38, 0.0347, 0)</f>
        <v>31.1404</v>
      </c>
      <c r="F378" s="27">
        <f>31.1057 * CHOOSE(CONTROL!$C$15, $E$9, 100%, $G$9) + CHOOSE(CONTROL!$C$38, 0.0256, 0)</f>
        <v>31.1313</v>
      </c>
      <c r="G378" s="10">
        <f>28.7376 * CHOOSE(CONTROL!$C$15, $E$9, 100%, $G$9) + CHOOSE(CONTROL!$C$38, 0.0347, 0)</f>
        <v>28.772300000000001</v>
      </c>
      <c r="H378" s="10">
        <f>28.7376 * CHOOSE(CONTROL!$C$15, $E$9, 100%, $G$9) + CHOOSE(CONTROL!$C$38, 0.0347, 0)</f>
        <v>28.772300000000001</v>
      </c>
      <c r="I378" s="10">
        <f>28.7391 * CHOOSE(CONTROL!$C$15, $E$9, 100%, $G$9) + CHOOSE(CONTROL!$C$38, 0.0347, 0)</f>
        <v>28.773800000000001</v>
      </c>
      <c r="J378" s="26">
        <f>216.7427</f>
        <v>216.74270000000001</v>
      </c>
    </row>
    <row r="379" spans="1:10" ht="15.75" x14ac:dyDescent="0.25">
      <c r="A379" s="14">
        <v>52840</v>
      </c>
      <c r="B379" s="10">
        <f>31.3638 * CHOOSE(CONTROL!$C$15, $E$9, 100%, $G$9) + CHOOSE(CONTROL!$C$38, 0.0256, 0)</f>
        <v>31.389400000000002</v>
      </c>
      <c r="C379" s="10">
        <f>28.8411 * CHOOSE(CONTROL!$C$15, $E$9, 100%, $G$9) + CHOOSE(CONTROL!$C$38, 0.0347, 0)</f>
        <v>28.875800000000002</v>
      </c>
      <c r="D379" s="10">
        <f>28.8332 * CHOOSE(CONTROL!$C$15, $E$9, 100%, $G$9) + CHOOSE(CONTROL!$C$38, 0.0347, 0)</f>
        <v>28.867900000000002</v>
      </c>
      <c r="E379" s="28">
        <f>31.2076 * CHOOSE(CONTROL!$C$15, $E$9, 100%, $G$9) + CHOOSE(CONTROL!$C$38, 0.0347, 0)</f>
        <v>31.2423</v>
      </c>
      <c r="F379" s="27">
        <f>31.2076 * CHOOSE(CONTROL!$C$15, $E$9, 100%, $G$9) + CHOOSE(CONTROL!$C$38, 0.0256, 0)</f>
        <v>31.2332</v>
      </c>
      <c r="G379" s="10">
        <f>28.8395 * CHOOSE(CONTROL!$C$15, $E$9, 100%, $G$9) + CHOOSE(CONTROL!$C$38, 0.0347, 0)</f>
        <v>28.874200000000002</v>
      </c>
      <c r="H379" s="10">
        <f>28.8395 * CHOOSE(CONTROL!$C$15, $E$9, 100%, $G$9) + CHOOSE(CONTROL!$C$38, 0.0347, 0)</f>
        <v>28.874200000000002</v>
      </c>
      <c r="I379" s="10">
        <f>28.8411 * CHOOSE(CONTROL!$C$15, $E$9, 100%, $G$9) + CHOOSE(CONTROL!$C$38, 0.0347, 0)</f>
        <v>28.875800000000002</v>
      </c>
      <c r="J379" s="26">
        <f>211.697</f>
        <v>211.697</v>
      </c>
    </row>
    <row r="380" spans="1:10" ht="15.75" x14ac:dyDescent="0.25">
      <c r="A380" s="14">
        <v>52870</v>
      </c>
      <c r="B380" s="10">
        <f>31.6406 * CHOOSE(CONTROL!$C$15, $E$9, 100%, $G$9) + CHOOSE(CONTROL!$C$38, 0.0256, 0)</f>
        <v>31.6662</v>
      </c>
      <c r="C380" s="10">
        <f>29.1179 * CHOOSE(CONTROL!$C$15, $E$9, 100%, $G$9) + CHOOSE(CONTROL!$C$38, 0.0347, 0)</f>
        <v>29.1526</v>
      </c>
      <c r="D380" s="10">
        <f>29.11 * CHOOSE(CONTROL!$C$15, $E$9, 100%, $G$9) + CHOOSE(CONTROL!$C$38, 0.0347, 0)</f>
        <v>29.1447</v>
      </c>
      <c r="E380" s="28">
        <f>31.4844 * CHOOSE(CONTROL!$C$15, $E$9, 100%, $G$9) + CHOOSE(CONTROL!$C$38, 0.0347, 0)</f>
        <v>31.519100000000002</v>
      </c>
      <c r="F380" s="27">
        <f>31.4844 * CHOOSE(CONTROL!$C$15, $E$9, 100%, $G$9) + CHOOSE(CONTROL!$C$38, 0.0256, 0)</f>
        <v>31.51</v>
      </c>
      <c r="G380" s="10">
        <f>29.1163 * CHOOSE(CONTROL!$C$15, $E$9, 100%, $G$9) + CHOOSE(CONTROL!$C$38, 0.0347, 0)</f>
        <v>29.151</v>
      </c>
      <c r="H380" s="10">
        <f>29.1163 * CHOOSE(CONTROL!$C$15, $E$9, 100%, $G$9) + CHOOSE(CONTROL!$C$38, 0.0347, 0)</f>
        <v>29.151</v>
      </c>
      <c r="I380" s="10">
        <f>29.1179 * CHOOSE(CONTROL!$C$15, $E$9, 100%, $G$9) + CHOOSE(CONTROL!$C$38, 0.0347, 0)</f>
        <v>29.1526</v>
      </c>
      <c r="J380" s="26">
        <f>204.6605</f>
        <v>204.66050000000001</v>
      </c>
    </row>
    <row r="381" spans="1:10" ht="15.75" x14ac:dyDescent="0.25">
      <c r="A381" s="14">
        <v>52901</v>
      </c>
      <c r="B381" s="10">
        <f>31.8724 * CHOOSE(CONTROL!$C$15, $E$9, 100%, $G$9) + CHOOSE(CONTROL!$C$38, 0.0256, 0)</f>
        <v>31.898</v>
      </c>
      <c r="C381" s="10">
        <f>29.3497 * CHOOSE(CONTROL!$C$15, $E$9, 100%, $G$9) + CHOOSE(CONTROL!$C$38, 0.0347, 0)</f>
        <v>29.384399999999999</v>
      </c>
      <c r="D381" s="10">
        <f>29.3419 * CHOOSE(CONTROL!$C$15, $E$9, 100%, $G$9) + CHOOSE(CONTROL!$C$38, 0.0347, 0)</f>
        <v>29.3766</v>
      </c>
      <c r="E381" s="28">
        <f>31.7162 * CHOOSE(CONTROL!$C$15, $E$9, 100%, $G$9) + CHOOSE(CONTROL!$C$38, 0.0347, 0)</f>
        <v>31.750900000000001</v>
      </c>
      <c r="F381" s="27">
        <f>31.7162 * CHOOSE(CONTROL!$C$15, $E$9, 100%, $G$9) + CHOOSE(CONTROL!$C$38, 0.0256, 0)</f>
        <v>31.741800000000001</v>
      </c>
      <c r="G381" s="10">
        <f>29.3481 * CHOOSE(CONTROL!$C$15, $E$9, 100%, $G$9) + CHOOSE(CONTROL!$C$38, 0.0347, 0)</f>
        <v>29.3828</v>
      </c>
      <c r="H381" s="10">
        <f>29.3481 * CHOOSE(CONTROL!$C$15, $E$9, 100%, $G$9) + CHOOSE(CONTROL!$C$38, 0.0347, 0)</f>
        <v>29.3828</v>
      </c>
      <c r="I381" s="10">
        <f>29.3497 * CHOOSE(CONTROL!$C$15, $E$9, 100%, $G$9) + CHOOSE(CONTROL!$C$38, 0.0347, 0)</f>
        <v>29.384399999999999</v>
      </c>
      <c r="J381" s="26">
        <f>197.5832</f>
        <v>197.58320000000001</v>
      </c>
    </row>
    <row r="382" spans="1:10" ht="15.75" x14ac:dyDescent="0.25">
      <c r="A382" s="14">
        <v>52931</v>
      </c>
      <c r="B382" s="10">
        <f>32.0659 * CHOOSE(CONTROL!$C$15, $E$9, 100%, $G$9) + CHOOSE(CONTROL!$C$38, 0.0256, 0)</f>
        <v>32.091499999999996</v>
      </c>
      <c r="C382" s="10">
        <f>29.5431 * CHOOSE(CONTROL!$C$15, $E$9, 100%, $G$9) + CHOOSE(CONTROL!$C$38, 0.0347, 0)</f>
        <v>29.5778</v>
      </c>
      <c r="D382" s="10">
        <f>29.5353 * CHOOSE(CONTROL!$C$15, $E$9, 100%, $G$9) + CHOOSE(CONTROL!$C$38, 0.0347, 0)</f>
        <v>29.57</v>
      </c>
      <c r="E382" s="28">
        <f>31.9096 * CHOOSE(CONTROL!$C$15, $E$9, 100%, $G$9) + CHOOSE(CONTROL!$C$38, 0.0347, 0)</f>
        <v>31.944300000000002</v>
      </c>
      <c r="F382" s="27">
        <f>31.9096 * CHOOSE(CONTROL!$C$15, $E$9, 100%, $G$9) + CHOOSE(CONTROL!$C$38, 0.0256, 0)</f>
        <v>31.935200000000002</v>
      </c>
      <c r="G382" s="10">
        <f>29.5416 * CHOOSE(CONTROL!$C$15, $E$9, 100%, $G$9) + CHOOSE(CONTROL!$C$38, 0.0347, 0)</f>
        <v>29.5763</v>
      </c>
      <c r="H382" s="10">
        <f>29.5416 * CHOOSE(CONTROL!$C$15, $E$9, 100%, $G$9) + CHOOSE(CONTROL!$C$38, 0.0347, 0)</f>
        <v>29.5763</v>
      </c>
      <c r="I382" s="10">
        <f>29.5431 * CHOOSE(CONTROL!$C$15, $E$9, 100%, $G$9) + CHOOSE(CONTROL!$C$38, 0.0347, 0)</f>
        <v>29.5778</v>
      </c>
      <c r="J382" s="26">
        <f>196.1753</f>
        <v>196.17529999999999</v>
      </c>
    </row>
    <row r="383" spans="1:10" ht="15.75" x14ac:dyDescent="0.25">
      <c r="A383" s="14">
        <v>52962</v>
      </c>
      <c r="B383" s="10">
        <f>32.6619 * CHOOSE(CONTROL!$C$15, $E$9, 100%, $G$9) + CHOOSE(CONTROL!$C$38, 0.0256, 0)</f>
        <v>32.6875</v>
      </c>
      <c r="C383" s="10">
        <f>30.1392 * CHOOSE(CONTROL!$C$15, $E$9, 100%, $G$9) + CHOOSE(CONTROL!$C$38, 0.0347, 0)</f>
        <v>30.1739</v>
      </c>
      <c r="D383" s="10">
        <f>30.1314 * CHOOSE(CONTROL!$C$15, $E$9, 100%, $G$9) + CHOOSE(CONTROL!$C$38, 0.0347, 0)</f>
        <v>30.1661</v>
      </c>
      <c r="E383" s="28">
        <f>32.5057 * CHOOSE(CONTROL!$C$15, $E$9, 100%, $G$9) + CHOOSE(CONTROL!$C$38, 0.0347, 0)</f>
        <v>32.540399999999998</v>
      </c>
      <c r="F383" s="27">
        <f>32.5057 * CHOOSE(CONTROL!$C$15, $E$9, 100%, $G$9) + CHOOSE(CONTROL!$C$38, 0.0256, 0)</f>
        <v>32.531299999999995</v>
      </c>
      <c r="G383" s="10">
        <f>30.1376 * CHOOSE(CONTROL!$C$15, $E$9, 100%, $G$9) + CHOOSE(CONTROL!$C$38, 0.0347, 0)</f>
        <v>30.1723</v>
      </c>
      <c r="H383" s="10">
        <f>30.1376 * CHOOSE(CONTROL!$C$15, $E$9, 100%, $G$9) + CHOOSE(CONTROL!$C$38, 0.0347, 0)</f>
        <v>30.1723</v>
      </c>
      <c r="I383" s="10">
        <f>30.1392 * CHOOSE(CONTROL!$C$15, $E$9, 100%, $G$9) + CHOOSE(CONTROL!$C$38, 0.0347, 0)</f>
        <v>30.1739</v>
      </c>
      <c r="J383" s="26">
        <f>190.3538</f>
        <v>190.35380000000001</v>
      </c>
    </row>
    <row r="384" spans="1:10" ht="15.75" x14ac:dyDescent="0.25">
      <c r="A384" s="14">
        <v>52993</v>
      </c>
      <c r="B384" s="10">
        <f>33.689 * CHOOSE(CONTROL!$C$15, $E$9, 100%, $G$9) + CHOOSE(CONTROL!$C$38, 0.0256, 0)</f>
        <v>33.714599999999997</v>
      </c>
      <c r="C384" s="10">
        <f>31.1244 * CHOOSE(CONTROL!$C$15, $E$9, 100%, $G$9) + CHOOSE(CONTROL!$C$38, 0.0347, 0)</f>
        <v>31.159100000000002</v>
      </c>
      <c r="D384" s="10">
        <f>31.1166 * CHOOSE(CONTROL!$C$15, $E$9, 100%, $G$9) + CHOOSE(CONTROL!$C$38, 0.0347, 0)</f>
        <v>31.151299999999999</v>
      </c>
      <c r="E384" s="28">
        <f>33.5327 * CHOOSE(CONTROL!$C$15, $E$9, 100%, $G$9) + CHOOSE(CONTROL!$C$38, 0.0347, 0)</f>
        <v>33.567399999999999</v>
      </c>
      <c r="F384" s="27">
        <f>33.5327 * CHOOSE(CONTROL!$C$15, $E$9, 100%, $G$9) + CHOOSE(CONTROL!$C$38, 0.0256, 0)</f>
        <v>33.558299999999996</v>
      </c>
      <c r="G384" s="10">
        <f>31.1228 * CHOOSE(CONTROL!$C$15, $E$9, 100%, $G$9) + CHOOSE(CONTROL!$C$38, 0.0347, 0)</f>
        <v>31.157500000000002</v>
      </c>
      <c r="H384" s="10">
        <f>31.1228 * CHOOSE(CONTROL!$C$15, $E$9, 100%, $G$9) + CHOOSE(CONTROL!$C$38, 0.0347, 0)</f>
        <v>31.157500000000002</v>
      </c>
      <c r="I384" s="10">
        <f>31.1244 * CHOOSE(CONTROL!$C$15, $E$9, 100%, $G$9) + CHOOSE(CONTROL!$C$38, 0.0347, 0)</f>
        <v>31.159100000000002</v>
      </c>
      <c r="J384" s="26">
        <f>189.0787</f>
        <v>189.0787</v>
      </c>
    </row>
    <row r="385" spans="1:10" ht="15.75" x14ac:dyDescent="0.25">
      <c r="A385" s="14">
        <v>53021</v>
      </c>
      <c r="B385" s="10">
        <f>33.9097 * CHOOSE(CONTROL!$C$15, $E$9, 100%, $G$9) + CHOOSE(CONTROL!$C$38, 0.0256, 0)</f>
        <v>33.935299999999998</v>
      </c>
      <c r="C385" s="10">
        <f>31.3452 * CHOOSE(CONTROL!$C$15, $E$9, 100%, $G$9) + CHOOSE(CONTROL!$C$38, 0.0347, 0)</f>
        <v>31.379899999999999</v>
      </c>
      <c r="D385" s="10">
        <f>31.3374 * CHOOSE(CONTROL!$C$15, $E$9, 100%, $G$9) + CHOOSE(CONTROL!$C$38, 0.0347, 0)</f>
        <v>31.3721</v>
      </c>
      <c r="E385" s="28">
        <f>33.7535 * CHOOSE(CONTROL!$C$15, $E$9, 100%, $G$9) + CHOOSE(CONTROL!$C$38, 0.0347, 0)</f>
        <v>33.788200000000003</v>
      </c>
      <c r="F385" s="27">
        <f>33.7535 * CHOOSE(CONTROL!$C$15, $E$9, 100%, $G$9) + CHOOSE(CONTROL!$C$38, 0.0256, 0)</f>
        <v>33.7791</v>
      </c>
      <c r="G385" s="10">
        <f>31.3436 * CHOOSE(CONTROL!$C$15, $E$9, 100%, $G$9) + CHOOSE(CONTROL!$C$38, 0.0347, 0)</f>
        <v>31.378299999999999</v>
      </c>
      <c r="H385" s="10">
        <f>31.3436 * CHOOSE(CONTROL!$C$15, $E$9, 100%, $G$9) + CHOOSE(CONTROL!$C$38, 0.0347, 0)</f>
        <v>31.378299999999999</v>
      </c>
      <c r="I385" s="10">
        <f>31.3452 * CHOOSE(CONTROL!$C$15, $E$9, 100%, $G$9) + CHOOSE(CONTROL!$C$38, 0.0347, 0)</f>
        <v>31.379899999999999</v>
      </c>
      <c r="J385" s="26">
        <f>188.5532</f>
        <v>188.5532</v>
      </c>
    </row>
    <row r="386" spans="1:10" ht="15.75" x14ac:dyDescent="0.25">
      <c r="A386" s="14">
        <v>53052</v>
      </c>
      <c r="B386" s="10">
        <f>33.3987 * CHOOSE(CONTROL!$C$15, $E$9, 100%, $G$9) + CHOOSE(CONTROL!$C$38, 0.0256, 0)</f>
        <v>33.424299999999995</v>
      </c>
      <c r="C386" s="10">
        <f>30.8341 * CHOOSE(CONTROL!$C$15, $E$9, 100%, $G$9) + CHOOSE(CONTROL!$C$38, 0.0347, 0)</f>
        <v>30.8688</v>
      </c>
      <c r="D386" s="10">
        <f>30.8263 * CHOOSE(CONTROL!$C$15, $E$9, 100%, $G$9) + CHOOSE(CONTROL!$C$38, 0.0347, 0)</f>
        <v>30.861000000000001</v>
      </c>
      <c r="E386" s="28">
        <f>33.2425 * CHOOSE(CONTROL!$C$15, $E$9, 100%, $G$9) + CHOOSE(CONTROL!$C$38, 0.0347, 0)</f>
        <v>33.277200000000001</v>
      </c>
      <c r="F386" s="27">
        <f>33.2425 * CHOOSE(CONTROL!$C$15, $E$9, 100%, $G$9) + CHOOSE(CONTROL!$C$38, 0.0256, 0)</f>
        <v>33.268099999999997</v>
      </c>
      <c r="G386" s="10">
        <f>30.8326 * CHOOSE(CONTROL!$C$15, $E$9, 100%, $G$9) + CHOOSE(CONTROL!$C$38, 0.0347, 0)</f>
        <v>30.8673</v>
      </c>
      <c r="H386" s="10">
        <f>30.8326 * CHOOSE(CONTROL!$C$15, $E$9, 100%, $G$9) + CHOOSE(CONTROL!$C$38, 0.0347, 0)</f>
        <v>30.8673</v>
      </c>
      <c r="I386" s="10">
        <f>30.8341 * CHOOSE(CONTROL!$C$15, $E$9, 100%, $G$9) + CHOOSE(CONTROL!$C$38, 0.0347, 0)</f>
        <v>30.8688</v>
      </c>
      <c r="J386" s="26">
        <f>198.491</f>
        <v>198.49100000000001</v>
      </c>
    </row>
    <row r="387" spans="1:10" ht="15.75" x14ac:dyDescent="0.25">
      <c r="A387" s="14">
        <v>53082</v>
      </c>
      <c r="B387" s="10">
        <f>32.9035 * CHOOSE(CONTROL!$C$15, $E$9, 100%, $G$9) + CHOOSE(CONTROL!$C$38, 0.0256, 0)</f>
        <v>32.929099999999998</v>
      </c>
      <c r="C387" s="10">
        <f>30.339 * CHOOSE(CONTROL!$C$15, $E$9, 100%, $G$9) + CHOOSE(CONTROL!$C$38, 0.0347, 0)</f>
        <v>30.373699999999999</v>
      </c>
      <c r="D387" s="10">
        <f>30.3311 * CHOOSE(CONTROL!$C$15, $E$9, 100%, $G$9) + CHOOSE(CONTROL!$C$38, 0.0347, 0)</f>
        <v>30.3658</v>
      </c>
      <c r="E387" s="28">
        <f>32.7473 * CHOOSE(CONTROL!$C$15, $E$9, 100%, $G$9) + CHOOSE(CONTROL!$C$38, 0.0347, 0)</f>
        <v>32.782000000000004</v>
      </c>
      <c r="F387" s="27">
        <f>32.7473 * CHOOSE(CONTROL!$C$15, $E$9, 100%, $G$9) + CHOOSE(CONTROL!$C$38, 0.0256, 0)</f>
        <v>32.7729</v>
      </c>
      <c r="G387" s="10">
        <f>30.3374 * CHOOSE(CONTROL!$C$15, $E$9, 100%, $G$9) + CHOOSE(CONTROL!$C$38, 0.0347, 0)</f>
        <v>30.3721</v>
      </c>
      <c r="H387" s="10">
        <f>30.3374 * CHOOSE(CONTROL!$C$15, $E$9, 100%, $G$9) + CHOOSE(CONTROL!$C$38, 0.0347, 0)</f>
        <v>30.3721</v>
      </c>
      <c r="I387" s="10">
        <f>30.339 * CHOOSE(CONTROL!$C$15, $E$9, 100%, $G$9) + CHOOSE(CONTROL!$C$38, 0.0347, 0)</f>
        <v>30.373699999999999</v>
      </c>
      <c r="J387" s="26">
        <f>211.378</f>
        <v>211.37799999999999</v>
      </c>
    </row>
    <row r="388" spans="1:10" ht="15.75" x14ac:dyDescent="0.25">
      <c r="A388" s="14">
        <v>53113</v>
      </c>
      <c r="B388" s="10">
        <f>32.3874 * CHOOSE(CONTROL!$C$15, $E$9, 100%, $G$9) + CHOOSE(CONTROL!$C$38, 0.0256, 0)</f>
        <v>32.412999999999997</v>
      </c>
      <c r="C388" s="10">
        <f>29.8228 * CHOOSE(CONTROL!$C$15, $E$9, 100%, $G$9) + CHOOSE(CONTROL!$C$38, 0.0347, 0)</f>
        <v>29.857500000000002</v>
      </c>
      <c r="D388" s="10">
        <f>29.815 * CHOOSE(CONTROL!$C$15, $E$9, 100%, $G$9) + CHOOSE(CONTROL!$C$38, 0.0347, 0)</f>
        <v>29.849700000000002</v>
      </c>
      <c r="E388" s="28">
        <f>32.2312 * CHOOSE(CONTROL!$C$15, $E$9, 100%, $G$9) + CHOOSE(CONTROL!$C$38, 0.0347, 0)</f>
        <v>32.265900000000002</v>
      </c>
      <c r="F388" s="27">
        <f>32.2312 * CHOOSE(CONTROL!$C$15, $E$9, 100%, $G$9) + CHOOSE(CONTROL!$C$38, 0.0256, 0)</f>
        <v>32.256799999999998</v>
      </c>
      <c r="G388" s="10">
        <f>29.8213 * CHOOSE(CONTROL!$C$15, $E$9, 100%, $G$9) + CHOOSE(CONTROL!$C$38, 0.0347, 0)</f>
        <v>29.856000000000002</v>
      </c>
      <c r="H388" s="10">
        <f>29.8213 * CHOOSE(CONTROL!$C$15, $E$9, 100%, $G$9) + CHOOSE(CONTROL!$C$38, 0.0347, 0)</f>
        <v>29.856000000000002</v>
      </c>
      <c r="I388" s="10">
        <f>29.8228 * CHOOSE(CONTROL!$C$15, $E$9, 100%, $G$9) + CHOOSE(CONTROL!$C$38, 0.0347, 0)</f>
        <v>29.857500000000002</v>
      </c>
      <c r="J388" s="26">
        <f>218.4714</f>
        <v>218.47139999999999</v>
      </c>
    </row>
    <row r="389" spans="1:10" ht="15.75" x14ac:dyDescent="0.25">
      <c r="A389" s="14">
        <v>53143</v>
      </c>
      <c r="B389" s="10">
        <f>32.0256 * CHOOSE(CONTROL!$C$15, $E$9, 100%, $G$9) + CHOOSE(CONTROL!$C$38, 0.0256, 0)</f>
        <v>32.051199999999994</v>
      </c>
      <c r="C389" s="10">
        <f>29.461 * CHOOSE(CONTROL!$C$15, $E$9, 100%, $G$9) + CHOOSE(CONTROL!$C$38, 0.0347, 0)</f>
        <v>29.495699999999999</v>
      </c>
      <c r="D389" s="10">
        <f>29.4532 * CHOOSE(CONTROL!$C$15, $E$9, 100%, $G$9) + CHOOSE(CONTROL!$C$38, 0.0347, 0)</f>
        <v>29.4879</v>
      </c>
      <c r="E389" s="28">
        <f>31.8693 * CHOOSE(CONTROL!$C$15, $E$9, 100%, $G$9) + CHOOSE(CONTROL!$C$38, 0.0347, 0)</f>
        <v>31.904</v>
      </c>
      <c r="F389" s="27">
        <f>31.8693 * CHOOSE(CONTROL!$C$15, $E$9, 100%, $G$9) + CHOOSE(CONTROL!$C$38, 0.0256, 0)</f>
        <v>31.8949</v>
      </c>
      <c r="G389" s="10">
        <f>29.4594 * CHOOSE(CONTROL!$C$15, $E$9, 100%, $G$9) + CHOOSE(CONTROL!$C$38, 0.0347, 0)</f>
        <v>29.4941</v>
      </c>
      <c r="H389" s="10">
        <f>29.4594 * CHOOSE(CONTROL!$C$15, $E$9, 100%, $G$9) + CHOOSE(CONTROL!$C$38, 0.0347, 0)</f>
        <v>29.4941</v>
      </c>
      <c r="I389" s="10">
        <f>29.461 * CHOOSE(CONTROL!$C$15, $E$9, 100%, $G$9) + CHOOSE(CONTROL!$C$38, 0.0347, 0)</f>
        <v>29.495699999999999</v>
      </c>
      <c r="J389" s="26">
        <f>221.6194</f>
        <v>221.61940000000001</v>
      </c>
    </row>
    <row r="390" spans="1:10" ht="15.75" x14ac:dyDescent="0.25">
      <c r="A390" s="14">
        <v>53174</v>
      </c>
      <c r="B390" s="10">
        <f>31.8191 * CHOOSE(CONTROL!$C$15, $E$9, 100%, $G$9) + CHOOSE(CONTROL!$C$38, 0.0256, 0)</f>
        <v>31.8447</v>
      </c>
      <c r="C390" s="10">
        <f>29.2545 * CHOOSE(CONTROL!$C$15, $E$9, 100%, $G$9) + CHOOSE(CONTROL!$C$38, 0.0347, 0)</f>
        <v>29.289200000000001</v>
      </c>
      <c r="D390" s="10">
        <f>29.2467 * CHOOSE(CONTROL!$C$15, $E$9, 100%, $G$9) + CHOOSE(CONTROL!$C$38, 0.0347, 0)</f>
        <v>29.281400000000001</v>
      </c>
      <c r="E390" s="28">
        <f>31.6628 * CHOOSE(CONTROL!$C$15, $E$9, 100%, $G$9) + CHOOSE(CONTROL!$C$38, 0.0347, 0)</f>
        <v>31.697500000000002</v>
      </c>
      <c r="F390" s="27">
        <f>31.6628 * CHOOSE(CONTROL!$C$15, $E$9, 100%, $G$9) + CHOOSE(CONTROL!$C$38, 0.0256, 0)</f>
        <v>31.688400000000001</v>
      </c>
      <c r="G390" s="10">
        <f>29.253 * CHOOSE(CONTROL!$C$15, $E$9, 100%, $G$9) + CHOOSE(CONTROL!$C$38, 0.0347, 0)</f>
        <v>29.287700000000001</v>
      </c>
      <c r="H390" s="10">
        <f>29.253 * CHOOSE(CONTROL!$C$15, $E$9, 100%, $G$9) + CHOOSE(CONTROL!$C$38, 0.0347, 0)</f>
        <v>29.287700000000001</v>
      </c>
      <c r="I390" s="10">
        <f>29.2545 * CHOOSE(CONTROL!$C$15, $E$9, 100%, $G$9) + CHOOSE(CONTROL!$C$38, 0.0347, 0)</f>
        <v>29.289200000000001</v>
      </c>
      <c r="J390" s="26">
        <f>220.5829</f>
        <v>220.5829</v>
      </c>
    </row>
    <row r="391" spans="1:10" ht="15.75" x14ac:dyDescent="0.25">
      <c r="A391" s="14">
        <v>53205</v>
      </c>
      <c r="B391" s="10">
        <f>31.921 * CHOOSE(CONTROL!$C$15, $E$9, 100%, $G$9) + CHOOSE(CONTROL!$C$38, 0.0256, 0)</f>
        <v>31.9466</v>
      </c>
      <c r="C391" s="10">
        <f>29.3564 * CHOOSE(CONTROL!$C$15, $E$9, 100%, $G$9) + CHOOSE(CONTROL!$C$38, 0.0347, 0)</f>
        <v>29.391100000000002</v>
      </c>
      <c r="D391" s="10">
        <f>29.3486 * CHOOSE(CONTROL!$C$15, $E$9, 100%, $G$9) + CHOOSE(CONTROL!$C$38, 0.0347, 0)</f>
        <v>29.383300000000002</v>
      </c>
      <c r="E391" s="28">
        <f>31.7648 * CHOOSE(CONTROL!$C$15, $E$9, 100%, $G$9) + CHOOSE(CONTROL!$C$38, 0.0347, 0)</f>
        <v>31.799500000000002</v>
      </c>
      <c r="F391" s="27">
        <f>31.7648 * CHOOSE(CONTROL!$C$15, $E$9, 100%, $G$9) + CHOOSE(CONTROL!$C$38, 0.0256, 0)</f>
        <v>31.790400000000002</v>
      </c>
      <c r="G391" s="10">
        <f>29.3549 * CHOOSE(CONTROL!$C$15, $E$9, 100%, $G$9) + CHOOSE(CONTROL!$C$38, 0.0347, 0)</f>
        <v>29.389600000000002</v>
      </c>
      <c r="H391" s="10">
        <f>29.3549 * CHOOSE(CONTROL!$C$15, $E$9, 100%, $G$9) + CHOOSE(CONTROL!$C$38, 0.0347, 0)</f>
        <v>29.389600000000002</v>
      </c>
      <c r="I391" s="10">
        <f>29.3564 * CHOOSE(CONTROL!$C$15, $E$9, 100%, $G$9) + CHOOSE(CONTROL!$C$38, 0.0347, 0)</f>
        <v>29.391100000000002</v>
      </c>
      <c r="J391" s="26">
        <f>215.4479</f>
        <v>215.4479</v>
      </c>
    </row>
    <row r="392" spans="1:10" ht="15.75" x14ac:dyDescent="0.25">
      <c r="A392" s="14">
        <v>53235</v>
      </c>
      <c r="B392" s="10">
        <f>32.1978 * CHOOSE(CONTROL!$C$15, $E$9, 100%, $G$9) + CHOOSE(CONTROL!$C$38, 0.0256, 0)</f>
        <v>32.223399999999998</v>
      </c>
      <c r="C392" s="10">
        <f>29.6332 * CHOOSE(CONTROL!$C$15, $E$9, 100%, $G$9) + CHOOSE(CONTROL!$C$38, 0.0347, 0)</f>
        <v>29.667899999999999</v>
      </c>
      <c r="D392" s="10">
        <f>29.6254 * CHOOSE(CONTROL!$C$15, $E$9, 100%, $G$9) + CHOOSE(CONTROL!$C$38, 0.0347, 0)</f>
        <v>29.6601</v>
      </c>
      <c r="E392" s="28">
        <f>32.0415 * CHOOSE(CONTROL!$C$15, $E$9, 100%, $G$9) + CHOOSE(CONTROL!$C$38, 0.0347, 0)</f>
        <v>32.0762</v>
      </c>
      <c r="F392" s="27">
        <f>32.0415 * CHOOSE(CONTROL!$C$15, $E$9, 100%, $G$9) + CHOOSE(CONTROL!$C$38, 0.0256, 0)</f>
        <v>32.067099999999996</v>
      </c>
      <c r="G392" s="10">
        <f>29.6317 * CHOOSE(CONTROL!$C$15, $E$9, 100%, $G$9) + CHOOSE(CONTROL!$C$38, 0.0347, 0)</f>
        <v>29.666399999999999</v>
      </c>
      <c r="H392" s="10">
        <f>29.6317 * CHOOSE(CONTROL!$C$15, $E$9, 100%, $G$9) + CHOOSE(CONTROL!$C$38, 0.0347, 0)</f>
        <v>29.666399999999999</v>
      </c>
      <c r="I392" s="10">
        <f>29.6332 * CHOOSE(CONTROL!$C$15, $E$9, 100%, $G$9) + CHOOSE(CONTROL!$C$38, 0.0347, 0)</f>
        <v>29.667899999999999</v>
      </c>
      <c r="J392" s="26">
        <f>208.2867</f>
        <v>208.2867</v>
      </c>
    </row>
    <row r="393" spans="1:10" ht="15.75" x14ac:dyDescent="0.25">
      <c r="A393" s="14">
        <v>53266</v>
      </c>
      <c r="B393" s="10">
        <f>32.4296 * CHOOSE(CONTROL!$C$15, $E$9, 100%, $G$9) + CHOOSE(CONTROL!$C$38, 0.0256, 0)</f>
        <v>32.455199999999998</v>
      </c>
      <c r="C393" s="10">
        <f>29.8651 * CHOOSE(CONTROL!$C$15, $E$9, 100%, $G$9) + CHOOSE(CONTROL!$C$38, 0.0347, 0)</f>
        <v>29.899800000000003</v>
      </c>
      <c r="D393" s="10">
        <f>29.8572 * CHOOSE(CONTROL!$C$15, $E$9, 100%, $G$9) + CHOOSE(CONTROL!$C$38, 0.0347, 0)</f>
        <v>29.8919</v>
      </c>
      <c r="E393" s="28">
        <f>32.2734 * CHOOSE(CONTROL!$C$15, $E$9, 100%, $G$9) + CHOOSE(CONTROL!$C$38, 0.0347, 0)</f>
        <v>32.308100000000003</v>
      </c>
      <c r="F393" s="27">
        <f>32.2734 * CHOOSE(CONTROL!$C$15, $E$9, 100%, $G$9) + CHOOSE(CONTROL!$C$38, 0.0256, 0)</f>
        <v>32.298999999999999</v>
      </c>
      <c r="G393" s="10">
        <f>29.8635 * CHOOSE(CONTROL!$C$15, $E$9, 100%, $G$9) + CHOOSE(CONTROL!$C$38, 0.0347, 0)</f>
        <v>29.898199999999999</v>
      </c>
      <c r="H393" s="10">
        <f>29.8635 * CHOOSE(CONTROL!$C$15, $E$9, 100%, $G$9) + CHOOSE(CONTROL!$C$38, 0.0347, 0)</f>
        <v>29.898199999999999</v>
      </c>
      <c r="I393" s="10">
        <f>29.8651 * CHOOSE(CONTROL!$C$15, $E$9, 100%, $G$9) + CHOOSE(CONTROL!$C$38, 0.0347, 0)</f>
        <v>29.899800000000003</v>
      </c>
      <c r="J393" s="26">
        <f>201.084</f>
        <v>201.084</v>
      </c>
    </row>
    <row r="394" spans="1:10" ht="15.75" x14ac:dyDescent="0.25">
      <c r="A394" s="14">
        <v>53296</v>
      </c>
      <c r="B394" s="10">
        <f>32.6231 * CHOOSE(CONTROL!$C$15, $E$9, 100%, $G$9) + CHOOSE(CONTROL!$C$38, 0.0256, 0)</f>
        <v>32.648699999999998</v>
      </c>
      <c r="C394" s="10">
        <f>30.0585 * CHOOSE(CONTROL!$C$15, $E$9, 100%, $G$9) + CHOOSE(CONTROL!$C$38, 0.0347, 0)</f>
        <v>30.0932</v>
      </c>
      <c r="D394" s="10">
        <f>30.0507 * CHOOSE(CONTROL!$C$15, $E$9, 100%, $G$9) + CHOOSE(CONTROL!$C$38, 0.0347, 0)</f>
        <v>30.0854</v>
      </c>
      <c r="E394" s="28">
        <f>32.4668 * CHOOSE(CONTROL!$C$15, $E$9, 100%, $G$9) + CHOOSE(CONTROL!$C$38, 0.0347, 0)</f>
        <v>32.5015</v>
      </c>
      <c r="F394" s="27">
        <f>32.4668 * CHOOSE(CONTROL!$C$15, $E$9, 100%, $G$9) + CHOOSE(CONTROL!$C$38, 0.0256, 0)</f>
        <v>32.492399999999996</v>
      </c>
      <c r="G394" s="10">
        <f>30.0569 * CHOOSE(CONTROL!$C$15, $E$9, 100%, $G$9) + CHOOSE(CONTROL!$C$38, 0.0347, 0)</f>
        <v>30.0916</v>
      </c>
      <c r="H394" s="10">
        <f>30.0569 * CHOOSE(CONTROL!$C$15, $E$9, 100%, $G$9) + CHOOSE(CONTROL!$C$38, 0.0347, 0)</f>
        <v>30.0916</v>
      </c>
      <c r="I394" s="10">
        <f>30.0585 * CHOOSE(CONTROL!$C$15, $E$9, 100%, $G$9) + CHOOSE(CONTROL!$C$38, 0.0347, 0)</f>
        <v>30.0932</v>
      </c>
      <c r="J394" s="26">
        <f>199.6512</f>
        <v>199.65119999999999</v>
      </c>
    </row>
    <row r="395" spans="1:10" ht="15.75" x14ac:dyDescent="0.25">
      <c r="A395" s="14">
        <v>53327</v>
      </c>
      <c r="B395" s="10">
        <f>33.2191 * CHOOSE(CONTROL!$C$15, $E$9, 100%, $G$9) + CHOOSE(CONTROL!$C$38, 0.0256, 0)</f>
        <v>33.244699999999995</v>
      </c>
      <c r="C395" s="10">
        <f>30.6546 * CHOOSE(CONTROL!$C$15, $E$9, 100%, $G$9) + CHOOSE(CONTROL!$C$38, 0.0347, 0)</f>
        <v>30.689299999999999</v>
      </c>
      <c r="D395" s="10">
        <f>30.6467 * CHOOSE(CONTROL!$C$15, $E$9, 100%, $G$9) + CHOOSE(CONTROL!$C$38, 0.0347, 0)</f>
        <v>30.6814</v>
      </c>
      <c r="E395" s="28">
        <f>33.0629 * CHOOSE(CONTROL!$C$15, $E$9, 100%, $G$9) + CHOOSE(CONTROL!$C$38, 0.0347, 0)</f>
        <v>33.0976</v>
      </c>
      <c r="F395" s="27">
        <f>33.0629 * CHOOSE(CONTROL!$C$15, $E$9, 100%, $G$9) + CHOOSE(CONTROL!$C$38, 0.0256, 0)</f>
        <v>33.088499999999996</v>
      </c>
      <c r="G395" s="10">
        <f>30.653 * CHOOSE(CONTROL!$C$15, $E$9, 100%, $G$9) + CHOOSE(CONTROL!$C$38, 0.0347, 0)</f>
        <v>30.6877</v>
      </c>
      <c r="H395" s="10">
        <f>30.653 * CHOOSE(CONTROL!$C$15, $E$9, 100%, $G$9) + CHOOSE(CONTROL!$C$38, 0.0347, 0)</f>
        <v>30.6877</v>
      </c>
      <c r="I395" s="10">
        <f>30.6546 * CHOOSE(CONTROL!$C$15, $E$9, 100%, $G$9) + CHOOSE(CONTROL!$C$38, 0.0347, 0)</f>
        <v>30.689299999999999</v>
      </c>
      <c r="J395" s="26">
        <f>193.7265</f>
        <v>193.72649999999999</v>
      </c>
    </row>
    <row r="396" spans="1:10" ht="15.75" x14ac:dyDescent="0.25">
      <c r="A396" s="14">
        <v>53358</v>
      </c>
      <c r="B396" s="10">
        <f>34.256 * CHOOSE(CONTROL!$C$15, $E$9, 100%, $G$9) + CHOOSE(CONTROL!$C$38, 0.0256, 0)</f>
        <v>34.281599999999997</v>
      </c>
      <c r="C396" s="10">
        <f>31.6489 * CHOOSE(CONTROL!$C$15, $E$9, 100%, $G$9) + CHOOSE(CONTROL!$C$38, 0.0347, 0)</f>
        <v>31.683600000000002</v>
      </c>
      <c r="D396" s="10">
        <f>31.6411 * CHOOSE(CONTROL!$C$15, $E$9, 100%, $G$9) + CHOOSE(CONTROL!$C$38, 0.0347, 0)</f>
        <v>31.675800000000002</v>
      </c>
      <c r="E396" s="28">
        <f>34.0998 * CHOOSE(CONTROL!$C$15, $E$9, 100%, $G$9) + CHOOSE(CONTROL!$C$38, 0.0347, 0)</f>
        <v>34.134500000000003</v>
      </c>
      <c r="F396" s="27">
        <f>34.0998 * CHOOSE(CONTROL!$C$15, $E$9, 100%, $G$9) + CHOOSE(CONTROL!$C$38, 0.0256, 0)</f>
        <v>34.125399999999999</v>
      </c>
      <c r="G396" s="10">
        <f>31.6473 * CHOOSE(CONTROL!$C$15, $E$9, 100%, $G$9) + CHOOSE(CONTROL!$C$38, 0.0347, 0)</f>
        <v>31.682000000000002</v>
      </c>
      <c r="H396" s="10">
        <f>31.6473 * CHOOSE(CONTROL!$C$15, $E$9, 100%, $G$9) + CHOOSE(CONTROL!$C$38, 0.0347, 0)</f>
        <v>31.682000000000002</v>
      </c>
      <c r="I396" s="10">
        <f>31.6489 * CHOOSE(CONTROL!$C$15, $E$9, 100%, $G$9) + CHOOSE(CONTROL!$C$38, 0.0347, 0)</f>
        <v>31.683600000000002</v>
      </c>
      <c r="J396" s="26">
        <f>192.4289</f>
        <v>192.4289</v>
      </c>
    </row>
    <row r="397" spans="1:10" ht="15.75" x14ac:dyDescent="0.25">
      <c r="A397" s="14">
        <v>53386</v>
      </c>
      <c r="B397" s="10">
        <f>34.4768 * CHOOSE(CONTROL!$C$15, $E$9, 100%, $G$9) + CHOOSE(CONTROL!$C$38, 0.0256, 0)</f>
        <v>34.502399999999994</v>
      </c>
      <c r="C397" s="10">
        <f>31.8696 * CHOOSE(CONTROL!$C$15, $E$9, 100%, $G$9) + CHOOSE(CONTROL!$C$38, 0.0347, 0)</f>
        <v>31.904299999999999</v>
      </c>
      <c r="D397" s="10">
        <f>31.8618 * CHOOSE(CONTROL!$C$15, $E$9, 100%, $G$9) + CHOOSE(CONTROL!$C$38, 0.0347, 0)</f>
        <v>31.8965</v>
      </c>
      <c r="E397" s="28">
        <f>34.3205 * CHOOSE(CONTROL!$C$15, $E$9, 100%, $G$9) + CHOOSE(CONTROL!$C$38, 0.0347, 0)</f>
        <v>34.355200000000004</v>
      </c>
      <c r="F397" s="27">
        <f>34.3205 * CHOOSE(CONTROL!$C$15, $E$9, 100%, $G$9) + CHOOSE(CONTROL!$C$38, 0.0256, 0)</f>
        <v>34.3461</v>
      </c>
      <c r="G397" s="10">
        <f>31.8681 * CHOOSE(CONTROL!$C$15, $E$9, 100%, $G$9) + CHOOSE(CONTROL!$C$38, 0.0347, 0)</f>
        <v>31.902799999999999</v>
      </c>
      <c r="H397" s="10">
        <f>31.8681 * CHOOSE(CONTROL!$C$15, $E$9, 100%, $G$9) + CHOOSE(CONTROL!$C$38, 0.0347, 0)</f>
        <v>31.902799999999999</v>
      </c>
      <c r="I397" s="10">
        <f>31.8696 * CHOOSE(CONTROL!$C$15, $E$9, 100%, $G$9) + CHOOSE(CONTROL!$C$38, 0.0347, 0)</f>
        <v>31.904299999999999</v>
      </c>
      <c r="J397" s="26">
        <f>191.894</f>
        <v>191.89400000000001</v>
      </c>
    </row>
    <row r="398" spans="1:10" ht="15.75" x14ac:dyDescent="0.25">
      <c r="A398" s="14">
        <v>53417</v>
      </c>
      <c r="B398" s="10">
        <f>33.9657 * CHOOSE(CONTROL!$C$15, $E$9, 100%, $G$9) + CHOOSE(CONTROL!$C$38, 0.0256, 0)</f>
        <v>33.991299999999995</v>
      </c>
      <c r="C398" s="10">
        <f>31.3586 * CHOOSE(CONTROL!$C$15, $E$9, 100%, $G$9) + CHOOSE(CONTROL!$C$38, 0.0347, 0)</f>
        <v>31.3933</v>
      </c>
      <c r="D398" s="10">
        <f>31.3508 * CHOOSE(CONTROL!$C$15, $E$9, 100%, $G$9) + CHOOSE(CONTROL!$C$38, 0.0347, 0)</f>
        <v>31.3855</v>
      </c>
      <c r="E398" s="28">
        <f>33.8095 * CHOOSE(CONTROL!$C$15, $E$9, 100%, $G$9) + CHOOSE(CONTROL!$C$38, 0.0347, 0)</f>
        <v>33.844200000000001</v>
      </c>
      <c r="F398" s="27">
        <f>33.8095 * CHOOSE(CONTROL!$C$15, $E$9, 100%, $G$9) + CHOOSE(CONTROL!$C$38, 0.0256, 0)</f>
        <v>33.835099999999997</v>
      </c>
      <c r="G398" s="10">
        <f>31.3571 * CHOOSE(CONTROL!$C$15, $E$9, 100%, $G$9) + CHOOSE(CONTROL!$C$38, 0.0347, 0)</f>
        <v>31.3918</v>
      </c>
      <c r="H398" s="10">
        <f>31.3571 * CHOOSE(CONTROL!$C$15, $E$9, 100%, $G$9) + CHOOSE(CONTROL!$C$38, 0.0347, 0)</f>
        <v>31.3918</v>
      </c>
      <c r="I398" s="10">
        <f>31.3586 * CHOOSE(CONTROL!$C$15, $E$9, 100%, $G$9) + CHOOSE(CONTROL!$C$38, 0.0347, 0)</f>
        <v>31.3933</v>
      </c>
      <c r="J398" s="26">
        <f>202.0079</f>
        <v>202.00790000000001</v>
      </c>
    </row>
    <row r="399" spans="1:10" ht="15.75" x14ac:dyDescent="0.25">
      <c r="A399" s="14">
        <v>53447</v>
      </c>
      <c r="B399" s="10">
        <f>33.4706 * CHOOSE(CONTROL!$C$15, $E$9, 100%, $G$9) + CHOOSE(CONTROL!$C$38, 0.0256, 0)</f>
        <v>33.496199999999995</v>
      </c>
      <c r="C399" s="10">
        <f>30.8634 * CHOOSE(CONTROL!$C$15, $E$9, 100%, $G$9) + CHOOSE(CONTROL!$C$38, 0.0347, 0)</f>
        <v>30.898099999999999</v>
      </c>
      <c r="D399" s="10">
        <f>30.8556 * CHOOSE(CONTROL!$C$15, $E$9, 100%, $G$9) + CHOOSE(CONTROL!$C$38, 0.0347, 0)</f>
        <v>30.8903</v>
      </c>
      <c r="E399" s="28">
        <f>33.3143 * CHOOSE(CONTROL!$C$15, $E$9, 100%, $G$9) + CHOOSE(CONTROL!$C$38, 0.0347, 0)</f>
        <v>33.349000000000004</v>
      </c>
      <c r="F399" s="27">
        <f>33.3143 * CHOOSE(CONTROL!$C$15, $E$9, 100%, $G$9) + CHOOSE(CONTROL!$C$38, 0.0256, 0)</f>
        <v>33.3399</v>
      </c>
      <c r="G399" s="10">
        <f>30.8619 * CHOOSE(CONTROL!$C$15, $E$9, 100%, $G$9) + CHOOSE(CONTROL!$C$38, 0.0347, 0)</f>
        <v>30.896599999999999</v>
      </c>
      <c r="H399" s="10">
        <f>30.8619 * CHOOSE(CONTROL!$C$15, $E$9, 100%, $G$9) + CHOOSE(CONTROL!$C$38, 0.0347, 0)</f>
        <v>30.896599999999999</v>
      </c>
      <c r="I399" s="10">
        <f>30.8634 * CHOOSE(CONTROL!$C$15, $E$9, 100%, $G$9) + CHOOSE(CONTROL!$C$38, 0.0347, 0)</f>
        <v>30.898099999999999</v>
      </c>
      <c r="J399" s="26">
        <f>215.1232</f>
        <v>215.1232</v>
      </c>
    </row>
    <row r="400" spans="1:10" ht="15.75" x14ac:dyDescent="0.25">
      <c r="A400" s="14">
        <v>53478</v>
      </c>
      <c r="B400" s="10">
        <f>32.9544 * CHOOSE(CONTROL!$C$15, $E$9, 100%, $G$9) + CHOOSE(CONTROL!$C$38, 0.0256, 0)</f>
        <v>32.979999999999997</v>
      </c>
      <c r="C400" s="10">
        <f>30.3473 * CHOOSE(CONTROL!$C$15, $E$9, 100%, $G$9) + CHOOSE(CONTROL!$C$38, 0.0347, 0)</f>
        <v>30.382000000000001</v>
      </c>
      <c r="D400" s="10">
        <f>30.3395 * CHOOSE(CONTROL!$C$15, $E$9, 100%, $G$9) + CHOOSE(CONTROL!$C$38, 0.0347, 0)</f>
        <v>30.374200000000002</v>
      </c>
      <c r="E400" s="28">
        <f>32.7982 * CHOOSE(CONTROL!$C$15, $E$9, 100%, $G$9) + CHOOSE(CONTROL!$C$38, 0.0347, 0)</f>
        <v>32.832900000000002</v>
      </c>
      <c r="F400" s="27">
        <f>32.7982 * CHOOSE(CONTROL!$C$15, $E$9, 100%, $G$9) + CHOOSE(CONTROL!$C$38, 0.0256, 0)</f>
        <v>32.823799999999999</v>
      </c>
      <c r="G400" s="10">
        <f>30.3458 * CHOOSE(CONTROL!$C$15, $E$9, 100%, $G$9) + CHOOSE(CONTROL!$C$38, 0.0347, 0)</f>
        <v>30.380500000000001</v>
      </c>
      <c r="H400" s="10">
        <f>30.3458 * CHOOSE(CONTROL!$C$15, $E$9, 100%, $G$9) + CHOOSE(CONTROL!$C$38, 0.0347, 0)</f>
        <v>30.380500000000001</v>
      </c>
      <c r="I400" s="10">
        <f>30.3473 * CHOOSE(CONTROL!$C$15, $E$9, 100%, $G$9) + CHOOSE(CONTROL!$C$38, 0.0347, 0)</f>
        <v>30.382000000000001</v>
      </c>
      <c r="J400" s="26">
        <f>222.3423</f>
        <v>222.34229999999999</v>
      </c>
    </row>
    <row r="401" spans="1:10" ht="15.75" x14ac:dyDescent="0.25">
      <c r="A401" s="14">
        <v>53508</v>
      </c>
      <c r="B401" s="10">
        <f>32.5926 * CHOOSE(CONTROL!$C$15, $E$9, 100%, $G$9) + CHOOSE(CONTROL!$C$38, 0.0256, 0)</f>
        <v>32.618199999999995</v>
      </c>
      <c r="C401" s="10">
        <f>29.9855 * CHOOSE(CONTROL!$C$15, $E$9, 100%, $G$9) + CHOOSE(CONTROL!$C$38, 0.0347, 0)</f>
        <v>30.020199999999999</v>
      </c>
      <c r="D401" s="10">
        <f>29.9777 * CHOOSE(CONTROL!$C$15, $E$9, 100%, $G$9) + CHOOSE(CONTROL!$C$38, 0.0347, 0)</f>
        <v>30.0124</v>
      </c>
      <c r="E401" s="28">
        <f>32.4364 * CHOOSE(CONTROL!$C$15, $E$9, 100%, $G$9) + CHOOSE(CONTROL!$C$38, 0.0347, 0)</f>
        <v>32.4711</v>
      </c>
      <c r="F401" s="27">
        <f>32.4364 * CHOOSE(CONTROL!$C$15, $E$9, 100%, $G$9) + CHOOSE(CONTROL!$C$38, 0.0256, 0)</f>
        <v>32.461999999999996</v>
      </c>
      <c r="G401" s="10">
        <f>29.9839 * CHOOSE(CONTROL!$C$15, $E$9, 100%, $G$9) + CHOOSE(CONTROL!$C$38, 0.0347, 0)</f>
        <v>30.018599999999999</v>
      </c>
      <c r="H401" s="10">
        <f>29.9839 * CHOOSE(CONTROL!$C$15, $E$9, 100%, $G$9) + CHOOSE(CONTROL!$C$38, 0.0347, 0)</f>
        <v>30.018599999999999</v>
      </c>
      <c r="I401" s="10">
        <f>29.9855 * CHOOSE(CONTROL!$C$15, $E$9, 100%, $G$9) + CHOOSE(CONTROL!$C$38, 0.0347, 0)</f>
        <v>30.020199999999999</v>
      </c>
      <c r="J401" s="26">
        <f>225.5461</f>
        <v>225.5461</v>
      </c>
    </row>
    <row r="402" spans="1:10" ht="15.75" x14ac:dyDescent="0.25">
      <c r="A402" s="14">
        <v>53539</v>
      </c>
      <c r="B402" s="10">
        <f>32.3861 * CHOOSE(CONTROL!$C$15, $E$9, 100%, $G$9) + CHOOSE(CONTROL!$C$38, 0.0256, 0)</f>
        <v>32.411699999999996</v>
      </c>
      <c r="C402" s="10">
        <f>29.779 * CHOOSE(CONTROL!$C$15, $E$9, 100%, $G$9) + CHOOSE(CONTROL!$C$38, 0.0347, 0)</f>
        <v>29.813700000000001</v>
      </c>
      <c r="D402" s="10">
        <f>29.7712 * CHOOSE(CONTROL!$C$15, $E$9, 100%, $G$9) + CHOOSE(CONTROL!$C$38, 0.0347, 0)</f>
        <v>29.805900000000001</v>
      </c>
      <c r="E402" s="28">
        <f>32.2299 * CHOOSE(CONTROL!$C$15, $E$9, 100%, $G$9) + CHOOSE(CONTROL!$C$38, 0.0347, 0)</f>
        <v>32.264600000000002</v>
      </c>
      <c r="F402" s="27">
        <f>32.2299 * CHOOSE(CONTROL!$C$15, $E$9, 100%, $G$9) + CHOOSE(CONTROL!$C$38, 0.0256, 0)</f>
        <v>32.255499999999998</v>
      </c>
      <c r="G402" s="10">
        <f>29.7774 * CHOOSE(CONTROL!$C$15, $E$9, 100%, $G$9) + CHOOSE(CONTROL!$C$38, 0.0347, 0)</f>
        <v>29.812100000000001</v>
      </c>
      <c r="H402" s="10">
        <f>29.7774 * CHOOSE(CONTROL!$C$15, $E$9, 100%, $G$9) + CHOOSE(CONTROL!$C$38, 0.0347, 0)</f>
        <v>29.812100000000001</v>
      </c>
      <c r="I402" s="10">
        <f>29.779 * CHOOSE(CONTROL!$C$15, $E$9, 100%, $G$9) + CHOOSE(CONTROL!$C$38, 0.0347, 0)</f>
        <v>29.813700000000001</v>
      </c>
      <c r="J402" s="26">
        <f>224.4912</f>
        <v>224.49119999999999</v>
      </c>
    </row>
    <row r="403" spans="1:10" ht="15.75" x14ac:dyDescent="0.25">
      <c r="A403" s="14">
        <v>53570</v>
      </c>
      <c r="B403" s="10">
        <f>32.488 * CHOOSE(CONTROL!$C$15, $E$9, 100%, $G$9) + CHOOSE(CONTROL!$C$38, 0.0256, 0)</f>
        <v>32.513599999999997</v>
      </c>
      <c r="C403" s="10">
        <f>29.8809 * CHOOSE(CONTROL!$C$15, $E$9, 100%, $G$9) + CHOOSE(CONTROL!$C$38, 0.0347, 0)</f>
        <v>29.915600000000001</v>
      </c>
      <c r="D403" s="10">
        <f>29.8731 * CHOOSE(CONTROL!$C$15, $E$9, 100%, $G$9) + CHOOSE(CONTROL!$C$38, 0.0347, 0)</f>
        <v>29.907800000000002</v>
      </c>
      <c r="E403" s="28">
        <f>32.3318 * CHOOSE(CONTROL!$C$15, $E$9, 100%, $G$9) + CHOOSE(CONTROL!$C$38, 0.0347, 0)</f>
        <v>32.366500000000002</v>
      </c>
      <c r="F403" s="27">
        <f>32.3318 * CHOOSE(CONTROL!$C$15, $E$9, 100%, $G$9) + CHOOSE(CONTROL!$C$38, 0.0256, 0)</f>
        <v>32.357399999999998</v>
      </c>
      <c r="G403" s="10">
        <f>29.8793 * CHOOSE(CONTROL!$C$15, $E$9, 100%, $G$9) + CHOOSE(CONTROL!$C$38, 0.0347, 0)</f>
        <v>29.914000000000001</v>
      </c>
      <c r="H403" s="10">
        <f>29.8793 * CHOOSE(CONTROL!$C$15, $E$9, 100%, $G$9) + CHOOSE(CONTROL!$C$38, 0.0347, 0)</f>
        <v>29.914000000000001</v>
      </c>
      <c r="I403" s="10">
        <f>29.8809 * CHOOSE(CONTROL!$C$15, $E$9, 100%, $G$9) + CHOOSE(CONTROL!$C$38, 0.0347, 0)</f>
        <v>29.915600000000001</v>
      </c>
      <c r="J403" s="26">
        <f>219.2652</f>
        <v>219.26519999999999</v>
      </c>
    </row>
    <row r="404" spans="1:10" ht="15.75" x14ac:dyDescent="0.25">
      <c r="A404" s="14">
        <v>53600</v>
      </c>
      <c r="B404" s="10">
        <f>32.7648 * CHOOSE(CONTROL!$C$15, $E$9, 100%, $G$9) + CHOOSE(CONTROL!$C$38, 0.0256, 0)</f>
        <v>32.790399999999998</v>
      </c>
      <c r="C404" s="10">
        <f>30.1577 * CHOOSE(CONTROL!$C$15, $E$9, 100%, $G$9) + CHOOSE(CONTROL!$C$38, 0.0347, 0)</f>
        <v>30.192399999999999</v>
      </c>
      <c r="D404" s="10">
        <f>30.1499 * CHOOSE(CONTROL!$C$15, $E$9, 100%, $G$9) + CHOOSE(CONTROL!$C$38, 0.0347, 0)</f>
        <v>30.1846</v>
      </c>
      <c r="E404" s="28">
        <f>32.6086 * CHOOSE(CONTROL!$C$15, $E$9, 100%, $G$9) + CHOOSE(CONTROL!$C$38, 0.0347, 0)</f>
        <v>32.643300000000004</v>
      </c>
      <c r="F404" s="27">
        <f>32.6086 * CHOOSE(CONTROL!$C$15, $E$9, 100%, $G$9) + CHOOSE(CONTROL!$C$38, 0.0256, 0)</f>
        <v>32.6342</v>
      </c>
      <c r="G404" s="10">
        <f>30.1561 * CHOOSE(CONTROL!$C$15, $E$9, 100%, $G$9) + CHOOSE(CONTROL!$C$38, 0.0347, 0)</f>
        <v>30.190799999999999</v>
      </c>
      <c r="H404" s="10">
        <f>30.1561 * CHOOSE(CONTROL!$C$15, $E$9, 100%, $G$9) + CHOOSE(CONTROL!$C$38, 0.0347, 0)</f>
        <v>30.190799999999999</v>
      </c>
      <c r="I404" s="10">
        <f>30.1577 * CHOOSE(CONTROL!$C$15, $E$9, 100%, $G$9) + CHOOSE(CONTROL!$C$38, 0.0347, 0)</f>
        <v>30.192399999999999</v>
      </c>
      <c r="J404" s="26">
        <f>211.9772</f>
        <v>211.97720000000001</v>
      </c>
    </row>
    <row r="405" spans="1:10" ht="15.75" x14ac:dyDescent="0.25">
      <c r="A405" s="14">
        <v>53631</v>
      </c>
      <c r="B405" s="10">
        <f>32.9967 * CHOOSE(CONTROL!$C$15, $E$9, 100%, $G$9) + CHOOSE(CONTROL!$C$38, 0.0256, 0)</f>
        <v>33.022299999999994</v>
      </c>
      <c r="C405" s="10">
        <f>30.3895 * CHOOSE(CONTROL!$C$15, $E$9, 100%, $G$9) + CHOOSE(CONTROL!$C$38, 0.0347, 0)</f>
        <v>30.424200000000003</v>
      </c>
      <c r="D405" s="10">
        <f>30.3817 * CHOOSE(CONTROL!$C$15, $E$9, 100%, $G$9) + CHOOSE(CONTROL!$C$38, 0.0347, 0)</f>
        <v>30.416399999999999</v>
      </c>
      <c r="E405" s="28">
        <f>32.8404 * CHOOSE(CONTROL!$C$15, $E$9, 100%, $G$9) + CHOOSE(CONTROL!$C$38, 0.0347, 0)</f>
        <v>32.875100000000003</v>
      </c>
      <c r="F405" s="27">
        <f>32.8404 * CHOOSE(CONTROL!$C$15, $E$9, 100%, $G$9) + CHOOSE(CONTROL!$C$38, 0.0256, 0)</f>
        <v>32.866</v>
      </c>
      <c r="G405" s="10">
        <f>30.388 * CHOOSE(CONTROL!$C$15, $E$9, 100%, $G$9) + CHOOSE(CONTROL!$C$38, 0.0347, 0)</f>
        <v>30.422700000000003</v>
      </c>
      <c r="H405" s="10">
        <f>30.388 * CHOOSE(CONTROL!$C$15, $E$9, 100%, $G$9) + CHOOSE(CONTROL!$C$38, 0.0347, 0)</f>
        <v>30.422700000000003</v>
      </c>
      <c r="I405" s="10">
        <f>30.3895 * CHOOSE(CONTROL!$C$15, $E$9, 100%, $G$9) + CHOOSE(CONTROL!$C$38, 0.0347, 0)</f>
        <v>30.424200000000003</v>
      </c>
      <c r="J405" s="26">
        <f>204.6468</f>
        <v>204.64680000000001</v>
      </c>
    </row>
    <row r="406" spans="1:10" ht="15.75" x14ac:dyDescent="0.25">
      <c r="A406" s="14">
        <v>53661</v>
      </c>
      <c r="B406" s="10">
        <f>33.1901 * CHOOSE(CONTROL!$C$15, $E$9, 100%, $G$9) + CHOOSE(CONTROL!$C$38, 0.0256, 0)</f>
        <v>33.215699999999998</v>
      </c>
      <c r="C406" s="10">
        <f>30.583 * CHOOSE(CONTROL!$C$15, $E$9, 100%, $G$9) + CHOOSE(CONTROL!$C$38, 0.0347, 0)</f>
        <v>30.617699999999999</v>
      </c>
      <c r="D406" s="10">
        <f>30.5752 * CHOOSE(CONTROL!$C$15, $E$9, 100%, $G$9) + CHOOSE(CONTROL!$C$38, 0.0347, 0)</f>
        <v>30.6099</v>
      </c>
      <c r="E406" s="28">
        <f>33.0338 * CHOOSE(CONTROL!$C$15, $E$9, 100%, $G$9) + CHOOSE(CONTROL!$C$38, 0.0347, 0)</f>
        <v>33.0685</v>
      </c>
      <c r="F406" s="27">
        <f>33.0338 * CHOOSE(CONTROL!$C$15, $E$9, 100%, $G$9) + CHOOSE(CONTROL!$C$38, 0.0256, 0)</f>
        <v>33.059399999999997</v>
      </c>
      <c r="G406" s="10">
        <f>30.5814 * CHOOSE(CONTROL!$C$15, $E$9, 100%, $G$9) + CHOOSE(CONTROL!$C$38, 0.0347, 0)</f>
        <v>30.616099999999999</v>
      </c>
      <c r="H406" s="10">
        <f>30.5814 * CHOOSE(CONTROL!$C$15, $E$9, 100%, $G$9) + CHOOSE(CONTROL!$C$38, 0.0347, 0)</f>
        <v>30.616099999999999</v>
      </c>
      <c r="I406" s="10">
        <f>30.583 * CHOOSE(CONTROL!$C$15, $E$9, 100%, $G$9) + CHOOSE(CONTROL!$C$38, 0.0347, 0)</f>
        <v>30.617699999999999</v>
      </c>
      <c r="J406" s="26">
        <f>203.1886</f>
        <v>203.18860000000001</v>
      </c>
    </row>
    <row r="407" spans="1:10" ht="15.75" x14ac:dyDescent="0.25">
      <c r="A407" s="14">
        <v>53692</v>
      </c>
      <c r="B407" s="10">
        <f>33.7862 * CHOOSE(CONTROL!$C$15, $E$9, 100%, $G$9) + CHOOSE(CONTROL!$C$38, 0.0256, 0)</f>
        <v>33.811799999999998</v>
      </c>
      <c r="C407" s="10">
        <f>31.179 * CHOOSE(CONTROL!$C$15, $E$9, 100%, $G$9) + CHOOSE(CONTROL!$C$38, 0.0347, 0)</f>
        <v>31.213699999999999</v>
      </c>
      <c r="D407" s="10">
        <f>31.1712 * CHOOSE(CONTROL!$C$15, $E$9, 100%, $G$9) + CHOOSE(CONTROL!$C$38, 0.0347, 0)</f>
        <v>31.2059</v>
      </c>
      <c r="E407" s="28">
        <f>33.6299 * CHOOSE(CONTROL!$C$15, $E$9, 100%, $G$9) + CHOOSE(CONTROL!$C$38, 0.0347, 0)</f>
        <v>33.6646</v>
      </c>
      <c r="F407" s="27">
        <f>33.6299 * CHOOSE(CONTROL!$C$15, $E$9, 100%, $G$9) + CHOOSE(CONTROL!$C$38, 0.0256, 0)</f>
        <v>33.655499999999996</v>
      </c>
      <c r="G407" s="10">
        <f>31.1775 * CHOOSE(CONTROL!$C$15, $E$9, 100%, $G$9) + CHOOSE(CONTROL!$C$38, 0.0347, 0)</f>
        <v>31.212199999999999</v>
      </c>
      <c r="H407" s="10">
        <f>31.1775 * CHOOSE(CONTROL!$C$15, $E$9, 100%, $G$9) + CHOOSE(CONTROL!$C$38, 0.0347, 0)</f>
        <v>31.212199999999999</v>
      </c>
      <c r="I407" s="10">
        <f>31.179 * CHOOSE(CONTROL!$C$15, $E$9, 100%, $G$9) + CHOOSE(CONTROL!$C$38, 0.0347, 0)</f>
        <v>31.213699999999999</v>
      </c>
      <c r="J407" s="26">
        <f>197.159</f>
        <v>197.15899999999999</v>
      </c>
    </row>
    <row r="408" spans="1:10" ht="15.75" x14ac:dyDescent="0.25">
      <c r="A408" s="14">
        <v>53723</v>
      </c>
      <c r="B408" s="10">
        <f>34.8331 * CHOOSE(CONTROL!$C$15, $E$9, 100%, $G$9) + CHOOSE(CONTROL!$C$38, 0.0256, 0)</f>
        <v>34.858699999999999</v>
      </c>
      <c r="C408" s="10">
        <f>32.1826 * CHOOSE(CONTROL!$C$15, $E$9, 100%, $G$9) + CHOOSE(CONTROL!$C$38, 0.0347, 0)</f>
        <v>32.217300000000002</v>
      </c>
      <c r="D408" s="10">
        <f>32.1748 * CHOOSE(CONTROL!$C$15, $E$9, 100%, $G$9) + CHOOSE(CONTROL!$C$38, 0.0347, 0)</f>
        <v>32.209499999999998</v>
      </c>
      <c r="E408" s="28">
        <f>34.6768 * CHOOSE(CONTROL!$C$15, $E$9, 100%, $G$9) + CHOOSE(CONTROL!$C$38, 0.0347, 0)</f>
        <v>34.711500000000001</v>
      </c>
      <c r="F408" s="27">
        <f>34.6768 * CHOOSE(CONTROL!$C$15, $E$9, 100%, $G$9) + CHOOSE(CONTROL!$C$38, 0.0256, 0)</f>
        <v>34.702399999999997</v>
      </c>
      <c r="G408" s="10">
        <f>32.1811 * CHOOSE(CONTROL!$C$15, $E$9, 100%, $G$9) + CHOOSE(CONTROL!$C$38, 0.0347, 0)</f>
        <v>32.215800000000002</v>
      </c>
      <c r="H408" s="10">
        <f>32.1811 * CHOOSE(CONTROL!$C$15, $E$9, 100%, $G$9) + CHOOSE(CONTROL!$C$38, 0.0347, 0)</f>
        <v>32.215800000000002</v>
      </c>
      <c r="I408" s="10">
        <f>32.1826 * CHOOSE(CONTROL!$C$15, $E$9, 100%, $G$9) + CHOOSE(CONTROL!$C$38, 0.0347, 0)</f>
        <v>32.217300000000002</v>
      </c>
      <c r="J408" s="26">
        <f>195.8383</f>
        <v>195.8383</v>
      </c>
    </row>
    <row r="409" spans="1:10" ht="15.75" x14ac:dyDescent="0.25">
      <c r="A409" s="14">
        <v>53751</v>
      </c>
      <c r="B409" s="10">
        <f>35.0538 * CHOOSE(CONTROL!$C$15, $E$9, 100%, $G$9) + CHOOSE(CONTROL!$C$38, 0.0256, 0)</f>
        <v>35.0794</v>
      </c>
      <c r="C409" s="10">
        <f>32.4034 * CHOOSE(CONTROL!$C$15, $E$9, 100%, $G$9) + CHOOSE(CONTROL!$C$38, 0.0347, 0)</f>
        <v>32.438099999999999</v>
      </c>
      <c r="D409" s="10">
        <f>32.3956 * CHOOSE(CONTROL!$C$15, $E$9, 100%, $G$9) + CHOOSE(CONTROL!$C$38, 0.0347, 0)</f>
        <v>32.430300000000003</v>
      </c>
      <c r="E409" s="28">
        <f>34.8976 * CHOOSE(CONTROL!$C$15, $E$9, 100%, $G$9) + CHOOSE(CONTROL!$C$38, 0.0347, 0)</f>
        <v>34.932299999999998</v>
      </c>
      <c r="F409" s="27">
        <f>34.8976 * CHOOSE(CONTROL!$C$15, $E$9, 100%, $G$9) + CHOOSE(CONTROL!$C$38, 0.0256, 0)</f>
        <v>34.923199999999994</v>
      </c>
      <c r="G409" s="10">
        <f>32.4018 * CHOOSE(CONTROL!$C$15, $E$9, 100%, $G$9) + CHOOSE(CONTROL!$C$38, 0.0347, 0)</f>
        <v>32.436500000000002</v>
      </c>
      <c r="H409" s="10">
        <f>32.4018 * CHOOSE(CONTROL!$C$15, $E$9, 100%, $G$9) + CHOOSE(CONTROL!$C$38, 0.0347, 0)</f>
        <v>32.436500000000002</v>
      </c>
      <c r="I409" s="10">
        <f>32.4034 * CHOOSE(CONTROL!$C$15, $E$9, 100%, $G$9) + CHOOSE(CONTROL!$C$38, 0.0347, 0)</f>
        <v>32.438099999999999</v>
      </c>
      <c r="J409" s="26">
        <f>195.294</f>
        <v>195.29400000000001</v>
      </c>
    </row>
    <row r="410" spans="1:10" ht="15.75" x14ac:dyDescent="0.25">
      <c r="A410" s="14">
        <v>53782</v>
      </c>
      <c r="B410" s="10">
        <f>34.5428 * CHOOSE(CONTROL!$C$15, $E$9, 100%, $G$9) + CHOOSE(CONTROL!$C$38, 0.0256, 0)</f>
        <v>34.568399999999997</v>
      </c>
      <c r="C410" s="10">
        <f>31.8924 * CHOOSE(CONTROL!$C$15, $E$9, 100%, $G$9) + CHOOSE(CONTROL!$C$38, 0.0347, 0)</f>
        <v>31.927099999999999</v>
      </c>
      <c r="D410" s="10">
        <f>31.8846 * CHOOSE(CONTROL!$C$15, $E$9, 100%, $G$9) + CHOOSE(CONTROL!$C$38, 0.0347, 0)</f>
        <v>31.9193</v>
      </c>
      <c r="E410" s="28">
        <f>34.3865 * CHOOSE(CONTROL!$C$15, $E$9, 100%, $G$9) + CHOOSE(CONTROL!$C$38, 0.0347, 0)</f>
        <v>34.421199999999999</v>
      </c>
      <c r="F410" s="27">
        <f>34.3865 * CHOOSE(CONTROL!$C$15, $E$9, 100%, $G$9) + CHOOSE(CONTROL!$C$38, 0.0256, 0)</f>
        <v>34.412099999999995</v>
      </c>
      <c r="G410" s="10">
        <f>31.8908 * CHOOSE(CONTROL!$C$15, $E$9, 100%, $G$9) + CHOOSE(CONTROL!$C$38, 0.0347, 0)</f>
        <v>31.9255</v>
      </c>
      <c r="H410" s="10">
        <f>31.8908 * CHOOSE(CONTROL!$C$15, $E$9, 100%, $G$9) + CHOOSE(CONTROL!$C$38, 0.0347, 0)</f>
        <v>31.9255</v>
      </c>
      <c r="I410" s="10">
        <f>31.8924 * CHOOSE(CONTROL!$C$15, $E$9, 100%, $G$9) + CHOOSE(CONTROL!$C$38, 0.0347, 0)</f>
        <v>31.927099999999999</v>
      </c>
      <c r="J410" s="26">
        <f>205.5871</f>
        <v>205.58709999999999</v>
      </c>
    </row>
    <row r="411" spans="1:10" ht="15.75" x14ac:dyDescent="0.25">
      <c r="A411" s="14">
        <v>53812</v>
      </c>
      <c r="B411" s="10">
        <f>34.0476 * CHOOSE(CONTROL!$C$15, $E$9, 100%, $G$9) + CHOOSE(CONTROL!$C$38, 0.0256, 0)</f>
        <v>34.0732</v>
      </c>
      <c r="C411" s="10">
        <f>31.3972 * CHOOSE(CONTROL!$C$15, $E$9, 100%, $G$9) + CHOOSE(CONTROL!$C$38, 0.0347, 0)</f>
        <v>31.431900000000002</v>
      </c>
      <c r="D411" s="10">
        <f>31.3894 * CHOOSE(CONTROL!$C$15, $E$9, 100%, $G$9) + CHOOSE(CONTROL!$C$38, 0.0347, 0)</f>
        <v>31.424099999999999</v>
      </c>
      <c r="E411" s="28">
        <f>33.8914 * CHOOSE(CONTROL!$C$15, $E$9, 100%, $G$9) + CHOOSE(CONTROL!$C$38, 0.0347, 0)</f>
        <v>33.926099999999998</v>
      </c>
      <c r="F411" s="27">
        <f>33.8914 * CHOOSE(CONTROL!$C$15, $E$9, 100%, $G$9) + CHOOSE(CONTROL!$C$38, 0.0256, 0)</f>
        <v>33.916999999999994</v>
      </c>
      <c r="G411" s="10">
        <f>31.3956 * CHOOSE(CONTROL!$C$15, $E$9, 100%, $G$9) + CHOOSE(CONTROL!$C$38, 0.0347, 0)</f>
        <v>31.430300000000003</v>
      </c>
      <c r="H411" s="10">
        <f>31.3956 * CHOOSE(CONTROL!$C$15, $E$9, 100%, $G$9) + CHOOSE(CONTROL!$C$38, 0.0347, 0)</f>
        <v>31.430300000000003</v>
      </c>
      <c r="I411" s="10">
        <f>31.3972 * CHOOSE(CONTROL!$C$15, $E$9, 100%, $G$9) + CHOOSE(CONTROL!$C$38, 0.0347, 0)</f>
        <v>31.431900000000002</v>
      </c>
      <c r="J411" s="26">
        <f>218.9348</f>
        <v>218.9348</v>
      </c>
    </row>
    <row r="412" spans="1:10" ht="15.75" x14ac:dyDescent="0.25">
      <c r="A412" s="14">
        <v>53843</v>
      </c>
      <c r="B412" s="10">
        <f>33.5315 * CHOOSE(CONTROL!$C$15, $E$9, 100%, $G$9) + CHOOSE(CONTROL!$C$38, 0.0256, 0)</f>
        <v>33.557099999999998</v>
      </c>
      <c r="C412" s="10">
        <f>30.8811 * CHOOSE(CONTROL!$C$15, $E$9, 100%, $G$9) + CHOOSE(CONTROL!$C$38, 0.0347, 0)</f>
        <v>30.915800000000001</v>
      </c>
      <c r="D412" s="10">
        <f>30.8733 * CHOOSE(CONTROL!$C$15, $E$9, 100%, $G$9) + CHOOSE(CONTROL!$C$38, 0.0347, 0)</f>
        <v>30.908000000000001</v>
      </c>
      <c r="E412" s="28">
        <f>33.3752 * CHOOSE(CONTROL!$C$15, $E$9, 100%, $G$9) + CHOOSE(CONTROL!$C$38, 0.0347, 0)</f>
        <v>33.4099</v>
      </c>
      <c r="F412" s="27">
        <f>33.3752 * CHOOSE(CONTROL!$C$15, $E$9, 100%, $G$9) + CHOOSE(CONTROL!$C$38, 0.0256, 0)</f>
        <v>33.400799999999997</v>
      </c>
      <c r="G412" s="10">
        <f>30.8795 * CHOOSE(CONTROL!$C$15, $E$9, 100%, $G$9) + CHOOSE(CONTROL!$C$38, 0.0347, 0)</f>
        <v>30.914200000000001</v>
      </c>
      <c r="H412" s="10">
        <f>30.8795 * CHOOSE(CONTROL!$C$15, $E$9, 100%, $G$9) + CHOOSE(CONTROL!$C$38, 0.0347, 0)</f>
        <v>30.914200000000001</v>
      </c>
      <c r="I412" s="10">
        <f>30.8811 * CHOOSE(CONTROL!$C$15, $E$9, 100%, $G$9) + CHOOSE(CONTROL!$C$38, 0.0347, 0)</f>
        <v>30.915800000000001</v>
      </c>
      <c r="J412" s="26">
        <f>226.2818</f>
        <v>226.2818</v>
      </c>
    </row>
    <row r="413" spans="1:10" ht="15.75" x14ac:dyDescent="0.25">
      <c r="A413" s="14">
        <v>53873</v>
      </c>
      <c r="B413" s="10">
        <f>33.1697 * CHOOSE(CONTROL!$C$15, $E$9, 100%, $G$9) + CHOOSE(CONTROL!$C$38, 0.0256, 0)</f>
        <v>33.195299999999996</v>
      </c>
      <c r="C413" s="10">
        <f>30.5192 * CHOOSE(CONTROL!$C$15, $E$9, 100%, $G$9) + CHOOSE(CONTROL!$C$38, 0.0347, 0)</f>
        <v>30.553900000000002</v>
      </c>
      <c r="D413" s="10">
        <f>30.5114 * CHOOSE(CONTROL!$C$15, $E$9, 100%, $G$9) + CHOOSE(CONTROL!$C$38, 0.0347, 0)</f>
        <v>30.546099999999999</v>
      </c>
      <c r="E413" s="28">
        <f>33.0134 * CHOOSE(CONTROL!$C$15, $E$9, 100%, $G$9) + CHOOSE(CONTROL!$C$38, 0.0347, 0)</f>
        <v>33.048099999999998</v>
      </c>
      <c r="F413" s="27">
        <f>33.0134 * CHOOSE(CONTROL!$C$15, $E$9, 100%, $G$9) + CHOOSE(CONTROL!$C$38, 0.0256, 0)</f>
        <v>33.038999999999994</v>
      </c>
      <c r="G413" s="10">
        <f>30.5177 * CHOOSE(CONTROL!$C$15, $E$9, 100%, $G$9) + CHOOSE(CONTROL!$C$38, 0.0347, 0)</f>
        <v>30.552400000000002</v>
      </c>
      <c r="H413" s="10">
        <f>30.5177 * CHOOSE(CONTROL!$C$15, $E$9, 100%, $G$9) + CHOOSE(CONTROL!$C$38, 0.0347, 0)</f>
        <v>30.552400000000002</v>
      </c>
      <c r="I413" s="10">
        <f>30.5192 * CHOOSE(CONTROL!$C$15, $E$9, 100%, $G$9) + CHOOSE(CONTROL!$C$38, 0.0347, 0)</f>
        <v>30.553900000000002</v>
      </c>
      <c r="J413" s="26">
        <f>229.5423</f>
        <v>229.54230000000001</v>
      </c>
    </row>
    <row r="414" spans="1:10" ht="15.75" x14ac:dyDescent="0.25">
      <c r="A414" s="14">
        <v>53904</v>
      </c>
      <c r="B414" s="10">
        <f>32.9632 * CHOOSE(CONTROL!$C$15, $E$9, 100%, $G$9) + CHOOSE(CONTROL!$C$38, 0.0256, 0)</f>
        <v>32.988799999999998</v>
      </c>
      <c r="C414" s="10">
        <f>30.3127 * CHOOSE(CONTROL!$C$15, $E$9, 100%, $G$9) + CHOOSE(CONTROL!$C$38, 0.0347, 0)</f>
        <v>30.3474</v>
      </c>
      <c r="D414" s="10">
        <f>30.3049 * CHOOSE(CONTROL!$C$15, $E$9, 100%, $G$9) + CHOOSE(CONTROL!$C$38, 0.0347, 0)</f>
        <v>30.339600000000001</v>
      </c>
      <c r="E414" s="28">
        <f>32.8069 * CHOOSE(CONTROL!$C$15, $E$9, 100%, $G$9) + CHOOSE(CONTROL!$C$38, 0.0347, 0)</f>
        <v>32.8416</v>
      </c>
      <c r="F414" s="27">
        <f>32.8069 * CHOOSE(CONTROL!$C$15, $E$9, 100%, $G$9) + CHOOSE(CONTROL!$C$38, 0.0256, 0)</f>
        <v>32.832499999999996</v>
      </c>
      <c r="G414" s="10">
        <f>30.3112 * CHOOSE(CONTROL!$C$15, $E$9, 100%, $G$9) + CHOOSE(CONTROL!$C$38, 0.0347, 0)</f>
        <v>30.3459</v>
      </c>
      <c r="H414" s="10">
        <f>30.3112 * CHOOSE(CONTROL!$C$15, $E$9, 100%, $G$9) + CHOOSE(CONTROL!$C$38, 0.0347, 0)</f>
        <v>30.3459</v>
      </c>
      <c r="I414" s="10">
        <f>30.3127 * CHOOSE(CONTROL!$C$15, $E$9, 100%, $G$9) + CHOOSE(CONTROL!$C$38, 0.0347, 0)</f>
        <v>30.3474</v>
      </c>
      <c r="J414" s="26">
        <f>228.4688</f>
        <v>228.46879999999999</v>
      </c>
    </row>
    <row r="415" spans="1:10" ht="15.75" x14ac:dyDescent="0.25">
      <c r="A415" s="14">
        <v>53935</v>
      </c>
      <c r="B415" s="10">
        <f>33.0651 * CHOOSE(CONTROL!$C$15, $E$9, 100%, $G$9) + CHOOSE(CONTROL!$C$38, 0.0256, 0)</f>
        <v>33.090699999999998</v>
      </c>
      <c r="C415" s="10">
        <f>30.4147 * CHOOSE(CONTROL!$C$15, $E$9, 100%, $G$9) + CHOOSE(CONTROL!$C$38, 0.0347, 0)</f>
        <v>30.449400000000001</v>
      </c>
      <c r="D415" s="10">
        <f>30.4068 * CHOOSE(CONTROL!$C$15, $E$9, 100%, $G$9) + CHOOSE(CONTROL!$C$38, 0.0347, 0)</f>
        <v>30.441500000000001</v>
      </c>
      <c r="E415" s="28">
        <f>32.9088 * CHOOSE(CONTROL!$C$15, $E$9, 100%, $G$9) + CHOOSE(CONTROL!$C$38, 0.0347, 0)</f>
        <v>32.9435</v>
      </c>
      <c r="F415" s="27">
        <f>32.9088 * CHOOSE(CONTROL!$C$15, $E$9, 100%, $G$9) + CHOOSE(CONTROL!$C$38, 0.0256, 0)</f>
        <v>32.934399999999997</v>
      </c>
      <c r="G415" s="10">
        <f>30.4131 * CHOOSE(CONTROL!$C$15, $E$9, 100%, $G$9) + CHOOSE(CONTROL!$C$38, 0.0347, 0)</f>
        <v>30.447800000000001</v>
      </c>
      <c r="H415" s="10">
        <f>30.4131 * CHOOSE(CONTROL!$C$15, $E$9, 100%, $G$9) + CHOOSE(CONTROL!$C$38, 0.0347, 0)</f>
        <v>30.447800000000001</v>
      </c>
      <c r="I415" s="10">
        <f>30.4147 * CHOOSE(CONTROL!$C$15, $E$9, 100%, $G$9) + CHOOSE(CONTROL!$C$38, 0.0347, 0)</f>
        <v>30.449400000000001</v>
      </c>
      <c r="J415" s="26">
        <f>223.1502</f>
        <v>223.15020000000001</v>
      </c>
    </row>
    <row r="416" spans="1:10" ht="15.75" x14ac:dyDescent="0.25">
      <c r="A416" s="14">
        <v>53965</v>
      </c>
      <c r="B416" s="10">
        <f>33.3419 * CHOOSE(CONTROL!$C$15, $E$9, 100%, $G$9) + CHOOSE(CONTROL!$C$38, 0.0256, 0)</f>
        <v>33.3675</v>
      </c>
      <c r="C416" s="10">
        <f>30.6915 * CHOOSE(CONTROL!$C$15, $E$9, 100%, $G$9) + CHOOSE(CONTROL!$C$38, 0.0347, 0)</f>
        <v>30.726200000000002</v>
      </c>
      <c r="D416" s="10">
        <f>30.6836 * CHOOSE(CONTROL!$C$15, $E$9, 100%, $G$9) + CHOOSE(CONTROL!$C$38, 0.0347, 0)</f>
        <v>30.718299999999999</v>
      </c>
      <c r="E416" s="28">
        <f>33.1856 * CHOOSE(CONTROL!$C$15, $E$9, 100%, $G$9) + CHOOSE(CONTROL!$C$38, 0.0347, 0)</f>
        <v>33.220300000000002</v>
      </c>
      <c r="F416" s="27">
        <f>33.1856 * CHOOSE(CONTROL!$C$15, $E$9, 100%, $G$9) + CHOOSE(CONTROL!$C$38, 0.0256, 0)</f>
        <v>33.211199999999998</v>
      </c>
      <c r="G416" s="10">
        <f>30.6899 * CHOOSE(CONTROL!$C$15, $E$9, 100%, $G$9) + CHOOSE(CONTROL!$C$38, 0.0347, 0)</f>
        <v>30.724600000000002</v>
      </c>
      <c r="H416" s="10">
        <f>30.6899 * CHOOSE(CONTROL!$C$15, $E$9, 100%, $G$9) + CHOOSE(CONTROL!$C$38, 0.0347, 0)</f>
        <v>30.724600000000002</v>
      </c>
      <c r="I416" s="10">
        <f>30.6915 * CHOOSE(CONTROL!$C$15, $E$9, 100%, $G$9) + CHOOSE(CONTROL!$C$38, 0.0347, 0)</f>
        <v>30.726200000000002</v>
      </c>
      <c r="J416" s="26">
        <f>215.733</f>
        <v>215.733</v>
      </c>
    </row>
    <row r="417" spans="1:10" ht="15.75" x14ac:dyDescent="0.25">
      <c r="A417" s="14">
        <v>53996</v>
      </c>
      <c r="B417" s="10">
        <f>33.5737 * CHOOSE(CONTROL!$C$15, $E$9, 100%, $G$9) + CHOOSE(CONTROL!$C$38, 0.0256, 0)</f>
        <v>33.599299999999999</v>
      </c>
      <c r="C417" s="10">
        <f>30.9233 * CHOOSE(CONTROL!$C$15, $E$9, 100%, $G$9) + CHOOSE(CONTROL!$C$38, 0.0347, 0)</f>
        <v>30.958000000000002</v>
      </c>
      <c r="D417" s="10">
        <f>30.9155 * CHOOSE(CONTROL!$C$15, $E$9, 100%, $G$9) + CHOOSE(CONTROL!$C$38, 0.0347, 0)</f>
        <v>30.950200000000002</v>
      </c>
      <c r="E417" s="28">
        <f>33.4175 * CHOOSE(CONTROL!$C$15, $E$9, 100%, $G$9) + CHOOSE(CONTROL!$C$38, 0.0347, 0)</f>
        <v>33.452199999999998</v>
      </c>
      <c r="F417" s="27">
        <f>33.4175 * CHOOSE(CONTROL!$C$15, $E$9, 100%, $G$9) + CHOOSE(CONTROL!$C$38, 0.0256, 0)</f>
        <v>33.443099999999994</v>
      </c>
      <c r="G417" s="10">
        <f>30.9217 * CHOOSE(CONTROL!$C$15, $E$9, 100%, $G$9) + CHOOSE(CONTROL!$C$38, 0.0347, 0)</f>
        <v>30.956400000000002</v>
      </c>
      <c r="H417" s="10">
        <f>30.9217 * CHOOSE(CONTROL!$C$15, $E$9, 100%, $G$9) + CHOOSE(CONTROL!$C$38, 0.0347, 0)</f>
        <v>30.956400000000002</v>
      </c>
      <c r="I417" s="10">
        <f>30.9233 * CHOOSE(CONTROL!$C$15, $E$9, 100%, $G$9) + CHOOSE(CONTROL!$C$38, 0.0347, 0)</f>
        <v>30.958000000000002</v>
      </c>
      <c r="J417" s="26">
        <f>208.2728</f>
        <v>208.27279999999999</v>
      </c>
    </row>
    <row r="418" spans="1:10" ht="15.75" x14ac:dyDescent="0.25">
      <c r="A418" s="14">
        <v>54026</v>
      </c>
      <c r="B418" s="10">
        <f>33.7671 * CHOOSE(CONTROL!$C$15, $E$9, 100%, $G$9) + CHOOSE(CONTROL!$C$38, 0.0256, 0)</f>
        <v>33.792699999999996</v>
      </c>
      <c r="C418" s="10">
        <f>31.1167 * CHOOSE(CONTROL!$C$15, $E$9, 100%, $G$9) + CHOOSE(CONTROL!$C$38, 0.0347, 0)</f>
        <v>31.151400000000002</v>
      </c>
      <c r="D418" s="10">
        <f>31.1089 * CHOOSE(CONTROL!$C$15, $E$9, 100%, $G$9) + CHOOSE(CONTROL!$C$38, 0.0347, 0)</f>
        <v>31.143599999999999</v>
      </c>
      <c r="E418" s="28">
        <f>33.6109 * CHOOSE(CONTROL!$C$15, $E$9, 100%, $G$9) + CHOOSE(CONTROL!$C$38, 0.0347, 0)</f>
        <v>33.645600000000002</v>
      </c>
      <c r="F418" s="27">
        <f>33.6109 * CHOOSE(CONTROL!$C$15, $E$9, 100%, $G$9) + CHOOSE(CONTROL!$C$38, 0.0256, 0)</f>
        <v>33.636499999999998</v>
      </c>
      <c r="G418" s="10">
        <f>31.1152 * CHOOSE(CONTROL!$C$15, $E$9, 100%, $G$9) + CHOOSE(CONTROL!$C$38, 0.0347, 0)</f>
        <v>31.149900000000002</v>
      </c>
      <c r="H418" s="10">
        <f>31.1152 * CHOOSE(CONTROL!$C$15, $E$9, 100%, $G$9) + CHOOSE(CONTROL!$C$38, 0.0347, 0)</f>
        <v>31.149900000000002</v>
      </c>
      <c r="I418" s="10">
        <f>31.1167 * CHOOSE(CONTROL!$C$15, $E$9, 100%, $G$9) + CHOOSE(CONTROL!$C$38, 0.0347, 0)</f>
        <v>31.151400000000002</v>
      </c>
      <c r="J418" s="26">
        <f>206.7888</f>
        <v>206.78880000000001</v>
      </c>
    </row>
    <row r="419" spans="1:10" ht="15.75" x14ac:dyDescent="0.25">
      <c r="A419" s="14">
        <v>54057</v>
      </c>
      <c r="B419" s="10">
        <f>34.3632 * CHOOSE(CONTROL!$C$15, $E$9, 100%, $G$9) + CHOOSE(CONTROL!$C$38, 0.0256, 0)</f>
        <v>34.388799999999996</v>
      </c>
      <c r="C419" s="10">
        <f>31.7128 * CHOOSE(CONTROL!$C$15, $E$9, 100%, $G$9) + CHOOSE(CONTROL!$C$38, 0.0347, 0)</f>
        <v>31.747500000000002</v>
      </c>
      <c r="D419" s="10">
        <f>31.705 * CHOOSE(CONTROL!$C$15, $E$9, 100%, $G$9) + CHOOSE(CONTROL!$C$38, 0.0347, 0)</f>
        <v>31.739699999999999</v>
      </c>
      <c r="E419" s="28">
        <f>34.207 * CHOOSE(CONTROL!$C$15, $E$9, 100%, $G$9) + CHOOSE(CONTROL!$C$38, 0.0347, 0)</f>
        <v>34.241700000000002</v>
      </c>
      <c r="F419" s="27">
        <f>34.207 * CHOOSE(CONTROL!$C$15, $E$9, 100%, $G$9) + CHOOSE(CONTROL!$C$38, 0.0256, 0)</f>
        <v>34.232599999999998</v>
      </c>
      <c r="G419" s="10">
        <f>31.7112 * CHOOSE(CONTROL!$C$15, $E$9, 100%, $G$9) + CHOOSE(CONTROL!$C$38, 0.0347, 0)</f>
        <v>31.745900000000002</v>
      </c>
      <c r="H419" s="10">
        <f>31.7112 * CHOOSE(CONTROL!$C$15, $E$9, 100%, $G$9) + CHOOSE(CONTROL!$C$38, 0.0347, 0)</f>
        <v>31.745900000000002</v>
      </c>
      <c r="I419" s="10">
        <f>31.7128 * CHOOSE(CONTROL!$C$15, $E$9, 100%, $G$9) + CHOOSE(CONTROL!$C$38, 0.0347, 0)</f>
        <v>31.747500000000002</v>
      </c>
      <c r="J419" s="26">
        <f>200.6523</f>
        <v>200.6523</v>
      </c>
    </row>
    <row r="420" spans="1:10" ht="15.75" x14ac:dyDescent="0.25">
      <c r="A420" s="14">
        <v>54088</v>
      </c>
      <c r="B420" s="10">
        <f>35.4203 * CHOOSE(CONTROL!$C$15, $E$9, 100%, $G$9) + CHOOSE(CONTROL!$C$38, 0.0256, 0)</f>
        <v>35.445899999999995</v>
      </c>
      <c r="C420" s="10">
        <f>32.7258 * CHOOSE(CONTROL!$C$15, $E$9, 100%, $G$9) + CHOOSE(CONTROL!$C$38, 0.0347, 0)</f>
        <v>32.7605</v>
      </c>
      <c r="D420" s="10">
        <f>32.718 * CHOOSE(CONTROL!$C$15, $E$9, 100%, $G$9) + CHOOSE(CONTROL!$C$38, 0.0347, 0)</f>
        <v>32.752700000000004</v>
      </c>
      <c r="E420" s="28">
        <f>35.2641 * CHOOSE(CONTROL!$C$15, $E$9, 100%, $G$9) + CHOOSE(CONTROL!$C$38, 0.0347, 0)</f>
        <v>35.2988</v>
      </c>
      <c r="F420" s="27">
        <f>35.2641 * CHOOSE(CONTROL!$C$15, $E$9, 100%, $G$9) + CHOOSE(CONTROL!$C$38, 0.0256, 0)</f>
        <v>35.289699999999996</v>
      </c>
      <c r="G420" s="10">
        <f>32.7242 * CHOOSE(CONTROL!$C$15, $E$9, 100%, $G$9) + CHOOSE(CONTROL!$C$38, 0.0347, 0)</f>
        <v>32.758900000000004</v>
      </c>
      <c r="H420" s="10">
        <f>32.7242 * CHOOSE(CONTROL!$C$15, $E$9, 100%, $G$9) + CHOOSE(CONTROL!$C$38, 0.0347, 0)</f>
        <v>32.758900000000004</v>
      </c>
      <c r="I420" s="10">
        <f>32.7258 * CHOOSE(CONTROL!$C$15, $E$9, 100%, $G$9) + CHOOSE(CONTROL!$C$38, 0.0347, 0)</f>
        <v>32.7605</v>
      </c>
      <c r="J420" s="26">
        <f>199.3082</f>
        <v>199.3082</v>
      </c>
    </row>
    <row r="421" spans="1:10" ht="15.75" x14ac:dyDescent="0.25">
      <c r="A421" s="14">
        <v>54116</v>
      </c>
      <c r="B421" s="10">
        <f>35.6411 * CHOOSE(CONTROL!$C$15, $E$9, 100%, $G$9) + CHOOSE(CONTROL!$C$38, 0.0256, 0)</f>
        <v>35.666699999999999</v>
      </c>
      <c r="C421" s="10">
        <f>32.9466 * CHOOSE(CONTROL!$C$15, $E$9, 100%, $G$9) + CHOOSE(CONTROL!$C$38, 0.0347, 0)</f>
        <v>32.981299999999997</v>
      </c>
      <c r="D421" s="10">
        <f>32.9388 * CHOOSE(CONTROL!$C$15, $E$9, 100%, $G$9) + CHOOSE(CONTROL!$C$38, 0.0347, 0)</f>
        <v>32.973500000000001</v>
      </c>
      <c r="E421" s="28">
        <f>35.4848 * CHOOSE(CONTROL!$C$15, $E$9, 100%, $G$9) + CHOOSE(CONTROL!$C$38, 0.0347, 0)</f>
        <v>35.519500000000001</v>
      </c>
      <c r="F421" s="27">
        <f>35.4848 * CHOOSE(CONTROL!$C$15, $E$9, 100%, $G$9) + CHOOSE(CONTROL!$C$38, 0.0256, 0)</f>
        <v>35.510399999999997</v>
      </c>
      <c r="G421" s="10">
        <f>32.945 * CHOOSE(CONTROL!$C$15, $E$9, 100%, $G$9) + CHOOSE(CONTROL!$C$38, 0.0347, 0)</f>
        <v>32.979700000000001</v>
      </c>
      <c r="H421" s="10">
        <f>32.945 * CHOOSE(CONTROL!$C$15, $E$9, 100%, $G$9) + CHOOSE(CONTROL!$C$38, 0.0347, 0)</f>
        <v>32.979700000000001</v>
      </c>
      <c r="I421" s="10">
        <f>32.9466 * CHOOSE(CONTROL!$C$15, $E$9, 100%, $G$9) + CHOOSE(CONTROL!$C$38, 0.0347, 0)</f>
        <v>32.981299999999997</v>
      </c>
      <c r="J421" s="26">
        <f>198.7542</f>
        <v>198.7542</v>
      </c>
    </row>
    <row r="422" spans="1:10" ht="15.75" x14ac:dyDescent="0.25">
      <c r="A422" s="14">
        <v>54148</v>
      </c>
      <c r="B422" s="10">
        <f>35.13 * CHOOSE(CONTROL!$C$15, $E$9, 100%, $G$9) + CHOOSE(CONTROL!$C$38, 0.0256, 0)</f>
        <v>35.1556</v>
      </c>
      <c r="C422" s="10">
        <f>32.4355 * CHOOSE(CONTROL!$C$15, $E$9, 100%, $G$9) + CHOOSE(CONTROL!$C$38, 0.0347, 0)</f>
        <v>32.470199999999998</v>
      </c>
      <c r="D422" s="10">
        <f>32.4277 * CHOOSE(CONTROL!$C$15, $E$9, 100%, $G$9) + CHOOSE(CONTROL!$C$38, 0.0347, 0)</f>
        <v>32.462400000000002</v>
      </c>
      <c r="E422" s="28">
        <f>34.9738 * CHOOSE(CONTROL!$C$15, $E$9, 100%, $G$9) + CHOOSE(CONTROL!$C$38, 0.0347, 0)</f>
        <v>35.008499999999998</v>
      </c>
      <c r="F422" s="27">
        <f>34.9738 * CHOOSE(CONTROL!$C$15, $E$9, 100%, $G$9) + CHOOSE(CONTROL!$C$38, 0.0256, 0)</f>
        <v>34.999399999999994</v>
      </c>
      <c r="G422" s="10">
        <f>32.434 * CHOOSE(CONTROL!$C$15, $E$9, 100%, $G$9) + CHOOSE(CONTROL!$C$38, 0.0347, 0)</f>
        <v>32.468699999999998</v>
      </c>
      <c r="H422" s="10">
        <f>32.434 * CHOOSE(CONTROL!$C$15, $E$9, 100%, $G$9) + CHOOSE(CONTROL!$C$38, 0.0347, 0)</f>
        <v>32.468699999999998</v>
      </c>
      <c r="I422" s="10">
        <f>32.4355 * CHOOSE(CONTROL!$C$15, $E$9, 100%, $G$9) + CHOOSE(CONTROL!$C$38, 0.0347, 0)</f>
        <v>32.470199999999998</v>
      </c>
      <c r="J422" s="26">
        <f>209.2297</f>
        <v>209.22970000000001</v>
      </c>
    </row>
    <row r="423" spans="1:10" ht="15.75" x14ac:dyDescent="0.25">
      <c r="A423" s="14">
        <v>54178</v>
      </c>
      <c r="B423" s="10">
        <f>34.6349 * CHOOSE(CONTROL!$C$15, $E$9, 100%, $G$9) + CHOOSE(CONTROL!$C$38, 0.0256, 0)</f>
        <v>34.660499999999999</v>
      </c>
      <c r="C423" s="10">
        <f>31.9404 * CHOOSE(CONTROL!$C$15, $E$9, 100%, $G$9) + CHOOSE(CONTROL!$C$38, 0.0347, 0)</f>
        <v>31.975100000000001</v>
      </c>
      <c r="D423" s="10">
        <f>31.9325 * CHOOSE(CONTROL!$C$15, $E$9, 100%, $G$9) + CHOOSE(CONTROL!$C$38, 0.0347, 0)</f>
        <v>31.967200000000002</v>
      </c>
      <c r="E423" s="28">
        <f>34.4786 * CHOOSE(CONTROL!$C$15, $E$9, 100%, $G$9) + CHOOSE(CONTROL!$C$38, 0.0347, 0)</f>
        <v>34.513300000000001</v>
      </c>
      <c r="F423" s="27">
        <f>34.4786 * CHOOSE(CONTROL!$C$15, $E$9, 100%, $G$9) + CHOOSE(CONTROL!$C$38, 0.0256, 0)</f>
        <v>34.504199999999997</v>
      </c>
      <c r="G423" s="10">
        <f>31.9388 * CHOOSE(CONTROL!$C$15, $E$9, 100%, $G$9) + CHOOSE(CONTROL!$C$38, 0.0347, 0)</f>
        <v>31.973500000000001</v>
      </c>
      <c r="H423" s="10">
        <f>31.9388 * CHOOSE(CONTROL!$C$15, $E$9, 100%, $G$9) + CHOOSE(CONTROL!$C$38, 0.0347, 0)</f>
        <v>31.973500000000001</v>
      </c>
      <c r="I423" s="10">
        <f>31.9404 * CHOOSE(CONTROL!$C$15, $E$9, 100%, $G$9) + CHOOSE(CONTROL!$C$38, 0.0347, 0)</f>
        <v>31.975100000000001</v>
      </c>
      <c r="J423" s="26">
        <f>222.8139</f>
        <v>222.81389999999999</v>
      </c>
    </row>
    <row r="424" spans="1:10" ht="15.75" x14ac:dyDescent="0.25">
      <c r="A424" s="14">
        <v>54209</v>
      </c>
      <c r="B424" s="10">
        <f>34.1187 * CHOOSE(CONTROL!$C$15, $E$9, 100%, $G$9) + CHOOSE(CONTROL!$C$38, 0.0256, 0)</f>
        <v>34.144299999999994</v>
      </c>
      <c r="C424" s="10">
        <f>31.4242 * CHOOSE(CONTROL!$C$15, $E$9, 100%, $G$9) + CHOOSE(CONTROL!$C$38, 0.0347, 0)</f>
        <v>31.4589</v>
      </c>
      <c r="D424" s="10">
        <f>31.4164 * CHOOSE(CONTROL!$C$15, $E$9, 100%, $G$9) + CHOOSE(CONTROL!$C$38, 0.0347, 0)</f>
        <v>31.4511</v>
      </c>
      <c r="E424" s="28">
        <f>33.9625 * CHOOSE(CONTROL!$C$15, $E$9, 100%, $G$9) + CHOOSE(CONTROL!$C$38, 0.0347, 0)</f>
        <v>33.997199999999999</v>
      </c>
      <c r="F424" s="27">
        <f>33.9625 * CHOOSE(CONTROL!$C$15, $E$9, 100%, $G$9) + CHOOSE(CONTROL!$C$38, 0.0256, 0)</f>
        <v>33.988099999999996</v>
      </c>
      <c r="G424" s="10">
        <f>31.4227 * CHOOSE(CONTROL!$C$15, $E$9, 100%, $G$9) + CHOOSE(CONTROL!$C$38, 0.0347, 0)</f>
        <v>31.4574</v>
      </c>
      <c r="H424" s="10">
        <f>31.4227 * CHOOSE(CONTROL!$C$15, $E$9, 100%, $G$9) + CHOOSE(CONTROL!$C$38, 0.0347, 0)</f>
        <v>31.4574</v>
      </c>
      <c r="I424" s="10">
        <f>31.4242 * CHOOSE(CONTROL!$C$15, $E$9, 100%, $G$9) + CHOOSE(CONTROL!$C$38, 0.0347, 0)</f>
        <v>31.4589</v>
      </c>
      <c r="J424" s="26">
        <f>230.2911</f>
        <v>230.2911</v>
      </c>
    </row>
    <row r="425" spans="1:10" ht="15.75" x14ac:dyDescent="0.25">
      <c r="A425" s="14">
        <v>54239</v>
      </c>
      <c r="B425" s="10">
        <f>33.7569 * CHOOSE(CONTROL!$C$15, $E$9, 100%, $G$9) + CHOOSE(CONTROL!$C$38, 0.0256, 0)</f>
        <v>33.782499999999999</v>
      </c>
      <c r="C425" s="10">
        <f>31.0624 * CHOOSE(CONTROL!$C$15, $E$9, 100%, $G$9) + CHOOSE(CONTROL!$C$38, 0.0347, 0)</f>
        <v>31.097100000000001</v>
      </c>
      <c r="D425" s="10">
        <f>31.0546 * CHOOSE(CONTROL!$C$15, $E$9, 100%, $G$9) + CHOOSE(CONTROL!$C$38, 0.0347, 0)</f>
        <v>31.089300000000001</v>
      </c>
      <c r="E425" s="28">
        <f>33.6007 * CHOOSE(CONTROL!$C$15, $E$9, 100%, $G$9) + CHOOSE(CONTROL!$C$38, 0.0347, 0)</f>
        <v>33.635400000000004</v>
      </c>
      <c r="F425" s="27">
        <f>33.6007 * CHOOSE(CONTROL!$C$15, $E$9, 100%, $G$9) + CHOOSE(CONTROL!$C$38, 0.0256, 0)</f>
        <v>33.626300000000001</v>
      </c>
      <c r="G425" s="10">
        <f>31.0609 * CHOOSE(CONTROL!$C$15, $E$9, 100%, $G$9) + CHOOSE(CONTROL!$C$38, 0.0347, 0)</f>
        <v>31.095600000000001</v>
      </c>
      <c r="H425" s="10">
        <f>31.0609 * CHOOSE(CONTROL!$C$15, $E$9, 100%, $G$9) + CHOOSE(CONTROL!$C$38, 0.0347, 0)</f>
        <v>31.095600000000001</v>
      </c>
      <c r="I425" s="10">
        <f>31.0624 * CHOOSE(CONTROL!$C$15, $E$9, 100%, $G$9) + CHOOSE(CONTROL!$C$38, 0.0347, 0)</f>
        <v>31.097100000000001</v>
      </c>
      <c r="J425" s="26">
        <f>233.6094</f>
        <v>233.60939999999999</v>
      </c>
    </row>
    <row r="426" spans="1:10" ht="15.75" x14ac:dyDescent="0.25">
      <c r="A426" s="14">
        <v>54270</v>
      </c>
      <c r="B426" s="10">
        <f>33.5504 * CHOOSE(CONTROL!$C$15, $E$9, 100%, $G$9) + CHOOSE(CONTROL!$C$38, 0.0256, 0)</f>
        <v>33.576000000000001</v>
      </c>
      <c r="C426" s="10">
        <f>30.8559 * CHOOSE(CONTROL!$C$15, $E$9, 100%, $G$9) + CHOOSE(CONTROL!$C$38, 0.0347, 0)</f>
        <v>30.890599999999999</v>
      </c>
      <c r="D426" s="10">
        <f>30.8481 * CHOOSE(CONTROL!$C$15, $E$9, 100%, $G$9) + CHOOSE(CONTROL!$C$38, 0.0347, 0)</f>
        <v>30.8828</v>
      </c>
      <c r="E426" s="28">
        <f>33.3942 * CHOOSE(CONTROL!$C$15, $E$9, 100%, $G$9) + CHOOSE(CONTROL!$C$38, 0.0347, 0)</f>
        <v>33.428899999999999</v>
      </c>
      <c r="F426" s="27">
        <f>33.3942 * CHOOSE(CONTROL!$C$15, $E$9, 100%, $G$9) + CHOOSE(CONTROL!$C$38, 0.0256, 0)</f>
        <v>33.419799999999995</v>
      </c>
      <c r="G426" s="10">
        <f>30.8544 * CHOOSE(CONTROL!$C$15, $E$9, 100%, $G$9) + CHOOSE(CONTROL!$C$38, 0.0347, 0)</f>
        <v>30.889099999999999</v>
      </c>
      <c r="H426" s="10">
        <f>30.8544 * CHOOSE(CONTROL!$C$15, $E$9, 100%, $G$9) + CHOOSE(CONTROL!$C$38, 0.0347, 0)</f>
        <v>30.889099999999999</v>
      </c>
      <c r="I426" s="10">
        <f>30.8559 * CHOOSE(CONTROL!$C$15, $E$9, 100%, $G$9) + CHOOSE(CONTROL!$C$38, 0.0347, 0)</f>
        <v>30.890599999999999</v>
      </c>
      <c r="J426" s="26">
        <f>232.5168</f>
        <v>232.51679999999999</v>
      </c>
    </row>
    <row r="427" spans="1:10" ht="15.75" x14ac:dyDescent="0.25">
      <c r="A427" s="14">
        <v>54301</v>
      </c>
      <c r="B427" s="10">
        <f>33.6523 * CHOOSE(CONTROL!$C$15, $E$9, 100%, $G$9) + CHOOSE(CONTROL!$C$38, 0.0256, 0)</f>
        <v>33.677899999999994</v>
      </c>
      <c r="C427" s="10">
        <f>30.9578 * CHOOSE(CONTROL!$C$15, $E$9, 100%, $G$9) + CHOOSE(CONTROL!$C$38, 0.0347, 0)</f>
        <v>30.9925</v>
      </c>
      <c r="D427" s="10">
        <f>30.95 * CHOOSE(CONTROL!$C$15, $E$9, 100%, $G$9) + CHOOSE(CONTROL!$C$38, 0.0347, 0)</f>
        <v>30.9847</v>
      </c>
      <c r="E427" s="28">
        <f>33.4961 * CHOOSE(CONTROL!$C$15, $E$9, 100%, $G$9) + CHOOSE(CONTROL!$C$38, 0.0347, 0)</f>
        <v>33.530799999999999</v>
      </c>
      <c r="F427" s="27">
        <f>33.4961 * CHOOSE(CONTROL!$C$15, $E$9, 100%, $G$9) + CHOOSE(CONTROL!$C$38, 0.0256, 0)</f>
        <v>33.521699999999996</v>
      </c>
      <c r="G427" s="10">
        <f>30.9563 * CHOOSE(CONTROL!$C$15, $E$9, 100%, $G$9) + CHOOSE(CONTROL!$C$38, 0.0347, 0)</f>
        <v>30.991</v>
      </c>
      <c r="H427" s="10">
        <f>30.9563 * CHOOSE(CONTROL!$C$15, $E$9, 100%, $G$9) + CHOOSE(CONTROL!$C$38, 0.0347, 0)</f>
        <v>30.991</v>
      </c>
      <c r="I427" s="10">
        <f>30.9578 * CHOOSE(CONTROL!$C$15, $E$9, 100%, $G$9) + CHOOSE(CONTROL!$C$38, 0.0347, 0)</f>
        <v>30.9925</v>
      </c>
      <c r="J427" s="26">
        <f>227.104</f>
        <v>227.10400000000001</v>
      </c>
    </row>
    <row r="428" spans="1:10" ht="15.75" x14ac:dyDescent="0.25">
      <c r="A428" s="14">
        <v>54331</v>
      </c>
      <c r="B428" s="10">
        <f>33.9291 * CHOOSE(CONTROL!$C$15, $E$9, 100%, $G$9) + CHOOSE(CONTROL!$C$38, 0.0256, 0)</f>
        <v>33.954699999999995</v>
      </c>
      <c r="C428" s="10">
        <f>31.2346 * CHOOSE(CONTROL!$C$15, $E$9, 100%, $G$9) + CHOOSE(CONTROL!$C$38, 0.0347, 0)</f>
        <v>31.269300000000001</v>
      </c>
      <c r="D428" s="10">
        <f>31.2268 * CHOOSE(CONTROL!$C$15, $E$9, 100%, $G$9) + CHOOSE(CONTROL!$C$38, 0.0347, 0)</f>
        <v>31.261500000000002</v>
      </c>
      <c r="E428" s="28">
        <f>33.7729 * CHOOSE(CONTROL!$C$15, $E$9, 100%, $G$9) + CHOOSE(CONTROL!$C$38, 0.0347, 0)</f>
        <v>33.807600000000001</v>
      </c>
      <c r="F428" s="27">
        <f>33.7729 * CHOOSE(CONTROL!$C$15, $E$9, 100%, $G$9) + CHOOSE(CONTROL!$C$38, 0.0256, 0)</f>
        <v>33.798499999999997</v>
      </c>
      <c r="G428" s="10">
        <f>31.2331 * CHOOSE(CONTROL!$C$15, $E$9, 100%, $G$9) + CHOOSE(CONTROL!$C$38, 0.0347, 0)</f>
        <v>31.267800000000001</v>
      </c>
      <c r="H428" s="10">
        <f>31.2331 * CHOOSE(CONTROL!$C$15, $E$9, 100%, $G$9) + CHOOSE(CONTROL!$C$38, 0.0347, 0)</f>
        <v>31.267800000000001</v>
      </c>
      <c r="I428" s="10">
        <f>31.2346 * CHOOSE(CONTROL!$C$15, $E$9, 100%, $G$9) + CHOOSE(CONTROL!$C$38, 0.0347, 0)</f>
        <v>31.269300000000001</v>
      </c>
      <c r="J428" s="26">
        <f>219.5554</f>
        <v>219.55539999999999</v>
      </c>
    </row>
    <row r="429" spans="1:10" ht="15.75" x14ac:dyDescent="0.25">
      <c r="A429" s="14">
        <v>54362</v>
      </c>
      <c r="B429" s="10">
        <f>34.1609 * CHOOSE(CONTROL!$C$15, $E$9, 100%, $G$9) + CHOOSE(CONTROL!$C$38, 0.0256, 0)</f>
        <v>34.186499999999995</v>
      </c>
      <c r="C429" s="10">
        <f>31.4665 * CHOOSE(CONTROL!$C$15, $E$9, 100%, $G$9) + CHOOSE(CONTROL!$C$38, 0.0347, 0)</f>
        <v>31.501200000000001</v>
      </c>
      <c r="D429" s="10">
        <f>31.4586 * CHOOSE(CONTROL!$C$15, $E$9, 100%, $G$9) + CHOOSE(CONTROL!$C$38, 0.0347, 0)</f>
        <v>31.493300000000001</v>
      </c>
      <c r="E429" s="28">
        <f>34.0047 * CHOOSE(CONTROL!$C$15, $E$9, 100%, $G$9) + CHOOSE(CONTROL!$C$38, 0.0347, 0)</f>
        <v>34.039400000000001</v>
      </c>
      <c r="F429" s="27">
        <f>34.0047 * CHOOSE(CONTROL!$C$15, $E$9, 100%, $G$9) + CHOOSE(CONTROL!$C$38, 0.0256, 0)</f>
        <v>34.030299999999997</v>
      </c>
      <c r="G429" s="10">
        <f>31.4649 * CHOOSE(CONTROL!$C$15, $E$9, 100%, $G$9) + CHOOSE(CONTROL!$C$38, 0.0347, 0)</f>
        <v>31.499600000000001</v>
      </c>
      <c r="H429" s="10">
        <f>31.4649 * CHOOSE(CONTROL!$C$15, $E$9, 100%, $G$9) + CHOOSE(CONTROL!$C$38, 0.0347, 0)</f>
        <v>31.499600000000001</v>
      </c>
      <c r="I429" s="10">
        <f>31.4665 * CHOOSE(CONTROL!$C$15, $E$9, 100%, $G$9) + CHOOSE(CONTROL!$C$38, 0.0347, 0)</f>
        <v>31.501200000000001</v>
      </c>
      <c r="J429" s="26">
        <f>211.963</f>
        <v>211.96299999999999</v>
      </c>
    </row>
    <row r="430" spans="1:10" ht="15.75" x14ac:dyDescent="0.25">
      <c r="A430" s="14">
        <v>54392</v>
      </c>
      <c r="B430" s="10">
        <f>34.3544 * CHOOSE(CONTROL!$C$15, $E$9, 100%, $G$9) + CHOOSE(CONTROL!$C$38, 0.0256, 0)</f>
        <v>34.379999999999995</v>
      </c>
      <c r="C430" s="10">
        <f>31.6599 * CHOOSE(CONTROL!$C$15, $E$9, 100%, $G$9) + CHOOSE(CONTROL!$C$38, 0.0347, 0)</f>
        <v>31.694600000000001</v>
      </c>
      <c r="D430" s="10">
        <f>31.6521 * CHOOSE(CONTROL!$C$15, $E$9, 100%, $G$9) + CHOOSE(CONTROL!$C$38, 0.0347, 0)</f>
        <v>31.686800000000002</v>
      </c>
      <c r="E430" s="28">
        <f>34.1981 * CHOOSE(CONTROL!$C$15, $E$9, 100%, $G$9) + CHOOSE(CONTROL!$C$38, 0.0347, 0)</f>
        <v>34.232799999999997</v>
      </c>
      <c r="F430" s="27">
        <f>34.1981 * CHOOSE(CONTROL!$C$15, $E$9, 100%, $G$9) + CHOOSE(CONTROL!$C$38, 0.0256, 0)</f>
        <v>34.223699999999994</v>
      </c>
      <c r="G430" s="10">
        <f>31.6583 * CHOOSE(CONTROL!$C$15, $E$9, 100%, $G$9) + CHOOSE(CONTROL!$C$38, 0.0347, 0)</f>
        <v>31.693000000000001</v>
      </c>
      <c r="H430" s="10">
        <f>31.6583 * CHOOSE(CONTROL!$C$15, $E$9, 100%, $G$9) + CHOOSE(CONTROL!$C$38, 0.0347, 0)</f>
        <v>31.693000000000001</v>
      </c>
      <c r="I430" s="10">
        <f>31.6599 * CHOOSE(CONTROL!$C$15, $E$9, 100%, $G$9) + CHOOSE(CONTROL!$C$38, 0.0347, 0)</f>
        <v>31.694600000000001</v>
      </c>
      <c r="J430" s="26">
        <f>210.4527</f>
        <v>210.45269999999999</v>
      </c>
    </row>
    <row r="431" spans="1:10" ht="15.75" x14ac:dyDescent="0.25">
      <c r="A431" s="14">
        <v>54423</v>
      </c>
      <c r="B431" s="10">
        <f>34.9505 * CHOOSE(CONTROL!$C$15, $E$9, 100%, $G$9) + CHOOSE(CONTROL!$C$38, 0.0256, 0)</f>
        <v>34.976099999999995</v>
      </c>
      <c r="C431" s="10">
        <f>32.256 * CHOOSE(CONTROL!$C$15, $E$9, 100%, $G$9) + CHOOSE(CONTROL!$C$38, 0.0347, 0)</f>
        <v>32.290700000000001</v>
      </c>
      <c r="D431" s="10">
        <f>32.2482 * CHOOSE(CONTROL!$C$15, $E$9, 100%, $G$9) + CHOOSE(CONTROL!$C$38, 0.0347, 0)</f>
        <v>32.282899999999998</v>
      </c>
      <c r="E431" s="28">
        <f>34.7942 * CHOOSE(CONTROL!$C$15, $E$9, 100%, $G$9) + CHOOSE(CONTROL!$C$38, 0.0347, 0)</f>
        <v>34.828899999999997</v>
      </c>
      <c r="F431" s="27">
        <f>34.7942 * CHOOSE(CONTROL!$C$15, $E$9, 100%, $G$9) + CHOOSE(CONTROL!$C$38, 0.0256, 0)</f>
        <v>34.819799999999994</v>
      </c>
      <c r="G431" s="10">
        <f>32.2544 * CHOOSE(CONTROL!$C$15, $E$9, 100%, $G$9) + CHOOSE(CONTROL!$C$38, 0.0347, 0)</f>
        <v>32.289099999999998</v>
      </c>
      <c r="H431" s="10">
        <f>32.2544 * CHOOSE(CONTROL!$C$15, $E$9, 100%, $G$9) + CHOOSE(CONTROL!$C$38, 0.0347, 0)</f>
        <v>32.289099999999998</v>
      </c>
      <c r="I431" s="10">
        <f>32.256 * CHOOSE(CONTROL!$C$15, $E$9, 100%, $G$9) + CHOOSE(CONTROL!$C$38, 0.0347, 0)</f>
        <v>32.290700000000001</v>
      </c>
      <c r="J431" s="26">
        <f>204.2075</f>
        <v>204.20750000000001</v>
      </c>
    </row>
    <row r="432" spans="1:10" ht="15.75" x14ac:dyDescent="0.25">
      <c r="A432" s="14">
        <v>54454</v>
      </c>
      <c r="B432" s="10">
        <f>36.0179 * CHOOSE(CONTROL!$C$15, $E$9, 100%, $G$9) + CHOOSE(CONTROL!$C$38, 0.0256, 0)</f>
        <v>36.043499999999995</v>
      </c>
      <c r="C432" s="10">
        <f>33.2786 * CHOOSE(CONTROL!$C$15, $E$9, 100%, $G$9) + CHOOSE(CONTROL!$C$38, 0.0347, 0)</f>
        <v>33.313299999999998</v>
      </c>
      <c r="D432" s="10">
        <f>33.2708 * CHOOSE(CONTROL!$C$15, $E$9, 100%, $G$9) + CHOOSE(CONTROL!$C$38, 0.0347, 0)</f>
        <v>33.305500000000002</v>
      </c>
      <c r="E432" s="28">
        <f>35.8617 * CHOOSE(CONTROL!$C$15, $E$9, 100%, $G$9) + CHOOSE(CONTROL!$C$38, 0.0347, 0)</f>
        <v>35.8964</v>
      </c>
      <c r="F432" s="27">
        <f>35.8617 * CHOOSE(CONTROL!$C$15, $E$9, 100%, $G$9) + CHOOSE(CONTROL!$C$38, 0.0256, 0)</f>
        <v>35.887299999999996</v>
      </c>
      <c r="G432" s="10">
        <f>33.277 * CHOOSE(CONTROL!$C$15, $E$9, 100%, $G$9) + CHOOSE(CONTROL!$C$38, 0.0347, 0)</f>
        <v>33.311700000000002</v>
      </c>
      <c r="H432" s="10">
        <f>33.277 * CHOOSE(CONTROL!$C$15, $E$9, 100%, $G$9) + CHOOSE(CONTROL!$C$38, 0.0347, 0)</f>
        <v>33.311700000000002</v>
      </c>
      <c r="I432" s="10">
        <f>33.2786 * CHOOSE(CONTROL!$C$15, $E$9, 100%, $G$9) + CHOOSE(CONTROL!$C$38, 0.0347, 0)</f>
        <v>33.313299999999998</v>
      </c>
      <c r="J432" s="26">
        <f>202.8396</f>
        <v>202.83959999999999</v>
      </c>
    </row>
    <row r="433" spans="1:10" ht="15.75" x14ac:dyDescent="0.25">
      <c r="A433" s="14">
        <v>54482</v>
      </c>
      <c r="B433" s="10">
        <f>36.2387 * CHOOSE(CONTROL!$C$15, $E$9, 100%, $G$9) + CHOOSE(CONTROL!$C$38, 0.0256, 0)</f>
        <v>36.264299999999999</v>
      </c>
      <c r="C433" s="10">
        <f>33.4993 * CHOOSE(CONTROL!$C$15, $E$9, 100%, $G$9) + CHOOSE(CONTROL!$C$38, 0.0347, 0)</f>
        <v>33.533999999999999</v>
      </c>
      <c r="D433" s="10">
        <f>33.4915 * CHOOSE(CONTROL!$C$15, $E$9, 100%, $G$9) + CHOOSE(CONTROL!$C$38, 0.0347, 0)</f>
        <v>33.526200000000003</v>
      </c>
      <c r="E433" s="28">
        <f>36.0824 * CHOOSE(CONTROL!$C$15, $E$9, 100%, $G$9) + CHOOSE(CONTROL!$C$38, 0.0347, 0)</f>
        <v>36.117100000000001</v>
      </c>
      <c r="F433" s="27">
        <f>36.0824 * CHOOSE(CONTROL!$C$15, $E$9, 100%, $G$9) + CHOOSE(CONTROL!$C$38, 0.0256, 0)</f>
        <v>36.107999999999997</v>
      </c>
      <c r="G433" s="10">
        <f>33.4978 * CHOOSE(CONTROL!$C$15, $E$9, 100%, $G$9) + CHOOSE(CONTROL!$C$38, 0.0347, 0)</f>
        <v>33.532499999999999</v>
      </c>
      <c r="H433" s="10">
        <f>33.4978 * CHOOSE(CONTROL!$C$15, $E$9, 100%, $G$9) + CHOOSE(CONTROL!$C$38, 0.0347, 0)</f>
        <v>33.532499999999999</v>
      </c>
      <c r="I433" s="10">
        <f>33.4993 * CHOOSE(CONTROL!$C$15, $E$9, 100%, $G$9) + CHOOSE(CONTROL!$C$38, 0.0347, 0)</f>
        <v>33.533999999999999</v>
      </c>
      <c r="J433" s="26">
        <f>202.2758</f>
        <v>202.2758</v>
      </c>
    </row>
    <row r="434" spans="1:10" ht="15.75" x14ac:dyDescent="0.25">
      <c r="A434" s="14">
        <v>54513</v>
      </c>
      <c r="B434" s="10">
        <f>35.7277 * CHOOSE(CONTROL!$C$15, $E$9, 100%, $G$9) + CHOOSE(CONTROL!$C$38, 0.0256, 0)</f>
        <v>35.753299999999996</v>
      </c>
      <c r="C434" s="10">
        <f>32.9883 * CHOOSE(CONTROL!$C$15, $E$9, 100%, $G$9) + CHOOSE(CONTROL!$C$38, 0.0347, 0)</f>
        <v>33.023000000000003</v>
      </c>
      <c r="D434" s="10">
        <f>32.9805 * CHOOSE(CONTROL!$C$15, $E$9, 100%, $G$9) + CHOOSE(CONTROL!$C$38, 0.0347, 0)</f>
        <v>33.0152</v>
      </c>
      <c r="E434" s="28">
        <f>35.5714 * CHOOSE(CONTROL!$C$15, $E$9, 100%, $G$9) + CHOOSE(CONTROL!$C$38, 0.0347, 0)</f>
        <v>35.606099999999998</v>
      </c>
      <c r="F434" s="27">
        <f>35.5714 * CHOOSE(CONTROL!$C$15, $E$9, 100%, $G$9) + CHOOSE(CONTROL!$C$38, 0.0256, 0)</f>
        <v>35.596999999999994</v>
      </c>
      <c r="G434" s="10">
        <f>32.9868 * CHOOSE(CONTROL!$C$15, $E$9, 100%, $G$9) + CHOOSE(CONTROL!$C$38, 0.0347, 0)</f>
        <v>33.021500000000003</v>
      </c>
      <c r="H434" s="10">
        <f>32.9868 * CHOOSE(CONTROL!$C$15, $E$9, 100%, $G$9) + CHOOSE(CONTROL!$C$38, 0.0347, 0)</f>
        <v>33.021500000000003</v>
      </c>
      <c r="I434" s="10">
        <f>32.9883 * CHOOSE(CONTROL!$C$15, $E$9, 100%, $G$9) + CHOOSE(CONTROL!$C$38, 0.0347, 0)</f>
        <v>33.023000000000003</v>
      </c>
      <c r="J434" s="26">
        <f>212.9369</f>
        <v>212.93690000000001</v>
      </c>
    </row>
    <row r="435" spans="1:10" ht="15.75" x14ac:dyDescent="0.25">
      <c r="A435" s="14">
        <v>54543</v>
      </c>
      <c r="B435" s="10">
        <f>35.2325 * CHOOSE(CONTROL!$C$15, $E$9, 100%, $G$9) + CHOOSE(CONTROL!$C$38, 0.0256, 0)</f>
        <v>35.258099999999999</v>
      </c>
      <c r="C435" s="10">
        <f>32.4931 * CHOOSE(CONTROL!$C$15, $E$9, 100%, $G$9) + CHOOSE(CONTROL!$C$38, 0.0347, 0)</f>
        <v>32.527799999999999</v>
      </c>
      <c r="D435" s="10">
        <f>32.4853 * CHOOSE(CONTROL!$C$15, $E$9, 100%, $G$9) + CHOOSE(CONTROL!$C$38, 0.0347, 0)</f>
        <v>32.520000000000003</v>
      </c>
      <c r="E435" s="28">
        <f>35.0762 * CHOOSE(CONTROL!$C$15, $E$9, 100%, $G$9) + CHOOSE(CONTROL!$C$38, 0.0347, 0)</f>
        <v>35.110900000000001</v>
      </c>
      <c r="F435" s="27">
        <f>35.0762 * CHOOSE(CONTROL!$C$15, $E$9, 100%, $G$9) + CHOOSE(CONTROL!$C$38, 0.0256, 0)</f>
        <v>35.101799999999997</v>
      </c>
      <c r="G435" s="10">
        <f>32.4916 * CHOOSE(CONTROL!$C$15, $E$9, 100%, $G$9) + CHOOSE(CONTROL!$C$38, 0.0347, 0)</f>
        <v>32.526299999999999</v>
      </c>
      <c r="H435" s="10">
        <f>32.4916 * CHOOSE(CONTROL!$C$15, $E$9, 100%, $G$9) + CHOOSE(CONTROL!$C$38, 0.0347, 0)</f>
        <v>32.526299999999999</v>
      </c>
      <c r="I435" s="10">
        <f>32.4931 * CHOOSE(CONTROL!$C$15, $E$9, 100%, $G$9) + CHOOSE(CONTROL!$C$38, 0.0347, 0)</f>
        <v>32.527799999999999</v>
      </c>
      <c r="J435" s="26">
        <f>226.7618</f>
        <v>226.76179999999999</v>
      </c>
    </row>
    <row r="436" spans="1:10" ht="15.75" x14ac:dyDescent="0.25">
      <c r="A436" s="14">
        <v>54574</v>
      </c>
      <c r="B436" s="10">
        <f>34.7164 * CHOOSE(CONTROL!$C$15, $E$9, 100%, $G$9) + CHOOSE(CONTROL!$C$38, 0.0256, 0)</f>
        <v>34.741999999999997</v>
      </c>
      <c r="C436" s="10">
        <f>31.977 * CHOOSE(CONTROL!$C$15, $E$9, 100%, $G$9) + CHOOSE(CONTROL!$C$38, 0.0347, 0)</f>
        <v>32.011699999999998</v>
      </c>
      <c r="D436" s="10">
        <f>31.9692 * CHOOSE(CONTROL!$C$15, $E$9, 100%, $G$9) + CHOOSE(CONTROL!$C$38, 0.0347, 0)</f>
        <v>32.003900000000002</v>
      </c>
      <c r="E436" s="28">
        <f>34.5601 * CHOOSE(CONTROL!$C$15, $E$9, 100%, $G$9) + CHOOSE(CONTROL!$C$38, 0.0347, 0)</f>
        <v>34.594799999999999</v>
      </c>
      <c r="F436" s="27">
        <f>34.5601 * CHOOSE(CONTROL!$C$15, $E$9, 100%, $G$9) + CHOOSE(CONTROL!$C$38, 0.0256, 0)</f>
        <v>34.585699999999996</v>
      </c>
      <c r="G436" s="10">
        <f>31.9755 * CHOOSE(CONTROL!$C$15, $E$9, 100%, $G$9) + CHOOSE(CONTROL!$C$38, 0.0347, 0)</f>
        <v>32.010199999999998</v>
      </c>
      <c r="H436" s="10">
        <f>31.9755 * CHOOSE(CONTROL!$C$15, $E$9, 100%, $G$9) + CHOOSE(CONTROL!$C$38, 0.0347, 0)</f>
        <v>32.010199999999998</v>
      </c>
      <c r="I436" s="10">
        <f>31.977 * CHOOSE(CONTROL!$C$15, $E$9, 100%, $G$9) + CHOOSE(CONTROL!$C$38, 0.0347, 0)</f>
        <v>32.011699999999998</v>
      </c>
      <c r="J436" s="26">
        <f>234.3714</f>
        <v>234.37139999999999</v>
      </c>
    </row>
    <row r="437" spans="1:10" ht="15.75" x14ac:dyDescent="0.25">
      <c r="A437" s="14">
        <v>54604</v>
      </c>
      <c r="B437" s="10">
        <f>34.3545 * CHOOSE(CONTROL!$C$15, $E$9, 100%, $G$9) + CHOOSE(CONTROL!$C$38, 0.0256, 0)</f>
        <v>34.380099999999999</v>
      </c>
      <c r="C437" s="10">
        <f>31.6152 * CHOOSE(CONTROL!$C$15, $E$9, 100%, $G$9) + CHOOSE(CONTROL!$C$38, 0.0347, 0)</f>
        <v>31.649900000000002</v>
      </c>
      <c r="D437" s="10">
        <f>31.6074 * CHOOSE(CONTROL!$C$15, $E$9, 100%, $G$9) + CHOOSE(CONTROL!$C$38, 0.0347, 0)</f>
        <v>31.642099999999999</v>
      </c>
      <c r="E437" s="28">
        <f>34.1983 * CHOOSE(CONTROL!$C$15, $E$9, 100%, $G$9) + CHOOSE(CONTROL!$C$38, 0.0347, 0)</f>
        <v>34.233000000000004</v>
      </c>
      <c r="F437" s="27">
        <f>34.1983 * CHOOSE(CONTROL!$C$15, $E$9, 100%, $G$9) + CHOOSE(CONTROL!$C$38, 0.0256, 0)</f>
        <v>34.2239</v>
      </c>
      <c r="G437" s="10">
        <f>31.6136 * CHOOSE(CONTROL!$C$15, $E$9, 100%, $G$9) + CHOOSE(CONTROL!$C$38, 0.0347, 0)</f>
        <v>31.648300000000003</v>
      </c>
      <c r="H437" s="10">
        <f>31.6136 * CHOOSE(CONTROL!$C$15, $E$9, 100%, $G$9) + CHOOSE(CONTROL!$C$38, 0.0347, 0)</f>
        <v>31.648300000000003</v>
      </c>
      <c r="I437" s="10">
        <f>31.6152 * CHOOSE(CONTROL!$C$15, $E$9, 100%, $G$9) + CHOOSE(CONTROL!$C$38, 0.0347, 0)</f>
        <v>31.649900000000002</v>
      </c>
      <c r="J437" s="26">
        <f>237.7485</f>
        <v>237.74850000000001</v>
      </c>
    </row>
    <row r="438" spans="1:10" ht="15.75" x14ac:dyDescent="0.25">
      <c r="A438" s="14">
        <v>54635</v>
      </c>
      <c r="B438" s="10">
        <f>34.148 * CHOOSE(CONTROL!$C$15, $E$9, 100%, $G$9) + CHOOSE(CONTROL!$C$38, 0.0256, 0)</f>
        <v>34.1736</v>
      </c>
      <c r="C438" s="10">
        <f>31.4087 * CHOOSE(CONTROL!$C$15, $E$9, 100%, $G$9) + CHOOSE(CONTROL!$C$38, 0.0347, 0)</f>
        <v>31.4434</v>
      </c>
      <c r="D438" s="10">
        <f>31.4009 * CHOOSE(CONTROL!$C$15, $E$9, 100%, $G$9) + CHOOSE(CONTROL!$C$38, 0.0347, 0)</f>
        <v>31.435600000000001</v>
      </c>
      <c r="E438" s="28">
        <f>33.9918 * CHOOSE(CONTROL!$C$15, $E$9, 100%, $G$9) + CHOOSE(CONTROL!$C$38, 0.0347, 0)</f>
        <v>34.026499999999999</v>
      </c>
      <c r="F438" s="27">
        <f>33.9918 * CHOOSE(CONTROL!$C$15, $E$9, 100%, $G$9) + CHOOSE(CONTROL!$C$38, 0.0256, 0)</f>
        <v>34.017399999999995</v>
      </c>
      <c r="G438" s="10">
        <f>31.4071 * CHOOSE(CONTROL!$C$15, $E$9, 100%, $G$9) + CHOOSE(CONTROL!$C$38, 0.0347, 0)</f>
        <v>31.441800000000001</v>
      </c>
      <c r="H438" s="10">
        <f>31.4071 * CHOOSE(CONTROL!$C$15, $E$9, 100%, $G$9) + CHOOSE(CONTROL!$C$38, 0.0347, 0)</f>
        <v>31.441800000000001</v>
      </c>
      <c r="I438" s="10">
        <f>31.4087 * CHOOSE(CONTROL!$C$15, $E$9, 100%, $G$9) + CHOOSE(CONTROL!$C$38, 0.0347, 0)</f>
        <v>31.4434</v>
      </c>
      <c r="J438" s="26">
        <f>236.6366</f>
        <v>236.63659999999999</v>
      </c>
    </row>
    <row r="439" spans="1:10" ht="15.75" x14ac:dyDescent="0.25">
      <c r="A439" s="14">
        <v>54666</v>
      </c>
      <c r="B439" s="10">
        <f>34.2499 * CHOOSE(CONTROL!$C$15, $E$9, 100%, $G$9) + CHOOSE(CONTROL!$C$38, 0.0256, 0)</f>
        <v>34.275499999999994</v>
      </c>
      <c r="C439" s="10">
        <f>31.5106 * CHOOSE(CONTROL!$C$15, $E$9, 100%, $G$9) + CHOOSE(CONTROL!$C$38, 0.0347, 0)</f>
        <v>31.545300000000001</v>
      </c>
      <c r="D439" s="10">
        <f>31.5028 * CHOOSE(CONTROL!$C$15, $E$9, 100%, $G$9) + CHOOSE(CONTROL!$C$38, 0.0347, 0)</f>
        <v>31.537500000000001</v>
      </c>
      <c r="E439" s="28">
        <f>34.0937 * CHOOSE(CONTROL!$C$15, $E$9, 100%, $G$9) + CHOOSE(CONTROL!$C$38, 0.0347, 0)</f>
        <v>34.128399999999999</v>
      </c>
      <c r="F439" s="27">
        <f>34.0937 * CHOOSE(CONTROL!$C$15, $E$9, 100%, $G$9) + CHOOSE(CONTROL!$C$38, 0.0256, 0)</f>
        <v>34.119299999999996</v>
      </c>
      <c r="G439" s="10">
        <f>31.509 * CHOOSE(CONTROL!$C$15, $E$9, 100%, $G$9) + CHOOSE(CONTROL!$C$38, 0.0347, 0)</f>
        <v>31.543700000000001</v>
      </c>
      <c r="H439" s="10">
        <f>31.509 * CHOOSE(CONTROL!$C$15, $E$9, 100%, $G$9) + CHOOSE(CONTROL!$C$38, 0.0347, 0)</f>
        <v>31.543700000000001</v>
      </c>
      <c r="I439" s="10">
        <f>31.5106 * CHOOSE(CONTROL!$C$15, $E$9, 100%, $G$9) + CHOOSE(CONTROL!$C$38, 0.0347, 0)</f>
        <v>31.545300000000001</v>
      </c>
      <c r="J439" s="26">
        <f>231.1278</f>
        <v>231.12780000000001</v>
      </c>
    </row>
    <row r="440" spans="1:10" ht="15.75" x14ac:dyDescent="0.25">
      <c r="A440" s="14">
        <v>54696</v>
      </c>
      <c r="B440" s="10">
        <f>34.5267 * CHOOSE(CONTROL!$C$15, $E$9, 100%, $G$9) + CHOOSE(CONTROL!$C$38, 0.0256, 0)</f>
        <v>34.552299999999995</v>
      </c>
      <c r="C440" s="10">
        <f>31.7874 * CHOOSE(CONTROL!$C$15, $E$9, 100%, $G$9) + CHOOSE(CONTROL!$C$38, 0.0347, 0)</f>
        <v>31.822100000000002</v>
      </c>
      <c r="D440" s="10">
        <f>31.7796 * CHOOSE(CONTROL!$C$15, $E$9, 100%, $G$9) + CHOOSE(CONTROL!$C$38, 0.0347, 0)</f>
        <v>31.814299999999999</v>
      </c>
      <c r="E440" s="28">
        <f>34.3705 * CHOOSE(CONTROL!$C$15, $E$9, 100%, $G$9) + CHOOSE(CONTROL!$C$38, 0.0347, 0)</f>
        <v>34.405200000000001</v>
      </c>
      <c r="F440" s="27">
        <f>34.3705 * CHOOSE(CONTROL!$C$15, $E$9, 100%, $G$9) + CHOOSE(CONTROL!$C$38, 0.0256, 0)</f>
        <v>34.396099999999997</v>
      </c>
      <c r="G440" s="10">
        <f>31.7858 * CHOOSE(CONTROL!$C$15, $E$9, 100%, $G$9) + CHOOSE(CONTROL!$C$38, 0.0347, 0)</f>
        <v>31.820499999999999</v>
      </c>
      <c r="H440" s="10">
        <f>31.7858 * CHOOSE(CONTROL!$C$15, $E$9, 100%, $G$9) + CHOOSE(CONTROL!$C$38, 0.0347, 0)</f>
        <v>31.820499999999999</v>
      </c>
      <c r="I440" s="10">
        <f>31.7874 * CHOOSE(CONTROL!$C$15, $E$9, 100%, $G$9) + CHOOSE(CONTROL!$C$38, 0.0347, 0)</f>
        <v>31.822100000000002</v>
      </c>
      <c r="J440" s="26">
        <f>223.4455</f>
        <v>223.44550000000001</v>
      </c>
    </row>
    <row r="441" spans="1:10" ht="15.75" x14ac:dyDescent="0.25">
      <c r="A441" s="14">
        <v>54727</v>
      </c>
      <c r="B441" s="10">
        <f>34.7586 * CHOOSE(CONTROL!$C$15, $E$9, 100%, $G$9) + CHOOSE(CONTROL!$C$38, 0.0256, 0)</f>
        <v>34.784199999999998</v>
      </c>
      <c r="C441" s="10">
        <f>32.0192 * CHOOSE(CONTROL!$C$15, $E$9, 100%, $G$9) + CHOOSE(CONTROL!$C$38, 0.0347, 0)</f>
        <v>32.053899999999999</v>
      </c>
      <c r="D441" s="10">
        <f>32.0114 * CHOOSE(CONTROL!$C$15, $E$9, 100%, $G$9) + CHOOSE(CONTROL!$C$38, 0.0347, 0)</f>
        <v>32.046100000000003</v>
      </c>
      <c r="E441" s="28">
        <f>34.6023 * CHOOSE(CONTROL!$C$15, $E$9, 100%, $G$9) + CHOOSE(CONTROL!$C$38, 0.0347, 0)</f>
        <v>34.637</v>
      </c>
      <c r="F441" s="27">
        <f>34.6023 * CHOOSE(CONTROL!$C$15, $E$9, 100%, $G$9) + CHOOSE(CONTROL!$C$38, 0.0256, 0)</f>
        <v>34.627899999999997</v>
      </c>
      <c r="G441" s="10">
        <f>32.0177 * CHOOSE(CONTROL!$C$15, $E$9, 100%, $G$9) + CHOOSE(CONTROL!$C$38, 0.0347, 0)</f>
        <v>32.052399999999999</v>
      </c>
      <c r="H441" s="10">
        <f>32.0177 * CHOOSE(CONTROL!$C$15, $E$9, 100%, $G$9) + CHOOSE(CONTROL!$C$38, 0.0347, 0)</f>
        <v>32.052399999999999</v>
      </c>
      <c r="I441" s="10">
        <f>32.0192 * CHOOSE(CONTROL!$C$15, $E$9, 100%, $G$9) + CHOOSE(CONTROL!$C$38, 0.0347, 0)</f>
        <v>32.053899999999999</v>
      </c>
      <c r="J441" s="26">
        <f>215.7185</f>
        <v>215.71850000000001</v>
      </c>
    </row>
    <row r="442" spans="1:10" ht="15.75" x14ac:dyDescent="0.25">
      <c r="A442" s="14">
        <v>54757</v>
      </c>
      <c r="B442" s="10">
        <f>34.952 * CHOOSE(CONTROL!$C$15, $E$9, 100%, $G$9) + CHOOSE(CONTROL!$C$38, 0.0256, 0)</f>
        <v>34.977599999999995</v>
      </c>
      <c r="C442" s="10">
        <f>32.2127 * CHOOSE(CONTROL!$C$15, $E$9, 100%, $G$9) + CHOOSE(CONTROL!$C$38, 0.0347, 0)</f>
        <v>32.247399999999999</v>
      </c>
      <c r="D442" s="10">
        <f>32.2049 * CHOOSE(CONTROL!$C$15, $E$9, 100%, $G$9) + CHOOSE(CONTROL!$C$38, 0.0347, 0)</f>
        <v>32.239600000000003</v>
      </c>
      <c r="E442" s="28">
        <f>34.7958 * CHOOSE(CONTROL!$C$15, $E$9, 100%, $G$9) + CHOOSE(CONTROL!$C$38, 0.0347, 0)</f>
        <v>34.830500000000001</v>
      </c>
      <c r="F442" s="27">
        <f>34.7958 * CHOOSE(CONTROL!$C$15, $E$9, 100%, $G$9) + CHOOSE(CONTROL!$C$38, 0.0256, 0)</f>
        <v>34.821399999999997</v>
      </c>
      <c r="G442" s="10">
        <f>32.2111 * CHOOSE(CONTROL!$C$15, $E$9, 100%, $G$9) + CHOOSE(CONTROL!$C$38, 0.0347, 0)</f>
        <v>32.245800000000003</v>
      </c>
      <c r="H442" s="10">
        <f>32.2111 * CHOOSE(CONTROL!$C$15, $E$9, 100%, $G$9) + CHOOSE(CONTROL!$C$38, 0.0347, 0)</f>
        <v>32.245800000000003</v>
      </c>
      <c r="I442" s="10">
        <f>32.2127 * CHOOSE(CONTROL!$C$15, $E$9, 100%, $G$9) + CHOOSE(CONTROL!$C$38, 0.0347, 0)</f>
        <v>32.247399999999999</v>
      </c>
      <c r="J442" s="26">
        <f>214.1815</f>
        <v>214.1815</v>
      </c>
    </row>
    <row r="443" spans="1:10" ht="15.75" x14ac:dyDescent="0.25">
      <c r="A443" s="14">
        <v>54788</v>
      </c>
      <c r="B443" s="10">
        <f>35.5481 * CHOOSE(CONTROL!$C$15, $E$9, 100%, $G$9) + CHOOSE(CONTROL!$C$38, 0.0256, 0)</f>
        <v>35.573699999999995</v>
      </c>
      <c r="C443" s="10">
        <f>32.8087 * CHOOSE(CONTROL!$C$15, $E$9, 100%, $G$9) + CHOOSE(CONTROL!$C$38, 0.0347, 0)</f>
        <v>32.843400000000003</v>
      </c>
      <c r="D443" s="10">
        <f>32.8009 * CHOOSE(CONTROL!$C$15, $E$9, 100%, $G$9) + CHOOSE(CONTROL!$C$38, 0.0347, 0)</f>
        <v>32.835599999999999</v>
      </c>
      <c r="E443" s="28">
        <f>35.3918 * CHOOSE(CONTROL!$C$15, $E$9, 100%, $G$9) + CHOOSE(CONTROL!$C$38, 0.0347, 0)</f>
        <v>35.426500000000004</v>
      </c>
      <c r="F443" s="27">
        <f>35.3918 * CHOOSE(CONTROL!$C$15, $E$9, 100%, $G$9) + CHOOSE(CONTROL!$C$38, 0.0256, 0)</f>
        <v>35.417400000000001</v>
      </c>
      <c r="G443" s="10">
        <f>32.8072 * CHOOSE(CONTROL!$C$15, $E$9, 100%, $G$9) + CHOOSE(CONTROL!$C$38, 0.0347, 0)</f>
        <v>32.841900000000003</v>
      </c>
      <c r="H443" s="10">
        <f>32.8072 * CHOOSE(CONTROL!$C$15, $E$9, 100%, $G$9) + CHOOSE(CONTROL!$C$38, 0.0347, 0)</f>
        <v>32.841900000000003</v>
      </c>
      <c r="I443" s="10">
        <f>32.8087 * CHOOSE(CONTROL!$C$15, $E$9, 100%, $G$9) + CHOOSE(CONTROL!$C$38, 0.0347, 0)</f>
        <v>32.843400000000003</v>
      </c>
      <c r="J443" s="26">
        <f>207.8256</f>
        <v>207.82560000000001</v>
      </c>
    </row>
    <row r="444" spans="1:10" ht="15.75" x14ac:dyDescent="0.25">
      <c r="A444" s="14">
        <v>54819</v>
      </c>
      <c r="B444" s="10">
        <f>36.6261 * CHOOSE(CONTROL!$C$15, $E$9, 100%, $G$9) + CHOOSE(CONTROL!$C$38, 0.0256, 0)</f>
        <v>36.651699999999998</v>
      </c>
      <c r="C444" s="10">
        <f>33.8411 * CHOOSE(CONTROL!$C$15, $E$9, 100%, $G$9) + CHOOSE(CONTROL!$C$38, 0.0347, 0)</f>
        <v>33.875799999999998</v>
      </c>
      <c r="D444" s="10">
        <f>33.8333 * CHOOSE(CONTROL!$C$15, $E$9, 100%, $G$9) + CHOOSE(CONTROL!$C$38, 0.0347, 0)</f>
        <v>33.868000000000002</v>
      </c>
      <c r="E444" s="28">
        <f>36.4699 * CHOOSE(CONTROL!$C$15, $E$9, 100%, $G$9) + CHOOSE(CONTROL!$C$38, 0.0347, 0)</f>
        <v>36.504600000000003</v>
      </c>
      <c r="F444" s="27">
        <f>36.4699 * CHOOSE(CONTROL!$C$15, $E$9, 100%, $G$9) + CHOOSE(CONTROL!$C$38, 0.0256, 0)</f>
        <v>36.4955</v>
      </c>
      <c r="G444" s="10">
        <f>33.8396 * CHOOSE(CONTROL!$C$15, $E$9, 100%, $G$9) + CHOOSE(CONTROL!$C$38, 0.0347, 0)</f>
        <v>33.874299999999998</v>
      </c>
      <c r="H444" s="10">
        <f>33.8396 * CHOOSE(CONTROL!$C$15, $E$9, 100%, $G$9) + CHOOSE(CONTROL!$C$38, 0.0347, 0)</f>
        <v>33.874299999999998</v>
      </c>
      <c r="I444" s="10">
        <f>33.8411 * CHOOSE(CONTROL!$C$15, $E$9, 100%, $G$9) + CHOOSE(CONTROL!$C$38, 0.0347, 0)</f>
        <v>33.875799999999998</v>
      </c>
      <c r="J444" s="26">
        <f>206.4335</f>
        <v>206.43350000000001</v>
      </c>
    </row>
    <row r="445" spans="1:10" ht="15.75" x14ac:dyDescent="0.25">
      <c r="A445" s="14">
        <v>54847</v>
      </c>
      <c r="B445" s="10">
        <f>36.8469 * CHOOSE(CONTROL!$C$15, $E$9, 100%, $G$9) + CHOOSE(CONTROL!$C$38, 0.0256, 0)</f>
        <v>36.872499999999995</v>
      </c>
      <c r="C445" s="10">
        <f>34.0619 * CHOOSE(CONTROL!$C$15, $E$9, 100%, $G$9) + CHOOSE(CONTROL!$C$38, 0.0347, 0)</f>
        <v>34.096600000000002</v>
      </c>
      <c r="D445" s="10">
        <f>34.0541 * CHOOSE(CONTROL!$C$15, $E$9, 100%, $G$9) + CHOOSE(CONTROL!$C$38, 0.0347, 0)</f>
        <v>34.088799999999999</v>
      </c>
      <c r="E445" s="28">
        <f>36.6906 * CHOOSE(CONTROL!$C$15, $E$9, 100%, $G$9) + CHOOSE(CONTROL!$C$38, 0.0347, 0)</f>
        <v>36.725300000000004</v>
      </c>
      <c r="F445" s="27">
        <f>36.6906 * CHOOSE(CONTROL!$C$15, $E$9, 100%, $G$9) + CHOOSE(CONTROL!$C$38, 0.0256, 0)</f>
        <v>36.716200000000001</v>
      </c>
      <c r="G445" s="10">
        <f>34.0603 * CHOOSE(CONTROL!$C$15, $E$9, 100%, $G$9) + CHOOSE(CONTROL!$C$38, 0.0347, 0)</f>
        <v>34.094999999999999</v>
      </c>
      <c r="H445" s="10">
        <f>34.0603 * CHOOSE(CONTROL!$C$15, $E$9, 100%, $G$9) + CHOOSE(CONTROL!$C$38, 0.0347, 0)</f>
        <v>34.094999999999999</v>
      </c>
      <c r="I445" s="10">
        <f>34.0619 * CHOOSE(CONTROL!$C$15, $E$9, 100%, $G$9) + CHOOSE(CONTROL!$C$38, 0.0347, 0)</f>
        <v>34.096600000000002</v>
      </c>
      <c r="J445" s="26">
        <f>205.8597</f>
        <v>205.8597</v>
      </c>
    </row>
    <row r="446" spans="1:10" ht="15.75" x14ac:dyDescent="0.25">
      <c r="A446" s="14">
        <v>54878</v>
      </c>
      <c r="B446" s="10">
        <f>36.3358 * CHOOSE(CONTROL!$C$15, $E$9, 100%, $G$9) + CHOOSE(CONTROL!$C$38, 0.0256, 0)</f>
        <v>36.361399999999996</v>
      </c>
      <c r="C446" s="10">
        <f>33.5509 * CHOOSE(CONTROL!$C$15, $E$9, 100%, $G$9) + CHOOSE(CONTROL!$C$38, 0.0347, 0)</f>
        <v>33.585599999999999</v>
      </c>
      <c r="D446" s="10">
        <f>33.543 * CHOOSE(CONTROL!$C$15, $E$9, 100%, $G$9) + CHOOSE(CONTROL!$C$38, 0.0347, 0)</f>
        <v>33.5777</v>
      </c>
      <c r="E446" s="28">
        <f>36.1796 * CHOOSE(CONTROL!$C$15, $E$9, 100%, $G$9) + CHOOSE(CONTROL!$C$38, 0.0347, 0)</f>
        <v>36.214300000000001</v>
      </c>
      <c r="F446" s="27">
        <f>36.1796 * CHOOSE(CONTROL!$C$15, $E$9, 100%, $G$9) + CHOOSE(CONTROL!$C$38, 0.0256, 0)</f>
        <v>36.205199999999998</v>
      </c>
      <c r="G446" s="10">
        <f>33.5493 * CHOOSE(CONTROL!$C$15, $E$9, 100%, $G$9) + CHOOSE(CONTROL!$C$38, 0.0347, 0)</f>
        <v>33.584000000000003</v>
      </c>
      <c r="H446" s="10">
        <f>33.5493 * CHOOSE(CONTROL!$C$15, $E$9, 100%, $G$9) + CHOOSE(CONTROL!$C$38, 0.0347, 0)</f>
        <v>33.584000000000003</v>
      </c>
      <c r="I446" s="10">
        <f>33.5509 * CHOOSE(CONTROL!$C$15, $E$9, 100%, $G$9) + CHOOSE(CONTROL!$C$38, 0.0347, 0)</f>
        <v>33.585599999999999</v>
      </c>
      <c r="J446" s="26">
        <f>216.7097</f>
        <v>216.7097</v>
      </c>
    </row>
    <row r="447" spans="1:10" ht="15.75" x14ac:dyDescent="0.25">
      <c r="A447" s="14">
        <v>54908</v>
      </c>
      <c r="B447" s="10">
        <f>35.8407 * CHOOSE(CONTROL!$C$15, $E$9, 100%, $G$9) + CHOOSE(CONTROL!$C$38, 0.0256, 0)</f>
        <v>35.866299999999995</v>
      </c>
      <c r="C447" s="10">
        <f>33.0557 * CHOOSE(CONTROL!$C$15, $E$9, 100%, $G$9) + CHOOSE(CONTROL!$C$38, 0.0347, 0)</f>
        <v>33.090400000000002</v>
      </c>
      <c r="D447" s="10">
        <f>33.0479 * CHOOSE(CONTROL!$C$15, $E$9, 100%, $G$9) + CHOOSE(CONTROL!$C$38, 0.0347, 0)</f>
        <v>33.082599999999999</v>
      </c>
      <c r="E447" s="28">
        <f>35.6844 * CHOOSE(CONTROL!$C$15, $E$9, 100%, $G$9) + CHOOSE(CONTROL!$C$38, 0.0347, 0)</f>
        <v>35.719099999999997</v>
      </c>
      <c r="F447" s="27">
        <f>35.6844 * CHOOSE(CONTROL!$C$15, $E$9, 100%, $G$9) + CHOOSE(CONTROL!$C$38, 0.0256, 0)</f>
        <v>35.709999999999994</v>
      </c>
      <c r="G447" s="10">
        <f>33.0541 * CHOOSE(CONTROL!$C$15, $E$9, 100%, $G$9) + CHOOSE(CONTROL!$C$38, 0.0347, 0)</f>
        <v>33.088799999999999</v>
      </c>
      <c r="H447" s="10">
        <f>33.0541 * CHOOSE(CONTROL!$C$15, $E$9, 100%, $G$9) + CHOOSE(CONTROL!$C$38, 0.0347, 0)</f>
        <v>33.088799999999999</v>
      </c>
      <c r="I447" s="10">
        <f>33.0557 * CHOOSE(CONTROL!$C$15, $E$9, 100%, $G$9) + CHOOSE(CONTROL!$C$38, 0.0347, 0)</f>
        <v>33.090400000000002</v>
      </c>
      <c r="J447" s="26">
        <f>230.7796</f>
        <v>230.77959999999999</v>
      </c>
    </row>
    <row r="448" spans="1:10" ht="15.75" x14ac:dyDescent="0.25">
      <c r="A448" s="14">
        <v>54939</v>
      </c>
      <c r="B448" s="10">
        <f>35.3245 * CHOOSE(CONTROL!$C$15, $E$9, 100%, $G$9) + CHOOSE(CONTROL!$C$38, 0.0256, 0)</f>
        <v>35.350099999999998</v>
      </c>
      <c r="C448" s="10">
        <f>32.5396 * CHOOSE(CONTROL!$C$15, $E$9, 100%, $G$9) + CHOOSE(CONTROL!$C$38, 0.0347, 0)</f>
        <v>32.574300000000001</v>
      </c>
      <c r="D448" s="10">
        <f>32.5317 * CHOOSE(CONTROL!$C$15, $E$9, 100%, $G$9) + CHOOSE(CONTROL!$C$38, 0.0347, 0)</f>
        <v>32.566400000000002</v>
      </c>
      <c r="E448" s="28">
        <f>35.1683 * CHOOSE(CONTROL!$C$15, $E$9, 100%, $G$9) + CHOOSE(CONTROL!$C$38, 0.0347, 0)</f>
        <v>35.203000000000003</v>
      </c>
      <c r="F448" s="27">
        <f>35.1683 * CHOOSE(CONTROL!$C$15, $E$9, 100%, $G$9) + CHOOSE(CONTROL!$C$38, 0.0256, 0)</f>
        <v>35.193899999999999</v>
      </c>
      <c r="G448" s="10">
        <f>32.538 * CHOOSE(CONTROL!$C$15, $E$9, 100%, $G$9) + CHOOSE(CONTROL!$C$38, 0.0347, 0)</f>
        <v>32.572699999999998</v>
      </c>
      <c r="H448" s="10">
        <f>32.538 * CHOOSE(CONTROL!$C$15, $E$9, 100%, $G$9) + CHOOSE(CONTROL!$C$38, 0.0347, 0)</f>
        <v>32.572699999999998</v>
      </c>
      <c r="I448" s="10">
        <f>32.5396 * CHOOSE(CONTROL!$C$15, $E$9, 100%, $G$9) + CHOOSE(CONTROL!$C$38, 0.0347, 0)</f>
        <v>32.574300000000001</v>
      </c>
      <c r="J448" s="26">
        <f>238.5241</f>
        <v>238.5241</v>
      </c>
    </row>
    <row r="449" spans="1:10" ht="15.75" x14ac:dyDescent="0.25">
      <c r="A449" s="14">
        <v>54969</v>
      </c>
      <c r="B449" s="10">
        <f>34.9627 * CHOOSE(CONTROL!$C$15, $E$9, 100%, $G$9) + CHOOSE(CONTROL!$C$38, 0.0256, 0)</f>
        <v>34.988299999999995</v>
      </c>
      <c r="C449" s="10">
        <f>32.1777 * CHOOSE(CONTROL!$C$15, $E$9, 100%, $G$9) + CHOOSE(CONTROL!$C$38, 0.0347, 0)</f>
        <v>32.212400000000002</v>
      </c>
      <c r="D449" s="10">
        <f>32.1699 * CHOOSE(CONTROL!$C$15, $E$9, 100%, $G$9) + CHOOSE(CONTROL!$C$38, 0.0347, 0)</f>
        <v>32.204599999999999</v>
      </c>
      <c r="E449" s="28">
        <f>34.8065 * CHOOSE(CONTROL!$C$15, $E$9, 100%, $G$9) + CHOOSE(CONTROL!$C$38, 0.0347, 0)</f>
        <v>34.841200000000001</v>
      </c>
      <c r="F449" s="27">
        <f>34.8065 * CHOOSE(CONTROL!$C$15, $E$9, 100%, $G$9) + CHOOSE(CONTROL!$C$38, 0.0256, 0)</f>
        <v>34.832099999999997</v>
      </c>
      <c r="G449" s="10">
        <f>32.1762 * CHOOSE(CONTROL!$C$15, $E$9, 100%, $G$9) + CHOOSE(CONTROL!$C$38, 0.0347, 0)</f>
        <v>32.210900000000002</v>
      </c>
      <c r="H449" s="10">
        <f>32.1762 * CHOOSE(CONTROL!$C$15, $E$9, 100%, $G$9) + CHOOSE(CONTROL!$C$38, 0.0347, 0)</f>
        <v>32.210900000000002</v>
      </c>
      <c r="I449" s="10">
        <f>32.1777 * CHOOSE(CONTROL!$C$15, $E$9, 100%, $G$9) + CHOOSE(CONTROL!$C$38, 0.0347, 0)</f>
        <v>32.212400000000002</v>
      </c>
      <c r="J449" s="26">
        <f>241.9609</f>
        <v>241.96090000000001</v>
      </c>
    </row>
    <row r="450" spans="1:10" ht="15.75" x14ac:dyDescent="0.25">
      <c r="A450" s="14">
        <v>55000</v>
      </c>
      <c r="B450" s="10">
        <f>34.7562 * CHOOSE(CONTROL!$C$15, $E$9, 100%, $G$9) + CHOOSE(CONTROL!$C$38, 0.0256, 0)</f>
        <v>34.781799999999997</v>
      </c>
      <c r="C450" s="10">
        <f>31.9712 * CHOOSE(CONTROL!$C$15, $E$9, 100%, $G$9) + CHOOSE(CONTROL!$C$38, 0.0347, 0)</f>
        <v>32.005899999999997</v>
      </c>
      <c r="D450" s="10">
        <f>31.9634 * CHOOSE(CONTROL!$C$15, $E$9, 100%, $G$9) + CHOOSE(CONTROL!$C$38, 0.0347, 0)</f>
        <v>31.998100000000001</v>
      </c>
      <c r="E450" s="28">
        <f>34.6 * CHOOSE(CONTROL!$C$15, $E$9, 100%, $G$9) + CHOOSE(CONTROL!$C$38, 0.0347, 0)</f>
        <v>34.634700000000002</v>
      </c>
      <c r="F450" s="27">
        <f>34.6 * CHOOSE(CONTROL!$C$15, $E$9, 100%, $G$9) + CHOOSE(CONTROL!$C$38, 0.0256, 0)</f>
        <v>34.625599999999999</v>
      </c>
      <c r="G450" s="10">
        <f>31.9697 * CHOOSE(CONTROL!$C$15, $E$9, 100%, $G$9) + CHOOSE(CONTROL!$C$38, 0.0347, 0)</f>
        <v>32.004399999999997</v>
      </c>
      <c r="H450" s="10">
        <f>31.9697 * CHOOSE(CONTROL!$C$15, $E$9, 100%, $G$9) + CHOOSE(CONTROL!$C$38, 0.0347, 0)</f>
        <v>32.004399999999997</v>
      </c>
      <c r="I450" s="10">
        <f>31.9712 * CHOOSE(CONTROL!$C$15, $E$9, 100%, $G$9) + CHOOSE(CONTROL!$C$38, 0.0347, 0)</f>
        <v>32.005899999999997</v>
      </c>
      <c r="J450" s="26">
        <f>240.8294</f>
        <v>240.82939999999999</v>
      </c>
    </row>
    <row r="451" spans="1:10" ht="15.75" x14ac:dyDescent="0.25">
      <c r="A451" s="14">
        <v>55031</v>
      </c>
      <c r="B451" s="10">
        <f>34.8581 * CHOOSE(CONTROL!$C$15, $E$9, 100%, $G$9) + CHOOSE(CONTROL!$C$38, 0.0256, 0)</f>
        <v>34.883699999999997</v>
      </c>
      <c r="C451" s="10">
        <f>32.0731 * CHOOSE(CONTROL!$C$15, $E$9, 100%, $G$9) + CHOOSE(CONTROL!$C$38, 0.0347, 0)</f>
        <v>32.107799999999997</v>
      </c>
      <c r="D451" s="10">
        <f>32.0653 * CHOOSE(CONTROL!$C$15, $E$9, 100%, $G$9) + CHOOSE(CONTROL!$C$38, 0.0347, 0)</f>
        <v>32.1</v>
      </c>
      <c r="E451" s="28">
        <f>34.7019 * CHOOSE(CONTROL!$C$15, $E$9, 100%, $G$9) + CHOOSE(CONTROL!$C$38, 0.0347, 0)</f>
        <v>34.736600000000003</v>
      </c>
      <c r="F451" s="27">
        <f>34.7019 * CHOOSE(CONTROL!$C$15, $E$9, 100%, $G$9) + CHOOSE(CONTROL!$C$38, 0.0256, 0)</f>
        <v>34.727499999999999</v>
      </c>
      <c r="G451" s="10">
        <f>32.0716 * CHOOSE(CONTROL!$C$15, $E$9, 100%, $G$9) + CHOOSE(CONTROL!$C$38, 0.0347, 0)</f>
        <v>32.106299999999997</v>
      </c>
      <c r="H451" s="10">
        <f>32.0716 * CHOOSE(CONTROL!$C$15, $E$9, 100%, $G$9) + CHOOSE(CONTROL!$C$38, 0.0347, 0)</f>
        <v>32.106299999999997</v>
      </c>
      <c r="I451" s="10">
        <f>32.0731 * CHOOSE(CONTROL!$C$15, $E$9, 100%, $G$9) + CHOOSE(CONTROL!$C$38, 0.0347, 0)</f>
        <v>32.107799999999997</v>
      </c>
      <c r="J451" s="26">
        <f>235.223</f>
        <v>235.22300000000001</v>
      </c>
    </row>
    <row r="452" spans="1:10" ht="15.75" x14ac:dyDescent="0.25">
      <c r="A452" s="14">
        <v>55061</v>
      </c>
      <c r="B452" s="10">
        <f>35.1349 * CHOOSE(CONTROL!$C$15, $E$9, 100%, $G$9) + CHOOSE(CONTROL!$C$38, 0.0256, 0)</f>
        <v>35.160499999999999</v>
      </c>
      <c r="C452" s="10">
        <f>32.3499 * CHOOSE(CONTROL!$C$15, $E$9, 100%, $G$9) + CHOOSE(CONTROL!$C$38, 0.0347, 0)</f>
        <v>32.384599999999999</v>
      </c>
      <c r="D452" s="10">
        <f>32.3421 * CHOOSE(CONTROL!$C$15, $E$9, 100%, $G$9) + CHOOSE(CONTROL!$C$38, 0.0347, 0)</f>
        <v>32.376800000000003</v>
      </c>
      <c r="E452" s="28">
        <f>34.9787 * CHOOSE(CONTROL!$C$15, $E$9, 100%, $G$9) + CHOOSE(CONTROL!$C$38, 0.0347, 0)</f>
        <v>35.013400000000004</v>
      </c>
      <c r="F452" s="27">
        <f>34.9787 * CHOOSE(CONTROL!$C$15, $E$9, 100%, $G$9) + CHOOSE(CONTROL!$C$38, 0.0256, 0)</f>
        <v>35.004300000000001</v>
      </c>
      <c r="G452" s="10">
        <f>32.3484 * CHOOSE(CONTROL!$C$15, $E$9, 100%, $G$9) + CHOOSE(CONTROL!$C$38, 0.0347, 0)</f>
        <v>32.383099999999999</v>
      </c>
      <c r="H452" s="10">
        <f>32.3484 * CHOOSE(CONTROL!$C$15, $E$9, 100%, $G$9) + CHOOSE(CONTROL!$C$38, 0.0347, 0)</f>
        <v>32.383099999999999</v>
      </c>
      <c r="I452" s="10">
        <f>32.3499 * CHOOSE(CONTROL!$C$15, $E$9, 100%, $G$9) + CHOOSE(CONTROL!$C$38, 0.0347, 0)</f>
        <v>32.384599999999999</v>
      </c>
      <c r="J452" s="26">
        <f>227.4045</f>
        <v>227.40450000000001</v>
      </c>
    </row>
    <row r="453" spans="1:10" ht="15.75" x14ac:dyDescent="0.25">
      <c r="A453" s="14">
        <v>55092</v>
      </c>
      <c r="B453" s="10">
        <f>35.3667 * CHOOSE(CONTROL!$C$15, $E$9, 100%, $G$9) + CHOOSE(CONTROL!$C$38, 0.0256, 0)</f>
        <v>35.392299999999999</v>
      </c>
      <c r="C453" s="10">
        <f>32.5818 * CHOOSE(CONTROL!$C$15, $E$9, 100%, $G$9) + CHOOSE(CONTROL!$C$38, 0.0347, 0)</f>
        <v>32.616500000000002</v>
      </c>
      <c r="D453" s="10">
        <f>32.574 * CHOOSE(CONTROL!$C$15, $E$9, 100%, $G$9) + CHOOSE(CONTROL!$C$38, 0.0347, 0)</f>
        <v>32.608699999999999</v>
      </c>
      <c r="E453" s="28">
        <f>35.2105 * CHOOSE(CONTROL!$C$15, $E$9, 100%, $G$9) + CHOOSE(CONTROL!$C$38, 0.0347, 0)</f>
        <v>35.245200000000004</v>
      </c>
      <c r="F453" s="27">
        <f>35.2105 * CHOOSE(CONTROL!$C$15, $E$9, 100%, $G$9) + CHOOSE(CONTROL!$C$38, 0.0256, 0)</f>
        <v>35.2361</v>
      </c>
      <c r="G453" s="10">
        <f>32.5802 * CHOOSE(CONTROL!$C$15, $E$9, 100%, $G$9) + CHOOSE(CONTROL!$C$38, 0.0347, 0)</f>
        <v>32.614899999999999</v>
      </c>
      <c r="H453" s="10">
        <f>32.5802 * CHOOSE(CONTROL!$C$15, $E$9, 100%, $G$9) + CHOOSE(CONTROL!$C$38, 0.0347, 0)</f>
        <v>32.614899999999999</v>
      </c>
      <c r="I453" s="10">
        <f>32.5818 * CHOOSE(CONTROL!$C$15, $E$9, 100%, $G$9) + CHOOSE(CONTROL!$C$38, 0.0347, 0)</f>
        <v>32.616500000000002</v>
      </c>
      <c r="J453" s="26">
        <f>219.5407</f>
        <v>219.54069999999999</v>
      </c>
    </row>
    <row r="454" spans="1:10" ht="15.75" x14ac:dyDescent="0.25">
      <c r="A454" s="14">
        <v>55122</v>
      </c>
      <c r="B454" s="10">
        <f>35.5602 * CHOOSE(CONTROL!$C$15, $E$9, 100%, $G$9) + CHOOSE(CONTROL!$C$38, 0.0256, 0)</f>
        <v>35.585799999999999</v>
      </c>
      <c r="C454" s="10">
        <f>32.7752 * CHOOSE(CONTROL!$C$15, $E$9, 100%, $G$9) + CHOOSE(CONTROL!$C$38, 0.0347, 0)</f>
        <v>32.809899999999999</v>
      </c>
      <c r="D454" s="10">
        <f>32.7674 * CHOOSE(CONTROL!$C$15, $E$9, 100%, $G$9) + CHOOSE(CONTROL!$C$38, 0.0347, 0)</f>
        <v>32.802100000000003</v>
      </c>
      <c r="E454" s="28">
        <f>35.4039 * CHOOSE(CONTROL!$C$15, $E$9, 100%, $G$9) + CHOOSE(CONTROL!$C$38, 0.0347, 0)</f>
        <v>35.438600000000001</v>
      </c>
      <c r="F454" s="27">
        <f>35.4039 * CHOOSE(CONTROL!$C$15, $E$9, 100%, $G$9) + CHOOSE(CONTROL!$C$38, 0.0256, 0)</f>
        <v>35.429499999999997</v>
      </c>
      <c r="G454" s="10">
        <f>32.7736 * CHOOSE(CONTROL!$C$15, $E$9, 100%, $G$9) + CHOOSE(CONTROL!$C$38, 0.0347, 0)</f>
        <v>32.808300000000003</v>
      </c>
      <c r="H454" s="10">
        <f>32.7736 * CHOOSE(CONTROL!$C$15, $E$9, 100%, $G$9) + CHOOSE(CONTROL!$C$38, 0.0347, 0)</f>
        <v>32.808300000000003</v>
      </c>
      <c r="I454" s="10">
        <f>32.7752 * CHOOSE(CONTROL!$C$15, $E$9, 100%, $G$9) + CHOOSE(CONTROL!$C$38, 0.0347, 0)</f>
        <v>32.809899999999999</v>
      </c>
      <c r="J454" s="26">
        <f>217.9764</f>
        <v>217.97640000000001</v>
      </c>
    </row>
    <row r="455" spans="1:10" ht="15.75" x14ac:dyDescent="0.25">
      <c r="A455" s="14">
        <v>55153</v>
      </c>
      <c r="B455" s="10">
        <f>36.1563 * CHOOSE(CONTROL!$C$15, $E$9, 100%, $G$9) + CHOOSE(CONTROL!$C$38, 0.0256, 0)</f>
        <v>36.181899999999999</v>
      </c>
      <c r="C455" s="10">
        <f>33.3713 * CHOOSE(CONTROL!$C$15, $E$9, 100%, $G$9) + CHOOSE(CONTROL!$C$38, 0.0347, 0)</f>
        <v>33.405999999999999</v>
      </c>
      <c r="D455" s="10">
        <f>33.3635 * CHOOSE(CONTROL!$C$15, $E$9, 100%, $G$9) + CHOOSE(CONTROL!$C$38, 0.0347, 0)</f>
        <v>33.398200000000003</v>
      </c>
      <c r="E455" s="28">
        <f>36 * CHOOSE(CONTROL!$C$15, $E$9, 100%, $G$9) + CHOOSE(CONTROL!$C$38, 0.0347, 0)</f>
        <v>36.034700000000001</v>
      </c>
      <c r="F455" s="27">
        <f>36 * CHOOSE(CONTROL!$C$15, $E$9, 100%, $G$9) + CHOOSE(CONTROL!$C$38, 0.0256, 0)</f>
        <v>36.025599999999997</v>
      </c>
      <c r="G455" s="10">
        <f>33.3697 * CHOOSE(CONTROL!$C$15, $E$9, 100%, $G$9) + CHOOSE(CONTROL!$C$38, 0.0347, 0)</f>
        <v>33.404400000000003</v>
      </c>
      <c r="H455" s="10">
        <f>33.3697 * CHOOSE(CONTROL!$C$15, $E$9, 100%, $G$9) + CHOOSE(CONTROL!$C$38, 0.0347, 0)</f>
        <v>33.404400000000003</v>
      </c>
      <c r="I455" s="10">
        <f>33.3713 * CHOOSE(CONTROL!$C$15, $E$9, 100%, $G$9) + CHOOSE(CONTROL!$C$38, 0.0347, 0)</f>
        <v>33.405999999999999</v>
      </c>
      <c r="J455" s="26">
        <f>211.5079</f>
        <v>211.50790000000001</v>
      </c>
    </row>
    <row r="456" spans="1:10" ht="15.75" x14ac:dyDescent="0.25">
      <c r="A456" s="14">
        <v>55184</v>
      </c>
      <c r="B456" s="10">
        <f>37.245 * CHOOSE(CONTROL!$C$15, $E$9, 100%, $G$9) + CHOOSE(CONTROL!$C$38, 0.0256, 0)</f>
        <v>37.270599999999995</v>
      </c>
      <c r="C456" s="10">
        <f>34.4136 * CHOOSE(CONTROL!$C$15, $E$9, 100%, $G$9) + CHOOSE(CONTROL!$C$38, 0.0347, 0)</f>
        <v>34.448300000000003</v>
      </c>
      <c r="D456" s="10">
        <f>34.4058 * CHOOSE(CONTROL!$C$15, $E$9, 100%, $G$9) + CHOOSE(CONTROL!$C$38, 0.0347, 0)</f>
        <v>34.4405</v>
      </c>
      <c r="E456" s="28">
        <f>37.0888 * CHOOSE(CONTROL!$C$15, $E$9, 100%, $G$9) + CHOOSE(CONTROL!$C$38, 0.0347, 0)</f>
        <v>37.1235</v>
      </c>
      <c r="F456" s="27">
        <f>37.0888 * CHOOSE(CONTROL!$C$15, $E$9, 100%, $G$9) + CHOOSE(CONTROL!$C$38, 0.0256, 0)</f>
        <v>37.114399999999996</v>
      </c>
      <c r="G456" s="10">
        <f>34.412 * CHOOSE(CONTROL!$C$15, $E$9, 100%, $G$9) + CHOOSE(CONTROL!$C$38, 0.0347, 0)</f>
        <v>34.4467</v>
      </c>
      <c r="H456" s="10">
        <f>34.412 * CHOOSE(CONTROL!$C$15, $E$9, 100%, $G$9) + CHOOSE(CONTROL!$C$38, 0.0347, 0)</f>
        <v>34.4467</v>
      </c>
      <c r="I456" s="10">
        <f>34.4136 * CHOOSE(CONTROL!$C$15, $E$9, 100%, $G$9) + CHOOSE(CONTROL!$C$38, 0.0347, 0)</f>
        <v>34.448300000000003</v>
      </c>
      <c r="J456" s="26">
        <f>210.0911</f>
        <v>210.09110000000001</v>
      </c>
    </row>
    <row r="457" spans="1:10" ht="15.75" x14ac:dyDescent="0.25">
      <c r="A457" s="14">
        <v>55212</v>
      </c>
      <c r="B457" s="10">
        <f>37.4658 * CHOOSE(CONTROL!$C$15, $E$9, 100%, $G$9) + CHOOSE(CONTROL!$C$38, 0.0256, 0)</f>
        <v>37.491399999999999</v>
      </c>
      <c r="C457" s="10">
        <f>34.6344 * CHOOSE(CONTROL!$C$15, $E$9, 100%, $G$9) + CHOOSE(CONTROL!$C$38, 0.0347, 0)</f>
        <v>34.6691</v>
      </c>
      <c r="D457" s="10">
        <f>34.6266 * CHOOSE(CONTROL!$C$15, $E$9, 100%, $G$9) + CHOOSE(CONTROL!$C$38, 0.0347, 0)</f>
        <v>34.661300000000004</v>
      </c>
      <c r="E457" s="28">
        <f>37.3095 * CHOOSE(CONTROL!$C$15, $E$9, 100%, $G$9) + CHOOSE(CONTROL!$C$38, 0.0347, 0)</f>
        <v>37.344200000000001</v>
      </c>
      <c r="F457" s="27">
        <f>37.3095 * CHOOSE(CONTROL!$C$15, $E$9, 100%, $G$9) + CHOOSE(CONTROL!$C$38, 0.0256, 0)</f>
        <v>37.335099999999997</v>
      </c>
      <c r="G457" s="10">
        <f>34.6328 * CHOOSE(CONTROL!$C$15, $E$9, 100%, $G$9) + CHOOSE(CONTROL!$C$38, 0.0347, 0)</f>
        <v>34.667500000000004</v>
      </c>
      <c r="H457" s="10">
        <f>34.6328 * CHOOSE(CONTROL!$C$15, $E$9, 100%, $G$9) + CHOOSE(CONTROL!$C$38, 0.0347, 0)</f>
        <v>34.667500000000004</v>
      </c>
      <c r="I457" s="10">
        <f>34.6344 * CHOOSE(CONTROL!$C$15, $E$9, 100%, $G$9) + CHOOSE(CONTROL!$C$38, 0.0347, 0)</f>
        <v>34.6691</v>
      </c>
      <c r="J457" s="26">
        <f>209.5072</f>
        <v>209.50720000000001</v>
      </c>
    </row>
    <row r="458" spans="1:10" ht="15.75" x14ac:dyDescent="0.25">
      <c r="A458" s="14">
        <v>55243</v>
      </c>
      <c r="B458" s="10">
        <f>36.9548 * CHOOSE(CONTROL!$C$15, $E$9, 100%, $G$9) + CHOOSE(CONTROL!$C$38, 0.0256, 0)</f>
        <v>36.980399999999996</v>
      </c>
      <c r="C458" s="10">
        <f>34.1233 * CHOOSE(CONTROL!$C$15, $E$9, 100%, $G$9) + CHOOSE(CONTROL!$C$38, 0.0347, 0)</f>
        <v>34.158000000000001</v>
      </c>
      <c r="D458" s="10">
        <f>34.1155 * CHOOSE(CONTROL!$C$15, $E$9, 100%, $G$9) + CHOOSE(CONTROL!$C$38, 0.0347, 0)</f>
        <v>34.150199999999998</v>
      </c>
      <c r="E458" s="28">
        <f>36.7985 * CHOOSE(CONTROL!$C$15, $E$9, 100%, $G$9) + CHOOSE(CONTROL!$C$38, 0.0347, 0)</f>
        <v>36.833199999999998</v>
      </c>
      <c r="F458" s="27">
        <f>36.7985 * CHOOSE(CONTROL!$C$15, $E$9, 100%, $G$9) + CHOOSE(CONTROL!$C$38, 0.0256, 0)</f>
        <v>36.824099999999994</v>
      </c>
      <c r="G458" s="10">
        <f>34.1218 * CHOOSE(CONTROL!$C$15, $E$9, 100%, $G$9) + CHOOSE(CONTROL!$C$38, 0.0347, 0)</f>
        <v>34.156500000000001</v>
      </c>
      <c r="H458" s="10">
        <f>34.1218 * CHOOSE(CONTROL!$C$15, $E$9, 100%, $G$9) + CHOOSE(CONTROL!$C$38, 0.0347, 0)</f>
        <v>34.156500000000001</v>
      </c>
      <c r="I458" s="10">
        <f>34.1233 * CHOOSE(CONTROL!$C$15, $E$9, 100%, $G$9) + CHOOSE(CONTROL!$C$38, 0.0347, 0)</f>
        <v>34.158000000000001</v>
      </c>
      <c r="J458" s="26">
        <f>220.5494</f>
        <v>220.54939999999999</v>
      </c>
    </row>
    <row r="459" spans="1:10" ht="15.75" x14ac:dyDescent="0.25">
      <c r="A459" s="14">
        <v>55273</v>
      </c>
      <c r="B459" s="10">
        <f>36.4596 * CHOOSE(CONTROL!$C$15, $E$9, 100%, $G$9) + CHOOSE(CONTROL!$C$38, 0.0256, 0)</f>
        <v>36.485199999999999</v>
      </c>
      <c r="C459" s="10">
        <f>33.6282 * CHOOSE(CONTROL!$C$15, $E$9, 100%, $G$9) + CHOOSE(CONTROL!$C$38, 0.0347, 0)</f>
        <v>33.6629</v>
      </c>
      <c r="D459" s="10">
        <f>33.6203 * CHOOSE(CONTROL!$C$15, $E$9, 100%, $G$9) + CHOOSE(CONTROL!$C$38, 0.0347, 0)</f>
        <v>33.655000000000001</v>
      </c>
      <c r="E459" s="28">
        <f>36.3033 * CHOOSE(CONTROL!$C$15, $E$9, 100%, $G$9) + CHOOSE(CONTROL!$C$38, 0.0347, 0)</f>
        <v>36.338000000000001</v>
      </c>
      <c r="F459" s="27">
        <f>36.3033 * CHOOSE(CONTROL!$C$15, $E$9, 100%, $G$9) + CHOOSE(CONTROL!$C$38, 0.0256, 0)</f>
        <v>36.328899999999997</v>
      </c>
      <c r="G459" s="10">
        <f>33.6266 * CHOOSE(CONTROL!$C$15, $E$9, 100%, $G$9) + CHOOSE(CONTROL!$C$38, 0.0347, 0)</f>
        <v>33.661300000000004</v>
      </c>
      <c r="H459" s="10">
        <f>33.6266 * CHOOSE(CONTROL!$C$15, $E$9, 100%, $G$9) + CHOOSE(CONTROL!$C$38, 0.0347, 0)</f>
        <v>33.661300000000004</v>
      </c>
      <c r="I459" s="10">
        <f>33.6282 * CHOOSE(CONTROL!$C$15, $E$9, 100%, $G$9) + CHOOSE(CONTROL!$C$38, 0.0347, 0)</f>
        <v>33.6629</v>
      </c>
      <c r="J459" s="26">
        <f>234.8685</f>
        <v>234.86850000000001</v>
      </c>
    </row>
    <row r="460" spans="1:10" ht="15.75" x14ac:dyDescent="0.25">
      <c r="A460" s="14">
        <v>55304</v>
      </c>
      <c r="B460" s="10">
        <f>35.9435 * CHOOSE(CONTROL!$C$15, $E$9, 100%, $G$9) + CHOOSE(CONTROL!$C$38, 0.0256, 0)</f>
        <v>35.969099999999997</v>
      </c>
      <c r="C460" s="10">
        <f>33.112 * CHOOSE(CONTROL!$C$15, $E$9, 100%, $G$9) + CHOOSE(CONTROL!$C$38, 0.0347, 0)</f>
        <v>33.146700000000003</v>
      </c>
      <c r="D460" s="10">
        <f>33.1042 * CHOOSE(CONTROL!$C$15, $E$9, 100%, $G$9) + CHOOSE(CONTROL!$C$38, 0.0347, 0)</f>
        <v>33.1389</v>
      </c>
      <c r="E460" s="28">
        <f>35.7872 * CHOOSE(CONTROL!$C$15, $E$9, 100%, $G$9) + CHOOSE(CONTROL!$C$38, 0.0347, 0)</f>
        <v>35.821899999999999</v>
      </c>
      <c r="F460" s="27">
        <f>35.7872 * CHOOSE(CONTROL!$C$15, $E$9, 100%, $G$9) + CHOOSE(CONTROL!$C$38, 0.0256, 0)</f>
        <v>35.812799999999996</v>
      </c>
      <c r="G460" s="10">
        <f>33.1105 * CHOOSE(CONTROL!$C$15, $E$9, 100%, $G$9) + CHOOSE(CONTROL!$C$38, 0.0347, 0)</f>
        <v>33.145200000000003</v>
      </c>
      <c r="H460" s="10">
        <f>33.1105 * CHOOSE(CONTROL!$C$15, $E$9, 100%, $G$9) + CHOOSE(CONTROL!$C$38, 0.0347, 0)</f>
        <v>33.145200000000003</v>
      </c>
      <c r="I460" s="10">
        <f>33.112 * CHOOSE(CONTROL!$C$15, $E$9, 100%, $G$9) + CHOOSE(CONTROL!$C$38, 0.0347, 0)</f>
        <v>33.146700000000003</v>
      </c>
      <c r="J460" s="26">
        <f>242.7503</f>
        <v>242.75030000000001</v>
      </c>
    </row>
    <row r="461" spans="1:10" ht="15.75" x14ac:dyDescent="0.25">
      <c r="A461" s="14">
        <v>55334</v>
      </c>
      <c r="B461" s="10">
        <f>35.5816 * CHOOSE(CONTROL!$C$15, $E$9, 100%, $G$9) + CHOOSE(CONTROL!$C$38, 0.0256, 0)</f>
        <v>35.607199999999999</v>
      </c>
      <c r="C461" s="10">
        <f>32.7502 * CHOOSE(CONTROL!$C$15, $E$9, 100%, $G$9) + CHOOSE(CONTROL!$C$38, 0.0347, 0)</f>
        <v>32.7849</v>
      </c>
      <c r="D461" s="10">
        <f>32.7424 * CHOOSE(CONTROL!$C$15, $E$9, 100%, $G$9) + CHOOSE(CONTROL!$C$38, 0.0347, 0)</f>
        <v>32.777100000000004</v>
      </c>
      <c r="E461" s="28">
        <f>35.4254 * CHOOSE(CONTROL!$C$15, $E$9, 100%, $G$9) + CHOOSE(CONTROL!$C$38, 0.0347, 0)</f>
        <v>35.460100000000004</v>
      </c>
      <c r="F461" s="27">
        <f>35.4254 * CHOOSE(CONTROL!$C$15, $E$9, 100%, $G$9) + CHOOSE(CONTROL!$C$38, 0.0256, 0)</f>
        <v>35.451000000000001</v>
      </c>
      <c r="G461" s="10">
        <f>32.7486 * CHOOSE(CONTROL!$C$15, $E$9, 100%, $G$9) + CHOOSE(CONTROL!$C$38, 0.0347, 0)</f>
        <v>32.783300000000004</v>
      </c>
      <c r="H461" s="10">
        <f>32.7486 * CHOOSE(CONTROL!$C$15, $E$9, 100%, $G$9) + CHOOSE(CONTROL!$C$38, 0.0347, 0)</f>
        <v>32.783300000000004</v>
      </c>
      <c r="I461" s="10">
        <f>32.7502 * CHOOSE(CONTROL!$C$15, $E$9, 100%, $G$9) + CHOOSE(CONTROL!$C$38, 0.0347, 0)</f>
        <v>32.7849</v>
      </c>
      <c r="J461" s="26">
        <f>246.248</f>
        <v>246.24799999999999</v>
      </c>
    </row>
    <row r="462" spans="1:10" ht="15.75" x14ac:dyDescent="0.25">
      <c r="A462" s="14">
        <v>55365</v>
      </c>
      <c r="B462" s="10">
        <f>35.3751 * CHOOSE(CONTROL!$C$15, $E$9, 100%, $G$9) + CHOOSE(CONTROL!$C$38, 0.0256, 0)</f>
        <v>35.400700000000001</v>
      </c>
      <c r="C462" s="10">
        <f>32.5437 * CHOOSE(CONTROL!$C$15, $E$9, 100%, $G$9) + CHOOSE(CONTROL!$C$38, 0.0347, 0)</f>
        <v>32.578400000000002</v>
      </c>
      <c r="D462" s="10">
        <f>32.5359 * CHOOSE(CONTROL!$C$15, $E$9, 100%, $G$9) + CHOOSE(CONTROL!$C$38, 0.0347, 0)</f>
        <v>32.570599999999999</v>
      </c>
      <c r="E462" s="28">
        <f>35.2189 * CHOOSE(CONTROL!$C$15, $E$9, 100%, $G$9) + CHOOSE(CONTROL!$C$38, 0.0347, 0)</f>
        <v>35.253599999999999</v>
      </c>
      <c r="F462" s="27">
        <f>35.2189 * CHOOSE(CONTROL!$C$15, $E$9, 100%, $G$9) + CHOOSE(CONTROL!$C$38, 0.0256, 0)</f>
        <v>35.244499999999995</v>
      </c>
      <c r="G462" s="10">
        <f>32.5422 * CHOOSE(CONTROL!$C$15, $E$9, 100%, $G$9) + CHOOSE(CONTROL!$C$38, 0.0347, 0)</f>
        <v>32.576900000000002</v>
      </c>
      <c r="H462" s="10">
        <f>32.5422 * CHOOSE(CONTROL!$C$15, $E$9, 100%, $G$9) + CHOOSE(CONTROL!$C$38, 0.0347, 0)</f>
        <v>32.576900000000002</v>
      </c>
      <c r="I462" s="10">
        <f>32.5437 * CHOOSE(CONTROL!$C$15, $E$9, 100%, $G$9) + CHOOSE(CONTROL!$C$38, 0.0347, 0)</f>
        <v>32.578400000000002</v>
      </c>
      <c r="J462" s="26">
        <f>245.0964</f>
        <v>245.09639999999999</v>
      </c>
    </row>
    <row r="463" spans="1:10" ht="15.75" x14ac:dyDescent="0.25">
      <c r="A463" s="14">
        <v>55396</v>
      </c>
      <c r="B463" s="10">
        <f>35.477 * CHOOSE(CONTROL!$C$15, $E$9, 100%, $G$9) + CHOOSE(CONTROL!$C$38, 0.0256, 0)</f>
        <v>35.502599999999994</v>
      </c>
      <c r="C463" s="10">
        <f>32.6456 * CHOOSE(CONTROL!$C$15, $E$9, 100%, $G$9) + CHOOSE(CONTROL!$C$38, 0.0347, 0)</f>
        <v>32.680300000000003</v>
      </c>
      <c r="D463" s="10">
        <f>32.6378 * CHOOSE(CONTROL!$C$15, $E$9, 100%, $G$9) + CHOOSE(CONTROL!$C$38, 0.0347, 0)</f>
        <v>32.672499999999999</v>
      </c>
      <c r="E463" s="28">
        <f>35.3208 * CHOOSE(CONTROL!$C$15, $E$9, 100%, $G$9) + CHOOSE(CONTROL!$C$38, 0.0347, 0)</f>
        <v>35.355499999999999</v>
      </c>
      <c r="F463" s="27">
        <f>35.3208 * CHOOSE(CONTROL!$C$15, $E$9, 100%, $G$9) + CHOOSE(CONTROL!$C$38, 0.0256, 0)</f>
        <v>35.346399999999996</v>
      </c>
      <c r="G463" s="10">
        <f>32.6441 * CHOOSE(CONTROL!$C$15, $E$9, 100%, $G$9) + CHOOSE(CONTROL!$C$38, 0.0347, 0)</f>
        <v>32.678800000000003</v>
      </c>
      <c r="H463" s="10">
        <f>32.6441 * CHOOSE(CONTROL!$C$15, $E$9, 100%, $G$9) + CHOOSE(CONTROL!$C$38, 0.0347, 0)</f>
        <v>32.678800000000003</v>
      </c>
      <c r="I463" s="10">
        <f>32.6456 * CHOOSE(CONTROL!$C$15, $E$9, 100%, $G$9) + CHOOSE(CONTROL!$C$38, 0.0347, 0)</f>
        <v>32.680300000000003</v>
      </c>
      <c r="J463" s="26">
        <f>239.3907</f>
        <v>239.39070000000001</v>
      </c>
    </row>
    <row r="464" spans="1:10" ht="15.75" x14ac:dyDescent="0.25">
      <c r="A464" s="14">
        <v>55426</v>
      </c>
      <c r="B464" s="10">
        <f>35.7538 * CHOOSE(CONTROL!$C$15, $E$9, 100%, $G$9) + CHOOSE(CONTROL!$C$38, 0.0256, 0)</f>
        <v>35.779399999999995</v>
      </c>
      <c r="C464" s="10">
        <f>32.9224 * CHOOSE(CONTROL!$C$15, $E$9, 100%, $G$9) + CHOOSE(CONTROL!$C$38, 0.0347, 0)</f>
        <v>32.957100000000004</v>
      </c>
      <c r="D464" s="10">
        <f>32.9146 * CHOOSE(CONTROL!$C$15, $E$9, 100%, $G$9) + CHOOSE(CONTROL!$C$38, 0.0347, 0)</f>
        <v>32.949300000000001</v>
      </c>
      <c r="E464" s="28">
        <f>35.5976 * CHOOSE(CONTROL!$C$15, $E$9, 100%, $G$9) + CHOOSE(CONTROL!$C$38, 0.0347, 0)</f>
        <v>35.632300000000001</v>
      </c>
      <c r="F464" s="27">
        <f>35.5976 * CHOOSE(CONTROL!$C$15, $E$9, 100%, $G$9) + CHOOSE(CONTROL!$C$38, 0.0256, 0)</f>
        <v>35.623199999999997</v>
      </c>
      <c r="G464" s="10">
        <f>32.9209 * CHOOSE(CONTROL!$C$15, $E$9, 100%, $G$9) + CHOOSE(CONTROL!$C$38, 0.0347, 0)</f>
        <v>32.955600000000004</v>
      </c>
      <c r="H464" s="10">
        <f>32.9209 * CHOOSE(CONTROL!$C$15, $E$9, 100%, $G$9) + CHOOSE(CONTROL!$C$38, 0.0347, 0)</f>
        <v>32.955600000000004</v>
      </c>
      <c r="I464" s="10">
        <f>32.9224 * CHOOSE(CONTROL!$C$15, $E$9, 100%, $G$9) + CHOOSE(CONTROL!$C$38, 0.0347, 0)</f>
        <v>32.957100000000004</v>
      </c>
      <c r="J464" s="26">
        <f>231.4337</f>
        <v>231.43369999999999</v>
      </c>
    </row>
    <row r="465" spans="1:10" ht="15.75" x14ac:dyDescent="0.25">
      <c r="A465" s="14">
        <v>55457</v>
      </c>
      <c r="B465" s="10">
        <f>35.9857 * CHOOSE(CONTROL!$C$15, $E$9, 100%, $G$9) + CHOOSE(CONTROL!$C$38, 0.0256, 0)</f>
        <v>36.011299999999999</v>
      </c>
      <c r="C465" s="10">
        <f>33.1542 * CHOOSE(CONTROL!$C$15, $E$9, 100%, $G$9) + CHOOSE(CONTROL!$C$38, 0.0347, 0)</f>
        <v>33.188900000000004</v>
      </c>
      <c r="D465" s="10">
        <f>33.1464 * CHOOSE(CONTROL!$C$15, $E$9, 100%, $G$9) + CHOOSE(CONTROL!$C$38, 0.0347, 0)</f>
        <v>33.181100000000001</v>
      </c>
      <c r="E465" s="28">
        <f>35.8294 * CHOOSE(CONTROL!$C$15, $E$9, 100%, $G$9) + CHOOSE(CONTROL!$C$38, 0.0347, 0)</f>
        <v>35.864100000000001</v>
      </c>
      <c r="F465" s="27">
        <f>35.8294 * CHOOSE(CONTROL!$C$15, $E$9, 100%, $G$9) + CHOOSE(CONTROL!$C$38, 0.0256, 0)</f>
        <v>35.854999999999997</v>
      </c>
      <c r="G465" s="10">
        <f>33.1527 * CHOOSE(CONTROL!$C$15, $E$9, 100%, $G$9) + CHOOSE(CONTROL!$C$38, 0.0347, 0)</f>
        <v>33.187400000000004</v>
      </c>
      <c r="H465" s="10">
        <f>33.1527 * CHOOSE(CONTROL!$C$15, $E$9, 100%, $G$9) + CHOOSE(CONTROL!$C$38, 0.0347, 0)</f>
        <v>33.187400000000004</v>
      </c>
      <c r="I465" s="10">
        <f>33.1542 * CHOOSE(CONTROL!$C$15, $E$9, 100%, $G$9) + CHOOSE(CONTROL!$C$38, 0.0347, 0)</f>
        <v>33.188900000000004</v>
      </c>
      <c r="J465" s="26">
        <f>223.4305</f>
        <v>223.43049999999999</v>
      </c>
    </row>
    <row r="466" spans="1:10" ht="15.75" x14ac:dyDescent="0.25">
      <c r="A466" s="14">
        <v>55487</v>
      </c>
      <c r="B466" s="10">
        <f>36.1791 * CHOOSE(CONTROL!$C$15, $E$9, 100%, $G$9) + CHOOSE(CONTROL!$C$38, 0.0256, 0)</f>
        <v>36.204699999999995</v>
      </c>
      <c r="C466" s="10">
        <f>33.3477 * CHOOSE(CONTROL!$C$15, $E$9, 100%, $G$9) + CHOOSE(CONTROL!$C$38, 0.0347, 0)</f>
        <v>33.382400000000004</v>
      </c>
      <c r="D466" s="10">
        <f>33.3399 * CHOOSE(CONTROL!$C$15, $E$9, 100%, $G$9) + CHOOSE(CONTROL!$C$38, 0.0347, 0)</f>
        <v>33.374600000000001</v>
      </c>
      <c r="E466" s="28">
        <f>36.0229 * CHOOSE(CONTROL!$C$15, $E$9, 100%, $G$9) + CHOOSE(CONTROL!$C$38, 0.0347, 0)</f>
        <v>36.057600000000001</v>
      </c>
      <c r="F466" s="27">
        <f>36.0229 * CHOOSE(CONTROL!$C$15, $E$9, 100%, $G$9) + CHOOSE(CONTROL!$C$38, 0.0256, 0)</f>
        <v>36.048499999999997</v>
      </c>
      <c r="G466" s="10">
        <f>33.3461 * CHOOSE(CONTROL!$C$15, $E$9, 100%, $G$9) + CHOOSE(CONTROL!$C$38, 0.0347, 0)</f>
        <v>33.380800000000001</v>
      </c>
      <c r="H466" s="10">
        <f>33.3461 * CHOOSE(CONTROL!$C$15, $E$9, 100%, $G$9) + CHOOSE(CONTROL!$C$38, 0.0347, 0)</f>
        <v>33.380800000000001</v>
      </c>
      <c r="I466" s="10">
        <f>33.3477 * CHOOSE(CONTROL!$C$15, $E$9, 100%, $G$9) + CHOOSE(CONTROL!$C$38, 0.0347, 0)</f>
        <v>33.382400000000004</v>
      </c>
      <c r="J466" s="26">
        <f>221.8385</f>
        <v>221.83850000000001</v>
      </c>
    </row>
    <row r="467" spans="1:10" ht="15.75" x14ac:dyDescent="0.25">
      <c r="A467" s="14">
        <v>55518</v>
      </c>
      <c r="B467" s="10">
        <f>36.7752 * CHOOSE(CONTROL!$C$15, $E$9, 100%, $G$9) + CHOOSE(CONTROL!$C$38, 0.0256, 0)</f>
        <v>36.800799999999995</v>
      </c>
      <c r="C467" s="10">
        <f>33.9438 * CHOOSE(CONTROL!$C$15, $E$9, 100%, $G$9) + CHOOSE(CONTROL!$C$38, 0.0347, 0)</f>
        <v>33.978500000000004</v>
      </c>
      <c r="D467" s="10">
        <f>33.9359 * CHOOSE(CONTROL!$C$15, $E$9, 100%, $G$9) + CHOOSE(CONTROL!$C$38, 0.0347, 0)</f>
        <v>33.970599999999997</v>
      </c>
      <c r="E467" s="28">
        <f>36.6189 * CHOOSE(CONTROL!$C$15, $E$9, 100%, $G$9) + CHOOSE(CONTROL!$C$38, 0.0347, 0)</f>
        <v>36.653599999999997</v>
      </c>
      <c r="F467" s="27">
        <f>36.6189 * CHOOSE(CONTROL!$C$15, $E$9, 100%, $G$9) + CHOOSE(CONTROL!$C$38, 0.0256, 0)</f>
        <v>36.644499999999994</v>
      </c>
      <c r="G467" s="10">
        <f>33.9422 * CHOOSE(CONTROL!$C$15, $E$9, 100%, $G$9) + CHOOSE(CONTROL!$C$38, 0.0347, 0)</f>
        <v>33.976900000000001</v>
      </c>
      <c r="H467" s="10">
        <f>33.9422 * CHOOSE(CONTROL!$C$15, $E$9, 100%, $G$9) + CHOOSE(CONTROL!$C$38, 0.0347, 0)</f>
        <v>33.976900000000001</v>
      </c>
      <c r="I467" s="10">
        <f>33.9438 * CHOOSE(CONTROL!$C$15, $E$9, 100%, $G$9) + CHOOSE(CONTROL!$C$38, 0.0347, 0)</f>
        <v>33.978500000000004</v>
      </c>
      <c r="J467" s="26">
        <f>215.2554</f>
        <v>215.25540000000001</v>
      </c>
    </row>
    <row r="468" spans="1:10" ht="15.75" x14ac:dyDescent="0.25">
      <c r="A468" s="14">
        <v>55549</v>
      </c>
      <c r="B468" s="10">
        <f>37.8749 * CHOOSE(CONTROL!$C$15, $E$9, 100%, $G$9) + CHOOSE(CONTROL!$C$38, 0.0256, 0)</f>
        <v>37.900499999999994</v>
      </c>
      <c r="C468" s="10">
        <f>34.9962 * CHOOSE(CONTROL!$C$15, $E$9, 100%, $G$9) + CHOOSE(CONTROL!$C$38, 0.0347, 0)</f>
        <v>35.030900000000003</v>
      </c>
      <c r="D468" s="10">
        <f>34.9884 * CHOOSE(CONTROL!$C$15, $E$9, 100%, $G$9) + CHOOSE(CONTROL!$C$38, 0.0347, 0)</f>
        <v>35.023099999999999</v>
      </c>
      <c r="E468" s="28">
        <f>37.7186 * CHOOSE(CONTROL!$C$15, $E$9, 100%, $G$9) + CHOOSE(CONTROL!$C$38, 0.0347, 0)</f>
        <v>37.753300000000003</v>
      </c>
      <c r="F468" s="27">
        <f>37.7186 * CHOOSE(CONTROL!$C$15, $E$9, 100%, $G$9) + CHOOSE(CONTROL!$C$38, 0.0256, 0)</f>
        <v>37.744199999999999</v>
      </c>
      <c r="G468" s="10">
        <f>34.9946 * CHOOSE(CONTROL!$C$15, $E$9, 100%, $G$9) + CHOOSE(CONTROL!$C$38, 0.0347, 0)</f>
        <v>35.029299999999999</v>
      </c>
      <c r="H468" s="10">
        <f>34.9946 * CHOOSE(CONTROL!$C$15, $E$9, 100%, $G$9) + CHOOSE(CONTROL!$C$38, 0.0347, 0)</f>
        <v>35.029299999999999</v>
      </c>
      <c r="I468" s="10">
        <f>34.9962 * CHOOSE(CONTROL!$C$15, $E$9, 100%, $G$9) + CHOOSE(CONTROL!$C$38, 0.0347, 0)</f>
        <v>35.030900000000003</v>
      </c>
      <c r="J468" s="26">
        <f>213.8136</f>
        <v>213.81360000000001</v>
      </c>
    </row>
    <row r="469" spans="1:10" ht="15.75" x14ac:dyDescent="0.25">
      <c r="A469" s="14">
        <v>55577</v>
      </c>
      <c r="B469" s="10">
        <f>38.0956 * CHOOSE(CONTROL!$C$15, $E$9, 100%, $G$9) + CHOOSE(CONTROL!$C$38, 0.0256, 0)</f>
        <v>38.121199999999995</v>
      </c>
      <c r="C469" s="10">
        <f>35.217 * CHOOSE(CONTROL!$C$15, $E$9, 100%, $G$9) + CHOOSE(CONTROL!$C$38, 0.0347, 0)</f>
        <v>35.2517</v>
      </c>
      <c r="D469" s="10">
        <f>35.2091 * CHOOSE(CONTROL!$C$15, $E$9, 100%, $G$9) + CHOOSE(CONTROL!$C$38, 0.0347, 0)</f>
        <v>35.2438</v>
      </c>
      <c r="E469" s="28">
        <f>37.9394 * CHOOSE(CONTROL!$C$15, $E$9, 100%, $G$9) + CHOOSE(CONTROL!$C$38, 0.0347, 0)</f>
        <v>37.9741</v>
      </c>
      <c r="F469" s="27">
        <f>37.9394 * CHOOSE(CONTROL!$C$15, $E$9, 100%, $G$9) + CHOOSE(CONTROL!$C$38, 0.0256, 0)</f>
        <v>37.964999999999996</v>
      </c>
      <c r="G469" s="10">
        <f>35.2154 * CHOOSE(CONTROL!$C$15, $E$9, 100%, $G$9) + CHOOSE(CONTROL!$C$38, 0.0347, 0)</f>
        <v>35.250100000000003</v>
      </c>
      <c r="H469" s="10">
        <f>35.2154 * CHOOSE(CONTROL!$C$15, $E$9, 100%, $G$9) + CHOOSE(CONTROL!$C$38, 0.0347, 0)</f>
        <v>35.250100000000003</v>
      </c>
      <c r="I469" s="10">
        <f>35.217 * CHOOSE(CONTROL!$C$15, $E$9, 100%, $G$9) + CHOOSE(CONTROL!$C$38, 0.0347, 0)</f>
        <v>35.2517</v>
      </c>
      <c r="J469" s="26">
        <f>213.2192</f>
        <v>213.2192</v>
      </c>
    </row>
    <row r="470" spans="1:10" ht="15.75" x14ac:dyDescent="0.25">
      <c r="A470" s="14">
        <v>55609</v>
      </c>
      <c r="B470" s="10">
        <f>37.5846 * CHOOSE(CONTROL!$C$15, $E$9, 100%, $G$9) + CHOOSE(CONTROL!$C$38, 0.0256, 0)</f>
        <v>37.610199999999999</v>
      </c>
      <c r="C470" s="10">
        <f>34.7059 * CHOOSE(CONTROL!$C$15, $E$9, 100%, $G$9) + CHOOSE(CONTROL!$C$38, 0.0347, 0)</f>
        <v>34.740600000000001</v>
      </c>
      <c r="D470" s="10">
        <f>34.6981 * CHOOSE(CONTROL!$C$15, $E$9, 100%, $G$9) + CHOOSE(CONTROL!$C$38, 0.0347, 0)</f>
        <v>34.732799999999997</v>
      </c>
      <c r="E470" s="28">
        <f>37.4284 * CHOOSE(CONTROL!$C$15, $E$9, 100%, $G$9) + CHOOSE(CONTROL!$C$38, 0.0347, 0)</f>
        <v>37.463100000000004</v>
      </c>
      <c r="F470" s="27">
        <f>37.4284 * CHOOSE(CONTROL!$C$15, $E$9, 100%, $G$9) + CHOOSE(CONTROL!$C$38, 0.0256, 0)</f>
        <v>37.454000000000001</v>
      </c>
      <c r="G470" s="10">
        <f>34.7044 * CHOOSE(CONTROL!$C$15, $E$9, 100%, $G$9) + CHOOSE(CONTROL!$C$38, 0.0347, 0)</f>
        <v>34.739100000000001</v>
      </c>
      <c r="H470" s="10">
        <f>34.7044 * CHOOSE(CONTROL!$C$15, $E$9, 100%, $G$9) + CHOOSE(CONTROL!$C$38, 0.0347, 0)</f>
        <v>34.739100000000001</v>
      </c>
      <c r="I470" s="10">
        <f>34.7059 * CHOOSE(CONTROL!$C$15, $E$9, 100%, $G$9) + CHOOSE(CONTROL!$C$38, 0.0347, 0)</f>
        <v>34.740600000000001</v>
      </c>
      <c r="J470" s="26">
        <f>224.4571</f>
        <v>224.4571</v>
      </c>
    </row>
    <row r="471" spans="1:10" ht="15.75" x14ac:dyDescent="0.25">
      <c r="A471" s="14">
        <v>55639</v>
      </c>
      <c r="B471" s="10">
        <f>37.0894 * CHOOSE(CONTROL!$C$15, $E$9, 100%, $G$9) + CHOOSE(CONTROL!$C$38, 0.0256, 0)</f>
        <v>37.114999999999995</v>
      </c>
      <c r="C471" s="10">
        <f>34.2107 * CHOOSE(CONTROL!$C$15, $E$9, 100%, $G$9) + CHOOSE(CONTROL!$C$38, 0.0347, 0)</f>
        <v>34.245400000000004</v>
      </c>
      <c r="D471" s="10">
        <f>34.2029 * CHOOSE(CONTROL!$C$15, $E$9, 100%, $G$9) + CHOOSE(CONTROL!$C$38, 0.0347, 0)</f>
        <v>34.2376</v>
      </c>
      <c r="E471" s="28">
        <f>36.9332 * CHOOSE(CONTROL!$C$15, $E$9, 100%, $G$9) + CHOOSE(CONTROL!$C$38, 0.0347, 0)</f>
        <v>36.9679</v>
      </c>
      <c r="F471" s="27">
        <f>36.9332 * CHOOSE(CONTROL!$C$15, $E$9, 100%, $G$9) + CHOOSE(CONTROL!$C$38, 0.0256, 0)</f>
        <v>36.958799999999997</v>
      </c>
      <c r="G471" s="10">
        <f>34.2092 * CHOOSE(CONTROL!$C$15, $E$9, 100%, $G$9) + CHOOSE(CONTROL!$C$38, 0.0347, 0)</f>
        <v>34.243900000000004</v>
      </c>
      <c r="H471" s="10">
        <f>34.2092 * CHOOSE(CONTROL!$C$15, $E$9, 100%, $G$9) + CHOOSE(CONTROL!$C$38, 0.0347, 0)</f>
        <v>34.243900000000004</v>
      </c>
      <c r="I471" s="10">
        <f>34.2107 * CHOOSE(CONTROL!$C$15, $E$9, 100%, $G$9) + CHOOSE(CONTROL!$C$38, 0.0347, 0)</f>
        <v>34.245400000000004</v>
      </c>
      <c r="J471" s="26">
        <f>239.03</f>
        <v>239.03</v>
      </c>
    </row>
    <row r="472" spans="1:10" ht="15.75" x14ac:dyDescent="0.25">
      <c r="A472" s="14">
        <v>55670</v>
      </c>
      <c r="B472" s="10">
        <f>36.5733 * CHOOSE(CONTROL!$C$15, $E$9, 100%, $G$9) + CHOOSE(CONTROL!$C$38, 0.0256, 0)</f>
        <v>36.5989</v>
      </c>
      <c r="C472" s="10">
        <f>33.6946 * CHOOSE(CONTROL!$C$15, $E$9, 100%, $G$9) + CHOOSE(CONTROL!$C$38, 0.0347, 0)</f>
        <v>33.729300000000002</v>
      </c>
      <c r="D472" s="10">
        <f>33.6868 * CHOOSE(CONTROL!$C$15, $E$9, 100%, $G$9) + CHOOSE(CONTROL!$C$38, 0.0347, 0)</f>
        <v>33.721499999999999</v>
      </c>
      <c r="E472" s="28">
        <f>36.4171 * CHOOSE(CONTROL!$C$15, $E$9, 100%, $G$9) + CHOOSE(CONTROL!$C$38, 0.0347, 0)</f>
        <v>36.451799999999999</v>
      </c>
      <c r="F472" s="27">
        <f>36.4171 * CHOOSE(CONTROL!$C$15, $E$9, 100%, $G$9) + CHOOSE(CONTROL!$C$38, 0.0256, 0)</f>
        <v>36.442699999999995</v>
      </c>
      <c r="G472" s="10">
        <f>33.6931 * CHOOSE(CONTROL!$C$15, $E$9, 100%, $G$9) + CHOOSE(CONTROL!$C$38, 0.0347, 0)</f>
        <v>33.727800000000002</v>
      </c>
      <c r="H472" s="10">
        <f>33.6931 * CHOOSE(CONTROL!$C$15, $E$9, 100%, $G$9) + CHOOSE(CONTROL!$C$38, 0.0347, 0)</f>
        <v>33.727800000000002</v>
      </c>
      <c r="I472" s="10">
        <f>33.6946 * CHOOSE(CONTROL!$C$15, $E$9, 100%, $G$9) + CHOOSE(CONTROL!$C$38, 0.0347, 0)</f>
        <v>33.729300000000002</v>
      </c>
      <c r="J472" s="26">
        <f>247.0513</f>
        <v>247.0513</v>
      </c>
    </row>
    <row r="473" spans="1:10" ht="15.75" x14ac:dyDescent="0.25">
      <c r="A473" s="14">
        <v>55700</v>
      </c>
      <c r="B473" s="10">
        <f>36.2115 * CHOOSE(CONTROL!$C$15, $E$9, 100%, $G$9) + CHOOSE(CONTROL!$C$38, 0.0256, 0)</f>
        <v>36.237099999999998</v>
      </c>
      <c r="C473" s="10">
        <f>33.3328 * CHOOSE(CONTROL!$C$15, $E$9, 100%, $G$9) + CHOOSE(CONTROL!$C$38, 0.0347, 0)</f>
        <v>33.3675</v>
      </c>
      <c r="D473" s="10">
        <f>33.325 * CHOOSE(CONTROL!$C$15, $E$9, 100%, $G$9) + CHOOSE(CONTROL!$C$38, 0.0347, 0)</f>
        <v>33.359700000000004</v>
      </c>
      <c r="E473" s="28">
        <f>36.0552 * CHOOSE(CONTROL!$C$15, $E$9, 100%, $G$9) + CHOOSE(CONTROL!$C$38, 0.0347, 0)</f>
        <v>36.0899</v>
      </c>
      <c r="F473" s="27">
        <f>36.0552 * CHOOSE(CONTROL!$C$15, $E$9, 100%, $G$9) + CHOOSE(CONTROL!$C$38, 0.0256, 0)</f>
        <v>36.080799999999996</v>
      </c>
      <c r="G473" s="10">
        <f>33.3312 * CHOOSE(CONTROL!$C$15, $E$9, 100%, $G$9) + CHOOSE(CONTROL!$C$38, 0.0347, 0)</f>
        <v>33.365900000000003</v>
      </c>
      <c r="H473" s="10">
        <f>33.3312 * CHOOSE(CONTROL!$C$15, $E$9, 100%, $G$9) + CHOOSE(CONTROL!$C$38, 0.0347, 0)</f>
        <v>33.365900000000003</v>
      </c>
      <c r="I473" s="10">
        <f>33.3328 * CHOOSE(CONTROL!$C$15, $E$9, 100%, $G$9) + CHOOSE(CONTROL!$C$38, 0.0347, 0)</f>
        <v>33.3675</v>
      </c>
      <c r="J473" s="26">
        <f>250.6111</f>
        <v>250.61109999999999</v>
      </c>
    </row>
    <row r="474" spans="1:10" ht="15.75" x14ac:dyDescent="0.25">
      <c r="A474" s="14">
        <v>55731</v>
      </c>
      <c r="B474" s="10">
        <f>36.005 * CHOOSE(CONTROL!$C$15, $E$9, 100%, $G$9) + CHOOSE(CONTROL!$C$38, 0.0256, 0)</f>
        <v>36.0306</v>
      </c>
      <c r="C474" s="10">
        <f>33.1263 * CHOOSE(CONTROL!$C$15, $E$9, 100%, $G$9) + CHOOSE(CONTROL!$C$38, 0.0347, 0)</f>
        <v>33.161000000000001</v>
      </c>
      <c r="D474" s="10">
        <f>33.1185 * CHOOSE(CONTROL!$C$15, $E$9, 100%, $G$9) + CHOOSE(CONTROL!$C$38, 0.0347, 0)</f>
        <v>33.153199999999998</v>
      </c>
      <c r="E474" s="28">
        <f>35.8487 * CHOOSE(CONTROL!$C$15, $E$9, 100%, $G$9) + CHOOSE(CONTROL!$C$38, 0.0347, 0)</f>
        <v>35.883400000000002</v>
      </c>
      <c r="F474" s="27">
        <f>35.8487 * CHOOSE(CONTROL!$C$15, $E$9, 100%, $G$9) + CHOOSE(CONTROL!$C$38, 0.0256, 0)</f>
        <v>35.874299999999998</v>
      </c>
      <c r="G474" s="10">
        <f>33.1247 * CHOOSE(CONTROL!$C$15, $E$9, 100%, $G$9) + CHOOSE(CONTROL!$C$38, 0.0347, 0)</f>
        <v>33.159399999999998</v>
      </c>
      <c r="H474" s="10">
        <f>33.1247 * CHOOSE(CONTROL!$C$15, $E$9, 100%, $G$9) + CHOOSE(CONTROL!$C$38, 0.0347, 0)</f>
        <v>33.159399999999998</v>
      </c>
      <c r="I474" s="10">
        <f>33.1263 * CHOOSE(CONTROL!$C$15, $E$9, 100%, $G$9) + CHOOSE(CONTROL!$C$38, 0.0347, 0)</f>
        <v>33.161000000000001</v>
      </c>
      <c r="J474" s="26">
        <f>249.439</f>
        <v>249.43899999999999</v>
      </c>
    </row>
    <row r="475" spans="1:10" ht="15.75" x14ac:dyDescent="0.25">
      <c r="A475" s="14">
        <v>55762</v>
      </c>
      <c r="B475" s="10">
        <f>36.1069 * CHOOSE(CONTROL!$C$15, $E$9, 100%, $G$9) + CHOOSE(CONTROL!$C$38, 0.0256, 0)</f>
        <v>36.1325</v>
      </c>
      <c r="C475" s="10">
        <f>33.2282 * CHOOSE(CONTROL!$C$15, $E$9, 100%, $G$9) + CHOOSE(CONTROL!$C$38, 0.0347, 0)</f>
        <v>33.262900000000002</v>
      </c>
      <c r="D475" s="10">
        <f>33.2204 * CHOOSE(CONTROL!$C$15, $E$9, 100%, $G$9) + CHOOSE(CONTROL!$C$38, 0.0347, 0)</f>
        <v>33.255099999999999</v>
      </c>
      <c r="E475" s="28">
        <f>35.9507 * CHOOSE(CONTROL!$C$15, $E$9, 100%, $G$9) + CHOOSE(CONTROL!$C$38, 0.0347, 0)</f>
        <v>35.985399999999998</v>
      </c>
      <c r="F475" s="27">
        <f>35.9507 * CHOOSE(CONTROL!$C$15, $E$9, 100%, $G$9) + CHOOSE(CONTROL!$C$38, 0.0256, 0)</f>
        <v>35.976299999999995</v>
      </c>
      <c r="G475" s="10">
        <f>33.2267 * CHOOSE(CONTROL!$C$15, $E$9, 100%, $G$9) + CHOOSE(CONTROL!$C$38, 0.0347, 0)</f>
        <v>33.261400000000002</v>
      </c>
      <c r="H475" s="10">
        <f>33.2267 * CHOOSE(CONTROL!$C$15, $E$9, 100%, $G$9) + CHOOSE(CONTROL!$C$38, 0.0347, 0)</f>
        <v>33.261400000000002</v>
      </c>
      <c r="I475" s="10">
        <f>33.2282 * CHOOSE(CONTROL!$C$15, $E$9, 100%, $G$9) + CHOOSE(CONTROL!$C$38, 0.0347, 0)</f>
        <v>33.262900000000002</v>
      </c>
      <c r="J475" s="26">
        <f>243.6322</f>
        <v>243.63220000000001</v>
      </c>
    </row>
    <row r="476" spans="1:10" ht="15.75" x14ac:dyDescent="0.25">
      <c r="A476" s="14">
        <v>55792</v>
      </c>
      <c r="B476" s="10">
        <f>36.3837 * CHOOSE(CONTROL!$C$15, $E$9, 100%, $G$9) + CHOOSE(CONTROL!$C$38, 0.0256, 0)</f>
        <v>36.409299999999995</v>
      </c>
      <c r="C476" s="10">
        <f>33.505 * CHOOSE(CONTROL!$C$15, $E$9, 100%, $G$9) + CHOOSE(CONTROL!$C$38, 0.0347, 0)</f>
        <v>33.539700000000003</v>
      </c>
      <c r="D476" s="10">
        <f>33.4972 * CHOOSE(CONTROL!$C$15, $E$9, 100%, $G$9) + CHOOSE(CONTROL!$C$38, 0.0347, 0)</f>
        <v>33.5319</v>
      </c>
      <c r="E476" s="28">
        <f>36.2275 * CHOOSE(CONTROL!$C$15, $E$9, 100%, $G$9) + CHOOSE(CONTROL!$C$38, 0.0347, 0)</f>
        <v>36.2622</v>
      </c>
      <c r="F476" s="27">
        <f>36.2275 * CHOOSE(CONTROL!$C$15, $E$9, 100%, $G$9) + CHOOSE(CONTROL!$C$38, 0.0256, 0)</f>
        <v>36.253099999999996</v>
      </c>
      <c r="G476" s="10">
        <f>33.5035 * CHOOSE(CONTROL!$C$15, $E$9, 100%, $G$9) + CHOOSE(CONTROL!$C$38, 0.0347, 0)</f>
        <v>33.538200000000003</v>
      </c>
      <c r="H476" s="10">
        <f>33.5035 * CHOOSE(CONTROL!$C$15, $E$9, 100%, $G$9) + CHOOSE(CONTROL!$C$38, 0.0347, 0)</f>
        <v>33.538200000000003</v>
      </c>
      <c r="I476" s="10">
        <f>33.505 * CHOOSE(CONTROL!$C$15, $E$9, 100%, $G$9) + CHOOSE(CONTROL!$C$38, 0.0347, 0)</f>
        <v>33.539700000000003</v>
      </c>
      <c r="J476" s="26">
        <f>235.5343</f>
        <v>235.5343</v>
      </c>
    </row>
    <row r="477" spans="1:10" ht="15.75" x14ac:dyDescent="0.25">
      <c r="A477" s="14">
        <v>55823</v>
      </c>
      <c r="B477" s="10">
        <f>36.6155 * CHOOSE(CONTROL!$C$15, $E$9, 100%, $G$9) + CHOOSE(CONTROL!$C$38, 0.0256, 0)</f>
        <v>36.641099999999994</v>
      </c>
      <c r="C477" s="10">
        <f>33.7368 * CHOOSE(CONTROL!$C$15, $E$9, 100%, $G$9) + CHOOSE(CONTROL!$C$38, 0.0347, 0)</f>
        <v>33.771500000000003</v>
      </c>
      <c r="D477" s="10">
        <f>33.729 * CHOOSE(CONTROL!$C$15, $E$9, 100%, $G$9) + CHOOSE(CONTROL!$C$38, 0.0347, 0)</f>
        <v>33.7637</v>
      </c>
      <c r="E477" s="28">
        <f>36.4593 * CHOOSE(CONTROL!$C$15, $E$9, 100%, $G$9) + CHOOSE(CONTROL!$C$38, 0.0347, 0)</f>
        <v>36.494</v>
      </c>
      <c r="F477" s="27">
        <f>36.4593 * CHOOSE(CONTROL!$C$15, $E$9, 100%, $G$9) + CHOOSE(CONTROL!$C$38, 0.0256, 0)</f>
        <v>36.484899999999996</v>
      </c>
      <c r="G477" s="10">
        <f>33.7353 * CHOOSE(CONTROL!$C$15, $E$9, 100%, $G$9) + CHOOSE(CONTROL!$C$38, 0.0347, 0)</f>
        <v>33.770000000000003</v>
      </c>
      <c r="H477" s="10">
        <f>33.7353 * CHOOSE(CONTROL!$C$15, $E$9, 100%, $G$9) + CHOOSE(CONTROL!$C$38, 0.0347, 0)</f>
        <v>33.770000000000003</v>
      </c>
      <c r="I477" s="10">
        <f>33.7368 * CHOOSE(CONTROL!$C$15, $E$9, 100%, $G$9) + CHOOSE(CONTROL!$C$38, 0.0347, 0)</f>
        <v>33.771500000000003</v>
      </c>
      <c r="J477" s="26">
        <f>227.3893</f>
        <v>227.38929999999999</v>
      </c>
    </row>
    <row r="478" spans="1:10" ht="15.75" x14ac:dyDescent="0.25">
      <c r="A478" s="14">
        <v>55853</v>
      </c>
      <c r="B478" s="10">
        <f>36.809 * CHOOSE(CONTROL!$C$15, $E$9, 100%, $G$9) + CHOOSE(CONTROL!$C$38, 0.0256, 0)</f>
        <v>36.834599999999995</v>
      </c>
      <c r="C478" s="10">
        <f>33.9303 * CHOOSE(CONTROL!$C$15, $E$9, 100%, $G$9) + CHOOSE(CONTROL!$C$38, 0.0347, 0)</f>
        <v>33.965000000000003</v>
      </c>
      <c r="D478" s="10">
        <f>33.9225 * CHOOSE(CONTROL!$C$15, $E$9, 100%, $G$9) + CHOOSE(CONTROL!$C$38, 0.0347, 0)</f>
        <v>33.9572</v>
      </c>
      <c r="E478" s="28">
        <f>36.6527 * CHOOSE(CONTROL!$C$15, $E$9, 100%, $G$9) + CHOOSE(CONTROL!$C$38, 0.0347, 0)</f>
        <v>36.687400000000004</v>
      </c>
      <c r="F478" s="27">
        <f>36.6527 * CHOOSE(CONTROL!$C$15, $E$9, 100%, $G$9) + CHOOSE(CONTROL!$C$38, 0.0256, 0)</f>
        <v>36.6783</v>
      </c>
      <c r="G478" s="10">
        <f>33.9287 * CHOOSE(CONTROL!$C$15, $E$9, 100%, $G$9) + CHOOSE(CONTROL!$C$38, 0.0347, 0)</f>
        <v>33.9634</v>
      </c>
      <c r="H478" s="10">
        <f>33.9287 * CHOOSE(CONTROL!$C$15, $E$9, 100%, $G$9) + CHOOSE(CONTROL!$C$38, 0.0347, 0)</f>
        <v>33.9634</v>
      </c>
      <c r="I478" s="10">
        <f>33.9303 * CHOOSE(CONTROL!$C$15, $E$9, 100%, $G$9) + CHOOSE(CONTROL!$C$38, 0.0347, 0)</f>
        <v>33.965000000000003</v>
      </c>
      <c r="J478" s="26">
        <f>225.7691</f>
        <v>225.76910000000001</v>
      </c>
    </row>
    <row r="479" spans="1:10" ht="15.75" x14ac:dyDescent="0.25">
      <c r="A479" s="14">
        <v>55884</v>
      </c>
      <c r="B479" s="10">
        <f>37.405 * CHOOSE(CONTROL!$C$15, $E$9, 100%, $G$9) + CHOOSE(CONTROL!$C$38, 0.0256, 0)</f>
        <v>37.430599999999998</v>
      </c>
      <c r="C479" s="10">
        <f>34.5263 * CHOOSE(CONTROL!$C$15, $E$9, 100%, $G$9) + CHOOSE(CONTROL!$C$38, 0.0347, 0)</f>
        <v>34.561</v>
      </c>
      <c r="D479" s="10">
        <f>34.5185 * CHOOSE(CONTROL!$C$15, $E$9, 100%, $G$9) + CHOOSE(CONTROL!$C$38, 0.0347, 0)</f>
        <v>34.553200000000004</v>
      </c>
      <c r="E479" s="28">
        <f>37.2488 * CHOOSE(CONTROL!$C$15, $E$9, 100%, $G$9) + CHOOSE(CONTROL!$C$38, 0.0347, 0)</f>
        <v>37.283500000000004</v>
      </c>
      <c r="F479" s="27">
        <f>37.2488 * CHOOSE(CONTROL!$C$15, $E$9, 100%, $G$9) + CHOOSE(CONTROL!$C$38, 0.0256, 0)</f>
        <v>37.2744</v>
      </c>
      <c r="G479" s="10">
        <f>34.5248 * CHOOSE(CONTROL!$C$15, $E$9, 100%, $G$9) + CHOOSE(CONTROL!$C$38, 0.0347, 0)</f>
        <v>34.5595</v>
      </c>
      <c r="H479" s="10">
        <f>34.5248 * CHOOSE(CONTROL!$C$15, $E$9, 100%, $G$9) + CHOOSE(CONTROL!$C$38, 0.0347, 0)</f>
        <v>34.5595</v>
      </c>
      <c r="I479" s="10">
        <f>34.5263 * CHOOSE(CONTROL!$C$15, $E$9, 100%, $G$9) + CHOOSE(CONTROL!$C$38, 0.0347, 0)</f>
        <v>34.561</v>
      </c>
      <c r="J479" s="26">
        <f>219.0694</f>
        <v>219.0694</v>
      </c>
    </row>
    <row r="480" spans="1:10" ht="15.75" x14ac:dyDescent="0.25">
      <c r="A480" s="14">
        <v>55915</v>
      </c>
      <c r="B480" s="10">
        <f>38.5159 * CHOOSE(CONTROL!$C$15, $E$9, 100%, $G$9) + CHOOSE(CONTROL!$C$38, 0.0256, 0)</f>
        <v>38.541499999999999</v>
      </c>
      <c r="C480" s="10">
        <f>35.5891 * CHOOSE(CONTROL!$C$15, $E$9, 100%, $G$9) + CHOOSE(CONTROL!$C$38, 0.0347, 0)</f>
        <v>35.623800000000003</v>
      </c>
      <c r="D480" s="10">
        <f>35.5813 * CHOOSE(CONTROL!$C$15, $E$9, 100%, $G$9) + CHOOSE(CONTROL!$C$38, 0.0347, 0)</f>
        <v>35.616</v>
      </c>
      <c r="E480" s="28">
        <f>38.3596 * CHOOSE(CONTROL!$C$15, $E$9, 100%, $G$9) + CHOOSE(CONTROL!$C$38, 0.0347, 0)</f>
        <v>38.394300000000001</v>
      </c>
      <c r="F480" s="27">
        <f>38.3596 * CHOOSE(CONTROL!$C$15, $E$9, 100%, $G$9) + CHOOSE(CONTROL!$C$38, 0.0256, 0)</f>
        <v>38.385199999999998</v>
      </c>
      <c r="G480" s="10">
        <f>35.5875 * CHOOSE(CONTROL!$C$15, $E$9, 100%, $G$9) + CHOOSE(CONTROL!$C$38, 0.0347, 0)</f>
        <v>35.622199999999999</v>
      </c>
      <c r="H480" s="10">
        <f>35.5875 * CHOOSE(CONTROL!$C$15, $E$9, 100%, $G$9) + CHOOSE(CONTROL!$C$38, 0.0347, 0)</f>
        <v>35.622199999999999</v>
      </c>
      <c r="I480" s="10">
        <f>35.5891 * CHOOSE(CONTROL!$C$15, $E$9, 100%, $G$9) + CHOOSE(CONTROL!$C$38, 0.0347, 0)</f>
        <v>35.623800000000003</v>
      </c>
      <c r="J480" s="26">
        <f>217.6019</f>
        <v>217.6019</v>
      </c>
    </row>
    <row r="481" spans="1:10" ht="15.75" x14ac:dyDescent="0.25">
      <c r="A481" s="14">
        <v>55943</v>
      </c>
      <c r="B481" s="10">
        <f>38.7366 * CHOOSE(CONTROL!$C$15, $E$9, 100%, $G$9) + CHOOSE(CONTROL!$C$38, 0.0256, 0)</f>
        <v>38.7622</v>
      </c>
      <c r="C481" s="10">
        <f>35.8098 * CHOOSE(CONTROL!$C$15, $E$9, 100%, $G$9) + CHOOSE(CONTROL!$C$38, 0.0347, 0)</f>
        <v>35.844500000000004</v>
      </c>
      <c r="D481" s="10">
        <f>35.802 * CHOOSE(CONTROL!$C$15, $E$9, 100%, $G$9) + CHOOSE(CONTROL!$C$38, 0.0347, 0)</f>
        <v>35.8367</v>
      </c>
      <c r="E481" s="28">
        <f>38.5804 * CHOOSE(CONTROL!$C$15, $E$9, 100%, $G$9) + CHOOSE(CONTROL!$C$38, 0.0347, 0)</f>
        <v>38.615099999999998</v>
      </c>
      <c r="F481" s="27">
        <f>38.5804 * CHOOSE(CONTROL!$C$15, $E$9, 100%, $G$9) + CHOOSE(CONTROL!$C$38, 0.0256, 0)</f>
        <v>38.605999999999995</v>
      </c>
      <c r="G481" s="10">
        <f>35.8083 * CHOOSE(CONTROL!$C$15, $E$9, 100%, $G$9) + CHOOSE(CONTROL!$C$38, 0.0347, 0)</f>
        <v>35.843000000000004</v>
      </c>
      <c r="H481" s="10">
        <f>35.8083 * CHOOSE(CONTROL!$C$15, $E$9, 100%, $G$9) + CHOOSE(CONTROL!$C$38, 0.0347, 0)</f>
        <v>35.843000000000004</v>
      </c>
      <c r="I481" s="10">
        <f>35.8098 * CHOOSE(CONTROL!$C$15, $E$9, 100%, $G$9) + CHOOSE(CONTROL!$C$38, 0.0347, 0)</f>
        <v>35.844500000000004</v>
      </c>
      <c r="J481" s="26">
        <f>216.9971</f>
        <v>216.99709999999999</v>
      </c>
    </row>
    <row r="482" spans="1:10" ht="15.75" x14ac:dyDescent="0.25">
      <c r="A482" s="14">
        <v>55974</v>
      </c>
      <c r="B482" s="10">
        <f>38.2256 * CHOOSE(CONTROL!$C$15, $E$9, 100%, $G$9) + CHOOSE(CONTROL!$C$38, 0.0256, 0)</f>
        <v>38.251199999999997</v>
      </c>
      <c r="C482" s="10">
        <f>35.2988 * CHOOSE(CONTROL!$C$15, $E$9, 100%, $G$9) + CHOOSE(CONTROL!$C$38, 0.0347, 0)</f>
        <v>35.333500000000001</v>
      </c>
      <c r="D482" s="10">
        <f>35.291 * CHOOSE(CONTROL!$C$15, $E$9, 100%, $G$9) + CHOOSE(CONTROL!$C$38, 0.0347, 0)</f>
        <v>35.325699999999998</v>
      </c>
      <c r="E482" s="28">
        <f>38.0694 * CHOOSE(CONTROL!$C$15, $E$9, 100%, $G$9) + CHOOSE(CONTROL!$C$38, 0.0347, 0)</f>
        <v>38.104100000000003</v>
      </c>
      <c r="F482" s="27">
        <f>38.0694 * CHOOSE(CONTROL!$C$15, $E$9, 100%, $G$9) + CHOOSE(CONTROL!$C$38, 0.0256, 0)</f>
        <v>38.094999999999999</v>
      </c>
      <c r="G482" s="10">
        <f>35.2973 * CHOOSE(CONTROL!$C$15, $E$9, 100%, $G$9) + CHOOSE(CONTROL!$C$38, 0.0347, 0)</f>
        <v>35.332000000000001</v>
      </c>
      <c r="H482" s="10">
        <f>35.2973 * CHOOSE(CONTROL!$C$15, $E$9, 100%, $G$9) + CHOOSE(CONTROL!$C$38, 0.0347, 0)</f>
        <v>35.332000000000001</v>
      </c>
      <c r="I482" s="10">
        <f>35.2988 * CHOOSE(CONTROL!$C$15, $E$9, 100%, $G$9) + CHOOSE(CONTROL!$C$38, 0.0347, 0)</f>
        <v>35.333500000000001</v>
      </c>
      <c r="J482" s="26">
        <f>228.4341</f>
        <v>228.4341</v>
      </c>
    </row>
    <row r="483" spans="1:10" ht="15.75" x14ac:dyDescent="0.25">
      <c r="A483" s="14">
        <v>56004</v>
      </c>
      <c r="B483" s="10">
        <f>37.7304 * CHOOSE(CONTROL!$C$15, $E$9, 100%, $G$9) + CHOOSE(CONTROL!$C$38, 0.0256, 0)</f>
        <v>37.756</v>
      </c>
      <c r="C483" s="10">
        <f>34.8036 * CHOOSE(CONTROL!$C$15, $E$9, 100%, $G$9) + CHOOSE(CONTROL!$C$38, 0.0347, 0)</f>
        <v>34.838300000000004</v>
      </c>
      <c r="D483" s="10">
        <f>34.7958 * CHOOSE(CONTROL!$C$15, $E$9, 100%, $G$9) + CHOOSE(CONTROL!$C$38, 0.0347, 0)</f>
        <v>34.830500000000001</v>
      </c>
      <c r="E483" s="28">
        <f>37.5742 * CHOOSE(CONTROL!$C$15, $E$9, 100%, $G$9) + CHOOSE(CONTROL!$C$38, 0.0347, 0)</f>
        <v>37.608899999999998</v>
      </c>
      <c r="F483" s="27">
        <f>37.5742 * CHOOSE(CONTROL!$C$15, $E$9, 100%, $G$9) + CHOOSE(CONTROL!$C$38, 0.0256, 0)</f>
        <v>37.599799999999995</v>
      </c>
      <c r="G483" s="10">
        <f>34.8021 * CHOOSE(CONTROL!$C$15, $E$9, 100%, $G$9) + CHOOSE(CONTROL!$C$38, 0.0347, 0)</f>
        <v>34.836800000000004</v>
      </c>
      <c r="H483" s="10">
        <f>34.8021 * CHOOSE(CONTROL!$C$15, $E$9, 100%, $G$9) + CHOOSE(CONTROL!$C$38, 0.0347, 0)</f>
        <v>34.836800000000004</v>
      </c>
      <c r="I483" s="10">
        <f>34.8036 * CHOOSE(CONTROL!$C$15, $E$9, 100%, $G$9) + CHOOSE(CONTROL!$C$38, 0.0347, 0)</f>
        <v>34.838300000000004</v>
      </c>
      <c r="J483" s="26">
        <f>243.2651</f>
        <v>243.26509999999999</v>
      </c>
    </row>
    <row r="484" spans="1:10" ht="15.75" x14ac:dyDescent="0.25">
      <c r="A484" s="14">
        <v>56035</v>
      </c>
      <c r="B484" s="10">
        <f>37.2143 * CHOOSE(CONTROL!$C$15, $E$9, 100%, $G$9) + CHOOSE(CONTROL!$C$38, 0.0256, 0)</f>
        <v>37.239899999999999</v>
      </c>
      <c r="C484" s="10">
        <f>34.2875 * CHOOSE(CONTROL!$C$15, $E$9, 100%, $G$9) + CHOOSE(CONTROL!$C$38, 0.0347, 0)</f>
        <v>34.322200000000002</v>
      </c>
      <c r="D484" s="10">
        <f>34.2797 * CHOOSE(CONTROL!$C$15, $E$9, 100%, $G$9) + CHOOSE(CONTROL!$C$38, 0.0347, 0)</f>
        <v>34.314399999999999</v>
      </c>
      <c r="E484" s="28">
        <f>37.0581 * CHOOSE(CONTROL!$C$15, $E$9, 100%, $G$9) + CHOOSE(CONTROL!$C$38, 0.0347, 0)</f>
        <v>37.092800000000004</v>
      </c>
      <c r="F484" s="27">
        <f>37.0581 * CHOOSE(CONTROL!$C$15, $E$9, 100%, $G$9) + CHOOSE(CONTROL!$C$38, 0.0256, 0)</f>
        <v>37.0837</v>
      </c>
      <c r="G484" s="10">
        <f>34.286 * CHOOSE(CONTROL!$C$15, $E$9, 100%, $G$9) + CHOOSE(CONTROL!$C$38, 0.0347, 0)</f>
        <v>34.320700000000002</v>
      </c>
      <c r="H484" s="10">
        <f>34.286 * CHOOSE(CONTROL!$C$15, $E$9, 100%, $G$9) + CHOOSE(CONTROL!$C$38, 0.0347, 0)</f>
        <v>34.320700000000002</v>
      </c>
      <c r="I484" s="10">
        <f>34.2875 * CHOOSE(CONTROL!$C$15, $E$9, 100%, $G$9) + CHOOSE(CONTROL!$C$38, 0.0347, 0)</f>
        <v>34.322200000000002</v>
      </c>
      <c r="J484" s="26">
        <f>251.4286</f>
        <v>251.42859999999999</v>
      </c>
    </row>
    <row r="485" spans="1:10" ht="15.75" x14ac:dyDescent="0.25">
      <c r="A485" s="14">
        <v>56065</v>
      </c>
      <c r="B485" s="10">
        <f>36.8525 * CHOOSE(CONTROL!$C$15, $E$9, 100%, $G$9) + CHOOSE(CONTROL!$C$38, 0.0256, 0)</f>
        <v>36.878099999999996</v>
      </c>
      <c r="C485" s="10">
        <f>33.9257 * CHOOSE(CONTROL!$C$15, $E$9, 100%, $G$9) + CHOOSE(CONTROL!$C$38, 0.0347, 0)</f>
        <v>33.9604</v>
      </c>
      <c r="D485" s="10">
        <f>33.9179 * CHOOSE(CONTROL!$C$15, $E$9, 100%, $G$9) + CHOOSE(CONTROL!$C$38, 0.0347, 0)</f>
        <v>33.952600000000004</v>
      </c>
      <c r="E485" s="28">
        <f>36.6962 * CHOOSE(CONTROL!$C$15, $E$9, 100%, $G$9) + CHOOSE(CONTROL!$C$38, 0.0347, 0)</f>
        <v>36.730899999999998</v>
      </c>
      <c r="F485" s="27">
        <f>36.6962 * CHOOSE(CONTROL!$C$15, $E$9, 100%, $G$9) + CHOOSE(CONTROL!$C$38, 0.0256, 0)</f>
        <v>36.721799999999995</v>
      </c>
      <c r="G485" s="10">
        <f>33.9241 * CHOOSE(CONTROL!$C$15, $E$9, 100%, $G$9) + CHOOSE(CONTROL!$C$38, 0.0347, 0)</f>
        <v>33.958800000000004</v>
      </c>
      <c r="H485" s="10">
        <f>33.9241 * CHOOSE(CONTROL!$C$15, $E$9, 100%, $G$9) + CHOOSE(CONTROL!$C$38, 0.0347, 0)</f>
        <v>33.958800000000004</v>
      </c>
      <c r="I485" s="10">
        <f>33.9257 * CHOOSE(CONTROL!$C$15, $E$9, 100%, $G$9) + CHOOSE(CONTROL!$C$38, 0.0347, 0)</f>
        <v>33.9604</v>
      </c>
      <c r="J485" s="26">
        <f>255.0514</f>
        <v>255.0514</v>
      </c>
    </row>
    <row r="486" spans="1:10" ht="15.75" x14ac:dyDescent="0.25">
      <c r="A486" s="14">
        <v>56096</v>
      </c>
      <c r="B486" s="10">
        <f>36.646 * CHOOSE(CONTROL!$C$15, $E$9, 100%, $G$9) + CHOOSE(CONTROL!$C$38, 0.0256, 0)</f>
        <v>36.671599999999998</v>
      </c>
      <c r="C486" s="10">
        <f>33.7192 * CHOOSE(CONTROL!$C$15, $E$9, 100%, $G$9) + CHOOSE(CONTROL!$C$38, 0.0347, 0)</f>
        <v>33.753900000000002</v>
      </c>
      <c r="D486" s="10">
        <f>33.7114 * CHOOSE(CONTROL!$C$15, $E$9, 100%, $G$9) + CHOOSE(CONTROL!$C$38, 0.0347, 0)</f>
        <v>33.746099999999998</v>
      </c>
      <c r="E486" s="28">
        <f>36.4897 * CHOOSE(CONTROL!$C$15, $E$9, 100%, $G$9) + CHOOSE(CONTROL!$C$38, 0.0347, 0)</f>
        <v>36.5244</v>
      </c>
      <c r="F486" s="27">
        <f>36.4897 * CHOOSE(CONTROL!$C$15, $E$9, 100%, $G$9) + CHOOSE(CONTROL!$C$38, 0.0256, 0)</f>
        <v>36.515299999999996</v>
      </c>
      <c r="G486" s="10">
        <f>33.7176 * CHOOSE(CONTROL!$C$15, $E$9, 100%, $G$9) + CHOOSE(CONTROL!$C$38, 0.0347, 0)</f>
        <v>33.752299999999998</v>
      </c>
      <c r="H486" s="10">
        <f>33.7176 * CHOOSE(CONTROL!$C$15, $E$9, 100%, $G$9) + CHOOSE(CONTROL!$C$38, 0.0347, 0)</f>
        <v>33.752299999999998</v>
      </c>
      <c r="I486" s="10">
        <f>33.7192 * CHOOSE(CONTROL!$C$15, $E$9, 100%, $G$9) + CHOOSE(CONTROL!$C$38, 0.0347, 0)</f>
        <v>33.753900000000002</v>
      </c>
      <c r="J486" s="26">
        <f>253.8586</f>
        <v>253.8586</v>
      </c>
    </row>
    <row r="487" spans="1:10" ht="15.75" x14ac:dyDescent="0.25">
      <c r="A487" s="14">
        <v>56127</v>
      </c>
      <c r="B487" s="10">
        <f>36.7479 * CHOOSE(CONTROL!$C$15, $E$9, 100%, $G$9) + CHOOSE(CONTROL!$C$38, 0.0256, 0)</f>
        <v>36.773499999999999</v>
      </c>
      <c r="C487" s="10">
        <f>33.8211 * CHOOSE(CONTROL!$C$15, $E$9, 100%, $G$9) + CHOOSE(CONTROL!$C$38, 0.0347, 0)</f>
        <v>33.855800000000002</v>
      </c>
      <c r="D487" s="10">
        <f>33.8133 * CHOOSE(CONTROL!$C$15, $E$9, 100%, $G$9) + CHOOSE(CONTROL!$C$38, 0.0347, 0)</f>
        <v>33.847999999999999</v>
      </c>
      <c r="E487" s="28">
        <f>36.5916 * CHOOSE(CONTROL!$C$15, $E$9, 100%, $G$9) + CHOOSE(CONTROL!$C$38, 0.0347, 0)</f>
        <v>36.626300000000001</v>
      </c>
      <c r="F487" s="27">
        <f>36.5916 * CHOOSE(CONTROL!$C$15, $E$9, 100%, $G$9) + CHOOSE(CONTROL!$C$38, 0.0256, 0)</f>
        <v>36.617199999999997</v>
      </c>
      <c r="G487" s="10">
        <f>33.8195 * CHOOSE(CONTROL!$C$15, $E$9, 100%, $G$9) + CHOOSE(CONTROL!$C$38, 0.0347, 0)</f>
        <v>33.854199999999999</v>
      </c>
      <c r="H487" s="10">
        <f>33.8195 * CHOOSE(CONTROL!$C$15, $E$9, 100%, $G$9) + CHOOSE(CONTROL!$C$38, 0.0347, 0)</f>
        <v>33.854199999999999</v>
      </c>
      <c r="I487" s="10">
        <f>33.8211 * CHOOSE(CONTROL!$C$15, $E$9, 100%, $G$9) + CHOOSE(CONTROL!$C$38, 0.0347, 0)</f>
        <v>33.855800000000002</v>
      </c>
      <c r="J487" s="26">
        <f>247.9489</f>
        <v>247.94890000000001</v>
      </c>
    </row>
    <row r="488" spans="1:10" ht="15.75" x14ac:dyDescent="0.25">
      <c r="A488" s="14">
        <v>56157</v>
      </c>
      <c r="B488" s="10">
        <f>37.0247 * CHOOSE(CONTROL!$C$15, $E$9, 100%, $G$9) + CHOOSE(CONTROL!$C$38, 0.0256, 0)</f>
        <v>37.0503</v>
      </c>
      <c r="C488" s="10">
        <f>34.0979 * CHOOSE(CONTROL!$C$15, $E$9, 100%, $G$9) + CHOOSE(CONTROL!$C$38, 0.0347, 0)</f>
        <v>34.132600000000004</v>
      </c>
      <c r="D488" s="10">
        <f>34.0901 * CHOOSE(CONTROL!$C$15, $E$9, 100%, $G$9) + CHOOSE(CONTROL!$C$38, 0.0347, 0)</f>
        <v>34.1248</v>
      </c>
      <c r="E488" s="28">
        <f>36.8684 * CHOOSE(CONTROL!$C$15, $E$9, 100%, $G$9) + CHOOSE(CONTROL!$C$38, 0.0347, 0)</f>
        <v>36.903100000000002</v>
      </c>
      <c r="F488" s="27">
        <f>36.8684 * CHOOSE(CONTROL!$C$15, $E$9, 100%, $G$9) + CHOOSE(CONTROL!$C$38, 0.0256, 0)</f>
        <v>36.893999999999998</v>
      </c>
      <c r="G488" s="10">
        <f>34.0963 * CHOOSE(CONTROL!$C$15, $E$9, 100%, $G$9) + CHOOSE(CONTROL!$C$38, 0.0347, 0)</f>
        <v>34.131</v>
      </c>
      <c r="H488" s="10">
        <f>34.0963 * CHOOSE(CONTROL!$C$15, $E$9, 100%, $G$9) + CHOOSE(CONTROL!$C$38, 0.0347, 0)</f>
        <v>34.131</v>
      </c>
      <c r="I488" s="10">
        <f>34.0979 * CHOOSE(CONTROL!$C$15, $E$9, 100%, $G$9) + CHOOSE(CONTROL!$C$38, 0.0347, 0)</f>
        <v>34.132600000000004</v>
      </c>
      <c r="J488" s="26">
        <f>239.7075</f>
        <v>239.70750000000001</v>
      </c>
    </row>
    <row r="489" spans="1:10" ht="15.75" x14ac:dyDescent="0.25">
      <c r="A489" s="14">
        <v>56188</v>
      </c>
      <c r="B489" s="10">
        <f>37.2565 * CHOOSE(CONTROL!$C$15, $E$9, 100%, $G$9) + CHOOSE(CONTROL!$C$38, 0.0256, 0)</f>
        <v>37.2821</v>
      </c>
      <c r="C489" s="10">
        <f>34.3297 * CHOOSE(CONTROL!$C$15, $E$9, 100%, $G$9) + CHOOSE(CONTROL!$C$38, 0.0347, 0)</f>
        <v>34.364400000000003</v>
      </c>
      <c r="D489" s="10">
        <f>34.3219 * CHOOSE(CONTROL!$C$15, $E$9, 100%, $G$9) + CHOOSE(CONTROL!$C$38, 0.0347, 0)</f>
        <v>34.3566</v>
      </c>
      <c r="E489" s="28">
        <f>37.1003 * CHOOSE(CONTROL!$C$15, $E$9, 100%, $G$9) + CHOOSE(CONTROL!$C$38, 0.0347, 0)</f>
        <v>37.134999999999998</v>
      </c>
      <c r="F489" s="27">
        <f>37.1003 * CHOOSE(CONTROL!$C$15, $E$9, 100%, $G$9) + CHOOSE(CONTROL!$C$38, 0.0256, 0)</f>
        <v>37.125899999999994</v>
      </c>
      <c r="G489" s="10">
        <f>34.3282 * CHOOSE(CONTROL!$C$15, $E$9, 100%, $G$9) + CHOOSE(CONTROL!$C$38, 0.0347, 0)</f>
        <v>34.362900000000003</v>
      </c>
      <c r="H489" s="10">
        <f>34.3282 * CHOOSE(CONTROL!$C$15, $E$9, 100%, $G$9) + CHOOSE(CONTROL!$C$38, 0.0347, 0)</f>
        <v>34.362900000000003</v>
      </c>
      <c r="I489" s="10">
        <f>34.3297 * CHOOSE(CONTROL!$C$15, $E$9, 100%, $G$9) + CHOOSE(CONTROL!$C$38, 0.0347, 0)</f>
        <v>34.364400000000003</v>
      </c>
      <c r="J489" s="26">
        <f>231.4182</f>
        <v>231.41820000000001</v>
      </c>
    </row>
    <row r="490" spans="1:10" ht="15.75" x14ac:dyDescent="0.25">
      <c r="A490" s="14">
        <v>56218</v>
      </c>
      <c r="B490" s="10">
        <f>37.45 * CHOOSE(CONTROL!$C$15, $E$9, 100%, $G$9) + CHOOSE(CONTROL!$C$38, 0.0256, 0)</f>
        <v>37.4756</v>
      </c>
      <c r="C490" s="10">
        <f>34.5232 * CHOOSE(CONTROL!$C$15, $E$9, 100%, $G$9) + CHOOSE(CONTROL!$C$38, 0.0347, 0)</f>
        <v>34.557900000000004</v>
      </c>
      <c r="D490" s="10">
        <f>34.5154 * CHOOSE(CONTROL!$C$15, $E$9, 100%, $G$9) + CHOOSE(CONTROL!$C$38, 0.0347, 0)</f>
        <v>34.5501</v>
      </c>
      <c r="E490" s="28">
        <f>37.2937 * CHOOSE(CONTROL!$C$15, $E$9, 100%, $G$9) + CHOOSE(CONTROL!$C$38, 0.0347, 0)</f>
        <v>37.328400000000002</v>
      </c>
      <c r="F490" s="27">
        <f>37.2937 * CHOOSE(CONTROL!$C$15, $E$9, 100%, $G$9) + CHOOSE(CONTROL!$C$38, 0.0256, 0)</f>
        <v>37.319299999999998</v>
      </c>
      <c r="G490" s="10">
        <f>34.5216 * CHOOSE(CONTROL!$C$15, $E$9, 100%, $G$9) + CHOOSE(CONTROL!$C$38, 0.0347, 0)</f>
        <v>34.5563</v>
      </c>
      <c r="H490" s="10">
        <f>34.5216 * CHOOSE(CONTROL!$C$15, $E$9, 100%, $G$9) + CHOOSE(CONTROL!$C$38, 0.0347, 0)</f>
        <v>34.5563</v>
      </c>
      <c r="I490" s="10">
        <f>34.5232 * CHOOSE(CONTROL!$C$15, $E$9, 100%, $G$9) + CHOOSE(CONTROL!$C$38, 0.0347, 0)</f>
        <v>34.557900000000004</v>
      </c>
      <c r="J490" s="26">
        <f>229.7693</f>
        <v>229.76929999999999</v>
      </c>
    </row>
    <row r="491" spans="1:10" ht="15.75" x14ac:dyDescent="0.25">
      <c r="A491" s="14">
        <v>56249</v>
      </c>
      <c r="B491" s="10">
        <f>38.046 * CHOOSE(CONTROL!$C$15, $E$9, 100%, $G$9) + CHOOSE(CONTROL!$C$38, 0.0256, 0)</f>
        <v>38.071599999999997</v>
      </c>
      <c r="C491" s="10">
        <f>35.1192 * CHOOSE(CONTROL!$C$15, $E$9, 100%, $G$9) + CHOOSE(CONTROL!$C$38, 0.0347, 0)</f>
        <v>35.1539</v>
      </c>
      <c r="D491" s="10">
        <f>35.1114 * CHOOSE(CONTROL!$C$15, $E$9, 100%, $G$9) + CHOOSE(CONTROL!$C$38, 0.0347, 0)</f>
        <v>35.146100000000004</v>
      </c>
      <c r="E491" s="28">
        <f>37.8898 * CHOOSE(CONTROL!$C$15, $E$9, 100%, $G$9) + CHOOSE(CONTROL!$C$38, 0.0347, 0)</f>
        <v>37.924500000000002</v>
      </c>
      <c r="F491" s="27">
        <f>37.8898 * CHOOSE(CONTROL!$C$15, $E$9, 100%, $G$9) + CHOOSE(CONTROL!$C$38, 0.0256, 0)</f>
        <v>37.915399999999998</v>
      </c>
      <c r="G491" s="10">
        <f>35.1177 * CHOOSE(CONTROL!$C$15, $E$9, 100%, $G$9) + CHOOSE(CONTROL!$C$38, 0.0347, 0)</f>
        <v>35.1524</v>
      </c>
      <c r="H491" s="10">
        <f>35.1177 * CHOOSE(CONTROL!$C$15, $E$9, 100%, $G$9) + CHOOSE(CONTROL!$C$38, 0.0347, 0)</f>
        <v>35.1524</v>
      </c>
      <c r="I491" s="10">
        <f>35.1192 * CHOOSE(CONTROL!$C$15, $E$9, 100%, $G$9) + CHOOSE(CONTROL!$C$38, 0.0347, 0)</f>
        <v>35.1539</v>
      </c>
      <c r="J491" s="26">
        <f>222.9508</f>
        <v>222.95079999999999</v>
      </c>
    </row>
    <row r="492" spans="1:10" ht="15.75" x14ac:dyDescent="0.25">
      <c r="A492" s="14">
        <v>56280</v>
      </c>
      <c r="B492" s="10">
        <f>39.1682 * CHOOSE(CONTROL!$C$15, $E$9, 100%, $G$9) + CHOOSE(CONTROL!$C$38, 0.0256, 0)</f>
        <v>39.193799999999996</v>
      </c>
      <c r="C492" s="10">
        <f>36.1924 * CHOOSE(CONTROL!$C$15, $E$9, 100%, $G$9) + CHOOSE(CONTROL!$C$38, 0.0347, 0)</f>
        <v>36.2271</v>
      </c>
      <c r="D492" s="10">
        <f>36.1846 * CHOOSE(CONTROL!$C$15, $E$9, 100%, $G$9) + CHOOSE(CONTROL!$C$38, 0.0347, 0)</f>
        <v>36.219300000000004</v>
      </c>
      <c r="E492" s="28">
        <f>39.0119 * CHOOSE(CONTROL!$C$15, $E$9, 100%, $G$9) + CHOOSE(CONTROL!$C$38, 0.0347, 0)</f>
        <v>39.046599999999998</v>
      </c>
      <c r="F492" s="27">
        <f>39.0119 * CHOOSE(CONTROL!$C$15, $E$9, 100%, $G$9) + CHOOSE(CONTROL!$C$38, 0.0256, 0)</f>
        <v>39.037499999999994</v>
      </c>
      <c r="G492" s="10">
        <f>36.1909 * CHOOSE(CONTROL!$C$15, $E$9, 100%, $G$9) + CHOOSE(CONTROL!$C$38, 0.0347, 0)</f>
        <v>36.2256</v>
      </c>
      <c r="H492" s="10">
        <f>36.1909 * CHOOSE(CONTROL!$C$15, $E$9, 100%, $G$9) + CHOOSE(CONTROL!$C$38, 0.0347, 0)</f>
        <v>36.2256</v>
      </c>
      <c r="I492" s="10">
        <f>36.1924 * CHOOSE(CONTROL!$C$15, $E$9, 100%, $G$9) + CHOOSE(CONTROL!$C$38, 0.0347, 0)</f>
        <v>36.2271</v>
      </c>
      <c r="J492" s="26">
        <f>221.4574</f>
        <v>221.45740000000001</v>
      </c>
    </row>
    <row r="493" spans="1:10" ht="15.75" x14ac:dyDescent="0.25">
      <c r="A493" s="14">
        <v>56308</v>
      </c>
      <c r="B493" s="10">
        <f>39.3889 * CHOOSE(CONTROL!$C$15, $E$9, 100%, $G$9) + CHOOSE(CONTROL!$C$38, 0.0256, 0)</f>
        <v>39.414499999999997</v>
      </c>
      <c r="C493" s="10">
        <f>36.4132 * CHOOSE(CONTROL!$C$15, $E$9, 100%, $G$9) + CHOOSE(CONTROL!$C$38, 0.0347, 0)</f>
        <v>36.447900000000004</v>
      </c>
      <c r="D493" s="10">
        <f>36.4054 * CHOOSE(CONTROL!$C$15, $E$9, 100%, $G$9) + CHOOSE(CONTROL!$C$38, 0.0347, 0)</f>
        <v>36.440100000000001</v>
      </c>
      <c r="E493" s="28">
        <f>39.2327 * CHOOSE(CONTROL!$C$15, $E$9, 100%, $G$9) + CHOOSE(CONTROL!$C$38, 0.0347, 0)</f>
        <v>39.267400000000002</v>
      </c>
      <c r="F493" s="27">
        <f>39.2327 * CHOOSE(CONTROL!$C$15, $E$9, 100%, $G$9) + CHOOSE(CONTROL!$C$38, 0.0256, 0)</f>
        <v>39.258299999999998</v>
      </c>
      <c r="G493" s="10">
        <f>36.4116 * CHOOSE(CONTROL!$C$15, $E$9, 100%, $G$9) + CHOOSE(CONTROL!$C$38, 0.0347, 0)</f>
        <v>36.446300000000001</v>
      </c>
      <c r="H493" s="10">
        <f>36.4116 * CHOOSE(CONTROL!$C$15, $E$9, 100%, $G$9) + CHOOSE(CONTROL!$C$38, 0.0347, 0)</f>
        <v>36.446300000000001</v>
      </c>
      <c r="I493" s="10">
        <f>36.4132 * CHOOSE(CONTROL!$C$15, $E$9, 100%, $G$9) + CHOOSE(CONTROL!$C$38, 0.0347, 0)</f>
        <v>36.447900000000004</v>
      </c>
      <c r="J493" s="26">
        <f>220.8418</f>
        <v>220.84180000000001</v>
      </c>
    </row>
    <row r="494" spans="1:10" ht="15.75" x14ac:dyDescent="0.25">
      <c r="A494" s="14">
        <v>56339</v>
      </c>
      <c r="B494" s="10">
        <f>38.8779 * CHOOSE(CONTROL!$C$15, $E$9, 100%, $G$9) + CHOOSE(CONTROL!$C$38, 0.0256, 0)</f>
        <v>38.903499999999994</v>
      </c>
      <c r="C494" s="10">
        <f>35.9022 * CHOOSE(CONTROL!$C$15, $E$9, 100%, $G$9) + CHOOSE(CONTROL!$C$38, 0.0347, 0)</f>
        <v>35.936900000000001</v>
      </c>
      <c r="D494" s="10">
        <f>35.8944 * CHOOSE(CONTROL!$C$15, $E$9, 100%, $G$9) + CHOOSE(CONTROL!$C$38, 0.0347, 0)</f>
        <v>35.929099999999998</v>
      </c>
      <c r="E494" s="28">
        <f>38.7217 * CHOOSE(CONTROL!$C$15, $E$9, 100%, $G$9) + CHOOSE(CONTROL!$C$38, 0.0347, 0)</f>
        <v>38.756399999999999</v>
      </c>
      <c r="F494" s="27">
        <f>38.7217 * CHOOSE(CONTROL!$C$15, $E$9, 100%, $G$9) + CHOOSE(CONTROL!$C$38, 0.0256, 0)</f>
        <v>38.747299999999996</v>
      </c>
      <c r="G494" s="10">
        <f>35.9006 * CHOOSE(CONTROL!$C$15, $E$9, 100%, $G$9) + CHOOSE(CONTROL!$C$38, 0.0347, 0)</f>
        <v>35.935299999999998</v>
      </c>
      <c r="H494" s="10">
        <f>35.9006 * CHOOSE(CONTROL!$C$15, $E$9, 100%, $G$9) + CHOOSE(CONTROL!$C$38, 0.0347, 0)</f>
        <v>35.935299999999998</v>
      </c>
      <c r="I494" s="10">
        <f>35.9022 * CHOOSE(CONTROL!$C$15, $E$9, 100%, $G$9) + CHOOSE(CONTROL!$C$38, 0.0347, 0)</f>
        <v>35.936900000000001</v>
      </c>
      <c r="J494" s="26">
        <f>232.4815</f>
        <v>232.48150000000001</v>
      </c>
    </row>
    <row r="495" spans="1:10" ht="15.75" x14ac:dyDescent="0.25">
      <c r="A495" s="14">
        <v>56369</v>
      </c>
      <c r="B495" s="10">
        <f>38.3827 * CHOOSE(CONTROL!$C$15, $E$9, 100%, $G$9) + CHOOSE(CONTROL!$C$38, 0.0256, 0)</f>
        <v>38.408299999999997</v>
      </c>
      <c r="C495" s="10">
        <f>35.407 * CHOOSE(CONTROL!$C$15, $E$9, 100%, $G$9) + CHOOSE(CONTROL!$C$38, 0.0347, 0)</f>
        <v>35.441699999999997</v>
      </c>
      <c r="D495" s="10">
        <f>35.3992 * CHOOSE(CONTROL!$C$15, $E$9, 100%, $G$9) + CHOOSE(CONTROL!$C$38, 0.0347, 0)</f>
        <v>35.433900000000001</v>
      </c>
      <c r="E495" s="28">
        <f>38.2265 * CHOOSE(CONTROL!$C$15, $E$9, 100%, $G$9) + CHOOSE(CONTROL!$C$38, 0.0347, 0)</f>
        <v>38.261200000000002</v>
      </c>
      <c r="F495" s="27">
        <f>38.2265 * CHOOSE(CONTROL!$C$15, $E$9, 100%, $G$9) + CHOOSE(CONTROL!$C$38, 0.0256, 0)</f>
        <v>38.252099999999999</v>
      </c>
      <c r="G495" s="10">
        <f>35.4054 * CHOOSE(CONTROL!$C$15, $E$9, 100%, $G$9) + CHOOSE(CONTROL!$C$38, 0.0347, 0)</f>
        <v>35.440100000000001</v>
      </c>
      <c r="H495" s="10">
        <f>35.4054 * CHOOSE(CONTROL!$C$15, $E$9, 100%, $G$9) + CHOOSE(CONTROL!$C$38, 0.0347, 0)</f>
        <v>35.440100000000001</v>
      </c>
      <c r="I495" s="10">
        <f>35.407 * CHOOSE(CONTROL!$C$15, $E$9, 100%, $G$9) + CHOOSE(CONTROL!$C$38, 0.0347, 0)</f>
        <v>35.441699999999997</v>
      </c>
      <c r="J495" s="26">
        <f>247.5753</f>
        <v>247.5753</v>
      </c>
    </row>
    <row r="496" spans="1:10" ht="15.75" x14ac:dyDescent="0.25">
      <c r="A496" s="14">
        <v>56400</v>
      </c>
      <c r="B496" s="10">
        <f>37.8666 * CHOOSE(CONTROL!$C$15, $E$9, 100%, $G$9) + CHOOSE(CONTROL!$C$38, 0.0256, 0)</f>
        <v>37.892199999999995</v>
      </c>
      <c r="C496" s="10">
        <f>34.8909 * CHOOSE(CONTROL!$C$15, $E$9, 100%, $G$9) + CHOOSE(CONTROL!$C$38, 0.0347, 0)</f>
        <v>34.925600000000003</v>
      </c>
      <c r="D496" s="10">
        <f>34.8831 * CHOOSE(CONTROL!$C$15, $E$9, 100%, $G$9) + CHOOSE(CONTROL!$C$38, 0.0347, 0)</f>
        <v>34.9178</v>
      </c>
      <c r="E496" s="28">
        <f>37.7104 * CHOOSE(CONTROL!$C$15, $E$9, 100%, $G$9) + CHOOSE(CONTROL!$C$38, 0.0347, 0)</f>
        <v>37.745100000000001</v>
      </c>
      <c r="F496" s="27">
        <f>37.7104 * CHOOSE(CONTROL!$C$15, $E$9, 100%, $G$9) + CHOOSE(CONTROL!$C$38, 0.0256, 0)</f>
        <v>37.735999999999997</v>
      </c>
      <c r="G496" s="10">
        <f>34.8893 * CHOOSE(CONTROL!$C$15, $E$9, 100%, $G$9) + CHOOSE(CONTROL!$C$38, 0.0347, 0)</f>
        <v>34.923999999999999</v>
      </c>
      <c r="H496" s="10">
        <f>34.8893 * CHOOSE(CONTROL!$C$15, $E$9, 100%, $G$9) + CHOOSE(CONTROL!$C$38, 0.0347, 0)</f>
        <v>34.923999999999999</v>
      </c>
      <c r="I496" s="10">
        <f>34.8909 * CHOOSE(CONTROL!$C$15, $E$9, 100%, $G$9) + CHOOSE(CONTROL!$C$38, 0.0347, 0)</f>
        <v>34.925600000000003</v>
      </c>
      <c r="J496" s="26">
        <f>255.8835</f>
        <v>255.8835</v>
      </c>
    </row>
    <row r="497" spans="1:10" ht="15.75" x14ac:dyDescent="0.25">
      <c r="A497" s="14">
        <v>56430</v>
      </c>
      <c r="B497" s="10">
        <f>37.5048 * CHOOSE(CONTROL!$C$15, $E$9, 100%, $G$9) + CHOOSE(CONTROL!$C$38, 0.0256, 0)</f>
        <v>37.5304</v>
      </c>
      <c r="C497" s="10">
        <f>34.529 * CHOOSE(CONTROL!$C$15, $E$9, 100%, $G$9) + CHOOSE(CONTROL!$C$38, 0.0347, 0)</f>
        <v>34.563700000000004</v>
      </c>
      <c r="D497" s="10">
        <f>34.5212 * CHOOSE(CONTROL!$C$15, $E$9, 100%, $G$9) + CHOOSE(CONTROL!$C$38, 0.0347, 0)</f>
        <v>34.555900000000001</v>
      </c>
      <c r="E497" s="28">
        <f>37.3485 * CHOOSE(CONTROL!$C$15, $E$9, 100%, $G$9) + CHOOSE(CONTROL!$C$38, 0.0347, 0)</f>
        <v>37.383200000000002</v>
      </c>
      <c r="F497" s="27">
        <f>37.3485 * CHOOSE(CONTROL!$C$15, $E$9, 100%, $G$9) + CHOOSE(CONTROL!$C$38, 0.0256, 0)</f>
        <v>37.374099999999999</v>
      </c>
      <c r="G497" s="10">
        <f>34.5275 * CHOOSE(CONTROL!$C$15, $E$9, 100%, $G$9) + CHOOSE(CONTROL!$C$38, 0.0347, 0)</f>
        <v>34.562200000000004</v>
      </c>
      <c r="H497" s="10">
        <f>34.5275 * CHOOSE(CONTROL!$C$15, $E$9, 100%, $G$9) + CHOOSE(CONTROL!$C$38, 0.0347, 0)</f>
        <v>34.562200000000004</v>
      </c>
      <c r="I497" s="10">
        <f>34.529 * CHOOSE(CONTROL!$C$15, $E$9, 100%, $G$9) + CHOOSE(CONTROL!$C$38, 0.0347, 0)</f>
        <v>34.563700000000004</v>
      </c>
      <c r="J497" s="26">
        <f>259.5705</f>
        <v>259.57049999999998</v>
      </c>
    </row>
    <row r="498" spans="1:10" ht="15.75" x14ac:dyDescent="0.25">
      <c r="A498" s="14">
        <v>56461</v>
      </c>
      <c r="B498" s="10">
        <f>37.2983 * CHOOSE(CONTROL!$C$15, $E$9, 100%, $G$9) + CHOOSE(CONTROL!$C$38, 0.0256, 0)</f>
        <v>37.323899999999995</v>
      </c>
      <c r="C498" s="10">
        <f>34.3226 * CHOOSE(CONTROL!$C$15, $E$9, 100%, $G$9) + CHOOSE(CONTROL!$C$38, 0.0347, 0)</f>
        <v>34.357300000000002</v>
      </c>
      <c r="D498" s="10">
        <f>34.3147 * CHOOSE(CONTROL!$C$15, $E$9, 100%, $G$9) + CHOOSE(CONTROL!$C$38, 0.0347, 0)</f>
        <v>34.349400000000003</v>
      </c>
      <c r="E498" s="28">
        <f>37.142 * CHOOSE(CONTROL!$C$15, $E$9, 100%, $G$9) + CHOOSE(CONTROL!$C$38, 0.0347, 0)</f>
        <v>37.176700000000004</v>
      </c>
      <c r="F498" s="27">
        <f>37.142 * CHOOSE(CONTROL!$C$15, $E$9, 100%, $G$9) + CHOOSE(CONTROL!$C$38, 0.0256, 0)</f>
        <v>37.1676</v>
      </c>
      <c r="G498" s="10">
        <f>34.321 * CHOOSE(CONTROL!$C$15, $E$9, 100%, $G$9) + CHOOSE(CONTROL!$C$38, 0.0347, 0)</f>
        <v>34.355699999999999</v>
      </c>
      <c r="H498" s="10">
        <f>34.321 * CHOOSE(CONTROL!$C$15, $E$9, 100%, $G$9) + CHOOSE(CONTROL!$C$38, 0.0347, 0)</f>
        <v>34.355699999999999</v>
      </c>
      <c r="I498" s="10">
        <f>34.3226 * CHOOSE(CONTROL!$C$15, $E$9, 100%, $G$9) + CHOOSE(CONTROL!$C$38, 0.0347, 0)</f>
        <v>34.357300000000002</v>
      </c>
      <c r="J498" s="26">
        <f>258.3565</f>
        <v>258.35649999999998</v>
      </c>
    </row>
    <row r="499" spans="1:10" ht="15.75" x14ac:dyDescent="0.25">
      <c r="A499" s="14">
        <v>56492</v>
      </c>
      <c r="B499" s="10">
        <f>37.4002 * CHOOSE(CONTROL!$C$15, $E$9, 100%, $G$9) + CHOOSE(CONTROL!$C$38, 0.0256, 0)</f>
        <v>37.425799999999995</v>
      </c>
      <c r="C499" s="10">
        <f>34.4245 * CHOOSE(CONTROL!$C$15, $E$9, 100%, $G$9) + CHOOSE(CONTROL!$C$38, 0.0347, 0)</f>
        <v>34.459200000000003</v>
      </c>
      <c r="D499" s="10">
        <f>34.4167 * CHOOSE(CONTROL!$C$15, $E$9, 100%, $G$9) + CHOOSE(CONTROL!$C$38, 0.0347, 0)</f>
        <v>34.4514</v>
      </c>
      <c r="E499" s="28">
        <f>37.244 * CHOOSE(CONTROL!$C$15, $E$9, 100%, $G$9) + CHOOSE(CONTROL!$C$38, 0.0347, 0)</f>
        <v>37.278700000000001</v>
      </c>
      <c r="F499" s="27">
        <f>37.244 * CHOOSE(CONTROL!$C$15, $E$9, 100%, $G$9) + CHOOSE(CONTROL!$C$38, 0.0256, 0)</f>
        <v>37.269599999999997</v>
      </c>
      <c r="G499" s="10">
        <f>34.4229 * CHOOSE(CONTROL!$C$15, $E$9, 100%, $G$9) + CHOOSE(CONTROL!$C$38, 0.0347, 0)</f>
        <v>34.457599999999999</v>
      </c>
      <c r="H499" s="10">
        <f>34.4229 * CHOOSE(CONTROL!$C$15, $E$9, 100%, $G$9) + CHOOSE(CONTROL!$C$38, 0.0347, 0)</f>
        <v>34.457599999999999</v>
      </c>
      <c r="I499" s="10">
        <f>34.4245 * CHOOSE(CONTROL!$C$15, $E$9, 100%, $G$9) + CHOOSE(CONTROL!$C$38, 0.0347, 0)</f>
        <v>34.459200000000003</v>
      </c>
      <c r="J499" s="26">
        <f>252.3421</f>
        <v>252.34209999999999</v>
      </c>
    </row>
    <row r="500" spans="1:10" ht="15.75" x14ac:dyDescent="0.25">
      <c r="A500" s="14">
        <v>56522</v>
      </c>
      <c r="B500" s="10">
        <f>37.677 * CHOOSE(CONTROL!$C$15, $E$9, 100%, $G$9) + CHOOSE(CONTROL!$C$38, 0.0256, 0)</f>
        <v>37.702599999999997</v>
      </c>
      <c r="C500" s="10">
        <f>34.7013 * CHOOSE(CONTROL!$C$15, $E$9, 100%, $G$9) + CHOOSE(CONTROL!$C$38, 0.0347, 0)</f>
        <v>34.736000000000004</v>
      </c>
      <c r="D500" s="10">
        <f>34.6935 * CHOOSE(CONTROL!$C$15, $E$9, 100%, $G$9) + CHOOSE(CONTROL!$C$38, 0.0347, 0)</f>
        <v>34.728200000000001</v>
      </c>
      <c r="E500" s="28">
        <f>37.5208 * CHOOSE(CONTROL!$C$15, $E$9, 100%, $G$9) + CHOOSE(CONTROL!$C$38, 0.0347, 0)</f>
        <v>37.555500000000002</v>
      </c>
      <c r="F500" s="27">
        <f>37.5208 * CHOOSE(CONTROL!$C$15, $E$9, 100%, $G$9) + CHOOSE(CONTROL!$C$38, 0.0256, 0)</f>
        <v>37.546399999999998</v>
      </c>
      <c r="G500" s="10">
        <f>34.6997 * CHOOSE(CONTROL!$C$15, $E$9, 100%, $G$9) + CHOOSE(CONTROL!$C$38, 0.0347, 0)</f>
        <v>34.734400000000001</v>
      </c>
      <c r="H500" s="10">
        <f>34.6997 * CHOOSE(CONTROL!$C$15, $E$9, 100%, $G$9) + CHOOSE(CONTROL!$C$38, 0.0347, 0)</f>
        <v>34.734400000000001</v>
      </c>
      <c r="I500" s="10">
        <f>34.7013 * CHOOSE(CONTROL!$C$15, $E$9, 100%, $G$9) + CHOOSE(CONTROL!$C$38, 0.0347, 0)</f>
        <v>34.736000000000004</v>
      </c>
      <c r="J500" s="26">
        <f>243.9547</f>
        <v>243.9547</v>
      </c>
    </row>
    <row r="501" spans="1:10" ht="15.75" x14ac:dyDescent="0.25">
      <c r="A501" s="14">
        <v>56553</v>
      </c>
      <c r="B501" s="10">
        <f>37.9088 * CHOOSE(CONTROL!$C$15, $E$9, 100%, $G$9) + CHOOSE(CONTROL!$C$38, 0.0256, 0)</f>
        <v>37.934399999999997</v>
      </c>
      <c r="C501" s="10">
        <f>34.9331 * CHOOSE(CONTROL!$C$15, $E$9, 100%, $G$9) + CHOOSE(CONTROL!$C$38, 0.0347, 0)</f>
        <v>34.967800000000004</v>
      </c>
      <c r="D501" s="10">
        <f>34.9253 * CHOOSE(CONTROL!$C$15, $E$9, 100%, $G$9) + CHOOSE(CONTROL!$C$38, 0.0347, 0)</f>
        <v>34.96</v>
      </c>
      <c r="E501" s="28">
        <f>37.7526 * CHOOSE(CONTROL!$C$15, $E$9, 100%, $G$9) + CHOOSE(CONTROL!$C$38, 0.0347, 0)</f>
        <v>37.787300000000002</v>
      </c>
      <c r="F501" s="27">
        <f>37.7526 * CHOOSE(CONTROL!$C$15, $E$9, 100%, $G$9) + CHOOSE(CONTROL!$C$38, 0.0256, 0)</f>
        <v>37.778199999999998</v>
      </c>
      <c r="G501" s="10">
        <f>34.9315 * CHOOSE(CONTROL!$C$15, $E$9, 100%, $G$9) + CHOOSE(CONTROL!$C$38, 0.0347, 0)</f>
        <v>34.966200000000001</v>
      </c>
      <c r="H501" s="10">
        <f>34.9315 * CHOOSE(CONTROL!$C$15, $E$9, 100%, $G$9) + CHOOSE(CONTROL!$C$38, 0.0347, 0)</f>
        <v>34.966200000000001</v>
      </c>
      <c r="I501" s="10">
        <f>34.9331 * CHOOSE(CONTROL!$C$15, $E$9, 100%, $G$9) + CHOOSE(CONTROL!$C$38, 0.0347, 0)</f>
        <v>34.967800000000004</v>
      </c>
      <c r="J501" s="26">
        <f>235.5185</f>
        <v>235.51849999999999</v>
      </c>
    </row>
    <row r="502" spans="1:10" ht="15.75" x14ac:dyDescent="0.25">
      <c r="A502" s="14">
        <v>56583</v>
      </c>
      <c r="B502" s="10">
        <f>38.1023 * CHOOSE(CONTROL!$C$15, $E$9, 100%, $G$9) + CHOOSE(CONTROL!$C$38, 0.0256, 0)</f>
        <v>38.127899999999997</v>
      </c>
      <c r="C502" s="10">
        <f>35.1265 * CHOOSE(CONTROL!$C$15, $E$9, 100%, $G$9) + CHOOSE(CONTROL!$C$38, 0.0347, 0)</f>
        <v>35.161200000000001</v>
      </c>
      <c r="D502" s="10">
        <f>35.1187 * CHOOSE(CONTROL!$C$15, $E$9, 100%, $G$9) + CHOOSE(CONTROL!$C$38, 0.0347, 0)</f>
        <v>35.153399999999998</v>
      </c>
      <c r="E502" s="28">
        <f>37.946 * CHOOSE(CONTROL!$C$15, $E$9, 100%, $G$9) + CHOOSE(CONTROL!$C$38, 0.0347, 0)</f>
        <v>37.980699999999999</v>
      </c>
      <c r="F502" s="27">
        <f>37.946 * CHOOSE(CONTROL!$C$15, $E$9, 100%, $G$9) + CHOOSE(CONTROL!$C$38, 0.0256, 0)</f>
        <v>37.971599999999995</v>
      </c>
      <c r="G502" s="10">
        <f>35.125 * CHOOSE(CONTROL!$C$15, $E$9, 100%, $G$9) + CHOOSE(CONTROL!$C$38, 0.0347, 0)</f>
        <v>35.159700000000001</v>
      </c>
      <c r="H502" s="10">
        <f>35.125 * CHOOSE(CONTROL!$C$15, $E$9, 100%, $G$9) + CHOOSE(CONTROL!$C$38, 0.0347, 0)</f>
        <v>35.159700000000001</v>
      </c>
      <c r="I502" s="10">
        <f>35.1265 * CHOOSE(CONTROL!$C$15, $E$9, 100%, $G$9) + CHOOSE(CONTROL!$C$38, 0.0347, 0)</f>
        <v>35.161200000000001</v>
      </c>
      <c r="J502" s="26">
        <f>233.8403</f>
        <v>233.84030000000001</v>
      </c>
    </row>
    <row r="503" spans="1:10" ht="15.75" x14ac:dyDescent="0.25">
      <c r="A503" s="14">
        <v>56614</v>
      </c>
      <c r="B503" s="10">
        <f>38.6983 * CHOOSE(CONTROL!$C$15, $E$9, 100%, $G$9) + CHOOSE(CONTROL!$C$38, 0.0256, 0)</f>
        <v>38.7239</v>
      </c>
      <c r="C503" s="10">
        <f>35.7226 * CHOOSE(CONTROL!$C$15, $E$9, 100%, $G$9) + CHOOSE(CONTROL!$C$38, 0.0347, 0)</f>
        <v>35.757300000000001</v>
      </c>
      <c r="D503" s="10">
        <f>35.7148 * CHOOSE(CONTROL!$C$15, $E$9, 100%, $G$9) + CHOOSE(CONTROL!$C$38, 0.0347, 0)</f>
        <v>35.749499999999998</v>
      </c>
      <c r="E503" s="28">
        <f>38.5421 * CHOOSE(CONTROL!$C$15, $E$9, 100%, $G$9) + CHOOSE(CONTROL!$C$38, 0.0347, 0)</f>
        <v>38.576799999999999</v>
      </c>
      <c r="F503" s="27">
        <f>38.5421 * CHOOSE(CONTROL!$C$15, $E$9, 100%, $G$9) + CHOOSE(CONTROL!$C$38, 0.0256, 0)</f>
        <v>38.567699999999995</v>
      </c>
      <c r="G503" s="10">
        <f>35.721 * CHOOSE(CONTROL!$C$15, $E$9, 100%, $G$9) + CHOOSE(CONTROL!$C$38, 0.0347, 0)</f>
        <v>35.755699999999997</v>
      </c>
      <c r="H503" s="10">
        <f>35.721 * CHOOSE(CONTROL!$C$15, $E$9, 100%, $G$9) + CHOOSE(CONTROL!$C$38, 0.0347, 0)</f>
        <v>35.755699999999997</v>
      </c>
      <c r="I503" s="10">
        <f>35.7226 * CHOOSE(CONTROL!$C$15, $E$9, 100%, $G$9) + CHOOSE(CONTROL!$C$38, 0.0347, 0)</f>
        <v>35.757300000000001</v>
      </c>
      <c r="J503" s="26">
        <f>226.9011</f>
        <v>226.90110000000001</v>
      </c>
    </row>
    <row r="504" spans="1:10" ht="15.75" x14ac:dyDescent="0.25">
      <c r="A504" s="13">
        <v>56645</v>
      </c>
      <c r="B504" s="10">
        <f>39.832 * CHOOSE(CONTROL!$C$15, $E$9, 100%, $G$9) + CHOOSE(CONTROL!$C$38, 0.0256, 0)</f>
        <v>39.857599999999998</v>
      </c>
      <c r="C504" s="10">
        <f>36.8065 * CHOOSE(CONTROL!$C$15, $E$9, 100%, $G$9) + CHOOSE(CONTROL!$C$38, 0.0347, 0)</f>
        <v>36.841200000000001</v>
      </c>
      <c r="D504" s="10">
        <f>36.7987 * CHOOSE(CONTROL!$C$15, $E$9, 100%, $G$9) + CHOOSE(CONTROL!$C$38, 0.0347, 0)</f>
        <v>36.833399999999997</v>
      </c>
      <c r="E504" s="28">
        <f>39.6758 * CHOOSE(CONTROL!$C$15, $E$9, 100%, $G$9) + CHOOSE(CONTROL!$C$38, 0.0347, 0)</f>
        <v>39.710500000000003</v>
      </c>
      <c r="F504" s="27">
        <f>39.6758 * CHOOSE(CONTROL!$C$15, $E$9, 100%, $G$9) + CHOOSE(CONTROL!$C$38, 0.0256, 0)</f>
        <v>39.7014</v>
      </c>
      <c r="G504" s="10">
        <f>36.8049 * CHOOSE(CONTROL!$C$15, $E$9, 100%, $G$9) + CHOOSE(CONTROL!$C$38, 0.0347, 0)</f>
        <v>36.839600000000004</v>
      </c>
      <c r="H504" s="10">
        <f>36.8049 * CHOOSE(CONTROL!$C$15, $E$9, 100%, $G$9) + CHOOSE(CONTROL!$C$38, 0.0347, 0)</f>
        <v>36.839600000000004</v>
      </c>
      <c r="I504" s="10">
        <f>36.8065 * CHOOSE(CONTROL!$C$15, $E$9, 100%, $G$9) + CHOOSE(CONTROL!$C$38, 0.0347, 0)</f>
        <v>36.841200000000001</v>
      </c>
      <c r="J504" s="26">
        <f>225.3812</f>
        <v>225.38120000000001</v>
      </c>
    </row>
    <row r="505" spans="1:10" ht="15.75" x14ac:dyDescent="0.25">
      <c r="A505" s="13">
        <v>56673</v>
      </c>
      <c r="B505" s="10">
        <f>40.0528 * CHOOSE(CONTROL!$C$15, $E$9, 100%, $G$9) + CHOOSE(CONTROL!$C$38, 0.0256, 0)</f>
        <v>40.078399999999995</v>
      </c>
      <c r="C505" s="10">
        <f>37.0272 * CHOOSE(CONTROL!$C$15, $E$9, 100%, $G$9) + CHOOSE(CONTROL!$C$38, 0.0347, 0)</f>
        <v>37.061900000000001</v>
      </c>
      <c r="D505" s="10">
        <f>37.0194 * CHOOSE(CONTROL!$C$15, $E$9, 100%, $G$9) + CHOOSE(CONTROL!$C$38, 0.0347, 0)</f>
        <v>37.054099999999998</v>
      </c>
      <c r="E505" s="28">
        <f>39.8965 * CHOOSE(CONTROL!$C$15, $E$9, 100%, $G$9) + CHOOSE(CONTROL!$C$38, 0.0347, 0)</f>
        <v>39.931200000000004</v>
      </c>
      <c r="F505" s="27">
        <f>39.8965 * CHOOSE(CONTROL!$C$15, $E$9, 100%, $G$9) + CHOOSE(CONTROL!$C$38, 0.0256, 0)</f>
        <v>39.9221</v>
      </c>
      <c r="G505" s="10">
        <f>37.0257 * CHOOSE(CONTROL!$C$15, $E$9, 100%, $G$9) + CHOOSE(CONTROL!$C$38, 0.0347, 0)</f>
        <v>37.060400000000001</v>
      </c>
      <c r="H505" s="10">
        <f>37.0257 * CHOOSE(CONTROL!$C$15, $E$9, 100%, $G$9) + CHOOSE(CONTROL!$C$38, 0.0347, 0)</f>
        <v>37.060400000000001</v>
      </c>
      <c r="I505" s="10">
        <f>37.0272 * CHOOSE(CONTROL!$C$15, $E$9, 100%, $G$9) + CHOOSE(CONTROL!$C$38, 0.0347, 0)</f>
        <v>37.061900000000001</v>
      </c>
      <c r="J505" s="26">
        <f>224.7547</f>
        <v>224.75470000000001</v>
      </c>
    </row>
    <row r="506" spans="1:10" ht="15.75" x14ac:dyDescent="0.25">
      <c r="A506" s="13">
        <v>56704</v>
      </c>
      <c r="B506" s="10">
        <f>39.5418 * CHOOSE(CONTROL!$C$15, $E$9, 100%, $G$9) + CHOOSE(CONTROL!$C$38, 0.0256, 0)</f>
        <v>39.567399999999999</v>
      </c>
      <c r="C506" s="10">
        <f>36.5162 * CHOOSE(CONTROL!$C$15, $E$9, 100%, $G$9) + CHOOSE(CONTROL!$C$38, 0.0347, 0)</f>
        <v>36.550899999999999</v>
      </c>
      <c r="D506" s="10">
        <f>36.5084 * CHOOSE(CONTROL!$C$15, $E$9, 100%, $G$9) + CHOOSE(CONTROL!$C$38, 0.0347, 0)</f>
        <v>36.543100000000003</v>
      </c>
      <c r="E506" s="28">
        <f>39.3855 * CHOOSE(CONTROL!$C$15, $E$9, 100%, $G$9) + CHOOSE(CONTROL!$C$38, 0.0347, 0)</f>
        <v>39.420200000000001</v>
      </c>
      <c r="F506" s="27">
        <f>39.3855 * CHOOSE(CONTROL!$C$15, $E$9, 100%, $G$9) + CHOOSE(CONTROL!$C$38, 0.0256, 0)</f>
        <v>39.411099999999998</v>
      </c>
      <c r="G506" s="10">
        <f>36.5146 * CHOOSE(CONTROL!$C$15, $E$9, 100%, $G$9) + CHOOSE(CONTROL!$C$38, 0.0347, 0)</f>
        <v>36.549300000000002</v>
      </c>
      <c r="H506" s="10">
        <f>36.5146 * CHOOSE(CONTROL!$C$15, $E$9, 100%, $G$9) + CHOOSE(CONTROL!$C$38, 0.0347, 0)</f>
        <v>36.549300000000002</v>
      </c>
      <c r="I506" s="10">
        <f>36.5162 * CHOOSE(CONTROL!$C$15, $E$9, 100%, $G$9) + CHOOSE(CONTROL!$C$38, 0.0347, 0)</f>
        <v>36.550899999999999</v>
      </c>
      <c r="J506" s="26">
        <f>236.6006</f>
        <v>236.60059999999999</v>
      </c>
    </row>
    <row r="507" spans="1:10" ht="15.75" x14ac:dyDescent="0.25">
      <c r="A507" s="13">
        <v>56734</v>
      </c>
      <c r="B507" s="10">
        <f>39.0466 * CHOOSE(CONTROL!$C$15, $E$9, 100%, $G$9) + CHOOSE(CONTROL!$C$38, 0.0256, 0)</f>
        <v>39.072199999999995</v>
      </c>
      <c r="C507" s="10">
        <f>36.021 * CHOOSE(CONTROL!$C$15, $E$9, 100%, $G$9) + CHOOSE(CONTROL!$C$38, 0.0347, 0)</f>
        <v>36.055700000000002</v>
      </c>
      <c r="D507" s="10">
        <f>36.0132 * CHOOSE(CONTROL!$C$15, $E$9, 100%, $G$9) + CHOOSE(CONTROL!$C$38, 0.0347, 0)</f>
        <v>36.047899999999998</v>
      </c>
      <c r="E507" s="28">
        <f>38.8903 * CHOOSE(CONTROL!$C$15, $E$9, 100%, $G$9) + CHOOSE(CONTROL!$C$38, 0.0347, 0)</f>
        <v>38.925000000000004</v>
      </c>
      <c r="F507" s="27">
        <f>38.8903 * CHOOSE(CONTROL!$C$15, $E$9, 100%, $G$9) + CHOOSE(CONTROL!$C$38, 0.0256, 0)</f>
        <v>38.915900000000001</v>
      </c>
      <c r="G507" s="10">
        <f>36.0195 * CHOOSE(CONTROL!$C$15, $E$9, 100%, $G$9) + CHOOSE(CONTROL!$C$38, 0.0347, 0)</f>
        <v>36.054200000000002</v>
      </c>
      <c r="H507" s="10">
        <f>36.0195 * CHOOSE(CONTROL!$C$15, $E$9, 100%, $G$9) + CHOOSE(CONTROL!$C$38, 0.0347, 0)</f>
        <v>36.054200000000002</v>
      </c>
      <c r="I507" s="10">
        <f>36.021 * CHOOSE(CONTROL!$C$15, $E$9, 100%, $G$9) + CHOOSE(CONTROL!$C$38, 0.0347, 0)</f>
        <v>36.055700000000002</v>
      </c>
      <c r="J507" s="26">
        <f>251.9619</f>
        <v>251.96190000000001</v>
      </c>
    </row>
    <row r="508" spans="1:10" ht="15.75" x14ac:dyDescent="0.25">
      <c r="A508" s="13">
        <v>56765</v>
      </c>
      <c r="B508" s="10">
        <f>38.5305 * CHOOSE(CONTROL!$C$15, $E$9, 100%, $G$9) + CHOOSE(CONTROL!$C$38, 0.0256, 0)</f>
        <v>38.556100000000001</v>
      </c>
      <c r="C508" s="10">
        <f>35.5049 * CHOOSE(CONTROL!$C$15, $E$9, 100%, $G$9) + CHOOSE(CONTROL!$C$38, 0.0347, 0)</f>
        <v>35.5396</v>
      </c>
      <c r="D508" s="10">
        <f>35.4971 * CHOOSE(CONTROL!$C$15, $E$9, 100%, $G$9) + CHOOSE(CONTROL!$C$38, 0.0347, 0)</f>
        <v>35.531800000000004</v>
      </c>
      <c r="E508" s="28">
        <f>38.3742 * CHOOSE(CONTROL!$C$15, $E$9, 100%, $G$9) + CHOOSE(CONTROL!$C$38, 0.0347, 0)</f>
        <v>38.408900000000003</v>
      </c>
      <c r="F508" s="27">
        <f>38.3742 * CHOOSE(CONTROL!$C$15, $E$9, 100%, $G$9) + CHOOSE(CONTROL!$C$38, 0.0256, 0)</f>
        <v>38.399799999999999</v>
      </c>
      <c r="G508" s="10">
        <f>35.5033 * CHOOSE(CONTROL!$C$15, $E$9, 100%, $G$9) + CHOOSE(CONTROL!$C$38, 0.0347, 0)</f>
        <v>35.538000000000004</v>
      </c>
      <c r="H508" s="10">
        <f>35.5033 * CHOOSE(CONTROL!$C$15, $E$9, 100%, $G$9) + CHOOSE(CONTROL!$C$38, 0.0347, 0)</f>
        <v>35.538000000000004</v>
      </c>
      <c r="I508" s="10">
        <f>35.5049 * CHOOSE(CONTROL!$C$15, $E$9, 100%, $G$9) + CHOOSE(CONTROL!$C$38, 0.0347, 0)</f>
        <v>35.5396</v>
      </c>
      <c r="J508" s="26">
        <f>260.4172</f>
        <v>260.41719999999998</v>
      </c>
    </row>
    <row r="509" spans="1:10" ht="15.75" x14ac:dyDescent="0.25">
      <c r="A509" s="13">
        <v>56795</v>
      </c>
      <c r="B509" s="10">
        <f>38.1686 * CHOOSE(CONTROL!$C$15, $E$9, 100%, $G$9) + CHOOSE(CONTROL!$C$38, 0.0256, 0)</f>
        <v>38.194199999999995</v>
      </c>
      <c r="C509" s="10">
        <f>35.1431 * CHOOSE(CONTROL!$C$15, $E$9, 100%, $G$9) + CHOOSE(CONTROL!$C$38, 0.0347, 0)</f>
        <v>35.177799999999998</v>
      </c>
      <c r="D509" s="10">
        <f>35.1353 * CHOOSE(CONTROL!$C$15, $E$9, 100%, $G$9) + CHOOSE(CONTROL!$C$38, 0.0347, 0)</f>
        <v>35.17</v>
      </c>
      <c r="E509" s="28">
        <f>38.0124 * CHOOSE(CONTROL!$C$15, $E$9, 100%, $G$9) + CHOOSE(CONTROL!$C$38, 0.0347, 0)</f>
        <v>38.0471</v>
      </c>
      <c r="F509" s="27">
        <f>38.0124 * CHOOSE(CONTROL!$C$15, $E$9, 100%, $G$9) + CHOOSE(CONTROL!$C$38, 0.0256, 0)</f>
        <v>38.037999999999997</v>
      </c>
      <c r="G509" s="10">
        <f>35.1415 * CHOOSE(CONTROL!$C$15, $E$9, 100%, $G$9) + CHOOSE(CONTROL!$C$38, 0.0347, 0)</f>
        <v>35.176200000000001</v>
      </c>
      <c r="H509" s="10">
        <f>35.1415 * CHOOSE(CONTROL!$C$15, $E$9, 100%, $G$9) + CHOOSE(CONTROL!$C$38, 0.0347, 0)</f>
        <v>35.176200000000001</v>
      </c>
      <c r="I509" s="10">
        <f>35.1431 * CHOOSE(CONTROL!$C$15, $E$9, 100%, $G$9) + CHOOSE(CONTROL!$C$38, 0.0347, 0)</f>
        <v>35.177799999999998</v>
      </c>
      <c r="J509" s="26">
        <f>264.1696</f>
        <v>264.1696</v>
      </c>
    </row>
    <row r="510" spans="1:10" ht="15.75" x14ac:dyDescent="0.25">
      <c r="A510" s="13">
        <v>56826</v>
      </c>
      <c r="B510" s="10">
        <f>37.9621 * CHOOSE(CONTROL!$C$15, $E$9, 100%, $G$9) + CHOOSE(CONTROL!$C$38, 0.0256, 0)</f>
        <v>37.987699999999997</v>
      </c>
      <c r="C510" s="10">
        <f>34.9366 * CHOOSE(CONTROL!$C$15, $E$9, 100%, $G$9) + CHOOSE(CONTROL!$C$38, 0.0347, 0)</f>
        <v>34.971299999999999</v>
      </c>
      <c r="D510" s="10">
        <f>34.9288 * CHOOSE(CONTROL!$C$15, $E$9, 100%, $G$9) + CHOOSE(CONTROL!$C$38, 0.0347, 0)</f>
        <v>34.963500000000003</v>
      </c>
      <c r="E510" s="28">
        <f>37.8059 * CHOOSE(CONTROL!$C$15, $E$9, 100%, $G$9) + CHOOSE(CONTROL!$C$38, 0.0347, 0)</f>
        <v>37.840600000000002</v>
      </c>
      <c r="F510" s="27">
        <f>37.8059 * CHOOSE(CONTROL!$C$15, $E$9, 100%, $G$9) + CHOOSE(CONTROL!$C$38, 0.0256, 0)</f>
        <v>37.831499999999998</v>
      </c>
      <c r="G510" s="10">
        <f>34.935 * CHOOSE(CONTROL!$C$15, $E$9, 100%, $G$9) + CHOOSE(CONTROL!$C$38, 0.0347, 0)</f>
        <v>34.969700000000003</v>
      </c>
      <c r="H510" s="10">
        <f>34.935 * CHOOSE(CONTROL!$C$15, $E$9, 100%, $G$9) + CHOOSE(CONTROL!$C$38, 0.0347, 0)</f>
        <v>34.969700000000003</v>
      </c>
      <c r="I510" s="10">
        <f>34.9366 * CHOOSE(CONTROL!$C$15, $E$9, 100%, $G$9) + CHOOSE(CONTROL!$C$38, 0.0347, 0)</f>
        <v>34.971299999999999</v>
      </c>
      <c r="J510" s="26">
        <f>262.9341</f>
        <v>262.9341</v>
      </c>
    </row>
    <row r="511" spans="1:10" ht="15.75" x14ac:dyDescent="0.25">
      <c r="A511" s="13">
        <v>56857</v>
      </c>
      <c r="B511" s="10">
        <f>38.064 * CHOOSE(CONTROL!$C$15, $E$9, 100%, $G$9) + CHOOSE(CONTROL!$C$38, 0.0256, 0)</f>
        <v>38.089599999999997</v>
      </c>
      <c r="C511" s="10">
        <f>35.0385 * CHOOSE(CONTROL!$C$15, $E$9, 100%, $G$9) + CHOOSE(CONTROL!$C$38, 0.0347, 0)</f>
        <v>35.0732</v>
      </c>
      <c r="D511" s="10">
        <f>35.0307 * CHOOSE(CONTROL!$C$15, $E$9, 100%, $G$9) + CHOOSE(CONTROL!$C$38, 0.0347, 0)</f>
        <v>35.065400000000004</v>
      </c>
      <c r="E511" s="28">
        <f>37.9078 * CHOOSE(CONTROL!$C$15, $E$9, 100%, $G$9) + CHOOSE(CONTROL!$C$38, 0.0347, 0)</f>
        <v>37.942500000000003</v>
      </c>
      <c r="F511" s="27">
        <f>37.9078 * CHOOSE(CONTROL!$C$15, $E$9, 100%, $G$9) + CHOOSE(CONTROL!$C$38, 0.0256, 0)</f>
        <v>37.933399999999999</v>
      </c>
      <c r="G511" s="10">
        <f>35.0369 * CHOOSE(CONTROL!$C$15, $E$9, 100%, $G$9) + CHOOSE(CONTROL!$C$38, 0.0347, 0)</f>
        <v>35.071600000000004</v>
      </c>
      <c r="H511" s="10">
        <f>35.0369 * CHOOSE(CONTROL!$C$15, $E$9, 100%, $G$9) + CHOOSE(CONTROL!$C$38, 0.0347, 0)</f>
        <v>35.071600000000004</v>
      </c>
      <c r="I511" s="10">
        <f>35.0385 * CHOOSE(CONTROL!$C$15, $E$9, 100%, $G$9) + CHOOSE(CONTROL!$C$38, 0.0347, 0)</f>
        <v>35.0732</v>
      </c>
      <c r="J511" s="26">
        <f>256.8131</f>
        <v>256.81310000000002</v>
      </c>
    </row>
    <row r="512" spans="1:10" ht="15.75" x14ac:dyDescent="0.25">
      <c r="A512" s="13">
        <v>56887</v>
      </c>
      <c r="B512" s="10">
        <f>38.3408 * CHOOSE(CONTROL!$C$15, $E$9, 100%, $G$9) + CHOOSE(CONTROL!$C$38, 0.0256, 0)</f>
        <v>38.366399999999999</v>
      </c>
      <c r="C512" s="10">
        <f>35.3153 * CHOOSE(CONTROL!$C$15, $E$9, 100%, $G$9) + CHOOSE(CONTROL!$C$38, 0.0347, 0)</f>
        <v>35.35</v>
      </c>
      <c r="D512" s="10">
        <f>35.3075 * CHOOSE(CONTROL!$C$15, $E$9, 100%, $G$9) + CHOOSE(CONTROL!$C$38, 0.0347, 0)</f>
        <v>35.342199999999998</v>
      </c>
      <c r="E512" s="28">
        <f>38.1846 * CHOOSE(CONTROL!$C$15, $E$9, 100%, $G$9) + CHOOSE(CONTROL!$C$38, 0.0347, 0)</f>
        <v>38.219300000000004</v>
      </c>
      <c r="F512" s="27">
        <f>38.1846 * CHOOSE(CONTROL!$C$15, $E$9, 100%, $G$9) + CHOOSE(CONTROL!$C$38, 0.0256, 0)</f>
        <v>38.2102</v>
      </c>
      <c r="G512" s="10">
        <f>35.3137 * CHOOSE(CONTROL!$C$15, $E$9, 100%, $G$9) + CHOOSE(CONTROL!$C$38, 0.0347, 0)</f>
        <v>35.348399999999998</v>
      </c>
      <c r="H512" s="10">
        <f>35.3137 * CHOOSE(CONTROL!$C$15, $E$9, 100%, $G$9) + CHOOSE(CONTROL!$C$38, 0.0347, 0)</f>
        <v>35.348399999999998</v>
      </c>
      <c r="I512" s="10">
        <f>35.3153 * CHOOSE(CONTROL!$C$15, $E$9, 100%, $G$9) + CHOOSE(CONTROL!$C$38, 0.0347, 0)</f>
        <v>35.35</v>
      </c>
      <c r="J512" s="26">
        <f>248.2771</f>
        <v>248.27709999999999</v>
      </c>
    </row>
    <row r="513" spans="1:10" ht="15.75" x14ac:dyDescent="0.25">
      <c r="A513" s="13">
        <v>56918</v>
      </c>
      <c r="B513" s="10">
        <f>38.5727 * CHOOSE(CONTROL!$C$15, $E$9, 100%, $G$9) + CHOOSE(CONTROL!$C$38, 0.0256, 0)</f>
        <v>38.598299999999995</v>
      </c>
      <c r="C513" s="10">
        <f>35.5471 * CHOOSE(CONTROL!$C$15, $E$9, 100%, $G$9) + CHOOSE(CONTROL!$C$38, 0.0347, 0)</f>
        <v>35.581800000000001</v>
      </c>
      <c r="D513" s="10">
        <f>35.5393 * CHOOSE(CONTROL!$C$15, $E$9, 100%, $G$9) + CHOOSE(CONTROL!$C$38, 0.0347, 0)</f>
        <v>35.573999999999998</v>
      </c>
      <c r="E513" s="28">
        <f>38.4164 * CHOOSE(CONTROL!$C$15, $E$9, 100%, $G$9) + CHOOSE(CONTROL!$C$38, 0.0347, 0)</f>
        <v>38.451100000000004</v>
      </c>
      <c r="F513" s="27">
        <f>38.4164 * CHOOSE(CONTROL!$C$15, $E$9, 100%, $G$9) + CHOOSE(CONTROL!$C$38, 0.0256, 0)</f>
        <v>38.442</v>
      </c>
      <c r="G513" s="10">
        <f>35.5455 * CHOOSE(CONTROL!$C$15, $E$9, 100%, $G$9) + CHOOSE(CONTROL!$C$38, 0.0347, 0)</f>
        <v>35.580199999999998</v>
      </c>
      <c r="H513" s="10">
        <f>35.5455 * CHOOSE(CONTROL!$C$15, $E$9, 100%, $G$9) + CHOOSE(CONTROL!$C$38, 0.0347, 0)</f>
        <v>35.580199999999998</v>
      </c>
      <c r="I513" s="10">
        <f>35.5471 * CHOOSE(CONTROL!$C$15, $E$9, 100%, $G$9) + CHOOSE(CONTROL!$C$38, 0.0347, 0)</f>
        <v>35.581800000000001</v>
      </c>
      <c r="J513" s="26">
        <f>239.6914</f>
        <v>239.69139999999999</v>
      </c>
    </row>
    <row r="514" spans="1:10" ht="15.75" x14ac:dyDescent="0.25">
      <c r="A514" s="13">
        <v>56948</v>
      </c>
      <c r="B514" s="10">
        <f>38.7661 * CHOOSE(CONTROL!$C$15, $E$9, 100%, $G$9) + CHOOSE(CONTROL!$C$38, 0.0256, 0)</f>
        <v>38.791699999999999</v>
      </c>
      <c r="C514" s="10">
        <f>35.7406 * CHOOSE(CONTROL!$C$15, $E$9, 100%, $G$9) + CHOOSE(CONTROL!$C$38, 0.0347, 0)</f>
        <v>35.775300000000001</v>
      </c>
      <c r="D514" s="10">
        <f>35.7327 * CHOOSE(CONTROL!$C$15, $E$9, 100%, $G$9) + CHOOSE(CONTROL!$C$38, 0.0347, 0)</f>
        <v>35.767400000000002</v>
      </c>
      <c r="E514" s="28">
        <f>38.6099 * CHOOSE(CONTROL!$C$15, $E$9, 100%, $G$9) + CHOOSE(CONTROL!$C$38, 0.0347, 0)</f>
        <v>38.644600000000004</v>
      </c>
      <c r="F514" s="27">
        <f>38.6099 * CHOOSE(CONTROL!$C$15, $E$9, 100%, $G$9) + CHOOSE(CONTROL!$C$38, 0.0256, 0)</f>
        <v>38.6355</v>
      </c>
      <c r="G514" s="10">
        <f>35.739 * CHOOSE(CONTROL!$C$15, $E$9, 100%, $G$9) + CHOOSE(CONTROL!$C$38, 0.0347, 0)</f>
        <v>35.773699999999998</v>
      </c>
      <c r="H514" s="10">
        <f>35.739 * CHOOSE(CONTROL!$C$15, $E$9, 100%, $G$9) + CHOOSE(CONTROL!$C$38, 0.0347, 0)</f>
        <v>35.773699999999998</v>
      </c>
      <c r="I514" s="10">
        <f>35.7406 * CHOOSE(CONTROL!$C$15, $E$9, 100%, $G$9) + CHOOSE(CONTROL!$C$38, 0.0347, 0)</f>
        <v>35.775300000000001</v>
      </c>
      <c r="J514" s="26">
        <f>237.9836</f>
        <v>237.9836</v>
      </c>
    </row>
    <row r="515" spans="1:10" ht="15.75" x14ac:dyDescent="0.25">
      <c r="A515" s="13">
        <v>56979</v>
      </c>
      <c r="B515" s="10">
        <f>39.3622 * CHOOSE(CONTROL!$C$15, $E$9, 100%, $G$9) + CHOOSE(CONTROL!$C$38, 0.0256, 0)</f>
        <v>39.387799999999999</v>
      </c>
      <c r="C515" s="10">
        <f>36.3366 * CHOOSE(CONTROL!$C$15, $E$9, 100%, $G$9) + CHOOSE(CONTROL!$C$38, 0.0347, 0)</f>
        <v>36.371299999999998</v>
      </c>
      <c r="D515" s="10">
        <f>36.3288 * CHOOSE(CONTROL!$C$15, $E$9, 100%, $G$9) + CHOOSE(CONTROL!$C$38, 0.0347, 0)</f>
        <v>36.363500000000002</v>
      </c>
      <c r="E515" s="28">
        <f>39.2059 * CHOOSE(CONTROL!$C$15, $E$9, 100%, $G$9) + CHOOSE(CONTROL!$C$38, 0.0347, 0)</f>
        <v>39.240600000000001</v>
      </c>
      <c r="F515" s="27">
        <f>39.2059 * CHOOSE(CONTROL!$C$15, $E$9, 100%, $G$9) + CHOOSE(CONTROL!$C$38, 0.0256, 0)</f>
        <v>39.231499999999997</v>
      </c>
      <c r="G515" s="10">
        <f>36.3351 * CHOOSE(CONTROL!$C$15, $E$9, 100%, $G$9) + CHOOSE(CONTROL!$C$38, 0.0347, 0)</f>
        <v>36.369799999999998</v>
      </c>
      <c r="H515" s="10">
        <f>36.3351 * CHOOSE(CONTROL!$C$15, $E$9, 100%, $G$9) + CHOOSE(CONTROL!$C$38, 0.0347, 0)</f>
        <v>36.369799999999998</v>
      </c>
      <c r="I515" s="10">
        <f>36.3366 * CHOOSE(CONTROL!$C$15, $E$9, 100%, $G$9) + CHOOSE(CONTROL!$C$38, 0.0347, 0)</f>
        <v>36.371299999999998</v>
      </c>
      <c r="J515" s="26">
        <f>230.9214</f>
        <v>230.92140000000001</v>
      </c>
    </row>
    <row r="516" spans="1:10" ht="15.75" x14ac:dyDescent="0.25">
      <c r="A516" s="13">
        <v>57010</v>
      </c>
      <c r="B516" s="10">
        <f>40.5076 * CHOOSE(CONTROL!$C$15, $E$9, 100%, $G$9) + CHOOSE(CONTROL!$C$38, 0.0256, 0)</f>
        <v>40.533199999999994</v>
      </c>
      <c r="C516" s="10">
        <f>37.4313 * CHOOSE(CONTROL!$C$15, $E$9, 100%, $G$9) + CHOOSE(CONTROL!$C$38, 0.0347, 0)</f>
        <v>37.466000000000001</v>
      </c>
      <c r="D516" s="10">
        <f>37.4235 * CHOOSE(CONTROL!$C$15, $E$9, 100%, $G$9) + CHOOSE(CONTROL!$C$38, 0.0347, 0)</f>
        <v>37.458199999999998</v>
      </c>
      <c r="E516" s="28">
        <f>40.3513 * CHOOSE(CONTROL!$C$15, $E$9, 100%, $G$9) + CHOOSE(CONTROL!$C$38, 0.0347, 0)</f>
        <v>40.386000000000003</v>
      </c>
      <c r="F516" s="27">
        <f>40.3513 * CHOOSE(CONTROL!$C$15, $E$9, 100%, $G$9) + CHOOSE(CONTROL!$C$38, 0.0256, 0)</f>
        <v>40.376899999999999</v>
      </c>
      <c r="G516" s="10">
        <f>37.4298 * CHOOSE(CONTROL!$C$15, $E$9, 100%, $G$9) + CHOOSE(CONTROL!$C$38, 0.0347, 0)</f>
        <v>37.464500000000001</v>
      </c>
      <c r="H516" s="10">
        <f>37.4298 * CHOOSE(CONTROL!$C$15, $E$9, 100%, $G$9) + CHOOSE(CONTROL!$C$38, 0.0347, 0)</f>
        <v>37.464500000000001</v>
      </c>
      <c r="I516" s="10">
        <f>37.4313 * CHOOSE(CONTROL!$C$15, $E$9, 100%, $G$9) + CHOOSE(CONTROL!$C$38, 0.0347, 0)</f>
        <v>37.466000000000001</v>
      </c>
      <c r="J516" s="26">
        <f>229.3746</f>
        <v>229.37459999999999</v>
      </c>
    </row>
    <row r="517" spans="1:10" ht="15.75" x14ac:dyDescent="0.25">
      <c r="A517" s="13">
        <v>57038</v>
      </c>
      <c r="B517" s="10">
        <f>40.7284 * CHOOSE(CONTROL!$C$15, $E$9, 100%, $G$9) + CHOOSE(CONTROL!$C$38, 0.0256, 0)</f>
        <v>40.753999999999998</v>
      </c>
      <c r="C517" s="10">
        <f>37.6521 * CHOOSE(CONTROL!$C$15, $E$9, 100%, $G$9) + CHOOSE(CONTROL!$C$38, 0.0347, 0)</f>
        <v>37.686799999999998</v>
      </c>
      <c r="D517" s="10">
        <f>37.6443 * CHOOSE(CONTROL!$C$15, $E$9, 100%, $G$9) + CHOOSE(CONTROL!$C$38, 0.0347, 0)</f>
        <v>37.679000000000002</v>
      </c>
      <c r="E517" s="28">
        <f>40.5721 * CHOOSE(CONTROL!$C$15, $E$9, 100%, $G$9) + CHOOSE(CONTROL!$C$38, 0.0347, 0)</f>
        <v>40.6068</v>
      </c>
      <c r="F517" s="27">
        <f>40.5721 * CHOOSE(CONTROL!$C$15, $E$9, 100%, $G$9) + CHOOSE(CONTROL!$C$38, 0.0256, 0)</f>
        <v>40.597699999999996</v>
      </c>
      <c r="G517" s="10">
        <f>37.6505 * CHOOSE(CONTROL!$C$15, $E$9, 100%, $G$9) + CHOOSE(CONTROL!$C$38, 0.0347, 0)</f>
        <v>37.685200000000002</v>
      </c>
      <c r="H517" s="10">
        <f>37.6505 * CHOOSE(CONTROL!$C$15, $E$9, 100%, $G$9) + CHOOSE(CONTROL!$C$38, 0.0347, 0)</f>
        <v>37.685200000000002</v>
      </c>
      <c r="I517" s="10">
        <f>37.6521 * CHOOSE(CONTROL!$C$15, $E$9, 100%, $G$9) + CHOOSE(CONTROL!$C$38, 0.0347, 0)</f>
        <v>37.686799999999998</v>
      </c>
      <c r="J517" s="26">
        <f>228.737</f>
        <v>228.73699999999999</v>
      </c>
    </row>
    <row r="518" spans="1:10" ht="15.75" x14ac:dyDescent="0.25">
      <c r="A518" s="13">
        <v>57070</v>
      </c>
      <c r="B518" s="10">
        <f>40.2173 * CHOOSE(CONTROL!$C$15, $E$9, 100%, $G$9) + CHOOSE(CONTROL!$C$38, 0.0256, 0)</f>
        <v>40.242899999999999</v>
      </c>
      <c r="C518" s="10">
        <f>37.1411 * CHOOSE(CONTROL!$C$15, $E$9, 100%, $G$9) + CHOOSE(CONTROL!$C$38, 0.0347, 0)</f>
        <v>37.175800000000002</v>
      </c>
      <c r="D518" s="10">
        <f>37.1333 * CHOOSE(CONTROL!$C$15, $E$9, 100%, $G$9) + CHOOSE(CONTROL!$C$38, 0.0347, 0)</f>
        <v>37.167999999999999</v>
      </c>
      <c r="E518" s="28">
        <f>40.0611 * CHOOSE(CONTROL!$C$15, $E$9, 100%, $G$9) + CHOOSE(CONTROL!$C$38, 0.0347, 0)</f>
        <v>40.095800000000004</v>
      </c>
      <c r="F518" s="27">
        <f>40.0611 * CHOOSE(CONTROL!$C$15, $E$9, 100%, $G$9) + CHOOSE(CONTROL!$C$38, 0.0256, 0)</f>
        <v>40.0867</v>
      </c>
      <c r="G518" s="10">
        <f>37.1395 * CHOOSE(CONTROL!$C$15, $E$9, 100%, $G$9) + CHOOSE(CONTROL!$C$38, 0.0347, 0)</f>
        <v>37.174199999999999</v>
      </c>
      <c r="H518" s="10">
        <f>37.1395 * CHOOSE(CONTROL!$C$15, $E$9, 100%, $G$9) + CHOOSE(CONTROL!$C$38, 0.0347, 0)</f>
        <v>37.174199999999999</v>
      </c>
      <c r="I518" s="10">
        <f>37.1411 * CHOOSE(CONTROL!$C$15, $E$9, 100%, $G$9) + CHOOSE(CONTROL!$C$38, 0.0347, 0)</f>
        <v>37.175800000000002</v>
      </c>
      <c r="J518" s="26">
        <f>240.7927</f>
        <v>240.7927</v>
      </c>
    </row>
    <row r="519" spans="1:10" ht="15.75" x14ac:dyDescent="0.25">
      <c r="A519" s="13">
        <v>57100</v>
      </c>
      <c r="B519" s="10">
        <f>39.7221 * CHOOSE(CONTROL!$C$15, $E$9, 100%, $G$9) + CHOOSE(CONTROL!$C$38, 0.0256, 0)</f>
        <v>39.747699999999995</v>
      </c>
      <c r="C519" s="10">
        <f>36.6459 * CHOOSE(CONTROL!$C$15, $E$9, 100%, $G$9) + CHOOSE(CONTROL!$C$38, 0.0347, 0)</f>
        <v>36.680599999999998</v>
      </c>
      <c r="D519" s="10">
        <f>36.6381 * CHOOSE(CONTROL!$C$15, $E$9, 100%, $G$9) + CHOOSE(CONTROL!$C$38, 0.0347, 0)</f>
        <v>36.672800000000002</v>
      </c>
      <c r="E519" s="28">
        <f>39.5659 * CHOOSE(CONTROL!$C$15, $E$9, 100%, $G$9) + CHOOSE(CONTROL!$C$38, 0.0347, 0)</f>
        <v>39.6006</v>
      </c>
      <c r="F519" s="27">
        <f>39.5659 * CHOOSE(CONTROL!$C$15, $E$9, 100%, $G$9) + CHOOSE(CONTROL!$C$38, 0.0256, 0)</f>
        <v>39.591499999999996</v>
      </c>
      <c r="G519" s="10">
        <f>36.6443 * CHOOSE(CONTROL!$C$15, $E$9, 100%, $G$9) + CHOOSE(CONTROL!$C$38, 0.0347, 0)</f>
        <v>36.679000000000002</v>
      </c>
      <c r="H519" s="10">
        <f>36.6443 * CHOOSE(CONTROL!$C$15, $E$9, 100%, $G$9) + CHOOSE(CONTROL!$C$38, 0.0347, 0)</f>
        <v>36.679000000000002</v>
      </c>
      <c r="I519" s="10">
        <f>36.6459 * CHOOSE(CONTROL!$C$15, $E$9, 100%, $G$9) + CHOOSE(CONTROL!$C$38, 0.0347, 0)</f>
        <v>36.680599999999998</v>
      </c>
      <c r="J519" s="26">
        <f>256.4262</f>
        <v>256.42619999999999</v>
      </c>
    </row>
    <row r="520" spans="1:10" ht="15.75" x14ac:dyDescent="0.25">
      <c r="A520" s="13">
        <v>57131</v>
      </c>
      <c r="B520" s="10">
        <f>39.206 * CHOOSE(CONTROL!$C$15, $E$9, 100%, $G$9) + CHOOSE(CONTROL!$C$38, 0.0256, 0)</f>
        <v>39.2316</v>
      </c>
      <c r="C520" s="10">
        <f>36.1298 * CHOOSE(CONTROL!$C$15, $E$9, 100%, $G$9) + CHOOSE(CONTROL!$C$38, 0.0347, 0)</f>
        <v>36.164500000000004</v>
      </c>
      <c r="D520" s="10">
        <f>36.122 * CHOOSE(CONTROL!$C$15, $E$9, 100%, $G$9) + CHOOSE(CONTROL!$C$38, 0.0347, 0)</f>
        <v>36.156700000000001</v>
      </c>
      <c r="E520" s="28">
        <f>39.0498 * CHOOSE(CONTROL!$C$15, $E$9, 100%, $G$9) + CHOOSE(CONTROL!$C$38, 0.0347, 0)</f>
        <v>39.084499999999998</v>
      </c>
      <c r="F520" s="27">
        <f>39.0498 * CHOOSE(CONTROL!$C$15, $E$9, 100%, $G$9) + CHOOSE(CONTROL!$C$38, 0.0256, 0)</f>
        <v>39.075399999999995</v>
      </c>
      <c r="G520" s="10">
        <f>36.1282 * CHOOSE(CONTROL!$C$15, $E$9, 100%, $G$9) + CHOOSE(CONTROL!$C$38, 0.0347, 0)</f>
        <v>36.1629</v>
      </c>
      <c r="H520" s="10">
        <f>36.1282 * CHOOSE(CONTROL!$C$15, $E$9, 100%, $G$9) + CHOOSE(CONTROL!$C$38, 0.0347, 0)</f>
        <v>36.1629</v>
      </c>
      <c r="I520" s="10">
        <f>36.1298 * CHOOSE(CONTROL!$C$15, $E$9, 100%, $G$9) + CHOOSE(CONTROL!$C$38, 0.0347, 0)</f>
        <v>36.164500000000004</v>
      </c>
      <c r="J520" s="26">
        <f>265.0313</f>
        <v>265.03129999999999</v>
      </c>
    </row>
    <row r="521" spans="1:10" ht="15.75" x14ac:dyDescent="0.25">
      <c r="A521" s="13">
        <v>57161</v>
      </c>
      <c r="B521" s="10">
        <f>38.8442 * CHOOSE(CONTROL!$C$15, $E$9, 100%, $G$9) + CHOOSE(CONTROL!$C$38, 0.0256, 0)</f>
        <v>38.869799999999998</v>
      </c>
      <c r="C521" s="10">
        <f>35.7679 * CHOOSE(CONTROL!$C$15, $E$9, 100%, $G$9) + CHOOSE(CONTROL!$C$38, 0.0347, 0)</f>
        <v>35.802599999999998</v>
      </c>
      <c r="D521" s="10">
        <f>35.7601 * CHOOSE(CONTROL!$C$15, $E$9, 100%, $G$9) + CHOOSE(CONTROL!$C$38, 0.0347, 0)</f>
        <v>35.794800000000002</v>
      </c>
      <c r="E521" s="28">
        <f>38.6879 * CHOOSE(CONTROL!$C$15, $E$9, 100%, $G$9) + CHOOSE(CONTROL!$C$38, 0.0347, 0)</f>
        <v>38.7226</v>
      </c>
      <c r="F521" s="27">
        <f>38.6879 * CHOOSE(CONTROL!$C$15, $E$9, 100%, $G$9) + CHOOSE(CONTROL!$C$38, 0.0256, 0)</f>
        <v>38.713499999999996</v>
      </c>
      <c r="G521" s="10">
        <f>35.7664 * CHOOSE(CONTROL!$C$15, $E$9, 100%, $G$9) + CHOOSE(CONTROL!$C$38, 0.0347, 0)</f>
        <v>35.801099999999998</v>
      </c>
      <c r="H521" s="10">
        <f>35.7664 * CHOOSE(CONTROL!$C$15, $E$9, 100%, $G$9) + CHOOSE(CONTROL!$C$38, 0.0347, 0)</f>
        <v>35.801099999999998</v>
      </c>
      <c r="I521" s="10">
        <f>35.7679 * CHOOSE(CONTROL!$C$15, $E$9, 100%, $G$9) + CHOOSE(CONTROL!$C$38, 0.0347, 0)</f>
        <v>35.802599999999998</v>
      </c>
      <c r="J521" s="26">
        <f>268.8501</f>
        <v>268.8501</v>
      </c>
    </row>
    <row r="522" spans="1:10" ht="15.75" x14ac:dyDescent="0.25">
      <c r="A522" s="13">
        <v>57192</v>
      </c>
      <c r="B522" s="10">
        <f>38.6377 * CHOOSE(CONTROL!$C$15, $E$9, 100%, $G$9) + CHOOSE(CONTROL!$C$38, 0.0256, 0)</f>
        <v>38.6633</v>
      </c>
      <c r="C522" s="10">
        <f>35.5615 * CHOOSE(CONTROL!$C$15, $E$9, 100%, $G$9) + CHOOSE(CONTROL!$C$38, 0.0347, 0)</f>
        <v>35.596200000000003</v>
      </c>
      <c r="D522" s="10">
        <f>35.5536 * CHOOSE(CONTROL!$C$15, $E$9, 100%, $G$9) + CHOOSE(CONTROL!$C$38, 0.0347, 0)</f>
        <v>35.588300000000004</v>
      </c>
      <c r="E522" s="28">
        <f>38.4815 * CHOOSE(CONTROL!$C$15, $E$9, 100%, $G$9) + CHOOSE(CONTROL!$C$38, 0.0347, 0)</f>
        <v>38.516199999999998</v>
      </c>
      <c r="F522" s="27">
        <f>38.4815 * CHOOSE(CONTROL!$C$15, $E$9, 100%, $G$9) + CHOOSE(CONTROL!$C$38, 0.0256, 0)</f>
        <v>38.507099999999994</v>
      </c>
      <c r="G522" s="10">
        <f>35.5599 * CHOOSE(CONTROL!$C$15, $E$9, 100%, $G$9) + CHOOSE(CONTROL!$C$38, 0.0347, 0)</f>
        <v>35.5946</v>
      </c>
      <c r="H522" s="10">
        <f>35.5599 * CHOOSE(CONTROL!$C$15, $E$9, 100%, $G$9) + CHOOSE(CONTROL!$C$38, 0.0347, 0)</f>
        <v>35.5946</v>
      </c>
      <c r="I522" s="10">
        <f>35.5615 * CHOOSE(CONTROL!$C$15, $E$9, 100%, $G$9) + CHOOSE(CONTROL!$C$38, 0.0347, 0)</f>
        <v>35.596200000000003</v>
      </c>
      <c r="J522" s="26">
        <f>267.5928</f>
        <v>267.59280000000001</v>
      </c>
    </row>
    <row r="523" spans="1:10" ht="15.75" x14ac:dyDescent="0.25">
      <c r="A523" s="13">
        <v>57223</v>
      </c>
      <c r="B523" s="10">
        <f>38.7396 * CHOOSE(CONTROL!$C$15, $E$9, 100%, $G$9) + CHOOSE(CONTROL!$C$38, 0.0256, 0)</f>
        <v>38.7652</v>
      </c>
      <c r="C523" s="10">
        <f>35.6634 * CHOOSE(CONTROL!$C$15, $E$9, 100%, $G$9) + CHOOSE(CONTROL!$C$38, 0.0347, 0)</f>
        <v>35.698100000000004</v>
      </c>
      <c r="D523" s="10">
        <f>35.6556 * CHOOSE(CONTROL!$C$15, $E$9, 100%, $G$9) + CHOOSE(CONTROL!$C$38, 0.0347, 0)</f>
        <v>35.690300000000001</v>
      </c>
      <c r="E523" s="28">
        <f>38.5834 * CHOOSE(CONTROL!$C$15, $E$9, 100%, $G$9) + CHOOSE(CONTROL!$C$38, 0.0347, 0)</f>
        <v>38.618099999999998</v>
      </c>
      <c r="F523" s="27">
        <f>38.5834 * CHOOSE(CONTROL!$C$15, $E$9, 100%, $G$9) + CHOOSE(CONTROL!$C$38, 0.0256, 0)</f>
        <v>38.608999999999995</v>
      </c>
      <c r="G523" s="10">
        <f>35.6618 * CHOOSE(CONTROL!$C$15, $E$9, 100%, $G$9) + CHOOSE(CONTROL!$C$38, 0.0347, 0)</f>
        <v>35.6965</v>
      </c>
      <c r="H523" s="10">
        <f>35.6618 * CHOOSE(CONTROL!$C$15, $E$9, 100%, $G$9) + CHOOSE(CONTROL!$C$38, 0.0347, 0)</f>
        <v>35.6965</v>
      </c>
      <c r="I523" s="10">
        <f>35.6634 * CHOOSE(CONTROL!$C$15, $E$9, 100%, $G$9) + CHOOSE(CONTROL!$C$38, 0.0347, 0)</f>
        <v>35.698100000000004</v>
      </c>
      <c r="J523" s="26">
        <f>261.3634</f>
        <v>261.36340000000001</v>
      </c>
    </row>
    <row r="524" spans="1:10" ht="15.75" x14ac:dyDescent="0.25">
      <c r="A524" s="13">
        <v>57253</v>
      </c>
      <c r="B524" s="10">
        <f>39.0164 * CHOOSE(CONTROL!$C$15, $E$9, 100%, $G$9) + CHOOSE(CONTROL!$C$38, 0.0256, 0)</f>
        <v>39.041999999999994</v>
      </c>
      <c r="C524" s="10">
        <f>35.9402 * CHOOSE(CONTROL!$C$15, $E$9, 100%, $G$9) + CHOOSE(CONTROL!$C$38, 0.0347, 0)</f>
        <v>35.974899999999998</v>
      </c>
      <c r="D524" s="10">
        <f>35.9323 * CHOOSE(CONTROL!$C$15, $E$9, 100%, $G$9) + CHOOSE(CONTROL!$C$38, 0.0347, 0)</f>
        <v>35.966999999999999</v>
      </c>
      <c r="E524" s="28">
        <f>38.8602 * CHOOSE(CONTROL!$C$15, $E$9, 100%, $G$9) + CHOOSE(CONTROL!$C$38, 0.0347, 0)</f>
        <v>38.8949</v>
      </c>
      <c r="F524" s="27">
        <f>38.8602 * CHOOSE(CONTROL!$C$15, $E$9, 100%, $G$9) + CHOOSE(CONTROL!$C$38, 0.0256, 0)</f>
        <v>38.885799999999996</v>
      </c>
      <c r="G524" s="10">
        <f>35.9386 * CHOOSE(CONTROL!$C$15, $E$9, 100%, $G$9) + CHOOSE(CONTROL!$C$38, 0.0347, 0)</f>
        <v>35.973300000000002</v>
      </c>
      <c r="H524" s="10">
        <f>35.9386 * CHOOSE(CONTROL!$C$15, $E$9, 100%, $G$9) + CHOOSE(CONTROL!$C$38, 0.0347, 0)</f>
        <v>35.973300000000002</v>
      </c>
      <c r="I524" s="10">
        <f>35.9402 * CHOOSE(CONTROL!$C$15, $E$9, 100%, $G$9) + CHOOSE(CONTROL!$C$38, 0.0347, 0)</f>
        <v>35.974899999999998</v>
      </c>
      <c r="J524" s="26">
        <f>252.6761</f>
        <v>252.67609999999999</v>
      </c>
    </row>
    <row r="525" spans="1:10" ht="15.75" x14ac:dyDescent="0.25">
      <c r="A525" s="13">
        <v>57284</v>
      </c>
      <c r="B525" s="10">
        <f>39.2482 * CHOOSE(CONTROL!$C$15, $E$9, 100%, $G$9) + CHOOSE(CONTROL!$C$38, 0.0256, 0)</f>
        <v>39.273799999999994</v>
      </c>
      <c r="C525" s="10">
        <f>36.172 * CHOOSE(CONTROL!$C$15, $E$9, 100%, $G$9) + CHOOSE(CONTROL!$C$38, 0.0347, 0)</f>
        <v>36.206699999999998</v>
      </c>
      <c r="D525" s="10">
        <f>36.1642 * CHOOSE(CONTROL!$C$15, $E$9, 100%, $G$9) + CHOOSE(CONTROL!$C$38, 0.0347, 0)</f>
        <v>36.198900000000002</v>
      </c>
      <c r="E525" s="28">
        <f>39.092 * CHOOSE(CONTROL!$C$15, $E$9, 100%, $G$9) + CHOOSE(CONTROL!$C$38, 0.0347, 0)</f>
        <v>39.1267</v>
      </c>
      <c r="F525" s="27">
        <f>39.092 * CHOOSE(CONTROL!$C$15, $E$9, 100%, $G$9) + CHOOSE(CONTROL!$C$38, 0.0256, 0)</f>
        <v>39.117599999999996</v>
      </c>
      <c r="G525" s="10">
        <f>36.1704 * CHOOSE(CONTROL!$C$15, $E$9, 100%, $G$9) + CHOOSE(CONTROL!$C$38, 0.0347, 0)</f>
        <v>36.205100000000002</v>
      </c>
      <c r="H525" s="10">
        <f>36.1704 * CHOOSE(CONTROL!$C$15, $E$9, 100%, $G$9) + CHOOSE(CONTROL!$C$38, 0.0347, 0)</f>
        <v>36.205100000000002</v>
      </c>
      <c r="I525" s="10">
        <f>36.172 * CHOOSE(CONTROL!$C$15, $E$9, 100%, $G$9) + CHOOSE(CONTROL!$C$38, 0.0347, 0)</f>
        <v>36.206699999999998</v>
      </c>
      <c r="J525" s="26">
        <f>243.9383</f>
        <v>243.9383</v>
      </c>
    </row>
    <row r="526" spans="1:10" ht="15.75" x14ac:dyDescent="0.25">
      <c r="A526" s="13">
        <v>57314</v>
      </c>
      <c r="B526" s="10">
        <f>39.4417 * CHOOSE(CONTROL!$C$15, $E$9, 100%, $G$9) + CHOOSE(CONTROL!$C$38, 0.0256, 0)</f>
        <v>39.467299999999994</v>
      </c>
      <c r="C526" s="10">
        <f>36.3654 * CHOOSE(CONTROL!$C$15, $E$9, 100%, $G$9) + CHOOSE(CONTROL!$C$38, 0.0347, 0)</f>
        <v>36.400100000000002</v>
      </c>
      <c r="D526" s="10">
        <f>36.3576 * CHOOSE(CONTROL!$C$15, $E$9, 100%, $G$9) + CHOOSE(CONTROL!$C$38, 0.0347, 0)</f>
        <v>36.392299999999999</v>
      </c>
      <c r="E526" s="28">
        <f>39.2854 * CHOOSE(CONTROL!$C$15, $E$9, 100%, $G$9) + CHOOSE(CONTROL!$C$38, 0.0347, 0)</f>
        <v>39.320100000000004</v>
      </c>
      <c r="F526" s="27">
        <f>39.2854 * CHOOSE(CONTROL!$C$15, $E$9, 100%, $G$9) + CHOOSE(CONTROL!$C$38, 0.0256, 0)</f>
        <v>39.311</v>
      </c>
      <c r="G526" s="10">
        <f>36.3639 * CHOOSE(CONTROL!$C$15, $E$9, 100%, $G$9) + CHOOSE(CONTROL!$C$38, 0.0347, 0)</f>
        <v>36.398600000000002</v>
      </c>
      <c r="H526" s="10">
        <f>36.3639 * CHOOSE(CONTROL!$C$15, $E$9, 100%, $G$9) + CHOOSE(CONTROL!$C$38, 0.0347, 0)</f>
        <v>36.398600000000002</v>
      </c>
      <c r="I526" s="10">
        <f>36.3654 * CHOOSE(CONTROL!$C$15, $E$9, 100%, $G$9) + CHOOSE(CONTROL!$C$38, 0.0347, 0)</f>
        <v>36.400100000000002</v>
      </c>
      <c r="J526" s="26">
        <f>242.2002</f>
        <v>242.2002</v>
      </c>
    </row>
    <row r="527" spans="1:10" ht="15.75" x14ac:dyDescent="0.25">
      <c r="A527" s="13">
        <v>57345</v>
      </c>
      <c r="B527" s="10">
        <f>40.0377 * CHOOSE(CONTROL!$C$15, $E$9, 100%, $G$9) + CHOOSE(CONTROL!$C$38, 0.0256, 0)</f>
        <v>40.063299999999998</v>
      </c>
      <c r="C527" s="10">
        <f>36.9615 * CHOOSE(CONTROL!$C$15, $E$9, 100%, $G$9) + CHOOSE(CONTROL!$C$38, 0.0347, 0)</f>
        <v>36.996200000000002</v>
      </c>
      <c r="D527" s="10">
        <f>36.9537 * CHOOSE(CONTROL!$C$15, $E$9, 100%, $G$9) + CHOOSE(CONTROL!$C$38, 0.0347, 0)</f>
        <v>36.988399999999999</v>
      </c>
      <c r="E527" s="28">
        <f>39.8815 * CHOOSE(CONTROL!$C$15, $E$9, 100%, $G$9) + CHOOSE(CONTROL!$C$38, 0.0347, 0)</f>
        <v>39.916200000000003</v>
      </c>
      <c r="F527" s="27">
        <f>39.8815 * CHOOSE(CONTROL!$C$15, $E$9, 100%, $G$9) + CHOOSE(CONTROL!$C$38, 0.0256, 0)</f>
        <v>39.9071</v>
      </c>
      <c r="G527" s="10">
        <f>36.9599 * CHOOSE(CONTROL!$C$15, $E$9, 100%, $G$9) + CHOOSE(CONTROL!$C$38, 0.0347, 0)</f>
        <v>36.994599999999998</v>
      </c>
      <c r="H527" s="10">
        <f>36.9599 * CHOOSE(CONTROL!$C$15, $E$9, 100%, $G$9) + CHOOSE(CONTROL!$C$38, 0.0347, 0)</f>
        <v>36.994599999999998</v>
      </c>
      <c r="I527" s="10">
        <f>36.9615 * CHOOSE(CONTROL!$C$15, $E$9, 100%, $G$9) + CHOOSE(CONTROL!$C$38, 0.0347, 0)</f>
        <v>36.996200000000002</v>
      </c>
      <c r="J527" s="26">
        <f>235.0129</f>
        <v>235.0129</v>
      </c>
    </row>
    <row r="528" spans="1:10" ht="15.75" x14ac:dyDescent="0.25">
      <c r="A528" s="13">
        <v>57376</v>
      </c>
      <c r="B528" s="10">
        <f>41.1951 * CHOOSE(CONTROL!$C$15, $E$9, 100%, $G$9) + CHOOSE(CONTROL!$C$38, 0.0256, 0)</f>
        <v>41.220699999999994</v>
      </c>
      <c r="C528" s="10">
        <f>38.0673 * CHOOSE(CONTROL!$C$15, $E$9, 100%, $G$9) + CHOOSE(CONTROL!$C$38, 0.0347, 0)</f>
        <v>38.102000000000004</v>
      </c>
      <c r="D528" s="10">
        <f>38.0594 * CHOOSE(CONTROL!$C$15, $E$9, 100%, $G$9) + CHOOSE(CONTROL!$C$38, 0.0347, 0)</f>
        <v>38.094099999999997</v>
      </c>
      <c r="E528" s="28">
        <f>41.0388 * CHOOSE(CONTROL!$C$15, $E$9, 100%, $G$9) + CHOOSE(CONTROL!$C$38, 0.0347, 0)</f>
        <v>41.073500000000003</v>
      </c>
      <c r="F528" s="27">
        <f>41.0388 * CHOOSE(CONTROL!$C$15, $E$9, 100%, $G$9) + CHOOSE(CONTROL!$C$38, 0.0256, 0)</f>
        <v>41.064399999999999</v>
      </c>
      <c r="G528" s="10">
        <f>38.0657 * CHOOSE(CONTROL!$C$15, $E$9, 100%, $G$9) + CHOOSE(CONTROL!$C$38, 0.0347, 0)</f>
        <v>38.1004</v>
      </c>
      <c r="H528" s="10">
        <f>38.0657 * CHOOSE(CONTROL!$C$15, $E$9, 100%, $G$9) + CHOOSE(CONTROL!$C$38, 0.0347, 0)</f>
        <v>38.1004</v>
      </c>
      <c r="I528" s="10">
        <f>38.0673 * CHOOSE(CONTROL!$C$15, $E$9, 100%, $G$9) + CHOOSE(CONTROL!$C$38, 0.0347, 0)</f>
        <v>38.102000000000004</v>
      </c>
      <c r="J528" s="26">
        <f>233.4386</f>
        <v>233.43860000000001</v>
      </c>
    </row>
    <row r="529" spans="1:10" ht="15.75" x14ac:dyDescent="0.25">
      <c r="A529" s="13">
        <v>57404</v>
      </c>
      <c r="B529" s="10">
        <f>41.4159 * CHOOSE(CONTROL!$C$15, $E$9, 100%, $G$9) + CHOOSE(CONTROL!$C$38, 0.0256, 0)</f>
        <v>41.441499999999998</v>
      </c>
      <c r="C529" s="10">
        <f>38.288 * CHOOSE(CONTROL!$C$15, $E$9, 100%, $G$9) + CHOOSE(CONTROL!$C$38, 0.0347, 0)</f>
        <v>38.322699999999998</v>
      </c>
      <c r="D529" s="10">
        <f>38.2802 * CHOOSE(CONTROL!$C$15, $E$9, 100%, $G$9) + CHOOSE(CONTROL!$C$38, 0.0347, 0)</f>
        <v>38.314900000000002</v>
      </c>
      <c r="E529" s="28">
        <f>41.2596 * CHOOSE(CONTROL!$C$15, $E$9, 100%, $G$9) + CHOOSE(CONTROL!$C$38, 0.0347, 0)</f>
        <v>41.2943</v>
      </c>
      <c r="F529" s="27">
        <f>41.2596 * CHOOSE(CONTROL!$C$15, $E$9, 100%, $G$9) + CHOOSE(CONTROL!$C$38, 0.0256, 0)</f>
        <v>41.285199999999996</v>
      </c>
      <c r="G529" s="10">
        <f>38.2865 * CHOOSE(CONTROL!$C$15, $E$9, 100%, $G$9) + CHOOSE(CONTROL!$C$38, 0.0347, 0)</f>
        <v>38.321199999999997</v>
      </c>
      <c r="H529" s="10">
        <f>38.2865 * CHOOSE(CONTROL!$C$15, $E$9, 100%, $G$9) + CHOOSE(CONTROL!$C$38, 0.0347, 0)</f>
        <v>38.321199999999997</v>
      </c>
      <c r="I529" s="10">
        <f>38.288 * CHOOSE(CONTROL!$C$15, $E$9, 100%, $G$9) + CHOOSE(CONTROL!$C$38, 0.0347, 0)</f>
        <v>38.322699999999998</v>
      </c>
      <c r="J529" s="26">
        <f>232.7898</f>
        <v>232.78980000000001</v>
      </c>
    </row>
    <row r="530" spans="1:10" ht="15.75" x14ac:dyDescent="0.25">
      <c r="A530" s="13">
        <v>57435</v>
      </c>
      <c r="B530" s="10">
        <f>40.9048 * CHOOSE(CONTROL!$C$15, $E$9, 100%, $G$9) + CHOOSE(CONTROL!$C$38, 0.0256, 0)</f>
        <v>40.930399999999999</v>
      </c>
      <c r="C530" s="10">
        <f>37.777 * CHOOSE(CONTROL!$C$15, $E$9, 100%, $G$9) + CHOOSE(CONTROL!$C$38, 0.0347, 0)</f>
        <v>37.811700000000002</v>
      </c>
      <c r="D530" s="10">
        <f>37.7692 * CHOOSE(CONTROL!$C$15, $E$9, 100%, $G$9) + CHOOSE(CONTROL!$C$38, 0.0347, 0)</f>
        <v>37.803899999999999</v>
      </c>
      <c r="E530" s="28">
        <f>40.7486 * CHOOSE(CONTROL!$C$15, $E$9, 100%, $G$9) + CHOOSE(CONTROL!$C$38, 0.0347, 0)</f>
        <v>40.783300000000004</v>
      </c>
      <c r="F530" s="27">
        <f>40.7486 * CHOOSE(CONTROL!$C$15, $E$9, 100%, $G$9) + CHOOSE(CONTROL!$C$38, 0.0256, 0)</f>
        <v>40.7742</v>
      </c>
      <c r="G530" s="10">
        <f>37.7754 * CHOOSE(CONTROL!$C$15, $E$9, 100%, $G$9) + CHOOSE(CONTROL!$C$38, 0.0347, 0)</f>
        <v>37.810099999999998</v>
      </c>
      <c r="H530" s="10">
        <f>37.7754 * CHOOSE(CONTROL!$C$15, $E$9, 100%, $G$9) + CHOOSE(CONTROL!$C$38, 0.0347, 0)</f>
        <v>37.810099999999998</v>
      </c>
      <c r="I530" s="10">
        <f>37.777 * CHOOSE(CONTROL!$C$15, $E$9, 100%, $G$9) + CHOOSE(CONTROL!$C$38, 0.0347, 0)</f>
        <v>37.811700000000002</v>
      </c>
      <c r="J530" s="26">
        <f>245.0591</f>
        <v>245.0591</v>
      </c>
    </row>
    <row r="531" spans="1:10" ht="15.75" x14ac:dyDescent="0.25">
      <c r="A531" s="13">
        <v>57465</v>
      </c>
      <c r="B531" s="10">
        <f>40.4096 * CHOOSE(CONTROL!$C$15, $E$9, 100%, $G$9) + CHOOSE(CONTROL!$C$38, 0.0256, 0)</f>
        <v>40.435199999999995</v>
      </c>
      <c r="C531" s="10">
        <f>37.2818 * CHOOSE(CONTROL!$C$15, $E$9, 100%, $G$9) + CHOOSE(CONTROL!$C$38, 0.0347, 0)</f>
        <v>37.316499999999998</v>
      </c>
      <c r="D531" s="10">
        <f>37.274 * CHOOSE(CONTROL!$C$15, $E$9, 100%, $G$9) + CHOOSE(CONTROL!$C$38, 0.0347, 0)</f>
        <v>37.308700000000002</v>
      </c>
      <c r="E531" s="28">
        <f>40.2534 * CHOOSE(CONTROL!$C$15, $E$9, 100%, $G$9) + CHOOSE(CONTROL!$C$38, 0.0347, 0)</f>
        <v>40.2881</v>
      </c>
      <c r="F531" s="27">
        <f>40.2534 * CHOOSE(CONTROL!$C$15, $E$9, 100%, $G$9) + CHOOSE(CONTROL!$C$38, 0.0256, 0)</f>
        <v>40.278999999999996</v>
      </c>
      <c r="G531" s="10">
        <f>37.2802 * CHOOSE(CONTROL!$C$15, $E$9, 100%, $G$9) + CHOOSE(CONTROL!$C$38, 0.0347, 0)</f>
        <v>37.314900000000002</v>
      </c>
      <c r="H531" s="10">
        <f>37.2802 * CHOOSE(CONTROL!$C$15, $E$9, 100%, $G$9) + CHOOSE(CONTROL!$C$38, 0.0347, 0)</f>
        <v>37.314900000000002</v>
      </c>
      <c r="I531" s="10">
        <f>37.2818 * CHOOSE(CONTROL!$C$15, $E$9, 100%, $G$9) + CHOOSE(CONTROL!$C$38, 0.0347, 0)</f>
        <v>37.316499999999998</v>
      </c>
      <c r="J531" s="26">
        <f>260.9696</f>
        <v>260.96960000000001</v>
      </c>
    </row>
    <row r="532" spans="1:10" ht="15.75" x14ac:dyDescent="0.25">
      <c r="A532" s="13">
        <v>57496</v>
      </c>
      <c r="B532" s="10">
        <f>39.8935 * CHOOSE(CONTROL!$C$15, $E$9, 100%, $G$9) + CHOOSE(CONTROL!$C$38, 0.0256, 0)</f>
        <v>39.9191</v>
      </c>
      <c r="C532" s="10">
        <f>36.7657 * CHOOSE(CONTROL!$C$15, $E$9, 100%, $G$9) + CHOOSE(CONTROL!$C$38, 0.0347, 0)</f>
        <v>36.800400000000003</v>
      </c>
      <c r="D532" s="10">
        <f>36.7579 * CHOOSE(CONTROL!$C$15, $E$9, 100%, $G$9) + CHOOSE(CONTROL!$C$38, 0.0347, 0)</f>
        <v>36.7926</v>
      </c>
      <c r="E532" s="28">
        <f>39.7373 * CHOOSE(CONTROL!$C$15, $E$9, 100%, $G$9) + CHOOSE(CONTROL!$C$38, 0.0347, 0)</f>
        <v>39.771999999999998</v>
      </c>
      <c r="F532" s="27">
        <f>39.7373 * CHOOSE(CONTROL!$C$15, $E$9, 100%, $G$9) + CHOOSE(CONTROL!$C$38, 0.0256, 0)</f>
        <v>39.762899999999995</v>
      </c>
      <c r="G532" s="10">
        <f>36.7641 * CHOOSE(CONTROL!$C$15, $E$9, 100%, $G$9) + CHOOSE(CONTROL!$C$38, 0.0347, 0)</f>
        <v>36.7988</v>
      </c>
      <c r="H532" s="10">
        <f>36.7641 * CHOOSE(CONTROL!$C$15, $E$9, 100%, $G$9) + CHOOSE(CONTROL!$C$38, 0.0347, 0)</f>
        <v>36.7988</v>
      </c>
      <c r="I532" s="10">
        <f>36.7657 * CHOOSE(CONTROL!$C$15, $E$9, 100%, $G$9) + CHOOSE(CONTROL!$C$38, 0.0347, 0)</f>
        <v>36.800400000000003</v>
      </c>
      <c r="J532" s="26">
        <f>269.7272</f>
        <v>269.72719999999998</v>
      </c>
    </row>
    <row r="533" spans="1:10" ht="15.75" x14ac:dyDescent="0.25">
      <c r="A533" s="13">
        <v>57526</v>
      </c>
      <c r="B533" s="10">
        <f>39.5317 * CHOOSE(CONTROL!$C$15, $E$9, 100%, $G$9) + CHOOSE(CONTROL!$C$38, 0.0256, 0)</f>
        <v>39.557299999999998</v>
      </c>
      <c r="C533" s="10">
        <f>36.4039 * CHOOSE(CONTROL!$C$15, $E$9, 100%, $G$9) + CHOOSE(CONTROL!$C$38, 0.0347, 0)</f>
        <v>36.438600000000001</v>
      </c>
      <c r="D533" s="10">
        <f>36.396 * CHOOSE(CONTROL!$C$15, $E$9, 100%, $G$9) + CHOOSE(CONTROL!$C$38, 0.0347, 0)</f>
        <v>36.430700000000002</v>
      </c>
      <c r="E533" s="28">
        <f>39.3754 * CHOOSE(CONTROL!$C$15, $E$9, 100%, $G$9) + CHOOSE(CONTROL!$C$38, 0.0347, 0)</f>
        <v>39.4101</v>
      </c>
      <c r="F533" s="27">
        <f>39.3754 * CHOOSE(CONTROL!$C$15, $E$9, 100%, $G$9) + CHOOSE(CONTROL!$C$38, 0.0256, 0)</f>
        <v>39.400999999999996</v>
      </c>
      <c r="G533" s="10">
        <f>36.4023 * CHOOSE(CONTROL!$C$15, $E$9, 100%, $G$9) + CHOOSE(CONTROL!$C$38, 0.0347, 0)</f>
        <v>36.436999999999998</v>
      </c>
      <c r="H533" s="10">
        <f>36.4023 * CHOOSE(CONTROL!$C$15, $E$9, 100%, $G$9) + CHOOSE(CONTROL!$C$38, 0.0347, 0)</f>
        <v>36.436999999999998</v>
      </c>
      <c r="I533" s="10">
        <f>36.4039 * CHOOSE(CONTROL!$C$15, $E$9, 100%, $G$9) + CHOOSE(CONTROL!$C$38, 0.0347, 0)</f>
        <v>36.438600000000001</v>
      </c>
      <c r="J533" s="26">
        <f>273.6137</f>
        <v>273.61369999999999</v>
      </c>
    </row>
    <row r="534" spans="1:10" ht="15.75" x14ac:dyDescent="0.25">
      <c r="A534" s="13">
        <v>57557</v>
      </c>
      <c r="B534" s="10">
        <f>39.3252 * CHOOSE(CONTROL!$C$15, $E$9, 100%, $G$9) + CHOOSE(CONTROL!$C$38, 0.0256, 0)</f>
        <v>39.3508</v>
      </c>
      <c r="C534" s="10">
        <f>36.1974 * CHOOSE(CONTROL!$C$15, $E$9, 100%, $G$9) + CHOOSE(CONTROL!$C$38, 0.0347, 0)</f>
        <v>36.232100000000003</v>
      </c>
      <c r="D534" s="10">
        <f>36.1896 * CHOOSE(CONTROL!$C$15, $E$9, 100%, $G$9) + CHOOSE(CONTROL!$C$38, 0.0347, 0)</f>
        <v>36.224299999999999</v>
      </c>
      <c r="E534" s="28">
        <f>39.169 * CHOOSE(CONTROL!$C$15, $E$9, 100%, $G$9) + CHOOSE(CONTROL!$C$38, 0.0347, 0)</f>
        <v>39.203699999999998</v>
      </c>
      <c r="F534" s="27">
        <f>39.169 * CHOOSE(CONTROL!$C$15, $E$9, 100%, $G$9) + CHOOSE(CONTROL!$C$38, 0.0256, 0)</f>
        <v>39.194599999999994</v>
      </c>
      <c r="G534" s="10">
        <f>36.1958 * CHOOSE(CONTROL!$C$15, $E$9, 100%, $G$9) + CHOOSE(CONTROL!$C$38, 0.0347, 0)</f>
        <v>36.230499999999999</v>
      </c>
      <c r="H534" s="10">
        <f>36.1958 * CHOOSE(CONTROL!$C$15, $E$9, 100%, $G$9) + CHOOSE(CONTROL!$C$38, 0.0347, 0)</f>
        <v>36.230499999999999</v>
      </c>
      <c r="I534" s="10">
        <f>36.1974 * CHOOSE(CONTROL!$C$15, $E$9, 100%, $G$9) + CHOOSE(CONTROL!$C$38, 0.0347, 0)</f>
        <v>36.232100000000003</v>
      </c>
      <c r="J534" s="26">
        <f>272.3341</f>
        <v>272.33409999999998</v>
      </c>
    </row>
    <row r="535" spans="1:10" ht="15.75" x14ac:dyDescent="0.25">
      <c r="A535" s="13">
        <v>57588</v>
      </c>
      <c r="B535" s="10">
        <f>39.4271 * CHOOSE(CONTROL!$C$15, $E$9, 100%, $G$9) + CHOOSE(CONTROL!$C$38, 0.0256, 0)</f>
        <v>39.4527</v>
      </c>
      <c r="C535" s="10">
        <f>36.2993 * CHOOSE(CONTROL!$C$15, $E$9, 100%, $G$9) + CHOOSE(CONTROL!$C$38, 0.0347, 0)</f>
        <v>36.334000000000003</v>
      </c>
      <c r="D535" s="10">
        <f>36.2915 * CHOOSE(CONTROL!$C$15, $E$9, 100%, $G$9) + CHOOSE(CONTROL!$C$38, 0.0347, 0)</f>
        <v>36.3262</v>
      </c>
      <c r="E535" s="28">
        <f>39.2709 * CHOOSE(CONTROL!$C$15, $E$9, 100%, $G$9) + CHOOSE(CONTROL!$C$38, 0.0347, 0)</f>
        <v>39.305599999999998</v>
      </c>
      <c r="F535" s="27">
        <f>39.2709 * CHOOSE(CONTROL!$C$15, $E$9, 100%, $G$9) + CHOOSE(CONTROL!$C$38, 0.0256, 0)</f>
        <v>39.296499999999995</v>
      </c>
      <c r="G535" s="10">
        <f>36.2977 * CHOOSE(CONTROL!$C$15, $E$9, 100%, $G$9) + CHOOSE(CONTROL!$C$38, 0.0347, 0)</f>
        <v>36.3324</v>
      </c>
      <c r="H535" s="10">
        <f>36.2977 * CHOOSE(CONTROL!$C$15, $E$9, 100%, $G$9) + CHOOSE(CONTROL!$C$38, 0.0347, 0)</f>
        <v>36.3324</v>
      </c>
      <c r="I535" s="10">
        <f>36.2993 * CHOOSE(CONTROL!$C$15, $E$9, 100%, $G$9) + CHOOSE(CONTROL!$C$38, 0.0347, 0)</f>
        <v>36.334000000000003</v>
      </c>
      <c r="J535" s="26">
        <f>265.9942</f>
        <v>265.99419999999998</v>
      </c>
    </row>
    <row r="536" spans="1:10" ht="15.75" x14ac:dyDescent="0.25">
      <c r="A536" s="13">
        <v>57618</v>
      </c>
      <c r="B536" s="10">
        <f>39.7039 * CHOOSE(CONTROL!$C$15, $E$9, 100%, $G$9) + CHOOSE(CONTROL!$C$38, 0.0256, 0)</f>
        <v>39.729499999999994</v>
      </c>
      <c r="C536" s="10">
        <f>36.5761 * CHOOSE(CONTROL!$C$15, $E$9, 100%, $G$9) + CHOOSE(CONTROL!$C$38, 0.0347, 0)</f>
        <v>36.610799999999998</v>
      </c>
      <c r="D536" s="10">
        <f>36.5683 * CHOOSE(CONTROL!$C$15, $E$9, 100%, $G$9) + CHOOSE(CONTROL!$C$38, 0.0347, 0)</f>
        <v>36.603000000000002</v>
      </c>
      <c r="E536" s="28">
        <f>39.5477 * CHOOSE(CONTROL!$C$15, $E$9, 100%, $G$9) + CHOOSE(CONTROL!$C$38, 0.0347, 0)</f>
        <v>39.5824</v>
      </c>
      <c r="F536" s="27">
        <f>39.5477 * CHOOSE(CONTROL!$C$15, $E$9, 100%, $G$9) + CHOOSE(CONTROL!$C$38, 0.0256, 0)</f>
        <v>39.573299999999996</v>
      </c>
      <c r="G536" s="10">
        <f>36.5745 * CHOOSE(CONTROL!$C$15, $E$9, 100%, $G$9) + CHOOSE(CONTROL!$C$38, 0.0347, 0)</f>
        <v>36.609200000000001</v>
      </c>
      <c r="H536" s="10">
        <f>36.5745 * CHOOSE(CONTROL!$C$15, $E$9, 100%, $G$9) + CHOOSE(CONTROL!$C$38, 0.0347, 0)</f>
        <v>36.609200000000001</v>
      </c>
      <c r="I536" s="10">
        <f>36.5761 * CHOOSE(CONTROL!$C$15, $E$9, 100%, $G$9) + CHOOSE(CONTROL!$C$38, 0.0347, 0)</f>
        <v>36.610799999999998</v>
      </c>
      <c r="J536" s="26">
        <f>257.153</f>
        <v>257.15300000000002</v>
      </c>
    </row>
    <row r="537" spans="1:10" ht="15.75" x14ac:dyDescent="0.25">
      <c r="A537" s="13">
        <v>57649</v>
      </c>
      <c r="B537" s="10">
        <f>39.9357 * CHOOSE(CONTROL!$C$15, $E$9, 100%, $G$9) + CHOOSE(CONTROL!$C$38, 0.0256, 0)</f>
        <v>39.961299999999994</v>
      </c>
      <c r="C537" s="10">
        <f>36.8079 * CHOOSE(CONTROL!$C$15, $E$9, 100%, $G$9) + CHOOSE(CONTROL!$C$38, 0.0347, 0)</f>
        <v>36.842599999999997</v>
      </c>
      <c r="D537" s="10">
        <f>36.8001 * CHOOSE(CONTROL!$C$15, $E$9, 100%, $G$9) + CHOOSE(CONTROL!$C$38, 0.0347, 0)</f>
        <v>36.834800000000001</v>
      </c>
      <c r="E537" s="28">
        <f>39.7795 * CHOOSE(CONTROL!$C$15, $E$9, 100%, $G$9) + CHOOSE(CONTROL!$C$38, 0.0347, 0)</f>
        <v>39.8142</v>
      </c>
      <c r="F537" s="27">
        <f>39.7795 * CHOOSE(CONTROL!$C$15, $E$9, 100%, $G$9) + CHOOSE(CONTROL!$C$38, 0.0256, 0)</f>
        <v>39.805099999999996</v>
      </c>
      <c r="G537" s="10">
        <f>36.8063 * CHOOSE(CONTROL!$C$15, $E$9, 100%, $G$9) + CHOOSE(CONTROL!$C$38, 0.0347, 0)</f>
        <v>36.841000000000001</v>
      </c>
      <c r="H537" s="10">
        <f>36.8063 * CHOOSE(CONTROL!$C$15, $E$9, 100%, $G$9) + CHOOSE(CONTROL!$C$38, 0.0347, 0)</f>
        <v>36.841000000000001</v>
      </c>
      <c r="I537" s="10">
        <f>36.8079 * CHOOSE(CONTROL!$C$15, $E$9, 100%, $G$9) + CHOOSE(CONTROL!$C$38, 0.0347, 0)</f>
        <v>36.842599999999997</v>
      </c>
      <c r="J537" s="26">
        <f>248.2604</f>
        <v>248.2604</v>
      </c>
    </row>
    <row r="538" spans="1:10" ht="15.75" x14ac:dyDescent="0.25">
      <c r="A538" s="13">
        <v>57679</v>
      </c>
      <c r="B538" s="10">
        <f>40.1292 * CHOOSE(CONTROL!$C$15, $E$9, 100%, $G$9) + CHOOSE(CONTROL!$C$38, 0.0256, 0)</f>
        <v>40.154799999999994</v>
      </c>
      <c r="C538" s="10">
        <f>37.0013 * CHOOSE(CONTROL!$C$15, $E$9, 100%, $G$9) + CHOOSE(CONTROL!$C$38, 0.0347, 0)</f>
        <v>37.036000000000001</v>
      </c>
      <c r="D538" s="10">
        <f>36.9935 * CHOOSE(CONTROL!$C$15, $E$9, 100%, $G$9) + CHOOSE(CONTROL!$C$38, 0.0347, 0)</f>
        <v>37.028199999999998</v>
      </c>
      <c r="E538" s="28">
        <f>39.9729 * CHOOSE(CONTROL!$C$15, $E$9, 100%, $G$9) + CHOOSE(CONTROL!$C$38, 0.0347, 0)</f>
        <v>40.007600000000004</v>
      </c>
      <c r="F538" s="27">
        <f>39.9729 * CHOOSE(CONTROL!$C$15, $E$9, 100%, $G$9) + CHOOSE(CONTROL!$C$38, 0.0256, 0)</f>
        <v>39.9985</v>
      </c>
      <c r="G538" s="10">
        <f>36.9998 * CHOOSE(CONTROL!$C$15, $E$9, 100%, $G$9) + CHOOSE(CONTROL!$C$38, 0.0347, 0)</f>
        <v>37.034500000000001</v>
      </c>
      <c r="H538" s="10">
        <f>36.9998 * CHOOSE(CONTROL!$C$15, $E$9, 100%, $G$9) + CHOOSE(CONTROL!$C$38, 0.0347, 0)</f>
        <v>37.034500000000001</v>
      </c>
      <c r="I538" s="10">
        <f>37.0013 * CHOOSE(CONTROL!$C$15, $E$9, 100%, $G$9) + CHOOSE(CONTROL!$C$38, 0.0347, 0)</f>
        <v>37.036000000000001</v>
      </c>
      <c r="J538" s="26">
        <f>246.4915</f>
        <v>246.4915</v>
      </c>
    </row>
    <row r="539" spans="1:10" ht="15.75" x14ac:dyDescent="0.25">
      <c r="A539" s="13">
        <v>57710</v>
      </c>
      <c r="B539" s="10">
        <f>40.7252 * CHOOSE(CONTROL!$C$15, $E$9, 100%, $G$9) + CHOOSE(CONTROL!$C$38, 0.0256, 0)</f>
        <v>40.750799999999998</v>
      </c>
      <c r="C539" s="10">
        <f>37.5974 * CHOOSE(CONTROL!$C$15, $E$9, 100%, $G$9) + CHOOSE(CONTROL!$C$38, 0.0347, 0)</f>
        <v>37.632100000000001</v>
      </c>
      <c r="D539" s="10">
        <f>37.5896 * CHOOSE(CONTROL!$C$15, $E$9, 100%, $G$9) + CHOOSE(CONTROL!$C$38, 0.0347, 0)</f>
        <v>37.624299999999998</v>
      </c>
      <c r="E539" s="28">
        <f>40.569 * CHOOSE(CONTROL!$C$15, $E$9, 100%, $G$9) + CHOOSE(CONTROL!$C$38, 0.0347, 0)</f>
        <v>40.603700000000003</v>
      </c>
      <c r="F539" s="27">
        <f>40.569 * CHOOSE(CONTROL!$C$15, $E$9, 100%, $G$9) + CHOOSE(CONTROL!$C$38, 0.0256, 0)</f>
        <v>40.5946</v>
      </c>
      <c r="G539" s="10">
        <f>37.5958 * CHOOSE(CONTROL!$C$15, $E$9, 100%, $G$9) + CHOOSE(CONTROL!$C$38, 0.0347, 0)</f>
        <v>37.630499999999998</v>
      </c>
      <c r="H539" s="10">
        <f>37.5958 * CHOOSE(CONTROL!$C$15, $E$9, 100%, $G$9) + CHOOSE(CONTROL!$C$38, 0.0347, 0)</f>
        <v>37.630499999999998</v>
      </c>
      <c r="I539" s="10">
        <f>37.5974 * CHOOSE(CONTROL!$C$15, $E$9, 100%, $G$9) + CHOOSE(CONTROL!$C$38, 0.0347, 0)</f>
        <v>37.632100000000001</v>
      </c>
      <c r="J539" s="26">
        <f>239.1768</f>
        <v>239.17679999999999</v>
      </c>
    </row>
    <row r="540" spans="1:10" ht="15.75" x14ac:dyDescent="0.25">
      <c r="A540" s="13">
        <v>57741</v>
      </c>
      <c r="B540" s="10">
        <f>41.8947 * CHOOSE(CONTROL!$C$15, $E$9, 100%, $G$9) + CHOOSE(CONTROL!$C$38, 0.0256, 0)</f>
        <v>41.920299999999997</v>
      </c>
      <c r="C540" s="10">
        <f>38.7144 * CHOOSE(CONTROL!$C$15, $E$9, 100%, $G$9) + CHOOSE(CONTROL!$C$38, 0.0347, 0)</f>
        <v>38.749099999999999</v>
      </c>
      <c r="D540" s="10">
        <f>38.7066 * CHOOSE(CONTROL!$C$15, $E$9, 100%, $G$9) + CHOOSE(CONTROL!$C$38, 0.0347, 0)</f>
        <v>38.741300000000003</v>
      </c>
      <c r="E540" s="28">
        <f>41.7385 * CHOOSE(CONTROL!$C$15, $E$9, 100%, $G$9) + CHOOSE(CONTROL!$C$38, 0.0347, 0)</f>
        <v>41.773200000000003</v>
      </c>
      <c r="F540" s="27">
        <f>41.7385 * CHOOSE(CONTROL!$C$15, $E$9, 100%, $G$9) + CHOOSE(CONTROL!$C$38, 0.0256, 0)</f>
        <v>41.764099999999999</v>
      </c>
      <c r="G540" s="10">
        <f>38.7128 * CHOOSE(CONTROL!$C$15, $E$9, 100%, $G$9) + CHOOSE(CONTROL!$C$38, 0.0347, 0)</f>
        <v>38.747500000000002</v>
      </c>
      <c r="H540" s="10">
        <f>38.7128 * CHOOSE(CONTROL!$C$15, $E$9, 100%, $G$9) + CHOOSE(CONTROL!$C$38, 0.0347, 0)</f>
        <v>38.747500000000002</v>
      </c>
      <c r="I540" s="10">
        <f>38.7144 * CHOOSE(CONTROL!$C$15, $E$9, 100%, $G$9) + CHOOSE(CONTROL!$C$38, 0.0347, 0)</f>
        <v>38.749099999999999</v>
      </c>
      <c r="J540" s="26">
        <f>237.5747</f>
        <v>237.57470000000001</v>
      </c>
    </row>
    <row r="541" spans="1:10" ht="15.75" x14ac:dyDescent="0.25">
      <c r="A541" s="13">
        <v>57769</v>
      </c>
      <c r="B541" s="10">
        <f>42.1155 * CHOOSE(CONTROL!$C$15, $E$9, 100%, $G$9) + CHOOSE(CONTROL!$C$38, 0.0256, 0)</f>
        <v>42.141099999999994</v>
      </c>
      <c r="C541" s="10">
        <f>38.9352 * CHOOSE(CONTROL!$C$15, $E$9, 100%, $G$9) + CHOOSE(CONTROL!$C$38, 0.0347, 0)</f>
        <v>38.969900000000003</v>
      </c>
      <c r="D541" s="10">
        <f>38.9273 * CHOOSE(CONTROL!$C$15, $E$9, 100%, $G$9) + CHOOSE(CONTROL!$C$38, 0.0347, 0)</f>
        <v>38.962000000000003</v>
      </c>
      <c r="E541" s="28">
        <f>41.9593 * CHOOSE(CONTROL!$C$15, $E$9, 100%, $G$9) + CHOOSE(CONTROL!$C$38, 0.0347, 0)</f>
        <v>41.994</v>
      </c>
      <c r="F541" s="27">
        <f>41.9593 * CHOOSE(CONTROL!$C$15, $E$9, 100%, $G$9) + CHOOSE(CONTROL!$C$38, 0.0256, 0)</f>
        <v>41.984899999999996</v>
      </c>
      <c r="G541" s="10">
        <f>38.9336 * CHOOSE(CONTROL!$C$15, $E$9, 100%, $G$9) + CHOOSE(CONTROL!$C$38, 0.0347, 0)</f>
        <v>38.968299999999999</v>
      </c>
      <c r="H541" s="10">
        <f>38.9336 * CHOOSE(CONTROL!$C$15, $E$9, 100%, $G$9) + CHOOSE(CONTROL!$C$38, 0.0347, 0)</f>
        <v>38.968299999999999</v>
      </c>
      <c r="I541" s="10">
        <f>38.9352 * CHOOSE(CONTROL!$C$15, $E$9, 100%, $G$9) + CHOOSE(CONTROL!$C$38, 0.0347, 0)</f>
        <v>38.969900000000003</v>
      </c>
      <c r="J541" s="26">
        <f>236.9144</f>
        <v>236.9144</v>
      </c>
    </row>
    <row r="542" spans="1:10" ht="15.75" x14ac:dyDescent="0.25">
      <c r="A542" s="13">
        <v>57800</v>
      </c>
      <c r="B542" s="10">
        <f>41.6045 * CHOOSE(CONTROL!$C$15, $E$9, 100%, $G$9) + CHOOSE(CONTROL!$C$38, 0.0256, 0)</f>
        <v>41.630099999999999</v>
      </c>
      <c r="C542" s="10">
        <f>38.4241 * CHOOSE(CONTROL!$C$15, $E$9, 100%, $G$9) + CHOOSE(CONTROL!$C$38, 0.0347, 0)</f>
        <v>38.458800000000004</v>
      </c>
      <c r="D542" s="10">
        <f>38.4163 * CHOOSE(CONTROL!$C$15, $E$9, 100%, $G$9) + CHOOSE(CONTROL!$C$38, 0.0347, 0)</f>
        <v>38.451000000000001</v>
      </c>
      <c r="E542" s="28">
        <f>41.4482 * CHOOSE(CONTROL!$C$15, $E$9, 100%, $G$9) + CHOOSE(CONTROL!$C$38, 0.0347, 0)</f>
        <v>41.482900000000001</v>
      </c>
      <c r="F542" s="27">
        <f>41.4482 * CHOOSE(CONTROL!$C$15, $E$9, 100%, $G$9) + CHOOSE(CONTROL!$C$38, 0.0256, 0)</f>
        <v>41.473799999999997</v>
      </c>
      <c r="G542" s="10">
        <f>38.4226 * CHOOSE(CONTROL!$C$15, $E$9, 100%, $G$9) + CHOOSE(CONTROL!$C$38, 0.0347, 0)</f>
        <v>38.457300000000004</v>
      </c>
      <c r="H542" s="10">
        <f>38.4226 * CHOOSE(CONTROL!$C$15, $E$9, 100%, $G$9) + CHOOSE(CONTROL!$C$38, 0.0347, 0)</f>
        <v>38.457300000000004</v>
      </c>
      <c r="I542" s="10">
        <f>38.4241 * CHOOSE(CONTROL!$C$15, $E$9, 100%, $G$9) + CHOOSE(CONTROL!$C$38, 0.0347, 0)</f>
        <v>38.458800000000004</v>
      </c>
      <c r="J542" s="26">
        <f>249.4011</f>
        <v>249.40110000000001</v>
      </c>
    </row>
    <row r="543" spans="1:10" ht="15.75" x14ac:dyDescent="0.25">
      <c r="A543" s="13">
        <v>57830</v>
      </c>
      <c r="B543" s="10">
        <f>41.1093 * CHOOSE(CONTROL!$C$15, $E$9, 100%, $G$9) + CHOOSE(CONTROL!$C$38, 0.0256, 0)</f>
        <v>41.134899999999995</v>
      </c>
      <c r="C543" s="10">
        <f>37.9289 * CHOOSE(CONTROL!$C$15, $E$9, 100%, $G$9) + CHOOSE(CONTROL!$C$38, 0.0347, 0)</f>
        <v>37.9636</v>
      </c>
      <c r="D543" s="10">
        <f>37.9211 * CHOOSE(CONTROL!$C$15, $E$9, 100%, $G$9) + CHOOSE(CONTROL!$C$38, 0.0347, 0)</f>
        <v>37.955800000000004</v>
      </c>
      <c r="E543" s="28">
        <f>40.953 * CHOOSE(CONTROL!$C$15, $E$9, 100%, $G$9) + CHOOSE(CONTROL!$C$38, 0.0347, 0)</f>
        <v>40.987700000000004</v>
      </c>
      <c r="F543" s="27">
        <f>40.953 * CHOOSE(CONTROL!$C$15, $E$9, 100%, $G$9) + CHOOSE(CONTROL!$C$38, 0.0256, 0)</f>
        <v>40.9786</v>
      </c>
      <c r="G543" s="10">
        <f>37.9274 * CHOOSE(CONTROL!$C$15, $E$9, 100%, $G$9) + CHOOSE(CONTROL!$C$38, 0.0347, 0)</f>
        <v>37.9621</v>
      </c>
      <c r="H543" s="10">
        <f>37.9274 * CHOOSE(CONTROL!$C$15, $E$9, 100%, $G$9) + CHOOSE(CONTROL!$C$38, 0.0347, 0)</f>
        <v>37.9621</v>
      </c>
      <c r="I543" s="10">
        <f>37.9289 * CHOOSE(CONTROL!$C$15, $E$9, 100%, $G$9) + CHOOSE(CONTROL!$C$38, 0.0347, 0)</f>
        <v>37.9636</v>
      </c>
      <c r="J543" s="26">
        <f>265.5935</f>
        <v>265.59350000000001</v>
      </c>
    </row>
    <row r="544" spans="1:10" ht="15.75" x14ac:dyDescent="0.25">
      <c r="A544" s="13">
        <v>57861</v>
      </c>
      <c r="B544" s="10">
        <f>40.5932 * CHOOSE(CONTROL!$C$15, $E$9, 100%, $G$9) + CHOOSE(CONTROL!$C$38, 0.0256, 0)</f>
        <v>40.6188</v>
      </c>
      <c r="C544" s="10">
        <f>37.4128 * CHOOSE(CONTROL!$C$15, $E$9, 100%, $G$9) + CHOOSE(CONTROL!$C$38, 0.0347, 0)</f>
        <v>37.447499999999998</v>
      </c>
      <c r="D544" s="10">
        <f>37.405 * CHOOSE(CONTROL!$C$15, $E$9, 100%, $G$9) + CHOOSE(CONTROL!$C$38, 0.0347, 0)</f>
        <v>37.439700000000002</v>
      </c>
      <c r="E544" s="28">
        <f>40.4369 * CHOOSE(CONTROL!$C$15, $E$9, 100%, $G$9) + CHOOSE(CONTROL!$C$38, 0.0347, 0)</f>
        <v>40.471600000000002</v>
      </c>
      <c r="F544" s="27">
        <f>40.4369 * CHOOSE(CONTROL!$C$15, $E$9, 100%, $G$9) + CHOOSE(CONTROL!$C$38, 0.0256, 0)</f>
        <v>40.462499999999999</v>
      </c>
      <c r="G544" s="10">
        <f>37.4113 * CHOOSE(CONTROL!$C$15, $E$9, 100%, $G$9) + CHOOSE(CONTROL!$C$38, 0.0347, 0)</f>
        <v>37.445999999999998</v>
      </c>
      <c r="H544" s="10">
        <f>37.4113 * CHOOSE(CONTROL!$C$15, $E$9, 100%, $G$9) + CHOOSE(CONTROL!$C$38, 0.0347, 0)</f>
        <v>37.445999999999998</v>
      </c>
      <c r="I544" s="10">
        <f>37.4128 * CHOOSE(CONTROL!$C$15, $E$9, 100%, $G$9) + CHOOSE(CONTROL!$C$38, 0.0347, 0)</f>
        <v>37.447499999999998</v>
      </c>
      <c r="J544" s="26">
        <f>274.5062</f>
        <v>274.50619999999998</v>
      </c>
    </row>
    <row r="545" spans="1:10" ht="15.75" x14ac:dyDescent="0.25">
      <c r="A545" s="13">
        <v>57891</v>
      </c>
      <c r="B545" s="10">
        <f>40.2313 * CHOOSE(CONTROL!$C$15, $E$9, 100%, $G$9) + CHOOSE(CONTROL!$C$38, 0.0256, 0)</f>
        <v>40.256899999999995</v>
      </c>
      <c r="C545" s="10">
        <f>37.051 * CHOOSE(CONTROL!$C$15, $E$9, 100%, $G$9) + CHOOSE(CONTROL!$C$38, 0.0347, 0)</f>
        <v>37.085700000000003</v>
      </c>
      <c r="D545" s="10">
        <f>37.0432 * CHOOSE(CONTROL!$C$15, $E$9, 100%, $G$9) + CHOOSE(CONTROL!$C$38, 0.0347, 0)</f>
        <v>37.0779</v>
      </c>
      <c r="E545" s="28">
        <f>40.0751 * CHOOSE(CONTROL!$C$15, $E$9, 100%, $G$9) + CHOOSE(CONTROL!$C$38, 0.0347, 0)</f>
        <v>40.1098</v>
      </c>
      <c r="F545" s="27">
        <f>40.0751 * CHOOSE(CONTROL!$C$15, $E$9, 100%, $G$9) + CHOOSE(CONTROL!$C$38, 0.0256, 0)</f>
        <v>40.100699999999996</v>
      </c>
      <c r="G545" s="10">
        <f>37.0494 * CHOOSE(CONTROL!$C$15, $E$9, 100%, $G$9) + CHOOSE(CONTROL!$C$38, 0.0347, 0)</f>
        <v>37.084099999999999</v>
      </c>
      <c r="H545" s="10">
        <f>37.0494 * CHOOSE(CONTROL!$C$15, $E$9, 100%, $G$9) + CHOOSE(CONTROL!$C$38, 0.0347, 0)</f>
        <v>37.084099999999999</v>
      </c>
      <c r="I545" s="10">
        <f>37.051 * CHOOSE(CONTROL!$C$15, $E$9, 100%, $G$9) + CHOOSE(CONTROL!$C$38, 0.0347, 0)</f>
        <v>37.085700000000003</v>
      </c>
      <c r="J545" s="26">
        <f>278.4616</f>
        <v>278.46159999999998</v>
      </c>
    </row>
    <row r="546" spans="1:10" ht="15.75" x14ac:dyDescent="0.25">
      <c r="A546" s="13">
        <v>57922</v>
      </c>
      <c r="B546" s="10">
        <f>40.0249 * CHOOSE(CONTROL!$C$15, $E$9, 100%, $G$9) + CHOOSE(CONTROL!$C$38, 0.0256, 0)</f>
        <v>40.0505</v>
      </c>
      <c r="C546" s="10">
        <f>36.8445 * CHOOSE(CONTROL!$C$15, $E$9, 100%, $G$9) + CHOOSE(CONTROL!$C$38, 0.0347, 0)</f>
        <v>36.879199999999997</v>
      </c>
      <c r="D546" s="10">
        <f>36.8367 * CHOOSE(CONTROL!$C$15, $E$9, 100%, $G$9) + CHOOSE(CONTROL!$C$38, 0.0347, 0)</f>
        <v>36.871400000000001</v>
      </c>
      <c r="E546" s="28">
        <f>39.8686 * CHOOSE(CONTROL!$C$15, $E$9, 100%, $G$9) + CHOOSE(CONTROL!$C$38, 0.0347, 0)</f>
        <v>39.903300000000002</v>
      </c>
      <c r="F546" s="27">
        <f>39.8686 * CHOOSE(CONTROL!$C$15, $E$9, 100%, $G$9) + CHOOSE(CONTROL!$C$38, 0.0256, 0)</f>
        <v>39.894199999999998</v>
      </c>
      <c r="G546" s="10">
        <f>36.843 * CHOOSE(CONTROL!$C$15, $E$9, 100%, $G$9) + CHOOSE(CONTROL!$C$38, 0.0347, 0)</f>
        <v>36.877700000000004</v>
      </c>
      <c r="H546" s="10">
        <f>36.843 * CHOOSE(CONTROL!$C$15, $E$9, 100%, $G$9) + CHOOSE(CONTROL!$C$38, 0.0347, 0)</f>
        <v>36.877700000000004</v>
      </c>
      <c r="I546" s="10">
        <f>36.8445 * CHOOSE(CONTROL!$C$15, $E$9, 100%, $G$9) + CHOOSE(CONTROL!$C$38, 0.0347, 0)</f>
        <v>36.879199999999997</v>
      </c>
      <c r="J546" s="26">
        <f>277.1593</f>
        <v>277.15929999999997</v>
      </c>
    </row>
    <row r="547" spans="1:10" ht="15.75" x14ac:dyDescent="0.25">
      <c r="A547" s="13">
        <v>57953</v>
      </c>
      <c r="B547" s="10">
        <f>40.1268 * CHOOSE(CONTROL!$C$15, $E$9, 100%, $G$9) + CHOOSE(CONTROL!$C$38, 0.0256, 0)</f>
        <v>40.1524</v>
      </c>
      <c r="C547" s="10">
        <f>36.9464 * CHOOSE(CONTROL!$C$15, $E$9, 100%, $G$9) + CHOOSE(CONTROL!$C$38, 0.0347, 0)</f>
        <v>36.981099999999998</v>
      </c>
      <c r="D547" s="10">
        <f>36.9386 * CHOOSE(CONTROL!$C$15, $E$9, 100%, $G$9) + CHOOSE(CONTROL!$C$38, 0.0347, 0)</f>
        <v>36.973300000000002</v>
      </c>
      <c r="E547" s="28">
        <f>39.9705 * CHOOSE(CONTROL!$C$15, $E$9, 100%, $G$9) + CHOOSE(CONTROL!$C$38, 0.0347, 0)</f>
        <v>40.005200000000002</v>
      </c>
      <c r="F547" s="27">
        <f>39.9705 * CHOOSE(CONTROL!$C$15, $E$9, 100%, $G$9) + CHOOSE(CONTROL!$C$38, 0.0256, 0)</f>
        <v>39.996099999999998</v>
      </c>
      <c r="G547" s="10">
        <f>36.9449 * CHOOSE(CONTROL!$C$15, $E$9, 100%, $G$9) + CHOOSE(CONTROL!$C$38, 0.0347, 0)</f>
        <v>36.979599999999998</v>
      </c>
      <c r="H547" s="10">
        <f>36.9449 * CHOOSE(CONTROL!$C$15, $E$9, 100%, $G$9) + CHOOSE(CONTROL!$C$38, 0.0347, 0)</f>
        <v>36.979599999999998</v>
      </c>
      <c r="I547" s="10">
        <f>36.9464 * CHOOSE(CONTROL!$C$15, $E$9, 100%, $G$9) + CHOOSE(CONTROL!$C$38, 0.0347, 0)</f>
        <v>36.981099999999998</v>
      </c>
      <c r="J547" s="26">
        <f>270.7071</f>
        <v>270.70710000000003</v>
      </c>
    </row>
    <row r="548" spans="1:10" ht="15.75" x14ac:dyDescent="0.25">
      <c r="A548" s="13">
        <v>57983</v>
      </c>
      <c r="B548" s="10">
        <f>40.4036 * CHOOSE(CONTROL!$C$15, $E$9, 100%, $G$9) + CHOOSE(CONTROL!$C$38, 0.0256, 0)</f>
        <v>40.429199999999994</v>
      </c>
      <c r="C548" s="10">
        <f>37.2232 * CHOOSE(CONTROL!$C$15, $E$9, 100%, $G$9) + CHOOSE(CONTROL!$C$38, 0.0347, 0)</f>
        <v>37.257899999999999</v>
      </c>
      <c r="D548" s="10">
        <f>37.2154 * CHOOSE(CONTROL!$C$15, $E$9, 100%, $G$9) + CHOOSE(CONTROL!$C$38, 0.0347, 0)</f>
        <v>37.250100000000003</v>
      </c>
      <c r="E548" s="28">
        <f>40.2473 * CHOOSE(CONTROL!$C$15, $E$9, 100%, $G$9) + CHOOSE(CONTROL!$C$38, 0.0347, 0)</f>
        <v>40.282000000000004</v>
      </c>
      <c r="F548" s="27">
        <f>40.2473 * CHOOSE(CONTROL!$C$15, $E$9, 100%, $G$9) + CHOOSE(CONTROL!$C$38, 0.0256, 0)</f>
        <v>40.2729</v>
      </c>
      <c r="G548" s="10">
        <f>37.2217 * CHOOSE(CONTROL!$C$15, $E$9, 100%, $G$9) + CHOOSE(CONTROL!$C$38, 0.0347, 0)</f>
        <v>37.256399999999999</v>
      </c>
      <c r="H548" s="10">
        <f>37.2217 * CHOOSE(CONTROL!$C$15, $E$9, 100%, $G$9) + CHOOSE(CONTROL!$C$38, 0.0347, 0)</f>
        <v>37.256399999999999</v>
      </c>
      <c r="I548" s="10">
        <f>37.2232 * CHOOSE(CONTROL!$C$15, $E$9, 100%, $G$9) + CHOOSE(CONTROL!$C$38, 0.0347, 0)</f>
        <v>37.257899999999999</v>
      </c>
      <c r="J548" s="26">
        <f>261.7093</f>
        <v>261.70929999999998</v>
      </c>
    </row>
    <row r="549" spans="1:10" ht="15.75" x14ac:dyDescent="0.25">
      <c r="A549" s="13">
        <v>58014</v>
      </c>
      <c r="B549" s="10">
        <f>40.6354 * CHOOSE(CONTROL!$C$15, $E$9, 100%, $G$9) + CHOOSE(CONTROL!$C$38, 0.0256, 0)</f>
        <v>40.660999999999994</v>
      </c>
      <c r="C549" s="10">
        <f>37.455 * CHOOSE(CONTROL!$C$15, $E$9, 100%, $G$9) + CHOOSE(CONTROL!$C$38, 0.0347, 0)</f>
        <v>37.489699999999999</v>
      </c>
      <c r="D549" s="10">
        <f>37.4472 * CHOOSE(CONTROL!$C$15, $E$9, 100%, $G$9) + CHOOSE(CONTROL!$C$38, 0.0347, 0)</f>
        <v>37.481900000000003</v>
      </c>
      <c r="E549" s="28">
        <f>40.4791 * CHOOSE(CONTROL!$C$15, $E$9, 100%, $G$9) + CHOOSE(CONTROL!$C$38, 0.0347, 0)</f>
        <v>40.513800000000003</v>
      </c>
      <c r="F549" s="27">
        <f>40.4791 * CHOOSE(CONTROL!$C$15, $E$9, 100%, $G$9) + CHOOSE(CONTROL!$C$38, 0.0256, 0)</f>
        <v>40.5047</v>
      </c>
      <c r="G549" s="10">
        <f>37.4535 * CHOOSE(CONTROL!$C$15, $E$9, 100%, $G$9) + CHOOSE(CONTROL!$C$38, 0.0347, 0)</f>
        <v>37.488199999999999</v>
      </c>
      <c r="H549" s="10">
        <f>37.4535 * CHOOSE(CONTROL!$C$15, $E$9, 100%, $G$9) + CHOOSE(CONTROL!$C$38, 0.0347, 0)</f>
        <v>37.488199999999999</v>
      </c>
      <c r="I549" s="10">
        <f>37.455 * CHOOSE(CONTROL!$C$15, $E$9, 100%, $G$9) + CHOOSE(CONTROL!$C$38, 0.0347, 0)</f>
        <v>37.489699999999999</v>
      </c>
      <c r="J549" s="26">
        <f>252.6591</f>
        <v>252.6591</v>
      </c>
    </row>
    <row r="550" spans="1:10" ht="15.75" x14ac:dyDescent="0.25">
      <c r="A550" s="13">
        <v>58044</v>
      </c>
      <c r="B550" s="10">
        <f>40.8288 * CHOOSE(CONTROL!$C$15, $E$9, 100%, $G$9) + CHOOSE(CONTROL!$C$38, 0.0256, 0)</f>
        <v>40.854399999999998</v>
      </c>
      <c r="C550" s="10">
        <f>37.6485 * CHOOSE(CONTROL!$C$15, $E$9, 100%, $G$9) + CHOOSE(CONTROL!$C$38, 0.0347, 0)</f>
        <v>37.683199999999999</v>
      </c>
      <c r="D550" s="10">
        <f>37.6407 * CHOOSE(CONTROL!$C$15, $E$9, 100%, $G$9) + CHOOSE(CONTROL!$C$38, 0.0347, 0)</f>
        <v>37.675400000000003</v>
      </c>
      <c r="E550" s="28">
        <f>40.6726 * CHOOSE(CONTROL!$C$15, $E$9, 100%, $G$9) + CHOOSE(CONTROL!$C$38, 0.0347, 0)</f>
        <v>40.707300000000004</v>
      </c>
      <c r="F550" s="27">
        <f>40.6726 * CHOOSE(CONTROL!$C$15, $E$9, 100%, $G$9) + CHOOSE(CONTROL!$C$38, 0.0256, 0)</f>
        <v>40.6982</v>
      </c>
      <c r="G550" s="10">
        <f>37.6469 * CHOOSE(CONTROL!$C$15, $E$9, 100%, $G$9) + CHOOSE(CONTROL!$C$38, 0.0347, 0)</f>
        <v>37.681600000000003</v>
      </c>
      <c r="H550" s="10">
        <f>37.6469 * CHOOSE(CONTROL!$C$15, $E$9, 100%, $G$9) + CHOOSE(CONTROL!$C$38, 0.0347, 0)</f>
        <v>37.681600000000003</v>
      </c>
      <c r="I550" s="10">
        <f>37.6485 * CHOOSE(CONTROL!$C$15, $E$9, 100%, $G$9) + CHOOSE(CONTROL!$C$38, 0.0347, 0)</f>
        <v>37.683199999999999</v>
      </c>
      <c r="J550" s="26">
        <f>250.8589</f>
        <v>250.85890000000001</v>
      </c>
    </row>
    <row r="551" spans="1:10" ht="15.75" x14ac:dyDescent="0.25">
      <c r="A551" s="13">
        <v>58075</v>
      </c>
      <c r="B551" s="10">
        <f>41.4249 * CHOOSE(CONTROL!$C$15, $E$9, 100%, $G$9) + CHOOSE(CONTROL!$C$38, 0.0256, 0)</f>
        <v>41.450499999999998</v>
      </c>
      <c r="C551" s="10">
        <f>38.2446 * CHOOSE(CONTROL!$C$15, $E$9, 100%, $G$9) + CHOOSE(CONTROL!$C$38, 0.0347, 0)</f>
        <v>38.279299999999999</v>
      </c>
      <c r="D551" s="10">
        <f>38.2367 * CHOOSE(CONTROL!$C$15, $E$9, 100%, $G$9) + CHOOSE(CONTROL!$C$38, 0.0347, 0)</f>
        <v>38.2714</v>
      </c>
      <c r="E551" s="28">
        <f>41.2686 * CHOOSE(CONTROL!$C$15, $E$9, 100%, $G$9) + CHOOSE(CONTROL!$C$38, 0.0347, 0)</f>
        <v>41.3033</v>
      </c>
      <c r="F551" s="27">
        <f>41.2686 * CHOOSE(CONTROL!$C$15, $E$9, 100%, $G$9) + CHOOSE(CONTROL!$C$38, 0.0256, 0)</f>
        <v>41.294199999999996</v>
      </c>
      <c r="G551" s="10">
        <f>38.243 * CHOOSE(CONTROL!$C$15, $E$9, 100%, $G$9) + CHOOSE(CONTROL!$C$38, 0.0347, 0)</f>
        <v>38.277700000000003</v>
      </c>
      <c r="H551" s="10">
        <f>38.243 * CHOOSE(CONTROL!$C$15, $E$9, 100%, $G$9) + CHOOSE(CONTROL!$C$38, 0.0347, 0)</f>
        <v>38.277700000000003</v>
      </c>
      <c r="I551" s="10">
        <f>38.2446 * CHOOSE(CONTROL!$C$15, $E$9, 100%, $G$9) + CHOOSE(CONTROL!$C$38, 0.0347, 0)</f>
        <v>38.279299999999999</v>
      </c>
      <c r="J551" s="26">
        <f>243.4146</f>
        <v>243.41460000000001</v>
      </c>
    </row>
    <row r="552" spans="1:10" ht="15.75" x14ac:dyDescent="0.25">
      <c r="A552" s="13">
        <v>58106</v>
      </c>
      <c r="B552" s="10">
        <f>42.6068 * CHOOSE(CONTROL!$C$15, $E$9, 100%, $G$9) + CHOOSE(CONTROL!$C$38, 0.0256, 0)</f>
        <v>42.632399999999997</v>
      </c>
      <c r="C552" s="10">
        <f>39.373 * CHOOSE(CONTROL!$C$15, $E$9, 100%, $G$9) + CHOOSE(CONTROL!$C$38, 0.0347, 0)</f>
        <v>39.407699999999998</v>
      </c>
      <c r="D552" s="10">
        <f>39.3652 * CHOOSE(CONTROL!$C$15, $E$9, 100%, $G$9) + CHOOSE(CONTROL!$C$38, 0.0347, 0)</f>
        <v>39.399900000000002</v>
      </c>
      <c r="E552" s="28">
        <f>42.4505 * CHOOSE(CONTROL!$C$15, $E$9, 100%, $G$9) + CHOOSE(CONTROL!$C$38, 0.0347, 0)</f>
        <v>42.485199999999999</v>
      </c>
      <c r="F552" s="27">
        <f>42.4505 * CHOOSE(CONTROL!$C$15, $E$9, 100%, $G$9) + CHOOSE(CONTROL!$C$38, 0.0256, 0)</f>
        <v>42.476099999999995</v>
      </c>
      <c r="G552" s="10">
        <f>39.3714 * CHOOSE(CONTROL!$C$15, $E$9, 100%, $G$9) + CHOOSE(CONTROL!$C$38, 0.0347, 0)</f>
        <v>39.406100000000002</v>
      </c>
      <c r="H552" s="10">
        <f>39.3714 * CHOOSE(CONTROL!$C$15, $E$9, 100%, $G$9) + CHOOSE(CONTROL!$C$38, 0.0347, 0)</f>
        <v>39.406100000000002</v>
      </c>
      <c r="I552" s="10">
        <f>39.373 * CHOOSE(CONTROL!$C$15, $E$9, 100%, $G$9) + CHOOSE(CONTROL!$C$38, 0.0347, 0)</f>
        <v>39.407699999999998</v>
      </c>
      <c r="J552" s="26">
        <f>241.7841</f>
        <v>241.7841</v>
      </c>
    </row>
    <row r="553" spans="1:10" ht="15.75" x14ac:dyDescent="0.25">
      <c r="A553" s="13">
        <v>58134</v>
      </c>
      <c r="B553" s="10">
        <f>42.8275 * CHOOSE(CONTROL!$C$15, $E$9, 100%, $G$9) + CHOOSE(CONTROL!$C$38, 0.0256, 0)</f>
        <v>42.853099999999998</v>
      </c>
      <c r="C553" s="10">
        <f>39.5937 * CHOOSE(CONTROL!$C$15, $E$9, 100%, $G$9) + CHOOSE(CONTROL!$C$38, 0.0347, 0)</f>
        <v>39.628399999999999</v>
      </c>
      <c r="D553" s="10">
        <f>39.5859 * CHOOSE(CONTROL!$C$15, $E$9, 100%, $G$9) + CHOOSE(CONTROL!$C$38, 0.0347, 0)</f>
        <v>39.620600000000003</v>
      </c>
      <c r="E553" s="28">
        <f>42.6713 * CHOOSE(CONTROL!$C$15, $E$9, 100%, $G$9) + CHOOSE(CONTROL!$C$38, 0.0347, 0)</f>
        <v>42.706000000000003</v>
      </c>
      <c r="F553" s="27">
        <f>42.6713 * CHOOSE(CONTROL!$C$15, $E$9, 100%, $G$9) + CHOOSE(CONTROL!$C$38, 0.0256, 0)</f>
        <v>42.696899999999999</v>
      </c>
      <c r="G553" s="10">
        <f>39.5922 * CHOOSE(CONTROL!$C$15, $E$9, 100%, $G$9) + CHOOSE(CONTROL!$C$38, 0.0347, 0)</f>
        <v>39.626899999999999</v>
      </c>
      <c r="H553" s="10">
        <f>39.5922 * CHOOSE(CONTROL!$C$15, $E$9, 100%, $G$9) + CHOOSE(CONTROL!$C$38, 0.0347, 0)</f>
        <v>39.626899999999999</v>
      </c>
      <c r="I553" s="10">
        <f>39.5937 * CHOOSE(CONTROL!$C$15, $E$9, 100%, $G$9) + CHOOSE(CONTROL!$C$38, 0.0347, 0)</f>
        <v>39.628399999999999</v>
      </c>
      <c r="J553" s="26">
        <f>241.112</f>
        <v>241.11199999999999</v>
      </c>
    </row>
    <row r="554" spans="1:10" ht="15.75" x14ac:dyDescent="0.25">
      <c r="A554" s="13">
        <v>58165</v>
      </c>
      <c r="B554" s="10">
        <f>42.3165 * CHOOSE(CONTROL!$C$15, $E$9, 100%, $G$9) + CHOOSE(CONTROL!$C$38, 0.0256, 0)</f>
        <v>42.342099999999995</v>
      </c>
      <c r="C554" s="10">
        <f>39.0827 * CHOOSE(CONTROL!$C$15, $E$9, 100%, $G$9) + CHOOSE(CONTROL!$C$38, 0.0347, 0)</f>
        <v>39.117400000000004</v>
      </c>
      <c r="D554" s="10">
        <f>39.0749 * CHOOSE(CONTROL!$C$15, $E$9, 100%, $G$9) + CHOOSE(CONTROL!$C$38, 0.0347, 0)</f>
        <v>39.1096</v>
      </c>
      <c r="E554" s="28">
        <f>42.1602 * CHOOSE(CONTROL!$C$15, $E$9, 100%, $G$9) + CHOOSE(CONTROL!$C$38, 0.0347, 0)</f>
        <v>42.194900000000004</v>
      </c>
      <c r="F554" s="27">
        <f>42.1602 * CHOOSE(CONTROL!$C$15, $E$9, 100%, $G$9) + CHOOSE(CONTROL!$C$38, 0.0256, 0)</f>
        <v>42.1858</v>
      </c>
      <c r="G554" s="10">
        <f>39.0811 * CHOOSE(CONTROL!$C$15, $E$9, 100%, $G$9) + CHOOSE(CONTROL!$C$38, 0.0347, 0)</f>
        <v>39.1158</v>
      </c>
      <c r="H554" s="10">
        <f>39.0811 * CHOOSE(CONTROL!$C$15, $E$9, 100%, $G$9) + CHOOSE(CONTROL!$C$38, 0.0347, 0)</f>
        <v>39.1158</v>
      </c>
      <c r="I554" s="10">
        <f>39.0827 * CHOOSE(CONTROL!$C$15, $E$9, 100%, $G$9) + CHOOSE(CONTROL!$C$38, 0.0347, 0)</f>
        <v>39.117400000000004</v>
      </c>
      <c r="J554" s="26">
        <f>253.82</f>
        <v>253.82</v>
      </c>
    </row>
    <row r="555" spans="1:10" ht="15.75" x14ac:dyDescent="0.25">
      <c r="A555" s="13">
        <v>58195</v>
      </c>
      <c r="B555" s="10">
        <f>41.8213 * CHOOSE(CONTROL!$C$15, $E$9, 100%, $G$9) + CHOOSE(CONTROL!$C$38, 0.0256, 0)</f>
        <v>41.846899999999998</v>
      </c>
      <c r="C555" s="10">
        <f>38.5875 * CHOOSE(CONTROL!$C$15, $E$9, 100%, $G$9) + CHOOSE(CONTROL!$C$38, 0.0347, 0)</f>
        <v>38.622199999999999</v>
      </c>
      <c r="D555" s="10">
        <f>38.5797 * CHOOSE(CONTROL!$C$15, $E$9, 100%, $G$9) + CHOOSE(CONTROL!$C$38, 0.0347, 0)</f>
        <v>38.614400000000003</v>
      </c>
      <c r="E555" s="28">
        <f>41.6651 * CHOOSE(CONTROL!$C$15, $E$9, 100%, $G$9) + CHOOSE(CONTROL!$C$38, 0.0347, 0)</f>
        <v>41.699800000000003</v>
      </c>
      <c r="F555" s="27">
        <f>41.6651 * CHOOSE(CONTROL!$C$15, $E$9, 100%, $G$9) + CHOOSE(CONTROL!$C$38, 0.0256, 0)</f>
        <v>41.6907</v>
      </c>
      <c r="G555" s="10">
        <f>38.586 * CHOOSE(CONTROL!$C$15, $E$9, 100%, $G$9) + CHOOSE(CONTROL!$C$38, 0.0347, 0)</f>
        <v>38.620699999999999</v>
      </c>
      <c r="H555" s="10">
        <f>38.586 * CHOOSE(CONTROL!$C$15, $E$9, 100%, $G$9) + CHOOSE(CONTROL!$C$38, 0.0347, 0)</f>
        <v>38.620699999999999</v>
      </c>
      <c r="I555" s="10">
        <f>38.5875 * CHOOSE(CONTROL!$C$15, $E$9, 100%, $G$9) + CHOOSE(CONTROL!$C$38, 0.0347, 0)</f>
        <v>38.622199999999999</v>
      </c>
      <c r="J555" s="26">
        <f>270.2993</f>
        <v>270.29930000000002</v>
      </c>
    </row>
    <row r="556" spans="1:10" ht="15.75" x14ac:dyDescent="0.25">
      <c r="A556" s="13">
        <v>58226</v>
      </c>
      <c r="B556" s="10">
        <f>41.3052 * CHOOSE(CONTROL!$C$15, $E$9, 100%, $G$9) + CHOOSE(CONTROL!$C$38, 0.0256, 0)</f>
        <v>41.330799999999996</v>
      </c>
      <c r="C556" s="10">
        <f>38.0714 * CHOOSE(CONTROL!$C$15, $E$9, 100%, $G$9) + CHOOSE(CONTROL!$C$38, 0.0347, 0)</f>
        <v>38.106099999999998</v>
      </c>
      <c r="D556" s="10">
        <f>38.0636 * CHOOSE(CONTROL!$C$15, $E$9, 100%, $G$9) + CHOOSE(CONTROL!$C$38, 0.0347, 0)</f>
        <v>38.098300000000002</v>
      </c>
      <c r="E556" s="28">
        <f>41.1489 * CHOOSE(CONTROL!$C$15, $E$9, 100%, $G$9) + CHOOSE(CONTROL!$C$38, 0.0347, 0)</f>
        <v>41.183599999999998</v>
      </c>
      <c r="F556" s="27">
        <f>41.1489 * CHOOSE(CONTROL!$C$15, $E$9, 100%, $G$9) + CHOOSE(CONTROL!$C$38, 0.0256, 0)</f>
        <v>41.174499999999995</v>
      </c>
      <c r="G556" s="10">
        <f>38.0699 * CHOOSE(CONTROL!$C$15, $E$9, 100%, $G$9) + CHOOSE(CONTROL!$C$38, 0.0347, 0)</f>
        <v>38.104599999999998</v>
      </c>
      <c r="H556" s="10">
        <f>38.0699 * CHOOSE(CONTROL!$C$15, $E$9, 100%, $G$9) + CHOOSE(CONTROL!$C$38, 0.0347, 0)</f>
        <v>38.104599999999998</v>
      </c>
      <c r="I556" s="10">
        <f>38.0714 * CHOOSE(CONTROL!$C$15, $E$9, 100%, $G$9) + CHOOSE(CONTROL!$C$38, 0.0347, 0)</f>
        <v>38.106099999999998</v>
      </c>
      <c r="J556" s="26">
        <f>279.37</f>
        <v>279.37</v>
      </c>
    </row>
    <row r="557" spans="1:10" ht="15.75" x14ac:dyDescent="0.25">
      <c r="A557" s="13">
        <v>58256</v>
      </c>
      <c r="B557" s="10">
        <f>40.9434 * CHOOSE(CONTROL!$C$15, $E$9, 100%, $G$9) + CHOOSE(CONTROL!$C$38, 0.0256, 0)</f>
        <v>40.968999999999994</v>
      </c>
      <c r="C557" s="10">
        <f>37.7096 * CHOOSE(CONTROL!$C$15, $E$9, 100%, $G$9) + CHOOSE(CONTROL!$C$38, 0.0347, 0)</f>
        <v>37.744300000000003</v>
      </c>
      <c r="D557" s="10">
        <f>37.7018 * CHOOSE(CONTROL!$C$15, $E$9, 100%, $G$9) + CHOOSE(CONTROL!$C$38, 0.0347, 0)</f>
        <v>37.736499999999999</v>
      </c>
      <c r="E557" s="28">
        <f>40.7871 * CHOOSE(CONTROL!$C$15, $E$9, 100%, $G$9) + CHOOSE(CONTROL!$C$38, 0.0347, 0)</f>
        <v>40.821800000000003</v>
      </c>
      <c r="F557" s="27">
        <f>40.7871 * CHOOSE(CONTROL!$C$15, $E$9, 100%, $G$9) + CHOOSE(CONTROL!$C$38, 0.0256, 0)</f>
        <v>40.8127</v>
      </c>
      <c r="G557" s="10">
        <f>37.708 * CHOOSE(CONTROL!$C$15, $E$9, 100%, $G$9) + CHOOSE(CONTROL!$C$38, 0.0347, 0)</f>
        <v>37.742699999999999</v>
      </c>
      <c r="H557" s="10">
        <f>37.708 * CHOOSE(CONTROL!$C$15, $E$9, 100%, $G$9) + CHOOSE(CONTROL!$C$38, 0.0347, 0)</f>
        <v>37.742699999999999</v>
      </c>
      <c r="I557" s="10">
        <f>37.7096 * CHOOSE(CONTROL!$C$15, $E$9, 100%, $G$9) + CHOOSE(CONTROL!$C$38, 0.0347, 0)</f>
        <v>37.744300000000003</v>
      </c>
      <c r="J557" s="26">
        <f>283.3954</f>
        <v>283.3954</v>
      </c>
    </row>
    <row r="558" spans="1:10" ht="15.75" x14ac:dyDescent="0.25">
      <c r="A558" s="13">
        <v>58287</v>
      </c>
      <c r="B558" s="10">
        <f>40.7369 * CHOOSE(CONTROL!$C$15, $E$9, 100%, $G$9) + CHOOSE(CONTROL!$C$38, 0.0256, 0)</f>
        <v>40.762499999999996</v>
      </c>
      <c r="C558" s="10">
        <f>37.5031 * CHOOSE(CONTROL!$C$15, $E$9, 100%, $G$9) + CHOOSE(CONTROL!$C$38, 0.0347, 0)</f>
        <v>37.537800000000004</v>
      </c>
      <c r="D558" s="10">
        <f>37.4953 * CHOOSE(CONTROL!$C$15, $E$9, 100%, $G$9) + CHOOSE(CONTROL!$C$38, 0.0347, 0)</f>
        <v>37.53</v>
      </c>
      <c r="E558" s="28">
        <f>40.5806 * CHOOSE(CONTROL!$C$15, $E$9, 100%, $G$9) + CHOOSE(CONTROL!$C$38, 0.0347, 0)</f>
        <v>40.615299999999998</v>
      </c>
      <c r="F558" s="27">
        <f>40.5806 * CHOOSE(CONTROL!$C$15, $E$9, 100%, $G$9) + CHOOSE(CONTROL!$C$38, 0.0256, 0)</f>
        <v>40.606199999999994</v>
      </c>
      <c r="G558" s="10">
        <f>37.5015 * CHOOSE(CONTROL!$C$15, $E$9, 100%, $G$9) + CHOOSE(CONTROL!$C$38, 0.0347, 0)</f>
        <v>37.536200000000001</v>
      </c>
      <c r="H558" s="10">
        <f>37.5015 * CHOOSE(CONTROL!$C$15, $E$9, 100%, $G$9) + CHOOSE(CONTROL!$C$38, 0.0347, 0)</f>
        <v>37.536200000000001</v>
      </c>
      <c r="I558" s="10">
        <f>37.5031 * CHOOSE(CONTROL!$C$15, $E$9, 100%, $G$9) + CHOOSE(CONTROL!$C$38, 0.0347, 0)</f>
        <v>37.537800000000004</v>
      </c>
      <c r="J558" s="26">
        <f>282.07</f>
        <v>282.07</v>
      </c>
    </row>
    <row r="559" spans="1:10" ht="15.75" x14ac:dyDescent="0.25">
      <c r="A559" s="13">
        <v>58318</v>
      </c>
      <c r="B559" s="10">
        <f>40.8388 * CHOOSE(CONTROL!$C$15, $E$9, 100%, $G$9) + CHOOSE(CONTROL!$C$38, 0.0256, 0)</f>
        <v>40.864399999999996</v>
      </c>
      <c r="C559" s="10">
        <f>37.605 * CHOOSE(CONTROL!$C$15, $E$9, 100%, $G$9) + CHOOSE(CONTROL!$C$38, 0.0347, 0)</f>
        <v>37.639699999999998</v>
      </c>
      <c r="D559" s="10">
        <f>37.5972 * CHOOSE(CONTROL!$C$15, $E$9, 100%, $G$9) + CHOOSE(CONTROL!$C$38, 0.0347, 0)</f>
        <v>37.631900000000002</v>
      </c>
      <c r="E559" s="28">
        <f>40.6825 * CHOOSE(CONTROL!$C$15, $E$9, 100%, $G$9) + CHOOSE(CONTROL!$C$38, 0.0347, 0)</f>
        <v>40.717199999999998</v>
      </c>
      <c r="F559" s="27">
        <f>40.6825 * CHOOSE(CONTROL!$C$15, $E$9, 100%, $G$9) + CHOOSE(CONTROL!$C$38, 0.0256, 0)</f>
        <v>40.708099999999995</v>
      </c>
      <c r="G559" s="10">
        <f>37.6034 * CHOOSE(CONTROL!$C$15, $E$9, 100%, $G$9) + CHOOSE(CONTROL!$C$38, 0.0347, 0)</f>
        <v>37.638100000000001</v>
      </c>
      <c r="H559" s="10">
        <f>37.6034 * CHOOSE(CONTROL!$C$15, $E$9, 100%, $G$9) + CHOOSE(CONTROL!$C$38, 0.0347, 0)</f>
        <v>37.638100000000001</v>
      </c>
      <c r="I559" s="10">
        <f>37.605 * CHOOSE(CONTROL!$C$15, $E$9, 100%, $G$9) + CHOOSE(CONTROL!$C$38, 0.0347, 0)</f>
        <v>37.639699999999998</v>
      </c>
      <c r="J559" s="26">
        <f>275.5036</f>
        <v>275.50360000000001</v>
      </c>
    </row>
    <row r="560" spans="1:10" ht="15.75" x14ac:dyDescent="0.25">
      <c r="A560" s="13">
        <v>58348</v>
      </c>
      <c r="B560" s="10">
        <f>41.1156 * CHOOSE(CONTROL!$C$15, $E$9, 100%, $G$9) + CHOOSE(CONTROL!$C$38, 0.0256, 0)</f>
        <v>41.141199999999998</v>
      </c>
      <c r="C560" s="10">
        <f>37.8818 * CHOOSE(CONTROL!$C$15, $E$9, 100%, $G$9) + CHOOSE(CONTROL!$C$38, 0.0347, 0)</f>
        <v>37.916499999999999</v>
      </c>
      <c r="D560" s="10">
        <f>37.874 * CHOOSE(CONTROL!$C$15, $E$9, 100%, $G$9) + CHOOSE(CONTROL!$C$38, 0.0347, 0)</f>
        <v>37.908700000000003</v>
      </c>
      <c r="E560" s="28">
        <f>40.9593 * CHOOSE(CONTROL!$C$15, $E$9, 100%, $G$9) + CHOOSE(CONTROL!$C$38, 0.0347, 0)</f>
        <v>40.994</v>
      </c>
      <c r="F560" s="27">
        <f>40.9593 * CHOOSE(CONTROL!$C$15, $E$9, 100%, $G$9) + CHOOSE(CONTROL!$C$38, 0.0256, 0)</f>
        <v>40.984899999999996</v>
      </c>
      <c r="G560" s="10">
        <f>37.8802 * CHOOSE(CONTROL!$C$15, $E$9, 100%, $G$9) + CHOOSE(CONTROL!$C$38, 0.0347, 0)</f>
        <v>37.914900000000003</v>
      </c>
      <c r="H560" s="10">
        <f>37.8802 * CHOOSE(CONTROL!$C$15, $E$9, 100%, $G$9) + CHOOSE(CONTROL!$C$38, 0.0347, 0)</f>
        <v>37.914900000000003</v>
      </c>
      <c r="I560" s="10">
        <f>37.8818 * CHOOSE(CONTROL!$C$15, $E$9, 100%, $G$9) + CHOOSE(CONTROL!$C$38, 0.0347, 0)</f>
        <v>37.916499999999999</v>
      </c>
      <c r="J560" s="26">
        <f>266.3463</f>
        <v>266.34629999999999</v>
      </c>
    </row>
    <row r="561" spans="1:10" ht="15.75" x14ac:dyDescent="0.25">
      <c r="A561" s="13">
        <v>58379</v>
      </c>
      <c r="B561" s="10">
        <f>41.3474 * CHOOSE(CONTROL!$C$15, $E$9, 100%, $G$9) + CHOOSE(CONTROL!$C$38, 0.0256, 0)</f>
        <v>41.372999999999998</v>
      </c>
      <c r="C561" s="10">
        <f>38.1136 * CHOOSE(CONTROL!$C$15, $E$9, 100%, $G$9) + CHOOSE(CONTROL!$C$38, 0.0347, 0)</f>
        <v>38.148299999999999</v>
      </c>
      <c r="D561" s="10">
        <f>38.1058 * CHOOSE(CONTROL!$C$15, $E$9, 100%, $G$9) + CHOOSE(CONTROL!$C$38, 0.0347, 0)</f>
        <v>38.140500000000003</v>
      </c>
      <c r="E561" s="28">
        <f>41.1911 * CHOOSE(CONTROL!$C$15, $E$9, 100%, $G$9) + CHOOSE(CONTROL!$C$38, 0.0347, 0)</f>
        <v>41.2258</v>
      </c>
      <c r="F561" s="27">
        <f>41.1911 * CHOOSE(CONTROL!$C$15, $E$9, 100%, $G$9) + CHOOSE(CONTROL!$C$38, 0.0256, 0)</f>
        <v>41.216699999999996</v>
      </c>
      <c r="G561" s="10">
        <f>38.1121 * CHOOSE(CONTROL!$C$15, $E$9, 100%, $G$9) + CHOOSE(CONTROL!$C$38, 0.0347, 0)</f>
        <v>38.146799999999999</v>
      </c>
      <c r="H561" s="10">
        <f>38.1121 * CHOOSE(CONTROL!$C$15, $E$9, 100%, $G$9) + CHOOSE(CONTROL!$C$38, 0.0347, 0)</f>
        <v>38.146799999999999</v>
      </c>
      <c r="I561" s="10">
        <f>38.1136 * CHOOSE(CONTROL!$C$15, $E$9, 100%, $G$9) + CHOOSE(CONTROL!$C$38, 0.0347, 0)</f>
        <v>38.148299999999999</v>
      </c>
      <c r="J561" s="26">
        <f>257.1358</f>
        <v>257.13580000000002</v>
      </c>
    </row>
    <row r="562" spans="1:10" ht="15.75" x14ac:dyDescent="0.25">
      <c r="A562" s="13">
        <v>58409</v>
      </c>
      <c r="B562" s="10">
        <f>41.5408 * CHOOSE(CONTROL!$C$15, $E$9, 100%, $G$9) + CHOOSE(CONTROL!$C$38, 0.0256, 0)</f>
        <v>41.566399999999994</v>
      </c>
      <c r="C562" s="10">
        <f>38.3071 * CHOOSE(CONTROL!$C$15, $E$9, 100%, $G$9) + CHOOSE(CONTROL!$C$38, 0.0347, 0)</f>
        <v>38.341799999999999</v>
      </c>
      <c r="D562" s="10">
        <f>38.2993 * CHOOSE(CONTROL!$C$15, $E$9, 100%, $G$9) + CHOOSE(CONTROL!$C$38, 0.0347, 0)</f>
        <v>38.334000000000003</v>
      </c>
      <c r="E562" s="28">
        <f>41.3846 * CHOOSE(CONTROL!$C$15, $E$9, 100%, $G$9) + CHOOSE(CONTROL!$C$38, 0.0347, 0)</f>
        <v>41.4193</v>
      </c>
      <c r="F562" s="27">
        <f>41.3846 * CHOOSE(CONTROL!$C$15, $E$9, 100%, $G$9) + CHOOSE(CONTROL!$C$38, 0.0256, 0)</f>
        <v>41.410199999999996</v>
      </c>
      <c r="G562" s="10">
        <f>38.3055 * CHOOSE(CONTROL!$C$15, $E$9, 100%, $G$9) + CHOOSE(CONTROL!$C$38, 0.0347, 0)</f>
        <v>38.340200000000003</v>
      </c>
      <c r="H562" s="10">
        <f>38.3055 * CHOOSE(CONTROL!$C$15, $E$9, 100%, $G$9) + CHOOSE(CONTROL!$C$38, 0.0347, 0)</f>
        <v>38.340200000000003</v>
      </c>
      <c r="I562" s="10">
        <f>38.3071 * CHOOSE(CONTROL!$C$15, $E$9, 100%, $G$9) + CHOOSE(CONTROL!$C$38, 0.0347, 0)</f>
        <v>38.341799999999999</v>
      </c>
      <c r="J562" s="26">
        <f>255.3036</f>
        <v>255.30359999999999</v>
      </c>
    </row>
    <row r="563" spans="1:10" ht="15.75" x14ac:dyDescent="0.25">
      <c r="A563" s="13">
        <v>58440</v>
      </c>
      <c r="B563" s="10">
        <f>42.1369 * CHOOSE(CONTROL!$C$15, $E$9, 100%, $G$9) + CHOOSE(CONTROL!$C$38, 0.0256, 0)</f>
        <v>42.162499999999994</v>
      </c>
      <c r="C563" s="10">
        <f>38.9031 * CHOOSE(CONTROL!$C$15, $E$9, 100%, $G$9) + CHOOSE(CONTROL!$C$38, 0.0347, 0)</f>
        <v>38.937800000000003</v>
      </c>
      <c r="D563" s="10">
        <f>38.8953 * CHOOSE(CONTROL!$C$15, $E$9, 100%, $G$9) + CHOOSE(CONTROL!$C$38, 0.0347, 0)</f>
        <v>38.93</v>
      </c>
      <c r="E563" s="28">
        <f>41.9807 * CHOOSE(CONTROL!$C$15, $E$9, 100%, $G$9) + CHOOSE(CONTROL!$C$38, 0.0347, 0)</f>
        <v>42.0154</v>
      </c>
      <c r="F563" s="27">
        <f>41.9807 * CHOOSE(CONTROL!$C$15, $E$9, 100%, $G$9) + CHOOSE(CONTROL!$C$38, 0.0256, 0)</f>
        <v>42.006299999999996</v>
      </c>
      <c r="G563" s="10">
        <f>38.9016 * CHOOSE(CONTROL!$C$15, $E$9, 100%, $G$9) + CHOOSE(CONTROL!$C$38, 0.0347, 0)</f>
        <v>38.936300000000003</v>
      </c>
      <c r="H563" s="10">
        <f>38.9016 * CHOOSE(CONTROL!$C$15, $E$9, 100%, $G$9) + CHOOSE(CONTROL!$C$38, 0.0347, 0)</f>
        <v>38.936300000000003</v>
      </c>
      <c r="I563" s="10">
        <f>38.9031 * CHOOSE(CONTROL!$C$15, $E$9, 100%, $G$9) + CHOOSE(CONTROL!$C$38, 0.0347, 0)</f>
        <v>38.937800000000003</v>
      </c>
      <c r="J563" s="26">
        <f>247.7275</f>
        <v>247.72749999999999</v>
      </c>
    </row>
    <row r="564" spans="1:10" ht="15.75" x14ac:dyDescent="0.25">
      <c r="A564" s="13">
        <v>58471</v>
      </c>
      <c r="B564" s="10">
        <f>43.3313 * CHOOSE(CONTROL!$C$15, $E$9, 100%, $G$9) + CHOOSE(CONTROL!$C$38, 0.0256, 0)</f>
        <v>43.356899999999996</v>
      </c>
      <c r="C564" s="10">
        <f>40.0432 * CHOOSE(CONTROL!$C$15, $E$9, 100%, $G$9) + CHOOSE(CONTROL!$C$38, 0.0347, 0)</f>
        <v>40.0779</v>
      </c>
      <c r="D564" s="10">
        <f>40.0354 * CHOOSE(CONTROL!$C$15, $E$9, 100%, $G$9) + CHOOSE(CONTROL!$C$38, 0.0347, 0)</f>
        <v>40.070100000000004</v>
      </c>
      <c r="E564" s="28">
        <f>43.1751 * CHOOSE(CONTROL!$C$15, $E$9, 100%, $G$9) + CHOOSE(CONTROL!$C$38, 0.0347, 0)</f>
        <v>43.209800000000001</v>
      </c>
      <c r="F564" s="27">
        <f>43.1751 * CHOOSE(CONTROL!$C$15, $E$9, 100%, $G$9) + CHOOSE(CONTROL!$C$38, 0.0256, 0)</f>
        <v>43.200699999999998</v>
      </c>
      <c r="G564" s="10">
        <f>40.0416 * CHOOSE(CONTROL!$C$15, $E$9, 100%, $G$9) + CHOOSE(CONTROL!$C$38, 0.0347, 0)</f>
        <v>40.076300000000003</v>
      </c>
      <c r="H564" s="10">
        <f>40.0416 * CHOOSE(CONTROL!$C$15, $E$9, 100%, $G$9) + CHOOSE(CONTROL!$C$38, 0.0347, 0)</f>
        <v>40.076300000000003</v>
      </c>
      <c r="I564" s="10">
        <f>40.0432 * CHOOSE(CONTROL!$C$15, $E$9, 100%, $G$9) + CHOOSE(CONTROL!$C$38, 0.0347, 0)</f>
        <v>40.0779</v>
      </c>
      <c r="J564" s="26">
        <f>246.0681</f>
        <v>246.06809999999999</v>
      </c>
    </row>
    <row r="565" spans="1:10" ht="15.75" x14ac:dyDescent="0.25">
      <c r="A565" s="13">
        <v>58499</v>
      </c>
      <c r="B565" s="10">
        <f>43.5521 * CHOOSE(CONTROL!$C$15, $E$9, 100%, $G$9) + CHOOSE(CONTROL!$C$38, 0.0256, 0)</f>
        <v>43.5777</v>
      </c>
      <c r="C565" s="10">
        <f>40.264 * CHOOSE(CONTROL!$C$15, $E$9, 100%, $G$9) + CHOOSE(CONTROL!$C$38, 0.0347, 0)</f>
        <v>40.298700000000004</v>
      </c>
      <c r="D565" s="10">
        <f>40.2561 * CHOOSE(CONTROL!$C$15, $E$9, 100%, $G$9) + CHOOSE(CONTROL!$C$38, 0.0347, 0)</f>
        <v>40.290800000000004</v>
      </c>
      <c r="E565" s="28">
        <f>43.3959 * CHOOSE(CONTROL!$C$15, $E$9, 100%, $G$9) + CHOOSE(CONTROL!$C$38, 0.0347, 0)</f>
        <v>43.430599999999998</v>
      </c>
      <c r="F565" s="27">
        <f>43.3959 * CHOOSE(CONTROL!$C$15, $E$9, 100%, $G$9) + CHOOSE(CONTROL!$C$38, 0.0256, 0)</f>
        <v>43.421499999999995</v>
      </c>
      <c r="G565" s="10">
        <f>40.2624 * CHOOSE(CONTROL!$C$15, $E$9, 100%, $G$9) + CHOOSE(CONTROL!$C$38, 0.0347, 0)</f>
        <v>40.2971</v>
      </c>
      <c r="H565" s="10">
        <f>40.2624 * CHOOSE(CONTROL!$C$15, $E$9, 100%, $G$9) + CHOOSE(CONTROL!$C$38, 0.0347, 0)</f>
        <v>40.2971</v>
      </c>
      <c r="I565" s="10">
        <f>40.264 * CHOOSE(CONTROL!$C$15, $E$9, 100%, $G$9) + CHOOSE(CONTROL!$C$38, 0.0347, 0)</f>
        <v>40.298700000000004</v>
      </c>
      <c r="J565" s="26">
        <f>245.3841</f>
        <v>245.38409999999999</v>
      </c>
    </row>
    <row r="566" spans="1:10" ht="15.75" x14ac:dyDescent="0.25">
      <c r="A566" s="13">
        <v>58531</v>
      </c>
      <c r="B566" s="10">
        <f>43.0411 * CHOOSE(CONTROL!$C$15, $E$9, 100%, $G$9) + CHOOSE(CONTROL!$C$38, 0.0256, 0)</f>
        <v>43.066699999999997</v>
      </c>
      <c r="C566" s="10">
        <f>39.7529 * CHOOSE(CONTROL!$C$15, $E$9, 100%, $G$9) + CHOOSE(CONTROL!$C$38, 0.0347, 0)</f>
        <v>39.787599999999998</v>
      </c>
      <c r="D566" s="10">
        <f>39.7451 * CHOOSE(CONTROL!$C$15, $E$9, 100%, $G$9) + CHOOSE(CONTROL!$C$38, 0.0347, 0)</f>
        <v>39.779800000000002</v>
      </c>
      <c r="E566" s="28">
        <f>42.8848 * CHOOSE(CONTROL!$C$15, $E$9, 100%, $G$9) + CHOOSE(CONTROL!$C$38, 0.0347, 0)</f>
        <v>42.919499999999999</v>
      </c>
      <c r="F566" s="27">
        <f>42.8848 * CHOOSE(CONTROL!$C$15, $E$9, 100%, $G$9) + CHOOSE(CONTROL!$C$38, 0.0256, 0)</f>
        <v>42.910399999999996</v>
      </c>
      <c r="G566" s="10">
        <f>39.7514 * CHOOSE(CONTROL!$C$15, $E$9, 100%, $G$9) + CHOOSE(CONTROL!$C$38, 0.0347, 0)</f>
        <v>39.786099999999998</v>
      </c>
      <c r="H566" s="10">
        <f>39.7514 * CHOOSE(CONTROL!$C$15, $E$9, 100%, $G$9) + CHOOSE(CONTROL!$C$38, 0.0347, 0)</f>
        <v>39.786099999999998</v>
      </c>
      <c r="I566" s="10">
        <f>39.7529 * CHOOSE(CONTROL!$C$15, $E$9, 100%, $G$9) + CHOOSE(CONTROL!$C$38, 0.0347, 0)</f>
        <v>39.787599999999998</v>
      </c>
      <c r="J566" s="26">
        <f>258.3172</f>
        <v>258.31720000000001</v>
      </c>
    </row>
    <row r="567" spans="1:10" ht="15.75" x14ac:dyDescent="0.25">
      <c r="A567" s="13">
        <v>58561</v>
      </c>
      <c r="B567" s="10">
        <f>42.5459 * CHOOSE(CONTROL!$C$15, $E$9, 100%, $G$9) + CHOOSE(CONTROL!$C$38, 0.0256, 0)</f>
        <v>42.5715</v>
      </c>
      <c r="C567" s="10">
        <f>39.2577 * CHOOSE(CONTROL!$C$15, $E$9, 100%, $G$9) + CHOOSE(CONTROL!$C$38, 0.0347, 0)</f>
        <v>39.292400000000001</v>
      </c>
      <c r="D567" s="10">
        <f>39.2499 * CHOOSE(CONTROL!$C$15, $E$9, 100%, $G$9) + CHOOSE(CONTROL!$C$38, 0.0347, 0)</f>
        <v>39.284599999999998</v>
      </c>
      <c r="E567" s="28">
        <f>42.3896 * CHOOSE(CONTROL!$C$15, $E$9, 100%, $G$9) + CHOOSE(CONTROL!$C$38, 0.0347, 0)</f>
        <v>42.424300000000002</v>
      </c>
      <c r="F567" s="27">
        <f>42.3896 * CHOOSE(CONTROL!$C$15, $E$9, 100%, $G$9) + CHOOSE(CONTROL!$C$38, 0.0256, 0)</f>
        <v>42.415199999999999</v>
      </c>
      <c r="G567" s="10">
        <f>39.2562 * CHOOSE(CONTROL!$C$15, $E$9, 100%, $G$9) + CHOOSE(CONTROL!$C$38, 0.0347, 0)</f>
        <v>39.290900000000001</v>
      </c>
      <c r="H567" s="10">
        <f>39.2562 * CHOOSE(CONTROL!$C$15, $E$9, 100%, $G$9) + CHOOSE(CONTROL!$C$38, 0.0347, 0)</f>
        <v>39.290900000000001</v>
      </c>
      <c r="I567" s="10">
        <f>39.2577 * CHOOSE(CONTROL!$C$15, $E$9, 100%, $G$9) + CHOOSE(CONTROL!$C$38, 0.0347, 0)</f>
        <v>39.292400000000001</v>
      </c>
      <c r="J567" s="26">
        <f>275.0885</f>
        <v>275.08850000000001</v>
      </c>
    </row>
    <row r="568" spans="1:10" ht="15.75" x14ac:dyDescent="0.25">
      <c r="A568" s="13">
        <v>58592</v>
      </c>
      <c r="B568" s="10">
        <f>42.0298 * CHOOSE(CONTROL!$C$15, $E$9, 100%, $G$9) + CHOOSE(CONTROL!$C$38, 0.0256, 0)</f>
        <v>42.055399999999999</v>
      </c>
      <c r="C568" s="10">
        <f>38.7416 * CHOOSE(CONTROL!$C$15, $E$9, 100%, $G$9) + CHOOSE(CONTROL!$C$38, 0.0347, 0)</f>
        <v>38.776299999999999</v>
      </c>
      <c r="D568" s="10">
        <f>38.7338 * CHOOSE(CONTROL!$C$15, $E$9, 100%, $G$9) + CHOOSE(CONTROL!$C$38, 0.0347, 0)</f>
        <v>38.768500000000003</v>
      </c>
      <c r="E568" s="28">
        <f>41.8735 * CHOOSE(CONTROL!$C$15, $E$9, 100%, $G$9) + CHOOSE(CONTROL!$C$38, 0.0347, 0)</f>
        <v>41.908200000000001</v>
      </c>
      <c r="F568" s="27">
        <f>41.8735 * CHOOSE(CONTROL!$C$15, $E$9, 100%, $G$9) + CHOOSE(CONTROL!$C$38, 0.0256, 0)</f>
        <v>41.899099999999997</v>
      </c>
      <c r="G568" s="10">
        <f>38.7401 * CHOOSE(CONTROL!$C$15, $E$9, 100%, $G$9) + CHOOSE(CONTROL!$C$38, 0.0347, 0)</f>
        <v>38.774799999999999</v>
      </c>
      <c r="H568" s="10">
        <f>38.7401 * CHOOSE(CONTROL!$C$15, $E$9, 100%, $G$9) + CHOOSE(CONTROL!$C$38, 0.0347, 0)</f>
        <v>38.774799999999999</v>
      </c>
      <c r="I568" s="10">
        <f>38.7416 * CHOOSE(CONTROL!$C$15, $E$9, 100%, $G$9) + CHOOSE(CONTROL!$C$38, 0.0347, 0)</f>
        <v>38.776299999999999</v>
      </c>
      <c r="J568" s="26">
        <f>284.3199</f>
        <v>284.31990000000002</v>
      </c>
    </row>
    <row r="569" spans="1:10" ht="15.75" x14ac:dyDescent="0.25">
      <c r="A569" s="13">
        <v>58622</v>
      </c>
      <c r="B569" s="10">
        <f>41.668 * CHOOSE(CONTROL!$C$15, $E$9, 100%, $G$9) + CHOOSE(CONTROL!$C$38, 0.0256, 0)</f>
        <v>41.693599999999996</v>
      </c>
      <c r="C569" s="10">
        <f>38.3798 * CHOOSE(CONTROL!$C$15, $E$9, 100%, $G$9) + CHOOSE(CONTROL!$C$38, 0.0347, 0)</f>
        <v>38.414500000000004</v>
      </c>
      <c r="D569" s="10">
        <f>38.372 * CHOOSE(CONTROL!$C$15, $E$9, 100%, $G$9) + CHOOSE(CONTROL!$C$38, 0.0347, 0)</f>
        <v>38.406700000000001</v>
      </c>
      <c r="E569" s="28">
        <f>41.5117 * CHOOSE(CONTROL!$C$15, $E$9, 100%, $G$9) + CHOOSE(CONTROL!$C$38, 0.0347, 0)</f>
        <v>41.546399999999998</v>
      </c>
      <c r="F569" s="27">
        <f>41.5117 * CHOOSE(CONTROL!$C$15, $E$9, 100%, $G$9) + CHOOSE(CONTROL!$C$38, 0.0256, 0)</f>
        <v>41.537299999999995</v>
      </c>
      <c r="G569" s="10">
        <f>38.3782 * CHOOSE(CONTROL!$C$15, $E$9, 100%, $G$9) + CHOOSE(CONTROL!$C$38, 0.0347, 0)</f>
        <v>38.4129</v>
      </c>
      <c r="H569" s="10">
        <f>38.3782 * CHOOSE(CONTROL!$C$15, $E$9, 100%, $G$9) + CHOOSE(CONTROL!$C$38, 0.0347, 0)</f>
        <v>38.4129</v>
      </c>
      <c r="I569" s="10">
        <f>38.3798 * CHOOSE(CONTROL!$C$15, $E$9, 100%, $G$9) + CHOOSE(CONTROL!$C$38, 0.0347, 0)</f>
        <v>38.414500000000004</v>
      </c>
      <c r="J569" s="26">
        <f>288.4166</f>
        <v>288.41660000000002</v>
      </c>
    </row>
    <row r="570" spans="1:10" ht="15.75" x14ac:dyDescent="0.25">
      <c r="A570" s="13">
        <v>58653</v>
      </c>
      <c r="B570" s="10">
        <f>41.4615 * CHOOSE(CONTROL!$C$15, $E$9, 100%, $G$9) + CHOOSE(CONTROL!$C$38, 0.0256, 0)</f>
        <v>41.487099999999998</v>
      </c>
      <c r="C570" s="10">
        <f>38.1733 * CHOOSE(CONTROL!$C$15, $E$9, 100%, $G$9) + CHOOSE(CONTROL!$C$38, 0.0347, 0)</f>
        <v>38.207999999999998</v>
      </c>
      <c r="D570" s="10">
        <f>38.1655 * CHOOSE(CONTROL!$C$15, $E$9, 100%, $G$9) + CHOOSE(CONTROL!$C$38, 0.0347, 0)</f>
        <v>38.200200000000002</v>
      </c>
      <c r="E570" s="28">
        <f>41.3052 * CHOOSE(CONTROL!$C$15, $E$9, 100%, $G$9) + CHOOSE(CONTROL!$C$38, 0.0347, 0)</f>
        <v>41.3399</v>
      </c>
      <c r="F570" s="27">
        <f>41.3052 * CHOOSE(CONTROL!$C$15, $E$9, 100%, $G$9) + CHOOSE(CONTROL!$C$38, 0.0256, 0)</f>
        <v>41.330799999999996</v>
      </c>
      <c r="G570" s="10">
        <f>38.1717 * CHOOSE(CONTROL!$C$15, $E$9, 100%, $G$9) + CHOOSE(CONTROL!$C$38, 0.0347, 0)</f>
        <v>38.206400000000002</v>
      </c>
      <c r="H570" s="10">
        <f>38.1717 * CHOOSE(CONTROL!$C$15, $E$9, 100%, $G$9) + CHOOSE(CONTROL!$C$38, 0.0347, 0)</f>
        <v>38.206400000000002</v>
      </c>
      <c r="I570" s="10">
        <f>38.1733 * CHOOSE(CONTROL!$C$15, $E$9, 100%, $G$9) + CHOOSE(CONTROL!$C$38, 0.0347, 0)</f>
        <v>38.207999999999998</v>
      </c>
      <c r="J570" s="26">
        <f>287.0678</f>
        <v>287.06779999999998</v>
      </c>
    </row>
    <row r="571" spans="1:10" ht="15.75" x14ac:dyDescent="0.25">
      <c r="A571" s="13">
        <v>58684</v>
      </c>
      <c r="B571" s="10">
        <f>41.5634 * CHOOSE(CONTROL!$C$15, $E$9, 100%, $G$9) + CHOOSE(CONTROL!$C$38, 0.0256, 0)</f>
        <v>41.588999999999999</v>
      </c>
      <c r="C571" s="10">
        <f>38.2752 * CHOOSE(CONTROL!$C$15, $E$9, 100%, $G$9) + CHOOSE(CONTROL!$C$38, 0.0347, 0)</f>
        <v>38.309899999999999</v>
      </c>
      <c r="D571" s="10">
        <f>38.2674 * CHOOSE(CONTROL!$C$15, $E$9, 100%, $G$9) + CHOOSE(CONTROL!$C$38, 0.0347, 0)</f>
        <v>38.302100000000003</v>
      </c>
      <c r="E571" s="28">
        <f>41.4071 * CHOOSE(CONTROL!$C$15, $E$9, 100%, $G$9) + CHOOSE(CONTROL!$C$38, 0.0347, 0)</f>
        <v>41.441800000000001</v>
      </c>
      <c r="F571" s="27">
        <f>41.4071 * CHOOSE(CONTROL!$C$15, $E$9, 100%, $G$9) + CHOOSE(CONTROL!$C$38, 0.0256, 0)</f>
        <v>41.432699999999997</v>
      </c>
      <c r="G571" s="10">
        <f>38.2737 * CHOOSE(CONTROL!$C$15, $E$9, 100%, $G$9) + CHOOSE(CONTROL!$C$38, 0.0347, 0)</f>
        <v>38.308399999999999</v>
      </c>
      <c r="H571" s="10">
        <f>38.2737 * CHOOSE(CONTROL!$C$15, $E$9, 100%, $G$9) + CHOOSE(CONTROL!$C$38, 0.0347, 0)</f>
        <v>38.308399999999999</v>
      </c>
      <c r="I571" s="10">
        <f>38.2752 * CHOOSE(CONTROL!$C$15, $E$9, 100%, $G$9) + CHOOSE(CONTROL!$C$38, 0.0347, 0)</f>
        <v>38.309899999999999</v>
      </c>
      <c r="J571" s="26">
        <f>280.385</f>
        <v>280.38499999999999</v>
      </c>
    </row>
    <row r="572" spans="1:10" ht="15.75" x14ac:dyDescent="0.25">
      <c r="A572" s="13">
        <v>58714</v>
      </c>
      <c r="B572" s="10">
        <f>41.8402 * CHOOSE(CONTROL!$C$15, $E$9, 100%, $G$9) + CHOOSE(CONTROL!$C$38, 0.0256, 0)</f>
        <v>41.8658</v>
      </c>
      <c r="C572" s="10">
        <f>38.552 * CHOOSE(CONTROL!$C$15, $E$9, 100%, $G$9) + CHOOSE(CONTROL!$C$38, 0.0347, 0)</f>
        <v>38.5867</v>
      </c>
      <c r="D572" s="10">
        <f>38.5442 * CHOOSE(CONTROL!$C$15, $E$9, 100%, $G$9) + CHOOSE(CONTROL!$C$38, 0.0347, 0)</f>
        <v>38.578899999999997</v>
      </c>
      <c r="E572" s="28">
        <f>41.6839 * CHOOSE(CONTROL!$C$15, $E$9, 100%, $G$9) + CHOOSE(CONTROL!$C$38, 0.0347, 0)</f>
        <v>41.718600000000002</v>
      </c>
      <c r="F572" s="27">
        <f>41.6839 * CHOOSE(CONTROL!$C$15, $E$9, 100%, $G$9) + CHOOSE(CONTROL!$C$38, 0.0256, 0)</f>
        <v>41.709499999999998</v>
      </c>
      <c r="G572" s="10">
        <f>38.5505 * CHOOSE(CONTROL!$C$15, $E$9, 100%, $G$9) + CHOOSE(CONTROL!$C$38, 0.0347, 0)</f>
        <v>38.5852</v>
      </c>
      <c r="H572" s="10">
        <f>38.5505 * CHOOSE(CONTROL!$C$15, $E$9, 100%, $G$9) + CHOOSE(CONTROL!$C$38, 0.0347, 0)</f>
        <v>38.5852</v>
      </c>
      <c r="I572" s="10">
        <f>38.552 * CHOOSE(CONTROL!$C$15, $E$9, 100%, $G$9) + CHOOSE(CONTROL!$C$38, 0.0347, 0)</f>
        <v>38.5867</v>
      </c>
      <c r="J572" s="26">
        <f>271.0655</f>
        <v>271.06549999999999</v>
      </c>
    </row>
    <row r="573" spans="1:10" ht="15.75" x14ac:dyDescent="0.25">
      <c r="A573" s="13">
        <v>58745</v>
      </c>
      <c r="B573" s="10">
        <f>42.072 * CHOOSE(CONTROL!$C$15, $E$9, 100%, $G$9) + CHOOSE(CONTROL!$C$38, 0.0256, 0)</f>
        <v>42.0976</v>
      </c>
      <c r="C573" s="10">
        <f>38.7838 * CHOOSE(CONTROL!$C$15, $E$9, 100%, $G$9) + CHOOSE(CONTROL!$C$38, 0.0347, 0)</f>
        <v>38.8185</v>
      </c>
      <c r="D573" s="10">
        <f>38.776 * CHOOSE(CONTROL!$C$15, $E$9, 100%, $G$9) + CHOOSE(CONTROL!$C$38, 0.0347, 0)</f>
        <v>38.810700000000004</v>
      </c>
      <c r="E573" s="28">
        <f>41.9157 * CHOOSE(CONTROL!$C$15, $E$9, 100%, $G$9) + CHOOSE(CONTROL!$C$38, 0.0347, 0)</f>
        <v>41.950400000000002</v>
      </c>
      <c r="F573" s="27">
        <f>41.9157 * CHOOSE(CONTROL!$C$15, $E$9, 100%, $G$9) + CHOOSE(CONTROL!$C$38, 0.0256, 0)</f>
        <v>41.941299999999998</v>
      </c>
      <c r="G573" s="10">
        <f>38.7823 * CHOOSE(CONTROL!$C$15, $E$9, 100%, $G$9) + CHOOSE(CONTROL!$C$38, 0.0347, 0)</f>
        <v>38.817</v>
      </c>
      <c r="H573" s="10">
        <f>38.7823 * CHOOSE(CONTROL!$C$15, $E$9, 100%, $G$9) + CHOOSE(CONTROL!$C$38, 0.0347, 0)</f>
        <v>38.817</v>
      </c>
      <c r="I573" s="10">
        <f>38.7838 * CHOOSE(CONTROL!$C$15, $E$9, 100%, $G$9) + CHOOSE(CONTROL!$C$38, 0.0347, 0)</f>
        <v>38.8185</v>
      </c>
      <c r="J573" s="26">
        <f>261.6917</f>
        <v>261.69170000000003</v>
      </c>
    </row>
    <row r="574" spans="1:10" ht="15.75" x14ac:dyDescent="0.25">
      <c r="A574" s="13">
        <v>58775</v>
      </c>
      <c r="B574" s="10">
        <f>42.2654 * CHOOSE(CONTROL!$C$15, $E$9, 100%, $G$9) + CHOOSE(CONTROL!$C$38, 0.0256, 0)</f>
        <v>42.290999999999997</v>
      </c>
      <c r="C574" s="10">
        <f>38.9773 * CHOOSE(CONTROL!$C$15, $E$9, 100%, $G$9) + CHOOSE(CONTROL!$C$38, 0.0347, 0)</f>
        <v>39.012</v>
      </c>
      <c r="D574" s="10">
        <f>38.9695 * CHOOSE(CONTROL!$C$15, $E$9, 100%, $G$9) + CHOOSE(CONTROL!$C$38, 0.0347, 0)</f>
        <v>39.004199999999997</v>
      </c>
      <c r="E574" s="28">
        <f>42.1092 * CHOOSE(CONTROL!$C$15, $E$9, 100%, $G$9) + CHOOSE(CONTROL!$C$38, 0.0347, 0)</f>
        <v>42.143900000000002</v>
      </c>
      <c r="F574" s="27">
        <f>42.1092 * CHOOSE(CONTROL!$C$15, $E$9, 100%, $G$9) + CHOOSE(CONTROL!$C$38, 0.0256, 0)</f>
        <v>42.134799999999998</v>
      </c>
      <c r="G574" s="10">
        <f>38.9757 * CHOOSE(CONTROL!$C$15, $E$9, 100%, $G$9) + CHOOSE(CONTROL!$C$38, 0.0347, 0)</f>
        <v>39.010400000000004</v>
      </c>
      <c r="H574" s="10">
        <f>38.9757 * CHOOSE(CONTROL!$C$15, $E$9, 100%, $G$9) + CHOOSE(CONTROL!$C$38, 0.0347, 0)</f>
        <v>39.010400000000004</v>
      </c>
      <c r="I574" s="10">
        <f>38.9773 * CHOOSE(CONTROL!$C$15, $E$9, 100%, $G$9) + CHOOSE(CONTROL!$C$38, 0.0347, 0)</f>
        <v>39.012</v>
      </c>
      <c r="J574" s="26">
        <f>259.8271</f>
        <v>259.82709999999997</v>
      </c>
    </row>
    <row r="575" spans="1:10" ht="15.75" x14ac:dyDescent="0.25">
      <c r="A575" s="13">
        <v>58806</v>
      </c>
      <c r="B575" s="10">
        <f>42.8615 * CHOOSE(CONTROL!$C$15, $E$9, 100%, $G$9) + CHOOSE(CONTROL!$C$38, 0.0256, 0)</f>
        <v>42.887099999999997</v>
      </c>
      <c r="C575" s="10">
        <f>39.5734 * CHOOSE(CONTROL!$C$15, $E$9, 100%, $G$9) + CHOOSE(CONTROL!$C$38, 0.0347, 0)</f>
        <v>39.6081</v>
      </c>
      <c r="D575" s="10">
        <f>39.5655 * CHOOSE(CONTROL!$C$15, $E$9, 100%, $G$9) + CHOOSE(CONTROL!$C$38, 0.0347, 0)</f>
        <v>39.600200000000001</v>
      </c>
      <c r="E575" s="28">
        <f>42.7053 * CHOOSE(CONTROL!$C$15, $E$9, 100%, $G$9) + CHOOSE(CONTROL!$C$38, 0.0347, 0)</f>
        <v>42.74</v>
      </c>
      <c r="F575" s="27">
        <f>42.7053 * CHOOSE(CONTROL!$C$15, $E$9, 100%, $G$9) + CHOOSE(CONTROL!$C$38, 0.0256, 0)</f>
        <v>42.730899999999998</v>
      </c>
      <c r="G575" s="10">
        <f>39.5718 * CHOOSE(CONTROL!$C$15, $E$9, 100%, $G$9) + CHOOSE(CONTROL!$C$38, 0.0347, 0)</f>
        <v>39.606500000000004</v>
      </c>
      <c r="H575" s="10">
        <f>39.5718 * CHOOSE(CONTROL!$C$15, $E$9, 100%, $G$9) + CHOOSE(CONTROL!$C$38, 0.0347, 0)</f>
        <v>39.606500000000004</v>
      </c>
      <c r="I575" s="10">
        <f>39.5734 * CHOOSE(CONTROL!$C$15, $E$9, 100%, $G$9) + CHOOSE(CONTROL!$C$38, 0.0347, 0)</f>
        <v>39.6081</v>
      </c>
      <c r="J575" s="26">
        <f>252.1167</f>
        <v>252.11670000000001</v>
      </c>
    </row>
    <row r="576" spans="1:10" ht="15.75" x14ac:dyDescent="0.25">
      <c r="A576" s="13">
        <v>58837</v>
      </c>
      <c r="B576" s="10">
        <f>44.0687 * CHOOSE(CONTROL!$C$15, $E$9, 100%, $G$9) + CHOOSE(CONTROL!$C$38, 0.0256, 0)</f>
        <v>44.094299999999997</v>
      </c>
      <c r="C576" s="10">
        <f>40.7253 * CHOOSE(CONTROL!$C$15, $E$9, 100%, $G$9) + CHOOSE(CONTROL!$C$38, 0.0347, 0)</f>
        <v>40.76</v>
      </c>
      <c r="D576" s="10">
        <f>40.7174 * CHOOSE(CONTROL!$C$15, $E$9, 100%, $G$9) + CHOOSE(CONTROL!$C$38, 0.0347, 0)</f>
        <v>40.752099999999999</v>
      </c>
      <c r="E576" s="28">
        <f>43.9125 * CHOOSE(CONTROL!$C$15, $E$9, 100%, $G$9) + CHOOSE(CONTROL!$C$38, 0.0347, 0)</f>
        <v>43.947200000000002</v>
      </c>
      <c r="F576" s="27">
        <f>43.9125 * CHOOSE(CONTROL!$C$15, $E$9, 100%, $G$9) + CHOOSE(CONTROL!$C$38, 0.0256, 0)</f>
        <v>43.938099999999999</v>
      </c>
      <c r="G576" s="10">
        <f>40.7237 * CHOOSE(CONTROL!$C$15, $E$9, 100%, $G$9) + CHOOSE(CONTROL!$C$38, 0.0347, 0)</f>
        <v>40.758400000000002</v>
      </c>
      <c r="H576" s="10">
        <f>40.7237 * CHOOSE(CONTROL!$C$15, $E$9, 100%, $G$9) + CHOOSE(CONTROL!$C$38, 0.0347, 0)</f>
        <v>40.758400000000002</v>
      </c>
      <c r="I576" s="10">
        <f>40.7253 * CHOOSE(CONTROL!$C$15, $E$9, 100%, $G$9) + CHOOSE(CONTROL!$C$38, 0.0347, 0)</f>
        <v>40.76</v>
      </c>
      <c r="J576" s="26">
        <f>250.4279</f>
        <v>250.42789999999999</v>
      </c>
    </row>
    <row r="577" spans="1:10" ht="15.75" x14ac:dyDescent="0.25">
      <c r="A577" s="13">
        <v>58865</v>
      </c>
      <c r="B577" s="10">
        <f>44.2895 * CHOOSE(CONTROL!$C$15, $E$9, 100%, $G$9) + CHOOSE(CONTROL!$C$38, 0.0256, 0)</f>
        <v>44.315099999999994</v>
      </c>
      <c r="C577" s="10">
        <f>40.946 * CHOOSE(CONTROL!$C$15, $E$9, 100%, $G$9) + CHOOSE(CONTROL!$C$38, 0.0347, 0)</f>
        <v>40.980699999999999</v>
      </c>
      <c r="D577" s="10">
        <f>40.9382 * CHOOSE(CONTROL!$C$15, $E$9, 100%, $G$9) + CHOOSE(CONTROL!$C$38, 0.0347, 0)</f>
        <v>40.972900000000003</v>
      </c>
      <c r="E577" s="28">
        <f>44.1333 * CHOOSE(CONTROL!$C$15, $E$9, 100%, $G$9) + CHOOSE(CONTROL!$C$38, 0.0347, 0)</f>
        <v>44.167999999999999</v>
      </c>
      <c r="F577" s="27">
        <f>44.1333 * CHOOSE(CONTROL!$C$15, $E$9, 100%, $G$9) + CHOOSE(CONTROL!$C$38, 0.0256, 0)</f>
        <v>44.158899999999996</v>
      </c>
      <c r="G577" s="10">
        <f>40.9445 * CHOOSE(CONTROL!$C$15, $E$9, 100%, $G$9) + CHOOSE(CONTROL!$C$38, 0.0347, 0)</f>
        <v>40.979199999999999</v>
      </c>
      <c r="H577" s="10">
        <f>40.9445 * CHOOSE(CONTROL!$C$15, $E$9, 100%, $G$9) + CHOOSE(CONTROL!$C$38, 0.0347, 0)</f>
        <v>40.979199999999999</v>
      </c>
      <c r="I577" s="10">
        <f>40.946 * CHOOSE(CONTROL!$C$15, $E$9, 100%, $G$9) + CHOOSE(CONTROL!$C$38, 0.0347, 0)</f>
        <v>40.980699999999999</v>
      </c>
      <c r="J577" s="26">
        <f>249.7318</f>
        <v>249.73179999999999</v>
      </c>
    </row>
    <row r="578" spans="1:10" ht="15.75" x14ac:dyDescent="0.25">
      <c r="A578" s="13">
        <v>58893</v>
      </c>
      <c r="B578" s="10">
        <f>43.7785 * CHOOSE(CONTROL!$C$15, $E$9, 100%, $G$9) + CHOOSE(CONTROL!$C$38, 0.0256, 0)</f>
        <v>43.804099999999998</v>
      </c>
      <c r="C578" s="10">
        <f>40.435 * CHOOSE(CONTROL!$C$15, $E$9, 100%, $G$9) + CHOOSE(CONTROL!$C$38, 0.0347, 0)</f>
        <v>40.469700000000003</v>
      </c>
      <c r="D578" s="10">
        <f>40.4272 * CHOOSE(CONTROL!$C$15, $E$9, 100%, $G$9) + CHOOSE(CONTROL!$C$38, 0.0347, 0)</f>
        <v>40.4619</v>
      </c>
      <c r="E578" s="28">
        <f>43.6222 * CHOOSE(CONTROL!$C$15, $E$9, 100%, $G$9) + CHOOSE(CONTROL!$C$38, 0.0347, 0)</f>
        <v>43.6569</v>
      </c>
      <c r="F578" s="27">
        <f>43.6222 * CHOOSE(CONTROL!$C$15, $E$9, 100%, $G$9) + CHOOSE(CONTROL!$C$38, 0.0256, 0)</f>
        <v>43.647799999999997</v>
      </c>
      <c r="G578" s="10">
        <f>40.4334 * CHOOSE(CONTROL!$C$15, $E$9, 100%, $G$9) + CHOOSE(CONTROL!$C$38, 0.0347, 0)</f>
        <v>40.4681</v>
      </c>
      <c r="H578" s="10">
        <f>40.4334 * CHOOSE(CONTROL!$C$15, $E$9, 100%, $G$9) + CHOOSE(CONTROL!$C$38, 0.0347, 0)</f>
        <v>40.4681</v>
      </c>
      <c r="I578" s="10">
        <f>40.435 * CHOOSE(CONTROL!$C$15, $E$9, 100%, $G$9) + CHOOSE(CONTROL!$C$38, 0.0347, 0)</f>
        <v>40.469700000000003</v>
      </c>
      <c r="J578" s="26">
        <f>262.8941</f>
        <v>262.89409999999998</v>
      </c>
    </row>
    <row r="579" spans="1:10" ht="15.75" x14ac:dyDescent="0.25">
      <c r="A579" s="13">
        <v>58926</v>
      </c>
      <c r="B579" s="10">
        <f>43.2833 * CHOOSE(CONTROL!$C$15, $E$9, 100%, $G$9) + CHOOSE(CONTROL!$C$38, 0.0256, 0)</f>
        <v>43.308899999999994</v>
      </c>
      <c r="C579" s="10">
        <f>39.9398 * CHOOSE(CONTROL!$C$15, $E$9, 100%, $G$9) + CHOOSE(CONTROL!$C$38, 0.0347, 0)</f>
        <v>39.974499999999999</v>
      </c>
      <c r="D579" s="10">
        <f>39.932 * CHOOSE(CONTROL!$C$15, $E$9, 100%, $G$9) + CHOOSE(CONTROL!$C$38, 0.0347, 0)</f>
        <v>39.966700000000003</v>
      </c>
      <c r="E579" s="28">
        <f>43.127 * CHOOSE(CONTROL!$C$15, $E$9, 100%, $G$9) + CHOOSE(CONTROL!$C$38, 0.0347, 0)</f>
        <v>43.161700000000003</v>
      </c>
      <c r="F579" s="27">
        <f>43.127 * CHOOSE(CONTROL!$C$15, $E$9, 100%, $G$9) + CHOOSE(CONTROL!$C$38, 0.0256, 0)</f>
        <v>43.1526</v>
      </c>
      <c r="G579" s="10">
        <f>39.9382 * CHOOSE(CONTROL!$C$15, $E$9, 100%, $G$9) + CHOOSE(CONTROL!$C$38, 0.0347, 0)</f>
        <v>39.972900000000003</v>
      </c>
      <c r="H579" s="10">
        <f>39.9382 * CHOOSE(CONTROL!$C$15, $E$9, 100%, $G$9) + CHOOSE(CONTROL!$C$38, 0.0347, 0)</f>
        <v>39.972900000000003</v>
      </c>
      <c r="I579" s="10">
        <f>39.9398 * CHOOSE(CONTROL!$C$15, $E$9, 100%, $G$9) + CHOOSE(CONTROL!$C$38, 0.0347, 0)</f>
        <v>39.974499999999999</v>
      </c>
      <c r="J579" s="26">
        <f>279.9625</f>
        <v>279.96249999999998</v>
      </c>
    </row>
    <row r="580" spans="1:10" ht="15.75" x14ac:dyDescent="0.25">
      <c r="A580" s="13">
        <v>58957</v>
      </c>
      <c r="B580" s="10">
        <f>42.7672 * CHOOSE(CONTROL!$C$15, $E$9, 100%, $G$9) + CHOOSE(CONTROL!$C$38, 0.0256, 0)</f>
        <v>42.7928</v>
      </c>
      <c r="C580" s="10">
        <f>39.4237 * CHOOSE(CONTROL!$C$15, $E$9, 100%, $G$9) + CHOOSE(CONTROL!$C$38, 0.0347, 0)</f>
        <v>39.458399999999997</v>
      </c>
      <c r="D580" s="10">
        <f>39.4159 * CHOOSE(CONTROL!$C$15, $E$9, 100%, $G$9) + CHOOSE(CONTROL!$C$38, 0.0347, 0)</f>
        <v>39.450600000000001</v>
      </c>
      <c r="E580" s="28">
        <f>42.6109 * CHOOSE(CONTROL!$C$15, $E$9, 100%, $G$9) + CHOOSE(CONTROL!$C$38, 0.0347, 0)</f>
        <v>42.645600000000002</v>
      </c>
      <c r="F580" s="27">
        <f>42.6109 * CHOOSE(CONTROL!$C$15, $E$9, 100%, $G$9) + CHOOSE(CONTROL!$C$38, 0.0256, 0)</f>
        <v>42.636499999999998</v>
      </c>
      <c r="G580" s="10">
        <f>39.4221 * CHOOSE(CONTROL!$C$15, $E$9, 100%, $G$9) + CHOOSE(CONTROL!$C$38, 0.0347, 0)</f>
        <v>39.456800000000001</v>
      </c>
      <c r="H580" s="10">
        <f>39.4221 * CHOOSE(CONTROL!$C$15, $E$9, 100%, $G$9) + CHOOSE(CONTROL!$C$38, 0.0347, 0)</f>
        <v>39.456800000000001</v>
      </c>
      <c r="I580" s="10">
        <f>39.4237 * CHOOSE(CONTROL!$C$15, $E$9, 100%, $G$9) + CHOOSE(CONTROL!$C$38, 0.0347, 0)</f>
        <v>39.458399999999997</v>
      </c>
      <c r="J580" s="26">
        <f>289.3575</f>
        <v>289.35750000000002</v>
      </c>
    </row>
    <row r="581" spans="1:10" ht="15.75" x14ac:dyDescent="0.25">
      <c r="A581" s="13">
        <v>58987</v>
      </c>
      <c r="B581" s="10">
        <f>42.4053 * CHOOSE(CONTROL!$C$15, $E$9, 100%, $G$9) + CHOOSE(CONTROL!$C$38, 0.0256, 0)</f>
        <v>42.430899999999994</v>
      </c>
      <c r="C581" s="10">
        <f>39.0619 * CHOOSE(CONTROL!$C$15, $E$9, 100%, $G$9) + CHOOSE(CONTROL!$C$38, 0.0347, 0)</f>
        <v>39.096600000000002</v>
      </c>
      <c r="D581" s="10">
        <f>39.054 * CHOOSE(CONTROL!$C$15, $E$9, 100%, $G$9) + CHOOSE(CONTROL!$C$38, 0.0347, 0)</f>
        <v>39.088700000000003</v>
      </c>
      <c r="E581" s="28">
        <f>42.2491 * CHOOSE(CONTROL!$C$15, $E$9, 100%, $G$9) + CHOOSE(CONTROL!$C$38, 0.0347, 0)</f>
        <v>42.283799999999999</v>
      </c>
      <c r="F581" s="27">
        <f>42.2491 * CHOOSE(CONTROL!$C$15, $E$9, 100%, $G$9) + CHOOSE(CONTROL!$C$38, 0.0256, 0)</f>
        <v>42.274699999999996</v>
      </c>
      <c r="G581" s="10">
        <f>39.0603 * CHOOSE(CONTROL!$C$15, $E$9, 100%, $G$9) + CHOOSE(CONTROL!$C$38, 0.0347, 0)</f>
        <v>39.094999999999999</v>
      </c>
      <c r="H581" s="10">
        <f>39.0603 * CHOOSE(CONTROL!$C$15, $E$9, 100%, $G$9) + CHOOSE(CONTROL!$C$38, 0.0347, 0)</f>
        <v>39.094999999999999</v>
      </c>
      <c r="I581" s="10">
        <f>39.0619 * CHOOSE(CONTROL!$C$15, $E$9, 100%, $G$9) + CHOOSE(CONTROL!$C$38, 0.0347, 0)</f>
        <v>39.096600000000002</v>
      </c>
      <c r="J581" s="26">
        <f>293.5268</f>
        <v>293.52679999999998</v>
      </c>
    </row>
    <row r="582" spans="1:10" ht="15.75" x14ac:dyDescent="0.25">
      <c r="A582" s="13">
        <v>59018</v>
      </c>
      <c r="B582" s="10">
        <f>42.1989 * CHOOSE(CONTROL!$C$15, $E$9, 100%, $G$9) + CHOOSE(CONTROL!$C$38, 0.0256, 0)</f>
        <v>42.224499999999999</v>
      </c>
      <c r="C582" s="10">
        <f>38.8554 * CHOOSE(CONTROL!$C$15, $E$9, 100%, $G$9) + CHOOSE(CONTROL!$C$38, 0.0347, 0)</f>
        <v>38.890100000000004</v>
      </c>
      <c r="D582" s="10">
        <f>38.8476 * CHOOSE(CONTROL!$C$15, $E$9, 100%, $G$9) + CHOOSE(CONTROL!$C$38, 0.0347, 0)</f>
        <v>38.882300000000001</v>
      </c>
      <c r="E582" s="28">
        <f>42.0426 * CHOOSE(CONTROL!$C$15, $E$9, 100%, $G$9) + CHOOSE(CONTROL!$C$38, 0.0347, 0)</f>
        <v>42.077300000000001</v>
      </c>
      <c r="F582" s="27">
        <f>42.0426 * CHOOSE(CONTROL!$C$15, $E$9, 100%, $G$9) + CHOOSE(CONTROL!$C$38, 0.0256, 0)</f>
        <v>42.068199999999997</v>
      </c>
      <c r="G582" s="10">
        <f>38.8538 * CHOOSE(CONTROL!$C$15, $E$9, 100%, $G$9) + CHOOSE(CONTROL!$C$38, 0.0347, 0)</f>
        <v>38.888500000000001</v>
      </c>
      <c r="H582" s="10">
        <f>38.8538 * CHOOSE(CONTROL!$C$15, $E$9, 100%, $G$9) + CHOOSE(CONTROL!$C$38, 0.0347, 0)</f>
        <v>38.888500000000001</v>
      </c>
      <c r="I582" s="10">
        <f>38.8554 * CHOOSE(CONTROL!$C$15, $E$9, 100%, $G$9) + CHOOSE(CONTROL!$C$38, 0.0347, 0)</f>
        <v>38.890100000000004</v>
      </c>
      <c r="J582" s="26">
        <f>292.1541</f>
        <v>292.15410000000003</v>
      </c>
    </row>
    <row r="583" spans="1:10" ht="15.75" x14ac:dyDescent="0.25">
      <c r="A583" s="13">
        <v>59049</v>
      </c>
      <c r="B583" s="10">
        <f>42.3008 * CHOOSE(CONTROL!$C$15, $E$9, 100%, $G$9) + CHOOSE(CONTROL!$C$38, 0.0256, 0)</f>
        <v>42.3264</v>
      </c>
      <c r="C583" s="10">
        <f>38.9573 * CHOOSE(CONTROL!$C$15, $E$9, 100%, $G$9) + CHOOSE(CONTROL!$C$38, 0.0347, 0)</f>
        <v>38.991999999999997</v>
      </c>
      <c r="D583" s="10">
        <f>38.9495 * CHOOSE(CONTROL!$C$15, $E$9, 100%, $G$9) + CHOOSE(CONTROL!$C$38, 0.0347, 0)</f>
        <v>38.984200000000001</v>
      </c>
      <c r="E583" s="28">
        <f>42.1445 * CHOOSE(CONTROL!$C$15, $E$9, 100%, $G$9) + CHOOSE(CONTROL!$C$38, 0.0347, 0)</f>
        <v>42.179200000000002</v>
      </c>
      <c r="F583" s="27">
        <f>42.1445 * CHOOSE(CONTROL!$C$15, $E$9, 100%, $G$9) + CHOOSE(CONTROL!$C$38, 0.0256, 0)</f>
        <v>42.170099999999998</v>
      </c>
      <c r="G583" s="10">
        <f>38.9557 * CHOOSE(CONTROL!$C$15, $E$9, 100%, $G$9) + CHOOSE(CONTROL!$C$38, 0.0347, 0)</f>
        <v>38.990400000000001</v>
      </c>
      <c r="H583" s="10">
        <f>38.9557 * CHOOSE(CONTROL!$C$15, $E$9, 100%, $G$9) + CHOOSE(CONTROL!$C$38, 0.0347, 0)</f>
        <v>38.990400000000001</v>
      </c>
      <c r="I583" s="10">
        <f>38.9573 * CHOOSE(CONTROL!$C$15, $E$9, 100%, $G$9) + CHOOSE(CONTROL!$C$38, 0.0347, 0)</f>
        <v>38.991999999999997</v>
      </c>
      <c r="J583" s="26">
        <f>285.3529</f>
        <v>285.35289999999998</v>
      </c>
    </row>
    <row r="584" spans="1:10" ht="15.75" x14ac:dyDescent="0.25">
      <c r="A584" s="13">
        <v>59079</v>
      </c>
      <c r="B584" s="10">
        <f>42.5776 * CHOOSE(CONTROL!$C$15, $E$9, 100%, $G$9) + CHOOSE(CONTROL!$C$38, 0.0256, 0)</f>
        <v>42.603199999999994</v>
      </c>
      <c r="C584" s="10">
        <f>39.2341 * CHOOSE(CONTROL!$C$15, $E$9, 100%, $G$9) + CHOOSE(CONTROL!$C$38, 0.0347, 0)</f>
        <v>39.268799999999999</v>
      </c>
      <c r="D584" s="10">
        <f>39.2263 * CHOOSE(CONTROL!$C$15, $E$9, 100%, $G$9) + CHOOSE(CONTROL!$C$38, 0.0347, 0)</f>
        <v>39.261000000000003</v>
      </c>
      <c r="E584" s="28">
        <f>42.4213 * CHOOSE(CONTROL!$C$15, $E$9, 100%, $G$9) + CHOOSE(CONTROL!$C$38, 0.0347, 0)</f>
        <v>42.456000000000003</v>
      </c>
      <c r="F584" s="27">
        <f>42.4213 * CHOOSE(CONTROL!$C$15, $E$9, 100%, $G$9) + CHOOSE(CONTROL!$C$38, 0.0256, 0)</f>
        <v>42.446899999999999</v>
      </c>
      <c r="G584" s="10">
        <f>39.2325 * CHOOSE(CONTROL!$C$15, $E$9, 100%, $G$9) + CHOOSE(CONTROL!$C$38, 0.0347, 0)</f>
        <v>39.267200000000003</v>
      </c>
      <c r="H584" s="10">
        <f>39.2325 * CHOOSE(CONTROL!$C$15, $E$9, 100%, $G$9) + CHOOSE(CONTROL!$C$38, 0.0347, 0)</f>
        <v>39.267200000000003</v>
      </c>
      <c r="I584" s="10">
        <f>39.2341 * CHOOSE(CONTROL!$C$15, $E$9, 100%, $G$9) + CHOOSE(CONTROL!$C$38, 0.0347, 0)</f>
        <v>39.268799999999999</v>
      </c>
      <c r="J584" s="26">
        <f>275.8682</f>
        <v>275.8682</v>
      </c>
    </row>
    <row r="585" spans="1:10" ht="15.75" x14ac:dyDescent="0.25">
      <c r="A585" s="13">
        <v>59110</v>
      </c>
      <c r="B585" s="10">
        <f>42.8094 * CHOOSE(CONTROL!$C$15, $E$9, 100%, $G$9) + CHOOSE(CONTROL!$C$38, 0.0256, 0)</f>
        <v>42.834999999999994</v>
      </c>
      <c r="C585" s="10">
        <f>39.4659 * CHOOSE(CONTROL!$C$15, $E$9, 100%, $G$9) + CHOOSE(CONTROL!$C$38, 0.0347, 0)</f>
        <v>39.500599999999999</v>
      </c>
      <c r="D585" s="10">
        <f>39.4581 * CHOOSE(CONTROL!$C$15, $E$9, 100%, $G$9) + CHOOSE(CONTROL!$C$38, 0.0347, 0)</f>
        <v>39.492800000000003</v>
      </c>
      <c r="E585" s="28">
        <f>42.6531 * CHOOSE(CONTROL!$C$15, $E$9, 100%, $G$9) + CHOOSE(CONTROL!$C$38, 0.0347, 0)</f>
        <v>42.687800000000003</v>
      </c>
      <c r="F585" s="27">
        <f>42.6531 * CHOOSE(CONTROL!$C$15, $E$9, 100%, $G$9) + CHOOSE(CONTROL!$C$38, 0.0256, 0)</f>
        <v>42.678699999999999</v>
      </c>
      <c r="G585" s="10">
        <f>39.4643 * CHOOSE(CONTROL!$C$15, $E$9, 100%, $G$9) + CHOOSE(CONTROL!$C$38, 0.0347, 0)</f>
        <v>39.499000000000002</v>
      </c>
      <c r="H585" s="10">
        <f>39.4643 * CHOOSE(CONTROL!$C$15, $E$9, 100%, $G$9) + CHOOSE(CONTROL!$C$38, 0.0347, 0)</f>
        <v>39.499000000000002</v>
      </c>
      <c r="I585" s="10">
        <f>39.4659 * CHOOSE(CONTROL!$C$15, $E$9, 100%, $G$9) + CHOOSE(CONTROL!$C$38, 0.0347, 0)</f>
        <v>39.500599999999999</v>
      </c>
      <c r="J585" s="26">
        <f>266.3284</f>
        <v>266.32839999999999</v>
      </c>
    </row>
    <row r="586" spans="1:10" ht="15.75" x14ac:dyDescent="0.25">
      <c r="A586" s="13">
        <v>59140</v>
      </c>
      <c r="B586" s="10">
        <f>43.0028 * CHOOSE(CONTROL!$C$15, $E$9, 100%, $G$9) + CHOOSE(CONTROL!$C$38, 0.0256, 0)</f>
        <v>43.028399999999998</v>
      </c>
      <c r="C586" s="10">
        <f>39.6593 * CHOOSE(CONTROL!$C$15, $E$9, 100%, $G$9) + CHOOSE(CONTROL!$C$38, 0.0347, 0)</f>
        <v>39.694000000000003</v>
      </c>
      <c r="D586" s="10">
        <f>39.6515 * CHOOSE(CONTROL!$C$15, $E$9, 100%, $G$9) + CHOOSE(CONTROL!$C$38, 0.0347, 0)</f>
        <v>39.686199999999999</v>
      </c>
      <c r="E586" s="28">
        <f>42.8466 * CHOOSE(CONTROL!$C$15, $E$9, 100%, $G$9) + CHOOSE(CONTROL!$C$38, 0.0347, 0)</f>
        <v>42.881300000000003</v>
      </c>
      <c r="F586" s="27">
        <f>42.8466 * CHOOSE(CONTROL!$C$15, $E$9, 100%, $G$9) + CHOOSE(CONTROL!$C$38, 0.0256, 0)</f>
        <v>42.872199999999999</v>
      </c>
      <c r="G586" s="10">
        <f>39.6578 * CHOOSE(CONTROL!$C$15, $E$9, 100%, $G$9) + CHOOSE(CONTROL!$C$38, 0.0347, 0)</f>
        <v>39.692500000000003</v>
      </c>
      <c r="H586" s="10">
        <f>39.6578 * CHOOSE(CONTROL!$C$15, $E$9, 100%, $G$9) + CHOOSE(CONTROL!$C$38, 0.0347, 0)</f>
        <v>39.692500000000003</v>
      </c>
      <c r="I586" s="10">
        <f>39.6593 * CHOOSE(CONTROL!$C$15, $E$9, 100%, $G$9) + CHOOSE(CONTROL!$C$38, 0.0347, 0)</f>
        <v>39.694000000000003</v>
      </c>
      <c r="J586" s="26">
        <f>264.4308</f>
        <v>264.43079999999998</v>
      </c>
    </row>
    <row r="587" spans="1:10" ht="15.75" x14ac:dyDescent="0.25">
      <c r="A587" s="13">
        <v>59171</v>
      </c>
      <c r="B587" s="10">
        <f>43.5989 * CHOOSE(CONTROL!$C$15, $E$9, 100%, $G$9) + CHOOSE(CONTROL!$C$38, 0.0256, 0)</f>
        <v>43.624499999999998</v>
      </c>
      <c r="C587" s="10">
        <f>40.2554 * CHOOSE(CONTROL!$C$15, $E$9, 100%, $G$9) + CHOOSE(CONTROL!$C$38, 0.0347, 0)</f>
        <v>40.290100000000002</v>
      </c>
      <c r="D587" s="10">
        <f>40.2476 * CHOOSE(CONTROL!$C$15, $E$9, 100%, $G$9) + CHOOSE(CONTROL!$C$38, 0.0347, 0)</f>
        <v>40.282299999999999</v>
      </c>
      <c r="E587" s="28">
        <f>43.4426 * CHOOSE(CONTROL!$C$15, $E$9, 100%, $G$9) + CHOOSE(CONTROL!$C$38, 0.0347, 0)</f>
        <v>43.4773</v>
      </c>
      <c r="F587" s="27">
        <f>43.4426 * CHOOSE(CONTROL!$C$15, $E$9, 100%, $G$9) + CHOOSE(CONTROL!$C$38, 0.0256, 0)</f>
        <v>43.468199999999996</v>
      </c>
      <c r="G587" s="10">
        <f>40.2538 * CHOOSE(CONTROL!$C$15, $E$9, 100%, $G$9) + CHOOSE(CONTROL!$C$38, 0.0347, 0)</f>
        <v>40.288499999999999</v>
      </c>
      <c r="H587" s="10">
        <f>40.2538 * CHOOSE(CONTROL!$C$15, $E$9, 100%, $G$9) + CHOOSE(CONTROL!$C$38, 0.0347, 0)</f>
        <v>40.288499999999999</v>
      </c>
      <c r="I587" s="10">
        <f>40.2554 * CHOOSE(CONTROL!$C$15, $E$9, 100%, $G$9) + CHOOSE(CONTROL!$C$38, 0.0347, 0)</f>
        <v>40.290100000000002</v>
      </c>
      <c r="J587" s="26">
        <f>256.5838</f>
        <v>256.5838</v>
      </c>
    </row>
    <row r="588" spans="1:10" ht="15.75" x14ac:dyDescent="0.25">
      <c r="A588" s="13">
        <v>59202</v>
      </c>
      <c r="B588" s="10">
        <f>44.8192 * CHOOSE(CONTROL!$C$15, $E$9, 100%, $G$9) + CHOOSE(CONTROL!$C$38, 0.0256, 0)</f>
        <v>44.844799999999999</v>
      </c>
      <c r="C588" s="10">
        <f>41.4194 * CHOOSE(CONTROL!$C$15, $E$9, 100%, $G$9) + CHOOSE(CONTROL!$C$38, 0.0347, 0)</f>
        <v>41.454100000000004</v>
      </c>
      <c r="D588" s="10">
        <f>41.4116 * CHOOSE(CONTROL!$C$15, $E$9, 100%, $G$9) + CHOOSE(CONTROL!$C$38, 0.0347, 0)</f>
        <v>41.446300000000001</v>
      </c>
      <c r="E588" s="28">
        <f>44.6629 * CHOOSE(CONTROL!$C$15, $E$9, 100%, $G$9) + CHOOSE(CONTROL!$C$38, 0.0347, 0)</f>
        <v>44.697600000000001</v>
      </c>
      <c r="F588" s="27">
        <f>44.6629 * CHOOSE(CONTROL!$C$15, $E$9, 100%, $G$9) + CHOOSE(CONTROL!$C$38, 0.0256, 0)</f>
        <v>44.688499999999998</v>
      </c>
      <c r="G588" s="10">
        <f>41.4178 * CHOOSE(CONTROL!$C$15, $E$9, 100%, $G$9) + CHOOSE(CONTROL!$C$38, 0.0347, 0)</f>
        <v>41.452500000000001</v>
      </c>
      <c r="H588" s="10">
        <f>41.4178 * CHOOSE(CONTROL!$C$15, $E$9, 100%, $G$9) + CHOOSE(CONTROL!$C$38, 0.0347, 0)</f>
        <v>41.452500000000001</v>
      </c>
      <c r="I588" s="10">
        <f>41.4194 * CHOOSE(CONTROL!$C$15, $E$9, 100%, $G$9) + CHOOSE(CONTROL!$C$38, 0.0347, 0)</f>
        <v>41.454100000000004</v>
      </c>
      <c r="J588" s="26">
        <f>254.865</f>
        <v>254.86500000000001</v>
      </c>
    </row>
    <row r="589" spans="1:10" ht="15.75" x14ac:dyDescent="0.25">
      <c r="A589" s="13">
        <v>59230</v>
      </c>
      <c r="B589" s="10">
        <f>45.0399 * CHOOSE(CONTROL!$C$15, $E$9, 100%, $G$9) + CHOOSE(CONTROL!$C$38, 0.0256, 0)</f>
        <v>45.0655</v>
      </c>
      <c r="C589" s="10">
        <f>41.6401 * CHOOSE(CONTROL!$C$15, $E$9, 100%, $G$9) + CHOOSE(CONTROL!$C$38, 0.0347, 0)</f>
        <v>41.674799999999998</v>
      </c>
      <c r="D589" s="10">
        <f>41.6323 * CHOOSE(CONTROL!$C$15, $E$9, 100%, $G$9) + CHOOSE(CONTROL!$C$38, 0.0347, 0)</f>
        <v>41.667000000000002</v>
      </c>
      <c r="E589" s="28">
        <f>44.8837 * CHOOSE(CONTROL!$C$15, $E$9, 100%, $G$9) + CHOOSE(CONTROL!$C$38, 0.0347, 0)</f>
        <v>44.918399999999998</v>
      </c>
      <c r="F589" s="27">
        <f>44.8837 * CHOOSE(CONTROL!$C$15, $E$9, 100%, $G$9) + CHOOSE(CONTROL!$C$38, 0.0256, 0)</f>
        <v>44.909299999999995</v>
      </c>
      <c r="G589" s="10">
        <f>41.6386 * CHOOSE(CONTROL!$C$15, $E$9, 100%, $G$9) + CHOOSE(CONTROL!$C$38, 0.0347, 0)</f>
        <v>41.673299999999998</v>
      </c>
      <c r="H589" s="10">
        <f>41.6386 * CHOOSE(CONTROL!$C$15, $E$9, 100%, $G$9) + CHOOSE(CONTROL!$C$38, 0.0347, 0)</f>
        <v>41.673299999999998</v>
      </c>
      <c r="I589" s="10">
        <f>41.6401 * CHOOSE(CONTROL!$C$15, $E$9, 100%, $G$9) + CHOOSE(CONTROL!$C$38, 0.0347, 0)</f>
        <v>41.674799999999998</v>
      </c>
      <c r="J589" s="26">
        <f>254.1566</f>
        <v>254.1566</v>
      </c>
    </row>
    <row r="590" spans="1:10" ht="15.75" x14ac:dyDescent="0.25">
      <c r="A590" s="13">
        <v>59261</v>
      </c>
      <c r="B590" s="10">
        <f>44.5289 * CHOOSE(CONTROL!$C$15, $E$9, 100%, $G$9) + CHOOSE(CONTROL!$C$38, 0.0256, 0)</f>
        <v>44.554499999999997</v>
      </c>
      <c r="C590" s="10">
        <f>41.1291 * CHOOSE(CONTROL!$C$15, $E$9, 100%, $G$9) + CHOOSE(CONTROL!$C$38, 0.0347, 0)</f>
        <v>41.163800000000002</v>
      </c>
      <c r="D590" s="10">
        <f>41.1213 * CHOOSE(CONTROL!$C$15, $E$9, 100%, $G$9) + CHOOSE(CONTROL!$C$38, 0.0347, 0)</f>
        <v>41.155999999999999</v>
      </c>
      <c r="E590" s="28">
        <f>44.3726 * CHOOSE(CONTROL!$C$15, $E$9, 100%, $G$9) + CHOOSE(CONTROL!$C$38, 0.0347, 0)</f>
        <v>44.407299999999999</v>
      </c>
      <c r="F590" s="27">
        <f>44.3726 * CHOOSE(CONTROL!$C$15, $E$9, 100%, $G$9) + CHOOSE(CONTROL!$C$38, 0.0256, 0)</f>
        <v>44.398199999999996</v>
      </c>
      <c r="G590" s="10">
        <f>41.1275 * CHOOSE(CONTROL!$C$15, $E$9, 100%, $G$9) + CHOOSE(CONTROL!$C$38, 0.0347, 0)</f>
        <v>41.162199999999999</v>
      </c>
      <c r="H590" s="10">
        <f>41.1275 * CHOOSE(CONTROL!$C$15, $E$9, 100%, $G$9) + CHOOSE(CONTROL!$C$38, 0.0347, 0)</f>
        <v>41.162199999999999</v>
      </c>
      <c r="I590" s="10">
        <f>41.1291 * CHOOSE(CONTROL!$C$15, $E$9, 100%, $G$9) + CHOOSE(CONTROL!$C$38, 0.0347, 0)</f>
        <v>41.163800000000002</v>
      </c>
      <c r="J590" s="26">
        <f>267.5521</f>
        <v>267.5521</v>
      </c>
    </row>
    <row r="591" spans="1:10" ht="15.75" x14ac:dyDescent="0.25">
      <c r="A591" s="13">
        <v>59291</v>
      </c>
      <c r="B591" s="10">
        <f>44.0337 * CHOOSE(CONTROL!$C$15, $E$9, 100%, $G$9) + CHOOSE(CONTROL!$C$38, 0.0256, 0)</f>
        <v>44.0593</v>
      </c>
      <c r="C591" s="10">
        <f>40.6339 * CHOOSE(CONTROL!$C$15, $E$9, 100%, $G$9) + CHOOSE(CONTROL!$C$38, 0.0347, 0)</f>
        <v>40.668599999999998</v>
      </c>
      <c r="D591" s="10">
        <f>40.6261 * CHOOSE(CONTROL!$C$15, $E$9, 100%, $G$9) + CHOOSE(CONTROL!$C$38, 0.0347, 0)</f>
        <v>40.660800000000002</v>
      </c>
      <c r="E591" s="28">
        <f>43.8775 * CHOOSE(CONTROL!$C$15, $E$9, 100%, $G$9) + CHOOSE(CONTROL!$C$38, 0.0347, 0)</f>
        <v>43.912199999999999</v>
      </c>
      <c r="F591" s="27">
        <f>43.8775 * CHOOSE(CONTROL!$C$15, $E$9, 100%, $G$9) + CHOOSE(CONTROL!$C$38, 0.0256, 0)</f>
        <v>43.903099999999995</v>
      </c>
      <c r="G591" s="10">
        <f>40.6324 * CHOOSE(CONTROL!$C$15, $E$9, 100%, $G$9) + CHOOSE(CONTROL!$C$38, 0.0347, 0)</f>
        <v>40.667099999999998</v>
      </c>
      <c r="H591" s="10">
        <f>40.6324 * CHOOSE(CONTROL!$C$15, $E$9, 100%, $G$9) + CHOOSE(CONTROL!$C$38, 0.0347, 0)</f>
        <v>40.667099999999998</v>
      </c>
      <c r="I591" s="10">
        <f>40.6339 * CHOOSE(CONTROL!$C$15, $E$9, 100%, $G$9) + CHOOSE(CONTROL!$C$38, 0.0347, 0)</f>
        <v>40.668599999999998</v>
      </c>
      <c r="J591" s="26">
        <f>284.9229</f>
        <v>284.92290000000003</v>
      </c>
    </row>
    <row r="592" spans="1:10" ht="15.75" x14ac:dyDescent="0.25">
      <c r="A592" s="13">
        <v>59322</v>
      </c>
      <c r="B592" s="10">
        <f>43.5176 * CHOOSE(CONTROL!$C$15, $E$9, 100%, $G$9) + CHOOSE(CONTROL!$C$38, 0.0256, 0)</f>
        <v>43.543199999999999</v>
      </c>
      <c r="C592" s="10">
        <f>40.1178 * CHOOSE(CONTROL!$C$15, $E$9, 100%, $G$9) + CHOOSE(CONTROL!$C$38, 0.0347, 0)</f>
        <v>40.152500000000003</v>
      </c>
      <c r="D592" s="10">
        <f>40.11 * CHOOSE(CONTROL!$C$15, $E$9, 100%, $G$9) + CHOOSE(CONTROL!$C$38, 0.0347, 0)</f>
        <v>40.1447</v>
      </c>
      <c r="E592" s="28">
        <f>43.3614 * CHOOSE(CONTROL!$C$15, $E$9, 100%, $G$9) + CHOOSE(CONTROL!$C$38, 0.0347, 0)</f>
        <v>43.396100000000004</v>
      </c>
      <c r="F592" s="27">
        <f>43.3614 * CHOOSE(CONTROL!$C$15, $E$9, 100%, $G$9) + CHOOSE(CONTROL!$C$38, 0.0256, 0)</f>
        <v>43.387</v>
      </c>
      <c r="G592" s="10">
        <f>40.1162 * CHOOSE(CONTROL!$C$15, $E$9, 100%, $G$9) + CHOOSE(CONTROL!$C$38, 0.0347, 0)</f>
        <v>40.1509</v>
      </c>
      <c r="H592" s="10">
        <f>40.1162 * CHOOSE(CONTROL!$C$15, $E$9, 100%, $G$9) + CHOOSE(CONTROL!$C$38, 0.0347, 0)</f>
        <v>40.1509</v>
      </c>
      <c r="I592" s="10">
        <f>40.1178 * CHOOSE(CONTROL!$C$15, $E$9, 100%, $G$9) + CHOOSE(CONTROL!$C$38, 0.0347, 0)</f>
        <v>40.152500000000003</v>
      </c>
      <c r="J592" s="26">
        <f>294.4844</f>
        <v>294.48439999999999</v>
      </c>
    </row>
    <row r="593" spans="1:10" ht="15.75" x14ac:dyDescent="0.25">
      <c r="A593" s="13">
        <v>59352</v>
      </c>
      <c r="B593" s="10">
        <f>43.1558 * CHOOSE(CONTROL!$C$15, $E$9, 100%, $G$9) + CHOOSE(CONTROL!$C$38, 0.0256, 0)</f>
        <v>43.181399999999996</v>
      </c>
      <c r="C593" s="10">
        <f>39.756 * CHOOSE(CONTROL!$C$15, $E$9, 100%, $G$9) + CHOOSE(CONTROL!$C$38, 0.0347, 0)</f>
        <v>39.790700000000001</v>
      </c>
      <c r="D593" s="10">
        <f>39.7482 * CHOOSE(CONTROL!$C$15, $E$9, 100%, $G$9) + CHOOSE(CONTROL!$C$38, 0.0347, 0)</f>
        <v>39.782899999999998</v>
      </c>
      <c r="E593" s="28">
        <f>42.9995 * CHOOSE(CONTROL!$C$15, $E$9, 100%, $G$9) + CHOOSE(CONTROL!$C$38, 0.0347, 0)</f>
        <v>43.034199999999998</v>
      </c>
      <c r="F593" s="27">
        <f>42.9995 * CHOOSE(CONTROL!$C$15, $E$9, 100%, $G$9) + CHOOSE(CONTROL!$C$38, 0.0256, 0)</f>
        <v>43.025099999999995</v>
      </c>
      <c r="G593" s="10">
        <f>39.7544 * CHOOSE(CONTROL!$C$15, $E$9, 100%, $G$9) + CHOOSE(CONTROL!$C$38, 0.0347, 0)</f>
        <v>39.789099999999998</v>
      </c>
      <c r="H593" s="10">
        <f>39.7544 * CHOOSE(CONTROL!$C$15, $E$9, 100%, $G$9) + CHOOSE(CONTROL!$C$38, 0.0347, 0)</f>
        <v>39.789099999999998</v>
      </c>
      <c r="I593" s="10">
        <f>39.756 * CHOOSE(CONTROL!$C$15, $E$9, 100%, $G$9) + CHOOSE(CONTROL!$C$38, 0.0347, 0)</f>
        <v>39.790700000000001</v>
      </c>
      <c r="J593" s="26">
        <f>298.7276</f>
        <v>298.7276</v>
      </c>
    </row>
    <row r="594" spans="1:10" ht="15.75" x14ac:dyDescent="0.25">
      <c r="A594" s="13">
        <v>59383</v>
      </c>
      <c r="B594" s="10">
        <f>42.9493 * CHOOSE(CONTROL!$C$15, $E$9, 100%, $G$9) + CHOOSE(CONTROL!$C$38, 0.0256, 0)</f>
        <v>42.974899999999998</v>
      </c>
      <c r="C594" s="10">
        <f>39.5495 * CHOOSE(CONTROL!$C$15, $E$9, 100%, $G$9) + CHOOSE(CONTROL!$C$38, 0.0347, 0)</f>
        <v>39.584200000000003</v>
      </c>
      <c r="D594" s="10">
        <f>39.5417 * CHOOSE(CONTROL!$C$15, $E$9, 100%, $G$9) + CHOOSE(CONTROL!$C$38, 0.0347, 0)</f>
        <v>39.5764</v>
      </c>
      <c r="E594" s="28">
        <f>42.793 * CHOOSE(CONTROL!$C$15, $E$9, 100%, $G$9) + CHOOSE(CONTROL!$C$38, 0.0347, 0)</f>
        <v>42.8277</v>
      </c>
      <c r="F594" s="27">
        <f>42.793 * CHOOSE(CONTROL!$C$15, $E$9, 100%, $G$9) + CHOOSE(CONTROL!$C$38, 0.0256, 0)</f>
        <v>42.818599999999996</v>
      </c>
      <c r="G594" s="10">
        <f>39.5479 * CHOOSE(CONTROL!$C$15, $E$9, 100%, $G$9) + CHOOSE(CONTROL!$C$38, 0.0347, 0)</f>
        <v>39.582599999999999</v>
      </c>
      <c r="H594" s="10">
        <f>39.5479 * CHOOSE(CONTROL!$C$15, $E$9, 100%, $G$9) + CHOOSE(CONTROL!$C$38, 0.0347, 0)</f>
        <v>39.582599999999999</v>
      </c>
      <c r="I594" s="10">
        <f>39.5495 * CHOOSE(CONTROL!$C$15, $E$9, 100%, $G$9) + CHOOSE(CONTROL!$C$38, 0.0347, 0)</f>
        <v>39.584200000000003</v>
      </c>
      <c r="J594" s="26">
        <f>297.3305</f>
        <v>297.33049999999997</v>
      </c>
    </row>
    <row r="595" spans="1:10" ht="15.75" x14ac:dyDescent="0.25">
      <c r="A595" s="13">
        <v>59414</v>
      </c>
      <c r="B595" s="10">
        <f>43.0512 * CHOOSE(CONTROL!$C$15, $E$9, 100%, $G$9) + CHOOSE(CONTROL!$C$38, 0.0256, 0)</f>
        <v>43.076799999999999</v>
      </c>
      <c r="C595" s="10">
        <f>39.6514 * CHOOSE(CONTROL!$C$15, $E$9, 100%, $G$9) + CHOOSE(CONTROL!$C$38, 0.0347, 0)</f>
        <v>39.686100000000003</v>
      </c>
      <c r="D595" s="10">
        <f>39.6436 * CHOOSE(CONTROL!$C$15, $E$9, 100%, $G$9) + CHOOSE(CONTROL!$C$38, 0.0347, 0)</f>
        <v>39.6783</v>
      </c>
      <c r="E595" s="28">
        <f>42.8949 * CHOOSE(CONTROL!$C$15, $E$9, 100%, $G$9) + CHOOSE(CONTROL!$C$38, 0.0347, 0)</f>
        <v>42.929600000000001</v>
      </c>
      <c r="F595" s="27">
        <f>42.8949 * CHOOSE(CONTROL!$C$15, $E$9, 100%, $G$9) + CHOOSE(CONTROL!$C$38, 0.0256, 0)</f>
        <v>42.920499999999997</v>
      </c>
      <c r="G595" s="10">
        <f>39.6498 * CHOOSE(CONTROL!$C$15, $E$9, 100%, $G$9) + CHOOSE(CONTROL!$C$38, 0.0347, 0)</f>
        <v>39.6845</v>
      </c>
      <c r="H595" s="10">
        <f>39.6498 * CHOOSE(CONTROL!$C$15, $E$9, 100%, $G$9) + CHOOSE(CONTROL!$C$38, 0.0347, 0)</f>
        <v>39.6845</v>
      </c>
      <c r="I595" s="10">
        <f>39.6514 * CHOOSE(CONTROL!$C$15, $E$9, 100%, $G$9) + CHOOSE(CONTROL!$C$38, 0.0347, 0)</f>
        <v>39.686100000000003</v>
      </c>
      <c r="J595" s="26">
        <f>290.4088</f>
        <v>290.40879999999999</v>
      </c>
    </row>
    <row r="596" spans="1:10" ht="15.75" x14ac:dyDescent="0.25">
      <c r="A596" s="13">
        <v>59444</v>
      </c>
      <c r="B596" s="10">
        <f>43.328 * CHOOSE(CONTROL!$C$15, $E$9, 100%, $G$9) + CHOOSE(CONTROL!$C$38, 0.0256, 0)</f>
        <v>43.3536</v>
      </c>
      <c r="C596" s="10">
        <f>39.9282 * CHOOSE(CONTROL!$C$15, $E$9, 100%, $G$9) + CHOOSE(CONTROL!$C$38, 0.0347, 0)</f>
        <v>39.962899999999998</v>
      </c>
      <c r="D596" s="10">
        <f>39.9204 * CHOOSE(CONTROL!$C$15, $E$9, 100%, $G$9) + CHOOSE(CONTROL!$C$38, 0.0347, 0)</f>
        <v>39.955100000000002</v>
      </c>
      <c r="E596" s="28">
        <f>43.1717 * CHOOSE(CONTROL!$C$15, $E$9, 100%, $G$9) + CHOOSE(CONTROL!$C$38, 0.0347, 0)</f>
        <v>43.206400000000002</v>
      </c>
      <c r="F596" s="27">
        <f>43.1717 * CHOOSE(CONTROL!$C$15, $E$9, 100%, $G$9) + CHOOSE(CONTROL!$C$38, 0.0256, 0)</f>
        <v>43.197299999999998</v>
      </c>
      <c r="G596" s="10">
        <f>39.9266 * CHOOSE(CONTROL!$C$15, $E$9, 100%, $G$9) + CHOOSE(CONTROL!$C$38, 0.0347, 0)</f>
        <v>39.961300000000001</v>
      </c>
      <c r="H596" s="10">
        <f>39.9266 * CHOOSE(CONTROL!$C$15, $E$9, 100%, $G$9) + CHOOSE(CONTROL!$C$38, 0.0347, 0)</f>
        <v>39.961300000000001</v>
      </c>
      <c r="I596" s="10">
        <f>39.9282 * CHOOSE(CONTROL!$C$15, $E$9, 100%, $G$9) + CHOOSE(CONTROL!$C$38, 0.0347, 0)</f>
        <v>39.962899999999998</v>
      </c>
      <c r="J596" s="26">
        <f>280.7561</f>
        <v>280.7561</v>
      </c>
    </row>
    <row r="597" spans="1:10" ht="15.75" x14ac:dyDescent="0.25">
      <c r="A597" s="13">
        <v>59475</v>
      </c>
      <c r="B597" s="10">
        <f>43.5598 * CHOOSE(CONTROL!$C$15, $E$9, 100%, $G$9) + CHOOSE(CONTROL!$C$38, 0.0256, 0)</f>
        <v>43.5854</v>
      </c>
      <c r="C597" s="10">
        <f>40.16 * CHOOSE(CONTROL!$C$15, $E$9, 100%, $G$9) + CHOOSE(CONTROL!$C$38, 0.0347, 0)</f>
        <v>40.194699999999997</v>
      </c>
      <c r="D597" s="10">
        <f>40.1522 * CHOOSE(CONTROL!$C$15, $E$9, 100%, $G$9) + CHOOSE(CONTROL!$C$38, 0.0347, 0)</f>
        <v>40.186900000000001</v>
      </c>
      <c r="E597" s="28">
        <f>43.4036 * CHOOSE(CONTROL!$C$15, $E$9, 100%, $G$9) + CHOOSE(CONTROL!$C$38, 0.0347, 0)</f>
        <v>43.438299999999998</v>
      </c>
      <c r="F597" s="27">
        <f>43.4036 * CHOOSE(CONTROL!$C$15, $E$9, 100%, $G$9) + CHOOSE(CONTROL!$C$38, 0.0256, 0)</f>
        <v>43.429199999999994</v>
      </c>
      <c r="G597" s="10">
        <f>40.1584 * CHOOSE(CONTROL!$C$15, $E$9, 100%, $G$9) + CHOOSE(CONTROL!$C$38, 0.0347, 0)</f>
        <v>40.193100000000001</v>
      </c>
      <c r="H597" s="10">
        <f>40.1584 * CHOOSE(CONTROL!$C$15, $E$9, 100%, $G$9) + CHOOSE(CONTROL!$C$38, 0.0347, 0)</f>
        <v>40.193100000000001</v>
      </c>
      <c r="I597" s="10">
        <f>40.16 * CHOOSE(CONTROL!$C$15, $E$9, 100%, $G$9) + CHOOSE(CONTROL!$C$38, 0.0347, 0)</f>
        <v>40.194699999999997</v>
      </c>
      <c r="J597" s="26">
        <f>271.0473</f>
        <v>271.04730000000001</v>
      </c>
    </row>
    <row r="598" spans="1:10" ht="15.75" x14ac:dyDescent="0.25">
      <c r="A598" s="13">
        <v>59505</v>
      </c>
      <c r="B598" s="10">
        <f>43.7533 * CHOOSE(CONTROL!$C$15, $E$9, 100%, $G$9) + CHOOSE(CONTROL!$C$38, 0.0256, 0)</f>
        <v>43.7789</v>
      </c>
      <c r="C598" s="10">
        <f>40.3535 * CHOOSE(CONTROL!$C$15, $E$9, 100%, $G$9) + CHOOSE(CONTROL!$C$38, 0.0347, 0)</f>
        <v>40.388199999999998</v>
      </c>
      <c r="D598" s="10">
        <f>40.3456 * CHOOSE(CONTROL!$C$15, $E$9, 100%, $G$9) + CHOOSE(CONTROL!$C$38, 0.0347, 0)</f>
        <v>40.380299999999998</v>
      </c>
      <c r="E598" s="28">
        <f>43.597 * CHOOSE(CONTROL!$C$15, $E$9, 100%, $G$9) + CHOOSE(CONTROL!$C$38, 0.0347, 0)</f>
        <v>43.631700000000002</v>
      </c>
      <c r="F598" s="27">
        <f>43.597 * CHOOSE(CONTROL!$C$15, $E$9, 100%, $G$9) + CHOOSE(CONTROL!$C$38, 0.0256, 0)</f>
        <v>43.622599999999998</v>
      </c>
      <c r="G598" s="10">
        <f>40.3519 * CHOOSE(CONTROL!$C$15, $E$9, 100%, $G$9) + CHOOSE(CONTROL!$C$38, 0.0347, 0)</f>
        <v>40.386600000000001</v>
      </c>
      <c r="H598" s="10">
        <f>40.3519 * CHOOSE(CONTROL!$C$15, $E$9, 100%, $G$9) + CHOOSE(CONTROL!$C$38, 0.0347, 0)</f>
        <v>40.386600000000001</v>
      </c>
      <c r="I598" s="10">
        <f>40.3535 * CHOOSE(CONTROL!$C$15, $E$9, 100%, $G$9) + CHOOSE(CONTROL!$C$38, 0.0347, 0)</f>
        <v>40.388199999999998</v>
      </c>
      <c r="J598" s="26">
        <f>269.116</f>
        <v>269.11599999999999</v>
      </c>
    </row>
    <row r="599" spans="1:10" ht="15.75" x14ac:dyDescent="0.25">
      <c r="A599" s="13">
        <v>59536</v>
      </c>
      <c r="B599" s="10">
        <f>44.3493 * CHOOSE(CONTROL!$C$15, $E$9, 100%, $G$9) + CHOOSE(CONTROL!$C$38, 0.0256, 0)</f>
        <v>44.374899999999997</v>
      </c>
      <c r="C599" s="10">
        <f>40.9495 * CHOOSE(CONTROL!$C$15, $E$9, 100%, $G$9) + CHOOSE(CONTROL!$C$38, 0.0347, 0)</f>
        <v>40.984200000000001</v>
      </c>
      <c r="D599" s="10">
        <f>40.9417 * CHOOSE(CONTROL!$C$15, $E$9, 100%, $G$9) + CHOOSE(CONTROL!$C$38, 0.0347, 0)</f>
        <v>40.976399999999998</v>
      </c>
      <c r="E599" s="28">
        <f>44.1931 * CHOOSE(CONTROL!$C$15, $E$9, 100%, $G$9) + CHOOSE(CONTROL!$C$38, 0.0347, 0)</f>
        <v>44.227800000000002</v>
      </c>
      <c r="F599" s="27">
        <f>44.1931 * CHOOSE(CONTROL!$C$15, $E$9, 100%, $G$9) + CHOOSE(CONTROL!$C$38, 0.0256, 0)</f>
        <v>44.218699999999998</v>
      </c>
      <c r="G599" s="10">
        <f>40.948 * CHOOSE(CONTROL!$C$15, $E$9, 100%, $G$9) + CHOOSE(CONTROL!$C$38, 0.0347, 0)</f>
        <v>40.982700000000001</v>
      </c>
      <c r="H599" s="10">
        <f>40.948 * CHOOSE(CONTROL!$C$15, $E$9, 100%, $G$9) + CHOOSE(CONTROL!$C$38, 0.0347, 0)</f>
        <v>40.982700000000001</v>
      </c>
      <c r="I599" s="10">
        <f>40.9495 * CHOOSE(CONTROL!$C$15, $E$9, 100%, $G$9) + CHOOSE(CONTROL!$C$38, 0.0347, 0)</f>
        <v>40.984200000000001</v>
      </c>
      <c r="J599" s="26">
        <f>261.1299</f>
        <v>261.12990000000002</v>
      </c>
    </row>
    <row r="600" spans="1:10" ht="15.75" x14ac:dyDescent="0.25">
      <c r="A600" s="13">
        <v>59567</v>
      </c>
      <c r="B600" s="10">
        <f>45.5828 * CHOOSE(CONTROL!$C$15, $E$9, 100%, $G$9) + CHOOSE(CONTROL!$C$38, 0.0256, 0)</f>
        <v>45.608399999999996</v>
      </c>
      <c r="C600" s="10">
        <f>42.1257 * CHOOSE(CONTROL!$C$15, $E$9, 100%, $G$9) + CHOOSE(CONTROL!$C$38, 0.0347, 0)</f>
        <v>42.160400000000003</v>
      </c>
      <c r="D600" s="10">
        <f>42.1179 * CHOOSE(CONTROL!$C$15, $E$9, 100%, $G$9) + CHOOSE(CONTROL!$C$38, 0.0347, 0)</f>
        <v>42.1526</v>
      </c>
      <c r="E600" s="28">
        <f>45.4266 * CHOOSE(CONTROL!$C$15, $E$9, 100%, $G$9) + CHOOSE(CONTROL!$C$38, 0.0347, 0)</f>
        <v>45.461300000000001</v>
      </c>
      <c r="F600" s="27">
        <f>45.4266 * CHOOSE(CONTROL!$C$15, $E$9, 100%, $G$9) + CHOOSE(CONTROL!$C$38, 0.0256, 0)</f>
        <v>45.452199999999998</v>
      </c>
      <c r="G600" s="10">
        <f>42.1242 * CHOOSE(CONTROL!$C$15, $E$9, 100%, $G$9) + CHOOSE(CONTROL!$C$38, 0.0347, 0)</f>
        <v>42.158900000000003</v>
      </c>
      <c r="H600" s="10">
        <f>42.1242 * CHOOSE(CONTROL!$C$15, $E$9, 100%, $G$9) + CHOOSE(CONTROL!$C$38, 0.0347, 0)</f>
        <v>42.158900000000003</v>
      </c>
      <c r="I600" s="10">
        <f>42.1257 * CHOOSE(CONTROL!$C$15, $E$9, 100%, $G$9) + CHOOSE(CONTROL!$C$38, 0.0347, 0)</f>
        <v>42.160400000000003</v>
      </c>
      <c r="J600" s="26">
        <f>259.3808</f>
        <v>259.38080000000002</v>
      </c>
    </row>
    <row r="601" spans="1:10" ht="15.75" x14ac:dyDescent="0.25">
      <c r="A601" s="13">
        <v>59595</v>
      </c>
      <c r="B601" s="10">
        <f>45.8036 * CHOOSE(CONTROL!$C$15, $E$9, 100%, $G$9) + CHOOSE(CONTROL!$C$38, 0.0256, 0)</f>
        <v>45.8292</v>
      </c>
      <c r="C601" s="10">
        <f>42.3465 * CHOOSE(CONTROL!$C$15, $E$9, 100%, $G$9) + CHOOSE(CONTROL!$C$38, 0.0347, 0)</f>
        <v>42.3812</v>
      </c>
      <c r="D601" s="10">
        <f>42.3387 * CHOOSE(CONTROL!$C$15, $E$9, 100%, $G$9) + CHOOSE(CONTROL!$C$38, 0.0347, 0)</f>
        <v>42.373400000000004</v>
      </c>
      <c r="E601" s="28">
        <f>45.6474 * CHOOSE(CONTROL!$C$15, $E$9, 100%, $G$9) + CHOOSE(CONTROL!$C$38, 0.0347, 0)</f>
        <v>45.682099999999998</v>
      </c>
      <c r="F601" s="27">
        <f>45.6474 * CHOOSE(CONTROL!$C$15, $E$9, 100%, $G$9) + CHOOSE(CONTROL!$C$38, 0.0256, 0)</f>
        <v>45.672999999999995</v>
      </c>
      <c r="G601" s="10">
        <f>42.3449 * CHOOSE(CONTROL!$C$15, $E$9, 100%, $G$9) + CHOOSE(CONTROL!$C$38, 0.0347, 0)</f>
        <v>42.379600000000003</v>
      </c>
      <c r="H601" s="10">
        <f>42.3449 * CHOOSE(CONTROL!$C$15, $E$9, 100%, $G$9) + CHOOSE(CONTROL!$C$38, 0.0347, 0)</f>
        <v>42.379600000000003</v>
      </c>
      <c r="I601" s="10">
        <f>42.3465 * CHOOSE(CONTROL!$C$15, $E$9, 100%, $G$9) + CHOOSE(CONTROL!$C$38, 0.0347, 0)</f>
        <v>42.3812</v>
      </c>
      <c r="J601" s="26">
        <f>258.6598</f>
        <v>258.65980000000002</v>
      </c>
    </row>
    <row r="602" spans="1:10" ht="15.75" x14ac:dyDescent="0.25">
      <c r="A602" s="13">
        <v>59626</v>
      </c>
      <c r="B602" s="10">
        <f>45.2926 * CHOOSE(CONTROL!$C$15, $E$9, 100%, $G$9) + CHOOSE(CONTROL!$C$38, 0.0256, 0)</f>
        <v>45.318199999999997</v>
      </c>
      <c r="C602" s="10">
        <f>41.8355 * CHOOSE(CONTROL!$C$15, $E$9, 100%, $G$9) + CHOOSE(CONTROL!$C$38, 0.0347, 0)</f>
        <v>41.870200000000004</v>
      </c>
      <c r="D602" s="10">
        <f>41.8277 * CHOOSE(CONTROL!$C$15, $E$9, 100%, $G$9) + CHOOSE(CONTROL!$C$38, 0.0347, 0)</f>
        <v>41.862400000000001</v>
      </c>
      <c r="E602" s="28">
        <f>45.1363 * CHOOSE(CONTROL!$C$15, $E$9, 100%, $G$9) + CHOOSE(CONTROL!$C$38, 0.0347, 0)</f>
        <v>45.170999999999999</v>
      </c>
      <c r="F602" s="27">
        <f>45.1363 * CHOOSE(CONTROL!$C$15, $E$9, 100%, $G$9) + CHOOSE(CONTROL!$C$38, 0.0256, 0)</f>
        <v>45.161899999999996</v>
      </c>
      <c r="G602" s="10">
        <f>41.8339 * CHOOSE(CONTROL!$C$15, $E$9, 100%, $G$9) + CHOOSE(CONTROL!$C$38, 0.0347, 0)</f>
        <v>41.868600000000001</v>
      </c>
      <c r="H602" s="10">
        <f>41.8339 * CHOOSE(CONTROL!$C$15, $E$9, 100%, $G$9) + CHOOSE(CONTROL!$C$38, 0.0347, 0)</f>
        <v>41.868600000000001</v>
      </c>
      <c r="I602" s="10">
        <f>41.8355 * CHOOSE(CONTROL!$C$15, $E$9, 100%, $G$9) + CHOOSE(CONTROL!$C$38, 0.0347, 0)</f>
        <v>41.870200000000004</v>
      </c>
      <c r="J602" s="26">
        <f>272.2926</f>
        <v>272.29259999999999</v>
      </c>
    </row>
    <row r="603" spans="1:10" ht="15.75" x14ac:dyDescent="0.25">
      <c r="A603" s="13">
        <v>59656</v>
      </c>
      <c r="B603" s="10">
        <f>44.7974 * CHOOSE(CONTROL!$C$15, $E$9, 100%, $G$9) + CHOOSE(CONTROL!$C$38, 0.0256, 0)</f>
        <v>44.823</v>
      </c>
      <c r="C603" s="10">
        <f>41.3403 * CHOOSE(CONTROL!$C$15, $E$9, 100%, $G$9) + CHOOSE(CONTROL!$C$38, 0.0347, 0)</f>
        <v>41.375</v>
      </c>
      <c r="D603" s="10">
        <f>41.3325 * CHOOSE(CONTROL!$C$15, $E$9, 100%, $G$9) + CHOOSE(CONTROL!$C$38, 0.0347, 0)</f>
        <v>41.367200000000004</v>
      </c>
      <c r="E603" s="28">
        <f>44.6411 * CHOOSE(CONTROL!$C$15, $E$9, 100%, $G$9) + CHOOSE(CONTROL!$C$38, 0.0347, 0)</f>
        <v>44.675800000000002</v>
      </c>
      <c r="F603" s="27">
        <f>44.6411 * CHOOSE(CONTROL!$C$15, $E$9, 100%, $G$9) + CHOOSE(CONTROL!$C$38, 0.0256, 0)</f>
        <v>44.666699999999999</v>
      </c>
      <c r="G603" s="10">
        <f>41.3387 * CHOOSE(CONTROL!$C$15, $E$9, 100%, $G$9) + CHOOSE(CONTROL!$C$38, 0.0347, 0)</f>
        <v>41.373400000000004</v>
      </c>
      <c r="H603" s="10">
        <f>41.3387 * CHOOSE(CONTROL!$C$15, $E$9, 100%, $G$9) + CHOOSE(CONTROL!$C$38, 0.0347, 0)</f>
        <v>41.373400000000004</v>
      </c>
      <c r="I603" s="10">
        <f>41.3403 * CHOOSE(CONTROL!$C$15, $E$9, 100%, $G$9) + CHOOSE(CONTROL!$C$38, 0.0347, 0)</f>
        <v>41.375</v>
      </c>
      <c r="J603" s="26">
        <f>289.9712</f>
        <v>289.97120000000001</v>
      </c>
    </row>
    <row r="604" spans="1:10" ht="15.75" x14ac:dyDescent="0.25">
      <c r="A604" s="13">
        <v>59687</v>
      </c>
      <c r="B604" s="10">
        <f>44.2813 * CHOOSE(CONTROL!$C$15, $E$9, 100%, $G$9) + CHOOSE(CONTROL!$C$38, 0.0256, 0)</f>
        <v>44.306899999999999</v>
      </c>
      <c r="C604" s="10">
        <f>40.8242 * CHOOSE(CONTROL!$C$15, $E$9, 100%, $G$9) + CHOOSE(CONTROL!$C$38, 0.0347, 0)</f>
        <v>40.858899999999998</v>
      </c>
      <c r="D604" s="10">
        <f>40.8164 * CHOOSE(CONTROL!$C$15, $E$9, 100%, $G$9) + CHOOSE(CONTROL!$C$38, 0.0347, 0)</f>
        <v>40.851100000000002</v>
      </c>
      <c r="E604" s="28">
        <f>44.125 * CHOOSE(CONTROL!$C$15, $E$9, 100%, $G$9) + CHOOSE(CONTROL!$C$38, 0.0347, 0)</f>
        <v>44.159700000000001</v>
      </c>
      <c r="F604" s="27">
        <f>44.125 * CHOOSE(CONTROL!$C$15, $E$9, 100%, $G$9) + CHOOSE(CONTROL!$C$38, 0.0256, 0)</f>
        <v>44.150599999999997</v>
      </c>
      <c r="G604" s="10">
        <f>40.8226 * CHOOSE(CONTROL!$C$15, $E$9, 100%, $G$9) + CHOOSE(CONTROL!$C$38, 0.0347, 0)</f>
        <v>40.857300000000002</v>
      </c>
      <c r="H604" s="10">
        <f>40.8226 * CHOOSE(CONTROL!$C$15, $E$9, 100%, $G$9) + CHOOSE(CONTROL!$C$38, 0.0347, 0)</f>
        <v>40.857300000000002</v>
      </c>
      <c r="I604" s="10">
        <f>40.8242 * CHOOSE(CONTROL!$C$15, $E$9, 100%, $G$9) + CHOOSE(CONTROL!$C$38, 0.0347, 0)</f>
        <v>40.858899999999998</v>
      </c>
      <c r="J604" s="26">
        <f>299.7021</f>
        <v>299.70209999999997</v>
      </c>
    </row>
    <row r="605" spans="1:10" ht="15.75" x14ac:dyDescent="0.25">
      <c r="A605" s="13">
        <v>59717</v>
      </c>
      <c r="B605" s="10">
        <f>43.9195 * CHOOSE(CONTROL!$C$15, $E$9, 100%, $G$9) + CHOOSE(CONTROL!$C$38, 0.0256, 0)</f>
        <v>43.945099999999996</v>
      </c>
      <c r="C605" s="10">
        <f>40.4623 * CHOOSE(CONTROL!$C$15, $E$9, 100%, $G$9) + CHOOSE(CONTROL!$C$38, 0.0347, 0)</f>
        <v>40.497</v>
      </c>
      <c r="D605" s="10">
        <f>40.4545 * CHOOSE(CONTROL!$C$15, $E$9, 100%, $G$9) + CHOOSE(CONTROL!$C$38, 0.0347, 0)</f>
        <v>40.489200000000004</v>
      </c>
      <c r="E605" s="28">
        <f>43.7632 * CHOOSE(CONTROL!$C$15, $E$9, 100%, $G$9) + CHOOSE(CONTROL!$C$38, 0.0347, 0)</f>
        <v>43.797899999999998</v>
      </c>
      <c r="F605" s="27">
        <f>43.7632 * CHOOSE(CONTROL!$C$15, $E$9, 100%, $G$9) + CHOOSE(CONTROL!$C$38, 0.0256, 0)</f>
        <v>43.788799999999995</v>
      </c>
      <c r="G605" s="10">
        <f>40.4608 * CHOOSE(CONTROL!$C$15, $E$9, 100%, $G$9) + CHOOSE(CONTROL!$C$38, 0.0347, 0)</f>
        <v>40.4955</v>
      </c>
      <c r="H605" s="10">
        <f>40.4608 * CHOOSE(CONTROL!$C$15, $E$9, 100%, $G$9) + CHOOSE(CONTROL!$C$38, 0.0347, 0)</f>
        <v>40.4955</v>
      </c>
      <c r="I605" s="10">
        <f>40.4623 * CHOOSE(CONTROL!$C$15, $E$9, 100%, $G$9) + CHOOSE(CONTROL!$C$38, 0.0347, 0)</f>
        <v>40.497</v>
      </c>
      <c r="J605" s="26">
        <f>304.0205</f>
        <v>304.02050000000003</v>
      </c>
    </row>
    <row r="606" spans="1:10" ht="15.75" x14ac:dyDescent="0.25">
      <c r="A606" s="13">
        <v>59748</v>
      </c>
      <c r="B606" s="10">
        <f>43.713 * CHOOSE(CONTROL!$C$15, $E$9, 100%, $G$9) + CHOOSE(CONTROL!$C$38, 0.0256, 0)</f>
        <v>43.738599999999998</v>
      </c>
      <c r="C606" s="10">
        <f>40.2559 * CHOOSE(CONTROL!$C$15, $E$9, 100%, $G$9) + CHOOSE(CONTROL!$C$38, 0.0347, 0)</f>
        <v>40.290599999999998</v>
      </c>
      <c r="D606" s="10">
        <f>40.248 * CHOOSE(CONTROL!$C$15, $E$9, 100%, $G$9) + CHOOSE(CONTROL!$C$38, 0.0347, 0)</f>
        <v>40.282699999999998</v>
      </c>
      <c r="E606" s="28">
        <f>43.5567 * CHOOSE(CONTROL!$C$15, $E$9, 100%, $G$9) + CHOOSE(CONTROL!$C$38, 0.0347, 0)</f>
        <v>43.5914</v>
      </c>
      <c r="F606" s="27">
        <f>43.5567 * CHOOSE(CONTROL!$C$15, $E$9, 100%, $G$9) + CHOOSE(CONTROL!$C$38, 0.0256, 0)</f>
        <v>43.582299999999996</v>
      </c>
      <c r="G606" s="10">
        <f>40.2543 * CHOOSE(CONTROL!$C$15, $E$9, 100%, $G$9) + CHOOSE(CONTROL!$C$38, 0.0347, 0)</f>
        <v>40.289000000000001</v>
      </c>
      <c r="H606" s="10">
        <f>40.2543 * CHOOSE(CONTROL!$C$15, $E$9, 100%, $G$9) + CHOOSE(CONTROL!$C$38, 0.0347, 0)</f>
        <v>40.289000000000001</v>
      </c>
      <c r="I606" s="10">
        <f>40.2559 * CHOOSE(CONTROL!$C$15, $E$9, 100%, $G$9) + CHOOSE(CONTROL!$C$38, 0.0347, 0)</f>
        <v>40.290599999999998</v>
      </c>
      <c r="J606" s="26">
        <f>302.5986</f>
        <v>302.59859999999998</v>
      </c>
    </row>
    <row r="607" spans="1:10" ht="15.75" x14ac:dyDescent="0.25">
      <c r="A607" s="13">
        <v>59779</v>
      </c>
      <c r="B607" s="10">
        <f>43.8149 * CHOOSE(CONTROL!$C$15, $E$9, 100%, $G$9) + CHOOSE(CONTROL!$C$38, 0.0256, 0)</f>
        <v>43.840499999999999</v>
      </c>
      <c r="C607" s="10">
        <f>40.3578 * CHOOSE(CONTROL!$C$15, $E$9, 100%, $G$9) + CHOOSE(CONTROL!$C$38, 0.0347, 0)</f>
        <v>40.392499999999998</v>
      </c>
      <c r="D607" s="10">
        <f>40.35 * CHOOSE(CONTROL!$C$15, $E$9, 100%, $G$9) + CHOOSE(CONTROL!$C$38, 0.0347, 0)</f>
        <v>40.384700000000002</v>
      </c>
      <c r="E607" s="28">
        <f>43.6586 * CHOOSE(CONTROL!$C$15, $E$9, 100%, $G$9) + CHOOSE(CONTROL!$C$38, 0.0347, 0)</f>
        <v>43.693300000000001</v>
      </c>
      <c r="F607" s="27">
        <f>43.6586 * CHOOSE(CONTROL!$C$15, $E$9, 100%, $G$9) + CHOOSE(CONTROL!$C$38, 0.0256, 0)</f>
        <v>43.684199999999997</v>
      </c>
      <c r="G607" s="10">
        <f>40.3562 * CHOOSE(CONTROL!$C$15, $E$9, 100%, $G$9) + CHOOSE(CONTROL!$C$38, 0.0347, 0)</f>
        <v>40.390900000000002</v>
      </c>
      <c r="H607" s="10">
        <f>40.3562 * CHOOSE(CONTROL!$C$15, $E$9, 100%, $G$9) + CHOOSE(CONTROL!$C$38, 0.0347, 0)</f>
        <v>40.390900000000002</v>
      </c>
      <c r="I607" s="10">
        <f>40.3578 * CHOOSE(CONTROL!$C$15, $E$9, 100%, $G$9) + CHOOSE(CONTROL!$C$38, 0.0347, 0)</f>
        <v>40.392499999999998</v>
      </c>
      <c r="J607" s="26">
        <f>295.5543</f>
        <v>295.55430000000001</v>
      </c>
    </row>
    <row r="608" spans="1:10" ht="15.75" x14ac:dyDescent="0.25">
      <c r="A608" s="13">
        <v>59809</v>
      </c>
      <c r="B608" s="10">
        <f>44.0917 * CHOOSE(CONTROL!$C$15, $E$9, 100%, $G$9) + CHOOSE(CONTROL!$C$38, 0.0256, 0)</f>
        <v>44.1173</v>
      </c>
      <c r="C608" s="10">
        <f>40.6346 * CHOOSE(CONTROL!$C$15, $E$9, 100%, $G$9) + CHOOSE(CONTROL!$C$38, 0.0347, 0)</f>
        <v>40.6693</v>
      </c>
      <c r="D608" s="10">
        <f>40.6267 * CHOOSE(CONTROL!$C$15, $E$9, 100%, $G$9) + CHOOSE(CONTROL!$C$38, 0.0347, 0)</f>
        <v>40.6614</v>
      </c>
      <c r="E608" s="28">
        <f>43.9354 * CHOOSE(CONTROL!$C$15, $E$9, 100%, $G$9) + CHOOSE(CONTROL!$C$38, 0.0347, 0)</f>
        <v>43.970100000000002</v>
      </c>
      <c r="F608" s="27">
        <f>43.9354 * CHOOSE(CONTROL!$C$15, $E$9, 100%, $G$9) + CHOOSE(CONTROL!$C$38, 0.0256, 0)</f>
        <v>43.960999999999999</v>
      </c>
      <c r="G608" s="10">
        <f>40.633 * CHOOSE(CONTROL!$C$15, $E$9, 100%, $G$9) + CHOOSE(CONTROL!$C$38, 0.0347, 0)</f>
        <v>40.667700000000004</v>
      </c>
      <c r="H608" s="10">
        <f>40.633 * CHOOSE(CONTROL!$C$15, $E$9, 100%, $G$9) + CHOOSE(CONTROL!$C$38, 0.0347, 0)</f>
        <v>40.667700000000004</v>
      </c>
      <c r="I608" s="10">
        <f>40.6346 * CHOOSE(CONTROL!$C$15, $E$9, 100%, $G$9) + CHOOSE(CONTROL!$C$38, 0.0347, 0)</f>
        <v>40.6693</v>
      </c>
      <c r="J608" s="26">
        <f>285.7306</f>
        <v>285.73059999999998</v>
      </c>
    </row>
    <row r="609" spans="1:10" ht="15.75" x14ac:dyDescent="0.25">
      <c r="A609" s="13">
        <v>59840</v>
      </c>
      <c r="B609" s="10">
        <f>44.3235 * CHOOSE(CONTROL!$C$15, $E$9, 100%, $G$9) + CHOOSE(CONTROL!$C$38, 0.0256, 0)</f>
        <v>44.3491</v>
      </c>
      <c r="C609" s="10">
        <f>40.8664 * CHOOSE(CONTROL!$C$15, $E$9, 100%, $G$9) + CHOOSE(CONTROL!$C$38, 0.0347, 0)</f>
        <v>40.9011</v>
      </c>
      <c r="D609" s="10">
        <f>40.8586 * CHOOSE(CONTROL!$C$15, $E$9, 100%, $G$9) + CHOOSE(CONTROL!$C$38, 0.0347, 0)</f>
        <v>40.893300000000004</v>
      </c>
      <c r="E609" s="28">
        <f>44.1672 * CHOOSE(CONTROL!$C$15, $E$9, 100%, $G$9) + CHOOSE(CONTROL!$C$38, 0.0347, 0)</f>
        <v>44.201900000000002</v>
      </c>
      <c r="F609" s="27">
        <f>44.1672 * CHOOSE(CONTROL!$C$15, $E$9, 100%, $G$9) + CHOOSE(CONTROL!$C$38, 0.0256, 0)</f>
        <v>44.192799999999998</v>
      </c>
      <c r="G609" s="10">
        <f>40.8648 * CHOOSE(CONTROL!$C$15, $E$9, 100%, $G$9) + CHOOSE(CONTROL!$C$38, 0.0347, 0)</f>
        <v>40.899500000000003</v>
      </c>
      <c r="H609" s="10">
        <f>40.8648 * CHOOSE(CONTROL!$C$15, $E$9, 100%, $G$9) + CHOOSE(CONTROL!$C$38, 0.0347, 0)</f>
        <v>40.899500000000003</v>
      </c>
      <c r="I609" s="10">
        <f>40.8664 * CHOOSE(CONTROL!$C$15, $E$9, 100%, $G$9) + CHOOSE(CONTROL!$C$38, 0.0347, 0)</f>
        <v>40.9011</v>
      </c>
      <c r="J609" s="26">
        <f>275.8497</f>
        <v>275.84969999999998</v>
      </c>
    </row>
    <row r="610" spans="1:10" ht="15.75" x14ac:dyDescent="0.25">
      <c r="A610" s="13">
        <v>59870</v>
      </c>
      <c r="B610" s="10">
        <f>44.5169 * CHOOSE(CONTROL!$C$15, $E$9, 100%, $G$9) + CHOOSE(CONTROL!$C$38, 0.0256, 0)</f>
        <v>44.542499999999997</v>
      </c>
      <c r="C610" s="10">
        <f>41.0598 * CHOOSE(CONTROL!$C$15, $E$9, 100%, $G$9) + CHOOSE(CONTROL!$C$38, 0.0347, 0)</f>
        <v>41.094500000000004</v>
      </c>
      <c r="D610" s="10">
        <f>41.052 * CHOOSE(CONTROL!$C$15, $E$9, 100%, $G$9) + CHOOSE(CONTROL!$C$38, 0.0347, 0)</f>
        <v>41.0867</v>
      </c>
      <c r="E610" s="28">
        <f>44.3607 * CHOOSE(CONTROL!$C$15, $E$9, 100%, $G$9) + CHOOSE(CONTROL!$C$38, 0.0347, 0)</f>
        <v>44.395400000000002</v>
      </c>
      <c r="F610" s="27">
        <f>44.3607 * CHOOSE(CONTROL!$C$15, $E$9, 100%, $G$9) + CHOOSE(CONTROL!$C$38, 0.0256, 0)</f>
        <v>44.386299999999999</v>
      </c>
      <c r="G610" s="10">
        <f>41.0583 * CHOOSE(CONTROL!$C$15, $E$9, 100%, $G$9) + CHOOSE(CONTROL!$C$38, 0.0347, 0)</f>
        <v>41.093000000000004</v>
      </c>
      <c r="H610" s="10">
        <f>41.0583 * CHOOSE(CONTROL!$C$15, $E$9, 100%, $G$9) + CHOOSE(CONTROL!$C$38, 0.0347, 0)</f>
        <v>41.093000000000004</v>
      </c>
      <c r="I610" s="10">
        <f>41.0598 * CHOOSE(CONTROL!$C$15, $E$9, 100%, $G$9) + CHOOSE(CONTROL!$C$38, 0.0347, 0)</f>
        <v>41.094500000000004</v>
      </c>
      <c r="J610" s="26">
        <f>273.8842</f>
        <v>273.88420000000002</v>
      </c>
    </row>
    <row r="611" spans="1:10" ht="15.75" x14ac:dyDescent="0.25">
      <c r="A611" s="13">
        <v>59901</v>
      </c>
      <c r="B611" s="10">
        <f>45.113 * CHOOSE(CONTROL!$C$15, $E$9, 100%, $G$9) + CHOOSE(CONTROL!$C$38, 0.0256, 0)</f>
        <v>45.138599999999997</v>
      </c>
      <c r="C611" s="10">
        <f>41.6559 * CHOOSE(CONTROL!$C$15, $E$9, 100%, $G$9) + CHOOSE(CONTROL!$C$38, 0.0347, 0)</f>
        <v>41.690600000000003</v>
      </c>
      <c r="D611" s="10">
        <f>41.6481 * CHOOSE(CONTROL!$C$15, $E$9, 100%, $G$9) + CHOOSE(CONTROL!$C$38, 0.0347, 0)</f>
        <v>41.6828</v>
      </c>
      <c r="E611" s="28">
        <f>44.9568 * CHOOSE(CONTROL!$C$15, $E$9, 100%, $G$9) + CHOOSE(CONTROL!$C$38, 0.0347, 0)</f>
        <v>44.991500000000002</v>
      </c>
      <c r="F611" s="27">
        <f>44.9568 * CHOOSE(CONTROL!$C$15, $E$9, 100%, $G$9) + CHOOSE(CONTROL!$C$38, 0.0256, 0)</f>
        <v>44.982399999999998</v>
      </c>
      <c r="G611" s="10">
        <f>41.6543 * CHOOSE(CONTROL!$C$15, $E$9, 100%, $G$9) + CHOOSE(CONTROL!$C$38, 0.0347, 0)</f>
        <v>41.689</v>
      </c>
      <c r="H611" s="10">
        <f>41.6543 * CHOOSE(CONTROL!$C$15, $E$9, 100%, $G$9) + CHOOSE(CONTROL!$C$38, 0.0347, 0)</f>
        <v>41.689</v>
      </c>
      <c r="I611" s="10">
        <f>41.6559 * CHOOSE(CONTROL!$C$15, $E$9, 100%, $G$9) + CHOOSE(CONTROL!$C$38, 0.0347, 0)</f>
        <v>41.690600000000003</v>
      </c>
      <c r="J611" s="26">
        <f>265.7567</f>
        <v>265.75670000000002</v>
      </c>
    </row>
    <row r="612" spans="1:10" ht="15.75" x14ac:dyDescent="0.25">
      <c r="A612" s="13">
        <v>59932</v>
      </c>
      <c r="B612" s="10">
        <f>46.36 * CHOOSE(CONTROL!$C$15, $E$9, 100%, $G$9) + CHOOSE(CONTROL!$C$38, 0.0256, 0)</f>
        <v>46.385599999999997</v>
      </c>
      <c r="C612" s="10">
        <f>42.8446 * CHOOSE(CONTROL!$C$15, $E$9, 100%, $G$9) + CHOOSE(CONTROL!$C$38, 0.0347, 0)</f>
        <v>42.879300000000001</v>
      </c>
      <c r="D612" s="10">
        <f>42.8368 * CHOOSE(CONTROL!$C$15, $E$9, 100%, $G$9) + CHOOSE(CONTROL!$C$38, 0.0347, 0)</f>
        <v>42.871499999999997</v>
      </c>
      <c r="E612" s="28">
        <f>46.2038 * CHOOSE(CONTROL!$C$15, $E$9, 100%, $G$9) + CHOOSE(CONTROL!$C$38, 0.0347, 0)</f>
        <v>46.238500000000002</v>
      </c>
      <c r="F612" s="27">
        <f>46.2038 * CHOOSE(CONTROL!$C$15, $E$9, 100%, $G$9) + CHOOSE(CONTROL!$C$38, 0.0256, 0)</f>
        <v>46.229399999999998</v>
      </c>
      <c r="G612" s="10">
        <f>42.843 * CHOOSE(CONTROL!$C$15, $E$9, 100%, $G$9) + CHOOSE(CONTROL!$C$38, 0.0347, 0)</f>
        <v>42.877700000000004</v>
      </c>
      <c r="H612" s="10">
        <f>42.843 * CHOOSE(CONTROL!$C$15, $E$9, 100%, $G$9) + CHOOSE(CONTROL!$C$38, 0.0347, 0)</f>
        <v>42.877700000000004</v>
      </c>
      <c r="I612" s="10">
        <f>42.8446 * CHOOSE(CONTROL!$C$15, $E$9, 100%, $G$9) + CHOOSE(CONTROL!$C$38, 0.0347, 0)</f>
        <v>42.879300000000001</v>
      </c>
      <c r="J612" s="26">
        <f>263.9765</f>
        <v>263.97649999999999</v>
      </c>
    </row>
    <row r="613" spans="1:10" ht="15.75" x14ac:dyDescent="0.25">
      <c r="A613" s="13">
        <v>59961</v>
      </c>
      <c r="B613" s="10">
        <f>46.5808 * CHOOSE(CONTROL!$C$15, $E$9, 100%, $G$9) + CHOOSE(CONTROL!$C$38, 0.0256, 0)</f>
        <v>46.606400000000001</v>
      </c>
      <c r="C613" s="10">
        <f>43.0654 * CHOOSE(CONTROL!$C$15, $E$9, 100%, $G$9) + CHOOSE(CONTROL!$C$38, 0.0347, 0)</f>
        <v>43.100099999999998</v>
      </c>
      <c r="D613" s="10">
        <f>43.0575 * CHOOSE(CONTROL!$C$15, $E$9, 100%, $G$9) + CHOOSE(CONTROL!$C$38, 0.0347, 0)</f>
        <v>43.092199999999998</v>
      </c>
      <c r="E613" s="28">
        <f>46.4245 * CHOOSE(CONTROL!$C$15, $E$9, 100%, $G$9) + CHOOSE(CONTROL!$C$38, 0.0347, 0)</f>
        <v>46.459200000000003</v>
      </c>
      <c r="F613" s="27">
        <f>46.4245 * CHOOSE(CONTROL!$C$15, $E$9, 100%, $G$9) + CHOOSE(CONTROL!$C$38, 0.0256, 0)</f>
        <v>46.450099999999999</v>
      </c>
      <c r="G613" s="10">
        <f>43.0638 * CHOOSE(CONTROL!$C$15, $E$9, 100%, $G$9) + CHOOSE(CONTROL!$C$38, 0.0347, 0)</f>
        <v>43.098500000000001</v>
      </c>
      <c r="H613" s="10">
        <f>43.0638 * CHOOSE(CONTROL!$C$15, $E$9, 100%, $G$9) + CHOOSE(CONTROL!$C$38, 0.0347, 0)</f>
        <v>43.098500000000001</v>
      </c>
      <c r="I613" s="10">
        <f>43.0654 * CHOOSE(CONTROL!$C$15, $E$9, 100%, $G$9) + CHOOSE(CONTROL!$C$38, 0.0347, 0)</f>
        <v>43.100099999999998</v>
      </c>
      <c r="J613" s="26">
        <f>263.2427</f>
        <v>263.24270000000001</v>
      </c>
    </row>
    <row r="614" spans="1:10" ht="15.75" x14ac:dyDescent="0.25">
      <c r="A614" s="13">
        <v>59992</v>
      </c>
      <c r="B614" s="10">
        <f>46.0698 * CHOOSE(CONTROL!$C$15, $E$9, 100%, $G$9) + CHOOSE(CONTROL!$C$38, 0.0256, 0)</f>
        <v>46.095399999999998</v>
      </c>
      <c r="C614" s="10">
        <f>42.5543 * CHOOSE(CONTROL!$C$15, $E$9, 100%, $G$9) + CHOOSE(CONTROL!$C$38, 0.0347, 0)</f>
        <v>42.588999999999999</v>
      </c>
      <c r="D614" s="10">
        <f>42.5465 * CHOOSE(CONTROL!$C$15, $E$9, 100%, $G$9) + CHOOSE(CONTROL!$C$38, 0.0347, 0)</f>
        <v>42.581200000000003</v>
      </c>
      <c r="E614" s="28">
        <f>45.9135 * CHOOSE(CONTROL!$C$15, $E$9, 100%, $G$9) + CHOOSE(CONTROL!$C$38, 0.0347, 0)</f>
        <v>45.9482</v>
      </c>
      <c r="F614" s="27">
        <f>45.9135 * CHOOSE(CONTROL!$C$15, $E$9, 100%, $G$9) + CHOOSE(CONTROL!$C$38, 0.0256, 0)</f>
        <v>45.939099999999996</v>
      </c>
      <c r="G614" s="10">
        <f>42.5528 * CHOOSE(CONTROL!$C$15, $E$9, 100%, $G$9) + CHOOSE(CONTROL!$C$38, 0.0347, 0)</f>
        <v>42.587499999999999</v>
      </c>
      <c r="H614" s="10">
        <f>42.5528 * CHOOSE(CONTROL!$C$15, $E$9, 100%, $G$9) + CHOOSE(CONTROL!$C$38, 0.0347, 0)</f>
        <v>42.587499999999999</v>
      </c>
      <c r="I614" s="10">
        <f>42.5543 * CHOOSE(CONTROL!$C$15, $E$9, 100%, $G$9) + CHOOSE(CONTROL!$C$38, 0.0347, 0)</f>
        <v>42.588999999999999</v>
      </c>
      <c r="J614" s="26">
        <f>277.1172</f>
        <v>277.11720000000003</v>
      </c>
    </row>
    <row r="615" spans="1:10" ht="15.75" x14ac:dyDescent="0.25">
      <c r="A615" s="13">
        <v>60022</v>
      </c>
      <c r="B615" s="10">
        <f>45.5746 * CHOOSE(CONTROL!$C$15, $E$9, 100%, $G$9) + CHOOSE(CONTROL!$C$38, 0.0256, 0)</f>
        <v>45.600199999999994</v>
      </c>
      <c r="C615" s="10">
        <f>42.0591 * CHOOSE(CONTROL!$C$15, $E$9, 100%, $G$9) + CHOOSE(CONTROL!$C$38, 0.0347, 0)</f>
        <v>42.093800000000002</v>
      </c>
      <c r="D615" s="10">
        <f>42.0513 * CHOOSE(CONTROL!$C$15, $E$9, 100%, $G$9) + CHOOSE(CONTROL!$C$38, 0.0347, 0)</f>
        <v>42.085999999999999</v>
      </c>
      <c r="E615" s="28">
        <f>45.4183 * CHOOSE(CONTROL!$C$15, $E$9, 100%, $G$9) + CHOOSE(CONTROL!$C$38, 0.0347, 0)</f>
        <v>45.453000000000003</v>
      </c>
      <c r="F615" s="27">
        <f>45.4183 * CHOOSE(CONTROL!$C$15, $E$9, 100%, $G$9) + CHOOSE(CONTROL!$C$38, 0.0256, 0)</f>
        <v>45.443899999999999</v>
      </c>
      <c r="G615" s="10">
        <f>42.0576 * CHOOSE(CONTROL!$C$15, $E$9, 100%, $G$9) + CHOOSE(CONTROL!$C$38, 0.0347, 0)</f>
        <v>42.092300000000002</v>
      </c>
      <c r="H615" s="10">
        <f>42.0576 * CHOOSE(CONTROL!$C$15, $E$9, 100%, $G$9) + CHOOSE(CONTROL!$C$38, 0.0347, 0)</f>
        <v>42.092300000000002</v>
      </c>
      <c r="I615" s="10">
        <f>42.0591 * CHOOSE(CONTROL!$C$15, $E$9, 100%, $G$9) + CHOOSE(CONTROL!$C$38, 0.0347, 0)</f>
        <v>42.093800000000002</v>
      </c>
      <c r="J615" s="26">
        <f>295.1089</f>
        <v>295.10890000000001</v>
      </c>
    </row>
    <row r="616" spans="1:10" ht="15.75" x14ac:dyDescent="0.25">
      <c r="A616" s="13">
        <v>60053</v>
      </c>
      <c r="B616" s="10">
        <f>45.0585 * CHOOSE(CONTROL!$C$15, $E$9, 100%, $G$9) + CHOOSE(CONTROL!$C$38, 0.0256, 0)</f>
        <v>45.084099999999999</v>
      </c>
      <c r="C616" s="10">
        <f>41.543 * CHOOSE(CONTROL!$C$15, $E$9, 100%, $G$9) + CHOOSE(CONTROL!$C$38, 0.0347, 0)</f>
        <v>41.5777</v>
      </c>
      <c r="D616" s="10">
        <f>41.5352 * CHOOSE(CONTROL!$C$15, $E$9, 100%, $G$9) + CHOOSE(CONTROL!$C$38, 0.0347, 0)</f>
        <v>41.569900000000004</v>
      </c>
      <c r="E616" s="28">
        <f>44.9022 * CHOOSE(CONTROL!$C$15, $E$9, 100%, $G$9) + CHOOSE(CONTROL!$C$38, 0.0347, 0)</f>
        <v>44.936900000000001</v>
      </c>
      <c r="F616" s="27">
        <f>44.9022 * CHOOSE(CONTROL!$C$15, $E$9, 100%, $G$9) + CHOOSE(CONTROL!$C$38, 0.0256, 0)</f>
        <v>44.927799999999998</v>
      </c>
      <c r="G616" s="10">
        <f>41.5415 * CHOOSE(CONTROL!$C$15, $E$9, 100%, $G$9) + CHOOSE(CONTROL!$C$38, 0.0347, 0)</f>
        <v>41.5762</v>
      </c>
      <c r="H616" s="10">
        <f>41.5415 * CHOOSE(CONTROL!$C$15, $E$9, 100%, $G$9) + CHOOSE(CONTROL!$C$38, 0.0347, 0)</f>
        <v>41.5762</v>
      </c>
      <c r="I616" s="10">
        <f>41.543 * CHOOSE(CONTROL!$C$15, $E$9, 100%, $G$9) + CHOOSE(CONTROL!$C$38, 0.0347, 0)</f>
        <v>41.5777</v>
      </c>
      <c r="J616" s="26">
        <f>305.0122</f>
        <v>305.01220000000001</v>
      </c>
    </row>
    <row r="617" spans="1:10" ht="15.75" x14ac:dyDescent="0.25">
      <c r="A617" s="13">
        <v>60083</v>
      </c>
      <c r="B617" s="10">
        <f>44.6966 * CHOOSE(CONTROL!$C$15, $E$9, 100%, $G$9) + CHOOSE(CONTROL!$C$38, 0.0256, 0)</f>
        <v>44.722199999999994</v>
      </c>
      <c r="C617" s="10">
        <f>41.1812 * CHOOSE(CONTROL!$C$15, $E$9, 100%, $G$9) + CHOOSE(CONTROL!$C$38, 0.0347, 0)</f>
        <v>41.215899999999998</v>
      </c>
      <c r="D617" s="10">
        <f>41.1734 * CHOOSE(CONTROL!$C$15, $E$9, 100%, $G$9) + CHOOSE(CONTROL!$C$38, 0.0347, 0)</f>
        <v>41.208100000000002</v>
      </c>
      <c r="E617" s="28">
        <f>44.5404 * CHOOSE(CONTROL!$C$15, $E$9, 100%, $G$9) + CHOOSE(CONTROL!$C$38, 0.0347, 0)</f>
        <v>44.575099999999999</v>
      </c>
      <c r="F617" s="27">
        <f>44.5404 * CHOOSE(CONTROL!$C$15, $E$9, 100%, $G$9) + CHOOSE(CONTROL!$C$38, 0.0256, 0)</f>
        <v>44.565999999999995</v>
      </c>
      <c r="G617" s="10">
        <f>41.1796 * CHOOSE(CONTROL!$C$15, $E$9, 100%, $G$9) + CHOOSE(CONTROL!$C$38, 0.0347, 0)</f>
        <v>41.214300000000001</v>
      </c>
      <c r="H617" s="10">
        <f>41.1796 * CHOOSE(CONTROL!$C$15, $E$9, 100%, $G$9) + CHOOSE(CONTROL!$C$38, 0.0347, 0)</f>
        <v>41.214300000000001</v>
      </c>
      <c r="I617" s="10">
        <f>41.1812 * CHOOSE(CONTROL!$C$15, $E$9, 100%, $G$9) + CHOOSE(CONTROL!$C$38, 0.0347, 0)</f>
        <v>41.215899999999998</v>
      </c>
      <c r="J617" s="26">
        <f>309.4071</f>
        <v>309.40710000000001</v>
      </c>
    </row>
    <row r="618" spans="1:10" ht="15.75" x14ac:dyDescent="0.25">
      <c r="A618" s="13">
        <v>60114</v>
      </c>
      <c r="B618" s="10">
        <f>44.4901 * CHOOSE(CONTROL!$C$15, $E$9, 100%, $G$9) + CHOOSE(CONTROL!$C$38, 0.0256, 0)</f>
        <v>44.515699999999995</v>
      </c>
      <c r="C618" s="10">
        <f>40.9747 * CHOOSE(CONTROL!$C$15, $E$9, 100%, $G$9) + CHOOSE(CONTROL!$C$38, 0.0347, 0)</f>
        <v>41.009399999999999</v>
      </c>
      <c r="D618" s="10">
        <f>40.9669 * CHOOSE(CONTROL!$C$15, $E$9, 100%, $G$9) + CHOOSE(CONTROL!$C$38, 0.0347, 0)</f>
        <v>41.001600000000003</v>
      </c>
      <c r="E618" s="28">
        <f>44.3339 * CHOOSE(CONTROL!$C$15, $E$9, 100%, $G$9) + CHOOSE(CONTROL!$C$38, 0.0347, 0)</f>
        <v>44.368600000000001</v>
      </c>
      <c r="F618" s="27">
        <f>44.3339 * CHOOSE(CONTROL!$C$15, $E$9, 100%, $G$9) + CHOOSE(CONTROL!$C$38, 0.0256, 0)</f>
        <v>44.359499999999997</v>
      </c>
      <c r="G618" s="10">
        <f>40.9731 * CHOOSE(CONTROL!$C$15, $E$9, 100%, $G$9) + CHOOSE(CONTROL!$C$38, 0.0347, 0)</f>
        <v>41.007800000000003</v>
      </c>
      <c r="H618" s="10">
        <f>40.9731 * CHOOSE(CONTROL!$C$15, $E$9, 100%, $G$9) + CHOOSE(CONTROL!$C$38, 0.0347, 0)</f>
        <v>41.007800000000003</v>
      </c>
      <c r="I618" s="10">
        <f>40.9747 * CHOOSE(CONTROL!$C$15, $E$9, 100%, $G$9) + CHOOSE(CONTROL!$C$38, 0.0347, 0)</f>
        <v>41.009399999999999</v>
      </c>
      <c r="J618" s="26">
        <f>307.9601</f>
        <v>307.96010000000001</v>
      </c>
    </row>
    <row r="619" spans="1:10" ht="15.75" x14ac:dyDescent="0.25">
      <c r="A619" s="13">
        <v>60145</v>
      </c>
      <c r="B619" s="10">
        <f>44.592 * CHOOSE(CONTROL!$C$15, $E$9, 100%, $G$9) + CHOOSE(CONTROL!$C$38, 0.0256, 0)</f>
        <v>44.617599999999996</v>
      </c>
      <c r="C619" s="10">
        <f>41.0766 * CHOOSE(CONTROL!$C$15, $E$9, 100%, $G$9) + CHOOSE(CONTROL!$C$38, 0.0347, 0)</f>
        <v>41.1113</v>
      </c>
      <c r="D619" s="10">
        <f>41.0688 * CHOOSE(CONTROL!$C$15, $E$9, 100%, $G$9) + CHOOSE(CONTROL!$C$38, 0.0347, 0)</f>
        <v>41.103500000000004</v>
      </c>
      <c r="E619" s="28">
        <f>44.4358 * CHOOSE(CONTROL!$C$15, $E$9, 100%, $G$9) + CHOOSE(CONTROL!$C$38, 0.0347, 0)</f>
        <v>44.470500000000001</v>
      </c>
      <c r="F619" s="27">
        <f>44.4358 * CHOOSE(CONTROL!$C$15, $E$9, 100%, $G$9) + CHOOSE(CONTROL!$C$38, 0.0256, 0)</f>
        <v>44.461399999999998</v>
      </c>
      <c r="G619" s="10">
        <f>41.0751 * CHOOSE(CONTROL!$C$15, $E$9, 100%, $G$9) + CHOOSE(CONTROL!$C$38, 0.0347, 0)</f>
        <v>41.1098</v>
      </c>
      <c r="H619" s="10">
        <f>41.0751 * CHOOSE(CONTROL!$C$15, $E$9, 100%, $G$9) + CHOOSE(CONTROL!$C$38, 0.0347, 0)</f>
        <v>41.1098</v>
      </c>
      <c r="I619" s="10">
        <f>41.0766 * CHOOSE(CONTROL!$C$15, $E$9, 100%, $G$9) + CHOOSE(CONTROL!$C$38, 0.0347, 0)</f>
        <v>41.1113</v>
      </c>
      <c r="J619" s="26">
        <f>300.7909</f>
        <v>300.79090000000002</v>
      </c>
    </row>
    <row r="620" spans="1:10" ht="15.75" x14ac:dyDescent="0.25">
      <c r="A620" s="13">
        <v>60175</v>
      </c>
      <c r="B620" s="10">
        <f>44.8688 * CHOOSE(CONTROL!$C$15, $E$9, 100%, $G$9) + CHOOSE(CONTROL!$C$38, 0.0256, 0)</f>
        <v>44.894399999999997</v>
      </c>
      <c r="C620" s="10">
        <f>41.3534 * CHOOSE(CONTROL!$C$15, $E$9, 100%, $G$9) + CHOOSE(CONTROL!$C$38, 0.0347, 0)</f>
        <v>41.388100000000001</v>
      </c>
      <c r="D620" s="10">
        <f>41.3456 * CHOOSE(CONTROL!$C$15, $E$9, 100%, $G$9) + CHOOSE(CONTROL!$C$38, 0.0347, 0)</f>
        <v>41.380299999999998</v>
      </c>
      <c r="E620" s="28">
        <f>44.7126 * CHOOSE(CONTROL!$C$15, $E$9, 100%, $G$9) + CHOOSE(CONTROL!$C$38, 0.0347, 0)</f>
        <v>44.747300000000003</v>
      </c>
      <c r="F620" s="27">
        <f>44.7126 * CHOOSE(CONTROL!$C$15, $E$9, 100%, $G$9) + CHOOSE(CONTROL!$C$38, 0.0256, 0)</f>
        <v>44.738199999999999</v>
      </c>
      <c r="G620" s="10">
        <f>41.3519 * CHOOSE(CONTROL!$C$15, $E$9, 100%, $G$9) + CHOOSE(CONTROL!$C$38, 0.0347, 0)</f>
        <v>41.386600000000001</v>
      </c>
      <c r="H620" s="10">
        <f>41.3519 * CHOOSE(CONTROL!$C$15, $E$9, 100%, $G$9) + CHOOSE(CONTROL!$C$38, 0.0347, 0)</f>
        <v>41.386600000000001</v>
      </c>
      <c r="I620" s="10">
        <f>41.3534 * CHOOSE(CONTROL!$C$15, $E$9, 100%, $G$9) + CHOOSE(CONTROL!$C$38, 0.0347, 0)</f>
        <v>41.388100000000001</v>
      </c>
      <c r="J620" s="26">
        <f>290.7932</f>
        <v>290.79320000000001</v>
      </c>
    </row>
    <row r="621" spans="1:10" ht="15.75" x14ac:dyDescent="0.25">
      <c r="A621" s="13">
        <v>60206</v>
      </c>
      <c r="B621" s="10">
        <f>45.1007 * CHOOSE(CONTROL!$C$15, $E$9, 100%, $G$9) + CHOOSE(CONTROL!$C$38, 0.0256, 0)</f>
        <v>45.126300000000001</v>
      </c>
      <c r="C621" s="10">
        <f>41.5852 * CHOOSE(CONTROL!$C$15, $E$9, 100%, $G$9) + CHOOSE(CONTROL!$C$38, 0.0347, 0)</f>
        <v>41.619900000000001</v>
      </c>
      <c r="D621" s="10">
        <f>41.5774 * CHOOSE(CONTROL!$C$15, $E$9, 100%, $G$9) + CHOOSE(CONTROL!$C$38, 0.0347, 0)</f>
        <v>41.612099999999998</v>
      </c>
      <c r="E621" s="28">
        <f>44.9444 * CHOOSE(CONTROL!$C$15, $E$9, 100%, $G$9) + CHOOSE(CONTROL!$C$38, 0.0347, 0)</f>
        <v>44.979100000000003</v>
      </c>
      <c r="F621" s="27">
        <f>44.9444 * CHOOSE(CONTROL!$C$15, $E$9, 100%, $G$9) + CHOOSE(CONTROL!$C$38, 0.0256, 0)</f>
        <v>44.97</v>
      </c>
      <c r="G621" s="10">
        <f>41.5837 * CHOOSE(CONTROL!$C$15, $E$9, 100%, $G$9) + CHOOSE(CONTROL!$C$38, 0.0347, 0)</f>
        <v>41.618400000000001</v>
      </c>
      <c r="H621" s="10">
        <f>41.5837 * CHOOSE(CONTROL!$C$15, $E$9, 100%, $G$9) + CHOOSE(CONTROL!$C$38, 0.0347, 0)</f>
        <v>41.618400000000001</v>
      </c>
      <c r="I621" s="10">
        <f>41.5852 * CHOOSE(CONTROL!$C$15, $E$9, 100%, $G$9) + CHOOSE(CONTROL!$C$38, 0.0347, 0)</f>
        <v>41.619900000000001</v>
      </c>
      <c r="J621" s="26">
        <f>280.7372</f>
        <v>280.73719999999997</v>
      </c>
    </row>
    <row r="622" spans="1:10" ht="15.75" x14ac:dyDescent="0.25">
      <c r="A622" s="13">
        <v>60236</v>
      </c>
      <c r="B622" s="10">
        <f>45.2941 * CHOOSE(CONTROL!$C$15, $E$9, 100%, $G$9) + CHOOSE(CONTROL!$C$38, 0.0256, 0)</f>
        <v>45.319699999999997</v>
      </c>
      <c r="C622" s="10">
        <f>41.7787 * CHOOSE(CONTROL!$C$15, $E$9, 100%, $G$9) + CHOOSE(CONTROL!$C$38, 0.0347, 0)</f>
        <v>41.813400000000001</v>
      </c>
      <c r="D622" s="10">
        <f>41.7709 * CHOOSE(CONTROL!$C$15, $E$9, 100%, $G$9) + CHOOSE(CONTROL!$C$38, 0.0347, 0)</f>
        <v>41.805599999999998</v>
      </c>
      <c r="E622" s="28">
        <f>45.1379 * CHOOSE(CONTROL!$C$15, $E$9, 100%, $G$9) + CHOOSE(CONTROL!$C$38, 0.0347, 0)</f>
        <v>45.172600000000003</v>
      </c>
      <c r="F622" s="27">
        <f>45.1379 * CHOOSE(CONTROL!$C$15, $E$9, 100%, $G$9) + CHOOSE(CONTROL!$C$38, 0.0256, 0)</f>
        <v>45.163499999999999</v>
      </c>
      <c r="G622" s="10">
        <f>41.7771 * CHOOSE(CONTROL!$C$15, $E$9, 100%, $G$9) + CHOOSE(CONTROL!$C$38, 0.0347, 0)</f>
        <v>41.811799999999998</v>
      </c>
      <c r="H622" s="10">
        <f>41.7771 * CHOOSE(CONTROL!$C$15, $E$9, 100%, $G$9) + CHOOSE(CONTROL!$C$38, 0.0347, 0)</f>
        <v>41.811799999999998</v>
      </c>
      <c r="I622" s="10">
        <f>41.7787 * CHOOSE(CONTROL!$C$15, $E$9, 100%, $G$9) + CHOOSE(CONTROL!$C$38, 0.0347, 0)</f>
        <v>41.813400000000001</v>
      </c>
      <c r="J622" s="26">
        <f>278.7369</f>
        <v>278.73689999999999</v>
      </c>
    </row>
    <row r="623" spans="1:10" ht="15.75" x14ac:dyDescent="0.25">
      <c r="A623" s="13">
        <v>60267</v>
      </c>
      <c r="B623" s="10">
        <f>45.8902 * CHOOSE(CONTROL!$C$15, $E$9, 100%, $G$9) + CHOOSE(CONTROL!$C$38, 0.0256, 0)</f>
        <v>45.915799999999997</v>
      </c>
      <c r="C623" s="10">
        <f>42.3747 * CHOOSE(CONTROL!$C$15, $E$9, 100%, $G$9) + CHOOSE(CONTROL!$C$38, 0.0347, 0)</f>
        <v>42.409399999999998</v>
      </c>
      <c r="D623" s="10">
        <f>42.3669 * CHOOSE(CONTROL!$C$15, $E$9, 100%, $G$9) + CHOOSE(CONTROL!$C$38, 0.0347, 0)</f>
        <v>42.401600000000002</v>
      </c>
      <c r="E623" s="28">
        <f>45.7339 * CHOOSE(CONTROL!$C$15, $E$9, 100%, $G$9) + CHOOSE(CONTROL!$C$38, 0.0347, 0)</f>
        <v>45.768599999999999</v>
      </c>
      <c r="F623" s="27">
        <f>45.7339 * CHOOSE(CONTROL!$C$15, $E$9, 100%, $G$9) + CHOOSE(CONTROL!$C$38, 0.0256, 0)</f>
        <v>45.759499999999996</v>
      </c>
      <c r="G623" s="10">
        <f>42.3732 * CHOOSE(CONTROL!$C$15, $E$9, 100%, $G$9) + CHOOSE(CONTROL!$C$38, 0.0347, 0)</f>
        <v>42.407899999999998</v>
      </c>
      <c r="H623" s="10">
        <f>42.3732 * CHOOSE(CONTROL!$C$15, $E$9, 100%, $G$9) + CHOOSE(CONTROL!$C$38, 0.0347, 0)</f>
        <v>42.407899999999998</v>
      </c>
      <c r="I623" s="10">
        <f>42.3747 * CHOOSE(CONTROL!$C$15, $E$9, 100%, $G$9) + CHOOSE(CONTROL!$C$38, 0.0347, 0)</f>
        <v>42.409399999999998</v>
      </c>
      <c r="J623" s="26">
        <f>270.4654</f>
        <v>270.46539999999999</v>
      </c>
    </row>
    <row r="624" spans="1:10" ht="15.75" x14ac:dyDescent="0.25">
      <c r="A624" s="13">
        <v>60298</v>
      </c>
      <c r="B624" s="10">
        <f>47.1509 * CHOOSE(CONTROL!$C$15, $E$9, 100%, $G$9) + CHOOSE(CONTROL!$C$38, 0.0256, 0)</f>
        <v>47.176499999999997</v>
      </c>
      <c r="C624" s="10">
        <f>43.5761 * CHOOSE(CONTROL!$C$15, $E$9, 100%, $G$9) + CHOOSE(CONTROL!$C$38, 0.0347, 0)</f>
        <v>43.610799999999998</v>
      </c>
      <c r="D624" s="10">
        <f>43.5683 * CHOOSE(CONTROL!$C$15, $E$9, 100%, $G$9) + CHOOSE(CONTROL!$C$38, 0.0347, 0)</f>
        <v>43.603000000000002</v>
      </c>
      <c r="E624" s="28">
        <f>46.9947 * CHOOSE(CONTROL!$C$15, $E$9, 100%, $G$9) + CHOOSE(CONTROL!$C$38, 0.0347, 0)</f>
        <v>47.029400000000003</v>
      </c>
      <c r="F624" s="27">
        <f>46.9947 * CHOOSE(CONTROL!$C$15, $E$9, 100%, $G$9) + CHOOSE(CONTROL!$C$38, 0.0256, 0)</f>
        <v>47.020299999999999</v>
      </c>
      <c r="G624" s="10">
        <f>43.5746 * CHOOSE(CONTROL!$C$15, $E$9, 100%, $G$9) + CHOOSE(CONTROL!$C$38, 0.0347, 0)</f>
        <v>43.609299999999998</v>
      </c>
      <c r="H624" s="10">
        <f>43.5746 * CHOOSE(CONTROL!$C$15, $E$9, 100%, $G$9) + CHOOSE(CONTROL!$C$38, 0.0347, 0)</f>
        <v>43.609299999999998</v>
      </c>
      <c r="I624" s="10">
        <f>43.5761 * CHOOSE(CONTROL!$C$15, $E$9, 100%, $G$9) + CHOOSE(CONTROL!$C$38, 0.0347, 0)</f>
        <v>43.610799999999998</v>
      </c>
      <c r="J624" s="26">
        <f>268.6537</f>
        <v>268.65370000000001</v>
      </c>
    </row>
    <row r="625" spans="1:10" ht="15.75" x14ac:dyDescent="0.25">
      <c r="A625" s="13">
        <v>60326</v>
      </c>
      <c r="B625" s="10">
        <f>47.3717 * CHOOSE(CONTROL!$C$15, $E$9, 100%, $G$9) + CHOOSE(CONTROL!$C$38, 0.0256, 0)</f>
        <v>47.397299999999994</v>
      </c>
      <c r="C625" s="10">
        <f>43.7969 * CHOOSE(CONTROL!$C$15, $E$9, 100%, $G$9) + CHOOSE(CONTROL!$C$38, 0.0347, 0)</f>
        <v>43.831600000000002</v>
      </c>
      <c r="D625" s="10">
        <f>43.7891 * CHOOSE(CONTROL!$C$15, $E$9, 100%, $G$9) + CHOOSE(CONTROL!$C$38, 0.0347, 0)</f>
        <v>43.823799999999999</v>
      </c>
      <c r="E625" s="28">
        <f>47.2154 * CHOOSE(CONTROL!$C$15, $E$9, 100%, $G$9) + CHOOSE(CONTROL!$C$38, 0.0347, 0)</f>
        <v>47.250100000000003</v>
      </c>
      <c r="F625" s="27">
        <f>47.2154 * CHOOSE(CONTROL!$C$15, $E$9, 100%, $G$9) + CHOOSE(CONTROL!$C$38, 0.0256, 0)</f>
        <v>47.241</v>
      </c>
      <c r="G625" s="10">
        <f>43.7953 * CHOOSE(CONTROL!$C$15, $E$9, 100%, $G$9) + CHOOSE(CONTROL!$C$38, 0.0347, 0)</f>
        <v>43.83</v>
      </c>
      <c r="H625" s="10">
        <f>43.7953 * CHOOSE(CONTROL!$C$15, $E$9, 100%, $G$9) + CHOOSE(CONTROL!$C$38, 0.0347, 0)</f>
        <v>43.83</v>
      </c>
      <c r="I625" s="10">
        <f>43.7969 * CHOOSE(CONTROL!$C$15, $E$9, 100%, $G$9) + CHOOSE(CONTROL!$C$38, 0.0347, 0)</f>
        <v>43.831600000000002</v>
      </c>
      <c r="J625" s="26">
        <f>267.9069</f>
        <v>267.90690000000001</v>
      </c>
    </row>
    <row r="626" spans="1:10" ht="15.75" x14ac:dyDescent="0.25">
      <c r="A626" s="13">
        <v>60357</v>
      </c>
      <c r="B626" s="10">
        <f>46.8607 * CHOOSE(CONTROL!$C$15, $E$9, 100%, $G$9) + CHOOSE(CONTROL!$C$38, 0.0256, 0)</f>
        <v>46.886299999999999</v>
      </c>
      <c r="C626" s="10">
        <f>43.2859 * CHOOSE(CONTROL!$C$15, $E$9, 100%, $G$9) + CHOOSE(CONTROL!$C$38, 0.0347, 0)</f>
        <v>43.320599999999999</v>
      </c>
      <c r="D626" s="10">
        <f>43.2781 * CHOOSE(CONTROL!$C$15, $E$9, 100%, $G$9) + CHOOSE(CONTROL!$C$38, 0.0347, 0)</f>
        <v>43.312800000000003</v>
      </c>
      <c r="E626" s="28">
        <f>46.7044 * CHOOSE(CONTROL!$C$15, $E$9, 100%, $G$9) + CHOOSE(CONTROL!$C$38, 0.0347, 0)</f>
        <v>46.739100000000001</v>
      </c>
      <c r="F626" s="27">
        <f>46.7044 * CHOOSE(CONTROL!$C$15, $E$9, 100%, $G$9) + CHOOSE(CONTROL!$C$38, 0.0256, 0)</f>
        <v>46.73</v>
      </c>
      <c r="G626" s="10">
        <f>43.2843 * CHOOSE(CONTROL!$C$15, $E$9, 100%, $G$9) + CHOOSE(CONTROL!$C$38, 0.0347, 0)</f>
        <v>43.319000000000003</v>
      </c>
      <c r="H626" s="10">
        <f>43.2843 * CHOOSE(CONTROL!$C$15, $E$9, 100%, $G$9) + CHOOSE(CONTROL!$C$38, 0.0347, 0)</f>
        <v>43.319000000000003</v>
      </c>
      <c r="I626" s="10">
        <f>43.2859 * CHOOSE(CONTROL!$C$15, $E$9, 100%, $G$9) + CHOOSE(CONTROL!$C$38, 0.0347, 0)</f>
        <v>43.320599999999999</v>
      </c>
      <c r="J626" s="26">
        <f>282.0271</f>
        <v>282.02710000000002</v>
      </c>
    </row>
    <row r="627" spans="1:10" ht="15.75" x14ac:dyDescent="0.25">
      <c r="A627" s="13">
        <v>60387</v>
      </c>
      <c r="B627" s="10">
        <f>46.3655 * CHOOSE(CONTROL!$C$15, $E$9, 100%, $G$9) + CHOOSE(CONTROL!$C$38, 0.0256, 0)</f>
        <v>46.391099999999994</v>
      </c>
      <c r="C627" s="10">
        <f>42.7907 * CHOOSE(CONTROL!$C$15, $E$9, 100%, $G$9) + CHOOSE(CONTROL!$C$38, 0.0347, 0)</f>
        <v>42.825400000000002</v>
      </c>
      <c r="D627" s="10">
        <f>42.7829 * CHOOSE(CONTROL!$C$15, $E$9, 100%, $G$9) + CHOOSE(CONTROL!$C$38, 0.0347, 0)</f>
        <v>42.817599999999999</v>
      </c>
      <c r="E627" s="28">
        <f>46.2092 * CHOOSE(CONTROL!$C$15, $E$9, 100%, $G$9) + CHOOSE(CONTROL!$C$38, 0.0347, 0)</f>
        <v>46.243900000000004</v>
      </c>
      <c r="F627" s="27">
        <f>46.2092 * CHOOSE(CONTROL!$C$15, $E$9, 100%, $G$9) + CHOOSE(CONTROL!$C$38, 0.0256, 0)</f>
        <v>46.2348</v>
      </c>
      <c r="G627" s="10">
        <f>42.7891 * CHOOSE(CONTROL!$C$15, $E$9, 100%, $G$9) + CHOOSE(CONTROL!$C$38, 0.0347, 0)</f>
        <v>42.823799999999999</v>
      </c>
      <c r="H627" s="10">
        <f>42.7891 * CHOOSE(CONTROL!$C$15, $E$9, 100%, $G$9) + CHOOSE(CONTROL!$C$38, 0.0347, 0)</f>
        <v>42.823799999999999</v>
      </c>
      <c r="I627" s="10">
        <f>42.7907 * CHOOSE(CONTROL!$C$15, $E$9, 100%, $G$9) + CHOOSE(CONTROL!$C$38, 0.0347, 0)</f>
        <v>42.825400000000002</v>
      </c>
      <c r="J627" s="26">
        <f>300.3377</f>
        <v>300.33769999999998</v>
      </c>
    </row>
    <row r="628" spans="1:10" ht="15.75" x14ac:dyDescent="0.25">
      <c r="A628" s="13">
        <v>60418</v>
      </c>
      <c r="B628" s="10">
        <f>45.8494 * CHOOSE(CONTROL!$C$15, $E$9, 100%, $G$9) + CHOOSE(CONTROL!$C$38, 0.0256, 0)</f>
        <v>45.875</v>
      </c>
      <c r="C628" s="10">
        <f>42.2746 * CHOOSE(CONTROL!$C$15, $E$9, 100%, $G$9) + CHOOSE(CONTROL!$C$38, 0.0347, 0)</f>
        <v>42.3093</v>
      </c>
      <c r="D628" s="10">
        <f>42.2668 * CHOOSE(CONTROL!$C$15, $E$9, 100%, $G$9) + CHOOSE(CONTROL!$C$38, 0.0347, 0)</f>
        <v>42.301500000000004</v>
      </c>
      <c r="E628" s="28">
        <f>45.6931 * CHOOSE(CONTROL!$C$15, $E$9, 100%, $G$9) + CHOOSE(CONTROL!$C$38, 0.0347, 0)</f>
        <v>45.727800000000002</v>
      </c>
      <c r="F628" s="27">
        <f>45.6931 * CHOOSE(CONTROL!$C$15, $E$9, 100%, $G$9) + CHOOSE(CONTROL!$C$38, 0.0256, 0)</f>
        <v>45.718699999999998</v>
      </c>
      <c r="G628" s="10">
        <f>42.273 * CHOOSE(CONTROL!$C$15, $E$9, 100%, $G$9) + CHOOSE(CONTROL!$C$38, 0.0347, 0)</f>
        <v>42.307700000000004</v>
      </c>
      <c r="H628" s="10">
        <f>42.273 * CHOOSE(CONTROL!$C$15, $E$9, 100%, $G$9) + CHOOSE(CONTROL!$C$38, 0.0347, 0)</f>
        <v>42.307700000000004</v>
      </c>
      <c r="I628" s="10">
        <f>42.2746 * CHOOSE(CONTROL!$C$15, $E$9, 100%, $G$9) + CHOOSE(CONTROL!$C$38, 0.0347, 0)</f>
        <v>42.3093</v>
      </c>
      <c r="J628" s="26">
        <f>310.4165</f>
        <v>310.41649999999998</v>
      </c>
    </row>
    <row r="629" spans="1:10" ht="15.75" x14ac:dyDescent="0.25">
      <c r="A629" s="13">
        <v>60448</v>
      </c>
      <c r="B629" s="10">
        <f>45.4875 * CHOOSE(CONTROL!$C$15, $E$9, 100%, $G$9) + CHOOSE(CONTROL!$C$38, 0.0256, 0)</f>
        <v>45.513099999999994</v>
      </c>
      <c r="C629" s="10">
        <f>41.9128 * CHOOSE(CONTROL!$C$15, $E$9, 100%, $G$9) + CHOOSE(CONTROL!$C$38, 0.0347, 0)</f>
        <v>41.947499999999998</v>
      </c>
      <c r="D629" s="10">
        <f>41.9049 * CHOOSE(CONTROL!$C$15, $E$9, 100%, $G$9) + CHOOSE(CONTROL!$C$38, 0.0347, 0)</f>
        <v>41.939599999999999</v>
      </c>
      <c r="E629" s="28">
        <f>45.3313 * CHOOSE(CONTROL!$C$15, $E$9, 100%, $G$9) + CHOOSE(CONTROL!$C$38, 0.0347, 0)</f>
        <v>45.366</v>
      </c>
      <c r="F629" s="27">
        <f>45.3313 * CHOOSE(CONTROL!$C$15, $E$9, 100%, $G$9) + CHOOSE(CONTROL!$C$38, 0.0256, 0)</f>
        <v>45.356899999999996</v>
      </c>
      <c r="G629" s="10">
        <f>41.9112 * CHOOSE(CONTROL!$C$15, $E$9, 100%, $G$9) + CHOOSE(CONTROL!$C$38, 0.0347, 0)</f>
        <v>41.945900000000002</v>
      </c>
      <c r="H629" s="10">
        <f>41.9112 * CHOOSE(CONTROL!$C$15, $E$9, 100%, $G$9) + CHOOSE(CONTROL!$C$38, 0.0347, 0)</f>
        <v>41.945900000000002</v>
      </c>
      <c r="I629" s="10">
        <f>41.9128 * CHOOSE(CONTROL!$C$15, $E$9, 100%, $G$9) + CHOOSE(CONTROL!$C$38, 0.0347, 0)</f>
        <v>41.947499999999998</v>
      </c>
      <c r="J629" s="26">
        <f>314.8892</f>
        <v>314.88920000000002</v>
      </c>
    </row>
    <row r="630" spans="1:10" ht="15.75" x14ac:dyDescent="0.25">
      <c r="A630" s="13">
        <v>60479</v>
      </c>
      <c r="B630" s="10">
        <f>45.281 * CHOOSE(CONTROL!$C$15, $E$9, 100%, $G$9) + CHOOSE(CONTROL!$C$38, 0.0256, 0)</f>
        <v>45.306599999999996</v>
      </c>
      <c r="C630" s="10">
        <f>41.7063 * CHOOSE(CONTROL!$C$15, $E$9, 100%, $G$9) + CHOOSE(CONTROL!$C$38, 0.0347, 0)</f>
        <v>41.741</v>
      </c>
      <c r="D630" s="10">
        <f>41.6985 * CHOOSE(CONTROL!$C$15, $E$9, 100%, $G$9) + CHOOSE(CONTROL!$C$38, 0.0347, 0)</f>
        <v>41.733200000000004</v>
      </c>
      <c r="E630" s="28">
        <f>45.1248 * CHOOSE(CONTROL!$C$15, $E$9, 100%, $G$9) + CHOOSE(CONTROL!$C$38, 0.0347, 0)</f>
        <v>45.159500000000001</v>
      </c>
      <c r="F630" s="27">
        <f>45.1248 * CHOOSE(CONTROL!$C$15, $E$9, 100%, $G$9) + CHOOSE(CONTROL!$C$38, 0.0256, 0)</f>
        <v>45.150399999999998</v>
      </c>
      <c r="G630" s="10">
        <f>41.7047 * CHOOSE(CONTROL!$C$15, $E$9, 100%, $G$9) + CHOOSE(CONTROL!$C$38, 0.0347, 0)</f>
        <v>41.739400000000003</v>
      </c>
      <c r="H630" s="10">
        <f>41.7047 * CHOOSE(CONTROL!$C$15, $E$9, 100%, $G$9) + CHOOSE(CONTROL!$C$38, 0.0347, 0)</f>
        <v>41.739400000000003</v>
      </c>
      <c r="I630" s="10">
        <f>41.7063 * CHOOSE(CONTROL!$C$15, $E$9, 100%, $G$9) + CHOOSE(CONTROL!$C$38, 0.0347, 0)</f>
        <v>41.741</v>
      </c>
      <c r="J630" s="26">
        <f>313.4166</f>
        <v>313.41660000000002</v>
      </c>
    </row>
    <row r="631" spans="1:10" ht="15.75" x14ac:dyDescent="0.25">
      <c r="A631" s="13">
        <v>60510</v>
      </c>
      <c r="B631" s="10">
        <f>45.383 * CHOOSE(CONTROL!$C$15, $E$9, 100%, $G$9) + CHOOSE(CONTROL!$C$38, 0.0256, 0)</f>
        <v>45.4086</v>
      </c>
      <c r="C631" s="10">
        <f>41.8082 * CHOOSE(CONTROL!$C$15, $E$9, 100%, $G$9) + CHOOSE(CONTROL!$C$38, 0.0347, 0)</f>
        <v>41.8429</v>
      </c>
      <c r="D631" s="10">
        <f>41.8004 * CHOOSE(CONTROL!$C$15, $E$9, 100%, $G$9) + CHOOSE(CONTROL!$C$38, 0.0347, 0)</f>
        <v>41.835100000000004</v>
      </c>
      <c r="E631" s="28">
        <f>45.2267 * CHOOSE(CONTROL!$C$15, $E$9, 100%, $G$9) + CHOOSE(CONTROL!$C$38, 0.0347, 0)</f>
        <v>45.261400000000002</v>
      </c>
      <c r="F631" s="27">
        <f>45.2267 * CHOOSE(CONTROL!$C$15, $E$9, 100%, $G$9) + CHOOSE(CONTROL!$C$38, 0.0256, 0)</f>
        <v>45.252299999999998</v>
      </c>
      <c r="G631" s="10">
        <f>41.8066 * CHOOSE(CONTROL!$C$15, $E$9, 100%, $G$9) + CHOOSE(CONTROL!$C$38, 0.0347, 0)</f>
        <v>41.841300000000004</v>
      </c>
      <c r="H631" s="10">
        <f>41.8066 * CHOOSE(CONTROL!$C$15, $E$9, 100%, $G$9) + CHOOSE(CONTROL!$C$38, 0.0347, 0)</f>
        <v>41.841300000000004</v>
      </c>
      <c r="I631" s="10">
        <f>41.8082 * CHOOSE(CONTROL!$C$15, $E$9, 100%, $G$9) + CHOOSE(CONTROL!$C$38, 0.0347, 0)</f>
        <v>41.8429</v>
      </c>
      <c r="J631" s="26">
        <f>306.1204</f>
        <v>306.12040000000002</v>
      </c>
    </row>
    <row r="632" spans="1:10" ht="15.75" x14ac:dyDescent="0.25">
      <c r="A632" s="13">
        <v>60540</v>
      </c>
      <c r="B632" s="10">
        <f>45.6597 * CHOOSE(CONTROL!$C$15, $E$9, 100%, $G$9) + CHOOSE(CONTROL!$C$38, 0.0256, 0)</f>
        <v>45.685299999999998</v>
      </c>
      <c r="C632" s="10">
        <f>42.085 * CHOOSE(CONTROL!$C$15, $E$9, 100%, $G$9) + CHOOSE(CONTROL!$C$38, 0.0347, 0)</f>
        <v>42.119700000000002</v>
      </c>
      <c r="D632" s="10">
        <f>42.0772 * CHOOSE(CONTROL!$C$15, $E$9, 100%, $G$9) + CHOOSE(CONTROL!$C$38, 0.0347, 0)</f>
        <v>42.111899999999999</v>
      </c>
      <c r="E632" s="28">
        <f>45.5035 * CHOOSE(CONTROL!$C$15, $E$9, 100%, $G$9) + CHOOSE(CONTROL!$C$38, 0.0347, 0)</f>
        <v>45.538200000000003</v>
      </c>
      <c r="F632" s="27">
        <f>45.5035 * CHOOSE(CONTROL!$C$15, $E$9, 100%, $G$9) + CHOOSE(CONTROL!$C$38, 0.0256, 0)</f>
        <v>45.5291</v>
      </c>
      <c r="G632" s="10">
        <f>42.0834 * CHOOSE(CONTROL!$C$15, $E$9, 100%, $G$9) + CHOOSE(CONTROL!$C$38, 0.0347, 0)</f>
        <v>42.118099999999998</v>
      </c>
      <c r="H632" s="10">
        <f>42.0834 * CHOOSE(CONTROL!$C$15, $E$9, 100%, $G$9) + CHOOSE(CONTROL!$C$38, 0.0347, 0)</f>
        <v>42.118099999999998</v>
      </c>
      <c r="I632" s="10">
        <f>42.085 * CHOOSE(CONTROL!$C$15, $E$9, 100%, $G$9) + CHOOSE(CONTROL!$C$38, 0.0347, 0)</f>
        <v>42.119700000000002</v>
      </c>
      <c r="J632" s="26">
        <f>295.9455</f>
        <v>295.94549999999998</v>
      </c>
    </row>
    <row r="633" spans="1:10" ht="15.75" x14ac:dyDescent="0.25">
      <c r="A633" s="13">
        <v>60571</v>
      </c>
      <c r="B633" s="10">
        <f>45.8916 * CHOOSE(CONTROL!$C$15, $E$9, 100%, $G$9) + CHOOSE(CONTROL!$C$38, 0.0256, 0)</f>
        <v>45.917199999999994</v>
      </c>
      <c r="C633" s="10">
        <f>42.3168 * CHOOSE(CONTROL!$C$15, $E$9, 100%, $G$9) + CHOOSE(CONTROL!$C$38, 0.0347, 0)</f>
        <v>42.351500000000001</v>
      </c>
      <c r="D633" s="10">
        <f>42.309 * CHOOSE(CONTROL!$C$15, $E$9, 100%, $G$9) + CHOOSE(CONTROL!$C$38, 0.0347, 0)</f>
        <v>42.343699999999998</v>
      </c>
      <c r="E633" s="28">
        <f>45.7353 * CHOOSE(CONTROL!$C$15, $E$9, 100%, $G$9) + CHOOSE(CONTROL!$C$38, 0.0347, 0)</f>
        <v>45.77</v>
      </c>
      <c r="F633" s="27">
        <f>45.7353 * CHOOSE(CONTROL!$C$15, $E$9, 100%, $G$9) + CHOOSE(CONTROL!$C$38, 0.0256, 0)</f>
        <v>45.760899999999999</v>
      </c>
      <c r="G633" s="10">
        <f>42.3152 * CHOOSE(CONTROL!$C$15, $E$9, 100%, $G$9) + CHOOSE(CONTROL!$C$38, 0.0347, 0)</f>
        <v>42.349899999999998</v>
      </c>
      <c r="H633" s="10">
        <f>42.3152 * CHOOSE(CONTROL!$C$15, $E$9, 100%, $G$9) + CHOOSE(CONTROL!$C$38, 0.0347, 0)</f>
        <v>42.349899999999998</v>
      </c>
      <c r="I633" s="10">
        <f>42.3168 * CHOOSE(CONTROL!$C$15, $E$9, 100%, $G$9) + CHOOSE(CONTROL!$C$38, 0.0347, 0)</f>
        <v>42.351500000000001</v>
      </c>
      <c r="J633" s="26">
        <f>285.7114</f>
        <v>285.71140000000003</v>
      </c>
    </row>
    <row r="634" spans="1:10" ht="15.75" x14ac:dyDescent="0.25">
      <c r="A634" s="13">
        <v>60601</v>
      </c>
      <c r="B634" s="10">
        <f>46.085 * CHOOSE(CONTROL!$C$15, $E$9, 100%, $G$9) + CHOOSE(CONTROL!$C$38, 0.0256, 0)</f>
        <v>46.110599999999998</v>
      </c>
      <c r="C634" s="10">
        <f>42.5102 * CHOOSE(CONTROL!$C$15, $E$9, 100%, $G$9) + CHOOSE(CONTROL!$C$38, 0.0347, 0)</f>
        <v>42.544899999999998</v>
      </c>
      <c r="D634" s="10">
        <f>42.5024 * CHOOSE(CONTROL!$C$15, $E$9, 100%, $G$9) + CHOOSE(CONTROL!$C$38, 0.0347, 0)</f>
        <v>42.537100000000002</v>
      </c>
      <c r="E634" s="28">
        <f>45.9288 * CHOOSE(CONTROL!$C$15, $E$9, 100%, $G$9) + CHOOSE(CONTROL!$C$38, 0.0347, 0)</f>
        <v>45.963500000000003</v>
      </c>
      <c r="F634" s="27">
        <f>45.9288 * CHOOSE(CONTROL!$C$15, $E$9, 100%, $G$9) + CHOOSE(CONTROL!$C$38, 0.0256, 0)</f>
        <v>45.9544</v>
      </c>
      <c r="G634" s="10">
        <f>42.5087 * CHOOSE(CONTROL!$C$15, $E$9, 100%, $G$9) + CHOOSE(CONTROL!$C$38, 0.0347, 0)</f>
        <v>42.543399999999998</v>
      </c>
      <c r="H634" s="10">
        <f>42.5087 * CHOOSE(CONTROL!$C$15, $E$9, 100%, $G$9) + CHOOSE(CONTROL!$C$38, 0.0347, 0)</f>
        <v>42.543399999999998</v>
      </c>
      <c r="I634" s="10">
        <f>42.5102 * CHOOSE(CONTROL!$C$15, $E$9, 100%, $G$9) + CHOOSE(CONTROL!$C$38, 0.0347, 0)</f>
        <v>42.544899999999998</v>
      </c>
      <c r="J634" s="26">
        <f>283.6756</f>
        <v>283.67559999999997</v>
      </c>
    </row>
    <row r="635" spans="1:10" ht="15.75" x14ac:dyDescent="0.25">
      <c r="A635" s="13">
        <v>60632</v>
      </c>
      <c r="B635" s="10">
        <f>46.6811 * CHOOSE(CONTROL!$C$15, $E$9, 100%, $G$9) + CHOOSE(CONTROL!$C$38, 0.0256, 0)</f>
        <v>46.706699999999998</v>
      </c>
      <c r="C635" s="10">
        <f>43.1063 * CHOOSE(CONTROL!$C$15, $E$9, 100%, $G$9) + CHOOSE(CONTROL!$C$38, 0.0347, 0)</f>
        <v>43.140999999999998</v>
      </c>
      <c r="D635" s="10">
        <f>43.0985 * CHOOSE(CONTROL!$C$15, $E$9, 100%, $G$9) + CHOOSE(CONTROL!$C$38, 0.0347, 0)</f>
        <v>43.133200000000002</v>
      </c>
      <c r="E635" s="28">
        <f>46.5248 * CHOOSE(CONTROL!$C$15, $E$9, 100%, $G$9) + CHOOSE(CONTROL!$C$38, 0.0347, 0)</f>
        <v>46.5595</v>
      </c>
      <c r="F635" s="27">
        <f>46.5248 * CHOOSE(CONTROL!$C$15, $E$9, 100%, $G$9) + CHOOSE(CONTROL!$C$38, 0.0256, 0)</f>
        <v>46.550399999999996</v>
      </c>
      <c r="G635" s="10">
        <f>43.1047 * CHOOSE(CONTROL!$C$15, $E$9, 100%, $G$9) + CHOOSE(CONTROL!$C$38, 0.0347, 0)</f>
        <v>43.139400000000002</v>
      </c>
      <c r="H635" s="10">
        <f>43.1047 * CHOOSE(CONTROL!$C$15, $E$9, 100%, $G$9) + CHOOSE(CONTROL!$C$38, 0.0347, 0)</f>
        <v>43.139400000000002</v>
      </c>
      <c r="I635" s="10">
        <f>43.1063 * CHOOSE(CONTROL!$C$15, $E$9, 100%, $G$9) + CHOOSE(CONTROL!$C$38, 0.0347, 0)</f>
        <v>43.140999999999998</v>
      </c>
      <c r="J635" s="26">
        <f>275.2575</f>
        <v>275.25749999999999</v>
      </c>
    </row>
    <row r="636" spans="1:10" ht="15.75" x14ac:dyDescent="0.25">
      <c r="A636" s="13">
        <v>60663</v>
      </c>
      <c r="B636" s="10">
        <f>47.9558 * CHOOSE(CONTROL!$C$15, $E$9, 100%, $G$9) + CHOOSE(CONTROL!$C$38, 0.0256, 0)</f>
        <v>47.981400000000001</v>
      </c>
      <c r="C636" s="10">
        <f>44.3206 * CHOOSE(CONTROL!$C$15, $E$9, 100%, $G$9) + CHOOSE(CONTROL!$C$38, 0.0347, 0)</f>
        <v>44.3553</v>
      </c>
      <c r="D636" s="10">
        <f>44.3128 * CHOOSE(CONTROL!$C$15, $E$9, 100%, $G$9) + CHOOSE(CONTROL!$C$38, 0.0347, 0)</f>
        <v>44.347500000000004</v>
      </c>
      <c r="E636" s="28">
        <f>47.7996 * CHOOSE(CONTROL!$C$15, $E$9, 100%, $G$9) + CHOOSE(CONTROL!$C$38, 0.0347, 0)</f>
        <v>47.834299999999999</v>
      </c>
      <c r="F636" s="27">
        <f>47.7996 * CHOOSE(CONTROL!$C$15, $E$9, 100%, $G$9) + CHOOSE(CONTROL!$C$38, 0.0256, 0)</f>
        <v>47.825199999999995</v>
      </c>
      <c r="G636" s="10">
        <f>44.3191 * CHOOSE(CONTROL!$C$15, $E$9, 100%, $G$9) + CHOOSE(CONTROL!$C$38, 0.0347, 0)</f>
        <v>44.3538</v>
      </c>
      <c r="H636" s="10">
        <f>44.3191 * CHOOSE(CONTROL!$C$15, $E$9, 100%, $G$9) + CHOOSE(CONTROL!$C$38, 0.0347, 0)</f>
        <v>44.3538</v>
      </c>
      <c r="I636" s="10">
        <f>44.3206 * CHOOSE(CONTROL!$C$15, $E$9, 100%, $G$9) + CHOOSE(CONTROL!$C$38, 0.0347, 0)</f>
        <v>44.3553</v>
      </c>
      <c r="J636" s="26">
        <f>273.4137</f>
        <v>273.41370000000001</v>
      </c>
    </row>
    <row r="637" spans="1:10" ht="15.75" x14ac:dyDescent="0.25">
      <c r="A637" s="13">
        <v>60691</v>
      </c>
      <c r="B637" s="10">
        <f>48.1766 * CHOOSE(CONTROL!$C$15, $E$9, 100%, $G$9) + CHOOSE(CONTROL!$C$38, 0.0256, 0)</f>
        <v>48.202199999999998</v>
      </c>
      <c r="C637" s="10">
        <f>44.5414 * CHOOSE(CONTROL!$C$15, $E$9, 100%, $G$9) + CHOOSE(CONTROL!$C$38, 0.0347, 0)</f>
        <v>44.576100000000004</v>
      </c>
      <c r="D637" s="10">
        <f>44.5336 * CHOOSE(CONTROL!$C$15, $E$9, 100%, $G$9) + CHOOSE(CONTROL!$C$38, 0.0347, 0)</f>
        <v>44.568300000000001</v>
      </c>
      <c r="E637" s="28">
        <f>48.0203 * CHOOSE(CONTROL!$C$15, $E$9, 100%, $G$9) + CHOOSE(CONTROL!$C$38, 0.0347, 0)</f>
        <v>48.055</v>
      </c>
      <c r="F637" s="27">
        <f>48.0203 * CHOOSE(CONTROL!$C$15, $E$9, 100%, $G$9) + CHOOSE(CONTROL!$C$38, 0.0256, 0)</f>
        <v>48.045899999999996</v>
      </c>
      <c r="G637" s="10">
        <f>44.5398 * CHOOSE(CONTROL!$C$15, $E$9, 100%, $G$9) + CHOOSE(CONTROL!$C$38, 0.0347, 0)</f>
        <v>44.5745</v>
      </c>
      <c r="H637" s="10">
        <f>44.5398 * CHOOSE(CONTROL!$C$15, $E$9, 100%, $G$9) + CHOOSE(CONTROL!$C$38, 0.0347, 0)</f>
        <v>44.5745</v>
      </c>
      <c r="I637" s="10">
        <f>44.5414 * CHOOSE(CONTROL!$C$15, $E$9, 100%, $G$9) + CHOOSE(CONTROL!$C$38, 0.0347, 0)</f>
        <v>44.576100000000004</v>
      </c>
      <c r="J637" s="26">
        <f>272.6537</f>
        <v>272.65370000000001</v>
      </c>
    </row>
    <row r="638" spans="1:10" ht="15.75" x14ac:dyDescent="0.25">
      <c r="A638" s="13">
        <v>60722</v>
      </c>
      <c r="B638" s="10">
        <f>47.6655 * CHOOSE(CONTROL!$C$15, $E$9, 100%, $G$9) + CHOOSE(CONTROL!$C$38, 0.0256, 0)</f>
        <v>47.691099999999999</v>
      </c>
      <c r="C638" s="10">
        <f>44.0304 * CHOOSE(CONTROL!$C$15, $E$9, 100%, $G$9) + CHOOSE(CONTROL!$C$38, 0.0347, 0)</f>
        <v>44.065100000000001</v>
      </c>
      <c r="D638" s="10">
        <f>44.0225 * CHOOSE(CONTROL!$C$15, $E$9, 100%, $G$9) + CHOOSE(CONTROL!$C$38, 0.0347, 0)</f>
        <v>44.057200000000002</v>
      </c>
      <c r="E638" s="28">
        <f>47.5093 * CHOOSE(CONTROL!$C$15, $E$9, 100%, $G$9) + CHOOSE(CONTROL!$C$38, 0.0347, 0)</f>
        <v>47.544000000000004</v>
      </c>
      <c r="F638" s="27">
        <f>47.5093 * CHOOSE(CONTROL!$C$15, $E$9, 100%, $G$9) + CHOOSE(CONTROL!$C$38, 0.0256, 0)</f>
        <v>47.5349</v>
      </c>
      <c r="G638" s="10">
        <f>44.0288 * CHOOSE(CONTROL!$C$15, $E$9, 100%, $G$9) + CHOOSE(CONTROL!$C$38, 0.0347, 0)</f>
        <v>44.063499999999998</v>
      </c>
      <c r="H638" s="10">
        <f>44.0288 * CHOOSE(CONTROL!$C$15, $E$9, 100%, $G$9) + CHOOSE(CONTROL!$C$38, 0.0347, 0)</f>
        <v>44.063499999999998</v>
      </c>
      <c r="I638" s="10">
        <f>44.0304 * CHOOSE(CONTROL!$C$15, $E$9, 100%, $G$9) + CHOOSE(CONTROL!$C$38, 0.0347, 0)</f>
        <v>44.065100000000001</v>
      </c>
      <c r="J638" s="26">
        <f>287.0241</f>
        <v>287.02409999999998</v>
      </c>
    </row>
    <row r="639" spans="1:10" ht="15.75" x14ac:dyDescent="0.25">
      <c r="A639" s="13">
        <v>60752</v>
      </c>
      <c r="B639" s="10">
        <f>47.1704 * CHOOSE(CONTROL!$C$15, $E$9, 100%, $G$9) + CHOOSE(CONTROL!$C$38, 0.0256, 0)</f>
        <v>47.195999999999998</v>
      </c>
      <c r="C639" s="10">
        <f>43.5352 * CHOOSE(CONTROL!$C$15, $E$9, 100%, $G$9) + CHOOSE(CONTROL!$C$38, 0.0347, 0)</f>
        <v>43.569900000000004</v>
      </c>
      <c r="D639" s="10">
        <f>43.5274 * CHOOSE(CONTROL!$C$15, $E$9, 100%, $G$9) + CHOOSE(CONTROL!$C$38, 0.0347, 0)</f>
        <v>43.562100000000001</v>
      </c>
      <c r="E639" s="28">
        <f>47.0141 * CHOOSE(CONTROL!$C$15, $E$9, 100%, $G$9) + CHOOSE(CONTROL!$C$38, 0.0347, 0)</f>
        <v>47.0488</v>
      </c>
      <c r="F639" s="27">
        <f>47.0141 * CHOOSE(CONTROL!$C$15, $E$9, 100%, $G$9) + CHOOSE(CONTROL!$C$38, 0.0256, 0)</f>
        <v>47.039699999999996</v>
      </c>
      <c r="G639" s="10">
        <f>43.5336 * CHOOSE(CONTROL!$C$15, $E$9, 100%, $G$9) + CHOOSE(CONTROL!$C$38, 0.0347, 0)</f>
        <v>43.568300000000001</v>
      </c>
      <c r="H639" s="10">
        <f>43.5336 * CHOOSE(CONTROL!$C$15, $E$9, 100%, $G$9) + CHOOSE(CONTROL!$C$38, 0.0347, 0)</f>
        <v>43.568300000000001</v>
      </c>
      <c r="I639" s="10">
        <f>43.5352 * CHOOSE(CONTROL!$C$15, $E$9, 100%, $G$9) + CHOOSE(CONTROL!$C$38, 0.0347, 0)</f>
        <v>43.569900000000004</v>
      </c>
      <c r="J639" s="26">
        <f>305.6591</f>
        <v>305.65910000000002</v>
      </c>
    </row>
    <row r="640" spans="1:10" ht="15.75" x14ac:dyDescent="0.25">
      <c r="A640" s="13">
        <v>60783</v>
      </c>
      <c r="B640" s="10">
        <f>46.6542 * CHOOSE(CONTROL!$C$15, $E$9, 100%, $G$9) + CHOOSE(CONTROL!$C$38, 0.0256, 0)</f>
        <v>46.6798</v>
      </c>
      <c r="C640" s="10">
        <f>43.0191 * CHOOSE(CONTROL!$C$15, $E$9, 100%, $G$9) + CHOOSE(CONTROL!$C$38, 0.0347, 0)</f>
        <v>43.053800000000003</v>
      </c>
      <c r="D640" s="10">
        <f>43.0113 * CHOOSE(CONTROL!$C$15, $E$9, 100%, $G$9) + CHOOSE(CONTROL!$C$38, 0.0347, 0)</f>
        <v>43.045999999999999</v>
      </c>
      <c r="E640" s="28">
        <f>46.498 * CHOOSE(CONTROL!$C$15, $E$9, 100%, $G$9) + CHOOSE(CONTROL!$C$38, 0.0347, 0)</f>
        <v>46.532699999999998</v>
      </c>
      <c r="F640" s="27">
        <f>46.498 * CHOOSE(CONTROL!$C$15, $E$9, 100%, $G$9) + CHOOSE(CONTROL!$C$38, 0.0256, 0)</f>
        <v>46.523599999999995</v>
      </c>
      <c r="G640" s="10">
        <f>43.0175 * CHOOSE(CONTROL!$C$15, $E$9, 100%, $G$9) + CHOOSE(CONTROL!$C$38, 0.0347, 0)</f>
        <v>43.052199999999999</v>
      </c>
      <c r="H640" s="10">
        <f>43.0175 * CHOOSE(CONTROL!$C$15, $E$9, 100%, $G$9) + CHOOSE(CONTROL!$C$38, 0.0347, 0)</f>
        <v>43.052199999999999</v>
      </c>
      <c r="I640" s="10">
        <f>43.0191 * CHOOSE(CONTROL!$C$15, $E$9, 100%, $G$9) + CHOOSE(CONTROL!$C$38, 0.0347, 0)</f>
        <v>43.053800000000003</v>
      </c>
      <c r="J640" s="26">
        <f>315.9165</f>
        <v>315.91649999999998</v>
      </c>
    </row>
    <row r="641" spans="1:10" ht="15.75" x14ac:dyDescent="0.25">
      <c r="A641" s="13">
        <v>60813</v>
      </c>
      <c r="B641" s="10">
        <f>46.2924 * CHOOSE(CONTROL!$C$15, $E$9, 100%, $G$9) + CHOOSE(CONTROL!$C$38, 0.0256, 0)</f>
        <v>46.317999999999998</v>
      </c>
      <c r="C641" s="10">
        <f>42.6572 * CHOOSE(CONTROL!$C$15, $E$9, 100%, $G$9) + CHOOSE(CONTROL!$C$38, 0.0347, 0)</f>
        <v>42.691900000000004</v>
      </c>
      <c r="D641" s="10">
        <f>42.6494 * CHOOSE(CONTROL!$C$15, $E$9, 100%, $G$9) + CHOOSE(CONTROL!$C$38, 0.0347, 0)</f>
        <v>42.684100000000001</v>
      </c>
      <c r="E641" s="28">
        <f>46.1362 * CHOOSE(CONTROL!$C$15, $E$9, 100%, $G$9) + CHOOSE(CONTROL!$C$38, 0.0347, 0)</f>
        <v>46.170900000000003</v>
      </c>
      <c r="F641" s="27">
        <f>46.1362 * CHOOSE(CONTROL!$C$15, $E$9, 100%, $G$9) + CHOOSE(CONTROL!$C$38, 0.0256, 0)</f>
        <v>46.161799999999999</v>
      </c>
      <c r="G641" s="10">
        <f>42.6557 * CHOOSE(CONTROL!$C$15, $E$9, 100%, $G$9) + CHOOSE(CONTROL!$C$38, 0.0347, 0)</f>
        <v>42.690400000000004</v>
      </c>
      <c r="H641" s="10">
        <f>42.6557 * CHOOSE(CONTROL!$C$15, $E$9, 100%, $G$9) + CHOOSE(CONTROL!$C$38, 0.0347, 0)</f>
        <v>42.690400000000004</v>
      </c>
      <c r="I641" s="10">
        <f>42.6572 * CHOOSE(CONTROL!$C$15, $E$9, 100%, $G$9) + CHOOSE(CONTROL!$C$38, 0.0347, 0)</f>
        <v>42.691900000000004</v>
      </c>
      <c r="J641" s="26">
        <f>320.4685</f>
        <v>320.46850000000001</v>
      </c>
    </row>
    <row r="642" spans="1:10" ht="15.75" x14ac:dyDescent="0.25">
      <c r="A642" s="13">
        <v>60844</v>
      </c>
      <c r="B642" s="10">
        <f>46.0859 * CHOOSE(CONTROL!$C$15, $E$9, 100%, $G$9) + CHOOSE(CONTROL!$C$38, 0.0256, 0)</f>
        <v>46.111499999999999</v>
      </c>
      <c r="C642" s="10">
        <f>42.4507 * CHOOSE(CONTROL!$C$15, $E$9, 100%, $G$9) + CHOOSE(CONTROL!$C$38, 0.0347, 0)</f>
        <v>42.485399999999998</v>
      </c>
      <c r="D642" s="10">
        <f>42.4429 * CHOOSE(CONTROL!$C$15, $E$9, 100%, $G$9) + CHOOSE(CONTROL!$C$38, 0.0347, 0)</f>
        <v>42.477600000000002</v>
      </c>
      <c r="E642" s="28">
        <f>45.9297 * CHOOSE(CONTROL!$C$15, $E$9, 100%, $G$9) + CHOOSE(CONTROL!$C$38, 0.0347, 0)</f>
        <v>45.964399999999998</v>
      </c>
      <c r="F642" s="27">
        <f>45.9297 * CHOOSE(CONTROL!$C$15, $E$9, 100%, $G$9) + CHOOSE(CONTROL!$C$38, 0.0256, 0)</f>
        <v>45.955299999999994</v>
      </c>
      <c r="G642" s="10">
        <f>42.4492 * CHOOSE(CONTROL!$C$15, $E$9, 100%, $G$9) + CHOOSE(CONTROL!$C$38, 0.0347, 0)</f>
        <v>42.483899999999998</v>
      </c>
      <c r="H642" s="10">
        <f>42.4492 * CHOOSE(CONTROL!$C$15, $E$9, 100%, $G$9) + CHOOSE(CONTROL!$C$38, 0.0347, 0)</f>
        <v>42.483899999999998</v>
      </c>
      <c r="I642" s="10">
        <f>42.4507 * CHOOSE(CONTROL!$C$15, $E$9, 100%, $G$9) + CHOOSE(CONTROL!$C$38, 0.0347, 0)</f>
        <v>42.485399999999998</v>
      </c>
      <c r="J642" s="26">
        <f>318.9697</f>
        <v>318.96969999999999</v>
      </c>
    </row>
    <row r="643" spans="1:10" ht="15.75" x14ac:dyDescent="0.25">
      <c r="A643" s="13">
        <v>60875</v>
      </c>
      <c r="B643" s="10">
        <f>46.1878 * CHOOSE(CONTROL!$C$15, $E$9, 100%, $G$9) + CHOOSE(CONTROL!$C$38, 0.0256, 0)</f>
        <v>46.2134</v>
      </c>
      <c r="C643" s="10">
        <f>42.5527 * CHOOSE(CONTROL!$C$15, $E$9, 100%, $G$9) + CHOOSE(CONTROL!$C$38, 0.0347, 0)</f>
        <v>42.587400000000002</v>
      </c>
      <c r="D643" s="10">
        <f>42.5448 * CHOOSE(CONTROL!$C$15, $E$9, 100%, $G$9) + CHOOSE(CONTROL!$C$38, 0.0347, 0)</f>
        <v>42.579500000000003</v>
      </c>
      <c r="E643" s="28">
        <f>46.0316 * CHOOSE(CONTROL!$C$15, $E$9, 100%, $G$9) + CHOOSE(CONTROL!$C$38, 0.0347, 0)</f>
        <v>46.066299999999998</v>
      </c>
      <c r="F643" s="27">
        <f>46.0316 * CHOOSE(CONTROL!$C$15, $E$9, 100%, $G$9) + CHOOSE(CONTROL!$C$38, 0.0256, 0)</f>
        <v>46.057199999999995</v>
      </c>
      <c r="G643" s="10">
        <f>42.5511 * CHOOSE(CONTROL!$C$15, $E$9, 100%, $G$9) + CHOOSE(CONTROL!$C$38, 0.0347, 0)</f>
        <v>42.585799999999999</v>
      </c>
      <c r="H643" s="10">
        <f>42.5511 * CHOOSE(CONTROL!$C$15, $E$9, 100%, $G$9) + CHOOSE(CONTROL!$C$38, 0.0347, 0)</f>
        <v>42.585799999999999</v>
      </c>
      <c r="I643" s="10">
        <f>42.5527 * CHOOSE(CONTROL!$C$15, $E$9, 100%, $G$9) + CHOOSE(CONTROL!$C$38, 0.0347, 0)</f>
        <v>42.587400000000002</v>
      </c>
      <c r="J643" s="26">
        <f>311.5443</f>
        <v>311.54430000000002</v>
      </c>
    </row>
    <row r="644" spans="1:10" ht="15.75" x14ac:dyDescent="0.25">
      <c r="A644" s="13">
        <v>60905</v>
      </c>
      <c r="B644" s="10">
        <f>46.4646 * CHOOSE(CONTROL!$C$15, $E$9, 100%, $G$9) + CHOOSE(CONTROL!$C$38, 0.0256, 0)</f>
        <v>46.490199999999994</v>
      </c>
      <c r="C644" s="10">
        <f>42.8294 * CHOOSE(CONTROL!$C$15, $E$9, 100%, $G$9) + CHOOSE(CONTROL!$C$38, 0.0347, 0)</f>
        <v>42.864100000000001</v>
      </c>
      <c r="D644" s="10">
        <f>42.8216 * CHOOSE(CONTROL!$C$15, $E$9, 100%, $G$9) + CHOOSE(CONTROL!$C$38, 0.0347, 0)</f>
        <v>42.856299999999997</v>
      </c>
      <c r="E644" s="28">
        <f>46.3084 * CHOOSE(CONTROL!$C$15, $E$9, 100%, $G$9) + CHOOSE(CONTROL!$C$38, 0.0347, 0)</f>
        <v>46.3431</v>
      </c>
      <c r="F644" s="27">
        <f>46.3084 * CHOOSE(CONTROL!$C$15, $E$9, 100%, $G$9) + CHOOSE(CONTROL!$C$38, 0.0256, 0)</f>
        <v>46.333999999999996</v>
      </c>
      <c r="G644" s="10">
        <f>42.8279 * CHOOSE(CONTROL!$C$15, $E$9, 100%, $G$9) + CHOOSE(CONTROL!$C$38, 0.0347, 0)</f>
        <v>42.8626</v>
      </c>
      <c r="H644" s="10">
        <f>42.8279 * CHOOSE(CONTROL!$C$15, $E$9, 100%, $G$9) + CHOOSE(CONTROL!$C$38, 0.0347, 0)</f>
        <v>42.8626</v>
      </c>
      <c r="I644" s="10">
        <f>42.8294 * CHOOSE(CONTROL!$C$15, $E$9, 100%, $G$9) + CHOOSE(CONTROL!$C$38, 0.0347, 0)</f>
        <v>42.864100000000001</v>
      </c>
      <c r="J644" s="26">
        <f>301.1891</f>
        <v>301.1891</v>
      </c>
    </row>
    <row r="645" spans="1:10" ht="15.75" x14ac:dyDescent="0.25">
      <c r="A645" s="13">
        <v>60936</v>
      </c>
      <c r="B645" s="10">
        <f>46.6965 * CHOOSE(CONTROL!$C$15, $E$9, 100%, $G$9) + CHOOSE(CONTROL!$C$38, 0.0256, 0)</f>
        <v>46.722099999999998</v>
      </c>
      <c r="C645" s="10">
        <f>43.0613 * CHOOSE(CONTROL!$C$15, $E$9, 100%, $G$9) + CHOOSE(CONTROL!$C$38, 0.0347, 0)</f>
        <v>43.096000000000004</v>
      </c>
      <c r="D645" s="10">
        <f>43.0535 * CHOOSE(CONTROL!$C$15, $E$9, 100%, $G$9) + CHOOSE(CONTROL!$C$38, 0.0347, 0)</f>
        <v>43.088200000000001</v>
      </c>
      <c r="E645" s="28">
        <f>46.5402 * CHOOSE(CONTROL!$C$15, $E$9, 100%, $G$9) + CHOOSE(CONTROL!$C$38, 0.0347, 0)</f>
        <v>46.5749</v>
      </c>
      <c r="F645" s="27">
        <f>46.5402 * CHOOSE(CONTROL!$C$15, $E$9, 100%, $G$9) + CHOOSE(CONTROL!$C$38, 0.0256, 0)</f>
        <v>46.565799999999996</v>
      </c>
      <c r="G645" s="10">
        <f>43.0597 * CHOOSE(CONTROL!$C$15, $E$9, 100%, $G$9) + CHOOSE(CONTROL!$C$38, 0.0347, 0)</f>
        <v>43.0944</v>
      </c>
      <c r="H645" s="10">
        <f>43.0597 * CHOOSE(CONTROL!$C$15, $E$9, 100%, $G$9) + CHOOSE(CONTROL!$C$38, 0.0347, 0)</f>
        <v>43.0944</v>
      </c>
      <c r="I645" s="10">
        <f>43.0613 * CHOOSE(CONTROL!$C$15, $E$9, 100%, $G$9) + CHOOSE(CONTROL!$C$38, 0.0347, 0)</f>
        <v>43.096000000000004</v>
      </c>
      <c r="J645" s="26">
        <f>290.7736</f>
        <v>290.77359999999999</v>
      </c>
    </row>
    <row r="646" spans="1:10" ht="15.75" x14ac:dyDescent="0.25">
      <c r="A646" s="13">
        <v>60966</v>
      </c>
      <c r="B646" s="10">
        <f>46.8899 * CHOOSE(CONTROL!$C$15, $E$9, 100%, $G$9) + CHOOSE(CONTROL!$C$38, 0.0256, 0)</f>
        <v>46.915499999999994</v>
      </c>
      <c r="C646" s="10">
        <f>43.2547 * CHOOSE(CONTROL!$C$15, $E$9, 100%, $G$9) + CHOOSE(CONTROL!$C$38, 0.0347, 0)</f>
        <v>43.289400000000001</v>
      </c>
      <c r="D646" s="10">
        <f>43.2469 * CHOOSE(CONTROL!$C$15, $E$9, 100%, $G$9) + CHOOSE(CONTROL!$C$38, 0.0347, 0)</f>
        <v>43.281599999999997</v>
      </c>
      <c r="E646" s="28">
        <f>46.7336 * CHOOSE(CONTROL!$C$15, $E$9, 100%, $G$9) + CHOOSE(CONTROL!$C$38, 0.0347, 0)</f>
        <v>46.768300000000004</v>
      </c>
      <c r="F646" s="27">
        <f>46.7336 * CHOOSE(CONTROL!$C$15, $E$9, 100%, $G$9) + CHOOSE(CONTROL!$C$38, 0.0256, 0)</f>
        <v>46.7592</v>
      </c>
      <c r="G646" s="10">
        <f>43.2532 * CHOOSE(CONTROL!$C$15, $E$9, 100%, $G$9) + CHOOSE(CONTROL!$C$38, 0.0347, 0)</f>
        <v>43.2879</v>
      </c>
      <c r="H646" s="10">
        <f>43.2532 * CHOOSE(CONTROL!$C$15, $E$9, 100%, $G$9) + CHOOSE(CONTROL!$C$38, 0.0347, 0)</f>
        <v>43.2879</v>
      </c>
      <c r="I646" s="10">
        <f>43.2547 * CHOOSE(CONTROL!$C$15, $E$9, 100%, $G$9) + CHOOSE(CONTROL!$C$38, 0.0347, 0)</f>
        <v>43.289400000000001</v>
      </c>
      <c r="J646" s="26">
        <f>288.7018</f>
        <v>288.70179999999999</v>
      </c>
    </row>
    <row r="647" spans="1:10" ht="15.75" x14ac:dyDescent="0.25">
      <c r="A647" s="13">
        <v>60997</v>
      </c>
      <c r="B647" s="10">
        <f>47.486 * CHOOSE(CONTROL!$C$15, $E$9, 100%, $G$9) + CHOOSE(CONTROL!$C$38, 0.0256, 0)</f>
        <v>47.511599999999994</v>
      </c>
      <c r="C647" s="10">
        <f>43.8508 * CHOOSE(CONTROL!$C$15, $E$9, 100%, $G$9) + CHOOSE(CONTROL!$C$38, 0.0347, 0)</f>
        <v>43.8855</v>
      </c>
      <c r="D647" s="10">
        <f>43.843 * CHOOSE(CONTROL!$C$15, $E$9, 100%, $G$9) + CHOOSE(CONTROL!$C$38, 0.0347, 0)</f>
        <v>43.877700000000004</v>
      </c>
      <c r="E647" s="28">
        <f>47.3297 * CHOOSE(CONTROL!$C$15, $E$9, 100%, $G$9) + CHOOSE(CONTROL!$C$38, 0.0347, 0)</f>
        <v>47.364400000000003</v>
      </c>
      <c r="F647" s="27">
        <f>47.3297 * CHOOSE(CONTROL!$C$15, $E$9, 100%, $G$9) + CHOOSE(CONTROL!$C$38, 0.0256, 0)</f>
        <v>47.3553</v>
      </c>
      <c r="G647" s="10">
        <f>43.8492 * CHOOSE(CONTROL!$C$15, $E$9, 100%, $G$9) + CHOOSE(CONTROL!$C$38, 0.0347, 0)</f>
        <v>43.883900000000004</v>
      </c>
      <c r="H647" s="10">
        <f>43.8492 * CHOOSE(CONTROL!$C$15, $E$9, 100%, $G$9) + CHOOSE(CONTROL!$C$38, 0.0347, 0)</f>
        <v>43.883900000000004</v>
      </c>
      <c r="I647" s="10">
        <f>43.8508 * CHOOSE(CONTROL!$C$15, $E$9, 100%, $G$9) + CHOOSE(CONTROL!$C$38, 0.0347, 0)</f>
        <v>43.8855</v>
      </c>
      <c r="J647" s="26">
        <f>280.1345</f>
        <v>280.1345</v>
      </c>
    </row>
    <row r="648" spans="1:10" ht="15.75" x14ac:dyDescent="0.25">
      <c r="A648" s="13">
        <v>61028</v>
      </c>
      <c r="B648" s="10">
        <f>48.7749 * CHOOSE(CONTROL!$C$15, $E$9, 100%, $G$9) + CHOOSE(CONTROL!$C$38, 0.0256, 0)</f>
        <v>48.8005</v>
      </c>
      <c r="C648" s="10">
        <f>45.0783 * CHOOSE(CONTROL!$C$15, $E$9, 100%, $G$9) + CHOOSE(CONTROL!$C$38, 0.0347, 0)</f>
        <v>45.113</v>
      </c>
      <c r="D648" s="10">
        <f>45.0705 * CHOOSE(CONTROL!$C$15, $E$9, 100%, $G$9) + CHOOSE(CONTROL!$C$38, 0.0347, 0)</f>
        <v>45.105200000000004</v>
      </c>
      <c r="E648" s="28">
        <f>48.6187 * CHOOSE(CONTROL!$C$15, $E$9, 100%, $G$9) + CHOOSE(CONTROL!$C$38, 0.0347, 0)</f>
        <v>48.653399999999998</v>
      </c>
      <c r="F648" s="27">
        <f>48.6187 * CHOOSE(CONTROL!$C$15, $E$9, 100%, $G$9) + CHOOSE(CONTROL!$C$38, 0.0256, 0)</f>
        <v>48.644299999999994</v>
      </c>
      <c r="G648" s="10">
        <f>45.0767 * CHOOSE(CONTROL!$C$15, $E$9, 100%, $G$9) + CHOOSE(CONTROL!$C$38, 0.0347, 0)</f>
        <v>45.111400000000003</v>
      </c>
      <c r="H648" s="10">
        <f>45.0767 * CHOOSE(CONTROL!$C$15, $E$9, 100%, $G$9) + CHOOSE(CONTROL!$C$38, 0.0347, 0)</f>
        <v>45.111400000000003</v>
      </c>
      <c r="I648" s="10">
        <f>45.0783 * CHOOSE(CONTROL!$C$15, $E$9, 100%, $G$9) + CHOOSE(CONTROL!$C$38, 0.0347, 0)</f>
        <v>45.113</v>
      </c>
      <c r="J648" s="26">
        <f>278.2581</f>
        <v>278.25810000000001</v>
      </c>
    </row>
    <row r="649" spans="1:10" ht="15.75" x14ac:dyDescent="0.25">
      <c r="A649" s="13">
        <v>61056</v>
      </c>
      <c r="B649" s="10">
        <f>48.9957 * CHOOSE(CONTROL!$C$15, $E$9, 100%, $G$9) + CHOOSE(CONTROL!$C$38, 0.0256, 0)</f>
        <v>49.021299999999997</v>
      </c>
      <c r="C649" s="10">
        <f>45.299 * CHOOSE(CONTROL!$C$15, $E$9, 100%, $G$9) + CHOOSE(CONTROL!$C$38, 0.0347, 0)</f>
        <v>45.3337</v>
      </c>
      <c r="D649" s="10">
        <f>45.2912 * CHOOSE(CONTROL!$C$15, $E$9, 100%, $G$9) + CHOOSE(CONTROL!$C$38, 0.0347, 0)</f>
        <v>45.325900000000004</v>
      </c>
      <c r="E649" s="28">
        <f>48.8394 * CHOOSE(CONTROL!$C$15, $E$9, 100%, $G$9) + CHOOSE(CONTROL!$C$38, 0.0347, 0)</f>
        <v>48.874099999999999</v>
      </c>
      <c r="F649" s="27">
        <f>48.8394 * CHOOSE(CONTROL!$C$15, $E$9, 100%, $G$9) + CHOOSE(CONTROL!$C$38, 0.0256, 0)</f>
        <v>48.864999999999995</v>
      </c>
      <c r="G649" s="10">
        <f>45.2975 * CHOOSE(CONTROL!$C$15, $E$9, 100%, $G$9) + CHOOSE(CONTROL!$C$38, 0.0347, 0)</f>
        <v>45.3322</v>
      </c>
      <c r="H649" s="10">
        <f>45.2975 * CHOOSE(CONTROL!$C$15, $E$9, 100%, $G$9) + CHOOSE(CONTROL!$C$38, 0.0347, 0)</f>
        <v>45.3322</v>
      </c>
      <c r="I649" s="10">
        <f>45.299 * CHOOSE(CONTROL!$C$15, $E$9, 100%, $G$9) + CHOOSE(CONTROL!$C$38, 0.0347, 0)</f>
        <v>45.3337</v>
      </c>
      <c r="J649" s="26">
        <f>277.4846</f>
        <v>277.4846</v>
      </c>
    </row>
    <row r="650" spans="1:10" ht="15.75" x14ac:dyDescent="0.25">
      <c r="A650" s="13">
        <v>61087</v>
      </c>
      <c r="B650" s="10">
        <f>48.4846 * CHOOSE(CONTROL!$C$15, $E$9, 100%, $G$9) + CHOOSE(CONTROL!$C$38, 0.0256, 0)</f>
        <v>48.510199999999998</v>
      </c>
      <c r="C650" s="10">
        <f>44.788 * CHOOSE(CONTROL!$C$15, $E$9, 100%, $G$9) + CHOOSE(CONTROL!$C$38, 0.0347, 0)</f>
        <v>44.822699999999998</v>
      </c>
      <c r="D650" s="10">
        <f>44.7802 * CHOOSE(CONTROL!$C$15, $E$9, 100%, $G$9) + CHOOSE(CONTROL!$C$38, 0.0347, 0)</f>
        <v>44.814900000000002</v>
      </c>
      <c r="E650" s="28">
        <f>48.3284 * CHOOSE(CONTROL!$C$15, $E$9, 100%, $G$9) + CHOOSE(CONTROL!$C$38, 0.0347, 0)</f>
        <v>48.363100000000003</v>
      </c>
      <c r="F650" s="27">
        <f>48.3284 * CHOOSE(CONTROL!$C$15, $E$9, 100%, $G$9) + CHOOSE(CONTROL!$C$38, 0.0256, 0)</f>
        <v>48.353999999999999</v>
      </c>
      <c r="G650" s="10">
        <f>44.7864 * CHOOSE(CONTROL!$C$15, $E$9, 100%, $G$9) + CHOOSE(CONTROL!$C$38, 0.0347, 0)</f>
        <v>44.821100000000001</v>
      </c>
      <c r="H650" s="10">
        <f>44.7864 * CHOOSE(CONTROL!$C$15, $E$9, 100%, $G$9) + CHOOSE(CONTROL!$C$38, 0.0347, 0)</f>
        <v>44.821100000000001</v>
      </c>
      <c r="I650" s="10">
        <f>44.788 * CHOOSE(CONTROL!$C$15, $E$9, 100%, $G$9) + CHOOSE(CONTROL!$C$38, 0.0347, 0)</f>
        <v>44.822699999999998</v>
      </c>
      <c r="J650" s="26">
        <f>292.1097</f>
        <v>292.10969999999998</v>
      </c>
    </row>
    <row r="651" spans="1:10" ht="15.75" x14ac:dyDescent="0.25">
      <c r="A651" s="13">
        <v>61117</v>
      </c>
      <c r="B651" s="10">
        <f>47.9895 * CHOOSE(CONTROL!$C$15, $E$9, 100%, $G$9) + CHOOSE(CONTROL!$C$38, 0.0256, 0)</f>
        <v>48.015099999999997</v>
      </c>
      <c r="C651" s="10">
        <f>44.2928 * CHOOSE(CONTROL!$C$15, $E$9, 100%, $G$9) + CHOOSE(CONTROL!$C$38, 0.0347, 0)</f>
        <v>44.327500000000001</v>
      </c>
      <c r="D651" s="10">
        <f>44.285 * CHOOSE(CONTROL!$C$15, $E$9, 100%, $G$9) + CHOOSE(CONTROL!$C$38, 0.0347, 0)</f>
        <v>44.319699999999997</v>
      </c>
      <c r="E651" s="28">
        <f>47.8332 * CHOOSE(CONTROL!$C$15, $E$9, 100%, $G$9) + CHOOSE(CONTROL!$C$38, 0.0347, 0)</f>
        <v>47.867899999999999</v>
      </c>
      <c r="F651" s="27">
        <f>47.8332 * CHOOSE(CONTROL!$C$15, $E$9, 100%, $G$9) + CHOOSE(CONTROL!$C$38, 0.0256, 0)</f>
        <v>47.858799999999995</v>
      </c>
      <c r="G651" s="10">
        <f>44.2913 * CHOOSE(CONTROL!$C$15, $E$9, 100%, $G$9) + CHOOSE(CONTROL!$C$38, 0.0347, 0)</f>
        <v>44.326000000000001</v>
      </c>
      <c r="H651" s="10">
        <f>44.2913 * CHOOSE(CONTROL!$C$15, $E$9, 100%, $G$9) + CHOOSE(CONTROL!$C$38, 0.0347, 0)</f>
        <v>44.326000000000001</v>
      </c>
      <c r="I651" s="10">
        <f>44.2928 * CHOOSE(CONTROL!$C$15, $E$9, 100%, $G$9) + CHOOSE(CONTROL!$C$38, 0.0347, 0)</f>
        <v>44.327500000000001</v>
      </c>
      <c r="J651" s="26">
        <f>311.0748</f>
        <v>311.07479999999998</v>
      </c>
    </row>
    <row r="652" spans="1:10" ht="15.75" x14ac:dyDescent="0.25">
      <c r="A652" s="13">
        <v>61148</v>
      </c>
      <c r="B652" s="10">
        <f>47.4733 * CHOOSE(CONTROL!$C$15, $E$9, 100%, $G$9) + CHOOSE(CONTROL!$C$38, 0.0256, 0)</f>
        <v>47.498899999999999</v>
      </c>
      <c r="C652" s="10">
        <f>43.7767 * CHOOSE(CONTROL!$C$15, $E$9, 100%, $G$9) + CHOOSE(CONTROL!$C$38, 0.0347, 0)</f>
        <v>43.811399999999999</v>
      </c>
      <c r="D652" s="10">
        <f>43.7689 * CHOOSE(CONTROL!$C$15, $E$9, 100%, $G$9) + CHOOSE(CONTROL!$C$38, 0.0347, 0)</f>
        <v>43.803600000000003</v>
      </c>
      <c r="E652" s="28">
        <f>47.3171 * CHOOSE(CONTROL!$C$15, $E$9, 100%, $G$9) + CHOOSE(CONTROL!$C$38, 0.0347, 0)</f>
        <v>47.351800000000004</v>
      </c>
      <c r="F652" s="27">
        <f>47.3171 * CHOOSE(CONTROL!$C$15, $E$9, 100%, $G$9) + CHOOSE(CONTROL!$C$38, 0.0256, 0)</f>
        <v>47.342700000000001</v>
      </c>
      <c r="G652" s="10">
        <f>43.7751 * CHOOSE(CONTROL!$C$15, $E$9, 100%, $G$9) + CHOOSE(CONTROL!$C$38, 0.0347, 0)</f>
        <v>43.809800000000003</v>
      </c>
      <c r="H652" s="10">
        <f>43.7751 * CHOOSE(CONTROL!$C$15, $E$9, 100%, $G$9) + CHOOSE(CONTROL!$C$38, 0.0347, 0)</f>
        <v>43.809800000000003</v>
      </c>
      <c r="I652" s="10">
        <f>43.7767 * CHOOSE(CONTROL!$C$15, $E$9, 100%, $G$9) + CHOOSE(CONTROL!$C$38, 0.0347, 0)</f>
        <v>43.811399999999999</v>
      </c>
      <c r="J652" s="26">
        <f>321.5139</f>
        <v>321.51389999999998</v>
      </c>
    </row>
    <row r="653" spans="1:10" ht="15.75" x14ac:dyDescent="0.25">
      <c r="A653" s="13">
        <v>61178</v>
      </c>
      <c r="B653" s="10">
        <f>47.1115 * CHOOSE(CONTROL!$C$15, $E$9, 100%, $G$9) + CHOOSE(CONTROL!$C$38, 0.0256, 0)</f>
        <v>47.137099999999997</v>
      </c>
      <c r="C653" s="10">
        <f>43.4149 * CHOOSE(CONTROL!$C$15, $E$9, 100%, $G$9) + CHOOSE(CONTROL!$C$38, 0.0347, 0)</f>
        <v>43.449600000000004</v>
      </c>
      <c r="D653" s="10">
        <f>43.4071 * CHOOSE(CONTROL!$C$15, $E$9, 100%, $G$9) + CHOOSE(CONTROL!$C$38, 0.0347, 0)</f>
        <v>43.441800000000001</v>
      </c>
      <c r="E653" s="28">
        <f>46.9553 * CHOOSE(CONTROL!$C$15, $E$9, 100%, $G$9) + CHOOSE(CONTROL!$C$38, 0.0347, 0)</f>
        <v>46.99</v>
      </c>
      <c r="F653" s="27">
        <f>46.9553 * CHOOSE(CONTROL!$C$15, $E$9, 100%, $G$9) + CHOOSE(CONTROL!$C$38, 0.0256, 0)</f>
        <v>46.980899999999998</v>
      </c>
      <c r="G653" s="10">
        <f>43.4133 * CHOOSE(CONTROL!$C$15, $E$9, 100%, $G$9) + CHOOSE(CONTROL!$C$38, 0.0347, 0)</f>
        <v>43.448</v>
      </c>
      <c r="H653" s="10">
        <f>43.4133 * CHOOSE(CONTROL!$C$15, $E$9, 100%, $G$9) + CHOOSE(CONTROL!$C$38, 0.0347, 0)</f>
        <v>43.448</v>
      </c>
      <c r="I653" s="10">
        <f>43.4149 * CHOOSE(CONTROL!$C$15, $E$9, 100%, $G$9) + CHOOSE(CONTROL!$C$38, 0.0347, 0)</f>
        <v>43.449600000000004</v>
      </c>
      <c r="J653" s="26">
        <f>326.1466</f>
        <v>326.14659999999998</v>
      </c>
    </row>
    <row r="654" spans="1:10" ht="15.75" x14ac:dyDescent="0.25">
      <c r="A654" s="13">
        <v>61209</v>
      </c>
      <c r="B654" s="10">
        <f>46.905 * CHOOSE(CONTROL!$C$15, $E$9, 100%, $G$9) + CHOOSE(CONTROL!$C$38, 0.0256, 0)</f>
        <v>46.930599999999998</v>
      </c>
      <c r="C654" s="10">
        <f>43.2084 * CHOOSE(CONTROL!$C$15, $E$9, 100%, $G$9) + CHOOSE(CONTROL!$C$38, 0.0347, 0)</f>
        <v>43.243099999999998</v>
      </c>
      <c r="D654" s="10">
        <f>43.2006 * CHOOSE(CONTROL!$C$15, $E$9, 100%, $G$9) + CHOOSE(CONTROL!$C$38, 0.0347, 0)</f>
        <v>43.235300000000002</v>
      </c>
      <c r="E654" s="28">
        <f>46.7488 * CHOOSE(CONTROL!$C$15, $E$9, 100%, $G$9) + CHOOSE(CONTROL!$C$38, 0.0347, 0)</f>
        <v>46.783500000000004</v>
      </c>
      <c r="F654" s="27">
        <f>46.7488 * CHOOSE(CONTROL!$C$15, $E$9, 100%, $G$9) + CHOOSE(CONTROL!$C$38, 0.0256, 0)</f>
        <v>46.7744</v>
      </c>
      <c r="G654" s="10">
        <f>43.2068 * CHOOSE(CONTROL!$C$15, $E$9, 100%, $G$9) + CHOOSE(CONTROL!$C$38, 0.0347, 0)</f>
        <v>43.241500000000002</v>
      </c>
      <c r="H654" s="10">
        <f>43.2068 * CHOOSE(CONTROL!$C$15, $E$9, 100%, $G$9) + CHOOSE(CONTROL!$C$38, 0.0347, 0)</f>
        <v>43.241500000000002</v>
      </c>
      <c r="I654" s="10">
        <f>43.2084 * CHOOSE(CONTROL!$C$15, $E$9, 100%, $G$9) + CHOOSE(CONTROL!$C$38, 0.0347, 0)</f>
        <v>43.243099999999998</v>
      </c>
      <c r="J654" s="26">
        <f>324.6213</f>
        <v>324.62130000000002</v>
      </c>
    </row>
    <row r="655" spans="1:10" ht="15.75" x14ac:dyDescent="0.25">
      <c r="A655" s="13">
        <v>61240</v>
      </c>
      <c r="B655" s="10">
        <f>47.0069 * CHOOSE(CONTROL!$C$15, $E$9, 100%, $G$9) + CHOOSE(CONTROL!$C$38, 0.0256, 0)</f>
        <v>47.032499999999999</v>
      </c>
      <c r="C655" s="10">
        <f>43.3103 * CHOOSE(CONTROL!$C$15, $E$9, 100%, $G$9) + CHOOSE(CONTROL!$C$38, 0.0347, 0)</f>
        <v>43.344999999999999</v>
      </c>
      <c r="D655" s="10">
        <f>43.3025 * CHOOSE(CONTROL!$C$15, $E$9, 100%, $G$9) + CHOOSE(CONTROL!$C$38, 0.0347, 0)</f>
        <v>43.337200000000003</v>
      </c>
      <c r="E655" s="28">
        <f>46.8507 * CHOOSE(CONTROL!$C$15, $E$9, 100%, $G$9) + CHOOSE(CONTROL!$C$38, 0.0347, 0)</f>
        <v>46.885400000000004</v>
      </c>
      <c r="F655" s="27">
        <f>46.8507 * CHOOSE(CONTROL!$C$15, $E$9, 100%, $G$9) + CHOOSE(CONTROL!$C$38, 0.0256, 0)</f>
        <v>46.876300000000001</v>
      </c>
      <c r="G655" s="10">
        <f>43.3087 * CHOOSE(CONTROL!$C$15, $E$9, 100%, $G$9) + CHOOSE(CONTROL!$C$38, 0.0347, 0)</f>
        <v>43.343400000000003</v>
      </c>
      <c r="H655" s="10">
        <f>43.3087 * CHOOSE(CONTROL!$C$15, $E$9, 100%, $G$9) + CHOOSE(CONTROL!$C$38, 0.0347, 0)</f>
        <v>43.343400000000003</v>
      </c>
      <c r="I655" s="10">
        <f>43.3103 * CHOOSE(CONTROL!$C$15, $E$9, 100%, $G$9) + CHOOSE(CONTROL!$C$38, 0.0347, 0)</f>
        <v>43.344999999999999</v>
      </c>
      <c r="J655" s="26">
        <f>317.0642</f>
        <v>317.06420000000003</v>
      </c>
    </row>
    <row r="656" spans="1:10" ht="15.75" x14ac:dyDescent="0.25">
      <c r="A656" s="13">
        <v>61270</v>
      </c>
      <c r="B656" s="10">
        <f>47.2837 * CHOOSE(CONTROL!$C$15, $E$9, 100%, $G$9) + CHOOSE(CONTROL!$C$38, 0.0256, 0)</f>
        <v>47.3093</v>
      </c>
      <c r="C656" s="10">
        <f>43.5871 * CHOOSE(CONTROL!$C$15, $E$9, 100%, $G$9) + CHOOSE(CONTROL!$C$38, 0.0347, 0)</f>
        <v>43.6218</v>
      </c>
      <c r="D656" s="10">
        <f>43.5793 * CHOOSE(CONTROL!$C$15, $E$9, 100%, $G$9) + CHOOSE(CONTROL!$C$38, 0.0347, 0)</f>
        <v>43.614000000000004</v>
      </c>
      <c r="E656" s="28">
        <f>47.1275 * CHOOSE(CONTROL!$C$15, $E$9, 100%, $G$9) + CHOOSE(CONTROL!$C$38, 0.0347, 0)</f>
        <v>47.162199999999999</v>
      </c>
      <c r="F656" s="27">
        <f>47.1275 * CHOOSE(CONTROL!$C$15, $E$9, 100%, $G$9) + CHOOSE(CONTROL!$C$38, 0.0256, 0)</f>
        <v>47.153099999999995</v>
      </c>
      <c r="G656" s="10">
        <f>43.5855 * CHOOSE(CONTROL!$C$15, $E$9, 100%, $G$9) + CHOOSE(CONTROL!$C$38, 0.0347, 0)</f>
        <v>43.620200000000004</v>
      </c>
      <c r="H656" s="10">
        <f>43.5855 * CHOOSE(CONTROL!$C$15, $E$9, 100%, $G$9) + CHOOSE(CONTROL!$C$38, 0.0347, 0)</f>
        <v>43.620200000000004</v>
      </c>
      <c r="I656" s="10">
        <f>43.5871 * CHOOSE(CONTROL!$C$15, $E$9, 100%, $G$9) + CHOOSE(CONTROL!$C$38, 0.0347, 0)</f>
        <v>43.6218</v>
      </c>
      <c r="J656" s="26">
        <f>306.5256</f>
        <v>306.5256</v>
      </c>
    </row>
    <row r="657" spans="1:10" ht="15.75" x14ac:dyDescent="0.25">
      <c r="A657" s="13">
        <v>61301</v>
      </c>
      <c r="B657" s="10">
        <f>47.5156 * CHOOSE(CONTROL!$C$15, $E$9, 100%, $G$9) + CHOOSE(CONTROL!$C$38, 0.0256, 0)</f>
        <v>47.541199999999996</v>
      </c>
      <c r="C657" s="10">
        <f>43.8189 * CHOOSE(CONTROL!$C$15, $E$9, 100%, $G$9) + CHOOSE(CONTROL!$C$38, 0.0347, 0)</f>
        <v>43.8536</v>
      </c>
      <c r="D657" s="10">
        <f>43.8111 * CHOOSE(CONTROL!$C$15, $E$9, 100%, $G$9) + CHOOSE(CONTROL!$C$38, 0.0347, 0)</f>
        <v>43.845800000000004</v>
      </c>
      <c r="E657" s="28">
        <f>47.3593 * CHOOSE(CONTROL!$C$15, $E$9, 100%, $G$9) + CHOOSE(CONTROL!$C$38, 0.0347, 0)</f>
        <v>47.393999999999998</v>
      </c>
      <c r="F657" s="27">
        <f>47.3593 * CHOOSE(CONTROL!$C$15, $E$9, 100%, $G$9) + CHOOSE(CONTROL!$C$38, 0.0256, 0)</f>
        <v>47.384899999999995</v>
      </c>
      <c r="G657" s="10">
        <f>43.8173 * CHOOSE(CONTROL!$C$15, $E$9, 100%, $G$9) + CHOOSE(CONTROL!$C$38, 0.0347, 0)</f>
        <v>43.852000000000004</v>
      </c>
      <c r="H657" s="10">
        <f>43.8173 * CHOOSE(CONTROL!$C$15, $E$9, 100%, $G$9) + CHOOSE(CONTROL!$C$38, 0.0347, 0)</f>
        <v>43.852000000000004</v>
      </c>
      <c r="I657" s="10">
        <f>43.8189 * CHOOSE(CONTROL!$C$15, $E$9, 100%, $G$9) + CHOOSE(CONTROL!$C$38, 0.0347, 0)</f>
        <v>43.8536</v>
      </c>
      <c r="J657" s="26">
        <f>295.9256</f>
        <v>295.92559999999997</v>
      </c>
    </row>
    <row r="658" spans="1:10" ht="15.75" x14ac:dyDescent="0.25">
      <c r="A658" s="13">
        <v>61331</v>
      </c>
      <c r="B658" s="10">
        <f>47.709 * CHOOSE(CONTROL!$C$15, $E$9, 100%, $G$9) + CHOOSE(CONTROL!$C$38, 0.0256, 0)</f>
        <v>47.7346</v>
      </c>
      <c r="C658" s="10">
        <f>44.0123 * CHOOSE(CONTROL!$C$15, $E$9, 100%, $G$9) + CHOOSE(CONTROL!$C$38, 0.0347, 0)</f>
        <v>44.047000000000004</v>
      </c>
      <c r="D658" s="10">
        <f>44.0045 * CHOOSE(CONTROL!$C$15, $E$9, 100%, $G$9) + CHOOSE(CONTROL!$C$38, 0.0347, 0)</f>
        <v>44.039200000000001</v>
      </c>
      <c r="E658" s="28">
        <f>47.5527 * CHOOSE(CONTROL!$C$15, $E$9, 100%, $G$9) + CHOOSE(CONTROL!$C$38, 0.0347, 0)</f>
        <v>47.587400000000002</v>
      </c>
      <c r="F658" s="27">
        <f>47.5527 * CHOOSE(CONTROL!$C$15, $E$9, 100%, $G$9) + CHOOSE(CONTROL!$C$38, 0.0256, 0)</f>
        <v>47.578299999999999</v>
      </c>
      <c r="G658" s="10">
        <f>44.0108 * CHOOSE(CONTROL!$C$15, $E$9, 100%, $G$9) + CHOOSE(CONTROL!$C$38, 0.0347, 0)</f>
        <v>44.045500000000004</v>
      </c>
      <c r="H658" s="10">
        <f>44.0108 * CHOOSE(CONTROL!$C$15, $E$9, 100%, $G$9) + CHOOSE(CONTROL!$C$38, 0.0347, 0)</f>
        <v>44.045500000000004</v>
      </c>
      <c r="I658" s="10">
        <f>44.0123 * CHOOSE(CONTROL!$C$15, $E$9, 100%, $G$9) + CHOOSE(CONTROL!$C$38, 0.0347, 0)</f>
        <v>44.047000000000004</v>
      </c>
      <c r="J658" s="26">
        <f>293.817</f>
        <v>293.81700000000001</v>
      </c>
    </row>
    <row r="659" spans="1:10" ht="15.75" x14ac:dyDescent="0.25">
      <c r="A659" s="13">
        <v>61362</v>
      </c>
      <c r="B659" s="10">
        <f>48.3051 * CHOOSE(CONTROL!$C$15, $E$9, 100%, $G$9) + CHOOSE(CONTROL!$C$38, 0.0256, 0)</f>
        <v>48.3307</v>
      </c>
      <c r="C659" s="10">
        <f>44.6084 * CHOOSE(CONTROL!$C$15, $E$9, 100%, $G$9) + CHOOSE(CONTROL!$C$38, 0.0347, 0)</f>
        <v>44.643100000000004</v>
      </c>
      <c r="D659" s="10">
        <f>44.6006 * CHOOSE(CONTROL!$C$15, $E$9, 100%, $G$9) + CHOOSE(CONTROL!$C$38, 0.0347, 0)</f>
        <v>44.635300000000001</v>
      </c>
      <c r="E659" s="28">
        <f>48.1488 * CHOOSE(CONTROL!$C$15, $E$9, 100%, $G$9) + CHOOSE(CONTROL!$C$38, 0.0347, 0)</f>
        <v>48.183500000000002</v>
      </c>
      <c r="F659" s="27">
        <f>48.1488 * CHOOSE(CONTROL!$C$15, $E$9, 100%, $G$9) + CHOOSE(CONTROL!$C$38, 0.0256, 0)</f>
        <v>48.174399999999999</v>
      </c>
      <c r="G659" s="10">
        <f>44.6069 * CHOOSE(CONTROL!$C$15, $E$9, 100%, $G$9) + CHOOSE(CONTROL!$C$38, 0.0347, 0)</f>
        <v>44.641600000000004</v>
      </c>
      <c r="H659" s="10">
        <f>44.6069 * CHOOSE(CONTROL!$C$15, $E$9, 100%, $G$9) + CHOOSE(CONTROL!$C$38, 0.0347, 0)</f>
        <v>44.641600000000004</v>
      </c>
      <c r="I659" s="10">
        <f>44.6084 * CHOOSE(CONTROL!$C$15, $E$9, 100%, $G$9) + CHOOSE(CONTROL!$C$38, 0.0347, 0)</f>
        <v>44.643100000000004</v>
      </c>
      <c r="J659" s="26">
        <f>285.098</f>
        <v>285.09800000000001</v>
      </c>
    </row>
    <row r="660" spans="1:10" ht="15.75" x14ac:dyDescent="0.25">
      <c r="A660" s="13">
        <v>61393</v>
      </c>
      <c r="B660" s="10">
        <f>49.6085 * CHOOSE(CONTROL!$C$15, $E$9, 100%, $G$9) + CHOOSE(CONTROL!$C$38, 0.0256, 0)</f>
        <v>49.634099999999997</v>
      </c>
      <c r="C660" s="10">
        <f>45.8493 * CHOOSE(CONTROL!$C$15, $E$9, 100%, $G$9) + CHOOSE(CONTROL!$C$38, 0.0347, 0)</f>
        <v>45.884</v>
      </c>
      <c r="D660" s="10">
        <f>45.8415 * CHOOSE(CONTROL!$C$15, $E$9, 100%, $G$9) + CHOOSE(CONTROL!$C$38, 0.0347, 0)</f>
        <v>45.876200000000004</v>
      </c>
      <c r="E660" s="28">
        <f>49.4522 * CHOOSE(CONTROL!$C$15, $E$9, 100%, $G$9) + CHOOSE(CONTROL!$C$38, 0.0347, 0)</f>
        <v>49.486899999999999</v>
      </c>
      <c r="F660" s="27">
        <f>49.4522 * CHOOSE(CONTROL!$C$15, $E$9, 100%, $G$9) + CHOOSE(CONTROL!$C$38, 0.0256, 0)</f>
        <v>49.477799999999995</v>
      </c>
      <c r="G660" s="10">
        <f>45.8477 * CHOOSE(CONTROL!$C$15, $E$9, 100%, $G$9) + CHOOSE(CONTROL!$C$38, 0.0347, 0)</f>
        <v>45.882400000000004</v>
      </c>
      <c r="H660" s="10">
        <f>45.8477 * CHOOSE(CONTROL!$C$15, $E$9, 100%, $G$9) + CHOOSE(CONTROL!$C$38, 0.0347, 0)</f>
        <v>45.882400000000004</v>
      </c>
      <c r="I660" s="10">
        <f>45.8493 * CHOOSE(CONTROL!$C$15, $E$9, 100%, $G$9) + CHOOSE(CONTROL!$C$38, 0.0347, 0)</f>
        <v>45.884</v>
      </c>
      <c r="J660" s="26">
        <f>283.1883</f>
        <v>283.18830000000003</v>
      </c>
    </row>
    <row r="661" spans="1:10" ht="15.75" x14ac:dyDescent="0.25">
      <c r="A661" s="13">
        <v>61422</v>
      </c>
      <c r="B661" s="10">
        <f>49.8292 * CHOOSE(CONTROL!$C$15, $E$9, 100%, $G$9) + CHOOSE(CONTROL!$C$38, 0.0256, 0)</f>
        <v>49.854799999999997</v>
      </c>
      <c r="C661" s="10">
        <f>46.07 * CHOOSE(CONTROL!$C$15, $E$9, 100%, $G$9) + CHOOSE(CONTROL!$C$38, 0.0347, 0)</f>
        <v>46.104700000000001</v>
      </c>
      <c r="D661" s="10">
        <f>46.0622 * CHOOSE(CONTROL!$C$15, $E$9, 100%, $G$9) + CHOOSE(CONTROL!$C$38, 0.0347, 0)</f>
        <v>46.096899999999998</v>
      </c>
      <c r="E661" s="28">
        <f>49.673 * CHOOSE(CONTROL!$C$15, $E$9, 100%, $G$9) + CHOOSE(CONTROL!$C$38, 0.0347, 0)</f>
        <v>49.707700000000003</v>
      </c>
      <c r="F661" s="27">
        <f>49.673 * CHOOSE(CONTROL!$C$15, $E$9, 100%, $G$9) + CHOOSE(CONTROL!$C$38, 0.0256, 0)</f>
        <v>49.698599999999999</v>
      </c>
      <c r="G661" s="10">
        <f>46.0685 * CHOOSE(CONTROL!$C$15, $E$9, 100%, $G$9) + CHOOSE(CONTROL!$C$38, 0.0347, 0)</f>
        <v>46.103200000000001</v>
      </c>
      <c r="H661" s="10">
        <f>46.0685 * CHOOSE(CONTROL!$C$15, $E$9, 100%, $G$9) + CHOOSE(CONTROL!$C$38, 0.0347, 0)</f>
        <v>46.103200000000001</v>
      </c>
      <c r="I661" s="10">
        <f>46.07 * CHOOSE(CONTROL!$C$15, $E$9, 100%, $G$9) + CHOOSE(CONTROL!$C$38, 0.0347, 0)</f>
        <v>46.104700000000001</v>
      </c>
      <c r="J661" s="26">
        <f>282.4011</f>
        <v>282.40109999999999</v>
      </c>
    </row>
    <row r="662" spans="1:10" ht="15.75" x14ac:dyDescent="0.25">
      <c r="A662" s="13">
        <v>61453</v>
      </c>
      <c r="B662" s="10">
        <f>49.3182 * CHOOSE(CONTROL!$C$15, $E$9, 100%, $G$9) + CHOOSE(CONTROL!$C$38, 0.0256, 0)</f>
        <v>49.343799999999995</v>
      </c>
      <c r="C662" s="10">
        <f>45.559 * CHOOSE(CONTROL!$C$15, $E$9, 100%, $G$9) + CHOOSE(CONTROL!$C$38, 0.0347, 0)</f>
        <v>45.593699999999998</v>
      </c>
      <c r="D662" s="10">
        <f>45.5512 * CHOOSE(CONTROL!$C$15, $E$9, 100%, $G$9) + CHOOSE(CONTROL!$C$38, 0.0347, 0)</f>
        <v>45.585900000000002</v>
      </c>
      <c r="E662" s="28">
        <f>49.162 * CHOOSE(CONTROL!$C$15, $E$9, 100%, $G$9) + CHOOSE(CONTROL!$C$38, 0.0347, 0)</f>
        <v>49.1967</v>
      </c>
      <c r="F662" s="27">
        <f>49.162 * CHOOSE(CONTROL!$C$15, $E$9, 100%, $G$9) + CHOOSE(CONTROL!$C$38, 0.0256, 0)</f>
        <v>49.187599999999996</v>
      </c>
      <c r="G662" s="10">
        <f>45.5575 * CHOOSE(CONTROL!$C$15, $E$9, 100%, $G$9) + CHOOSE(CONTROL!$C$38, 0.0347, 0)</f>
        <v>45.592199999999998</v>
      </c>
      <c r="H662" s="10">
        <f>45.5575 * CHOOSE(CONTROL!$C$15, $E$9, 100%, $G$9) + CHOOSE(CONTROL!$C$38, 0.0347, 0)</f>
        <v>45.592199999999998</v>
      </c>
      <c r="I662" s="10">
        <f>45.559 * CHOOSE(CONTROL!$C$15, $E$9, 100%, $G$9) + CHOOSE(CONTROL!$C$38, 0.0347, 0)</f>
        <v>45.593699999999998</v>
      </c>
      <c r="J662" s="26">
        <f>297.2853</f>
        <v>297.28530000000001</v>
      </c>
    </row>
    <row r="663" spans="1:10" ht="15.75" x14ac:dyDescent="0.25">
      <c r="A663" s="13">
        <v>61483</v>
      </c>
      <c r="B663" s="10">
        <f>48.823 * CHOOSE(CONTROL!$C$15, $E$9, 100%, $G$9) + CHOOSE(CONTROL!$C$38, 0.0256, 0)</f>
        <v>48.848599999999998</v>
      </c>
      <c r="C663" s="10">
        <f>45.0638 * CHOOSE(CONTROL!$C$15, $E$9, 100%, $G$9) + CHOOSE(CONTROL!$C$38, 0.0347, 0)</f>
        <v>45.098500000000001</v>
      </c>
      <c r="D663" s="10">
        <f>45.056 * CHOOSE(CONTROL!$C$15, $E$9, 100%, $G$9) + CHOOSE(CONTROL!$C$38, 0.0347, 0)</f>
        <v>45.090699999999998</v>
      </c>
      <c r="E663" s="28">
        <f>48.6668 * CHOOSE(CONTROL!$C$15, $E$9, 100%, $G$9) + CHOOSE(CONTROL!$C$38, 0.0347, 0)</f>
        <v>48.701500000000003</v>
      </c>
      <c r="F663" s="27">
        <f>48.6668 * CHOOSE(CONTROL!$C$15, $E$9, 100%, $G$9) + CHOOSE(CONTROL!$C$38, 0.0256, 0)</f>
        <v>48.692399999999999</v>
      </c>
      <c r="G663" s="10">
        <f>45.0623 * CHOOSE(CONTROL!$C$15, $E$9, 100%, $G$9) + CHOOSE(CONTROL!$C$38, 0.0347, 0)</f>
        <v>45.097000000000001</v>
      </c>
      <c r="H663" s="10">
        <f>45.0623 * CHOOSE(CONTROL!$C$15, $E$9, 100%, $G$9) + CHOOSE(CONTROL!$C$38, 0.0347, 0)</f>
        <v>45.097000000000001</v>
      </c>
      <c r="I663" s="10">
        <f>45.0638 * CHOOSE(CONTROL!$C$15, $E$9, 100%, $G$9) + CHOOSE(CONTROL!$C$38, 0.0347, 0)</f>
        <v>45.098500000000001</v>
      </c>
      <c r="J663" s="26">
        <f>316.5865</f>
        <v>316.5865</v>
      </c>
    </row>
    <row r="664" spans="1:10" ht="15.75" x14ac:dyDescent="0.25">
      <c r="A664" s="13">
        <v>61514</v>
      </c>
      <c r="B664" s="10">
        <f>48.3069 * CHOOSE(CONTROL!$C$15, $E$9, 100%, $G$9) + CHOOSE(CONTROL!$C$38, 0.0256, 0)</f>
        <v>48.332499999999996</v>
      </c>
      <c r="C664" s="10">
        <f>44.5477 * CHOOSE(CONTROL!$C$15, $E$9, 100%, $G$9) + CHOOSE(CONTROL!$C$38, 0.0347, 0)</f>
        <v>44.5824</v>
      </c>
      <c r="D664" s="10">
        <f>44.5399 * CHOOSE(CONTROL!$C$15, $E$9, 100%, $G$9) + CHOOSE(CONTROL!$C$38, 0.0347, 0)</f>
        <v>44.574600000000004</v>
      </c>
      <c r="E664" s="28">
        <f>48.1507 * CHOOSE(CONTROL!$C$15, $E$9, 100%, $G$9) + CHOOSE(CONTROL!$C$38, 0.0347, 0)</f>
        <v>48.185400000000001</v>
      </c>
      <c r="F664" s="27">
        <f>48.1507 * CHOOSE(CONTROL!$C$15, $E$9, 100%, $G$9) + CHOOSE(CONTROL!$C$38, 0.0256, 0)</f>
        <v>48.176299999999998</v>
      </c>
      <c r="G664" s="10">
        <f>44.5462 * CHOOSE(CONTROL!$C$15, $E$9, 100%, $G$9) + CHOOSE(CONTROL!$C$38, 0.0347, 0)</f>
        <v>44.5809</v>
      </c>
      <c r="H664" s="10">
        <f>44.5462 * CHOOSE(CONTROL!$C$15, $E$9, 100%, $G$9) + CHOOSE(CONTROL!$C$38, 0.0347, 0)</f>
        <v>44.5809</v>
      </c>
      <c r="I664" s="10">
        <f>44.5477 * CHOOSE(CONTROL!$C$15, $E$9, 100%, $G$9) + CHOOSE(CONTROL!$C$38, 0.0347, 0)</f>
        <v>44.5824</v>
      </c>
      <c r="J664" s="26">
        <f>327.2105</f>
        <v>327.21050000000002</v>
      </c>
    </row>
    <row r="665" spans="1:10" ht="15.75" x14ac:dyDescent="0.25">
      <c r="A665" s="13">
        <v>61544</v>
      </c>
      <c r="B665" s="10">
        <f>47.9451 * CHOOSE(CONTROL!$C$15, $E$9, 100%, $G$9) + CHOOSE(CONTROL!$C$38, 0.0256, 0)</f>
        <v>47.970699999999994</v>
      </c>
      <c r="C665" s="10">
        <f>44.1859 * CHOOSE(CONTROL!$C$15, $E$9, 100%, $G$9) + CHOOSE(CONTROL!$C$38, 0.0347, 0)</f>
        <v>44.220599999999997</v>
      </c>
      <c r="D665" s="10">
        <f>44.1781 * CHOOSE(CONTROL!$C$15, $E$9, 100%, $G$9) + CHOOSE(CONTROL!$C$38, 0.0347, 0)</f>
        <v>44.212800000000001</v>
      </c>
      <c r="E665" s="28">
        <f>47.7888 * CHOOSE(CONTROL!$C$15, $E$9, 100%, $G$9) + CHOOSE(CONTROL!$C$38, 0.0347, 0)</f>
        <v>47.823500000000003</v>
      </c>
      <c r="F665" s="27">
        <f>47.7888 * CHOOSE(CONTROL!$C$15, $E$9, 100%, $G$9) + CHOOSE(CONTROL!$C$38, 0.0256, 0)</f>
        <v>47.814399999999999</v>
      </c>
      <c r="G665" s="10">
        <f>44.1843 * CHOOSE(CONTROL!$C$15, $E$9, 100%, $G$9) + CHOOSE(CONTROL!$C$38, 0.0347, 0)</f>
        <v>44.219000000000001</v>
      </c>
      <c r="H665" s="10">
        <f>44.1843 * CHOOSE(CONTROL!$C$15, $E$9, 100%, $G$9) + CHOOSE(CONTROL!$C$38, 0.0347, 0)</f>
        <v>44.219000000000001</v>
      </c>
      <c r="I665" s="10">
        <f>44.1859 * CHOOSE(CONTROL!$C$15, $E$9, 100%, $G$9) + CHOOSE(CONTROL!$C$38, 0.0347, 0)</f>
        <v>44.220599999999997</v>
      </c>
      <c r="J665" s="26">
        <f>331.9253</f>
        <v>331.92529999999999</v>
      </c>
    </row>
    <row r="666" spans="1:10" ht="15.75" x14ac:dyDescent="0.25">
      <c r="A666" s="13">
        <v>61575</v>
      </c>
      <c r="B666" s="10">
        <f>47.7386 * CHOOSE(CONTROL!$C$15, $E$9, 100%, $G$9) + CHOOSE(CONTROL!$C$38, 0.0256, 0)</f>
        <v>47.764199999999995</v>
      </c>
      <c r="C666" s="10">
        <f>43.9794 * CHOOSE(CONTROL!$C$15, $E$9, 100%, $G$9) + CHOOSE(CONTROL!$C$38, 0.0347, 0)</f>
        <v>44.014099999999999</v>
      </c>
      <c r="D666" s="10">
        <f>43.9716 * CHOOSE(CONTROL!$C$15, $E$9, 100%, $G$9) + CHOOSE(CONTROL!$C$38, 0.0347, 0)</f>
        <v>44.006300000000003</v>
      </c>
      <c r="E666" s="28">
        <f>47.5823 * CHOOSE(CONTROL!$C$15, $E$9, 100%, $G$9) + CHOOSE(CONTROL!$C$38, 0.0347, 0)</f>
        <v>47.616999999999997</v>
      </c>
      <c r="F666" s="27">
        <f>47.5823 * CHOOSE(CONTROL!$C$15, $E$9, 100%, $G$9) + CHOOSE(CONTROL!$C$38, 0.0256, 0)</f>
        <v>47.607899999999994</v>
      </c>
      <c r="G666" s="10">
        <f>43.9778 * CHOOSE(CONTROL!$C$15, $E$9, 100%, $G$9) + CHOOSE(CONTROL!$C$38, 0.0347, 0)</f>
        <v>44.012500000000003</v>
      </c>
      <c r="H666" s="10">
        <f>43.9778 * CHOOSE(CONTROL!$C$15, $E$9, 100%, $G$9) + CHOOSE(CONTROL!$C$38, 0.0347, 0)</f>
        <v>44.012500000000003</v>
      </c>
      <c r="I666" s="10">
        <f>43.9794 * CHOOSE(CONTROL!$C$15, $E$9, 100%, $G$9) + CHOOSE(CONTROL!$C$38, 0.0347, 0)</f>
        <v>44.014099999999999</v>
      </c>
      <c r="J666" s="26">
        <f>330.373</f>
        <v>330.37299999999999</v>
      </c>
    </row>
    <row r="667" spans="1:10" ht="15.75" x14ac:dyDescent="0.25">
      <c r="A667" s="13">
        <v>61606</v>
      </c>
      <c r="B667" s="10">
        <f>47.8405 * CHOOSE(CONTROL!$C$15, $E$9, 100%, $G$9) + CHOOSE(CONTROL!$C$38, 0.0256, 0)</f>
        <v>47.866099999999996</v>
      </c>
      <c r="C667" s="10">
        <f>44.0813 * CHOOSE(CONTROL!$C$15, $E$9, 100%, $G$9) + CHOOSE(CONTROL!$C$38, 0.0347, 0)</f>
        <v>44.116</v>
      </c>
      <c r="D667" s="10">
        <f>44.0735 * CHOOSE(CONTROL!$C$15, $E$9, 100%, $G$9) + CHOOSE(CONTROL!$C$38, 0.0347, 0)</f>
        <v>44.108200000000004</v>
      </c>
      <c r="E667" s="28">
        <f>47.6843 * CHOOSE(CONTROL!$C$15, $E$9, 100%, $G$9) + CHOOSE(CONTROL!$C$38, 0.0347, 0)</f>
        <v>47.719000000000001</v>
      </c>
      <c r="F667" s="27">
        <f>47.6843 * CHOOSE(CONTROL!$C$15, $E$9, 100%, $G$9) + CHOOSE(CONTROL!$C$38, 0.0256, 0)</f>
        <v>47.709899999999998</v>
      </c>
      <c r="G667" s="10">
        <f>44.0797 * CHOOSE(CONTROL!$C$15, $E$9, 100%, $G$9) + CHOOSE(CONTROL!$C$38, 0.0347, 0)</f>
        <v>44.114400000000003</v>
      </c>
      <c r="H667" s="10">
        <f>44.0797 * CHOOSE(CONTROL!$C$15, $E$9, 100%, $G$9) + CHOOSE(CONTROL!$C$38, 0.0347, 0)</f>
        <v>44.114400000000003</v>
      </c>
      <c r="I667" s="10">
        <f>44.0813 * CHOOSE(CONTROL!$C$15, $E$9, 100%, $G$9) + CHOOSE(CONTROL!$C$38, 0.0347, 0)</f>
        <v>44.116</v>
      </c>
      <c r="J667" s="26">
        <f>322.682</f>
        <v>322.68200000000002</v>
      </c>
    </row>
    <row r="668" spans="1:10" ht="15.75" x14ac:dyDescent="0.25">
      <c r="A668" s="13">
        <v>61636</v>
      </c>
      <c r="B668" s="10">
        <f>48.1173 * CHOOSE(CONTROL!$C$15, $E$9, 100%, $G$9) + CHOOSE(CONTROL!$C$38, 0.0256, 0)</f>
        <v>48.142899999999997</v>
      </c>
      <c r="C668" s="10">
        <f>44.3581 * CHOOSE(CONTROL!$C$15, $E$9, 100%, $G$9) + CHOOSE(CONTROL!$C$38, 0.0347, 0)</f>
        <v>44.392800000000001</v>
      </c>
      <c r="D668" s="10">
        <f>44.3503 * CHOOSE(CONTROL!$C$15, $E$9, 100%, $G$9) + CHOOSE(CONTROL!$C$38, 0.0347, 0)</f>
        <v>44.384999999999998</v>
      </c>
      <c r="E668" s="28">
        <f>47.9611 * CHOOSE(CONTROL!$C$15, $E$9, 100%, $G$9) + CHOOSE(CONTROL!$C$38, 0.0347, 0)</f>
        <v>47.995800000000003</v>
      </c>
      <c r="F668" s="27">
        <f>47.9611 * CHOOSE(CONTROL!$C$15, $E$9, 100%, $G$9) + CHOOSE(CONTROL!$C$38, 0.0256, 0)</f>
        <v>47.986699999999999</v>
      </c>
      <c r="G668" s="10">
        <f>44.3565 * CHOOSE(CONTROL!$C$15, $E$9, 100%, $G$9) + CHOOSE(CONTROL!$C$38, 0.0347, 0)</f>
        <v>44.391199999999998</v>
      </c>
      <c r="H668" s="10">
        <f>44.3565 * CHOOSE(CONTROL!$C$15, $E$9, 100%, $G$9) + CHOOSE(CONTROL!$C$38, 0.0347, 0)</f>
        <v>44.391199999999998</v>
      </c>
      <c r="I668" s="10">
        <f>44.3581 * CHOOSE(CONTROL!$C$15, $E$9, 100%, $G$9) + CHOOSE(CONTROL!$C$38, 0.0347, 0)</f>
        <v>44.392800000000001</v>
      </c>
      <c r="J668" s="26">
        <f>311.9566</f>
        <v>311.95659999999998</v>
      </c>
    </row>
    <row r="669" spans="1:10" ht="15.75" x14ac:dyDescent="0.25">
      <c r="A669" s="13">
        <v>61667</v>
      </c>
      <c r="B669" s="10">
        <f>48.3491 * CHOOSE(CONTROL!$C$15, $E$9, 100%, $G$9) + CHOOSE(CONTROL!$C$38, 0.0256, 0)</f>
        <v>48.374699999999997</v>
      </c>
      <c r="C669" s="10">
        <f>44.5899 * CHOOSE(CONTROL!$C$15, $E$9, 100%, $G$9) + CHOOSE(CONTROL!$C$38, 0.0347, 0)</f>
        <v>44.624600000000001</v>
      </c>
      <c r="D669" s="10">
        <f>44.5821 * CHOOSE(CONTROL!$C$15, $E$9, 100%, $G$9) + CHOOSE(CONTROL!$C$38, 0.0347, 0)</f>
        <v>44.616799999999998</v>
      </c>
      <c r="E669" s="28">
        <f>48.1929 * CHOOSE(CONTROL!$C$15, $E$9, 100%, $G$9) + CHOOSE(CONTROL!$C$38, 0.0347, 0)</f>
        <v>48.227600000000002</v>
      </c>
      <c r="F669" s="27">
        <f>48.1929 * CHOOSE(CONTROL!$C$15, $E$9, 100%, $G$9) + CHOOSE(CONTROL!$C$38, 0.0256, 0)</f>
        <v>48.218499999999999</v>
      </c>
      <c r="G669" s="10">
        <f>44.5884 * CHOOSE(CONTROL!$C$15, $E$9, 100%, $G$9) + CHOOSE(CONTROL!$C$38, 0.0347, 0)</f>
        <v>44.623100000000001</v>
      </c>
      <c r="H669" s="10">
        <f>44.5884 * CHOOSE(CONTROL!$C$15, $E$9, 100%, $G$9) + CHOOSE(CONTROL!$C$38, 0.0347, 0)</f>
        <v>44.623100000000001</v>
      </c>
      <c r="I669" s="10">
        <f>44.5899 * CHOOSE(CONTROL!$C$15, $E$9, 100%, $G$9) + CHOOSE(CONTROL!$C$38, 0.0347, 0)</f>
        <v>44.624600000000001</v>
      </c>
      <c r="J669" s="26">
        <f>301.1688</f>
        <v>301.16879999999998</v>
      </c>
    </row>
    <row r="670" spans="1:10" ht="15.75" x14ac:dyDescent="0.25">
      <c r="A670" s="13">
        <v>61697</v>
      </c>
      <c r="B670" s="10">
        <f>48.5426 * CHOOSE(CONTROL!$C$15, $E$9, 100%, $G$9) + CHOOSE(CONTROL!$C$38, 0.0256, 0)</f>
        <v>48.568199999999997</v>
      </c>
      <c r="C670" s="10">
        <f>44.7834 * CHOOSE(CONTROL!$C$15, $E$9, 100%, $G$9) + CHOOSE(CONTROL!$C$38, 0.0347, 0)</f>
        <v>44.818100000000001</v>
      </c>
      <c r="D670" s="10">
        <f>44.7756 * CHOOSE(CONTROL!$C$15, $E$9, 100%, $G$9) + CHOOSE(CONTROL!$C$38, 0.0347, 0)</f>
        <v>44.810299999999998</v>
      </c>
      <c r="E670" s="28">
        <f>48.3863 * CHOOSE(CONTROL!$C$15, $E$9, 100%, $G$9) + CHOOSE(CONTROL!$C$38, 0.0347, 0)</f>
        <v>48.420999999999999</v>
      </c>
      <c r="F670" s="27">
        <f>48.3863 * CHOOSE(CONTROL!$C$15, $E$9, 100%, $G$9) + CHOOSE(CONTROL!$C$38, 0.0256, 0)</f>
        <v>48.411899999999996</v>
      </c>
      <c r="G670" s="10">
        <f>44.7818 * CHOOSE(CONTROL!$C$15, $E$9, 100%, $G$9) + CHOOSE(CONTROL!$C$38, 0.0347, 0)</f>
        <v>44.816499999999998</v>
      </c>
      <c r="H670" s="10">
        <f>44.7818 * CHOOSE(CONTROL!$C$15, $E$9, 100%, $G$9) + CHOOSE(CONTROL!$C$38, 0.0347, 0)</f>
        <v>44.816499999999998</v>
      </c>
      <c r="I670" s="10">
        <f>44.7834 * CHOOSE(CONTROL!$C$15, $E$9, 100%, $G$9) + CHOOSE(CONTROL!$C$38, 0.0347, 0)</f>
        <v>44.818100000000001</v>
      </c>
      <c r="J670" s="26">
        <f>299.0229</f>
        <v>299.02289999999999</v>
      </c>
    </row>
    <row r="671" spans="1:10" ht="15.75" x14ac:dyDescent="0.25">
      <c r="A671" s="13">
        <v>61728</v>
      </c>
      <c r="B671" s="10">
        <f>49.1386 * CHOOSE(CONTROL!$C$15, $E$9, 100%, $G$9) + CHOOSE(CONTROL!$C$38, 0.0256, 0)</f>
        <v>49.164199999999994</v>
      </c>
      <c r="C671" s="10">
        <f>45.3794 * CHOOSE(CONTROL!$C$15, $E$9, 100%, $G$9) + CHOOSE(CONTROL!$C$38, 0.0347, 0)</f>
        <v>45.414099999999998</v>
      </c>
      <c r="D671" s="10">
        <f>45.3716 * CHOOSE(CONTROL!$C$15, $E$9, 100%, $G$9) + CHOOSE(CONTROL!$C$38, 0.0347, 0)</f>
        <v>45.406300000000002</v>
      </c>
      <c r="E671" s="28">
        <f>48.9824 * CHOOSE(CONTROL!$C$15, $E$9, 100%, $G$9) + CHOOSE(CONTROL!$C$38, 0.0347, 0)</f>
        <v>49.017099999999999</v>
      </c>
      <c r="F671" s="27">
        <f>48.9824 * CHOOSE(CONTROL!$C$15, $E$9, 100%, $G$9) + CHOOSE(CONTROL!$C$38, 0.0256, 0)</f>
        <v>49.007999999999996</v>
      </c>
      <c r="G671" s="10">
        <f>45.3779 * CHOOSE(CONTROL!$C$15, $E$9, 100%, $G$9) + CHOOSE(CONTROL!$C$38, 0.0347, 0)</f>
        <v>45.412599999999998</v>
      </c>
      <c r="H671" s="10">
        <f>45.3779 * CHOOSE(CONTROL!$C$15, $E$9, 100%, $G$9) + CHOOSE(CONTROL!$C$38, 0.0347, 0)</f>
        <v>45.412599999999998</v>
      </c>
      <c r="I671" s="10">
        <f>45.3794 * CHOOSE(CONTROL!$C$15, $E$9, 100%, $G$9) + CHOOSE(CONTROL!$C$38, 0.0347, 0)</f>
        <v>45.414099999999998</v>
      </c>
      <c r="J671" s="26">
        <f>290.1494</f>
        <v>290.14940000000001</v>
      </c>
    </row>
    <row r="672" spans="1:10" ht="15.75" x14ac:dyDescent="0.25">
      <c r="A672" s="13">
        <v>61759</v>
      </c>
      <c r="B672" s="10">
        <f>50.4568 * CHOOSE(CONTROL!$C$15, $E$9, 100%, $G$9) + CHOOSE(CONTROL!$C$38, 0.0256, 0)</f>
        <v>50.482399999999998</v>
      </c>
      <c r="C672" s="10">
        <f>46.6339 * CHOOSE(CONTROL!$C$15, $E$9, 100%, $G$9) + CHOOSE(CONTROL!$C$38, 0.0347, 0)</f>
        <v>46.668599999999998</v>
      </c>
      <c r="D672" s="10">
        <f>46.6261 * CHOOSE(CONTROL!$C$15, $E$9, 100%, $G$9) + CHOOSE(CONTROL!$C$38, 0.0347, 0)</f>
        <v>46.660800000000002</v>
      </c>
      <c r="E672" s="28">
        <f>50.3005 * CHOOSE(CONTROL!$C$15, $E$9, 100%, $G$9) + CHOOSE(CONTROL!$C$38, 0.0347, 0)</f>
        <v>50.3352</v>
      </c>
      <c r="F672" s="27">
        <f>50.3005 * CHOOSE(CONTROL!$C$15, $E$9, 100%, $G$9) + CHOOSE(CONTROL!$C$38, 0.0256, 0)</f>
        <v>50.326099999999997</v>
      </c>
      <c r="G672" s="10">
        <f>46.6324 * CHOOSE(CONTROL!$C$15, $E$9, 100%, $G$9) + CHOOSE(CONTROL!$C$38, 0.0347, 0)</f>
        <v>46.667099999999998</v>
      </c>
      <c r="H672" s="10">
        <f>46.6324 * CHOOSE(CONTROL!$C$15, $E$9, 100%, $G$9) + CHOOSE(CONTROL!$C$38, 0.0347, 0)</f>
        <v>46.667099999999998</v>
      </c>
      <c r="I672" s="10">
        <f>46.6339 * CHOOSE(CONTROL!$C$15, $E$9, 100%, $G$9) + CHOOSE(CONTROL!$C$38, 0.0347, 0)</f>
        <v>46.668599999999998</v>
      </c>
      <c r="J672" s="26">
        <f>288.2058</f>
        <v>288.20580000000001</v>
      </c>
    </row>
    <row r="673" spans="1:10" ht="15.75" x14ac:dyDescent="0.25">
      <c r="A673" s="13">
        <v>61787</v>
      </c>
      <c r="B673" s="10">
        <f>50.6775 * CHOOSE(CONTROL!$C$15, $E$9, 100%, $G$9) + CHOOSE(CONTROL!$C$38, 0.0256, 0)</f>
        <v>50.703099999999999</v>
      </c>
      <c r="C673" s="10">
        <f>46.8547 * CHOOSE(CONTROL!$C$15, $E$9, 100%, $G$9) + CHOOSE(CONTROL!$C$38, 0.0347, 0)</f>
        <v>46.889400000000002</v>
      </c>
      <c r="D673" s="10">
        <f>46.8469 * CHOOSE(CONTROL!$C$15, $E$9, 100%, $G$9) + CHOOSE(CONTROL!$C$38, 0.0347, 0)</f>
        <v>46.881599999999999</v>
      </c>
      <c r="E673" s="28">
        <f>50.5213 * CHOOSE(CONTROL!$C$15, $E$9, 100%, $G$9) + CHOOSE(CONTROL!$C$38, 0.0347, 0)</f>
        <v>50.555999999999997</v>
      </c>
      <c r="F673" s="27">
        <f>50.5213 * CHOOSE(CONTROL!$C$15, $E$9, 100%, $G$9) + CHOOSE(CONTROL!$C$38, 0.0256, 0)</f>
        <v>50.546899999999994</v>
      </c>
      <c r="G673" s="10">
        <f>46.8531 * CHOOSE(CONTROL!$C$15, $E$9, 100%, $G$9) + CHOOSE(CONTROL!$C$38, 0.0347, 0)</f>
        <v>46.887799999999999</v>
      </c>
      <c r="H673" s="10">
        <f>46.8531 * CHOOSE(CONTROL!$C$15, $E$9, 100%, $G$9) + CHOOSE(CONTROL!$C$38, 0.0347, 0)</f>
        <v>46.887799999999999</v>
      </c>
      <c r="I673" s="10">
        <f>46.8547 * CHOOSE(CONTROL!$C$15, $E$9, 100%, $G$9) + CHOOSE(CONTROL!$C$38, 0.0347, 0)</f>
        <v>46.889400000000002</v>
      </c>
      <c r="J673" s="26">
        <f>287.4047</f>
        <v>287.40469999999999</v>
      </c>
    </row>
    <row r="674" spans="1:10" ht="15.75" x14ac:dyDescent="0.25">
      <c r="A674" s="13">
        <v>61818</v>
      </c>
      <c r="B674" s="10">
        <f>50.1665 * CHOOSE(CONTROL!$C$15, $E$9, 100%, $G$9) + CHOOSE(CONTROL!$C$38, 0.0256, 0)</f>
        <v>50.192099999999996</v>
      </c>
      <c r="C674" s="10">
        <f>46.3437 * CHOOSE(CONTROL!$C$15, $E$9, 100%, $G$9) + CHOOSE(CONTROL!$C$38, 0.0347, 0)</f>
        <v>46.378399999999999</v>
      </c>
      <c r="D674" s="10">
        <f>46.3358 * CHOOSE(CONTROL!$C$15, $E$9, 100%, $G$9) + CHOOSE(CONTROL!$C$38, 0.0347, 0)</f>
        <v>46.3705</v>
      </c>
      <c r="E674" s="28">
        <f>50.0103 * CHOOSE(CONTROL!$C$15, $E$9, 100%, $G$9) + CHOOSE(CONTROL!$C$38, 0.0347, 0)</f>
        <v>50.045000000000002</v>
      </c>
      <c r="F674" s="27">
        <f>50.0103 * CHOOSE(CONTROL!$C$15, $E$9, 100%, $G$9) + CHOOSE(CONTROL!$C$38, 0.0256, 0)</f>
        <v>50.035899999999998</v>
      </c>
      <c r="G674" s="10">
        <f>46.3421 * CHOOSE(CONTROL!$C$15, $E$9, 100%, $G$9) + CHOOSE(CONTROL!$C$38, 0.0347, 0)</f>
        <v>46.376800000000003</v>
      </c>
      <c r="H674" s="10">
        <f>46.3421 * CHOOSE(CONTROL!$C$15, $E$9, 100%, $G$9) + CHOOSE(CONTROL!$C$38, 0.0347, 0)</f>
        <v>46.376800000000003</v>
      </c>
      <c r="I674" s="10">
        <f>46.3437 * CHOOSE(CONTROL!$C$15, $E$9, 100%, $G$9) + CHOOSE(CONTROL!$C$38, 0.0347, 0)</f>
        <v>46.378399999999999</v>
      </c>
      <c r="J674" s="26">
        <f>302.5526</f>
        <v>302.55259999999998</v>
      </c>
    </row>
    <row r="675" spans="1:10" ht="15.75" x14ac:dyDescent="0.25">
      <c r="A675" s="13">
        <v>61848</v>
      </c>
      <c r="B675" s="10">
        <f>49.6713 * CHOOSE(CONTROL!$C$15, $E$9, 100%, $G$9) + CHOOSE(CONTROL!$C$38, 0.0256, 0)</f>
        <v>49.696899999999999</v>
      </c>
      <c r="C675" s="10">
        <f>45.8485 * CHOOSE(CONTROL!$C$15, $E$9, 100%, $G$9) + CHOOSE(CONTROL!$C$38, 0.0347, 0)</f>
        <v>45.883200000000002</v>
      </c>
      <c r="D675" s="10">
        <f>45.8407 * CHOOSE(CONTROL!$C$15, $E$9, 100%, $G$9) + CHOOSE(CONTROL!$C$38, 0.0347, 0)</f>
        <v>45.875399999999999</v>
      </c>
      <c r="E675" s="28">
        <f>49.5151 * CHOOSE(CONTROL!$C$15, $E$9, 100%, $G$9) + CHOOSE(CONTROL!$C$38, 0.0347, 0)</f>
        <v>49.549799999999998</v>
      </c>
      <c r="F675" s="27">
        <f>49.5151 * CHOOSE(CONTROL!$C$15, $E$9, 100%, $G$9) + CHOOSE(CONTROL!$C$38, 0.0256, 0)</f>
        <v>49.540699999999994</v>
      </c>
      <c r="G675" s="10">
        <f>45.8469 * CHOOSE(CONTROL!$C$15, $E$9, 100%, $G$9) + CHOOSE(CONTROL!$C$38, 0.0347, 0)</f>
        <v>45.881599999999999</v>
      </c>
      <c r="H675" s="10">
        <f>45.8469 * CHOOSE(CONTROL!$C$15, $E$9, 100%, $G$9) + CHOOSE(CONTROL!$C$38, 0.0347, 0)</f>
        <v>45.881599999999999</v>
      </c>
      <c r="I675" s="10">
        <f>45.8485 * CHOOSE(CONTROL!$C$15, $E$9, 100%, $G$9) + CHOOSE(CONTROL!$C$38, 0.0347, 0)</f>
        <v>45.883200000000002</v>
      </c>
      <c r="J675" s="26">
        <f>322.1958</f>
        <v>322.19580000000002</v>
      </c>
    </row>
    <row r="676" spans="1:10" ht="15.75" x14ac:dyDescent="0.25">
      <c r="A676" s="13">
        <v>61879</v>
      </c>
      <c r="B676" s="10">
        <f>49.1552 * CHOOSE(CONTROL!$C$15, $E$9, 100%, $G$9) + CHOOSE(CONTROL!$C$38, 0.0256, 0)</f>
        <v>49.180799999999998</v>
      </c>
      <c r="C676" s="10">
        <f>45.3324 * CHOOSE(CONTROL!$C$15, $E$9, 100%, $G$9) + CHOOSE(CONTROL!$C$38, 0.0347, 0)</f>
        <v>45.367100000000001</v>
      </c>
      <c r="D676" s="10">
        <f>45.3246 * CHOOSE(CONTROL!$C$15, $E$9, 100%, $G$9) + CHOOSE(CONTROL!$C$38, 0.0347, 0)</f>
        <v>45.359299999999998</v>
      </c>
      <c r="E676" s="28">
        <f>48.999 * CHOOSE(CONTROL!$C$15, $E$9, 100%, $G$9) + CHOOSE(CONTROL!$C$38, 0.0347, 0)</f>
        <v>49.033700000000003</v>
      </c>
      <c r="F676" s="27">
        <f>48.999 * CHOOSE(CONTROL!$C$15, $E$9, 100%, $G$9) + CHOOSE(CONTROL!$C$38, 0.0256, 0)</f>
        <v>49.0246</v>
      </c>
      <c r="G676" s="10">
        <f>45.3308 * CHOOSE(CONTROL!$C$15, $E$9, 100%, $G$9) + CHOOSE(CONTROL!$C$38, 0.0347, 0)</f>
        <v>45.365500000000004</v>
      </c>
      <c r="H676" s="10">
        <f>45.3308 * CHOOSE(CONTROL!$C$15, $E$9, 100%, $G$9) + CHOOSE(CONTROL!$C$38, 0.0347, 0)</f>
        <v>45.365500000000004</v>
      </c>
      <c r="I676" s="10">
        <f>45.3324 * CHOOSE(CONTROL!$C$15, $E$9, 100%, $G$9) + CHOOSE(CONTROL!$C$38, 0.0347, 0)</f>
        <v>45.367100000000001</v>
      </c>
      <c r="J676" s="26">
        <f>333.0081</f>
        <v>333.00810000000001</v>
      </c>
    </row>
    <row r="677" spans="1:10" ht="15.75" x14ac:dyDescent="0.25">
      <c r="A677" s="13">
        <v>61909</v>
      </c>
      <c r="B677" s="10">
        <f>48.7934 * CHOOSE(CONTROL!$C$15, $E$9, 100%, $G$9) + CHOOSE(CONTROL!$C$38, 0.0256, 0)</f>
        <v>48.818999999999996</v>
      </c>
      <c r="C677" s="10">
        <f>44.9705 * CHOOSE(CONTROL!$C$15, $E$9, 100%, $G$9) + CHOOSE(CONTROL!$C$38, 0.0347, 0)</f>
        <v>45.005200000000002</v>
      </c>
      <c r="D677" s="10">
        <f>44.9627 * CHOOSE(CONTROL!$C$15, $E$9, 100%, $G$9) + CHOOSE(CONTROL!$C$38, 0.0347, 0)</f>
        <v>44.997399999999999</v>
      </c>
      <c r="E677" s="28">
        <f>48.6371 * CHOOSE(CONTROL!$C$15, $E$9, 100%, $G$9) + CHOOSE(CONTROL!$C$38, 0.0347, 0)</f>
        <v>48.671799999999998</v>
      </c>
      <c r="F677" s="27">
        <f>48.6371 * CHOOSE(CONTROL!$C$15, $E$9, 100%, $G$9) + CHOOSE(CONTROL!$C$38, 0.0256, 0)</f>
        <v>48.662699999999994</v>
      </c>
      <c r="G677" s="10">
        <f>44.969 * CHOOSE(CONTROL!$C$15, $E$9, 100%, $G$9) + CHOOSE(CONTROL!$C$38, 0.0347, 0)</f>
        <v>45.003700000000002</v>
      </c>
      <c r="H677" s="10">
        <f>44.969 * CHOOSE(CONTROL!$C$15, $E$9, 100%, $G$9) + CHOOSE(CONTROL!$C$38, 0.0347, 0)</f>
        <v>45.003700000000002</v>
      </c>
      <c r="I677" s="10">
        <f>44.9705 * CHOOSE(CONTROL!$C$15, $E$9, 100%, $G$9) + CHOOSE(CONTROL!$C$38, 0.0347, 0)</f>
        <v>45.005200000000002</v>
      </c>
      <c r="J677" s="26">
        <f>337.8064</f>
        <v>337.8064</v>
      </c>
    </row>
    <row r="678" spans="1:10" ht="15.75" x14ac:dyDescent="0.25">
      <c r="A678" s="13">
        <v>61940</v>
      </c>
      <c r="B678" s="10">
        <f>48.5869 * CHOOSE(CONTROL!$C$15, $E$9, 100%, $G$9) + CHOOSE(CONTROL!$C$38, 0.0256, 0)</f>
        <v>48.612499999999997</v>
      </c>
      <c r="C678" s="10">
        <f>44.764 * CHOOSE(CONTROL!$C$15, $E$9, 100%, $G$9) + CHOOSE(CONTROL!$C$38, 0.0347, 0)</f>
        <v>44.798700000000004</v>
      </c>
      <c r="D678" s="10">
        <f>44.7562 * CHOOSE(CONTROL!$C$15, $E$9, 100%, $G$9) + CHOOSE(CONTROL!$C$38, 0.0347, 0)</f>
        <v>44.790900000000001</v>
      </c>
      <c r="E678" s="28">
        <f>48.4306 * CHOOSE(CONTROL!$C$15, $E$9, 100%, $G$9) + CHOOSE(CONTROL!$C$38, 0.0347, 0)</f>
        <v>48.465299999999999</v>
      </c>
      <c r="F678" s="27">
        <f>48.4306 * CHOOSE(CONTROL!$C$15, $E$9, 100%, $G$9) + CHOOSE(CONTROL!$C$38, 0.0256, 0)</f>
        <v>48.456199999999995</v>
      </c>
      <c r="G678" s="10">
        <f>44.7625 * CHOOSE(CONTROL!$C$15, $E$9, 100%, $G$9) + CHOOSE(CONTROL!$C$38, 0.0347, 0)</f>
        <v>44.797200000000004</v>
      </c>
      <c r="H678" s="10">
        <f>44.7625 * CHOOSE(CONTROL!$C$15, $E$9, 100%, $G$9) + CHOOSE(CONTROL!$C$38, 0.0347, 0)</f>
        <v>44.797200000000004</v>
      </c>
      <c r="I678" s="10">
        <f>44.764 * CHOOSE(CONTROL!$C$15, $E$9, 100%, $G$9) + CHOOSE(CONTROL!$C$38, 0.0347, 0)</f>
        <v>44.798700000000004</v>
      </c>
      <c r="J678" s="26">
        <f>336.2265</f>
        <v>336.22649999999999</v>
      </c>
    </row>
    <row r="679" spans="1:10" ht="15.75" x14ac:dyDescent="0.25">
      <c r="A679" s="13">
        <v>61971</v>
      </c>
      <c r="B679" s="10">
        <f>48.6888 * CHOOSE(CONTROL!$C$15, $E$9, 100%, $G$9) + CHOOSE(CONTROL!$C$38, 0.0256, 0)</f>
        <v>48.714399999999998</v>
      </c>
      <c r="C679" s="10">
        <f>44.8659 * CHOOSE(CONTROL!$C$15, $E$9, 100%, $G$9) + CHOOSE(CONTROL!$C$38, 0.0347, 0)</f>
        <v>44.900600000000004</v>
      </c>
      <c r="D679" s="10">
        <f>44.8581 * CHOOSE(CONTROL!$C$15, $E$9, 100%, $G$9) + CHOOSE(CONTROL!$C$38, 0.0347, 0)</f>
        <v>44.892800000000001</v>
      </c>
      <c r="E679" s="28">
        <f>48.5326 * CHOOSE(CONTROL!$C$15, $E$9, 100%, $G$9) + CHOOSE(CONTROL!$C$38, 0.0347, 0)</f>
        <v>48.567300000000003</v>
      </c>
      <c r="F679" s="27">
        <f>48.5326 * CHOOSE(CONTROL!$C$15, $E$9, 100%, $G$9) + CHOOSE(CONTROL!$C$38, 0.0256, 0)</f>
        <v>48.558199999999999</v>
      </c>
      <c r="G679" s="10">
        <f>44.8644 * CHOOSE(CONTROL!$C$15, $E$9, 100%, $G$9) + CHOOSE(CONTROL!$C$38, 0.0347, 0)</f>
        <v>44.899100000000004</v>
      </c>
      <c r="H679" s="10">
        <f>44.8644 * CHOOSE(CONTROL!$C$15, $E$9, 100%, $G$9) + CHOOSE(CONTROL!$C$38, 0.0347, 0)</f>
        <v>44.899100000000004</v>
      </c>
      <c r="I679" s="10">
        <f>44.8659 * CHOOSE(CONTROL!$C$15, $E$9, 100%, $G$9) + CHOOSE(CONTROL!$C$38, 0.0347, 0)</f>
        <v>44.900600000000004</v>
      </c>
      <c r="J679" s="26">
        <f>328.3993</f>
        <v>328.39929999999998</v>
      </c>
    </row>
    <row r="680" spans="1:10" ht="15.75" x14ac:dyDescent="0.25">
      <c r="A680" s="13">
        <v>62001</v>
      </c>
      <c r="B680" s="10">
        <f>48.9656 * CHOOSE(CONTROL!$C$15, $E$9, 100%, $G$9) + CHOOSE(CONTROL!$C$38, 0.0256, 0)</f>
        <v>48.991199999999999</v>
      </c>
      <c r="C680" s="10">
        <f>45.1427 * CHOOSE(CONTROL!$C$15, $E$9, 100%, $G$9) + CHOOSE(CONTROL!$C$38, 0.0347, 0)</f>
        <v>45.177399999999999</v>
      </c>
      <c r="D680" s="10">
        <f>45.1349 * CHOOSE(CONTROL!$C$15, $E$9, 100%, $G$9) + CHOOSE(CONTROL!$C$38, 0.0347, 0)</f>
        <v>45.169600000000003</v>
      </c>
      <c r="E680" s="28">
        <f>48.8094 * CHOOSE(CONTROL!$C$15, $E$9, 100%, $G$9) + CHOOSE(CONTROL!$C$38, 0.0347, 0)</f>
        <v>48.844099999999997</v>
      </c>
      <c r="F680" s="27">
        <f>48.8094 * CHOOSE(CONTROL!$C$15, $E$9, 100%, $G$9) + CHOOSE(CONTROL!$C$38, 0.0256, 0)</f>
        <v>48.834999999999994</v>
      </c>
      <c r="G680" s="10">
        <f>45.1412 * CHOOSE(CONTROL!$C$15, $E$9, 100%, $G$9) + CHOOSE(CONTROL!$C$38, 0.0347, 0)</f>
        <v>45.175899999999999</v>
      </c>
      <c r="H680" s="10">
        <f>45.1412 * CHOOSE(CONTROL!$C$15, $E$9, 100%, $G$9) + CHOOSE(CONTROL!$C$38, 0.0347, 0)</f>
        <v>45.175899999999999</v>
      </c>
      <c r="I680" s="10">
        <f>45.1427 * CHOOSE(CONTROL!$C$15, $E$9, 100%, $G$9) + CHOOSE(CONTROL!$C$38, 0.0347, 0)</f>
        <v>45.177399999999999</v>
      </c>
      <c r="J680" s="26">
        <f>317.4839</f>
        <v>317.48390000000001</v>
      </c>
    </row>
    <row r="681" spans="1:10" ht="15.75" x14ac:dyDescent="0.25">
      <c r="A681" s="13">
        <v>62032</v>
      </c>
      <c r="B681" s="10">
        <f>49.1974 * CHOOSE(CONTROL!$C$15, $E$9, 100%, $G$9) + CHOOSE(CONTROL!$C$38, 0.0256, 0)</f>
        <v>49.222999999999999</v>
      </c>
      <c r="C681" s="10">
        <f>45.3746 * CHOOSE(CONTROL!$C$15, $E$9, 100%, $G$9) + CHOOSE(CONTROL!$C$38, 0.0347, 0)</f>
        <v>45.409300000000002</v>
      </c>
      <c r="D681" s="10">
        <f>45.3668 * CHOOSE(CONTROL!$C$15, $E$9, 100%, $G$9) + CHOOSE(CONTROL!$C$38, 0.0347, 0)</f>
        <v>45.401499999999999</v>
      </c>
      <c r="E681" s="28">
        <f>49.0412 * CHOOSE(CONTROL!$C$15, $E$9, 100%, $G$9) + CHOOSE(CONTROL!$C$38, 0.0347, 0)</f>
        <v>49.075900000000004</v>
      </c>
      <c r="F681" s="27">
        <f>49.0412 * CHOOSE(CONTROL!$C$15, $E$9, 100%, $G$9) + CHOOSE(CONTROL!$C$38, 0.0256, 0)</f>
        <v>49.066800000000001</v>
      </c>
      <c r="G681" s="10">
        <f>45.373 * CHOOSE(CONTROL!$C$15, $E$9, 100%, $G$9) + CHOOSE(CONTROL!$C$38, 0.0347, 0)</f>
        <v>45.407699999999998</v>
      </c>
      <c r="H681" s="10">
        <f>45.373 * CHOOSE(CONTROL!$C$15, $E$9, 100%, $G$9) + CHOOSE(CONTROL!$C$38, 0.0347, 0)</f>
        <v>45.407699999999998</v>
      </c>
      <c r="I681" s="10">
        <f>45.3746 * CHOOSE(CONTROL!$C$15, $E$9, 100%, $G$9) + CHOOSE(CONTROL!$C$38, 0.0347, 0)</f>
        <v>45.409300000000002</v>
      </c>
      <c r="J681" s="26">
        <f>306.505</f>
        <v>306.505</v>
      </c>
    </row>
    <row r="682" spans="1:10" ht="15.75" x14ac:dyDescent="0.25">
      <c r="A682" s="13">
        <v>62062</v>
      </c>
      <c r="B682" s="10">
        <f>49.3909 * CHOOSE(CONTROL!$C$15, $E$9, 100%, $G$9) + CHOOSE(CONTROL!$C$38, 0.0256, 0)</f>
        <v>49.416499999999999</v>
      </c>
      <c r="C682" s="10">
        <f>45.568 * CHOOSE(CONTROL!$C$15, $E$9, 100%, $G$9) + CHOOSE(CONTROL!$C$38, 0.0347, 0)</f>
        <v>45.602699999999999</v>
      </c>
      <c r="D682" s="10">
        <f>45.5602 * CHOOSE(CONTROL!$C$15, $E$9, 100%, $G$9) + CHOOSE(CONTROL!$C$38, 0.0347, 0)</f>
        <v>45.594900000000003</v>
      </c>
      <c r="E682" s="28">
        <f>49.2346 * CHOOSE(CONTROL!$C$15, $E$9, 100%, $G$9) + CHOOSE(CONTROL!$C$38, 0.0347, 0)</f>
        <v>49.269300000000001</v>
      </c>
      <c r="F682" s="27">
        <f>49.2346 * CHOOSE(CONTROL!$C$15, $E$9, 100%, $G$9) + CHOOSE(CONTROL!$C$38, 0.0256, 0)</f>
        <v>49.260199999999998</v>
      </c>
      <c r="G682" s="10">
        <f>45.5664 * CHOOSE(CONTROL!$C$15, $E$9, 100%, $G$9) + CHOOSE(CONTROL!$C$38, 0.0347, 0)</f>
        <v>45.601100000000002</v>
      </c>
      <c r="H682" s="10">
        <f>45.5664 * CHOOSE(CONTROL!$C$15, $E$9, 100%, $G$9) + CHOOSE(CONTROL!$C$38, 0.0347, 0)</f>
        <v>45.601100000000002</v>
      </c>
      <c r="I682" s="10">
        <f>45.568 * CHOOSE(CONTROL!$C$15, $E$9, 100%, $G$9) + CHOOSE(CONTROL!$C$38, 0.0347, 0)</f>
        <v>45.602699999999999</v>
      </c>
      <c r="J682" s="26">
        <f>304.3211</f>
        <v>304.3211</v>
      </c>
    </row>
    <row r="683" spans="1:10" ht="15.75" x14ac:dyDescent="0.25">
      <c r="A683" s="13">
        <v>62093</v>
      </c>
      <c r="B683" s="10">
        <f>49.9869 * CHOOSE(CONTROL!$C$15, $E$9, 100%, $G$9) + CHOOSE(CONTROL!$C$38, 0.0256, 0)</f>
        <v>50.012499999999996</v>
      </c>
      <c r="C683" s="10">
        <f>46.1641 * CHOOSE(CONTROL!$C$15, $E$9, 100%, $G$9) + CHOOSE(CONTROL!$C$38, 0.0347, 0)</f>
        <v>46.198799999999999</v>
      </c>
      <c r="D683" s="10">
        <f>46.1563 * CHOOSE(CONTROL!$C$15, $E$9, 100%, $G$9) + CHOOSE(CONTROL!$C$38, 0.0347, 0)</f>
        <v>46.191000000000003</v>
      </c>
      <c r="E683" s="28">
        <f>49.8307 * CHOOSE(CONTROL!$C$15, $E$9, 100%, $G$9) + CHOOSE(CONTROL!$C$38, 0.0347, 0)</f>
        <v>49.865400000000001</v>
      </c>
      <c r="F683" s="27">
        <f>49.8307 * CHOOSE(CONTROL!$C$15, $E$9, 100%, $G$9) + CHOOSE(CONTROL!$C$38, 0.0256, 0)</f>
        <v>49.856299999999997</v>
      </c>
      <c r="G683" s="10">
        <f>46.1625 * CHOOSE(CONTROL!$C$15, $E$9, 100%, $G$9) + CHOOSE(CONTROL!$C$38, 0.0347, 0)</f>
        <v>46.197200000000002</v>
      </c>
      <c r="H683" s="10">
        <f>46.1625 * CHOOSE(CONTROL!$C$15, $E$9, 100%, $G$9) + CHOOSE(CONTROL!$C$38, 0.0347, 0)</f>
        <v>46.197200000000002</v>
      </c>
      <c r="I683" s="10">
        <f>46.1641 * CHOOSE(CONTROL!$C$15, $E$9, 100%, $G$9) + CHOOSE(CONTROL!$C$38, 0.0347, 0)</f>
        <v>46.198799999999999</v>
      </c>
      <c r="J683" s="26">
        <f>295.2903</f>
        <v>295.2903</v>
      </c>
    </row>
    <row r="684" spans="1:10" ht="15.75" x14ac:dyDescent="0.25">
      <c r="A684" s="13">
        <v>62124</v>
      </c>
      <c r="B684" s="10">
        <f>51.3201 * CHOOSE(CONTROL!$C$15, $E$9, 100%, $G$9) + CHOOSE(CONTROL!$C$38, 0.0256, 0)</f>
        <v>51.345699999999994</v>
      </c>
      <c r="C684" s="10">
        <f>47.4324 * CHOOSE(CONTROL!$C$15, $E$9, 100%, $G$9) + CHOOSE(CONTROL!$C$38, 0.0347, 0)</f>
        <v>47.467100000000002</v>
      </c>
      <c r="D684" s="10">
        <f>47.4246 * CHOOSE(CONTROL!$C$15, $E$9, 100%, $G$9) + CHOOSE(CONTROL!$C$38, 0.0347, 0)</f>
        <v>47.459299999999999</v>
      </c>
      <c r="E684" s="28">
        <f>51.1638 * CHOOSE(CONTROL!$C$15, $E$9, 100%, $G$9) + CHOOSE(CONTROL!$C$38, 0.0347, 0)</f>
        <v>51.198500000000003</v>
      </c>
      <c r="F684" s="27">
        <f>51.1638 * CHOOSE(CONTROL!$C$15, $E$9, 100%, $G$9) + CHOOSE(CONTROL!$C$38, 0.0256, 0)</f>
        <v>51.189399999999999</v>
      </c>
      <c r="G684" s="10">
        <f>47.4309 * CHOOSE(CONTROL!$C$15, $E$9, 100%, $G$9) + CHOOSE(CONTROL!$C$38, 0.0347, 0)</f>
        <v>47.465600000000002</v>
      </c>
      <c r="H684" s="10">
        <f>47.4309 * CHOOSE(CONTROL!$C$15, $E$9, 100%, $G$9) + CHOOSE(CONTROL!$C$38, 0.0347, 0)</f>
        <v>47.465600000000002</v>
      </c>
      <c r="I684" s="10">
        <f>47.4324 * CHOOSE(CONTROL!$C$15, $E$9, 100%, $G$9) + CHOOSE(CONTROL!$C$38, 0.0347, 0)</f>
        <v>47.467100000000002</v>
      </c>
      <c r="J684" s="26">
        <f>293.3123</f>
        <v>293.31229999999999</v>
      </c>
    </row>
    <row r="685" spans="1:10" ht="15.75" x14ac:dyDescent="0.25">
      <c r="A685" s="13">
        <v>62152</v>
      </c>
      <c r="B685" s="10">
        <f>51.5408 * CHOOSE(CONTROL!$C$15, $E$9, 100%, $G$9) + CHOOSE(CONTROL!$C$38, 0.0256, 0)</f>
        <v>51.566399999999994</v>
      </c>
      <c r="C685" s="10">
        <f>47.6532 * CHOOSE(CONTROL!$C$15, $E$9, 100%, $G$9) + CHOOSE(CONTROL!$C$38, 0.0347, 0)</f>
        <v>47.687899999999999</v>
      </c>
      <c r="D685" s="10">
        <f>47.6454 * CHOOSE(CONTROL!$C$15, $E$9, 100%, $G$9) + CHOOSE(CONTROL!$C$38, 0.0347, 0)</f>
        <v>47.680100000000003</v>
      </c>
      <c r="E685" s="28">
        <f>51.3846 * CHOOSE(CONTROL!$C$15, $E$9, 100%, $G$9) + CHOOSE(CONTROL!$C$38, 0.0347, 0)</f>
        <v>51.4193</v>
      </c>
      <c r="F685" s="27">
        <f>51.3846 * CHOOSE(CONTROL!$C$15, $E$9, 100%, $G$9) + CHOOSE(CONTROL!$C$38, 0.0256, 0)</f>
        <v>51.410199999999996</v>
      </c>
      <c r="G685" s="10">
        <f>47.6516 * CHOOSE(CONTROL!$C$15, $E$9, 100%, $G$9) + CHOOSE(CONTROL!$C$38, 0.0347, 0)</f>
        <v>47.686300000000003</v>
      </c>
      <c r="H685" s="10">
        <f>47.6516 * CHOOSE(CONTROL!$C$15, $E$9, 100%, $G$9) + CHOOSE(CONTROL!$C$38, 0.0347, 0)</f>
        <v>47.686300000000003</v>
      </c>
      <c r="I685" s="10">
        <f>47.6532 * CHOOSE(CONTROL!$C$15, $E$9, 100%, $G$9) + CHOOSE(CONTROL!$C$38, 0.0347, 0)</f>
        <v>47.687899999999999</v>
      </c>
      <c r="J685" s="26">
        <f>292.497</f>
        <v>292.49700000000001</v>
      </c>
    </row>
    <row r="686" spans="1:10" ht="15.75" x14ac:dyDescent="0.25">
      <c r="A686" s="13">
        <v>62183</v>
      </c>
      <c r="B686" s="10">
        <f>51.0298 * CHOOSE(CONTROL!$C$15, $E$9, 100%, $G$9) + CHOOSE(CONTROL!$C$38, 0.0256, 0)</f>
        <v>51.055399999999999</v>
      </c>
      <c r="C686" s="10">
        <f>47.1422 * CHOOSE(CONTROL!$C$15, $E$9, 100%, $G$9) + CHOOSE(CONTROL!$C$38, 0.0347, 0)</f>
        <v>47.176900000000003</v>
      </c>
      <c r="D686" s="10">
        <f>47.1344 * CHOOSE(CONTROL!$C$15, $E$9, 100%, $G$9) + CHOOSE(CONTROL!$C$38, 0.0347, 0)</f>
        <v>47.1691</v>
      </c>
      <c r="E686" s="28">
        <f>50.8736 * CHOOSE(CONTROL!$C$15, $E$9, 100%, $G$9) + CHOOSE(CONTROL!$C$38, 0.0347, 0)</f>
        <v>50.908300000000004</v>
      </c>
      <c r="F686" s="27">
        <f>50.8736 * CHOOSE(CONTROL!$C$15, $E$9, 100%, $G$9) + CHOOSE(CONTROL!$C$38, 0.0256, 0)</f>
        <v>50.8992</v>
      </c>
      <c r="G686" s="10">
        <f>47.1406 * CHOOSE(CONTROL!$C$15, $E$9, 100%, $G$9) + CHOOSE(CONTROL!$C$38, 0.0347, 0)</f>
        <v>47.1753</v>
      </c>
      <c r="H686" s="10">
        <f>47.1406 * CHOOSE(CONTROL!$C$15, $E$9, 100%, $G$9) + CHOOSE(CONTROL!$C$38, 0.0347, 0)</f>
        <v>47.1753</v>
      </c>
      <c r="I686" s="10">
        <f>47.1422 * CHOOSE(CONTROL!$C$15, $E$9, 100%, $G$9) + CHOOSE(CONTROL!$C$38, 0.0347, 0)</f>
        <v>47.176900000000003</v>
      </c>
      <c r="J686" s="26">
        <f>307.9133</f>
        <v>307.91329999999999</v>
      </c>
    </row>
    <row r="687" spans="1:10" ht="15.75" x14ac:dyDescent="0.25">
      <c r="A687" s="13">
        <v>62213</v>
      </c>
      <c r="B687" s="10">
        <f>50.5346 * CHOOSE(CONTROL!$C$15, $E$9, 100%, $G$9) + CHOOSE(CONTROL!$C$38, 0.0256, 0)</f>
        <v>50.560199999999995</v>
      </c>
      <c r="C687" s="10">
        <f>46.647 * CHOOSE(CONTROL!$C$15, $E$9, 100%, $G$9) + CHOOSE(CONTROL!$C$38, 0.0347, 0)</f>
        <v>46.681699999999999</v>
      </c>
      <c r="D687" s="10">
        <f>46.6392 * CHOOSE(CONTROL!$C$15, $E$9, 100%, $G$9) + CHOOSE(CONTROL!$C$38, 0.0347, 0)</f>
        <v>46.673900000000003</v>
      </c>
      <c r="E687" s="28">
        <f>50.3784 * CHOOSE(CONTROL!$C$15, $E$9, 100%, $G$9) + CHOOSE(CONTROL!$C$38, 0.0347, 0)</f>
        <v>50.4131</v>
      </c>
      <c r="F687" s="27">
        <f>50.3784 * CHOOSE(CONTROL!$C$15, $E$9, 100%, $G$9) + CHOOSE(CONTROL!$C$38, 0.0256, 0)</f>
        <v>50.403999999999996</v>
      </c>
      <c r="G687" s="10">
        <f>46.6454 * CHOOSE(CONTROL!$C$15, $E$9, 100%, $G$9) + CHOOSE(CONTROL!$C$38, 0.0347, 0)</f>
        <v>46.680100000000003</v>
      </c>
      <c r="H687" s="10">
        <f>46.6454 * CHOOSE(CONTROL!$C$15, $E$9, 100%, $G$9) + CHOOSE(CONTROL!$C$38, 0.0347, 0)</f>
        <v>46.680100000000003</v>
      </c>
      <c r="I687" s="10">
        <f>46.647 * CHOOSE(CONTROL!$C$15, $E$9, 100%, $G$9) + CHOOSE(CONTROL!$C$38, 0.0347, 0)</f>
        <v>46.681699999999999</v>
      </c>
      <c r="J687" s="26">
        <f>327.9045</f>
        <v>327.90449999999998</v>
      </c>
    </row>
    <row r="688" spans="1:10" ht="15.75" x14ac:dyDescent="0.25">
      <c r="A688" s="13">
        <v>62244</v>
      </c>
      <c r="B688" s="10">
        <f>50.0185 * CHOOSE(CONTROL!$C$15, $E$9, 100%, $G$9) + CHOOSE(CONTROL!$C$38, 0.0256, 0)</f>
        <v>50.0441</v>
      </c>
      <c r="C688" s="10">
        <f>46.1309 * CHOOSE(CONTROL!$C$15, $E$9, 100%, $G$9) + CHOOSE(CONTROL!$C$38, 0.0347, 0)</f>
        <v>46.165599999999998</v>
      </c>
      <c r="D688" s="10">
        <f>46.1231 * CHOOSE(CONTROL!$C$15, $E$9, 100%, $G$9) + CHOOSE(CONTROL!$C$38, 0.0347, 0)</f>
        <v>46.157800000000002</v>
      </c>
      <c r="E688" s="28">
        <f>49.8623 * CHOOSE(CONTROL!$C$15, $E$9, 100%, $G$9) + CHOOSE(CONTROL!$C$38, 0.0347, 0)</f>
        <v>49.896999999999998</v>
      </c>
      <c r="F688" s="27">
        <f>49.8623 * CHOOSE(CONTROL!$C$15, $E$9, 100%, $G$9) + CHOOSE(CONTROL!$C$38, 0.0256, 0)</f>
        <v>49.887899999999995</v>
      </c>
      <c r="G688" s="10">
        <f>46.1293 * CHOOSE(CONTROL!$C$15, $E$9, 100%, $G$9) + CHOOSE(CONTROL!$C$38, 0.0347, 0)</f>
        <v>46.164000000000001</v>
      </c>
      <c r="H688" s="10">
        <f>46.1293 * CHOOSE(CONTROL!$C$15, $E$9, 100%, $G$9) + CHOOSE(CONTROL!$C$38, 0.0347, 0)</f>
        <v>46.164000000000001</v>
      </c>
      <c r="I688" s="10">
        <f>46.1309 * CHOOSE(CONTROL!$C$15, $E$9, 100%, $G$9) + CHOOSE(CONTROL!$C$38, 0.0347, 0)</f>
        <v>46.165599999999998</v>
      </c>
      <c r="J688" s="26">
        <f>338.9083</f>
        <v>338.9083</v>
      </c>
    </row>
    <row r="689" spans="1:10" ht="15.75" x14ac:dyDescent="0.25">
      <c r="A689" s="13">
        <v>62274</v>
      </c>
      <c r="B689" s="10">
        <f>49.6567 * CHOOSE(CONTROL!$C$15, $E$9, 100%, $G$9) + CHOOSE(CONTROL!$C$38, 0.0256, 0)</f>
        <v>49.682299999999998</v>
      </c>
      <c r="C689" s="10">
        <f>45.769 * CHOOSE(CONTROL!$C$15, $E$9, 100%, $G$9) + CHOOSE(CONTROL!$C$38, 0.0347, 0)</f>
        <v>45.803699999999999</v>
      </c>
      <c r="D689" s="10">
        <f>45.7612 * CHOOSE(CONTROL!$C$15, $E$9, 100%, $G$9) + CHOOSE(CONTROL!$C$38, 0.0347, 0)</f>
        <v>45.795900000000003</v>
      </c>
      <c r="E689" s="28">
        <f>49.5004 * CHOOSE(CONTROL!$C$15, $E$9, 100%, $G$9) + CHOOSE(CONTROL!$C$38, 0.0347, 0)</f>
        <v>49.5351</v>
      </c>
      <c r="F689" s="27">
        <f>49.5004 * CHOOSE(CONTROL!$C$15, $E$9, 100%, $G$9) + CHOOSE(CONTROL!$C$38, 0.0256, 0)</f>
        <v>49.525999999999996</v>
      </c>
      <c r="G689" s="10">
        <f>45.7675 * CHOOSE(CONTROL!$C$15, $E$9, 100%, $G$9) + CHOOSE(CONTROL!$C$38, 0.0347, 0)</f>
        <v>45.802199999999999</v>
      </c>
      <c r="H689" s="10">
        <f>45.7675 * CHOOSE(CONTROL!$C$15, $E$9, 100%, $G$9) + CHOOSE(CONTROL!$C$38, 0.0347, 0)</f>
        <v>45.802199999999999</v>
      </c>
      <c r="I689" s="10">
        <f>45.769 * CHOOSE(CONTROL!$C$15, $E$9, 100%, $G$9) + CHOOSE(CONTROL!$C$38, 0.0347, 0)</f>
        <v>45.803699999999999</v>
      </c>
      <c r="J689" s="26">
        <f>343.7916</f>
        <v>343.79160000000002</v>
      </c>
    </row>
    <row r="690" spans="1:10" ht="15.75" x14ac:dyDescent="0.25">
      <c r="A690" s="13">
        <v>62305</v>
      </c>
      <c r="B690" s="10">
        <f>49.4502 * CHOOSE(CONTROL!$C$15, $E$9, 100%, $G$9) + CHOOSE(CONTROL!$C$38, 0.0256, 0)</f>
        <v>49.4758</v>
      </c>
      <c r="C690" s="10">
        <f>45.5625 * CHOOSE(CONTROL!$C$15, $E$9, 100%, $G$9) + CHOOSE(CONTROL!$C$38, 0.0347, 0)</f>
        <v>45.597200000000001</v>
      </c>
      <c r="D690" s="10">
        <f>45.5547 * CHOOSE(CONTROL!$C$15, $E$9, 100%, $G$9) + CHOOSE(CONTROL!$C$38, 0.0347, 0)</f>
        <v>45.589399999999998</v>
      </c>
      <c r="E690" s="28">
        <f>49.2939 * CHOOSE(CONTROL!$C$15, $E$9, 100%, $G$9) + CHOOSE(CONTROL!$C$38, 0.0347, 0)</f>
        <v>49.328600000000002</v>
      </c>
      <c r="F690" s="27">
        <f>49.2939 * CHOOSE(CONTROL!$C$15, $E$9, 100%, $G$9) + CHOOSE(CONTROL!$C$38, 0.0256, 0)</f>
        <v>49.319499999999998</v>
      </c>
      <c r="G690" s="10">
        <f>45.561 * CHOOSE(CONTROL!$C$15, $E$9, 100%, $G$9) + CHOOSE(CONTROL!$C$38, 0.0347, 0)</f>
        <v>45.595700000000001</v>
      </c>
      <c r="H690" s="10">
        <f>45.561 * CHOOSE(CONTROL!$C$15, $E$9, 100%, $G$9) + CHOOSE(CONTROL!$C$38, 0.0347, 0)</f>
        <v>45.595700000000001</v>
      </c>
      <c r="I690" s="10">
        <f>45.5625 * CHOOSE(CONTROL!$C$15, $E$9, 100%, $G$9) + CHOOSE(CONTROL!$C$38, 0.0347, 0)</f>
        <v>45.597200000000001</v>
      </c>
      <c r="J690" s="26">
        <f>342.1838</f>
        <v>342.18380000000002</v>
      </c>
    </row>
    <row r="691" spans="1:10" ht="15.75" x14ac:dyDescent="0.25">
      <c r="A691" s="13">
        <v>62336</v>
      </c>
      <c r="B691" s="10">
        <f>49.5521 * CHOOSE(CONTROL!$C$15, $E$9, 100%, $G$9) + CHOOSE(CONTROL!$C$38, 0.0256, 0)</f>
        <v>49.5777</v>
      </c>
      <c r="C691" s="10">
        <f>45.6645 * CHOOSE(CONTROL!$C$15, $E$9, 100%, $G$9) + CHOOSE(CONTROL!$C$38, 0.0347, 0)</f>
        <v>45.699199999999998</v>
      </c>
      <c r="D691" s="10">
        <f>45.6566 * CHOOSE(CONTROL!$C$15, $E$9, 100%, $G$9) + CHOOSE(CONTROL!$C$38, 0.0347, 0)</f>
        <v>45.691299999999998</v>
      </c>
      <c r="E691" s="28">
        <f>49.3958 * CHOOSE(CONTROL!$C$15, $E$9, 100%, $G$9) + CHOOSE(CONTROL!$C$38, 0.0347, 0)</f>
        <v>49.430500000000002</v>
      </c>
      <c r="F691" s="27">
        <f>49.3958 * CHOOSE(CONTROL!$C$15, $E$9, 100%, $G$9) + CHOOSE(CONTROL!$C$38, 0.0256, 0)</f>
        <v>49.421399999999998</v>
      </c>
      <c r="G691" s="10">
        <f>45.6629 * CHOOSE(CONTROL!$C$15, $E$9, 100%, $G$9) + CHOOSE(CONTROL!$C$38, 0.0347, 0)</f>
        <v>45.697600000000001</v>
      </c>
      <c r="H691" s="10">
        <f>45.6629 * CHOOSE(CONTROL!$C$15, $E$9, 100%, $G$9) + CHOOSE(CONTROL!$C$38, 0.0347, 0)</f>
        <v>45.697600000000001</v>
      </c>
      <c r="I691" s="10">
        <f>45.6645 * CHOOSE(CONTROL!$C$15, $E$9, 100%, $G$9) + CHOOSE(CONTROL!$C$38, 0.0347, 0)</f>
        <v>45.699199999999998</v>
      </c>
      <c r="J691" s="26">
        <f>334.2179</f>
        <v>334.21789999999999</v>
      </c>
    </row>
    <row r="692" spans="1:10" ht="15.75" x14ac:dyDescent="0.25">
      <c r="A692" s="13">
        <v>62366</v>
      </c>
      <c r="B692" s="10">
        <f>49.8289 * CHOOSE(CONTROL!$C$15, $E$9, 100%, $G$9) + CHOOSE(CONTROL!$C$38, 0.0256, 0)</f>
        <v>49.854499999999994</v>
      </c>
      <c r="C692" s="10">
        <f>45.9413 * CHOOSE(CONTROL!$C$15, $E$9, 100%, $G$9) + CHOOSE(CONTROL!$C$38, 0.0347, 0)</f>
        <v>45.975999999999999</v>
      </c>
      <c r="D692" s="10">
        <f>45.9334 * CHOOSE(CONTROL!$C$15, $E$9, 100%, $G$9) + CHOOSE(CONTROL!$C$38, 0.0347, 0)</f>
        <v>45.9681</v>
      </c>
      <c r="E692" s="28">
        <f>49.6726 * CHOOSE(CONTROL!$C$15, $E$9, 100%, $G$9) + CHOOSE(CONTROL!$C$38, 0.0347, 0)</f>
        <v>49.707300000000004</v>
      </c>
      <c r="F692" s="27">
        <f>49.6726 * CHOOSE(CONTROL!$C$15, $E$9, 100%, $G$9) + CHOOSE(CONTROL!$C$38, 0.0256, 0)</f>
        <v>49.6982</v>
      </c>
      <c r="G692" s="10">
        <f>45.9397 * CHOOSE(CONTROL!$C$15, $E$9, 100%, $G$9) + CHOOSE(CONTROL!$C$38, 0.0347, 0)</f>
        <v>45.974400000000003</v>
      </c>
      <c r="H692" s="10">
        <f>45.9397 * CHOOSE(CONTROL!$C$15, $E$9, 100%, $G$9) + CHOOSE(CONTROL!$C$38, 0.0347, 0)</f>
        <v>45.974400000000003</v>
      </c>
      <c r="I692" s="10">
        <f>45.9413 * CHOOSE(CONTROL!$C$15, $E$9, 100%, $G$9) + CHOOSE(CONTROL!$C$38, 0.0347, 0)</f>
        <v>45.975999999999999</v>
      </c>
      <c r="J692" s="26">
        <f>323.1091</f>
        <v>323.10910000000001</v>
      </c>
    </row>
    <row r="693" spans="1:10" ht="15.75" x14ac:dyDescent="0.25">
      <c r="A693" s="13">
        <v>62397</v>
      </c>
      <c r="B693" s="10">
        <f>50.0607 * CHOOSE(CONTROL!$C$15, $E$9, 100%, $G$9) + CHOOSE(CONTROL!$C$38, 0.0256, 0)</f>
        <v>50.086299999999994</v>
      </c>
      <c r="C693" s="10">
        <f>46.1731 * CHOOSE(CONTROL!$C$15, $E$9, 100%, $G$9) + CHOOSE(CONTROL!$C$38, 0.0347, 0)</f>
        <v>46.207799999999999</v>
      </c>
      <c r="D693" s="10">
        <f>46.1653 * CHOOSE(CONTROL!$C$15, $E$9, 100%, $G$9) + CHOOSE(CONTROL!$C$38, 0.0347, 0)</f>
        <v>46.2</v>
      </c>
      <c r="E693" s="28">
        <f>49.9045 * CHOOSE(CONTROL!$C$15, $E$9, 100%, $G$9) + CHOOSE(CONTROL!$C$38, 0.0347, 0)</f>
        <v>49.9392</v>
      </c>
      <c r="F693" s="27">
        <f>49.9045 * CHOOSE(CONTROL!$C$15, $E$9, 100%, $G$9) + CHOOSE(CONTROL!$C$38, 0.0256, 0)</f>
        <v>49.930099999999996</v>
      </c>
      <c r="G693" s="10">
        <f>46.1715 * CHOOSE(CONTROL!$C$15, $E$9, 100%, $G$9) + CHOOSE(CONTROL!$C$38, 0.0347, 0)</f>
        <v>46.206200000000003</v>
      </c>
      <c r="H693" s="10">
        <f>46.1715 * CHOOSE(CONTROL!$C$15, $E$9, 100%, $G$9) + CHOOSE(CONTROL!$C$38, 0.0347, 0)</f>
        <v>46.206200000000003</v>
      </c>
      <c r="I693" s="10">
        <f>46.1731 * CHOOSE(CONTROL!$C$15, $E$9, 100%, $G$9) + CHOOSE(CONTROL!$C$38, 0.0347, 0)</f>
        <v>46.207799999999999</v>
      </c>
      <c r="J693" s="26">
        <f>311.9357</f>
        <v>311.9357</v>
      </c>
    </row>
    <row r="694" spans="1:10" ht="15.75" x14ac:dyDescent="0.25">
      <c r="A694" s="13">
        <v>62427</v>
      </c>
      <c r="B694" s="10">
        <f>50.2542 * CHOOSE(CONTROL!$C$15, $E$9, 100%, $G$9) + CHOOSE(CONTROL!$C$38, 0.0256, 0)</f>
        <v>50.279799999999994</v>
      </c>
      <c r="C694" s="10">
        <f>46.3665 * CHOOSE(CONTROL!$C$15, $E$9, 100%, $G$9) + CHOOSE(CONTROL!$C$38, 0.0347, 0)</f>
        <v>46.401200000000003</v>
      </c>
      <c r="D694" s="10">
        <f>46.3587 * CHOOSE(CONTROL!$C$15, $E$9, 100%, $G$9) + CHOOSE(CONTROL!$C$38, 0.0347, 0)</f>
        <v>46.3934</v>
      </c>
      <c r="E694" s="28">
        <f>50.0979 * CHOOSE(CONTROL!$C$15, $E$9, 100%, $G$9) + CHOOSE(CONTROL!$C$38, 0.0347, 0)</f>
        <v>50.132600000000004</v>
      </c>
      <c r="F694" s="27">
        <f>50.0979 * CHOOSE(CONTROL!$C$15, $E$9, 100%, $G$9) + CHOOSE(CONTROL!$C$38, 0.0256, 0)</f>
        <v>50.1235</v>
      </c>
      <c r="G694" s="10">
        <f>46.365 * CHOOSE(CONTROL!$C$15, $E$9, 100%, $G$9) + CHOOSE(CONTROL!$C$38, 0.0347, 0)</f>
        <v>46.399700000000003</v>
      </c>
      <c r="H694" s="10">
        <f>46.365 * CHOOSE(CONTROL!$C$15, $E$9, 100%, $G$9) + CHOOSE(CONTROL!$C$38, 0.0347, 0)</f>
        <v>46.399700000000003</v>
      </c>
      <c r="I694" s="10">
        <f>46.3665 * CHOOSE(CONTROL!$C$15, $E$9, 100%, $G$9) + CHOOSE(CONTROL!$C$38, 0.0347, 0)</f>
        <v>46.401200000000003</v>
      </c>
      <c r="J694" s="26">
        <f>309.713</f>
        <v>309.71300000000002</v>
      </c>
    </row>
    <row r="695" spans="1:10" ht="15.75" x14ac:dyDescent="0.25">
      <c r="A695" s="13">
        <v>62458</v>
      </c>
      <c r="B695" s="10">
        <f>50.8502 * CHOOSE(CONTROL!$C$15, $E$9, 100%, $G$9) + CHOOSE(CONTROL!$C$38, 0.0256, 0)</f>
        <v>50.875799999999998</v>
      </c>
      <c r="C695" s="10">
        <f>46.9626 * CHOOSE(CONTROL!$C$15, $E$9, 100%, $G$9) + CHOOSE(CONTROL!$C$38, 0.0347, 0)</f>
        <v>46.997300000000003</v>
      </c>
      <c r="D695" s="10">
        <f>46.9548 * CHOOSE(CONTROL!$C$15, $E$9, 100%, $G$9) + CHOOSE(CONTROL!$C$38, 0.0347, 0)</f>
        <v>46.9895</v>
      </c>
      <c r="E695" s="28">
        <f>50.694 * CHOOSE(CONTROL!$C$15, $E$9, 100%, $G$9) + CHOOSE(CONTROL!$C$38, 0.0347, 0)</f>
        <v>50.728700000000003</v>
      </c>
      <c r="F695" s="27">
        <f>50.694 * CHOOSE(CONTROL!$C$15, $E$9, 100%, $G$9) + CHOOSE(CONTROL!$C$38, 0.0256, 0)</f>
        <v>50.7196</v>
      </c>
      <c r="G695" s="10">
        <f>46.961 * CHOOSE(CONTROL!$C$15, $E$9, 100%, $G$9) + CHOOSE(CONTROL!$C$38, 0.0347, 0)</f>
        <v>46.995699999999999</v>
      </c>
      <c r="H695" s="10">
        <f>46.961 * CHOOSE(CONTROL!$C$15, $E$9, 100%, $G$9) + CHOOSE(CONTROL!$C$38, 0.0347, 0)</f>
        <v>46.995699999999999</v>
      </c>
      <c r="I695" s="10">
        <f>46.9626 * CHOOSE(CONTROL!$C$15, $E$9, 100%, $G$9) + CHOOSE(CONTROL!$C$38, 0.0347, 0)</f>
        <v>46.997300000000003</v>
      </c>
      <c r="J695" s="26">
        <f>300.5223</f>
        <v>300.52229999999997</v>
      </c>
    </row>
    <row r="696" spans="1:10" ht="15.75" x14ac:dyDescent="0.25">
      <c r="A696" s="13">
        <v>62489</v>
      </c>
      <c r="B696" s="10">
        <f>52.1986 * CHOOSE(CONTROL!$C$15, $E$9, 100%, $G$9) + CHOOSE(CONTROL!$C$38, 0.0256, 0)</f>
        <v>52.224199999999996</v>
      </c>
      <c r="C696" s="10">
        <f>48.245 * CHOOSE(CONTROL!$C$15, $E$9, 100%, $G$9) + CHOOSE(CONTROL!$C$38, 0.0347, 0)</f>
        <v>48.279699999999998</v>
      </c>
      <c r="D696" s="10">
        <f>48.2372 * CHOOSE(CONTROL!$C$15, $E$9, 100%, $G$9) + CHOOSE(CONTROL!$C$38, 0.0347, 0)</f>
        <v>48.271900000000002</v>
      </c>
      <c r="E696" s="28">
        <f>52.0424 * CHOOSE(CONTROL!$C$15, $E$9, 100%, $G$9) + CHOOSE(CONTROL!$C$38, 0.0347, 0)</f>
        <v>52.077100000000002</v>
      </c>
      <c r="F696" s="27">
        <f>52.0424 * CHOOSE(CONTROL!$C$15, $E$9, 100%, $G$9) + CHOOSE(CONTROL!$C$38, 0.0256, 0)</f>
        <v>52.067999999999998</v>
      </c>
      <c r="G696" s="10">
        <f>48.2435 * CHOOSE(CONTROL!$C$15, $E$9, 100%, $G$9) + CHOOSE(CONTROL!$C$38, 0.0347, 0)</f>
        <v>48.278199999999998</v>
      </c>
      <c r="H696" s="10">
        <f>48.2435 * CHOOSE(CONTROL!$C$15, $E$9, 100%, $G$9) + CHOOSE(CONTROL!$C$38, 0.0347, 0)</f>
        <v>48.278199999999998</v>
      </c>
      <c r="I696" s="10">
        <f>48.245 * CHOOSE(CONTROL!$C$15, $E$9, 100%, $G$9) + CHOOSE(CONTROL!$C$38, 0.0347, 0)</f>
        <v>48.279699999999998</v>
      </c>
      <c r="J696" s="26">
        <f>298.5092</f>
        <v>298.50920000000002</v>
      </c>
    </row>
    <row r="697" spans="1:10" ht="15.75" x14ac:dyDescent="0.25">
      <c r="A697" s="13">
        <v>62517</v>
      </c>
      <c r="B697" s="10">
        <f>52.4194 * CHOOSE(CONTROL!$C$15, $E$9, 100%, $G$9) + CHOOSE(CONTROL!$C$38, 0.0256, 0)</f>
        <v>52.445</v>
      </c>
      <c r="C697" s="10">
        <f>48.4658 * CHOOSE(CONTROL!$C$15, $E$9, 100%, $G$9) + CHOOSE(CONTROL!$C$38, 0.0347, 0)</f>
        <v>48.500500000000002</v>
      </c>
      <c r="D697" s="10">
        <f>48.458 * CHOOSE(CONTROL!$C$15, $E$9, 100%, $G$9) + CHOOSE(CONTROL!$C$38, 0.0347, 0)</f>
        <v>48.492699999999999</v>
      </c>
      <c r="E697" s="28">
        <f>52.2631 * CHOOSE(CONTROL!$C$15, $E$9, 100%, $G$9) + CHOOSE(CONTROL!$C$38, 0.0347, 0)</f>
        <v>52.297800000000002</v>
      </c>
      <c r="F697" s="27">
        <f>52.2631 * CHOOSE(CONTROL!$C$15, $E$9, 100%, $G$9) + CHOOSE(CONTROL!$C$38, 0.0256, 0)</f>
        <v>52.288699999999999</v>
      </c>
      <c r="G697" s="10">
        <f>48.4642 * CHOOSE(CONTROL!$C$15, $E$9, 100%, $G$9) + CHOOSE(CONTROL!$C$38, 0.0347, 0)</f>
        <v>48.498899999999999</v>
      </c>
      <c r="H697" s="10">
        <f>48.4642 * CHOOSE(CONTROL!$C$15, $E$9, 100%, $G$9) + CHOOSE(CONTROL!$C$38, 0.0347, 0)</f>
        <v>48.498899999999999</v>
      </c>
      <c r="I697" s="10">
        <f>48.4658 * CHOOSE(CONTROL!$C$15, $E$9, 100%, $G$9) + CHOOSE(CONTROL!$C$38, 0.0347, 0)</f>
        <v>48.500500000000002</v>
      </c>
      <c r="J697" s="26">
        <f>297.6795</f>
        <v>297.67950000000002</v>
      </c>
    </row>
    <row r="698" spans="1:10" ht="15.75" x14ac:dyDescent="0.25">
      <c r="A698" s="13">
        <v>62548</v>
      </c>
      <c r="B698" s="10">
        <f>51.9083 * CHOOSE(CONTROL!$C$15, $E$9, 100%, $G$9) + CHOOSE(CONTROL!$C$38, 0.0256, 0)</f>
        <v>51.933899999999994</v>
      </c>
      <c r="C698" s="10">
        <f>47.9548 * CHOOSE(CONTROL!$C$15, $E$9, 100%, $G$9) + CHOOSE(CONTROL!$C$38, 0.0347, 0)</f>
        <v>47.9895</v>
      </c>
      <c r="D698" s="10">
        <f>47.947 * CHOOSE(CONTROL!$C$15, $E$9, 100%, $G$9) + CHOOSE(CONTROL!$C$38, 0.0347, 0)</f>
        <v>47.981700000000004</v>
      </c>
      <c r="E698" s="28">
        <f>51.7521 * CHOOSE(CONTROL!$C$15, $E$9, 100%, $G$9) + CHOOSE(CONTROL!$C$38, 0.0347, 0)</f>
        <v>51.786799999999999</v>
      </c>
      <c r="F698" s="27">
        <f>51.7521 * CHOOSE(CONTROL!$C$15, $E$9, 100%, $G$9) + CHOOSE(CONTROL!$C$38, 0.0256, 0)</f>
        <v>51.777699999999996</v>
      </c>
      <c r="G698" s="10">
        <f>47.9532 * CHOOSE(CONTROL!$C$15, $E$9, 100%, $G$9) + CHOOSE(CONTROL!$C$38, 0.0347, 0)</f>
        <v>47.987900000000003</v>
      </c>
      <c r="H698" s="10">
        <f>47.9532 * CHOOSE(CONTROL!$C$15, $E$9, 100%, $G$9) + CHOOSE(CONTROL!$C$38, 0.0347, 0)</f>
        <v>47.987900000000003</v>
      </c>
      <c r="I698" s="10">
        <f>47.9548 * CHOOSE(CONTROL!$C$15, $E$9, 100%, $G$9) + CHOOSE(CONTROL!$C$38, 0.0347, 0)</f>
        <v>47.9895</v>
      </c>
      <c r="J698" s="26">
        <f>313.3689</f>
        <v>313.3689</v>
      </c>
    </row>
    <row r="699" spans="1:10" ht="15.75" x14ac:dyDescent="0.25">
      <c r="A699" s="13">
        <v>62578</v>
      </c>
      <c r="B699" s="10">
        <f>51.4132 * CHOOSE(CONTROL!$C$15, $E$9, 100%, $G$9) + CHOOSE(CONTROL!$C$38, 0.0256, 0)</f>
        <v>51.438800000000001</v>
      </c>
      <c r="C699" s="10">
        <f>47.4596 * CHOOSE(CONTROL!$C$15, $E$9, 100%, $G$9) + CHOOSE(CONTROL!$C$38, 0.0347, 0)</f>
        <v>47.494300000000003</v>
      </c>
      <c r="D699" s="10">
        <f>47.4518 * CHOOSE(CONTROL!$C$15, $E$9, 100%, $G$9) + CHOOSE(CONTROL!$C$38, 0.0347, 0)</f>
        <v>47.486499999999999</v>
      </c>
      <c r="E699" s="28">
        <f>51.2569 * CHOOSE(CONTROL!$C$15, $E$9, 100%, $G$9) + CHOOSE(CONTROL!$C$38, 0.0347, 0)</f>
        <v>51.291600000000003</v>
      </c>
      <c r="F699" s="27">
        <f>51.2569 * CHOOSE(CONTROL!$C$15, $E$9, 100%, $G$9) + CHOOSE(CONTROL!$C$38, 0.0256, 0)</f>
        <v>51.282499999999999</v>
      </c>
      <c r="G699" s="10">
        <f>47.458 * CHOOSE(CONTROL!$C$15, $E$9, 100%, $G$9) + CHOOSE(CONTROL!$C$38, 0.0347, 0)</f>
        <v>47.492699999999999</v>
      </c>
      <c r="H699" s="10">
        <f>47.458 * CHOOSE(CONTROL!$C$15, $E$9, 100%, $G$9) + CHOOSE(CONTROL!$C$38, 0.0347, 0)</f>
        <v>47.492699999999999</v>
      </c>
      <c r="I699" s="10">
        <f>47.4596 * CHOOSE(CONTROL!$C$15, $E$9, 100%, $G$9) + CHOOSE(CONTROL!$C$38, 0.0347, 0)</f>
        <v>47.494300000000003</v>
      </c>
      <c r="J699" s="26">
        <f>333.7144</f>
        <v>333.71440000000001</v>
      </c>
    </row>
    <row r="700" spans="1:10" ht="15.75" x14ac:dyDescent="0.25">
      <c r="A700" s="13">
        <v>62609</v>
      </c>
      <c r="B700" s="10">
        <f>50.897 * CHOOSE(CONTROL!$C$15, $E$9, 100%, $G$9) + CHOOSE(CONTROL!$C$38, 0.0256, 0)</f>
        <v>50.922599999999996</v>
      </c>
      <c r="C700" s="10">
        <f>46.9435 * CHOOSE(CONTROL!$C$15, $E$9, 100%, $G$9) + CHOOSE(CONTROL!$C$38, 0.0347, 0)</f>
        <v>46.978200000000001</v>
      </c>
      <c r="D700" s="10">
        <f>46.9357 * CHOOSE(CONTROL!$C$15, $E$9, 100%, $G$9) + CHOOSE(CONTROL!$C$38, 0.0347, 0)</f>
        <v>46.970399999999998</v>
      </c>
      <c r="E700" s="28">
        <f>50.7408 * CHOOSE(CONTROL!$C$15, $E$9, 100%, $G$9) + CHOOSE(CONTROL!$C$38, 0.0347, 0)</f>
        <v>50.775500000000001</v>
      </c>
      <c r="F700" s="27">
        <f>50.7408 * CHOOSE(CONTROL!$C$15, $E$9, 100%, $G$9) + CHOOSE(CONTROL!$C$38, 0.0256, 0)</f>
        <v>50.766399999999997</v>
      </c>
      <c r="G700" s="10">
        <f>46.9419 * CHOOSE(CONTROL!$C$15, $E$9, 100%, $G$9) + CHOOSE(CONTROL!$C$38, 0.0347, 0)</f>
        <v>46.976599999999998</v>
      </c>
      <c r="H700" s="10">
        <f>46.9419 * CHOOSE(CONTROL!$C$15, $E$9, 100%, $G$9) + CHOOSE(CONTROL!$C$38, 0.0347, 0)</f>
        <v>46.976599999999998</v>
      </c>
      <c r="I700" s="10">
        <f>46.9435 * CHOOSE(CONTROL!$C$15, $E$9, 100%, $G$9) + CHOOSE(CONTROL!$C$38, 0.0347, 0)</f>
        <v>46.978200000000001</v>
      </c>
      <c r="J700" s="26">
        <f>344.9132</f>
        <v>344.91320000000002</v>
      </c>
    </row>
    <row r="701" spans="1:10" ht="15.75" x14ac:dyDescent="0.25">
      <c r="A701" s="13">
        <v>62639</v>
      </c>
      <c r="B701" s="10">
        <f>50.5352 * CHOOSE(CONTROL!$C$15, $E$9, 100%, $G$9) + CHOOSE(CONTROL!$C$38, 0.0256, 0)</f>
        <v>50.5608</v>
      </c>
      <c r="C701" s="10">
        <f>46.5816 * CHOOSE(CONTROL!$C$15, $E$9, 100%, $G$9) + CHOOSE(CONTROL!$C$38, 0.0347, 0)</f>
        <v>46.616300000000003</v>
      </c>
      <c r="D701" s="10">
        <f>46.5738 * CHOOSE(CONTROL!$C$15, $E$9, 100%, $G$9) + CHOOSE(CONTROL!$C$38, 0.0347, 0)</f>
        <v>46.608499999999999</v>
      </c>
      <c r="E701" s="28">
        <f>50.379 * CHOOSE(CONTROL!$C$15, $E$9, 100%, $G$9) + CHOOSE(CONTROL!$C$38, 0.0347, 0)</f>
        <v>50.413699999999999</v>
      </c>
      <c r="F701" s="27">
        <f>50.379 * CHOOSE(CONTROL!$C$15, $E$9, 100%, $G$9) + CHOOSE(CONTROL!$C$38, 0.0256, 0)</f>
        <v>50.404599999999995</v>
      </c>
      <c r="G701" s="10">
        <f>46.5801 * CHOOSE(CONTROL!$C$15, $E$9, 100%, $G$9) + CHOOSE(CONTROL!$C$38, 0.0347, 0)</f>
        <v>46.614800000000002</v>
      </c>
      <c r="H701" s="10">
        <f>46.5801 * CHOOSE(CONTROL!$C$15, $E$9, 100%, $G$9) + CHOOSE(CONTROL!$C$38, 0.0347, 0)</f>
        <v>46.614800000000002</v>
      </c>
      <c r="I701" s="10">
        <f>46.5816 * CHOOSE(CONTROL!$C$15, $E$9, 100%, $G$9) + CHOOSE(CONTROL!$C$38, 0.0347, 0)</f>
        <v>46.616300000000003</v>
      </c>
      <c r="J701" s="26">
        <f>349.883</f>
        <v>349.88299999999998</v>
      </c>
    </row>
    <row r="702" spans="1:10" ht="15.75" x14ac:dyDescent="0.25">
      <c r="A702" s="13">
        <v>62670</v>
      </c>
      <c r="B702" s="10">
        <f>50.3287 * CHOOSE(CONTROL!$C$15, $E$9, 100%, $G$9) + CHOOSE(CONTROL!$C$38, 0.0256, 0)</f>
        <v>50.354299999999995</v>
      </c>
      <c r="C702" s="10">
        <f>46.3752 * CHOOSE(CONTROL!$C$15, $E$9, 100%, $G$9) + CHOOSE(CONTROL!$C$38, 0.0347, 0)</f>
        <v>46.4099</v>
      </c>
      <c r="D702" s="10">
        <f>46.3673 * CHOOSE(CONTROL!$C$15, $E$9, 100%, $G$9) + CHOOSE(CONTROL!$C$38, 0.0347, 0)</f>
        <v>46.402000000000001</v>
      </c>
      <c r="E702" s="28">
        <f>50.1725 * CHOOSE(CONTROL!$C$15, $E$9, 100%, $G$9) + CHOOSE(CONTROL!$C$38, 0.0347, 0)</f>
        <v>50.2072</v>
      </c>
      <c r="F702" s="27">
        <f>50.1725 * CHOOSE(CONTROL!$C$15, $E$9, 100%, $G$9) + CHOOSE(CONTROL!$C$38, 0.0256, 0)</f>
        <v>50.198099999999997</v>
      </c>
      <c r="G702" s="10">
        <f>46.3736 * CHOOSE(CONTROL!$C$15, $E$9, 100%, $G$9) + CHOOSE(CONTROL!$C$38, 0.0347, 0)</f>
        <v>46.408300000000004</v>
      </c>
      <c r="H702" s="10">
        <f>46.3736 * CHOOSE(CONTROL!$C$15, $E$9, 100%, $G$9) + CHOOSE(CONTROL!$C$38, 0.0347, 0)</f>
        <v>46.408300000000004</v>
      </c>
      <c r="I702" s="10">
        <f>46.3752 * CHOOSE(CONTROL!$C$15, $E$9, 100%, $G$9) + CHOOSE(CONTROL!$C$38, 0.0347, 0)</f>
        <v>46.4099</v>
      </c>
      <c r="J702" s="26">
        <f>348.2467</f>
        <v>348.24669999999998</v>
      </c>
    </row>
    <row r="703" spans="1:10" ht="15.75" x14ac:dyDescent="0.25">
      <c r="A703" s="13">
        <v>62701</v>
      </c>
      <c r="B703" s="10">
        <f>50.4306 * CHOOSE(CONTROL!$C$15, $E$9, 100%, $G$9) + CHOOSE(CONTROL!$C$38, 0.0256, 0)</f>
        <v>50.456199999999995</v>
      </c>
      <c r="C703" s="10">
        <f>46.4771 * CHOOSE(CONTROL!$C$15, $E$9, 100%, $G$9) + CHOOSE(CONTROL!$C$38, 0.0347, 0)</f>
        <v>46.511800000000001</v>
      </c>
      <c r="D703" s="10">
        <f>46.4693 * CHOOSE(CONTROL!$C$15, $E$9, 100%, $G$9) + CHOOSE(CONTROL!$C$38, 0.0347, 0)</f>
        <v>46.503999999999998</v>
      </c>
      <c r="E703" s="28">
        <f>50.2744 * CHOOSE(CONTROL!$C$15, $E$9, 100%, $G$9) + CHOOSE(CONTROL!$C$38, 0.0347, 0)</f>
        <v>50.309100000000001</v>
      </c>
      <c r="F703" s="27">
        <f>50.2744 * CHOOSE(CONTROL!$C$15, $E$9, 100%, $G$9) + CHOOSE(CONTROL!$C$38, 0.0256, 0)</f>
        <v>50.3</v>
      </c>
      <c r="G703" s="10">
        <f>46.4755 * CHOOSE(CONTROL!$C$15, $E$9, 100%, $G$9) + CHOOSE(CONTROL!$C$38, 0.0347, 0)</f>
        <v>46.510199999999998</v>
      </c>
      <c r="H703" s="10">
        <f>46.4755 * CHOOSE(CONTROL!$C$15, $E$9, 100%, $G$9) + CHOOSE(CONTROL!$C$38, 0.0347, 0)</f>
        <v>46.510199999999998</v>
      </c>
      <c r="I703" s="10">
        <f>46.4771 * CHOOSE(CONTROL!$C$15, $E$9, 100%, $G$9) + CHOOSE(CONTROL!$C$38, 0.0347, 0)</f>
        <v>46.511800000000001</v>
      </c>
      <c r="J703" s="26">
        <f>340.1396</f>
        <v>340.13959999999997</v>
      </c>
    </row>
    <row r="704" spans="1:10" ht="15.75" x14ac:dyDescent="0.25">
      <c r="A704" s="13">
        <v>62731</v>
      </c>
      <c r="B704" s="10">
        <f>50.7074 * CHOOSE(CONTROL!$C$15, $E$9, 100%, $G$9) + CHOOSE(CONTROL!$C$38, 0.0256, 0)</f>
        <v>50.732999999999997</v>
      </c>
      <c r="C704" s="10">
        <f>46.7539 * CHOOSE(CONTROL!$C$15, $E$9, 100%, $G$9) + CHOOSE(CONTROL!$C$38, 0.0347, 0)</f>
        <v>46.788600000000002</v>
      </c>
      <c r="D704" s="10">
        <f>46.7461 * CHOOSE(CONTROL!$C$15, $E$9, 100%, $G$9) + CHOOSE(CONTROL!$C$38, 0.0347, 0)</f>
        <v>46.780799999999999</v>
      </c>
      <c r="E704" s="28">
        <f>50.5512 * CHOOSE(CONTROL!$C$15, $E$9, 100%, $G$9) + CHOOSE(CONTROL!$C$38, 0.0347, 0)</f>
        <v>50.585900000000002</v>
      </c>
      <c r="F704" s="27">
        <f>50.5512 * CHOOSE(CONTROL!$C$15, $E$9, 100%, $G$9) + CHOOSE(CONTROL!$C$38, 0.0256, 0)</f>
        <v>50.576799999999999</v>
      </c>
      <c r="G704" s="10">
        <f>46.7523 * CHOOSE(CONTROL!$C$15, $E$9, 100%, $G$9) + CHOOSE(CONTROL!$C$38, 0.0347, 0)</f>
        <v>46.786999999999999</v>
      </c>
      <c r="H704" s="10">
        <f>46.7523 * CHOOSE(CONTROL!$C$15, $E$9, 100%, $G$9) + CHOOSE(CONTROL!$C$38, 0.0347, 0)</f>
        <v>46.786999999999999</v>
      </c>
      <c r="I704" s="10">
        <f>46.7539 * CHOOSE(CONTROL!$C$15, $E$9, 100%, $G$9) + CHOOSE(CONTROL!$C$38, 0.0347, 0)</f>
        <v>46.788600000000002</v>
      </c>
      <c r="J704" s="26">
        <f>328.834</f>
        <v>328.834</v>
      </c>
    </row>
    <row r="705" spans="1:10" ht="15.75" x14ac:dyDescent="0.25">
      <c r="A705" s="13">
        <v>62762</v>
      </c>
      <c r="B705" s="10">
        <f>50.9393 * CHOOSE(CONTROL!$C$15, $E$9, 100%, $G$9) + CHOOSE(CONTROL!$C$38, 0.0256, 0)</f>
        <v>50.9649</v>
      </c>
      <c r="C705" s="10">
        <f>46.9857 * CHOOSE(CONTROL!$C$15, $E$9, 100%, $G$9) + CHOOSE(CONTROL!$C$38, 0.0347, 0)</f>
        <v>47.020400000000002</v>
      </c>
      <c r="D705" s="10">
        <f>46.9779 * CHOOSE(CONTROL!$C$15, $E$9, 100%, $G$9) + CHOOSE(CONTROL!$C$38, 0.0347, 0)</f>
        <v>47.012599999999999</v>
      </c>
      <c r="E705" s="28">
        <f>50.783 * CHOOSE(CONTROL!$C$15, $E$9, 100%, $G$9) + CHOOSE(CONTROL!$C$38, 0.0347, 0)</f>
        <v>50.817700000000002</v>
      </c>
      <c r="F705" s="27">
        <f>50.783 * CHOOSE(CONTROL!$C$15, $E$9, 100%, $G$9) + CHOOSE(CONTROL!$C$38, 0.0256, 0)</f>
        <v>50.808599999999998</v>
      </c>
      <c r="G705" s="10">
        <f>46.9841 * CHOOSE(CONTROL!$C$15, $E$9, 100%, $G$9) + CHOOSE(CONTROL!$C$38, 0.0347, 0)</f>
        <v>47.018799999999999</v>
      </c>
      <c r="H705" s="10">
        <f>46.9841 * CHOOSE(CONTROL!$C$15, $E$9, 100%, $G$9) + CHOOSE(CONTROL!$C$38, 0.0347, 0)</f>
        <v>47.018799999999999</v>
      </c>
      <c r="I705" s="10">
        <f>46.9857 * CHOOSE(CONTROL!$C$15, $E$9, 100%, $G$9) + CHOOSE(CONTROL!$C$38, 0.0347, 0)</f>
        <v>47.020400000000002</v>
      </c>
      <c r="J705" s="26">
        <f>317.4626</f>
        <v>317.46260000000001</v>
      </c>
    </row>
    <row r="706" spans="1:10" ht="15.75" x14ac:dyDescent="0.25">
      <c r="A706" s="13">
        <v>62792</v>
      </c>
      <c r="B706" s="10">
        <f>51.1327 * CHOOSE(CONTROL!$C$15, $E$9, 100%, $G$9) + CHOOSE(CONTROL!$C$38, 0.0256, 0)</f>
        <v>51.158299999999997</v>
      </c>
      <c r="C706" s="10">
        <f>47.1791 * CHOOSE(CONTROL!$C$15, $E$9, 100%, $G$9) + CHOOSE(CONTROL!$C$38, 0.0347, 0)</f>
        <v>47.213799999999999</v>
      </c>
      <c r="D706" s="10">
        <f>47.1713 * CHOOSE(CONTROL!$C$15, $E$9, 100%, $G$9) + CHOOSE(CONTROL!$C$38, 0.0347, 0)</f>
        <v>47.206000000000003</v>
      </c>
      <c r="E706" s="28">
        <f>50.9764 * CHOOSE(CONTROL!$C$15, $E$9, 100%, $G$9) + CHOOSE(CONTROL!$C$38, 0.0347, 0)</f>
        <v>51.011099999999999</v>
      </c>
      <c r="F706" s="27">
        <f>50.9764 * CHOOSE(CONTROL!$C$15, $E$9, 100%, $G$9) + CHOOSE(CONTROL!$C$38, 0.0256, 0)</f>
        <v>51.001999999999995</v>
      </c>
      <c r="G706" s="10">
        <f>47.1776 * CHOOSE(CONTROL!$C$15, $E$9, 100%, $G$9) + CHOOSE(CONTROL!$C$38, 0.0347, 0)</f>
        <v>47.212299999999999</v>
      </c>
      <c r="H706" s="10">
        <f>47.1776 * CHOOSE(CONTROL!$C$15, $E$9, 100%, $G$9) + CHOOSE(CONTROL!$C$38, 0.0347, 0)</f>
        <v>47.212299999999999</v>
      </c>
      <c r="I706" s="10">
        <f>47.1791 * CHOOSE(CONTROL!$C$15, $E$9, 100%, $G$9) + CHOOSE(CONTROL!$C$38, 0.0347, 0)</f>
        <v>47.213799999999999</v>
      </c>
      <c r="J706" s="26">
        <f>315.2006</f>
        <v>315.20060000000001</v>
      </c>
    </row>
    <row r="707" spans="1:10" ht="15.75" x14ac:dyDescent="0.25">
      <c r="A707" s="13">
        <v>62823</v>
      </c>
      <c r="B707" s="10">
        <f>51.7288 * CHOOSE(CONTROL!$C$15, $E$9, 100%, $G$9) + CHOOSE(CONTROL!$C$38, 0.0256, 0)</f>
        <v>51.754399999999997</v>
      </c>
      <c r="C707" s="10">
        <f>47.7752 * CHOOSE(CONTROL!$C$15, $E$9, 100%, $G$9) + CHOOSE(CONTROL!$C$38, 0.0347, 0)</f>
        <v>47.809899999999999</v>
      </c>
      <c r="D707" s="10">
        <f>47.7674 * CHOOSE(CONTROL!$C$15, $E$9, 100%, $G$9) + CHOOSE(CONTROL!$C$38, 0.0347, 0)</f>
        <v>47.802100000000003</v>
      </c>
      <c r="E707" s="28">
        <f>51.5725 * CHOOSE(CONTROL!$C$15, $E$9, 100%, $G$9) + CHOOSE(CONTROL!$C$38, 0.0347, 0)</f>
        <v>51.607199999999999</v>
      </c>
      <c r="F707" s="27">
        <f>51.5725 * CHOOSE(CONTROL!$C$15, $E$9, 100%, $G$9) + CHOOSE(CONTROL!$C$38, 0.0256, 0)</f>
        <v>51.598099999999995</v>
      </c>
      <c r="G707" s="10">
        <f>47.7736 * CHOOSE(CONTROL!$C$15, $E$9, 100%, $G$9) + CHOOSE(CONTROL!$C$38, 0.0347, 0)</f>
        <v>47.808300000000003</v>
      </c>
      <c r="H707" s="10">
        <f>47.7736 * CHOOSE(CONTROL!$C$15, $E$9, 100%, $G$9) + CHOOSE(CONTROL!$C$38, 0.0347, 0)</f>
        <v>47.808300000000003</v>
      </c>
      <c r="I707" s="10">
        <f>47.7752 * CHOOSE(CONTROL!$C$15, $E$9, 100%, $G$9) + CHOOSE(CONTROL!$C$38, 0.0347, 0)</f>
        <v>47.809899999999999</v>
      </c>
      <c r="J707" s="26">
        <f>305.847</f>
        <v>305.84699999999998</v>
      </c>
    </row>
    <row r="708" spans="1:10" ht="15.75" x14ac:dyDescent="0.25">
      <c r="A708" s="13">
        <v>62854</v>
      </c>
      <c r="B708" s="10">
        <f>53.0927 * CHOOSE(CONTROL!$C$15, $E$9, 100%, $G$9) + CHOOSE(CONTROL!$C$38, 0.0256, 0)</f>
        <v>53.118299999999998</v>
      </c>
      <c r="C708" s="10">
        <f>49.072 * CHOOSE(CONTROL!$C$15, $E$9, 100%, $G$9) + CHOOSE(CONTROL!$C$38, 0.0347, 0)</f>
        <v>49.106700000000004</v>
      </c>
      <c r="D708" s="10">
        <f>49.0642 * CHOOSE(CONTROL!$C$15, $E$9, 100%, $G$9) + CHOOSE(CONTROL!$C$38, 0.0347, 0)</f>
        <v>49.0989</v>
      </c>
      <c r="E708" s="28">
        <f>52.9364 * CHOOSE(CONTROL!$C$15, $E$9, 100%, $G$9) + CHOOSE(CONTROL!$C$38, 0.0347, 0)</f>
        <v>52.9711</v>
      </c>
      <c r="F708" s="27">
        <f>52.9364 * CHOOSE(CONTROL!$C$15, $E$9, 100%, $G$9) + CHOOSE(CONTROL!$C$38, 0.0256, 0)</f>
        <v>52.961999999999996</v>
      </c>
      <c r="G708" s="10">
        <f>49.0705 * CHOOSE(CONTROL!$C$15, $E$9, 100%, $G$9) + CHOOSE(CONTROL!$C$38, 0.0347, 0)</f>
        <v>49.105200000000004</v>
      </c>
      <c r="H708" s="10">
        <f>49.0705 * CHOOSE(CONTROL!$C$15, $E$9, 100%, $G$9) + CHOOSE(CONTROL!$C$38, 0.0347, 0)</f>
        <v>49.105200000000004</v>
      </c>
      <c r="I708" s="10">
        <f>49.072 * CHOOSE(CONTROL!$C$15, $E$9, 100%, $G$9) + CHOOSE(CONTROL!$C$38, 0.0347, 0)</f>
        <v>49.106700000000004</v>
      </c>
      <c r="J708" s="26">
        <f>303.7983</f>
        <v>303.79829999999998</v>
      </c>
    </row>
    <row r="709" spans="1:10" ht="15.75" x14ac:dyDescent="0.25">
      <c r="A709" s="13">
        <v>62883</v>
      </c>
      <c r="B709" s="10">
        <f>53.3134 * CHOOSE(CONTROL!$C$15, $E$9, 100%, $G$9) + CHOOSE(CONTROL!$C$38, 0.0256, 0)</f>
        <v>53.338999999999999</v>
      </c>
      <c r="C709" s="10">
        <f>49.2928 * CHOOSE(CONTROL!$C$15, $E$9, 100%, $G$9) + CHOOSE(CONTROL!$C$38, 0.0347, 0)</f>
        <v>49.327500000000001</v>
      </c>
      <c r="D709" s="10">
        <f>49.285 * CHOOSE(CONTROL!$C$15, $E$9, 100%, $G$9) + CHOOSE(CONTROL!$C$38, 0.0347, 0)</f>
        <v>49.319699999999997</v>
      </c>
      <c r="E709" s="28">
        <f>53.1572 * CHOOSE(CONTROL!$C$15, $E$9, 100%, $G$9) + CHOOSE(CONTROL!$C$38, 0.0347, 0)</f>
        <v>53.191900000000004</v>
      </c>
      <c r="F709" s="27">
        <f>53.1572 * CHOOSE(CONTROL!$C$15, $E$9, 100%, $G$9) + CHOOSE(CONTROL!$C$38, 0.0256, 0)</f>
        <v>53.1828</v>
      </c>
      <c r="G709" s="10">
        <f>49.2912 * CHOOSE(CONTROL!$C$15, $E$9, 100%, $G$9) + CHOOSE(CONTROL!$C$38, 0.0347, 0)</f>
        <v>49.325900000000004</v>
      </c>
      <c r="H709" s="10">
        <f>49.2912 * CHOOSE(CONTROL!$C$15, $E$9, 100%, $G$9) + CHOOSE(CONTROL!$C$38, 0.0347, 0)</f>
        <v>49.325900000000004</v>
      </c>
      <c r="I709" s="10">
        <f>49.2928 * CHOOSE(CONTROL!$C$15, $E$9, 100%, $G$9) + CHOOSE(CONTROL!$C$38, 0.0347, 0)</f>
        <v>49.327500000000001</v>
      </c>
      <c r="J709" s="26">
        <f>302.9538</f>
        <v>302.9538</v>
      </c>
    </row>
    <row r="710" spans="1:10" ht="15.75" x14ac:dyDescent="0.25">
      <c r="A710" s="13">
        <v>62914</v>
      </c>
      <c r="B710" s="10">
        <f>52.8024 * CHOOSE(CONTROL!$C$15, $E$9, 100%, $G$9) + CHOOSE(CONTROL!$C$38, 0.0256, 0)</f>
        <v>52.827999999999996</v>
      </c>
      <c r="C710" s="10">
        <f>48.7817 * CHOOSE(CONTROL!$C$15, $E$9, 100%, $G$9) + CHOOSE(CONTROL!$C$38, 0.0347, 0)</f>
        <v>48.816400000000002</v>
      </c>
      <c r="D710" s="10">
        <f>48.7739 * CHOOSE(CONTROL!$C$15, $E$9, 100%, $G$9) + CHOOSE(CONTROL!$C$38, 0.0347, 0)</f>
        <v>48.808599999999998</v>
      </c>
      <c r="E710" s="28">
        <f>52.6462 * CHOOSE(CONTROL!$C$15, $E$9, 100%, $G$9) + CHOOSE(CONTROL!$C$38, 0.0347, 0)</f>
        <v>52.680900000000001</v>
      </c>
      <c r="F710" s="27">
        <f>52.6462 * CHOOSE(CONTROL!$C$15, $E$9, 100%, $G$9) + CHOOSE(CONTROL!$C$38, 0.0256, 0)</f>
        <v>52.671799999999998</v>
      </c>
      <c r="G710" s="10">
        <f>48.7802 * CHOOSE(CONTROL!$C$15, $E$9, 100%, $G$9) + CHOOSE(CONTROL!$C$38, 0.0347, 0)</f>
        <v>48.814900000000002</v>
      </c>
      <c r="H710" s="10">
        <f>48.7802 * CHOOSE(CONTROL!$C$15, $E$9, 100%, $G$9) + CHOOSE(CONTROL!$C$38, 0.0347, 0)</f>
        <v>48.814900000000002</v>
      </c>
      <c r="I710" s="10">
        <f>48.7817 * CHOOSE(CONTROL!$C$15, $E$9, 100%, $G$9) + CHOOSE(CONTROL!$C$38, 0.0347, 0)</f>
        <v>48.816400000000002</v>
      </c>
      <c r="J710" s="26">
        <f>318.9212</f>
        <v>318.9212</v>
      </c>
    </row>
    <row r="711" spans="1:10" ht="15.75" x14ac:dyDescent="0.25">
      <c r="A711" s="13">
        <v>62944</v>
      </c>
      <c r="B711" s="10">
        <f>52.3072 * CHOOSE(CONTROL!$C$15, $E$9, 100%, $G$9) + CHOOSE(CONTROL!$C$38, 0.0256, 0)</f>
        <v>52.332799999999999</v>
      </c>
      <c r="C711" s="10">
        <f>48.2866 * CHOOSE(CONTROL!$C$15, $E$9, 100%, $G$9) + CHOOSE(CONTROL!$C$38, 0.0347, 0)</f>
        <v>48.321300000000001</v>
      </c>
      <c r="D711" s="10">
        <f>48.2788 * CHOOSE(CONTROL!$C$15, $E$9, 100%, $G$9) + CHOOSE(CONTROL!$C$38, 0.0347, 0)</f>
        <v>48.313499999999998</v>
      </c>
      <c r="E711" s="28">
        <f>52.151 * CHOOSE(CONTROL!$C$15, $E$9, 100%, $G$9) + CHOOSE(CONTROL!$C$38, 0.0347, 0)</f>
        <v>52.185700000000004</v>
      </c>
      <c r="F711" s="27">
        <f>52.151 * CHOOSE(CONTROL!$C$15, $E$9, 100%, $G$9) + CHOOSE(CONTROL!$C$38, 0.0256, 0)</f>
        <v>52.176600000000001</v>
      </c>
      <c r="G711" s="10">
        <f>48.285 * CHOOSE(CONTROL!$C$15, $E$9, 100%, $G$9) + CHOOSE(CONTROL!$C$38, 0.0347, 0)</f>
        <v>48.319699999999997</v>
      </c>
      <c r="H711" s="10">
        <f>48.285 * CHOOSE(CONTROL!$C$15, $E$9, 100%, $G$9) + CHOOSE(CONTROL!$C$38, 0.0347, 0)</f>
        <v>48.319699999999997</v>
      </c>
      <c r="I711" s="10">
        <f>48.2866 * CHOOSE(CONTROL!$C$15, $E$9, 100%, $G$9) + CHOOSE(CONTROL!$C$38, 0.0347, 0)</f>
        <v>48.321300000000001</v>
      </c>
      <c r="J711" s="26">
        <f>339.6272</f>
        <v>339.62720000000002</v>
      </c>
    </row>
    <row r="712" spans="1:10" ht="15.75" x14ac:dyDescent="0.25">
      <c r="A712" s="13">
        <v>62975</v>
      </c>
      <c r="B712" s="10">
        <f>51.7911 * CHOOSE(CONTROL!$C$15, $E$9, 100%, $G$9) + CHOOSE(CONTROL!$C$38, 0.0256, 0)</f>
        <v>51.816699999999997</v>
      </c>
      <c r="C712" s="10">
        <f>47.7705 * CHOOSE(CONTROL!$C$15, $E$9, 100%, $G$9) + CHOOSE(CONTROL!$C$38, 0.0347, 0)</f>
        <v>47.805199999999999</v>
      </c>
      <c r="D712" s="10">
        <f>47.7626 * CHOOSE(CONTROL!$C$15, $E$9, 100%, $G$9) + CHOOSE(CONTROL!$C$38, 0.0347, 0)</f>
        <v>47.7973</v>
      </c>
      <c r="E712" s="28">
        <f>51.6349 * CHOOSE(CONTROL!$C$15, $E$9, 100%, $G$9) + CHOOSE(CONTROL!$C$38, 0.0347, 0)</f>
        <v>51.669600000000003</v>
      </c>
      <c r="F712" s="27">
        <f>51.6349 * CHOOSE(CONTROL!$C$15, $E$9, 100%, $G$9) + CHOOSE(CONTROL!$C$38, 0.0256, 0)</f>
        <v>51.660499999999999</v>
      </c>
      <c r="G712" s="10">
        <f>47.7689 * CHOOSE(CONTROL!$C$15, $E$9, 100%, $G$9) + CHOOSE(CONTROL!$C$38, 0.0347, 0)</f>
        <v>47.803600000000003</v>
      </c>
      <c r="H712" s="10">
        <f>47.7689 * CHOOSE(CONTROL!$C$15, $E$9, 100%, $G$9) + CHOOSE(CONTROL!$C$38, 0.0347, 0)</f>
        <v>47.803600000000003</v>
      </c>
      <c r="I712" s="10">
        <f>47.7705 * CHOOSE(CONTROL!$C$15, $E$9, 100%, $G$9) + CHOOSE(CONTROL!$C$38, 0.0347, 0)</f>
        <v>47.805199999999999</v>
      </c>
      <c r="J712" s="26">
        <f>351.0244</f>
        <v>351.02440000000001</v>
      </c>
    </row>
    <row r="713" spans="1:10" ht="15.75" x14ac:dyDescent="0.25">
      <c r="A713" s="13">
        <v>63005</v>
      </c>
      <c r="B713" s="10">
        <f>51.4293 * CHOOSE(CONTROL!$C$15, $E$9, 100%, $G$9) + CHOOSE(CONTROL!$C$38, 0.0256, 0)</f>
        <v>51.454899999999995</v>
      </c>
      <c r="C713" s="10">
        <f>47.4086 * CHOOSE(CONTROL!$C$15, $E$9, 100%, $G$9) + CHOOSE(CONTROL!$C$38, 0.0347, 0)</f>
        <v>47.443300000000001</v>
      </c>
      <c r="D713" s="10">
        <f>47.4008 * CHOOSE(CONTROL!$C$15, $E$9, 100%, $G$9) + CHOOSE(CONTROL!$C$38, 0.0347, 0)</f>
        <v>47.435499999999998</v>
      </c>
      <c r="E713" s="28">
        <f>51.273 * CHOOSE(CONTROL!$C$15, $E$9, 100%, $G$9) + CHOOSE(CONTROL!$C$38, 0.0347, 0)</f>
        <v>51.307700000000004</v>
      </c>
      <c r="F713" s="27">
        <f>51.273 * CHOOSE(CONTROL!$C$15, $E$9, 100%, $G$9) + CHOOSE(CONTROL!$C$38, 0.0256, 0)</f>
        <v>51.2986</v>
      </c>
      <c r="G713" s="10">
        <f>47.4071 * CHOOSE(CONTROL!$C$15, $E$9, 100%, $G$9) + CHOOSE(CONTROL!$C$38, 0.0347, 0)</f>
        <v>47.441800000000001</v>
      </c>
      <c r="H713" s="10">
        <f>47.4071 * CHOOSE(CONTROL!$C$15, $E$9, 100%, $G$9) + CHOOSE(CONTROL!$C$38, 0.0347, 0)</f>
        <v>47.441800000000001</v>
      </c>
      <c r="I713" s="10">
        <f>47.4086 * CHOOSE(CONTROL!$C$15, $E$9, 100%, $G$9) + CHOOSE(CONTROL!$C$38, 0.0347, 0)</f>
        <v>47.443300000000001</v>
      </c>
      <c r="J713" s="26">
        <f>356.0823</f>
        <v>356.08229999999998</v>
      </c>
    </row>
    <row r="714" spans="1:10" ht="15.75" x14ac:dyDescent="0.25">
      <c r="A714" s="13">
        <v>63036</v>
      </c>
      <c r="B714" s="10">
        <f>51.2228 * CHOOSE(CONTROL!$C$15, $E$9, 100%, $G$9) + CHOOSE(CONTROL!$C$38, 0.0256, 0)</f>
        <v>51.248399999999997</v>
      </c>
      <c r="C714" s="10">
        <f>47.2021 * CHOOSE(CONTROL!$C$15, $E$9, 100%, $G$9) + CHOOSE(CONTROL!$C$38, 0.0347, 0)</f>
        <v>47.236800000000002</v>
      </c>
      <c r="D714" s="10">
        <f>47.1943 * CHOOSE(CONTROL!$C$15, $E$9, 100%, $G$9) + CHOOSE(CONTROL!$C$38, 0.0347, 0)</f>
        <v>47.228999999999999</v>
      </c>
      <c r="E714" s="28">
        <f>51.0665 * CHOOSE(CONTROL!$C$15, $E$9, 100%, $G$9) + CHOOSE(CONTROL!$C$38, 0.0347, 0)</f>
        <v>51.101199999999999</v>
      </c>
      <c r="F714" s="27">
        <f>51.0665 * CHOOSE(CONTROL!$C$15, $E$9, 100%, $G$9) + CHOOSE(CONTROL!$C$38, 0.0256, 0)</f>
        <v>51.092099999999995</v>
      </c>
      <c r="G714" s="10">
        <f>47.2006 * CHOOSE(CONTROL!$C$15, $E$9, 100%, $G$9) + CHOOSE(CONTROL!$C$38, 0.0347, 0)</f>
        <v>47.235300000000002</v>
      </c>
      <c r="H714" s="10">
        <f>47.2006 * CHOOSE(CONTROL!$C$15, $E$9, 100%, $G$9) + CHOOSE(CONTROL!$C$38, 0.0347, 0)</f>
        <v>47.235300000000002</v>
      </c>
      <c r="I714" s="10">
        <f>47.2021 * CHOOSE(CONTROL!$C$15, $E$9, 100%, $G$9) + CHOOSE(CONTROL!$C$38, 0.0347, 0)</f>
        <v>47.236800000000002</v>
      </c>
      <c r="J714" s="26">
        <f>354.417</f>
        <v>354.41699999999997</v>
      </c>
    </row>
    <row r="715" spans="1:10" ht="15.75" x14ac:dyDescent="0.25">
      <c r="A715" s="13">
        <v>63067</v>
      </c>
      <c r="B715" s="10">
        <f>51.3247 * CHOOSE(CONTROL!$C$15, $E$9, 100%, $G$9) + CHOOSE(CONTROL!$C$38, 0.0256, 0)</f>
        <v>51.350299999999997</v>
      </c>
      <c r="C715" s="10">
        <f>47.304 * CHOOSE(CONTROL!$C$15, $E$9, 100%, $G$9) + CHOOSE(CONTROL!$C$38, 0.0347, 0)</f>
        <v>47.338700000000003</v>
      </c>
      <c r="D715" s="10">
        <f>47.2962 * CHOOSE(CONTROL!$C$15, $E$9, 100%, $G$9) + CHOOSE(CONTROL!$C$38, 0.0347, 0)</f>
        <v>47.3309</v>
      </c>
      <c r="E715" s="28">
        <f>51.1684 * CHOOSE(CONTROL!$C$15, $E$9, 100%, $G$9) + CHOOSE(CONTROL!$C$38, 0.0347, 0)</f>
        <v>51.203099999999999</v>
      </c>
      <c r="F715" s="27">
        <f>51.1684 * CHOOSE(CONTROL!$C$15, $E$9, 100%, $G$9) + CHOOSE(CONTROL!$C$38, 0.0256, 0)</f>
        <v>51.193999999999996</v>
      </c>
      <c r="G715" s="10">
        <f>47.3025 * CHOOSE(CONTROL!$C$15, $E$9, 100%, $G$9) + CHOOSE(CONTROL!$C$38, 0.0347, 0)</f>
        <v>47.337200000000003</v>
      </c>
      <c r="H715" s="10">
        <f>47.3025 * CHOOSE(CONTROL!$C$15, $E$9, 100%, $G$9) + CHOOSE(CONTROL!$C$38, 0.0347, 0)</f>
        <v>47.337200000000003</v>
      </c>
      <c r="I715" s="10">
        <f>47.304 * CHOOSE(CONTROL!$C$15, $E$9, 100%, $G$9) + CHOOSE(CONTROL!$C$38, 0.0347, 0)</f>
        <v>47.338700000000003</v>
      </c>
      <c r="J715" s="26">
        <f>346.1663</f>
        <v>346.16629999999998</v>
      </c>
    </row>
    <row r="716" spans="1:10" ht="15.75" x14ac:dyDescent="0.25">
      <c r="A716" s="13">
        <v>63097</v>
      </c>
      <c r="B716" s="10">
        <f>51.6015 * CHOOSE(CONTROL!$C$15, $E$9, 100%, $G$9) + CHOOSE(CONTROL!$C$38, 0.0256, 0)</f>
        <v>51.627099999999999</v>
      </c>
      <c r="C716" s="10">
        <f>47.5808 * CHOOSE(CONTROL!$C$15, $E$9, 100%, $G$9) + CHOOSE(CONTROL!$C$38, 0.0347, 0)</f>
        <v>47.615500000000004</v>
      </c>
      <c r="D716" s="10">
        <f>47.573 * CHOOSE(CONTROL!$C$15, $E$9, 100%, $G$9) + CHOOSE(CONTROL!$C$38, 0.0347, 0)</f>
        <v>47.607700000000001</v>
      </c>
      <c r="E716" s="28">
        <f>51.4452 * CHOOSE(CONTROL!$C$15, $E$9, 100%, $G$9) + CHOOSE(CONTROL!$C$38, 0.0347, 0)</f>
        <v>51.479900000000001</v>
      </c>
      <c r="F716" s="27">
        <f>51.4452 * CHOOSE(CONTROL!$C$15, $E$9, 100%, $G$9) + CHOOSE(CONTROL!$C$38, 0.0256, 0)</f>
        <v>51.470799999999997</v>
      </c>
      <c r="G716" s="10">
        <f>47.5793 * CHOOSE(CONTROL!$C$15, $E$9, 100%, $G$9) + CHOOSE(CONTROL!$C$38, 0.0347, 0)</f>
        <v>47.614000000000004</v>
      </c>
      <c r="H716" s="10">
        <f>47.5793 * CHOOSE(CONTROL!$C$15, $E$9, 100%, $G$9) + CHOOSE(CONTROL!$C$38, 0.0347, 0)</f>
        <v>47.614000000000004</v>
      </c>
      <c r="I716" s="10">
        <f>47.5808 * CHOOSE(CONTROL!$C$15, $E$9, 100%, $G$9) + CHOOSE(CONTROL!$C$38, 0.0347, 0)</f>
        <v>47.615500000000004</v>
      </c>
      <c r="J716" s="26">
        <f>334.6603</f>
        <v>334.66030000000001</v>
      </c>
    </row>
    <row r="717" spans="1:10" ht="15.75" x14ac:dyDescent="0.25">
      <c r="A717" s="13">
        <v>63128</v>
      </c>
      <c r="B717" s="10">
        <f>51.8333 * CHOOSE(CONTROL!$C$15, $E$9, 100%, $G$9) + CHOOSE(CONTROL!$C$38, 0.0256, 0)</f>
        <v>51.858899999999998</v>
      </c>
      <c r="C717" s="10">
        <f>47.8127 * CHOOSE(CONTROL!$C$15, $E$9, 100%, $G$9) + CHOOSE(CONTROL!$C$38, 0.0347, 0)</f>
        <v>47.8474</v>
      </c>
      <c r="D717" s="10">
        <f>47.8048 * CHOOSE(CONTROL!$C$15, $E$9, 100%, $G$9) + CHOOSE(CONTROL!$C$38, 0.0347, 0)</f>
        <v>47.839500000000001</v>
      </c>
      <c r="E717" s="28">
        <f>51.6771 * CHOOSE(CONTROL!$C$15, $E$9, 100%, $G$9) + CHOOSE(CONTROL!$C$38, 0.0347, 0)</f>
        <v>51.711800000000004</v>
      </c>
      <c r="F717" s="27">
        <f>51.6771 * CHOOSE(CONTROL!$C$15, $E$9, 100%, $G$9) + CHOOSE(CONTROL!$C$38, 0.0256, 0)</f>
        <v>51.7027</v>
      </c>
      <c r="G717" s="10">
        <f>47.8111 * CHOOSE(CONTROL!$C$15, $E$9, 100%, $G$9) + CHOOSE(CONTROL!$C$38, 0.0347, 0)</f>
        <v>47.845800000000004</v>
      </c>
      <c r="H717" s="10">
        <f>47.8111 * CHOOSE(CONTROL!$C$15, $E$9, 100%, $G$9) + CHOOSE(CONTROL!$C$38, 0.0347, 0)</f>
        <v>47.845800000000004</v>
      </c>
      <c r="I717" s="10">
        <f>47.8127 * CHOOSE(CONTROL!$C$15, $E$9, 100%, $G$9) + CHOOSE(CONTROL!$C$38, 0.0347, 0)</f>
        <v>47.8474</v>
      </c>
      <c r="J717" s="26">
        <f>323.0874</f>
        <v>323.0874</v>
      </c>
    </row>
    <row r="718" spans="1:10" ht="15.75" x14ac:dyDescent="0.25">
      <c r="A718" s="13">
        <v>63158</v>
      </c>
      <c r="B718" s="10">
        <f>52.0268 * CHOOSE(CONTROL!$C$15, $E$9, 100%, $G$9) + CHOOSE(CONTROL!$C$38, 0.0256, 0)</f>
        <v>52.052399999999999</v>
      </c>
      <c r="C718" s="10">
        <f>48.0061 * CHOOSE(CONTROL!$C$15, $E$9, 100%, $G$9) + CHOOSE(CONTROL!$C$38, 0.0347, 0)</f>
        <v>48.040800000000004</v>
      </c>
      <c r="D718" s="10">
        <f>47.9983 * CHOOSE(CONTROL!$C$15, $E$9, 100%, $G$9) + CHOOSE(CONTROL!$C$38, 0.0347, 0)</f>
        <v>48.033000000000001</v>
      </c>
      <c r="E718" s="28">
        <f>51.8705 * CHOOSE(CONTROL!$C$15, $E$9, 100%, $G$9) + CHOOSE(CONTROL!$C$38, 0.0347, 0)</f>
        <v>51.905200000000001</v>
      </c>
      <c r="F718" s="27">
        <f>51.8705 * CHOOSE(CONTROL!$C$15, $E$9, 100%, $G$9) + CHOOSE(CONTROL!$C$38, 0.0256, 0)</f>
        <v>51.896099999999997</v>
      </c>
      <c r="G718" s="10">
        <f>48.0045 * CHOOSE(CONTROL!$C$15, $E$9, 100%, $G$9) + CHOOSE(CONTROL!$C$38, 0.0347, 0)</f>
        <v>48.039200000000001</v>
      </c>
      <c r="H718" s="10">
        <f>48.0045 * CHOOSE(CONTROL!$C$15, $E$9, 100%, $G$9) + CHOOSE(CONTROL!$C$38, 0.0347, 0)</f>
        <v>48.039200000000001</v>
      </c>
      <c r="I718" s="10">
        <f>48.0061 * CHOOSE(CONTROL!$C$15, $E$9, 100%, $G$9) + CHOOSE(CONTROL!$C$38, 0.0347, 0)</f>
        <v>48.040800000000004</v>
      </c>
      <c r="J718" s="26">
        <f>320.7853</f>
        <v>320.78530000000001</v>
      </c>
    </row>
    <row r="719" spans="1:10" ht="15.75" x14ac:dyDescent="0.25">
      <c r="A719" s="13">
        <v>63189</v>
      </c>
      <c r="B719" s="10">
        <f>52.6228 * CHOOSE(CONTROL!$C$15, $E$9, 100%, $G$9) + CHOOSE(CONTROL!$C$38, 0.0256, 0)</f>
        <v>52.648399999999995</v>
      </c>
      <c r="C719" s="10">
        <f>48.6022 * CHOOSE(CONTROL!$C$15, $E$9, 100%, $G$9) + CHOOSE(CONTROL!$C$38, 0.0347, 0)</f>
        <v>48.636900000000004</v>
      </c>
      <c r="D719" s="10">
        <f>48.5944 * CHOOSE(CONTROL!$C$15, $E$9, 100%, $G$9) + CHOOSE(CONTROL!$C$38, 0.0347, 0)</f>
        <v>48.629100000000001</v>
      </c>
      <c r="E719" s="28">
        <f>52.4666 * CHOOSE(CONTROL!$C$15, $E$9, 100%, $G$9) + CHOOSE(CONTROL!$C$38, 0.0347, 0)</f>
        <v>52.501300000000001</v>
      </c>
      <c r="F719" s="27">
        <f>52.4666 * CHOOSE(CONTROL!$C$15, $E$9, 100%, $G$9) + CHOOSE(CONTROL!$C$38, 0.0256, 0)</f>
        <v>52.492199999999997</v>
      </c>
      <c r="G719" s="10">
        <f>48.6006 * CHOOSE(CONTROL!$C$15, $E$9, 100%, $G$9) + CHOOSE(CONTROL!$C$38, 0.0347, 0)</f>
        <v>48.635300000000001</v>
      </c>
      <c r="H719" s="10">
        <f>48.6006 * CHOOSE(CONTROL!$C$15, $E$9, 100%, $G$9) + CHOOSE(CONTROL!$C$38, 0.0347, 0)</f>
        <v>48.635300000000001</v>
      </c>
      <c r="I719" s="10">
        <f>48.6022 * CHOOSE(CONTROL!$C$15, $E$9, 100%, $G$9) + CHOOSE(CONTROL!$C$38, 0.0347, 0)</f>
        <v>48.636900000000004</v>
      </c>
      <c r="J719" s="26">
        <f>311.266</f>
        <v>311.26600000000002</v>
      </c>
    </row>
    <row r="720" spans="1:10" ht="15.75" x14ac:dyDescent="0.25">
      <c r="A720" s="13">
        <v>63220</v>
      </c>
      <c r="B720" s="10">
        <f>54.0025 * CHOOSE(CONTROL!$C$15, $E$9, 100%, $G$9) + CHOOSE(CONTROL!$C$38, 0.0256, 0)</f>
        <v>54.028099999999995</v>
      </c>
      <c r="C720" s="10">
        <f>49.9136 * CHOOSE(CONTROL!$C$15, $E$9, 100%, $G$9) + CHOOSE(CONTROL!$C$38, 0.0347, 0)</f>
        <v>49.948300000000003</v>
      </c>
      <c r="D720" s="10">
        <f>49.9058 * CHOOSE(CONTROL!$C$15, $E$9, 100%, $G$9) + CHOOSE(CONTROL!$C$38, 0.0347, 0)</f>
        <v>49.9405</v>
      </c>
      <c r="E720" s="28">
        <f>53.8463 * CHOOSE(CONTROL!$C$15, $E$9, 100%, $G$9) + CHOOSE(CONTROL!$C$38, 0.0347, 0)</f>
        <v>53.881</v>
      </c>
      <c r="F720" s="27">
        <f>53.8463 * CHOOSE(CONTROL!$C$15, $E$9, 100%, $G$9) + CHOOSE(CONTROL!$C$38, 0.0256, 0)</f>
        <v>53.871899999999997</v>
      </c>
      <c r="G720" s="10">
        <f>49.912 * CHOOSE(CONTROL!$C$15, $E$9, 100%, $G$9) + CHOOSE(CONTROL!$C$38, 0.0347, 0)</f>
        <v>49.9467</v>
      </c>
      <c r="H720" s="10">
        <f>49.912 * CHOOSE(CONTROL!$C$15, $E$9, 100%, $G$9) + CHOOSE(CONTROL!$C$38, 0.0347, 0)</f>
        <v>49.9467</v>
      </c>
      <c r="I720" s="10">
        <f>49.9136 * CHOOSE(CONTROL!$C$15, $E$9, 100%, $G$9) + CHOOSE(CONTROL!$C$38, 0.0347, 0)</f>
        <v>49.948300000000003</v>
      </c>
      <c r="J720" s="26">
        <f>309.181</f>
        <v>309.18099999999998</v>
      </c>
    </row>
    <row r="721" spans="1:10" ht="15.75" x14ac:dyDescent="0.25">
      <c r="A721" s="13">
        <v>63248</v>
      </c>
      <c r="B721" s="10">
        <f>54.2233 * CHOOSE(CONTROL!$C$15, $E$9, 100%, $G$9) + CHOOSE(CONTROL!$C$38, 0.0256, 0)</f>
        <v>54.248899999999999</v>
      </c>
      <c r="C721" s="10">
        <f>50.1344 * CHOOSE(CONTROL!$C$15, $E$9, 100%, $G$9) + CHOOSE(CONTROL!$C$38, 0.0347, 0)</f>
        <v>50.1691</v>
      </c>
      <c r="D721" s="10">
        <f>50.1266 * CHOOSE(CONTROL!$C$15, $E$9, 100%, $G$9) + CHOOSE(CONTROL!$C$38, 0.0347, 0)</f>
        <v>50.161300000000004</v>
      </c>
      <c r="E721" s="28">
        <f>54.067 * CHOOSE(CONTROL!$C$15, $E$9, 100%, $G$9) + CHOOSE(CONTROL!$C$38, 0.0347, 0)</f>
        <v>54.101700000000001</v>
      </c>
      <c r="F721" s="27">
        <f>54.067 * CHOOSE(CONTROL!$C$15, $E$9, 100%, $G$9) + CHOOSE(CONTROL!$C$38, 0.0256, 0)</f>
        <v>54.092599999999997</v>
      </c>
      <c r="G721" s="10">
        <f>50.1328 * CHOOSE(CONTROL!$C$15, $E$9, 100%, $G$9) + CHOOSE(CONTROL!$C$38, 0.0347, 0)</f>
        <v>50.167500000000004</v>
      </c>
      <c r="H721" s="10">
        <f>50.1328 * CHOOSE(CONTROL!$C$15, $E$9, 100%, $G$9) + CHOOSE(CONTROL!$C$38, 0.0347, 0)</f>
        <v>50.167500000000004</v>
      </c>
      <c r="I721" s="10">
        <f>50.1344 * CHOOSE(CONTROL!$C$15, $E$9, 100%, $G$9) + CHOOSE(CONTROL!$C$38, 0.0347, 0)</f>
        <v>50.1691</v>
      </c>
      <c r="J721" s="26">
        <f>308.3216</f>
        <v>308.32159999999999</v>
      </c>
    </row>
    <row r="722" spans="1:10" ht="15.75" x14ac:dyDescent="0.25">
      <c r="A722" s="13">
        <v>63279</v>
      </c>
      <c r="B722" s="10">
        <f>53.7123 * CHOOSE(CONTROL!$C$15, $E$9, 100%, $G$9) + CHOOSE(CONTROL!$C$38, 0.0256, 0)</f>
        <v>53.737899999999996</v>
      </c>
      <c r="C722" s="10">
        <f>49.6233 * CHOOSE(CONTROL!$C$15, $E$9, 100%, $G$9) + CHOOSE(CONTROL!$C$38, 0.0347, 0)</f>
        <v>49.658000000000001</v>
      </c>
      <c r="D722" s="10">
        <f>49.6155 * CHOOSE(CONTROL!$C$15, $E$9, 100%, $G$9) + CHOOSE(CONTROL!$C$38, 0.0347, 0)</f>
        <v>49.650199999999998</v>
      </c>
      <c r="E722" s="28">
        <f>53.556 * CHOOSE(CONTROL!$C$15, $E$9, 100%, $G$9) + CHOOSE(CONTROL!$C$38, 0.0347, 0)</f>
        <v>53.590699999999998</v>
      </c>
      <c r="F722" s="27">
        <f>53.556 * CHOOSE(CONTROL!$C$15, $E$9, 100%, $G$9) + CHOOSE(CONTROL!$C$38, 0.0256, 0)</f>
        <v>53.581599999999995</v>
      </c>
      <c r="G722" s="10">
        <f>49.6218 * CHOOSE(CONTROL!$C$15, $E$9, 100%, $G$9) + CHOOSE(CONTROL!$C$38, 0.0347, 0)</f>
        <v>49.656500000000001</v>
      </c>
      <c r="H722" s="10">
        <f>49.6218 * CHOOSE(CONTROL!$C$15, $E$9, 100%, $G$9) + CHOOSE(CONTROL!$C$38, 0.0347, 0)</f>
        <v>49.656500000000001</v>
      </c>
      <c r="I722" s="10">
        <f>49.6233 * CHOOSE(CONTROL!$C$15, $E$9, 100%, $G$9) + CHOOSE(CONTROL!$C$38, 0.0347, 0)</f>
        <v>49.658000000000001</v>
      </c>
      <c r="J722" s="26">
        <f>324.5719</f>
        <v>324.57190000000003</v>
      </c>
    </row>
    <row r="723" spans="1:10" ht="15.75" x14ac:dyDescent="0.25">
      <c r="A723" s="13">
        <v>63309</v>
      </c>
      <c r="B723" s="10">
        <f>53.2171 * CHOOSE(CONTROL!$C$15, $E$9, 100%, $G$9) + CHOOSE(CONTROL!$C$38, 0.0256, 0)</f>
        <v>53.242699999999999</v>
      </c>
      <c r="C723" s="10">
        <f>49.1282 * CHOOSE(CONTROL!$C$15, $E$9, 100%, $G$9) + CHOOSE(CONTROL!$C$38, 0.0347, 0)</f>
        <v>49.1629</v>
      </c>
      <c r="D723" s="10">
        <f>49.1203 * CHOOSE(CONTROL!$C$15, $E$9, 100%, $G$9) + CHOOSE(CONTROL!$C$38, 0.0347, 0)</f>
        <v>49.155000000000001</v>
      </c>
      <c r="E723" s="28">
        <f>53.0608 * CHOOSE(CONTROL!$C$15, $E$9, 100%, $G$9) + CHOOSE(CONTROL!$C$38, 0.0347, 0)</f>
        <v>53.095500000000001</v>
      </c>
      <c r="F723" s="27">
        <f>53.0608 * CHOOSE(CONTROL!$C$15, $E$9, 100%, $G$9) + CHOOSE(CONTROL!$C$38, 0.0256, 0)</f>
        <v>53.086399999999998</v>
      </c>
      <c r="G723" s="10">
        <f>49.1266 * CHOOSE(CONTROL!$C$15, $E$9, 100%, $G$9) + CHOOSE(CONTROL!$C$38, 0.0347, 0)</f>
        <v>49.161300000000004</v>
      </c>
      <c r="H723" s="10">
        <f>49.1266 * CHOOSE(CONTROL!$C$15, $E$9, 100%, $G$9) + CHOOSE(CONTROL!$C$38, 0.0347, 0)</f>
        <v>49.161300000000004</v>
      </c>
      <c r="I723" s="10">
        <f>49.1282 * CHOOSE(CONTROL!$C$15, $E$9, 100%, $G$9) + CHOOSE(CONTROL!$C$38, 0.0347, 0)</f>
        <v>49.1629</v>
      </c>
      <c r="J723" s="26">
        <f>345.6447</f>
        <v>345.6447</v>
      </c>
    </row>
    <row r="724" spans="1:10" ht="15.75" x14ac:dyDescent="0.25">
      <c r="A724" s="13">
        <v>63340</v>
      </c>
      <c r="B724" s="10">
        <f>52.701 * CHOOSE(CONTROL!$C$15, $E$9, 100%, $G$9) + CHOOSE(CONTROL!$C$38, 0.0256, 0)</f>
        <v>52.726599999999998</v>
      </c>
      <c r="C724" s="10">
        <f>48.612 * CHOOSE(CONTROL!$C$15, $E$9, 100%, $G$9) + CHOOSE(CONTROL!$C$38, 0.0347, 0)</f>
        <v>48.646700000000003</v>
      </c>
      <c r="D724" s="10">
        <f>48.6042 * CHOOSE(CONTROL!$C$15, $E$9, 100%, $G$9) + CHOOSE(CONTROL!$C$38, 0.0347, 0)</f>
        <v>48.6389</v>
      </c>
      <c r="E724" s="28">
        <f>52.5447 * CHOOSE(CONTROL!$C$15, $E$9, 100%, $G$9) + CHOOSE(CONTROL!$C$38, 0.0347, 0)</f>
        <v>52.5794</v>
      </c>
      <c r="F724" s="27">
        <f>52.5447 * CHOOSE(CONTROL!$C$15, $E$9, 100%, $G$9) + CHOOSE(CONTROL!$C$38, 0.0256, 0)</f>
        <v>52.570299999999996</v>
      </c>
      <c r="G724" s="10">
        <f>48.6105 * CHOOSE(CONTROL!$C$15, $E$9, 100%, $G$9) + CHOOSE(CONTROL!$C$38, 0.0347, 0)</f>
        <v>48.645200000000003</v>
      </c>
      <c r="H724" s="10">
        <f>48.6105 * CHOOSE(CONTROL!$C$15, $E$9, 100%, $G$9) + CHOOSE(CONTROL!$C$38, 0.0347, 0)</f>
        <v>48.645200000000003</v>
      </c>
      <c r="I724" s="10">
        <f>48.612 * CHOOSE(CONTROL!$C$15, $E$9, 100%, $G$9) + CHOOSE(CONTROL!$C$38, 0.0347, 0)</f>
        <v>48.646700000000003</v>
      </c>
      <c r="J724" s="26">
        <f>357.2439</f>
        <v>357.2439</v>
      </c>
    </row>
    <row r="725" spans="1:10" ht="15.75" x14ac:dyDescent="0.25">
      <c r="A725" s="13">
        <v>63370</v>
      </c>
      <c r="B725" s="10">
        <f>52.3391 * CHOOSE(CONTROL!$C$15, $E$9, 100%, $G$9) + CHOOSE(CONTROL!$C$38, 0.0256, 0)</f>
        <v>52.364699999999999</v>
      </c>
      <c r="C725" s="10">
        <f>48.2502 * CHOOSE(CONTROL!$C$15, $E$9, 100%, $G$9) + CHOOSE(CONTROL!$C$38, 0.0347, 0)</f>
        <v>48.2849</v>
      </c>
      <c r="D725" s="10">
        <f>48.2424 * CHOOSE(CONTROL!$C$15, $E$9, 100%, $G$9) + CHOOSE(CONTROL!$C$38, 0.0347, 0)</f>
        <v>48.277100000000004</v>
      </c>
      <c r="E725" s="28">
        <f>52.1829 * CHOOSE(CONTROL!$C$15, $E$9, 100%, $G$9) + CHOOSE(CONTROL!$C$38, 0.0347, 0)</f>
        <v>52.217599999999997</v>
      </c>
      <c r="F725" s="27">
        <f>52.1829 * CHOOSE(CONTROL!$C$15, $E$9, 100%, $G$9) + CHOOSE(CONTROL!$C$38, 0.0256, 0)</f>
        <v>52.208499999999994</v>
      </c>
      <c r="G725" s="10">
        <f>48.2486 * CHOOSE(CONTROL!$C$15, $E$9, 100%, $G$9) + CHOOSE(CONTROL!$C$38, 0.0347, 0)</f>
        <v>48.283300000000004</v>
      </c>
      <c r="H725" s="10">
        <f>48.2486 * CHOOSE(CONTROL!$C$15, $E$9, 100%, $G$9) + CHOOSE(CONTROL!$C$38, 0.0347, 0)</f>
        <v>48.283300000000004</v>
      </c>
      <c r="I725" s="10">
        <f>48.2502 * CHOOSE(CONTROL!$C$15, $E$9, 100%, $G$9) + CHOOSE(CONTROL!$C$38, 0.0347, 0)</f>
        <v>48.2849</v>
      </c>
      <c r="J725" s="26">
        <f>362.3914</f>
        <v>362.39139999999998</v>
      </c>
    </row>
    <row r="726" spans="1:10" ht="15.75" x14ac:dyDescent="0.25">
      <c r="A726" s="13">
        <v>63401</v>
      </c>
      <c r="B726" s="10">
        <f>52.1326 * CHOOSE(CONTROL!$C$15, $E$9, 100%, $G$9) + CHOOSE(CONTROL!$C$38, 0.0256, 0)</f>
        <v>52.158199999999994</v>
      </c>
      <c r="C726" s="10">
        <f>48.0437 * CHOOSE(CONTROL!$C$15, $E$9, 100%, $G$9) + CHOOSE(CONTROL!$C$38, 0.0347, 0)</f>
        <v>48.078400000000002</v>
      </c>
      <c r="D726" s="10">
        <f>48.0359 * CHOOSE(CONTROL!$C$15, $E$9, 100%, $G$9) + CHOOSE(CONTROL!$C$38, 0.0347, 0)</f>
        <v>48.070599999999999</v>
      </c>
      <c r="E726" s="28">
        <f>51.9764 * CHOOSE(CONTROL!$C$15, $E$9, 100%, $G$9) + CHOOSE(CONTROL!$C$38, 0.0347, 0)</f>
        <v>52.011099999999999</v>
      </c>
      <c r="F726" s="27">
        <f>51.9764 * CHOOSE(CONTROL!$C$15, $E$9, 100%, $G$9) + CHOOSE(CONTROL!$C$38, 0.0256, 0)</f>
        <v>52.001999999999995</v>
      </c>
      <c r="G726" s="10">
        <f>48.0422 * CHOOSE(CONTROL!$C$15, $E$9, 100%, $G$9) + CHOOSE(CONTROL!$C$38, 0.0347, 0)</f>
        <v>48.076900000000002</v>
      </c>
      <c r="H726" s="10">
        <f>48.0422 * CHOOSE(CONTROL!$C$15, $E$9, 100%, $G$9) + CHOOSE(CONTROL!$C$38, 0.0347, 0)</f>
        <v>48.076900000000002</v>
      </c>
      <c r="I726" s="10">
        <f>48.0437 * CHOOSE(CONTROL!$C$15, $E$9, 100%, $G$9) + CHOOSE(CONTROL!$C$38, 0.0347, 0)</f>
        <v>48.078400000000002</v>
      </c>
      <c r="J726" s="26">
        <f>360.6966</f>
        <v>360.69659999999999</v>
      </c>
    </row>
    <row r="727" spans="1:10" ht="15.75" x14ac:dyDescent="0.25">
      <c r="A727" s="13">
        <v>63432</v>
      </c>
      <c r="B727" s="10">
        <f>52.2346 * CHOOSE(CONTROL!$C$15, $E$9, 100%, $G$9) + CHOOSE(CONTROL!$C$38, 0.0256, 0)</f>
        <v>52.260199999999998</v>
      </c>
      <c r="C727" s="10">
        <f>48.1456 * CHOOSE(CONTROL!$C$15, $E$9, 100%, $G$9) + CHOOSE(CONTROL!$C$38, 0.0347, 0)</f>
        <v>48.180300000000003</v>
      </c>
      <c r="D727" s="10">
        <f>48.1378 * CHOOSE(CONTROL!$C$15, $E$9, 100%, $G$9) + CHOOSE(CONTROL!$C$38, 0.0347, 0)</f>
        <v>48.172499999999999</v>
      </c>
      <c r="E727" s="28">
        <f>52.0783 * CHOOSE(CONTROL!$C$15, $E$9, 100%, $G$9) + CHOOSE(CONTROL!$C$38, 0.0347, 0)</f>
        <v>52.113</v>
      </c>
      <c r="F727" s="27">
        <f>52.0783 * CHOOSE(CONTROL!$C$15, $E$9, 100%, $G$9) + CHOOSE(CONTROL!$C$38, 0.0256, 0)</f>
        <v>52.103899999999996</v>
      </c>
      <c r="G727" s="10">
        <f>48.1441 * CHOOSE(CONTROL!$C$15, $E$9, 100%, $G$9) + CHOOSE(CONTROL!$C$38, 0.0347, 0)</f>
        <v>48.178800000000003</v>
      </c>
      <c r="H727" s="10">
        <f>48.1441 * CHOOSE(CONTROL!$C$15, $E$9, 100%, $G$9) + CHOOSE(CONTROL!$C$38, 0.0347, 0)</f>
        <v>48.178800000000003</v>
      </c>
      <c r="I727" s="10">
        <f>48.1456 * CHOOSE(CONTROL!$C$15, $E$9, 100%, $G$9) + CHOOSE(CONTROL!$C$38, 0.0347, 0)</f>
        <v>48.180300000000003</v>
      </c>
      <c r="J727" s="26">
        <f>352.2997</f>
        <v>352.29969999999997</v>
      </c>
    </row>
    <row r="728" spans="1:10" ht="15.75" x14ac:dyDescent="0.25">
      <c r="A728" s="13">
        <v>63462</v>
      </c>
      <c r="B728" s="10">
        <f>52.5114 * CHOOSE(CONTROL!$C$15, $E$9, 100%, $G$9) + CHOOSE(CONTROL!$C$38, 0.0256, 0)</f>
        <v>52.536999999999999</v>
      </c>
      <c r="C728" s="10">
        <f>48.4224 * CHOOSE(CONTROL!$C$15, $E$9, 100%, $G$9) + CHOOSE(CONTROL!$C$38, 0.0347, 0)</f>
        <v>48.457100000000004</v>
      </c>
      <c r="D728" s="10">
        <f>48.4146 * CHOOSE(CONTROL!$C$15, $E$9, 100%, $G$9) + CHOOSE(CONTROL!$C$38, 0.0347, 0)</f>
        <v>48.449300000000001</v>
      </c>
      <c r="E728" s="28">
        <f>52.3551 * CHOOSE(CONTROL!$C$15, $E$9, 100%, $G$9) + CHOOSE(CONTROL!$C$38, 0.0347, 0)</f>
        <v>52.389800000000001</v>
      </c>
      <c r="F728" s="27">
        <f>52.3551 * CHOOSE(CONTROL!$C$15, $E$9, 100%, $G$9) + CHOOSE(CONTROL!$C$38, 0.0256, 0)</f>
        <v>52.380699999999997</v>
      </c>
      <c r="G728" s="10">
        <f>48.4209 * CHOOSE(CONTROL!$C$15, $E$9, 100%, $G$9) + CHOOSE(CONTROL!$C$38, 0.0347, 0)</f>
        <v>48.455600000000004</v>
      </c>
      <c r="H728" s="10">
        <f>48.4209 * CHOOSE(CONTROL!$C$15, $E$9, 100%, $G$9) + CHOOSE(CONTROL!$C$38, 0.0347, 0)</f>
        <v>48.455600000000004</v>
      </c>
      <c r="I728" s="10">
        <f>48.4224 * CHOOSE(CONTROL!$C$15, $E$9, 100%, $G$9) + CHOOSE(CONTROL!$C$38, 0.0347, 0)</f>
        <v>48.457100000000004</v>
      </c>
      <c r="J728" s="26">
        <f>340.5899</f>
        <v>340.5899</v>
      </c>
    </row>
    <row r="729" spans="1:10" ht="15.75" x14ac:dyDescent="0.25">
      <c r="A729" s="13">
        <v>63493</v>
      </c>
      <c r="B729" s="10">
        <f>52.7432 * CHOOSE(CONTROL!$C$15, $E$9, 100%, $G$9) + CHOOSE(CONTROL!$C$38, 0.0256, 0)</f>
        <v>52.768799999999999</v>
      </c>
      <c r="C729" s="10">
        <f>48.6542 * CHOOSE(CONTROL!$C$15, $E$9, 100%, $G$9) + CHOOSE(CONTROL!$C$38, 0.0347, 0)</f>
        <v>48.688900000000004</v>
      </c>
      <c r="D729" s="10">
        <f>48.6464 * CHOOSE(CONTROL!$C$15, $E$9, 100%, $G$9) + CHOOSE(CONTROL!$C$38, 0.0347, 0)</f>
        <v>48.681100000000001</v>
      </c>
      <c r="E729" s="28">
        <f>52.5869 * CHOOSE(CONTROL!$C$15, $E$9, 100%, $G$9) + CHOOSE(CONTROL!$C$38, 0.0347, 0)</f>
        <v>52.621600000000001</v>
      </c>
      <c r="F729" s="27">
        <f>52.5869 * CHOOSE(CONTROL!$C$15, $E$9, 100%, $G$9) + CHOOSE(CONTROL!$C$38, 0.0256, 0)</f>
        <v>52.612499999999997</v>
      </c>
      <c r="G729" s="10">
        <f>48.6527 * CHOOSE(CONTROL!$C$15, $E$9, 100%, $G$9) + CHOOSE(CONTROL!$C$38, 0.0347, 0)</f>
        <v>48.687400000000004</v>
      </c>
      <c r="H729" s="10">
        <f>48.6527 * CHOOSE(CONTROL!$C$15, $E$9, 100%, $G$9) + CHOOSE(CONTROL!$C$38, 0.0347, 0)</f>
        <v>48.687400000000004</v>
      </c>
      <c r="I729" s="10">
        <f>48.6542 * CHOOSE(CONTROL!$C$15, $E$9, 100%, $G$9) + CHOOSE(CONTROL!$C$38, 0.0347, 0)</f>
        <v>48.688900000000004</v>
      </c>
      <c r="J729" s="26">
        <f>328.8119</f>
        <v>328.81189999999998</v>
      </c>
    </row>
    <row r="730" spans="1:10" ht="15.75" x14ac:dyDescent="0.25">
      <c r="A730" s="13">
        <v>63523</v>
      </c>
      <c r="B730" s="10">
        <f>52.9366 * CHOOSE(CONTROL!$C$15, $E$9, 100%, $G$9) + CHOOSE(CONTROL!$C$38, 0.0256, 0)</f>
        <v>52.962199999999996</v>
      </c>
      <c r="C730" s="10">
        <f>48.8477 * CHOOSE(CONTROL!$C$15, $E$9, 100%, $G$9) + CHOOSE(CONTROL!$C$38, 0.0347, 0)</f>
        <v>48.882400000000004</v>
      </c>
      <c r="D730" s="10">
        <f>48.8399 * CHOOSE(CONTROL!$C$15, $E$9, 100%, $G$9) + CHOOSE(CONTROL!$C$38, 0.0347, 0)</f>
        <v>48.874600000000001</v>
      </c>
      <c r="E730" s="28">
        <f>52.7804 * CHOOSE(CONTROL!$C$15, $E$9, 100%, $G$9) + CHOOSE(CONTROL!$C$38, 0.0347, 0)</f>
        <v>52.815100000000001</v>
      </c>
      <c r="F730" s="27">
        <f>52.7804 * CHOOSE(CONTROL!$C$15, $E$9, 100%, $G$9) + CHOOSE(CONTROL!$C$38, 0.0256, 0)</f>
        <v>52.805999999999997</v>
      </c>
      <c r="G730" s="10">
        <f>48.8461 * CHOOSE(CONTROL!$C$15, $E$9, 100%, $G$9) + CHOOSE(CONTROL!$C$38, 0.0347, 0)</f>
        <v>48.880800000000001</v>
      </c>
      <c r="H730" s="10">
        <f>48.8461 * CHOOSE(CONTROL!$C$15, $E$9, 100%, $G$9) + CHOOSE(CONTROL!$C$38, 0.0347, 0)</f>
        <v>48.880800000000001</v>
      </c>
      <c r="I730" s="10">
        <f>48.8477 * CHOOSE(CONTROL!$C$15, $E$9, 100%, $G$9) + CHOOSE(CONTROL!$C$38, 0.0347, 0)</f>
        <v>48.882400000000004</v>
      </c>
      <c r="J730" s="26">
        <f>326.469</f>
        <v>326.46899999999999</v>
      </c>
    </row>
    <row r="731" spans="1:10" ht="15.75" x14ac:dyDescent="0.25">
      <c r="A731" s="13">
        <v>63554</v>
      </c>
      <c r="B731" s="10">
        <f>53.5327 * CHOOSE(CONTROL!$C$15, $E$9, 100%, $G$9) + CHOOSE(CONTROL!$C$38, 0.0256, 0)</f>
        <v>53.558299999999996</v>
      </c>
      <c r="C731" s="10">
        <f>49.4438 * CHOOSE(CONTROL!$C$15, $E$9, 100%, $G$9) + CHOOSE(CONTROL!$C$38, 0.0347, 0)</f>
        <v>49.478500000000004</v>
      </c>
      <c r="D731" s="10">
        <f>49.4359 * CHOOSE(CONTROL!$C$15, $E$9, 100%, $G$9) + CHOOSE(CONTROL!$C$38, 0.0347, 0)</f>
        <v>49.470599999999997</v>
      </c>
      <c r="E731" s="28">
        <f>53.3764 * CHOOSE(CONTROL!$C$15, $E$9, 100%, $G$9) + CHOOSE(CONTROL!$C$38, 0.0347, 0)</f>
        <v>53.411099999999998</v>
      </c>
      <c r="F731" s="27">
        <f>53.3764 * CHOOSE(CONTROL!$C$15, $E$9, 100%, $G$9) + CHOOSE(CONTROL!$C$38, 0.0256, 0)</f>
        <v>53.401999999999994</v>
      </c>
      <c r="G731" s="10">
        <f>49.4422 * CHOOSE(CONTROL!$C$15, $E$9, 100%, $G$9) + CHOOSE(CONTROL!$C$38, 0.0347, 0)</f>
        <v>49.476900000000001</v>
      </c>
      <c r="H731" s="10">
        <f>49.4422 * CHOOSE(CONTROL!$C$15, $E$9, 100%, $G$9) + CHOOSE(CONTROL!$C$38, 0.0347, 0)</f>
        <v>49.476900000000001</v>
      </c>
      <c r="I731" s="10">
        <f>49.4438 * CHOOSE(CONTROL!$C$15, $E$9, 100%, $G$9) + CHOOSE(CONTROL!$C$38, 0.0347, 0)</f>
        <v>49.478500000000004</v>
      </c>
      <c r="J731" s="26">
        <f>316.781</f>
        <v>316.78100000000001</v>
      </c>
    </row>
    <row r="732" spans="1:10" ht="15.75" x14ac:dyDescent="0.25">
      <c r="A732" s="13">
        <v>63585</v>
      </c>
      <c r="B732" s="10">
        <f>54.9285 * CHOOSE(CONTROL!$C$15, $E$9, 100%, $G$9) + CHOOSE(CONTROL!$C$38, 0.0256, 0)</f>
        <v>54.954099999999997</v>
      </c>
      <c r="C732" s="10">
        <f>50.7701 * CHOOSE(CONTROL!$C$15, $E$9, 100%, $G$9) + CHOOSE(CONTROL!$C$38, 0.0347, 0)</f>
        <v>50.8048</v>
      </c>
      <c r="D732" s="10">
        <f>50.7622 * CHOOSE(CONTROL!$C$15, $E$9, 100%, $G$9) + CHOOSE(CONTROL!$C$38, 0.0347, 0)</f>
        <v>50.796900000000001</v>
      </c>
      <c r="E732" s="28">
        <f>54.7722 * CHOOSE(CONTROL!$C$15, $E$9, 100%, $G$9) + CHOOSE(CONTROL!$C$38, 0.0347, 0)</f>
        <v>54.806899999999999</v>
      </c>
      <c r="F732" s="27">
        <f>54.7722 * CHOOSE(CONTROL!$C$15, $E$9, 100%, $G$9) + CHOOSE(CONTROL!$C$38, 0.0256, 0)</f>
        <v>54.797799999999995</v>
      </c>
      <c r="G732" s="10">
        <f>50.7685 * CHOOSE(CONTROL!$C$15, $E$9, 100%, $G$9) + CHOOSE(CONTROL!$C$38, 0.0347, 0)</f>
        <v>50.803200000000004</v>
      </c>
      <c r="H732" s="10">
        <f>50.7685 * CHOOSE(CONTROL!$C$15, $E$9, 100%, $G$9) + CHOOSE(CONTROL!$C$38, 0.0347, 0)</f>
        <v>50.803200000000004</v>
      </c>
      <c r="I732" s="10">
        <f>50.7701 * CHOOSE(CONTROL!$C$15, $E$9, 100%, $G$9) + CHOOSE(CONTROL!$C$38, 0.0347, 0)</f>
        <v>50.8048</v>
      </c>
      <c r="J732" s="26">
        <f>314.6591</f>
        <v>314.65910000000002</v>
      </c>
    </row>
    <row r="733" spans="1:10" ht="15.75" x14ac:dyDescent="0.25">
      <c r="A733" s="13">
        <v>63613</v>
      </c>
      <c r="B733" s="10">
        <f>55.1492 * CHOOSE(CONTROL!$C$15, $E$9, 100%, $G$9) + CHOOSE(CONTROL!$C$38, 0.0256, 0)</f>
        <v>55.174799999999998</v>
      </c>
      <c r="C733" s="10">
        <f>50.9908 * CHOOSE(CONTROL!$C$15, $E$9, 100%, $G$9) + CHOOSE(CONTROL!$C$38, 0.0347, 0)</f>
        <v>51.025500000000001</v>
      </c>
      <c r="D733" s="10">
        <f>50.983 * CHOOSE(CONTROL!$C$15, $E$9, 100%, $G$9) + CHOOSE(CONTROL!$C$38, 0.0347, 0)</f>
        <v>51.017699999999998</v>
      </c>
      <c r="E733" s="28">
        <f>54.993 * CHOOSE(CONTROL!$C$15, $E$9, 100%, $G$9) + CHOOSE(CONTROL!$C$38, 0.0347, 0)</f>
        <v>55.027700000000003</v>
      </c>
      <c r="F733" s="27">
        <f>54.993 * CHOOSE(CONTROL!$C$15, $E$9, 100%, $G$9) + CHOOSE(CONTROL!$C$38, 0.0256, 0)</f>
        <v>55.018599999999999</v>
      </c>
      <c r="G733" s="10">
        <f>50.9893 * CHOOSE(CONTROL!$C$15, $E$9, 100%, $G$9) + CHOOSE(CONTROL!$C$38, 0.0347, 0)</f>
        <v>51.024000000000001</v>
      </c>
      <c r="H733" s="10">
        <f>50.9893 * CHOOSE(CONTROL!$C$15, $E$9, 100%, $G$9) + CHOOSE(CONTROL!$C$38, 0.0347, 0)</f>
        <v>51.024000000000001</v>
      </c>
      <c r="I733" s="10">
        <f>50.9908 * CHOOSE(CONTROL!$C$15, $E$9, 100%, $G$9) + CHOOSE(CONTROL!$C$38, 0.0347, 0)</f>
        <v>51.025500000000001</v>
      </c>
      <c r="J733" s="26">
        <f>313.7845</f>
        <v>313.78449999999998</v>
      </c>
    </row>
    <row r="734" spans="1:10" ht="15.75" x14ac:dyDescent="0.25">
      <c r="A734" s="13">
        <v>63644</v>
      </c>
      <c r="B734" s="10">
        <f>54.6382 * CHOOSE(CONTROL!$C$15, $E$9, 100%, $G$9) + CHOOSE(CONTROL!$C$38, 0.0256, 0)</f>
        <v>54.663799999999995</v>
      </c>
      <c r="C734" s="10">
        <f>50.4798 * CHOOSE(CONTROL!$C$15, $E$9, 100%, $G$9) + CHOOSE(CONTROL!$C$38, 0.0347, 0)</f>
        <v>50.514499999999998</v>
      </c>
      <c r="D734" s="10">
        <f>50.472 * CHOOSE(CONTROL!$C$15, $E$9, 100%, $G$9) + CHOOSE(CONTROL!$C$38, 0.0347, 0)</f>
        <v>50.506700000000002</v>
      </c>
      <c r="E734" s="28">
        <f>54.482 * CHOOSE(CONTROL!$C$15, $E$9, 100%, $G$9) + CHOOSE(CONTROL!$C$38, 0.0347, 0)</f>
        <v>54.5167</v>
      </c>
      <c r="F734" s="27">
        <f>54.482 * CHOOSE(CONTROL!$C$15, $E$9, 100%, $G$9) + CHOOSE(CONTROL!$C$38, 0.0256, 0)</f>
        <v>54.507599999999996</v>
      </c>
      <c r="G734" s="10">
        <f>50.4782 * CHOOSE(CONTROL!$C$15, $E$9, 100%, $G$9) + CHOOSE(CONTROL!$C$38, 0.0347, 0)</f>
        <v>50.512900000000002</v>
      </c>
      <c r="H734" s="10">
        <f>50.4782 * CHOOSE(CONTROL!$C$15, $E$9, 100%, $G$9) + CHOOSE(CONTROL!$C$38, 0.0347, 0)</f>
        <v>50.512900000000002</v>
      </c>
      <c r="I734" s="10">
        <f>50.4798 * CHOOSE(CONTROL!$C$15, $E$9, 100%, $G$9) + CHOOSE(CONTROL!$C$38, 0.0347, 0)</f>
        <v>50.514499999999998</v>
      </c>
      <c r="J734" s="26">
        <f>330.3227</f>
        <v>330.3227</v>
      </c>
    </row>
    <row r="735" spans="1:10" ht="15.75" x14ac:dyDescent="0.25">
      <c r="A735" s="13">
        <v>63674</v>
      </c>
      <c r="B735" s="10">
        <f>54.143 * CHOOSE(CONTROL!$C$15, $E$9, 100%, $G$9) + CHOOSE(CONTROL!$C$38, 0.0256, 0)</f>
        <v>54.168599999999998</v>
      </c>
      <c r="C735" s="10">
        <f>49.9846 * CHOOSE(CONTROL!$C$15, $E$9, 100%, $G$9) + CHOOSE(CONTROL!$C$38, 0.0347, 0)</f>
        <v>50.019300000000001</v>
      </c>
      <c r="D735" s="10">
        <f>49.9768 * CHOOSE(CONTROL!$C$15, $E$9, 100%, $G$9) + CHOOSE(CONTROL!$C$38, 0.0347, 0)</f>
        <v>50.011499999999998</v>
      </c>
      <c r="E735" s="28">
        <f>53.9868 * CHOOSE(CONTROL!$C$15, $E$9, 100%, $G$9) + CHOOSE(CONTROL!$C$38, 0.0347, 0)</f>
        <v>54.021500000000003</v>
      </c>
      <c r="F735" s="27">
        <f>53.9868 * CHOOSE(CONTROL!$C$15, $E$9, 100%, $G$9) + CHOOSE(CONTROL!$C$38, 0.0256, 0)</f>
        <v>54.0124</v>
      </c>
      <c r="G735" s="10">
        <f>49.983 * CHOOSE(CONTROL!$C$15, $E$9, 100%, $G$9) + CHOOSE(CONTROL!$C$38, 0.0347, 0)</f>
        <v>50.017699999999998</v>
      </c>
      <c r="H735" s="10">
        <f>49.983 * CHOOSE(CONTROL!$C$15, $E$9, 100%, $G$9) + CHOOSE(CONTROL!$C$38, 0.0347, 0)</f>
        <v>50.017699999999998</v>
      </c>
      <c r="I735" s="10">
        <f>49.9846 * CHOOSE(CONTROL!$C$15, $E$9, 100%, $G$9) + CHOOSE(CONTROL!$C$38, 0.0347, 0)</f>
        <v>50.019300000000001</v>
      </c>
      <c r="J735" s="26">
        <f>351.7689</f>
        <v>351.76889999999997</v>
      </c>
    </row>
    <row r="736" spans="1:10" ht="15.75" x14ac:dyDescent="0.25">
      <c r="A736" s="13">
        <v>63705</v>
      </c>
      <c r="B736" s="10">
        <f>53.6269 * CHOOSE(CONTROL!$C$15, $E$9, 100%, $G$9) + CHOOSE(CONTROL!$C$38, 0.0256, 0)</f>
        <v>53.652499999999996</v>
      </c>
      <c r="C736" s="10">
        <f>49.4685 * CHOOSE(CONTROL!$C$15, $E$9, 100%, $G$9) + CHOOSE(CONTROL!$C$38, 0.0347, 0)</f>
        <v>49.5032</v>
      </c>
      <c r="D736" s="10">
        <f>49.4607 * CHOOSE(CONTROL!$C$15, $E$9, 100%, $G$9) + CHOOSE(CONTROL!$C$38, 0.0347, 0)</f>
        <v>49.495400000000004</v>
      </c>
      <c r="E736" s="28">
        <f>53.4707 * CHOOSE(CONTROL!$C$15, $E$9, 100%, $G$9) + CHOOSE(CONTROL!$C$38, 0.0347, 0)</f>
        <v>53.505400000000002</v>
      </c>
      <c r="F736" s="27">
        <f>53.4707 * CHOOSE(CONTROL!$C$15, $E$9, 100%, $G$9) + CHOOSE(CONTROL!$C$38, 0.0256, 0)</f>
        <v>53.496299999999998</v>
      </c>
      <c r="G736" s="10">
        <f>49.4669 * CHOOSE(CONTROL!$C$15, $E$9, 100%, $G$9) + CHOOSE(CONTROL!$C$38, 0.0347, 0)</f>
        <v>49.501600000000003</v>
      </c>
      <c r="H736" s="10">
        <f>49.4669 * CHOOSE(CONTROL!$C$15, $E$9, 100%, $G$9) + CHOOSE(CONTROL!$C$38, 0.0347, 0)</f>
        <v>49.501600000000003</v>
      </c>
      <c r="I736" s="10">
        <f>49.4685 * CHOOSE(CONTROL!$C$15, $E$9, 100%, $G$9) + CHOOSE(CONTROL!$C$38, 0.0347, 0)</f>
        <v>49.5032</v>
      </c>
      <c r="J736" s="26">
        <f>363.5735</f>
        <v>363.57350000000002</v>
      </c>
    </row>
    <row r="737" spans="1:10" ht="15.75" x14ac:dyDescent="0.25">
      <c r="A737" s="13">
        <v>63735</v>
      </c>
      <c r="B737" s="10">
        <f>53.2651 * CHOOSE(CONTROL!$C$15, $E$9, 100%, $G$9) + CHOOSE(CONTROL!$C$38, 0.0256, 0)</f>
        <v>53.290699999999994</v>
      </c>
      <c r="C737" s="10">
        <f>49.1067 * CHOOSE(CONTROL!$C$15, $E$9, 100%, $G$9) + CHOOSE(CONTROL!$C$38, 0.0347, 0)</f>
        <v>49.141399999999997</v>
      </c>
      <c r="D737" s="10">
        <f>49.0988 * CHOOSE(CONTROL!$C$15, $E$9, 100%, $G$9) + CHOOSE(CONTROL!$C$38, 0.0347, 0)</f>
        <v>49.133499999999998</v>
      </c>
      <c r="E737" s="28">
        <f>53.1088 * CHOOSE(CONTROL!$C$15, $E$9, 100%, $G$9) + CHOOSE(CONTROL!$C$38, 0.0347, 0)</f>
        <v>53.143500000000003</v>
      </c>
      <c r="F737" s="27">
        <f>53.1088 * CHOOSE(CONTROL!$C$15, $E$9, 100%, $G$9) + CHOOSE(CONTROL!$C$38, 0.0256, 0)</f>
        <v>53.134399999999999</v>
      </c>
      <c r="G737" s="10">
        <f>49.1051 * CHOOSE(CONTROL!$C$15, $E$9, 100%, $G$9) + CHOOSE(CONTROL!$C$38, 0.0347, 0)</f>
        <v>49.139800000000001</v>
      </c>
      <c r="H737" s="10">
        <f>49.1051 * CHOOSE(CONTROL!$C$15, $E$9, 100%, $G$9) + CHOOSE(CONTROL!$C$38, 0.0347, 0)</f>
        <v>49.139800000000001</v>
      </c>
      <c r="I737" s="10">
        <f>49.1067 * CHOOSE(CONTROL!$C$15, $E$9, 100%, $G$9) + CHOOSE(CONTROL!$C$38, 0.0347, 0)</f>
        <v>49.141399999999997</v>
      </c>
      <c r="J737" s="26">
        <f>368.8122</f>
        <v>368.81220000000002</v>
      </c>
    </row>
    <row r="738" spans="1:10" ht="15.75" x14ac:dyDescent="0.25">
      <c r="A738" s="13">
        <v>63766</v>
      </c>
      <c r="B738" s="10">
        <f>53.0586 * CHOOSE(CONTROL!$C$15, $E$9, 100%, $G$9) + CHOOSE(CONTROL!$C$38, 0.0256, 0)</f>
        <v>53.084199999999996</v>
      </c>
      <c r="C738" s="10">
        <f>48.9002 * CHOOSE(CONTROL!$C$15, $E$9, 100%, $G$9) + CHOOSE(CONTROL!$C$38, 0.0347, 0)</f>
        <v>48.934899999999999</v>
      </c>
      <c r="D738" s="10">
        <f>48.8924 * CHOOSE(CONTROL!$C$15, $E$9, 100%, $G$9) + CHOOSE(CONTROL!$C$38, 0.0347, 0)</f>
        <v>48.927100000000003</v>
      </c>
      <c r="E738" s="28">
        <f>52.9023 * CHOOSE(CONTROL!$C$15, $E$9, 100%, $G$9) + CHOOSE(CONTROL!$C$38, 0.0347, 0)</f>
        <v>52.936999999999998</v>
      </c>
      <c r="F738" s="27">
        <f>52.9023 * CHOOSE(CONTROL!$C$15, $E$9, 100%, $G$9) + CHOOSE(CONTROL!$C$38, 0.0256, 0)</f>
        <v>52.927899999999994</v>
      </c>
      <c r="G738" s="10">
        <f>48.8986 * CHOOSE(CONTROL!$C$15, $E$9, 100%, $G$9) + CHOOSE(CONTROL!$C$38, 0.0347, 0)</f>
        <v>48.933300000000003</v>
      </c>
      <c r="H738" s="10">
        <f>48.8986 * CHOOSE(CONTROL!$C$15, $E$9, 100%, $G$9) + CHOOSE(CONTROL!$C$38, 0.0347, 0)</f>
        <v>48.933300000000003</v>
      </c>
      <c r="I738" s="10">
        <f>48.9002 * CHOOSE(CONTROL!$C$15, $E$9, 100%, $G$9) + CHOOSE(CONTROL!$C$38, 0.0347, 0)</f>
        <v>48.934899999999999</v>
      </c>
      <c r="J738" s="26">
        <f>367.0874</f>
        <v>367.0874</v>
      </c>
    </row>
    <row r="739" spans="1:10" ht="15.75" x14ac:dyDescent="0.25">
      <c r="A739" s="13">
        <v>63797</v>
      </c>
      <c r="B739" s="10">
        <f>53.1605 * CHOOSE(CONTROL!$C$15, $E$9, 100%, $G$9) + CHOOSE(CONTROL!$C$38, 0.0256, 0)</f>
        <v>53.186099999999996</v>
      </c>
      <c r="C739" s="10">
        <f>49.0021 * CHOOSE(CONTROL!$C$15, $E$9, 100%, $G$9) + CHOOSE(CONTROL!$C$38, 0.0347, 0)</f>
        <v>49.036799999999999</v>
      </c>
      <c r="D739" s="10">
        <f>48.9943 * CHOOSE(CONTROL!$C$15, $E$9, 100%, $G$9) + CHOOSE(CONTROL!$C$38, 0.0347, 0)</f>
        <v>49.029000000000003</v>
      </c>
      <c r="E739" s="28">
        <f>53.0042 * CHOOSE(CONTROL!$C$15, $E$9, 100%, $G$9) + CHOOSE(CONTROL!$C$38, 0.0347, 0)</f>
        <v>53.038899999999998</v>
      </c>
      <c r="F739" s="27">
        <f>53.0042 * CHOOSE(CONTROL!$C$15, $E$9, 100%, $G$9) + CHOOSE(CONTROL!$C$38, 0.0256, 0)</f>
        <v>53.029799999999994</v>
      </c>
      <c r="G739" s="10">
        <f>49.0005 * CHOOSE(CONTROL!$C$15, $E$9, 100%, $G$9) + CHOOSE(CONTROL!$C$38, 0.0347, 0)</f>
        <v>49.035200000000003</v>
      </c>
      <c r="H739" s="10">
        <f>49.0005 * CHOOSE(CONTROL!$C$15, $E$9, 100%, $G$9) + CHOOSE(CONTROL!$C$38, 0.0347, 0)</f>
        <v>49.035200000000003</v>
      </c>
      <c r="I739" s="10">
        <f>49.0021 * CHOOSE(CONTROL!$C$15, $E$9, 100%, $G$9) + CHOOSE(CONTROL!$C$38, 0.0347, 0)</f>
        <v>49.036799999999999</v>
      </c>
      <c r="J739" s="26">
        <f>358.5418</f>
        <v>358.54180000000002</v>
      </c>
    </row>
    <row r="740" spans="1:10" ht="15.75" x14ac:dyDescent="0.25">
      <c r="A740" s="13">
        <v>63827</v>
      </c>
      <c r="B740" s="10">
        <f>53.4373 * CHOOSE(CONTROL!$C$15, $E$9, 100%, $G$9) + CHOOSE(CONTROL!$C$38, 0.0256, 0)</f>
        <v>53.462899999999998</v>
      </c>
      <c r="C740" s="10">
        <f>49.2789 * CHOOSE(CONTROL!$C$15, $E$9, 100%, $G$9) + CHOOSE(CONTROL!$C$38, 0.0347, 0)</f>
        <v>49.313600000000001</v>
      </c>
      <c r="D740" s="10">
        <f>49.2711 * CHOOSE(CONTROL!$C$15, $E$9, 100%, $G$9) + CHOOSE(CONTROL!$C$38, 0.0347, 0)</f>
        <v>49.305799999999998</v>
      </c>
      <c r="E740" s="28">
        <f>53.281 * CHOOSE(CONTROL!$C$15, $E$9, 100%, $G$9) + CHOOSE(CONTROL!$C$38, 0.0347, 0)</f>
        <v>53.3157</v>
      </c>
      <c r="F740" s="27">
        <f>53.281 * CHOOSE(CONTROL!$C$15, $E$9, 100%, $G$9) + CHOOSE(CONTROL!$C$38, 0.0256, 0)</f>
        <v>53.306599999999996</v>
      </c>
      <c r="G740" s="10">
        <f>49.2773 * CHOOSE(CONTROL!$C$15, $E$9, 100%, $G$9) + CHOOSE(CONTROL!$C$38, 0.0347, 0)</f>
        <v>49.311999999999998</v>
      </c>
      <c r="H740" s="10">
        <f>49.2773 * CHOOSE(CONTROL!$C$15, $E$9, 100%, $G$9) + CHOOSE(CONTROL!$C$38, 0.0347, 0)</f>
        <v>49.311999999999998</v>
      </c>
      <c r="I740" s="10">
        <f>49.2789 * CHOOSE(CONTROL!$C$15, $E$9, 100%, $G$9) + CHOOSE(CONTROL!$C$38, 0.0347, 0)</f>
        <v>49.313600000000001</v>
      </c>
      <c r="J740" s="26">
        <f>346.6245</f>
        <v>346.62450000000001</v>
      </c>
    </row>
    <row r="741" spans="1:10" ht="15.75" x14ac:dyDescent="0.25">
      <c r="A741" s="13">
        <v>63858</v>
      </c>
      <c r="B741" s="10">
        <f>53.6691 * CHOOSE(CONTROL!$C$15, $E$9, 100%, $G$9) + CHOOSE(CONTROL!$C$38, 0.0256, 0)</f>
        <v>53.694699999999997</v>
      </c>
      <c r="C741" s="10">
        <f>49.5107 * CHOOSE(CONTROL!$C$15, $E$9, 100%, $G$9) + CHOOSE(CONTROL!$C$38, 0.0347, 0)</f>
        <v>49.545400000000001</v>
      </c>
      <c r="D741" s="10">
        <f>49.5029 * CHOOSE(CONTROL!$C$15, $E$9, 100%, $G$9) + CHOOSE(CONTROL!$C$38, 0.0347, 0)</f>
        <v>49.537599999999998</v>
      </c>
      <c r="E741" s="28">
        <f>53.5129 * CHOOSE(CONTROL!$C$15, $E$9, 100%, $G$9) + CHOOSE(CONTROL!$C$38, 0.0347, 0)</f>
        <v>53.547600000000003</v>
      </c>
      <c r="F741" s="27">
        <f>53.5129 * CHOOSE(CONTROL!$C$15, $E$9, 100%, $G$9) + CHOOSE(CONTROL!$C$38, 0.0256, 0)</f>
        <v>53.538499999999999</v>
      </c>
      <c r="G741" s="10">
        <f>49.5091 * CHOOSE(CONTROL!$C$15, $E$9, 100%, $G$9) + CHOOSE(CONTROL!$C$38, 0.0347, 0)</f>
        <v>49.543799999999997</v>
      </c>
      <c r="H741" s="10">
        <f>49.5091 * CHOOSE(CONTROL!$C$15, $E$9, 100%, $G$9) + CHOOSE(CONTROL!$C$38, 0.0347, 0)</f>
        <v>49.543799999999997</v>
      </c>
      <c r="I741" s="10">
        <f>49.5107 * CHOOSE(CONTROL!$C$15, $E$9, 100%, $G$9) + CHOOSE(CONTROL!$C$38, 0.0347, 0)</f>
        <v>49.545400000000001</v>
      </c>
      <c r="J741" s="26">
        <f>334.6378</f>
        <v>334.63780000000003</v>
      </c>
    </row>
    <row r="742" spans="1:10" ht="15.75" x14ac:dyDescent="0.25">
      <c r="A742" s="13">
        <v>63888</v>
      </c>
      <c r="B742" s="10">
        <f>53.8626 * CHOOSE(CONTROL!$C$15, $E$9, 100%, $G$9) + CHOOSE(CONTROL!$C$38, 0.0256, 0)</f>
        <v>53.888199999999998</v>
      </c>
      <c r="C742" s="10">
        <f>49.7041 * CHOOSE(CONTROL!$C$15, $E$9, 100%, $G$9) + CHOOSE(CONTROL!$C$38, 0.0347, 0)</f>
        <v>49.738799999999998</v>
      </c>
      <c r="D742" s="10">
        <f>49.6963 * CHOOSE(CONTROL!$C$15, $E$9, 100%, $G$9) + CHOOSE(CONTROL!$C$38, 0.0347, 0)</f>
        <v>49.731000000000002</v>
      </c>
      <c r="E742" s="28">
        <f>53.7063 * CHOOSE(CONTROL!$C$15, $E$9, 100%, $G$9) + CHOOSE(CONTROL!$C$38, 0.0347, 0)</f>
        <v>53.741</v>
      </c>
      <c r="F742" s="27">
        <f>53.7063 * CHOOSE(CONTROL!$C$15, $E$9, 100%, $G$9) + CHOOSE(CONTROL!$C$38, 0.0256, 0)</f>
        <v>53.731899999999996</v>
      </c>
      <c r="G742" s="10">
        <f>49.7026 * CHOOSE(CONTROL!$C$15, $E$9, 100%, $G$9) + CHOOSE(CONTROL!$C$38, 0.0347, 0)</f>
        <v>49.737299999999998</v>
      </c>
      <c r="H742" s="10">
        <f>49.7026 * CHOOSE(CONTROL!$C$15, $E$9, 100%, $G$9) + CHOOSE(CONTROL!$C$38, 0.0347, 0)</f>
        <v>49.737299999999998</v>
      </c>
      <c r="I742" s="10">
        <f>49.7041 * CHOOSE(CONTROL!$C$15, $E$9, 100%, $G$9) + CHOOSE(CONTROL!$C$38, 0.0347, 0)</f>
        <v>49.738799999999998</v>
      </c>
      <c r="J742" s="26">
        <f>332.2535</f>
        <v>332.25349999999997</v>
      </c>
    </row>
    <row r="743" spans="1:10" ht="15.75" x14ac:dyDescent="0.25">
      <c r="A743" s="13">
        <v>63919</v>
      </c>
      <c r="B743" s="10">
        <f>54.4586 * CHOOSE(CONTROL!$C$15, $E$9, 100%, $G$9) + CHOOSE(CONTROL!$C$38, 0.0256, 0)</f>
        <v>54.484199999999994</v>
      </c>
      <c r="C743" s="10">
        <f>50.3002 * CHOOSE(CONTROL!$C$15, $E$9, 100%, $G$9) + CHOOSE(CONTROL!$C$38, 0.0347, 0)</f>
        <v>50.334899999999998</v>
      </c>
      <c r="D743" s="10">
        <f>50.2924 * CHOOSE(CONTROL!$C$15, $E$9, 100%, $G$9) + CHOOSE(CONTROL!$C$38, 0.0347, 0)</f>
        <v>50.327100000000002</v>
      </c>
      <c r="E743" s="28">
        <f>54.3024 * CHOOSE(CONTROL!$C$15, $E$9, 100%, $G$9) + CHOOSE(CONTROL!$C$38, 0.0347, 0)</f>
        <v>54.3371</v>
      </c>
      <c r="F743" s="27">
        <f>54.3024 * CHOOSE(CONTROL!$C$15, $E$9, 100%, $G$9) + CHOOSE(CONTROL!$C$38, 0.0256, 0)</f>
        <v>54.327999999999996</v>
      </c>
      <c r="G743" s="10">
        <f>50.2986 * CHOOSE(CONTROL!$C$15, $E$9, 100%, $G$9) + CHOOSE(CONTROL!$C$38, 0.0347, 0)</f>
        <v>50.333300000000001</v>
      </c>
      <c r="H743" s="10">
        <f>50.2986 * CHOOSE(CONTROL!$C$15, $E$9, 100%, $G$9) + CHOOSE(CONTROL!$C$38, 0.0347, 0)</f>
        <v>50.333300000000001</v>
      </c>
      <c r="I743" s="10">
        <f>50.3002 * CHOOSE(CONTROL!$C$15, $E$9, 100%, $G$9) + CHOOSE(CONTROL!$C$38, 0.0347, 0)</f>
        <v>50.334899999999998</v>
      </c>
      <c r="J743" s="26">
        <f>322.3938</f>
        <v>322.3938</v>
      </c>
    </row>
    <row r="744" spans="1:10" ht="15.75" x14ac:dyDescent="0.25">
      <c r="A744" s="13">
        <v>63950</v>
      </c>
      <c r="B744" s="10">
        <f>55.8708 * CHOOSE(CONTROL!$C$15, $E$9, 100%, $G$9) + CHOOSE(CONTROL!$C$38, 0.0256, 0)</f>
        <v>55.8964</v>
      </c>
      <c r="C744" s="10">
        <f>51.6416 * CHOOSE(CONTROL!$C$15, $E$9, 100%, $G$9) + CHOOSE(CONTROL!$C$38, 0.0347, 0)</f>
        <v>51.676299999999998</v>
      </c>
      <c r="D744" s="10">
        <f>51.6338 * CHOOSE(CONTROL!$C$15, $E$9, 100%, $G$9) + CHOOSE(CONTROL!$C$38, 0.0347, 0)</f>
        <v>51.668500000000002</v>
      </c>
      <c r="E744" s="28">
        <f>55.7145 * CHOOSE(CONTROL!$C$15, $E$9, 100%, $G$9) + CHOOSE(CONTROL!$C$38, 0.0347, 0)</f>
        <v>55.749200000000002</v>
      </c>
      <c r="F744" s="27">
        <f>55.7145 * CHOOSE(CONTROL!$C$15, $E$9, 100%, $G$9) + CHOOSE(CONTROL!$C$38, 0.0256, 0)</f>
        <v>55.740099999999998</v>
      </c>
      <c r="G744" s="10">
        <f>51.6401 * CHOOSE(CONTROL!$C$15, $E$9, 100%, $G$9) + CHOOSE(CONTROL!$C$38, 0.0347, 0)</f>
        <v>51.674799999999998</v>
      </c>
      <c r="H744" s="10">
        <f>51.6401 * CHOOSE(CONTROL!$C$15, $E$9, 100%, $G$9) + CHOOSE(CONTROL!$C$38, 0.0347, 0)</f>
        <v>51.674799999999998</v>
      </c>
      <c r="I744" s="10">
        <f>51.6416 * CHOOSE(CONTROL!$C$15, $E$9, 100%, $G$9) + CHOOSE(CONTROL!$C$38, 0.0347, 0)</f>
        <v>51.676299999999998</v>
      </c>
      <c r="J744" s="26">
        <f>320.2343</f>
        <v>320.23430000000002</v>
      </c>
    </row>
    <row r="745" spans="1:10" ht="15.75" x14ac:dyDescent="0.25">
      <c r="A745" s="13">
        <v>63978</v>
      </c>
      <c r="B745" s="10">
        <f>56.0915 * CHOOSE(CONTROL!$C$15, $E$9, 100%, $G$9) + CHOOSE(CONTROL!$C$38, 0.0256, 0)</f>
        <v>56.117100000000001</v>
      </c>
      <c r="C745" s="10">
        <f>51.8624 * CHOOSE(CONTROL!$C$15, $E$9, 100%, $G$9) + CHOOSE(CONTROL!$C$38, 0.0347, 0)</f>
        <v>51.897100000000002</v>
      </c>
      <c r="D745" s="10">
        <f>51.8546 * CHOOSE(CONTROL!$C$15, $E$9, 100%, $G$9) + CHOOSE(CONTROL!$C$38, 0.0347, 0)</f>
        <v>51.889299999999999</v>
      </c>
      <c r="E745" s="28">
        <f>55.9353 * CHOOSE(CONTROL!$C$15, $E$9, 100%, $G$9) + CHOOSE(CONTROL!$C$38, 0.0347, 0)</f>
        <v>55.97</v>
      </c>
      <c r="F745" s="27">
        <f>55.9353 * CHOOSE(CONTROL!$C$15, $E$9, 100%, $G$9) + CHOOSE(CONTROL!$C$38, 0.0256, 0)</f>
        <v>55.960899999999995</v>
      </c>
      <c r="G745" s="10">
        <f>51.8608 * CHOOSE(CONTROL!$C$15, $E$9, 100%, $G$9) + CHOOSE(CONTROL!$C$38, 0.0347, 0)</f>
        <v>51.895499999999998</v>
      </c>
      <c r="H745" s="10">
        <f>51.8608 * CHOOSE(CONTROL!$C$15, $E$9, 100%, $G$9) + CHOOSE(CONTROL!$C$38, 0.0347, 0)</f>
        <v>51.895499999999998</v>
      </c>
      <c r="I745" s="10">
        <f>51.8624 * CHOOSE(CONTROL!$C$15, $E$9, 100%, $G$9) + CHOOSE(CONTROL!$C$38, 0.0347, 0)</f>
        <v>51.897100000000002</v>
      </c>
      <c r="J745" s="26">
        <f>319.3441</f>
        <v>319.34410000000003</v>
      </c>
    </row>
    <row r="746" spans="1:10" ht="15.75" x14ac:dyDescent="0.25">
      <c r="A746" s="13">
        <v>64009</v>
      </c>
      <c r="B746" s="10">
        <f>55.5805 * CHOOSE(CONTROL!$C$15, $E$9, 100%, $G$9) + CHOOSE(CONTROL!$C$38, 0.0256, 0)</f>
        <v>55.606099999999998</v>
      </c>
      <c r="C746" s="10">
        <f>51.3514 * CHOOSE(CONTROL!$C$15, $E$9, 100%, $G$9) + CHOOSE(CONTROL!$C$38, 0.0347, 0)</f>
        <v>51.386099999999999</v>
      </c>
      <c r="D746" s="10">
        <f>51.3436 * CHOOSE(CONTROL!$C$15, $E$9, 100%, $G$9) + CHOOSE(CONTROL!$C$38, 0.0347, 0)</f>
        <v>51.378300000000003</v>
      </c>
      <c r="E746" s="28">
        <f>55.4242 * CHOOSE(CONTROL!$C$15, $E$9, 100%, $G$9) + CHOOSE(CONTROL!$C$38, 0.0347, 0)</f>
        <v>55.4589</v>
      </c>
      <c r="F746" s="27">
        <f>55.4242 * CHOOSE(CONTROL!$C$15, $E$9, 100%, $G$9) + CHOOSE(CONTROL!$C$38, 0.0256, 0)</f>
        <v>55.449799999999996</v>
      </c>
      <c r="G746" s="10">
        <f>51.3498 * CHOOSE(CONTROL!$C$15, $E$9, 100%, $G$9) + CHOOSE(CONTROL!$C$38, 0.0347, 0)</f>
        <v>51.384500000000003</v>
      </c>
      <c r="H746" s="10">
        <f>51.3498 * CHOOSE(CONTROL!$C$15, $E$9, 100%, $G$9) + CHOOSE(CONTROL!$C$38, 0.0347, 0)</f>
        <v>51.384500000000003</v>
      </c>
      <c r="I746" s="10">
        <f>51.3514 * CHOOSE(CONTROL!$C$15, $E$9, 100%, $G$9) + CHOOSE(CONTROL!$C$38, 0.0347, 0)</f>
        <v>51.386099999999999</v>
      </c>
      <c r="J746" s="26">
        <f>336.1754</f>
        <v>336.17540000000002</v>
      </c>
    </row>
    <row r="747" spans="1:10" ht="15.75" x14ac:dyDescent="0.25">
      <c r="A747" s="13">
        <v>64039</v>
      </c>
      <c r="B747" s="10">
        <f>55.0853 * CHOOSE(CONTROL!$C$15, $E$9, 100%, $G$9) + CHOOSE(CONTROL!$C$38, 0.0256, 0)</f>
        <v>55.110899999999994</v>
      </c>
      <c r="C747" s="10">
        <f>50.8562 * CHOOSE(CONTROL!$C$15, $E$9, 100%, $G$9) + CHOOSE(CONTROL!$C$38, 0.0347, 0)</f>
        <v>50.890900000000002</v>
      </c>
      <c r="D747" s="10">
        <f>50.8484 * CHOOSE(CONTROL!$C$15, $E$9, 100%, $G$9) + CHOOSE(CONTROL!$C$38, 0.0347, 0)</f>
        <v>50.883099999999999</v>
      </c>
      <c r="E747" s="28">
        <f>54.9291 * CHOOSE(CONTROL!$C$15, $E$9, 100%, $G$9) + CHOOSE(CONTROL!$C$38, 0.0347, 0)</f>
        <v>54.963799999999999</v>
      </c>
      <c r="F747" s="27">
        <f>54.9291 * CHOOSE(CONTROL!$C$15, $E$9, 100%, $G$9) + CHOOSE(CONTROL!$C$38, 0.0256, 0)</f>
        <v>54.954699999999995</v>
      </c>
      <c r="G747" s="10">
        <f>50.8546 * CHOOSE(CONTROL!$C$15, $E$9, 100%, $G$9) + CHOOSE(CONTROL!$C$38, 0.0347, 0)</f>
        <v>50.889299999999999</v>
      </c>
      <c r="H747" s="10">
        <f>50.8546 * CHOOSE(CONTROL!$C$15, $E$9, 100%, $G$9) + CHOOSE(CONTROL!$C$38, 0.0347, 0)</f>
        <v>50.889299999999999</v>
      </c>
      <c r="I747" s="10">
        <f>50.8562 * CHOOSE(CONTROL!$C$15, $E$9, 100%, $G$9) + CHOOSE(CONTROL!$C$38, 0.0347, 0)</f>
        <v>50.890900000000002</v>
      </c>
      <c r="J747" s="26">
        <f>358.0016</f>
        <v>358.0016</v>
      </c>
    </row>
    <row r="748" spans="1:10" ht="15.75" x14ac:dyDescent="0.25">
      <c r="A748" s="13">
        <v>64070</v>
      </c>
      <c r="B748" s="10">
        <f>54.5692 * CHOOSE(CONTROL!$C$15, $E$9, 100%, $G$9) + CHOOSE(CONTROL!$C$38, 0.0256, 0)</f>
        <v>54.594799999999999</v>
      </c>
      <c r="C748" s="10">
        <f>50.3401 * CHOOSE(CONTROL!$C$15, $E$9, 100%, $G$9) + CHOOSE(CONTROL!$C$38, 0.0347, 0)</f>
        <v>50.3748</v>
      </c>
      <c r="D748" s="10">
        <f>50.3323 * CHOOSE(CONTROL!$C$15, $E$9, 100%, $G$9) + CHOOSE(CONTROL!$C$38, 0.0347, 0)</f>
        <v>50.366999999999997</v>
      </c>
      <c r="E748" s="28">
        <f>54.413 * CHOOSE(CONTROL!$C$15, $E$9, 100%, $G$9) + CHOOSE(CONTROL!$C$38, 0.0347, 0)</f>
        <v>54.447699999999998</v>
      </c>
      <c r="F748" s="27">
        <f>54.413 * CHOOSE(CONTROL!$C$15, $E$9, 100%, $G$9) + CHOOSE(CONTROL!$C$38, 0.0256, 0)</f>
        <v>54.438599999999994</v>
      </c>
      <c r="G748" s="10">
        <f>50.3385 * CHOOSE(CONTROL!$C$15, $E$9, 100%, $G$9) + CHOOSE(CONTROL!$C$38, 0.0347, 0)</f>
        <v>50.373200000000004</v>
      </c>
      <c r="H748" s="10">
        <f>50.3385 * CHOOSE(CONTROL!$C$15, $E$9, 100%, $G$9) + CHOOSE(CONTROL!$C$38, 0.0347, 0)</f>
        <v>50.373200000000004</v>
      </c>
      <c r="I748" s="10">
        <f>50.3401 * CHOOSE(CONTROL!$C$15, $E$9, 100%, $G$9) + CHOOSE(CONTROL!$C$38, 0.0347, 0)</f>
        <v>50.3748</v>
      </c>
      <c r="J748" s="26">
        <f>370.0154</f>
        <v>370.0154</v>
      </c>
    </row>
    <row r="749" spans="1:10" ht="15.75" x14ac:dyDescent="0.25">
      <c r="A749" s="13">
        <v>64100</v>
      </c>
      <c r="B749" s="10">
        <f>54.2074 * CHOOSE(CONTROL!$C$15, $E$9, 100%, $G$9) + CHOOSE(CONTROL!$C$38, 0.0256, 0)</f>
        <v>54.232999999999997</v>
      </c>
      <c r="C749" s="10">
        <f>49.9782 * CHOOSE(CONTROL!$C$15, $E$9, 100%, $G$9) + CHOOSE(CONTROL!$C$38, 0.0347, 0)</f>
        <v>50.012900000000002</v>
      </c>
      <c r="D749" s="10">
        <f>49.9704 * CHOOSE(CONTROL!$C$15, $E$9, 100%, $G$9) + CHOOSE(CONTROL!$C$38, 0.0347, 0)</f>
        <v>50.005099999999999</v>
      </c>
      <c r="E749" s="28">
        <f>54.0511 * CHOOSE(CONTROL!$C$15, $E$9, 100%, $G$9) + CHOOSE(CONTROL!$C$38, 0.0347, 0)</f>
        <v>54.085799999999999</v>
      </c>
      <c r="F749" s="27">
        <f>54.0511 * CHOOSE(CONTROL!$C$15, $E$9, 100%, $G$9) + CHOOSE(CONTROL!$C$38, 0.0256, 0)</f>
        <v>54.076699999999995</v>
      </c>
      <c r="G749" s="10">
        <f>49.9767 * CHOOSE(CONTROL!$C$15, $E$9, 100%, $G$9) + CHOOSE(CONTROL!$C$38, 0.0347, 0)</f>
        <v>50.011400000000002</v>
      </c>
      <c r="H749" s="10">
        <f>49.9767 * CHOOSE(CONTROL!$C$15, $E$9, 100%, $G$9) + CHOOSE(CONTROL!$C$38, 0.0347, 0)</f>
        <v>50.011400000000002</v>
      </c>
      <c r="I749" s="10">
        <f>49.9782 * CHOOSE(CONTROL!$C$15, $E$9, 100%, $G$9) + CHOOSE(CONTROL!$C$38, 0.0347, 0)</f>
        <v>50.012900000000002</v>
      </c>
      <c r="J749" s="26">
        <f>375.3469</f>
        <v>375.34690000000001</v>
      </c>
    </row>
    <row r="750" spans="1:10" ht="15.75" x14ac:dyDescent="0.25">
      <c r="A750" s="13">
        <v>64131</v>
      </c>
      <c r="B750" s="10">
        <f>54.0009 * CHOOSE(CONTROL!$C$15, $E$9, 100%, $G$9) + CHOOSE(CONTROL!$C$38, 0.0256, 0)</f>
        <v>54.026499999999999</v>
      </c>
      <c r="C750" s="10">
        <f>49.7718 * CHOOSE(CONTROL!$C$15, $E$9, 100%, $G$9) + CHOOSE(CONTROL!$C$38, 0.0347, 0)</f>
        <v>49.8065</v>
      </c>
      <c r="D750" s="10">
        <f>49.7639 * CHOOSE(CONTROL!$C$15, $E$9, 100%, $G$9) + CHOOSE(CONTROL!$C$38, 0.0347, 0)</f>
        <v>49.7986</v>
      </c>
      <c r="E750" s="28">
        <f>53.8446 * CHOOSE(CONTROL!$C$15, $E$9, 100%, $G$9) + CHOOSE(CONTROL!$C$38, 0.0347, 0)</f>
        <v>53.879300000000001</v>
      </c>
      <c r="F750" s="27">
        <f>53.8446 * CHOOSE(CONTROL!$C$15, $E$9, 100%, $G$9) + CHOOSE(CONTROL!$C$38, 0.0256, 0)</f>
        <v>53.870199999999997</v>
      </c>
      <c r="G750" s="10">
        <f>49.7702 * CHOOSE(CONTROL!$C$15, $E$9, 100%, $G$9) + CHOOSE(CONTROL!$C$38, 0.0347, 0)</f>
        <v>49.804900000000004</v>
      </c>
      <c r="H750" s="10">
        <f>49.7702 * CHOOSE(CONTROL!$C$15, $E$9, 100%, $G$9) + CHOOSE(CONTROL!$C$38, 0.0347, 0)</f>
        <v>49.804900000000004</v>
      </c>
      <c r="I750" s="10">
        <f>49.7718 * CHOOSE(CONTROL!$C$15, $E$9, 100%, $G$9) + CHOOSE(CONTROL!$C$38, 0.0347, 0)</f>
        <v>49.8065</v>
      </c>
      <c r="J750" s="26">
        <f>373.5915</f>
        <v>373.5915</v>
      </c>
    </row>
    <row r="751" spans="1:10" ht="15.75" x14ac:dyDescent="0.25">
      <c r="A751" s="13">
        <v>64162</v>
      </c>
      <c r="B751" s="10">
        <f>54.1028 * CHOOSE(CONTROL!$C$15, $E$9, 100%, $G$9) + CHOOSE(CONTROL!$C$38, 0.0256, 0)</f>
        <v>54.128399999999999</v>
      </c>
      <c r="C751" s="10">
        <f>49.8737 * CHOOSE(CONTROL!$C$15, $E$9, 100%, $G$9) + CHOOSE(CONTROL!$C$38, 0.0347, 0)</f>
        <v>49.9084</v>
      </c>
      <c r="D751" s="10">
        <f>49.8658 * CHOOSE(CONTROL!$C$15, $E$9, 100%, $G$9) + CHOOSE(CONTROL!$C$38, 0.0347, 0)</f>
        <v>49.900500000000001</v>
      </c>
      <c r="E751" s="28">
        <f>53.9465 * CHOOSE(CONTROL!$C$15, $E$9, 100%, $G$9) + CHOOSE(CONTROL!$C$38, 0.0347, 0)</f>
        <v>53.981200000000001</v>
      </c>
      <c r="F751" s="27">
        <f>53.9465 * CHOOSE(CONTROL!$C$15, $E$9, 100%, $G$9) + CHOOSE(CONTROL!$C$38, 0.0256, 0)</f>
        <v>53.972099999999998</v>
      </c>
      <c r="G751" s="10">
        <f>49.8721 * CHOOSE(CONTROL!$C$15, $E$9, 100%, $G$9) + CHOOSE(CONTROL!$C$38, 0.0347, 0)</f>
        <v>49.906800000000004</v>
      </c>
      <c r="H751" s="10">
        <f>49.8721 * CHOOSE(CONTROL!$C$15, $E$9, 100%, $G$9) + CHOOSE(CONTROL!$C$38, 0.0347, 0)</f>
        <v>49.906800000000004</v>
      </c>
      <c r="I751" s="10">
        <f>49.8737 * CHOOSE(CONTROL!$C$15, $E$9, 100%, $G$9) + CHOOSE(CONTROL!$C$38, 0.0347, 0)</f>
        <v>49.9084</v>
      </c>
      <c r="J751" s="26">
        <f>364.8945</f>
        <v>364.89449999999999</v>
      </c>
    </row>
    <row r="752" spans="1:10" ht="15.75" x14ac:dyDescent="0.25">
      <c r="A752" s="13">
        <v>64192</v>
      </c>
      <c r="B752" s="10">
        <f>54.3796 * CHOOSE(CONTROL!$C$15, $E$9, 100%, $G$9) + CHOOSE(CONTROL!$C$38, 0.0256, 0)</f>
        <v>54.405200000000001</v>
      </c>
      <c r="C752" s="10">
        <f>50.1505 * CHOOSE(CONTROL!$C$15, $E$9, 100%, $G$9) + CHOOSE(CONTROL!$C$38, 0.0347, 0)</f>
        <v>50.185200000000002</v>
      </c>
      <c r="D752" s="10">
        <f>50.1426 * CHOOSE(CONTROL!$C$15, $E$9, 100%, $G$9) + CHOOSE(CONTROL!$C$38, 0.0347, 0)</f>
        <v>50.177300000000002</v>
      </c>
      <c r="E752" s="28">
        <f>54.2233 * CHOOSE(CONTROL!$C$15, $E$9, 100%, $G$9) + CHOOSE(CONTROL!$C$38, 0.0347, 0)</f>
        <v>54.258000000000003</v>
      </c>
      <c r="F752" s="27">
        <f>54.2233 * CHOOSE(CONTROL!$C$15, $E$9, 100%, $G$9) + CHOOSE(CONTROL!$C$38, 0.0256, 0)</f>
        <v>54.248899999999999</v>
      </c>
      <c r="G752" s="10">
        <f>50.1489 * CHOOSE(CONTROL!$C$15, $E$9, 100%, $G$9) + CHOOSE(CONTROL!$C$38, 0.0347, 0)</f>
        <v>50.183599999999998</v>
      </c>
      <c r="H752" s="10">
        <f>50.1489 * CHOOSE(CONTROL!$C$15, $E$9, 100%, $G$9) + CHOOSE(CONTROL!$C$38, 0.0347, 0)</f>
        <v>50.183599999999998</v>
      </c>
      <c r="I752" s="10">
        <f>50.1505 * CHOOSE(CONTROL!$C$15, $E$9, 100%, $G$9) + CHOOSE(CONTROL!$C$38, 0.0347, 0)</f>
        <v>50.185200000000002</v>
      </c>
      <c r="J752" s="26">
        <f>352.766</f>
        <v>352.76600000000002</v>
      </c>
    </row>
    <row r="753" spans="1:10" ht="15.75" x14ac:dyDescent="0.25">
      <c r="A753" s="13">
        <v>64223</v>
      </c>
      <c r="B753" s="10">
        <f>54.6114 * CHOOSE(CONTROL!$C$15, $E$9, 100%, $G$9) + CHOOSE(CONTROL!$C$38, 0.0256, 0)</f>
        <v>54.637</v>
      </c>
      <c r="C753" s="10">
        <f>50.3823 * CHOOSE(CONTROL!$C$15, $E$9, 100%, $G$9) + CHOOSE(CONTROL!$C$38, 0.0347, 0)</f>
        <v>50.417000000000002</v>
      </c>
      <c r="D753" s="10">
        <f>50.3745 * CHOOSE(CONTROL!$C$15, $E$9, 100%, $G$9) + CHOOSE(CONTROL!$C$38, 0.0347, 0)</f>
        <v>50.409199999999998</v>
      </c>
      <c r="E753" s="28">
        <f>54.4552 * CHOOSE(CONTROL!$C$15, $E$9, 100%, $G$9) + CHOOSE(CONTROL!$C$38, 0.0347, 0)</f>
        <v>54.489899999999999</v>
      </c>
      <c r="F753" s="27">
        <f>54.4552 * CHOOSE(CONTROL!$C$15, $E$9, 100%, $G$9) + CHOOSE(CONTROL!$C$38, 0.0256, 0)</f>
        <v>54.480799999999995</v>
      </c>
      <c r="G753" s="10">
        <f>50.3807 * CHOOSE(CONTROL!$C$15, $E$9, 100%, $G$9) + CHOOSE(CONTROL!$C$38, 0.0347, 0)</f>
        <v>50.415399999999998</v>
      </c>
      <c r="H753" s="10">
        <f>50.3807 * CHOOSE(CONTROL!$C$15, $E$9, 100%, $G$9) + CHOOSE(CONTROL!$C$38, 0.0347, 0)</f>
        <v>50.415399999999998</v>
      </c>
      <c r="I753" s="10">
        <f>50.3823 * CHOOSE(CONTROL!$C$15, $E$9, 100%, $G$9) + CHOOSE(CONTROL!$C$38, 0.0347, 0)</f>
        <v>50.417000000000002</v>
      </c>
      <c r="J753" s="26">
        <f>340.567</f>
        <v>340.56700000000001</v>
      </c>
    </row>
    <row r="754" spans="1:10" ht="15.75" x14ac:dyDescent="0.25">
      <c r="A754" s="13">
        <v>64253</v>
      </c>
      <c r="B754" s="10">
        <f>54.8049 * CHOOSE(CONTROL!$C$15, $E$9, 100%, $G$9) + CHOOSE(CONTROL!$C$38, 0.0256, 0)</f>
        <v>54.830500000000001</v>
      </c>
      <c r="C754" s="10">
        <f>50.5757 * CHOOSE(CONTROL!$C$15, $E$9, 100%, $G$9) + CHOOSE(CONTROL!$C$38, 0.0347, 0)</f>
        <v>50.610399999999998</v>
      </c>
      <c r="D754" s="10">
        <f>50.5679 * CHOOSE(CONTROL!$C$15, $E$9, 100%, $G$9) + CHOOSE(CONTROL!$C$38, 0.0347, 0)</f>
        <v>50.602600000000002</v>
      </c>
      <c r="E754" s="28">
        <f>54.6486 * CHOOSE(CONTROL!$C$15, $E$9, 100%, $G$9) + CHOOSE(CONTROL!$C$38, 0.0347, 0)</f>
        <v>54.683300000000003</v>
      </c>
      <c r="F754" s="27">
        <f>54.6486 * CHOOSE(CONTROL!$C$15, $E$9, 100%, $G$9) + CHOOSE(CONTROL!$C$38, 0.0256, 0)</f>
        <v>54.674199999999999</v>
      </c>
      <c r="G754" s="10">
        <f>50.5742 * CHOOSE(CONTROL!$C$15, $E$9, 100%, $G$9) + CHOOSE(CONTROL!$C$38, 0.0347, 0)</f>
        <v>50.608899999999998</v>
      </c>
      <c r="H754" s="10">
        <f>50.5742 * CHOOSE(CONTROL!$C$15, $E$9, 100%, $G$9) + CHOOSE(CONTROL!$C$38, 0.0347, 0)</f>
        <v>50.608899999999998</v>
      </c>
      <c r="I754" s="10">
        <f>50.5757 * CHOOSE(CONTROL!$C$15, $E$9, 100%, $G$9) + CHOOSE(CONTROL!$C$38, 0.0347, 0)</f>
        <v>50.610399999999998</v>
      </c>
      <c r="J754" s="26">
        <f>338.1404</f>
        <v>338.1404</v>
      </c>
    </row>
    <row r="755" spans="1:10" ht="15.75" x14ac:dyDescent="0.25">
      <c r="A755" s="13">
        <v>64284</v>
      </c>
      <c r="B755" s="10">
        <f>55.4009 * CHOOSE(CONTROL!$C$15, $E$9, 100%, $G$9) + CHOOSE(CONTROL!$C$38, 0.0256, 0)</f>
        <v>55.426499999999997</v>
      </c>
      <c r="C755" s="10">
        <f>51.1718 * CHOOSE(CONTROL!$C$15, $E$9, 100%, $G$9) + CHOOSE(CONTROL!$C$38, 0.0347, 0)</f>
        <v>51.206499999999998</v>
      </c>
      <c r="D755" s="10">
        <f>51.164 * CHOOSE(CONTROL!$C$15, $E$9, 100%, $G$9) + CHOOSE(CONTROL!$C$38, 0.0347, 0)</f>
        <v>51.198700000000002</v>
      </c>
      <c r="E755" s="28">
        <f>55.2447 * CHOOSE(CONTROL!$C$15, $E$9, 100%, $G$9) + CHOOSE(CONTROL!$C$38, 0.0347, 0)</f>
        <v>55.279400000000003</v>
      </c>
      <c r="F755" s="27">
        <f>55.2447 * CHOOSE(CONTROL!$C$15, $E$9, 100%, $G$9) + CHOOSE(CONTROL!$C$38, 0.0256, 0)</f>
        <v>55.270299999999999</v>
      </c>
      <c r="G755" s="10">
        <f>51.1702 * CHOOSE(CONTROL!$C$15, $E$9, 100%, $G$9) + CHOOSE(CONTROL!$C$38, 0.0347, 0)</f>
        <v>51.204900000000002</v>
      </c>
      <c r="H755" s="10">
        <f>51.1702 * CHOOSE(CONTROL!$C$15, $E$9, 100%, $G$9) + CHOOSE(CONTROL!$C$38, 0.0347, 0)</f>
        <v>51.204900000000002</v>
      </c>
      <c r="I755" s="10">
        <f>51.1718 * CHOOSE(CONTROL!$C$15, $E$9, 100%, $G$9) + CHOOSE(CONTROL!$C$38, 0.0347, 0)</f>
        <v>51.206499999999998</v>
      </c>
      <c r="J755" s="26">
        <f>328.106</f>
        <v>328.10599999999999</v>
      </c>
    </row>
    <row r="756" spans="1:10" ht="15.75" x14ac:dyDescent="0.25">
      <c r="A756" s="13">
        <v>64315</v>
      </c>
      <c r="B756" s="10">
        <f>56.8297 * CHOOSE(CONTROL!$C$15, $E$9, 100%, $G$9) + CHOOSE(CONTROL!$C$38, 0.0256, 0)</f>
        <v>56.8553</v>
      </c>
      <c r="C756" s="10">
        <f>52.5286 * CHOOSE(CONTROL!$C$15, $E$9, 100%, $G$9) + CHOOSE(CONTROL!$C$38, 0.0347, 0)</f>
        <v>52.563299999999998</v>
      </c>
      <c r="D756" s="10">
        <f>52.5208 * CHOOSE(CONTROL!$C$15, $E$9, 100%, $G$9) + CHOOSE(CONTROL!$C$38, 0.0347, 0)</f>
        <v>52.555500000000002</v>
      </c>
      <c r="E756" s="28">
        <f>56.6735 * CHOOSE(CONTROL!$C$15, $E$9, 100%, $G$9) + CHOOSE(CONTROL!$C$38, 0.0347, 0)</f>
        <v>56.708199999999998</v>
      </c>
      <c r="F756" s="27">
        <f>56.6735 * CHOOSE(CONTROL!$C$15, $E$9, 100%, $G$9) + CHOOSE(CONTROL!$C$38, 0.0256, 0)</f>
        <v>56.699099999999994</v>
      </c>
      <c r="G756" s="10">
        <f>52.5271 * CHOOSE(CONTROL!$C$15, $E$9, 100%, $G$9) + CHOOSE(CONTROL!$C$38, 0.0347, 0)</f>
        <v>52.561799999999998</v>
      </c>
      <c r="H756" s="10">
        <f>52.5271 * CHOOSE(CONTROL!$C$15, $E$9, 100%, $G$9) + CHOOSE(CONTROL!$C$38, 0.0347, 0)</f>
        <v>52.561799999999998</v>
      </c>
      <c r="I756" s="10">
        <f>52.5286 * CHOOSE(CONTROL!$C$15, $E$9, 100%, $G$9) + CHOOSE(CONTROL!$C$38, 0.0347, 0)</f>
        <v>52.563299999999998</v>
      </c>
      <c r="J756" s="26">
        <f>325.9082</f>
        <v>325.90820000000002</v>
      </c>
    </row>
    <row r="757" spans="1:10" ht="15.75" x14ac:dyDescent="0.25">
      <c r="A757" s="13">
        <v>64344</v>
      </c>
      <c r="B757" s="10">
        <f>57.0505 * CHOOSE(CONTROL!$C$15, $E$9, 100%, $G$9) + CHOOSE(CONTROL!$C$38, 0.0256, 0)</f>
        <v>57.076099999999997</v>
      </c>
      <c r="C757" s="10">
        <f>52.7494 * CHOOSE(CONTROL!$C$15, $E$9, 100%, $G$9) + CHOOSE(CONTROL!$C$38, 0.0347, 0)</f>
        <v>52.784100000000002</v>
      </c>
      <c r="D757" s="10">
        <f>52.7416 * CHOOSE(CONTROL!$C$15, $E$9, 100%, $G$9) + CHOOSE(CONTROL!$C$38, 0.0347, 0)</f>
        <v>52.776299999999999</v>
      </c>
      <c r="E757" s="28">
        <f>56.8942 * CHOOSE(CONTROL!$C$15, $E$9, 100%, $G$9) + CHOOSE(CONTROL!$C$38, 0.0347, 0)</f>
        <v>56.928899999999999</v>
      </c>
      <c r="F757" s="27">
        <f>56.8942 * CHOOSE(CONTROL!$C$15, $E$9, 100%, $G$9) + CHOOSE(CONTROL!$C$38, 0.0256, 0)</f>
        <v>56.919799999999995</v>
      </c>
      <c r="G757" s="10">
        <f>52.7478 * CHOOSE(CONTROL!$C$15, $E$9, 100%, $G$9) + CHOOSE(CONTROL!$C$38, 0.0347, 0)</f>
        <v>52.782499999999999</v>
      </c>
      <c r="H757" s="10">
        <f>52.7478 * CHOOSE(CONTROL!$C$15, $E$9, 100%, $G$9) + CHOOSE(CONTROL!$C$38, 0.0347, 0)</f>
        <v>52.782499999999999</v>
      </c>
      <c r="I757" s="10">
        <f>52.7494 * CHOOSE(CONTROL!$C$15, $E$9, 100%, $G$9) + CHOOSE(CONTROL!$C$38, 0.0347, 0)</f>
        <v>52.784100000000002</v>
      </c>
      <c r="J757" s="26">
        <f>325.0023</f>
        <v>325.00229999999999</v>
      </c>
    </row>
    <row r="758" spans="1:10" ht="15.75" x14ac:dyDescent="0.25">
      <c r="A758" s="13">
        <v>64375</v>
      </c>
      <c r="B758" s="10">
        <f>56.5394 * CHOOSE(CONTROL!$C$15, $E$9, 100%, $G$9) + CHOOSE(CONTROL!$C$38, 0.0256, 0)</f>
        <v>56.564999999999998</v>
      </c>
      <c r="C758" s="10">
        <f>52.2384 * CHOOSE(CONTROL!$C$15, $E$9, 100%, $G$9) + CHOOSE(CONTROL!$C$38, 0.0347, 0)</f>
        <v>52.273099999999999</v>
      </c>
      <c r="D758" s="10">
        <f>52.2305 * CHOOSE(CONTROL!$C$15, $E$9, 100%, $G$9) + CHOOSE(CONTROL!$C$38, 0.0347, 0)</f>
        <v>52.2652</v>
      </c>
      <c r="E758" s="28">
        <f>56.3832 * CHOOSE(CONTROL!$C$15, $E$9, 100%, $G$9) + CHOOSE(CONTROL!$C$38, 0.0347, 0)</f>
        <v>56.417900000000003</v>
      </c>
      <c r="F758" s="27">
        <f>56.3832 * CHOOSE(CONTROL!$C$15, $E$9, 100%, $G$9) + CHOOSE(CONTROL!$C$38, 0.0256, 0)</f>
        <v>56.408799999999999</v>
      </c>
      <c r="G758" s="10">
        <f>52.2368 * CHOOSE(CONTROL!$C$15, $E$9, 100%, $G$9) + CHOOSE(CONTROL!$C$38, 0.0347, 0)</f>
        <v>52.271500000000003</v>
      </c>
      <c r="H758" s="10">
        <f>52.2368 * CHOOSE(CONTROL!$C$15, $E$9, 100%, $G$9) + CHOOSE(CONTROL!$C$38, 0.0347, 0)</f>
        <v>52.271500000000003</v>
      </c>
      <c r="I758" s="10">
        <f>52.2384 * CHOOSE(CONTROL!$C$15, $E$9, 100%, $G$9) + CHOOSE(CONTROL!$C$38, 0.0347, 0)</f>
        <v>52.273099999999999</v>
      </c>
      <c r="J758" s="26">
        <f>342.1318</f>
        <v>342.1318</v>
      </c>
    </row>
    <row r="759" spans="1:10" ht="15.75" x14ac:dyDescent="0.25">
      <c r="A759" s="13">
        <v>64405</v>
      </c>
      <c r="B759" s="10">
        <f>56.0443 * CHOOSE(CONTROL!$C$15, $E$9, 100%, $G$9) + CHOOSE(CONTROL!$C$38, 0.0256, 0)</f>
        <v>56.069899999999997</v>
      </c>
      <c r="C759" s="10">
        <f>51.7432 * CHOOSE(CONTROL!$C$15, $E$9, 100%, $G$9) + CHOOSE(CONTROL!$C$38, 0.0347, 0)</f>
        <v>51.777900000000002</v>
      </c>
      <c r="D759" s="10">
        <f>51.7354 * CHOOSE(CONTROL!$C$15, $E$9, 100%, $G$9) + CHOOSE(CONTROL!$C$38, 0.0347, 0)</f>
        <v>51.770099999999999</v>
      </c>
      <c r="E759" s="28">
        <f>55.888 * CHOOSE(CONTROL!$C$15, $E$9, 100%, $G$9) + CHOOSE(CONTROL!$C$38, 0.0347, 0)</f>
        <v>55.922699999999999</v>
      </c>
      <c r="F759" s="27">
        <f>55.888 * CHOOSE(CONTROL!$C$15, $E$9, 100%, $G$9) + CHOOSE(CONTROL!$C$38, 0.0256, 0)</f>
        <v>55.913599999999995</v>
      </c>
      <c r="G759" s="10">
        <f>51.7416 * CHOOSE(CONTROL!$C$15, $E$9, 100%, $G$9) + CHOOSE(CONTROL!$C$38, 0.0347, 0)</f>
        <v>51.776299999999999</v>
      </c>
      <c r="H759" s="10">
        <f>51.7416 * CHOOSE(CONTROL!$C$15, $E$9, 100%, $G$9) + CHOOSE(CONTROL!$C$38, 0.0347, 0)</f>
        <v>51.776299999999999</v>
      </c>
      <c r="I759" s="10">
        <f>51.7432 * CHOOSE(CONTROL!$C$15, $E$9, 100%, $G$9) + CHOOSE(CONTROL!$C$38, 0.0347, 0)</f>
        <v>51.777900000000002</v>
      </c>
      <c r="J759" s="26">
        <f>364.3447</f>
        <v>364.34469999999999</v>
      </c>
    </row>
    <row r="760" spans="1:10" ht="15.75" x14ac:dyDescent="0.25">
      <c r="A760" s="13">
        <v>64436</v>
      </c>
      <c r="B760" s="10">
        <f>55.5281 * CHOOSE(CONTROL!$C$15, $E$9, 100%, $G$9) + CHOOSE(CONTROL!$C$38, 0.0256, 0)</f>
        <v>55.553699999999999</v>
      </c>
      <c r="C760" s="10">
        <f>51.2271 * CHOOSE(CONTROL!$C$15, $E$9, 100%, $G$9) + CHOOSE(CONTROL!$C$38, 0.0347, 0)</f>
        <v>51.261800000000001</v>
      </c>
      <c r="D760" s="10">
        <f>51.2192 * CHOOSE(CONTROL!$C$15, $E$9, 100%, $G$9) + CHOOSE(CONTROL!$C$38, 0.0347, 0)</f>
        <v>51.253900000000002</v>
      </c>
      <c r="E760" s="28">
        <f>55.3719 * CHOOSE(CONTROL!$C$15, $E$9, 100%, $G$9) + CHOOSE(CONTROL!$C$38, 0.0347, 0)</f>
        <v>55.406599999999997</v>
      </c>
      <c r="F760" s="27">
        <f>55.3719 * CHOOSE(CONTROL!$C$15, $E$9, 100%, $G$9) + CHOOSE(CONTROL!$C$38, 0.0256, 0)</f>
        <v>55.397499999999994</v>
      </c>
      <c r="G760" s="10">
        <f>51.2255 * CHOOSE(CONTROL!$C$15, $E$9, 100%, $G$9) + CHOOSE(CONTROL!$C$38, 0.0347, 0)</f>
        <v>51.260199999999998</v>
      </c>
      <c r="H760" s="10">
        <f>51.2255 * CHOOSE(CONTROL!$C$15, $E$9, 100%, $G$9) + CHOOSE(CONTROL!$C$38, 0.0347, 0)</f>
        <v>51.260199999999998</v>
      </c>
      <c r="I760" s="10">
        <f>51.2271 * CHOOSE(CONTROL!$C$15, $E$9, 100%, $G$9) + CHOOSE(CONTROL!$C$38, 0.0347, 0)</f>
        <v>51.261800000000001</v>
      </c>
      <c r="J760" s="26">
        <f>376.5714</f>
        <v>376.57139999999998</v>
      </c>
    </row>
    <row r="761" spans="1:10" ht="15.75" x14ac:dyDescent="0.25">
      <c r="A761" s="13">
        <v>64466</v>
      </c>
      <c r="B761" s="10">
        <f>55.1663 * CHOOSE(CONTROL!$C$15, $E$9, 100%, $G$9) + CHOOSE(CONTROL!$C$38, 0.0256, 0)</f>
        <v>55.191899999999997</v>
      </c>
      <c r="C761" s="10">
        <f>50.8652 * CHOOSE(CONTROL!$C$15, $E$9, 100%, $G$9) + CHOOSE(CONTROL!$C$38, 0.0347, 0)</f>
        <v>50.899900000000002</v>
      </c>
      <c r="D761" s="10">
        <f>50.8574 * CHOOSE(CONTROL!$C$15, $E$9, 100%, $G$9) + CHOOSE(CONTROL!$C$38, 0.0347, 0)</f>
        <v>50.892099999999999</v>
      </c>
      <c r="E761" s="28">
        <f>55.0101 * CHOOSE(CONTROL!$C$15, $E$9, 100%, $G$9) + CHOOSE(CONTROL!$C$38, 0.0347, 0)</f>
        <v>55.044800000000002</v>
      </c>
      <c r="F761" s="27">
        <f>55.0101 * CHOOSE(CONTROL!$C$15, $E$9, 100%, $G$9) + CHOOSE(CONTROL!$C$38, 0.0256, 0)</f>
        <v>55.035699999999999</v>
      </c>
      <c r="G761" s="10">
        <f>50.8637 * CHOOSE(CONTROL!$C$15, $E$9, 100%, $G$9) + CHOOSE(CONTROL!$C$38, 0.0347, 0)</f>
        <v>50.898400000000002</v>
      </c>
      <c r="H761" s="10">
        <f>50.8637 * CHOOSE(CONTROL!$C$15, $E$9, 100%, $G$9) + CHOOSE(CONTROL!$C$38, 0.0347, 0)</f>
        <v>50.898400000000002</v>
      </c>
      <c r="I761" s="10">
        <f>50.8652 * CHOOSE(CONTROL!$C$15, $E$9, 100%, $G$9) + CHOOSE(CONTROL!$C$38, 0.0347, 0)</f>
        <v>50.899900000000002</v>
      </c>
      <c r="J761" s="26">
        <f>381.9973</f>
        <v>381.9973</v>
      </c>
    </row>
    <row r="762" spans="1:10" ht="15.75" x14ac:dyDescent="0.25">
      <c r="A762" s="13">
        <v>64497</v>
      </c>
      <c r="B762" s="10">
        <f>54.9598 * CHOOSE(CONTROL!$C$15, $E$9, 100%, $G$9) + CHOOSE(CONTROL!$C$38, 0.0256, 0)</f>
        <v>54.985399999999998</v>
      </c>
      <c r="C762" s="10">
        <f>50.6587 * CHOOSE(CONTROL!$C$15, $E$9, 100%, $G$9) + CHOOSE(CONTROL!$C$38, 0.0347, 0)</f>
        <v>50.693400000000004</v>
      </c>
      <c r="D762" s="10">
        <f>50.6509 * CHOOSE(CONTROL!$C$15, $E$9, 100%, $G$9) + CHOOSE(CONTROL!$C$38, 0.0347, 0)</f>
        <v>50.685600000000001</v>
      </c>
      <c r="E762" s="28">
        <f>54.8036 * CHOOSE(CONTROL!$C$15, $E$9, 100%, $G$9) + CHOOSE(CONTROL!$C$38, 0.0347, 0)</f>
        <v>54.838300000000004</v>
      </c>
      <c r="F762" s="27">
        <f>54.8036 * CHOOSE(CONTROL!$C$15, $E$9, 100%, $G$9) + CHOOSE(CONTROL!$C$38, 0.0256, 0)</f>
        <v>54.8292</v>
      </c>
      <c r="G762" s="10">
        <f>50.6572 * CHOOSE(CONTROL!$C$15, $E$9, 100%, $G$9) + CHOOSE(CONTROL!$C$38, 0.0347, 0)</f>
        <v>50.691900000000004</v>
      </c>
      <c r="H762" s="10">
        <f>50.6572 * CHOOSE(CONTROL!$C$15, $E$9, 100%, $G$9) + CHOOSE(CONTROL!$C$38, 0.0347, 0)</f>
        <v>50.691900000000004</v>
      </c>
      <c r="I762" s="10">
        <f>50.6587 * CHOOSE(CONTROL!$C$15, $E$9, 100%, $G$9) + CHOOSE(CONTROL!$C$38, 0.0347, 0)</f>
        <v>50.693400000000004</v>
      </c>
      <c r="J762" s="26">
        <f>380.2109</f>
        <v>380.21089999999998</v>
      </c>
    </row>
    <row r="763" spans="1:10" ht="15.75" x14ac:dyDescent="0.25">
      <c r="A763" s="13">
        <v>64528</v>
      </c>
      <c r="B763" s="10">
        <f>55.0617 * CHOOSE(CONTROL!$C$15, $E$9, 100%, $G$9) + CHOOSE(CONTROL!$C$38, 0.0256, 0)</f>
        <v>55.087299999999999</v>
      </c>
      <c r="C763" s="10">
        <f>50.7606 * CHOOSE(CONTROL!$C$15, $E$9, 100%, $G$9) + CHOOSE(CONTROL!$C$38, 0.0347, 0)</f>
        <v>50.795299999999997</v>
      </c>
      <c r="D763" s="10">
        <f>50.7528 * CHOOSE(CONTROL!$C$15, $E$9, 100%, $G$9) + CHOOSE(CONTROL!$C$38, 0.0347, 0)</f>
        <v>50.787500000000001</v>
      </c>
      <c r="E763" s="28">
        <f>54.9055 * CHOOSE(CONTROL!$C$15, $E$9, 100%, $G$9) + CHOOSE(CONTROL!$C$38, 0.0347, 0)</f>
        <v>54.940200000000004</v>
      </c>
      <c r="F763" s="27">
        <f>54.9055 * CHOOSE(CONTROL!$C$15, $E$9, 100%, $G$9) + CHOOSE(CONTROL!$C$38, 0.0256, 0)</f>
        <v>54.931100000000001</v>
      </c>
      <c r="G763" s="10">
        <f>50.7591 * CHOOSE(CONTROL!$C$15, $E$9, 100%, $G$9) + CHOOSE(CONTROL!$C$38, 0.0347, 0)</f>
        <v>50.793799999999997</v>
      </c>
      <c r="H763" s="10">
        <f>50.7591 * CHOOSE(CONTROL!$C$15, $E$9, 100%, $G$9) + CHOOSE(CONTROL!$C$38, 0.0347, 0)</f>
        <v>50.793799999999997</v>
      </c>
      <c r="I763" s="10">
        <f>50.7606 * CHOOSE(CONTROL!$C$15, $E$9, 100%, $G$9) + CHOOSE(CONTROL!$C$38, 0.0347, 0)</f>
        <v>50.795299999999997</v>
      </c>
      <c r="J763" s="26">
        <f>371.3597</f>
        <v>371.35969999999998</v>
      </c>
    </row>
    <row r="764" spans="1:10" ht="15.75" x14ac:dyDescent="0.25">
      <c r="A764" s="13">
        <v>64558</v>
      </c>
      <c r="B764" s="10">
        <f>55.3385 * CHOOSE(CONTROL!$C$15, $E$9, 100%, $G$9) + CHOOSE(CONTROL!$C$38, 0.0256, 0)</f>
        <v>55.364100000000001</v>
      </c>
      <c r="C764" s="10">
        <f>51.0374 * CHOOSE(CONTROL!$C$15, $E$9, 100%, $G$9) + CHOOSE(CONTROL!$C$38, 0.0347, 0)</f>
        <v>51.072099999999999</v>
      </c>
      <c r="D764" s="10">
        <f>51.0296 * CHOOSE(CONTROL!$C$15, $E$9, 100%, $G$9) + CHOOSE(CONTROL!$C$38, 0.0347, 0)</f>
        <v>51.064300000000003</v>
      </c>
      <c r="E764" s="28">
        <f>55.1823 * CHOOSE(CONTROL!$C$15, $E$9, 100%, $G$9) + CHOOSE(CONTROL!$C$38, 0.0347, 0)</f>
        <v>55.216999999999999</v>
      </c>
      <c r="F764" s="27">
        <f>55.1823 * CHOOSE(CONTROL!$C$15, $E$9, 100%, $G$9) + CHOOSE(CONTROL!$C$38, 0.0256, 0)</f>
        <v>55.207899999999995</v>
      </c>
      <c r="G764" s="10">
        <f>51.0359 * CHOOSE(CONTROL!$C$15, $E$9, 100%, $G$9) + CHOOSE(CONTROL!$C$38, 0.0347, 0)</f>
        <v>51.070599999999999</v>
      </c>
      <c r="H764" s="10">
        <f>51.0359 * CHOOSE(CONTROL!$C$15, $E$9, 100%, $G$9) + CHOOSE(CONTROL!$C$38, 0.0347, 0)</f>
        <v>51.070599999999999</v>
      </c>
      <c r="I764" s="10">
        <f>51.0374 * CHOOSE(CONTROL!$C$15, $E$9, 100%, $G$9) + CHOOSE(CONTROL!$C$38, 0.0347, 0)</f>
        <v>51.072099999999999</v>
      </c>
      <c r="J764" s="26">
        <f>359.0163</f>
        <v>359.0163</v>
      </c>
    </row>
    <row r="765" spans="1:10" ht="15.75" x14ac:dyDescent="0.25">
      <c r="A765" s="13">
        <v>64589</v>
      </c>
      <c r="B765" s="10">
        <f>55.5704 * CHOOSE(CONTROL!$C$15, $E$9, 100%, $G$9) + CHOOSE(CONTROL!$C$38, 0.0256, 0)</f>
        <v>55.595999999999997</v>
      </c>
      <c r="C765" s="10">
        <f>51.2693 * CHOOSE(CONTROL!$C$15, $E$9, 100%, $G$9) + CHOOSE(CONTROL!$C$38, 0.0347, 0)</f>
        <v>51.304000000000002</v>
      </c>
      <c r="D765" s="10">
        <f>51.2615 * CHOOSE(CONTROL!$C$15, $E$9, 100%, $G$9) + CHOOSE(CONTROL!$C$38, 0.0347, 0)</f>
        <v>51.296199999999999</v>
      </c>
      <c r="E765" s="28">
        <f>55.4141 * CHOOSE(CONTROL!$C$15, $E$9, 100%, $G$9) + CHOOSE(CONTROL!$C$38, 0.0347, 0)</f>
        <v>55.448799999999999</v>
      </c>
      <c r="F765" s="27">
        <f>55.4141 * CHOOSE(CONTROL!$C$15, $E$9, 100%, $G$9) + CHOOSE(CONTROL!$C$38, 0.0256, 0)</f>
        <v>55.439699999999995</v>
      </c>
      <c r="G765" s="10">
        <f>51.2677 * CHOOSE(CONTROL!$C$15, $E$9, 100%, $G$9) + CHOOSE(CONTROL!$C$38, 0.0347, 0)</f>
        <v>51.302399999999999</v>
      </c>
      <c r="H765" s="10">
        <f>51.2677 * CHOOSE(CONTROL!$C$15, $E$9, 100%, $G$9) + CHOOSE(CONTROL!$C$38, 0.0347, 0)</f>
        <v>51.302399999999999</v>
      </c>
      <c r="I765" s="10">
        <f>51.2693 * CHOOSE(CONTROL!$C$15, $E$9, 100%, $G$9) + CHOOSE(CONTROL!$C$38, 0.0347, 0)</f>
        <v>51.304000000000002</v>
      </c>
      <c r="J765" s="26">
        <f>346.6012</f>
        <v>346.60120000000001</v>
      </c>
    </row>
    <row r="766" spans="1:10" ht="15.75" x14ac:dyDescent="0.25">
      <c r="A766" s="13">
        <v>64619</v>
      </c>
      <c r="B766" s="10">
        <f>55.7638 * CHOOSE(CONTROL!$C$15, $E$9, 100%, $G$9) + CHOOSE(CONTROL!$C$38, 0.0256, 0)</f>
        <v>55.789400000000001</v>
      </c>
      <c r="C766" s="10">
        <f>51.4627 * CHOOSE(CONTROL!$C$15, $E$9, 100%, $G$9) + CHOOSE(CONTROL!$C$38, 0.0347, 0)</f>
        <v>51.497399999999999</v>
      </c>
      <c r="D766" s="10">
        <f>51.4549 * CHOOSE(CONTROL!$C$15, $E$9, 100%, $G$9) + CHOOSE(CONTROL!$C$38, 0.0347, 0)</f>
        <v>51.489600000000003</v>
      </c>
      <c r="E766" s="28">
        <f>55.6075 * CHOOSE(CONTROL!$C$15, $E$9, 100%, $G$9) + CHOOSE(CONTROL!$C$38, 0.0347, 0)</f>
        <v>55.642200000000003</v>
      </c>
      <c r="F766" s="27">
        <f>55.6075 * CHOOSE(CONTROL!$C$15, $E$9, 100%, $G$9) + CHOOSE(CONTROL!$C$38, 0.0256, 0)</f>
        <v>55.633099999999999</v>
      </c>
      <c r="G766" s="10">
        <f>51.4611 * CHOOSE(CONTROL!$C$15, $E$9, 100%, $G$9) + CHOOSE(CONTROL!$C$38, 0.0347, 0)</f>
        <v>51.495800000000003</v>
      </c>
      <c r="H766" s="10">
        <f>51.4611 * CHOOSE(CONTROL!$C$15, $E$9, 100%, $G$9) + CHOOSE(CONTROL!$C$38, 0.0347, 0)</f>
        <v>51.495800000000003</v>
      </c>
      <c r="I766" s="10">
        <f>51.4627 * CHOOSE(CONTROL!$C$15, $E$9, 100%, $G$9) + CHOOSE(CONTROL!$C$38, 0.0347, 0)</f>
        <v>51.497399999999999</v>
      </c>
      <c r="J766" s="26">
        <f>344.1316</f>
        <v>344.13159999999999</v>
      </c>
    </row>
    <row r="767" spans="1:10" ht="15.75" x14ac:dyDescent="0.25">
      <c r="A767" s="13">
        <v>64650</v>
      </c>
      <c r="B767" s="10">
        <f>56.3599 * CHOOSE(CONTROL!$C$15, $E$9, 100%, $G$9) + CHOOSE(CONTROL!$C$38, 0.0256, 0)</f>
        <v>56.3855</v>
      </c>
      <c r="C767" s="10">
        <f>52.0588 * CHOOSE(CONTROL!$C$15, $E$9, 100%, $G$9) + CHOOSE(CONTROL!$C$38, 0.0347, 0)</f>
        <v>52.093499999999999</v>
      </c>
      <c r="D767" s="10">
        <f>52.051 * CHOOSE(CONTROL!$C$15, $E$9, 100%, $G$9) + CHOOSE(CONTROL!$C$38, 0.0347, 0)</f>
        <v>52.085700000000003</v>
      </c>
      <c r="E767" s="28">
        <f>56.2036 * CHOOSE(CONTROL!$C$15, $E$9, 100%, $G$9) + CHOOSE(CONTROL!$C$38, 0.0347, 0)</f>
        <v>56.238300000000002</v>
      </c>
      <c r="F767" s="27">
        <f>56.2036 * CHOOSE(CONTROL!$C$15, $E$9, 100%, $G$9) + CHOOSE(CONTROL!$C$38, 0.0256, 0)</f>
        <v>56.229199999999999</v>
      </c>
      <c r="G767" s="10">
        <f>52.0572 * CHOOSE(CONTROL!$C$15, $E$9, 100%, $G$9) + CHOOSE(CONTROL!$C$38, 0.0347, 0)</f>
        <v>52.091900000000003</v>
      </c>
      <c r="H767" s="10">
        <f>52.0572 * CHOOSE(CONTROL!$C$15, $E$9, 100%, $G$9) + CHOOSE(CONTROL!$C$38, 0.0347, 0)</f>
        <v>52.091900000000003</v>
      </c>
      <c r="I767" s="10">
        <f>52.0588 * CHOOSE(CONTROL!$C$15, $E$9, 100%, $G$9) + CHOOSE(CONTROL!$C$38, 0.0347, 0)</f>
        <v>52.093499999999999</v>
      </c>
      <c r="J767" s="26">
        <f>333.9194</f>
        <v>333.9194</v>
      </c>
    </row>
    <row r="768" spans="1:10" ht="15.75" x14ac:dyDescent="0.25">
      <c r="A768" s="13">
        <v>64681</v>
      </c>
      <c r="B768" s="10">
        <f>57.8056 * CHOOSE(CONTROL!$C$15, $E$9, 100%, $G$9) + CHOOSE(CONTROL!$C$38, 0.0256, 0)</f>
        <v>57.831199999999995</v>
      </c>
      <c r="C768" s="10">
        <f>53.4313 * CHOOSE(CONTROL!$C$15, $E$9, 100%, $G$9) + CHOOSE(CONTROL!$C$38, 0.0347, 0)</f>
        <v>53.466000000000001</v>
      </c>
      <c r="D768" s="10">
        <f>53.4235 * CHOOSE(CONTROL!$C$15, $E$9, 100%, $G$9) + CHOOSE(CONTROL!$C$38, 0.0347, 0)</f>
        <v>53.458199999999998</v>
      </c>
      <c r="E768" s="28">
        <f>57.6493 * CHOOSE(CONTROL!$C$15, $E$9, 100%, $G$9) + CHOOSE(CONTROL!$C$38, 0.0347, 0)</f>
        <v>57.683999999999997</v>
      </c>
      <c r="F768" s="27">
        <f>57.6493 * CHOOSE(CONTROL!$C$15, $E$9, 100%, $G$9) + CHOOSE(CONTROL!$C$38, 0.0256, 0)</f>
        <v>57.674899999999994</v>
      </c>
      <c r="G768" s="10">
        <f>53.4297 * CHOOSE(CONTROL!$C$15, $E$9, 100%, $G$9) + CHOOSE(CONTROL!$C$38, 0.0347, 0)</f>
        <v>53.464399999999998</v>
      </c>
      <c r="H768" s="10">
        <f>53.4297 * CHOOSE(CONTROL!$C$15, $E$9, 100%, $G$9) + CHOOSE(CONTROL!$C$38, 0.0347, 0)</f>
        <v>53.464399999999998</v>
      </c>
      <c r="I768" s="10">
        <f>53.4313 * CHOOSE(CONTROL!$C$15, $E$9, 100%, $G$9) + CHOOSE(CONTROL!$C$38, 0.0347, 0)</f>
        <v>53.466000000000001</v>
      </c>
      <c r="J768" s="26">
        <f>331.6827</f>
        <v>331.68270000000001</v>
      </c>
    </row>
    <row r="769" spans="1:10" ht="15.75" x14ac:dyDescent="0.25">
      <c r="A769" s="13">
        <v>64709</v>
      </c>
      <c r="B769" s="10">
        <f>58.0264 * CHOOSE(CONTROL!$C$15, $E$9, 100%, $G$9) + CHOOSE(CONTROL!$C$38, 0.0256, 0)</f>
        <v>58.052</v>
      </c>
      <c r="C769" s="10">
        <f>53.652 * CHOOSE(CONTROL!$C$15, $E$9, 100%, $G$9) + CHOOSE(CONTROL!$C$38, 0.0347, 0)</f>
        <v>53.686700000000002</v>
      </c>
      <c r="D769" s="10">
        <f>53.6442 * CHOOSE(CONTROL!$C$15, $E$9, 100%, $G$9) + CHOOSE(CONTROL!$C$38, 0.0347, 0)</f>
        <v>53.678899999999999</v>
      </c>
      <c r="E769" s="28">
        <f>57.8701 * CHOOSE(CONTROL!$C$15, $E$9, 100%, $G$9) + CHOOSE(CONTROL!$C$38, 0.0347, 0)</f>
        <v>57.904800000000002</v>
      </c>
      <c r="F769" s="27">
        <f>57.8701 * CHOOSE(CONTROL!$C$15, $E$9, 100%, $G$9) + CHOOSE(CONTROL!$C$38, 0.0256, 0)</f>
        <v>57.895699999999998</v>
      </c>
      <c r="G769" s="10">
        <f>53.6505 * CHOOSE(CONTROL!$C$15, $E$9, 100%, $G$9) + CHOOSE(CONTROL!$C$38, 0.0347, 0)</f>
        <v>53.685200000000002</v>
      </c>
      <c r="H769" s="10">
        <f>53.6505 * CHOOSE(CONTROL!$C$15, $E$9, 100%, $G$9) + CHOOSE(CONTROL!$C$38, 0.0347, 0)</f>
        <v>53.685200000000002</v>
      </c>
      <c r="I769" s="10">
        <f>53.652 * CHOOSE(CONTROL!$C$15, $E$9, 100%, $G$9) + CHOOSE(CONTROL!$C$38, 0.0347, 0)</f>
        <v>53.686700000000002</v>
      </c>
      <c r="J769" s="26">
        <f>330.7607</f>
        <v>330.76069999999999</v>
      </c>
    </row>
    <row r="770" spans="1:10" ht="15.75" x14ac:dyDescent="0.25">
      <c r="A770" s="13">
        <v>64740</v>
      </c>
      <c r="B770" s="10">
        <f>57.5153 * CHOOSE(CONTROL!$C$15, $E$9, 100%, $G$9) + CHOOSE(CONTROL!$C$38, 0.0256, 0)</f>
        <v>57.540900000000001</v>
      </c>
      <c r="C770" s="10">
        <f>53.141 * CHOOSE(CONTROL!$C$15, $E$9, 100%, $G$9) + CHOOSE(CONTROL!$C$38, 0.0347, 0)</f>
        <v>53.175699999999999</v>
      </c>
      <c r="D770" s="10">
        <f>53.1332 * CHOOSE(CONTROL!$C$15, $E$9, 100%, $G$9) + CHOOSE(CONTROL!$C$38, 0.0347, 0)</f>
        <v>53.167900000000003</v>
      </c>
      <c r="E770" s="28">
        <f>57.3591 * CHOOSE(CONTROL!$C$15, $E$9, 100%, $G$9) + CHOOSE(CONTROL!$C$38, 0.0347, 0)</f>
        <v>57.393799999999999</v>
      </c>
      <c r="F770" s="27">
        <f>57.3591 * CHOOSE(CONTROL!$C$15, $E$9, 100%, $G$9) + CHOOSE(CONTROL!$C$38, 0.0256, 0)</f>
        <v>57.384699999999995</v>
      </c>
      <c r="G770" s="10">
        <f>53.1394 * CHOOSE(CONTROL!$C$15, $E$9, 100%, $G$9) + CHOOSE(CONTROL!$C$38, 0.0347, 0)</f>
        <v>53.174100000000003</v>
      </c>
      <c r="H770" s="10">
        <f>53.1394 * CHOOSE(CONTROL!$C$15, $E$9, 100%, $G$9) + CHOOSE(CONTROL!$C$38, 0.0347, 0)</f>
        <v>53.174100000000003</v>
      </c>
      <c r="I770" s="10">
        <f>53.141 * CHOOSE(CONTROL!$C$15, $E$9, 100%, $G$9) + CHOOSE(CONTROL!$C$38, 0.0347, 0)</f>
        <v>53.175699999999999</v>
      </c>
      <c r="J770" s="26">
        <f>348.1937</f>
        <v>348.19369999999998</v>
      </c>
    </row>
    <row r="771" spans="1:10" ht="15.75" x14ac:dyDescent="0.25">
      <c r="A771" s="13">
        <v>64770</v>
      </c>
      <c r="B771" s="10">
        <f>57.0201 * CHOOSE(CONTROL!$C$15, $E$9, 100%, $G$9) + CHOOSE(CONTROL!$C$38, 0.0256, 0)</f>
        <v>57.045699999999997</v>
      </c>
      <c r="C771" s="10">
        <f>52.6458 * CHOOSE(CONTROL!$C$15, $E$9, 100%, $G$9) + CHOOSE(CONTROL!$C$38, 0.0347, 0)</f>
        <v>52.680500000000002</v>
      </c>
      <c r="D771" s="10">
        <f>52.638 * CHOOSE(CONTROL!$C$15, $E$9, 100%, $G$9) + CHOOSE(CONTROL!$C$38, 0.0347, 0)</f>
        <v>52.672699999999999</v>
      </c>
      <c r="E771" s="28">
        <f>56.8639 * CHOOSE(CONTROL!$C$15, $E$9, 100%, $G$9) + CHOOSE(CONTROL!$C$38, 0.0347, 0)</f>
        <v>56.898600000000002</v>
      </c>
      <c r="F771" s="27">
        <f>56.8639 * CHOOSE(CONTROL!$C$15, $E$9, 100%, $G$9) + CHOOSE(CONTROL!$C$38, 0.0256, 0)</f>
        <v>56.889499999999998</v>
      </c>
      <c r="G771" s="10">
        <f>52.6443 * CHOOSE(CONTROL!$C$15, $E$9, 100%, $G$9) + CHOOSE(CONTROL!$C$38, 0.0347, 0)</f>
        <v>52.679000000000002</v>
      </c>
      <c r="H771" s="10">
        <f>52.6443 * CHOOSE(CONTROL!$C$15, $E$9, 100%, $G$9) + CHOOSE(CONTROL!$C$38, 0.0347, 0)</f>
        <v>52.679000000000002</v>
      </c>
      <c r="I771" s="10">
        <f>52.6458 * CHOOSE(CONTROL!$C$15, $E$9, 100%, $G$9) + CHOOSE(CONTROL!$C$38, 0.0347, 0)</f>
        <v>52.680500000000002</v>
      </c>
      <c r="J771" s="26">
        <f>370.8002</f>
        <v>370.80020000000002</v>
      </c>
    </row>
    <row r="772" spans="1:10" ht="15.75" x14ac:dyDescent="0.25">
      <c r="A772" s="13">
        <v>64801</v>
      </c>
      <c r="B772" s="10">
        <f>56.504 * CHOOSE(CONTROL!$C$15, $E$9, 100%, $G$9) + CHOOSE(CONTROL!$C$38, 0.0256, 0)</f>
        <v>56.529599999999995</v>
      </c>
      <c r="C772" s="10">
        <f>52.1297 * CHOOSE(CONTROL!$C$15, $E$9, 100%, $G$9) + CHOOSE(CONTROL!$C$38, 0.0347, 0)</f>
        <v>52.164400000000001</v>
      </c>
      <c r="D772" s="10">
        <f>52.1219 * CHOOSE(CONTROL!$C$15, $E$9, 100%, $G$9) + CHOOSE(CONTROL!$C$38, 0.0347, 0)</f>
        <v>52.156599999999997</v>
      </c>
      <c r="E772" s="28">
        <f>56.3478 * CHOOSE(CONTROL!$C$15, $E$9, 100%, $G$9) + CHOOSE(CONTROL!$C$38, 0.0347, 0)</f>
        <v>56.3825</v>
      </c>
      <c r="F772" s="27">
        <f>56.3478 * CHOOSE(CONTROL!$C$15, $E$9, 100%, $G$9) + CHOOSE(CONTROL!$C$38, 0.0256, 0)</f>
        <v>56.373399999999997</v>
      </c>
      <c r="G772" s="10">
        <f>52.1282 * CHOOSE(CONTROL!$C$15, $E$9, 100%, $G$9) + CHOOSE(CONTROL!$C$38, 0.0347, 0)</f>
        <v>52.1629</v>
      </c>
      <c r="H772" s="10">
        <f>52.1282 * CHOOSE(CONTROL!$C$15, $E$9, 100%, $G$9) + CHOOSE(CONTROL!$C$38, 0.0347, 0)</f>
        <v>52.1629</v>
      </c>
      <c r="I772" s="10">
        <f>52.1297 * CHOOSE(CONTROL!$C$15, $E$9, 100%, $G$9) + CHOOSE(CONTROL!$C$38, 0.0347, 0)</f>
        <v>52.164400000000001</v>
      </c>
      <c r="J772" s="26">
        <f>383.2435</f>
        <v>383.24349999999998</v>
      </c>
    </row>
    <row r="773" spans="1:10" ht="15.75" x14ac:dyDescent="0.25">
      <c r="A773" s="13">
        <v>64831</v>
      </c>
      <c r="B773" s="10">
        <f>56.1422 * CHOOSE(CONTROL!$C$15, $E$9, 100%, $G$9) + CHOOSE(CONTROL!$C$38, 0.0256, 0)</f>
        <v>56.1678</v>
      </c>
      <c r="C773" s="10">
        <f>51.7679 * CHOOSE(CONTROL!$C$15, $E$9, 100%, $G$9) + CHOOSE(CONTROL!$C$38, 0.0347, 0)</f>
        <v>51.802599999999998</v>
      </c>
      <c r="D773" s="10">
        <f>51.7601 * CHOOSE(CONTROL!$C$15, $E$9, 100%, $G$9) + CHOOSE(CONTROL!$C$38, 0.0347, 0)</f>
        <v>51.794800000000002</v>
      </c>
      <c r="E773" s="28">
        <f>55.986 * CHOOSE(CONTROL!$C$15, $E$9, 100%, $G$9) + CHOOSE(CONTROL!$C$38, 0.0347, 0)</f>
        <v>56.020699999999998</v>
      </c>
      <c r="F773" s="27">
        <f>55.986 * CHOOSE(CONTROL!$C$15, $E$9, 100%, $G$9) + CHOOSE(CONTROL!$C$38, 0.0256, 0)</f>
        <v>56.011599999999994</v>
      </c>
      <c r="G773" s="10">
        <f>51.7663 * CHOOSE(CONTROL!$C$15, $E$9, 100%, $G$9) + CHOOSE(CONTROL!$C$38, 0.0347, 0)</f>
        <v>51.801000000000002</v>
      </c>
      <c r="H773" s="10">
        <f>51.7663 * CHOOSE(CONTROL!$C$15, $E$9, 100%, $G$9) + CHOOSE(CONTROL!$C$38, 0.0347, 0)</f>
        <v>51.801000000000002</v>
      </c>
      <c r="I773" s="10">
        <f>51.7679 * CHOOSE(CONTROL!$C$15, $E$9, 100%, $G$9) + CHOOSE(CONTROL!$C$38, 0.0347, 0)</f>
        <v>51.802599999999998</v>
      </c>
      <c r="J773" s="26">
        <f>388.7656</f>
        <v>388.76560000000001</v>
      </c>
    </row>
    <row r="774" spans="1:10" ht="15.75" x14ac:dyDescent="0.25">
      <c r="A774" s="13">
        <v>64862</v>
      </c>
      <c r="B774" s="10">
        <f>55.9357 * CHOOSE(CONTROL!$C$15, $E$9, 100%, $G$9) + CHOOSE(CONTROL!$C$38, 0.0256, 0)</f>
        <v>55.961299999999994</v>
      </c>
      <c r="C774" s="10">
        <f>51.5614 * CHOOSE(CONTROL!$C$15, $E$9, 100%, $G$9) + CHOOSE(CONTROL!$C$38, 0.0347, 0)</f>
        <v>51.5961</v>
      </c>
      <c r="D774" s="10">
        <f>51.5536 * CHOOSE(CONTROL!$C$15, $E$9, 100%, $G$9) + CHOOSE(CONTROL!$C$38, 0.0347, 0)</f>
        <v>51.588300000000004</v>
      </c>
      <c r="E774" s="28">
        <f>55.7795 * CHOOSE(CONTROL!$C$15, $E$9, 100%, $G$9) + CHOOSE(CONTROL!$C$38, 0.0347, 0)</f>
        <v>55.8142</v>
      </c>
      <c r="F774" s="27">
        <f>55.7795 * CHOOSE(CONTROL!$C$15, $E$9, 100%, $G$9) + CHOOSE(CONTROL!$C$38, 0.0256, 0)</f>
        <v>55.805099999999996</v>
      </c>
      <c r="G774" s="10">
        <f>51.5598 * CHOOSE(CONTROL!$C$15, $E$9, 100%, $G$9) + CHOOSE(CONTROL!$C$38, 0.0347, 0)</f>
        <v>51.594500000000004</v>
      </c>
      <c r="H774" s="10">
        <f>51.5598 * CHOOSE(CONTROL!$C$15, $E$9, 100%, $G$9) + CHOOSE(CONTROL!$C$38, 0.0347, 0)</f>
        <v>51.594500000000004</v>
      </c>
      <c r="I774" s="10">
        <f>51.5614 * CHOOSE(CONTROL!$C$15, $E$9, 100%, $G$9) + CHOOSE(CONTROL!$C$38, 0.0347, 0)</f>
        <v>51.5961</v>
      </c>
      <c r="J774" s="26">
        <f>386.9475</f>
        <v>386.94749999999999</v>
      </c>
    </row>
    <row r="775" spans="1:10" ht="15.75" x14ac:dyDescent="0.25">
      <c r="A775" s="13">
        <v>64893</v>
      </c>
      <c r="B775" s="10">
        <f>56.0376 * CHOOSE(CONTROL!$C$15, $E$9, 100%, $G$9) + CHOOSE(CONTROL!$C$38, 0.0256, 0)</f>
        <v>56.063199999999995</v>
      </c>
      <c r="C775" s="10">
        <f>51.6633 * CHOOSE(CONTROL!$C$15, $E$9, 100%, $G$9) + CHOOSE(CONTROL!$C$38, 0.0347, 0)</f>
        <v>51.698</v>
      </c>
      <c r="D775" s="10">
        <f>51.6555 * CHOOSE(CONTROL!$C$15, $E$9, 100%, $G$9) + CHOOSE(CONTROL!$C$38, 0.0347, 0)</f>
        <v>51.690200000000004</v>
      </c>
      <c r="E775" s="28">
        <f>55.8814 * CHOOSE(CONTROL!$C$15, $E$9, 100%, $G$9) + CHOOSE(CONTROL!$C$38, 0.0347, 0)</f>
        <v>55.9161</v>
      </c>
      <c r="F775" s="27">
        <f>55.8814 * CHOOSE(CONTROL!$C$15, $E$9, 100%, $G$9) + CHOOSE(CONTROL!$C$38, 0.0256, 0)</f>
        <v>55.906999999999996</v>
      </c>
      <c r="G775" s="10">
        <f>51.6617 * CHOOSE(CONTROL!$C$15, $E$9, 100%, $G$9) + CHOOSE(CONTROL!$C$38, 0.0347, 0)</f>
        <v>51.696400000000004</v>
      </c>
      <c r="H775" s="10">
        <f>51.6617 * CHOOSE(CONTROL!$C$15, $E$9, 100%, $G$9) + CHOOSE(CONTROL!$C$38, 0.0347, 0)</f>
        <v>51.696400000000004</v>
      </c>
      <c r="I775" s="10">
        <f>51.6633 * CHOOSE(CONTROL!$C$15, $E$9, 100%, $G$9) + CHOOSE(CONTROL!$C$38, 0.0347, 0)</f>
        <v>51.698</v>
      </c>
      <c r="J775" s="26">
        <f>377.9395</f>
        <v>377.93950000000001</v>
      </c>
    </row>
    <row r="776" spans="1:10" ht="15.75" x14ac:dyDescent="0.25">
      <c r="A776" s="13">
        <v>64923</v>
      </c>
      <c r="B776" s="10">
        <f>56.3144 * CHOOSE(CONTROL!$C$15, $E$9, 100%, $G$9) + CHOOSE(CONTROL!$C$38, 0.0256, 0)</f>
        <v>56.339999999999996</v>
      </c>
      <c r="C776" s="10">
        <f>51.9401 * CHOOSE(CONTROL!$C$15, $E$9, 100%, $G$9) + CHOOSE(CONTROL!$C$38, 0.0347, 0)</f>
        <v>51.974800000000002</v>
      </c>
      <c r="D776" s="10">
        <f>51.9323 * CHOOSE(CONTROL!$C$15, $E$9, 100%, $G$9) + CHOOSE(CONTROL!$C$38, 0.0347, 0)</f>
        <v>51.966999999999999</v>
      </c>
      <c r="E776" s="28">
        <f>56.1582 * CHOOSE(CONTROL!$C$15, $E$9, 100%, $G$9) + CHOOSE(CONTROL!$C$38, 0.0347, 0)</f>
        <v>56.192900000000002</v>
      </c>
      <c r="F776" s="27">
        <f>56.1582 * CHOOSE(CONTROL!$C$15, $E$9, 100%, $G$9) + CHOOSE(CONTROL!$C$38, 0.0256, 0)</f>
        <v>56.183799999999998</v>
      </c>
      <c r="G776" s="10">
        <f>51.9385 * CHOOSE(CONTROL!$C$15, $E$9, 100%, $G$9) + CHOOSE(CONTROL!$C$38, 0.0347, 0)</f>
        <v>51.973199999999999</v>
      </c>
      <c r="H776" s="10">
        <f>51.9385 * CHOOSE(CONTROL!$C$15, $E$9, 100%, $G$9) + CHOOSE(CONTROL!$C$38, 0.0347, 0)</f>
        <v>51.973199999999999</v>
      </c>
      <c r="I776" s="10">
        <f>51.9401 * CHOOSE(CONTROL!$C$15, $E$9, 100%, $G$9) + CHOOSE(CONTROL!$C$38, 0.0347, 0)</f>
        <v>51.974800000000002</v>
      </c>
      <c r="J776" s="26">
        <f>365.3774</f>
        <v>365.37740000000002</v>
      </c>
    </row>
    <row r="777" spans="1:10" ht="15.75" x14ac:dyDescent="0.25">
      <c r="A777" s="13">
        <v>64954</v>
      </c>
      <c r="B777" s="10">
        <f>56.5462 * CHOOSE(CONTROL!$C$15, $E$9, 100%, $G$9) + CHOOSE(CONTROL!$C$38, 0.0256, 0)</f>
        <v>56.571799999999996</v>
      </c>
      <c r="C777" s="10">
        <f>52.1719 * CHOOSE(CONTROL!$C$15, $E$9, 100%, $G$9) + CHOOSE(CONTROL!$C$38, 0.0347, 0)</f>
        <v>52.206600000000002</v>
      </c>
      <c r="D777" s="10">
        <f>52.1641 * CHOOSE(CONTROL!$C$15, $E$9, 100%, $G$9) + CHOOSE(CONTROL!$C$38, 0.0347, 0)</f>
        <v>52.198799999999999</v>
      </c>
      <c r="E777" s="28">
        <f>56.39 * CHOOSE(CONTROL!$C$15, $E$9, 100%, $G$9) + CHOOSE(CONTROL!$C$38, 0.0347, 0)</f>
        <v>56.424700000000001</v>
      </c>
      <c r="F777" s="27">
        <f>56.39 * CHOOSE(CONTROL!$C$15, $E$9, 100%, $G$9) + CHOOSE(CONTROL!$C$38, 0.0256, 0)</f>
        <v>56.415599999999998</v>
      </c>
      <c r="G777" s="10">
        <f>52.1704 * CHOOSE(CONTROL!$C$15, $E$9, 100%, $G$9) + CHOOSE(CONTROL!$C$38, 0.0347, 0)</f>
        <v>52.205100000000002</v>
      </c>
      <c r="H777" s="10">
        <f>52.1704 * CHOOSE(CONTROL!$C$15, $E$9, 100%, $G$9) + CHOOSE(CONTROL!$C$38, 0.0347, 0)</f>
        <v>52.205100000000002</v>
      </c>
      <c r="I777" s="10">
        <f>52.1719 * CHOOSE(CONTROL!$C$15, $E$9, 100%, $G$9) + CHOOSE(CONTROL!$C$38, 0.0347, 0)</f>
        <v>52.206600000000002</v>
      </c>
      <c r="J777" s="26">
        <f>352.7423</f>
        <v>352.7423</v>
      </c>
    </row>
    <row r="778" spans="1:10" ht="15.75" x14ac:dyDescent="0.25">
      <c r="A778" s="13">
        <v>64984</v>
      </c>
      <c r="B778" s="10">
        <f>56.7397 * CHOOSE(CONTROL!$C$15, $E$9, 100%, $G$9) + CHOOSE(CONTROL!$C$38, 0.0256, 0)</f>
        <v>56.765299999999996</v>
      </c>
      <c r="C778" s="10">
        <f>52.3654 * CHOOSE(CONTROL!$C$15, $E$9, 100%, $G$9) + CHOOSE(CONTROL!$C$38, 0.0347, 0)</f>
        <v>52.400100000000002</v>
      </c>
      <c r="D778" s="10">
        <f>52.3575 * CHOOSE(CONTROL!$C$15, $E$9, 100%, $G$9) + CHOOSE(CONTROL!$C$38, 0.0347, 0)</f>
        <v>52.392200000000003</v>
      </c>
      <c r="E778" s="28">
        <f>56.5834 * CHOOSE(CONTROL!$C$15, $E$9, 100%, $G$9) + CHOOSE(CONTROL!$C$38, 0.0347, 0)</f>
        <v>56.618099999999998</v>
      </c>
      <c r="F778" s="27">
        <f>56.5834 * CHOOSE(CONTROL!$C$15, $E$9, 100%, $G$9) + CHOOSE(CONTROL!$C$38, 0.0256, 0)</f>
        <v>56.608999999999995</v>
      </c>
      <c r="G778" s="10">
        <f>52.3638 * CHOOSE(CONTROL!$C$15, $E$9, 100%, $G$9) + CHOOSE(CONTROL!$C$38, 0.0347, 0)</f>
        <v>52.398499999999999</v>
      </c>
      <c r="H778" s="10">
        <f>52.3638 * CHOOSE(CONTROL!$C$15, $E$9, 100%, $G$9) + CHOOSE(CONTROL!$C$38, 0.0347, 0)</f>
        <v>52.398499999999999</v>
      </c>
      <c r="I778" s="10">
        <f>52.3654 * CHOOSE(CONTROL!$C$15, $E$9, 100%, $G$9) + CHOOSE(CONTROL!$C$38, 0.0347, 0)</f>
        <v>52.400100000000002</v>
      </c>
      <c r="J778" s="26">
        <f>350.2289</f>
        <v>350.22890000000001</v>
      </c>
    </row>
    <row r="779" spans="1:10" ht="15.75" x14ac:dyDescent="0.25">
      <c r="A779" s="13">
        <v>65015</v>
      </c>
      <c r="B779" s="10">
        <f>57.3358 * CHOOSE(CONTROL!$C$15, $E$9, 100%, $G$9) + CHOOSE(CONTROL!$C$38, 0.0256, 0)</f>
        <v>57.361399999999996</v>
      </c>
      <c r="C779" s="10">
        <f>52.9614 * CHOOSE(CONTROL!$C$15, $E$9, 100%, $G$9) + CHOOSE(CONTROL!$C$38, 0.0347, 0)</f>
        <v>52.996099999999998</v>
      </c>
      <c r="D779" s="10">
        <f>52.9536 * CHOOSE(CONTROL!$C$15, $E$9, 100%, $G$9) + CHOOSE(CONTROL!$C$38, 0.0347, 0)</f>
        <v>52.988300000000002</v>
      </c>
      <c r="E779" s="28">
        <f>57.1795 * CHOOSE(CONTROL!$C$15, $E$9, 100%, $G$9) + CHOOSE(CONTROL!$C$38, 0.0347, 0)</f>
        <v>57.214199999999998</v>
      </c>
      <c r="F779" s="27">
        <f>57.1795 * CHOOSE(CONTROL!$C$15, $E$9, 100%, $G$9) + CHOOSE(CONTROL!$C$38, 0.0256, 0)</f>
        <v>57.205099999999995</v>
      </c>
      <c r="G779" s="10">
        <f>52.9599 * CHOOSE(CONTROL!$C$15, $E$9, 100%, $G$9) + CHOOSE(CONTROL!$C$38, 0.0347, 0)</f>
        <v>52.994599999999998</v>
      </c>
      <c r="H779" s="10">
        <f>52.9599 * CHOOSE(CONTROL!$C$15, $E$9, 100%, $G$9) + CHOOSE(CONTROL!$C$38, 0.0347, 0)</f>
        <v>52.994599999999998</v>
      </c>
      <c r="I779" s="10">
        <f>52.9614 * CHOOSE(CONTROL!$C$15, $E$9, 100%, $G$9) + CHOOSE(CONTROL!$C$38, 0.0347, 0)</f>
        <v>52.996099999999998</v>
      </c>
      <c r="J779" s="26">
        <f>339.8359</f>
        <v>339.83589999999998</v>
      </c>
    </row>
    <row r="780" spans="1:10" ht="15.75" x14ac:dyDescent="0.25">
      <c r="A780" s="13">
        <v>65046</v>
      </c>
      <c r="B780" s="10">
        <f>58.7987 * CHOOSE(CONTROL!$C$15, $E$9, 100%, $G$9) + CHOOSE(CONTROL!$C$38, 0.0256, 0)</f>
        <v>58.824299999999994</v>
      </c>
      <c r="C780" s="10">
        <f>54.3499 * CHOOSE(CONTROL!$C$15, $E$9, 100%, $G$9) + CHOOSE(CONTROL!$C$38, 0.0347, 0)</f>
        <v>54.384599999999999</v>
      </c>
      <c r="D780" s="10">
        <f>54.3421 * CHOOSE(CONTROL!$C$15, $E$9, 100%, $G$9) + CHOOSE(CONTROL!$C$38, 0.0347, 0)</f>
        <v>54.376800000000003</v>
      </c>
      <c r="E780" s="28">
        <f>58.6425 * CHOOSE(CONTROL!$C$15, $E$9, 100%, $G$9) + CHOOSE(CONTROL!$C$38, 0.0347, 0)</f>
        <v>58.677199999999999</v>
      </c>
      <c r="F780" s="27">
        <f>58.6425 * CHOOSE(CONTROL!$C$15, $E$9, 100%, $G$9) + CHOOSE(CONTROL!$C$38, 0.0256, 0)</f>
        <v>58.668099999999995</v>
      </c>
      <c r="G780" s="10">
        <f>54.3483 * CHOOSE(CONTROL!$C$15, $E$9, 100%, $G$9) + CHOOSE(CONTROL!$C$38, 0.0347, 0)</f>
        <v>54.383000000000003</v>
      </c>
      <c r="H780" s="10">
        <f>54.3483 * CHOOSE(CONTROL!$C$15, $E$9, 100%, $G$9) + CHOOSE(CONTROL!$C$38, 0.0347, 0)</f>
        <v>54.383000000000003</v>
      </c>
      <c r="I780" s="10">
        <f>54.3499 * CHOOSE(CONTROL!$C$15, $E$9, 100%, $G$9) + CHOOSE(CONTROL!$C$38, 0.0347, 0)</f>
        <v>54.384599999999999</v>
      </c>
      <c r="J780" s="26">
        <f>337.5595</f>
        <v>337.55950000000001</v>
      </c>
    </row>
    <row r="781" spans="1:10" ht="15.75" x14ac:dyDescent="0.25">
      <c r="A781" s="13">
        <v>65074</v>
      </c>
      <c r="B781" s="10">
        <f>59.0195 * CHOOSE(CONTROL!$C$15, $E$9, 100%, $G$9) + CHOOSE(CONTROL!$C$38, 0.0256, 0)</f>
        <v>59.045099999999998</v>
      </c>
      <c r="C781" s="10">
        <f>54.5706 * CHOOSE(CONTROL!$C$15, $E$9, 100%, $G$9) + CHOOSE(CONTROL!$C$38, 0.0347, 0)</f>
        <v>54.6053</v>
      </c>
      <c r="D781" s="10">
        <f>54.5628 * CHOOSE(CONTROL!$C$15, $E$9, 100%, $G$9) + CHOOSE(CONTROL!$C$38, 0.0347, 0)</f>
        <v>54.597500000000004</v>
      </c>
      <c r="E781" s="28">
        <f>58.8632 * CHOOSE(CONTROL!$C$15, $E$9, 100%, $G$9) + CHOOSE(CONTROL!$C$38, 0.0347, 0)</f>
        <v>58.8979</v>
      </c>
      <c r="F781" s="27">
        <f>58.8632 * CHOOSE(CONTROL!$C$15, $E$9, 100%, $G$9) + CHOOSE(CONTROL!$C$38, 0.0256, 0)</f>
        <v>58.888799999999996</v>
      </c>
      <c r="G781" s="10">
        <f>54.5691 * CHOOSE(CONTROL!$C$15, $E$9, 100%, $G$9) + CHOOSE(CONTROL!$C$38, 0.0347, 0)</f>
        <v>54.6038</v>
      </c>
      <c r="H781" s="10">
        <f>54.5691 * CHOOSE(CONTROL!$C$15, $E$9, 100%, $G$9) + CHOOSE(CONTROL!$C$38, 0.0347, 0)</f>
        <v>54.6038</v>
      </c>
      <c r="I781" s="10">
        <f>54.5706 * CHOOSE(CONTROL!$C$15, $E$9, 100%, $G$9) + CHOOSE(CONTROL!$C$38, 0.0347, 0)</f>
        <v>54.6053</v>
      </c>
      <c r="J781" s="26">
        <f>336.6212</f>
        <v>336.62119999999999</v>
      </c>
    </row>
    <row r="782" spans="1:10" ht="15.75" x14ac:dyDescent="0.25">
      <c r="A782" s="13">
        <v>65105</v>
      </c>
      <c r="B782" s="10">
        <f>58.5085 * CHOOSE(CONTROL!$C$15, $E$9, 100%, $G$9) + CHOOSE(CONTROL!$C$38, 0.0256, 0)</f>
        <v>58.534099999999995</v>
      </c>
      <c r="C782" s="10">
        <f>54.0596 * CHOOSE(CONTROL!$C$15, $E$9, 100%, $G$9) + CHOOSE(CONTROL!$C$38, 0.0347, 0)</f>
        <v>54.094300000000004</v>
      </c>
      <c r="D782" s="10">
        <f>54.0518 * CHOOSE(CONTROL!$C$15, $E$9, 100%, $G$9) + CHOOSE(CONTROL!$C$38, 0.0347, 0)</f>
        <v>54.086500000000001</v>
      </c>
      <c r="E782" s="28">
        <f>58.3522 * CHOOSE(CONTROL!$C$15, $E$9, 100%, $G$9) + CHOOSE(CONTROL!$C$38, 0.0347, 0)</f>
        <v>58.386900000000004</v>
      </c>
      <c r="F782" s="27">
        <f>58.3522 * CHOOSE(CONTROL!$C$15, $E$9, 100%, $G$9) + CHOOSE(CONTROL!$C$38, 0.0256, 0)</f>
        <v>58.377800000000001</v>
      </c>
      <c r="G782" s="10">
        <f>54.058 * CHOOSE(CONTROL!$C$15, $E$9, 100%, $G$9) + CHOOSE(CONTROL!$C$38, 0.0347, 0)</f>
        <v>54.092700000000001</v>
      </c>
      <c r="H782" s="10">
        <f>54.058 * CHOOSE(CONTROL!$C$15, $E$9, 100%, $G$9) + CHOOSE(CONTROL!$C$38, 0.0347, 0)</f>
        <v>54.092700000000001</v>
      </c>
      <c r="I782" s="10">
        <f>54.0596 * CHOOSE(CONTROL!$C$15, $E$9, 100%, $G$9) + CHOOSE(CONTROL!$C$38, 0.0347, 0)</f>
        <v>54.094300000000004</v>
      </c>
      <c r="J782" s="26">
        <f>354.3631</f>
        <v>354.36309999999997</v>
      </c>
    </row>
    <row r="783" spans="1:10" ht="15.75" x14ac:dyDescent="0.25">
      <c r="A783" s="13">
        <v>65135</v>
      </c>
      <c r="B783" s="10">
        <f>58.0133 * CHOOSE(CONTROL!$C$15, $E$9, 100%, $G$9) + CHOOSE(CONTROL!$C$38, 0.0256, 0)</f>
        <v>58.038899999999998</v>
      </c>
      <c r="C783" s="10">
        <f>53.5644 * CHOOSE(CONTROL!$C$15, $E$9, 100%, $G$9) + CHOOSE(CONTROL!$C$38, 0.0347, 0)</f>
        <v>53.5991</v>
      </c>
      <c r="D783" s="10">
        <f>53.5566 * CHOOSE(CONTROL!$C$15, $E$9, 100%, $G$9) + CHOOSE(CONTROL!$C$38, 0.0347, 0)</f>
        <v>53.591300000000004</v>
      </c>
      <c r="E783" s="28">
        <f>57.857 * CHOOSE(CONTROL!$C$15, $E$9, 100%, $G$9) + CHOOSE(CONTROL!$C$38, 0.0347, 0)</f>
        <v>57.8917</v>
      </c>
      <c r="F783" s="27">
        <f>57.857 * CHOOSE(CONTROL!$C$15, $E$9, 100%, $G$9) + CHOOSE(CONTROL!$C$38, 0.0256, 0)</f>
        <v>57.882599999999996</v>
      </c>
      <c r="G783" s="10">
        <f>53.5629 * CHOOSE(CONTROL!$C$15, $E$9, 100%, $G$9) + CHOOSE(CONTROL!$C$38, 0.0347, 0)</f>
        <v>53.5976</v>
      </c>
      <c r="H783" s="10">
        <f>53.5629 * CHOOSE(CONTROL!$C$15, $E$9, 100%, $G$9) + CHOOSE(CONTROL!$C$38, 0.0347, 0)</f>
        <v>53.5976</v>
      </c>
      <c r="I783" s="10">
        <f>53.5644 * CHOOSE(CONTROL!$C$15, $E$9, 100%, $G$9) + CHOOSE(CONTROL!$C$38, 0.0347, 0)</f>
        <v>53.5991</v>
      </c>
      <c r="J783" s="26">
        <f>377.37</f>
        <v>377.37</v>
      </c>
    </row>
    <row r="784" spans="1:10" ht="15.75" x14ac:dyDescent="0.25">
      <c r="A784" s="13">
        <v>65166</v>
      </c>
      <c r="B784" s="10">
        <f>57.4972 * CHOOSE(CONTROL!$C$15, $E$9, 100%, $G$9) + CHOOSE(CONTROL!$C$38, 0.0256, 0)</f>
        <v>57.522799999999997</v>
      </c>
      <c r="C784" s="10">
        <f>53.0483 * CHOOSE(CONTROL!$C$15, $E$9, 100%, $G$9) + CHOOSE(CONTROL!$C$38, 0.0347, 0)</f>
        <v>53.082999999999998</v>
      </c>
      <c r="D784" s="10">
        <f>53.0405 * CHOOSE(CONTROL!$C$15, $E$9, 100%, $G$9) + CHOOSE(CONTROL!$C$38, 0.0347, 0)</f>
        <v>53.075200000000002</v>
      </c>
      <c r="E784" s="28">
        <f>57.3409 * CHOOSE(CONTROL!$C$15, $E$9, 100%, $G$9) + CHOOSE(CONTROL!$C$38, 0.0347, 0)</f>
        <v>57.375599999999999</v>
      </c>
      <c r="F784" s="27">
        <f>57.3409 * CHOOSE(CONTROL!$C$15, $E$9, 100%, $G$9) + CHOOSE(CONTROL!$C$38, 0.0256, 0)</f>
        <v>57.366499999999995</v>
      </c>
      <c r="G784" s="10">
        <f>53.0468 * CHOOSE(CONTROL!$C$15, $E$9, 100%, $G$9) + CHOOSE(CONTROL!$C$38, 0.0347, 0)</f>
        <v>53.081499999999998</v>
      </c>
      <c r="H784" s="10">
        <f>53.0468 * CHOOSE(CONTROL!$C$15, $E$9, 100%, $G$9) + CHOOSE(CONTROL!$C$38, 0.0347, 0)</f>
        <v>53.081499999999998</v>
      </c>
      <c r="I784" s="10">
        <f>53.0483 * CHOOSE(CONTROL!$C$15, $E$9, 100%, $G$9) + CHOOSE(CONTROL!$C$38, 0.0347, 0)</f>
        <v>53.082999999999998</v>
      </c>
      <c r="J784" s="26">
        <f>390.0338</f>
        <v>390.03379999999999</v>
      </c>
    </row>
    <row r="785" spans="1:10" ht="15.75" x14ac:dyDescent="0.25">
      <c r="A785" s="13">
        <v>65196</v>
      </c>
      <c r="B785" s="10">
        <f>57.1353 * CHOOSE(CONTROL!$C$15, $E$9, 100%, $G$9) + CHOOSE(CONTROL!$C$38, 0.0256, 0)</f>
        <v>57.160899999999998</v>
      </c>
      <c r="C785" s="10">
        <f>52.6865 * CHOOSE(CONTROL!$C$15, $E$9, 100%, $G$9) + CHOOSE(CONTROL!$C$38, 0.0347, 0)</f>
        <v>52.721200000000003</v>
      </c>
      <c r="D785" s="10">
        <f>52.6787 * CHOOSE(CONTROL!$C$15, $E$9, 100%, $G$9) + CHOOSE(CONTROL!$C$38, 0.0347, 0)</f>
        <v>52.7134</v>
      </c>
      <c r="E785" s="28">
        <f>56.9791 * CHOOSE(CONTROL!$C$15, $E$9, 100%, $G$9) + CHOOSE(CONTROL!$C$38, 0.0347, 0)</f>
        <v>57.013800000000003</v>
      </c>
      <c r="F785" s="27">
        <f>56.9791 * CHOOSE(CONTROL!$C$15, $E$9, 100%, $G$9) + CHOOSE(CONTROL!$C$38, 0.0256, 0)</f>
        <v>57.0047</v>
      </c>
      <c r="G785" s="10">
        <f>52.6849 * CHOOSE(CONTROL!$C$15, $E$9, 100%, $G$9) + CHOOSE(CONTROL!$C$38, 0.0347, 0)</f>
        <v>52.7196</v>
      </c>
      <c r="H785" s="10">
        <f>52.6849 * CHOOSE(CONTROL!$C$15, $E$9, 100%, $G$9) + CHOOSE(CONTROL!$C$38, 0.0347, 0)</f>
        <v>52.7196</v>
      </c>
      <c r="I785" s="10">
        <f>52.6865 * CHOOSE(CONTROL!$C$15, $E$9, 100%, $G$9) + CHOOSE(CONTROL!$C$38, 0.0347, 0)</f>
        <v>52.721200000000003</v>
      </c>
      <c r="J785" s="26">
        <f>395.6538</f>
        <v>395.65379999999999</v>
      </c>
    </row>
    <row r="786" spans="1:10" ht="15.75" x14ac:dyDescent="0.25">
      <c r="A786" s="13">
        <v>65227</v>
      </c>
      <c r="B786" s="10">
        <f>56.9288 * CHOOSE(CONTROL!$C$15, $E$9, 100%, $G$9) + CHOOSE(CONTROL!$C$38, 0.0256, 0)</f>
        <v>56.9544</v>
      </c>
      <c r="C786" s="10">
        <f>52.48 * CHOOSE(CONTROL!$C$15, $E$9, 100%, $G$9) + CHOOSE(CONTROL!$C$38, 0.0347, 0)</f>
        <v>52.514699999999998</v>
      </c>
      <c r="D786" s="10">
        <f>52.4722 * CHOOSE(CONTROL!$C$15, $E$9, 100%, $G$9) + CHOOSE(CONTROL!$C$38, 0.0347, 0)</f>
        <v>52.506900000000002</v>
      </c>
      <c r="E786" s="28">
        <f>56.7726 * CHOOSE(CONTROL!$C$15, $E$9, 100%, $G$9) + CHOOSE(CONTROL!$C$38, 0.0347, 0)</f>
        <v>56.807299999999998</v>
      </c>
      <c r="F786" s="27">
        <f>56.7726 * CHOOSE(CONTROL!$C$15, $E$9, 100%, $G$9) + CHOOSE(CONTROL!$C$38, 0.0256, 0)</f>
        <v>56.798199999999994</v>
      </c>
      <c r="G786" s="10">
        <f>52.4784 * CHOOSE(CONTROL!$C$15, $E$9, 100%, $G$9) + CHOOSE(CONTROL!$C$38, 0.0347, 0)</f>
        <v>52.513100000000001</v>
      </c>
      <c r="H786" s="10">
        <f>52.4784 * CHOOSE(CONTROL!$C$15, $E$9, 100%, $G$9) + CHOOSE(CONTROL!$C$38, 0.0347, 0)</f>
        <v>52.513100000000001</v>
      </c>
      <c r="I786" s="10">
        <f>52.48 * CHOOSE(CONTROL!$C$15, $E$9, 100%, $G$9) + CHOOSE(CONTROL!$C$38, 0.0347, 0)</f>
        <v>52.514699999999998</v>
      </c>
      <c r="J786" s="26">
        <f>393.8034</f>
        <v>393.80340000000001</v>
      </c>
    </row>
    <row r="787" spans="1:10" ht="15.75" x14ac:dyDescent="0.25">
      <c r="A787" s="13">
        <v>65258</v>
      </c>
      <c r="B787" s="10">
        <f>57.0308 * CHOOSE(CONTROL!$C$15, $E$9, 100%, $G$9) + CHOOSE(CONTROL!$C$38, 0.0256, 0)</f>
        <v>57.056399999999996</v>
      </c>
      <c r="C787" s="10">
        <f>52.5819 * CHOOSE(CONTROL!$C$15, $E$9, 100%, $G$9) + CHOOSE(CONTROL!$C$38, 0.0347, 0)</f>
        <v>52.616599999999998</v>
      </c>
      <c r="D787" s="10">
        <f>52.5741 * CHOOSE(CONTROL!$C$15, $E$9, 100%, $G$9) + CHOOSE(CONTROL!$C$38, 0.0347, 0)</f>
        <v>52.608800000000002</v>
      </c>
      <c r="E787" s="28">
        <f>56.8745 * CHOOSE(CONTROL!$C$15, $E$9, 100%, $G$9) + CHOOSE(CONTROL!$C$38, 0.0347, 0)</f>
        <v>56.909199999999998</v>
      </c>
      <c r="F787" s="27">
        <f>56.8745 * CHOOSE(CONTROL!$C$15, $E$9, 100%, $G$9) + CHOOSE(CONTROL!$C$38, 0.0256, 0)</f>
        <v>56.900099999999995</v>
      </c>
      <c r="G787" s="10">
        <f>52.5803 * CHOOSE(CONTROL!$C$15, $E$9, 100%, $G$9) + CHOOSE(CONTROL!$C$38, 0.0347, 0)</f>
        <v>52.615000000000002</v>
      </c>
      <c r="H787" s="10">
        <f>52.5803 * CHOOSE(CONTROL!$C$15, $E$9, 100%, $G$9) + CHOOSE(CONTROL!$C$38, 0.0347, 0)</f>
        <v>52.615000000000002</v>
      </c>
      <c r="I787" s="10">
        <f>52.5819 * CHOOSE(CONTROL!$C$15, $E$9, 100%, $G$9) + CHOOSE(CONTROL!$C$38, 0.0347, 0)</f>
        <v>52.616599999999998</v>
      </c>
      <c r="J787" s="26">
        <f>384.6359</f>
        <v>384.63589999999999</v>
      </c>
    </row>
    <row r="788" spans="1:10" ht="15.75" x14ac:dyDescent="0.25">
      <c r="A788" s="13">
        <v>65288</v>
      </c>
      <c r="B788" s="10">
        <f>57.3075 * CHOOSE(CONTROL!$C$15, $E$9, 100%, $G$9) + CHOOSE(CONTROL!$C$38, 0.0256, 0)</f>
        <v>57.333099999999995</v>
      </c>
      <c r="C788" s="10">
        <f>52.8587 * CHOOSE(CONTROL!$C$15, $E$9, 100%, $G$9) + CHOOSE(CONTROL!$C$38, 0.0347, 0)</f>
        <v>52.8934</v>
      </c>
      <c r="D788" s="10">
        <f>52.8509 * CHOOSE(CONTROL!$C$15, $E$9, 100%, $G$9) + CHOOSE(CONTROL!$C$38, 0.0347, 0)</f>
        <v>52.885600000000004</v>
      </c>
      <c r="E788" s="28">
        <f>57.1513 * CHOOSE(CONTROL!$C$15, $E$9, 100%, $G$9) + CHOOSE(CONTROL!$C$38, 0.0347, 0)</f>
        <v>57.186</v>
      </c>
      <c r="F788" s="27">
        <f>57.1513 * CHOOSE(CONTROL!$C$15, $E$9, 100%, $G$9) + CHOOSE(CONTROL!$C$38, 0.0256, 0)</f>
        <v>57.176899999999996</v>
      </c>
      <c r="G788" s="10">
        <f>52.8571 * CHOOSE(CONTROL!$C$15, $E$9, 100%, $G$9) + CHOOSE(CONTROL!$C$38, 0.0347, 0)</f>
        <v>52.891800000000003</v>
      </c>
      <c r="H788" s="10">
        <f>52.8571 * CHOOSE(CONTROL!$C$15, $E$9, 100%, $G$9) + CHOOSE(CONTROL!$C$38, 0.0347, 0)</f>
        <v>52.891800000000003</v>
      </c>
      <c r="I788" s="10">
        <f>52.8587 * CHOOSE(CONTROL!$C$15, $E$9, 100%, $G$9) + CHOOSE(CONTROL!$C$38, 0.0347, 0)</f>
        <v>52.8934</v>
      </c>
      <c r="J788" s="26">
        <f>371.8512</f>
        <v>371.85120000000001</v>
      </c>
    </row>
    <row r="789" spans="1:10" ht="15.75" x14ac:dyDescent="0.25">
      <c r="A789" s="13">
        <v>65319</v>
      </c>
      <c r="B789" s="10">
        <f>57.5394 * CHOOSE(CONTROL!$C$15, $E$9, 100%, $G$9) + CHOOSE(CONTROL!$C$38, 0.0256, 0)</f>
        <v>57.564999999999998</v>
      </c>
      <c r="C789" s="10">
        <f>53.0905 * CHOOSE(CONTROL!$C$15, $E$9, 100%, $G$9) + CHOOSE(CONTROL!$C$38, 0.0347, 0)</f>
        <v>53.1252</v>
      </c>
      <c r="D789" s="10">
        <f>53.0827 * CHOOSE(CONTROL!$C$15, $E$9, 100%, $G$9) + CHOOSE(CONTROL!$C$38, 0.0347, 0)</f>
        <v>53.117400000000004</v>
      </c>
      <c r="E789" s="28">
        <f>57.3831 * CHOOSE(CONTROL!$C$15, $E$9, 100%, $G$9) + CHOOSE(CONTROL!$C$38, 0.0347, 0)</f>
        <v>57.4178</v>
      </c>
      <c r="F789" s="27">
        <f>57.3831 * CHOOSE(CONTROL!$C$15, $E$9, 100%, $G$9) + CHOOSE(CONTROL!$C$38, 0.0256, 0)</f>
        <v>57.408699999999996</v>
      </c>
      <c r="G789" s="10">
        <f>53.089 * CHOOSE(CONTROL!$C$15, $E$9, 100%, $G$9) + CHOOSE(CONTROL!$C$38, 0.0347, 0)</f>
        <v>53.123699999999999</v>
      </c>
      <c r="H789" s="10">
        <f>53.089 * CHOOSE(CONTROL!$C$15, $E$9, 100%, $G$9) + CHOOSE(CONTROL!$C$38, 0.0347, 0)</f>
        <v>53.123699999999999</v>
      </c>
      <c r="I789" s="10">
        <f>53.0905 * CHOOSE(CONTROL!$C$15, $E$9, 100%, $G$9) + CHOOSE(CONTROL!$C$38, 0.0347, 0)</f>
        <v>53.1252</v>
      </c>
      <c r="J789" s="26">
        <f>358.9922</f>
        <v>358.99220000000003</v>
      </c>
    </row>
    <row r="790" spans="1:10" ht="15.75" x14ac:dyDescent="0.25">
      <c r="A790" s="13">
        <v>65349</v>
      </c>
      <c r="B790" s="10">
        <f>57.7328 * CHOOSE(CONTROL!$C$15, $E$9, 100%, $G$9) + CHOOSE(CONTROL!$C$38, 0.0256, 0)</f>
        <v>57.758399999999995</v>
      </c>
      <c r="C790" s="10">
        <f>53.284 * CHOOSE(CONTROL!$C$15, $E$9, 100%, $G$9) + CHOOSE(CONTROL!$C$38, 0.0347, 0)</f>
        <v>53.3187</v>
      </c>
      <c r="D790" s="10">
        <f>53.2762 * CHOOSE(CONTROL!$C$15, $E$9, 100%, $G$9) + CHOOSE(CONTROL!$C$38, 0.0347, 0)</f>
        <v>53.310900000000004</v>
      </c>
      <c r="E790" s="28">
        <f>57.5766 * CHOOSE(CONTROL!$C$15, $E$9, 100%, $G$9) + CHOOSE(CONTROL!$C$38, 0.0347, 0)</f>
        <v>57.6113</v>
      </c>
      <c r="F790" s="27">
        <f>57.5766 * CHOOSE(CONTROL!$C$15, $E$9, 100%, $G$9) + CHOOSE(CONTROL!$C$38, 0.0256, 0)</f>
        <v>57.602199999999996</v>
      </c>
      <c r="G790" s="10">
        <f>53.2824 * CHOOSE(CONTROL!$C$15, $E$9, 100%, $G$9) + CHOOSE(CONTROL!$C$38, 0.0347, 0)</f>
        <v>53.317100000000003</v>
      </c>
      <c r="H790" s="10">
        <f>53.2824 * CHOOSE(CONTROL!$C$15, $E$9, 100%, $G$9) + CHOOSE(CONTROL!$C$38, 0.0347, 0)</f>
        <v>53.317100000000003</v>
      </c>
      <c r="I790" s="10">
        <f>53.284 * CHOOSE(CONTROL!$C$15, $E$9, 100%, $G$9) + CHOOSE(CONTROL!$C$38, 0.0347, 0)</f>
        <v>53.3187</v>
      </c>
      <c r="J790" s="26">
        <f>356.4343</f>
        <v>356.43430000000001</v>
      </c>
    </row>
    <row r="791" spans="1:10" ht="15.75" x14ac:dyDescent="0.25">
      <c r="A791" s="13">
        <v>65380</v>
      </c>
      <c r="B791" s="10">
        <f>58.3289 * CHOOSE(CONTROL!$C$15, $E$9, 100%, $G$9) + CHOOSE(CONTROL!$C$38, 0.0256, 0)</f>
        <v>58.354499999999994</v>
      </c>
      <c r="C791" s="10">
        <f>53.88 * CHOOSE(CONTROL!$C$15, $E$9, 100%, $G$9) + CHOOSE(CONTROL!$C$38, 0.0347, 0)</f>
        <v>53.914700000000003</v>
      </c>
      <c r="D791" s="10">
        <f>53.8722 * CHOOSE(CONTROL!$C$15, $E$9, 100%, $G$9) + CHOOSE(CONTROL!$C$38, 0.0347, 0)</f>
        <v>53.9069</v>
      </c>
      <c r="E791" s="28">
        <f>58.1726 * CHOOSE(CONTROL!$C$15, $E$9, 100%, $G$9) + CHOOSE(CONTROL!$C$38, 0.0347, 0)</f>
        <v>58.207300000000004</v>
      </c>
      <c r="F791" s="27">
        <f>58.1726 * CHOOSE(CONTROL!$C$15, $E$9, 100%, $G$9) + CHOOSE(CONTROL!$C$38, 0.0256, 0)</f>
        <v>58.1982</v>
      </c>
      <c r="G791" s="10">
        <f>53.8785 * CHOOSE(CONTROL!$C$15, $E$9, 100%, $G$9) + CHOOSE(CONTROL!$C$38, 0.0347, 0)</f>
        <v>53.913200000000003</v>
      </c>
      <c r="H791" s="10">
        <f>53.8785 * CHOOSE(CONTROL!$C$15, $E$9, 100%, $G$9) + CHOOSE(CONTROL!$C$38, 0.0347, 0)</f>
        <v>53.913200000000003</v>
      </c>
      <c r="I791" s="10">
        <f>53.88 * CHOOSE(CONTROL!$C$15, $E$9, 100%, $G$9) + CHOOSE(CONTROL!$C$38, 0.0347, 0)</f>
        <v>53.914700000000003</v>
      </c>
      <c r="J791" s="26">
        <f>345.8571</f>
        <v>345.8571</v>
      </c>
    </row>
    <row r="792" spans="1:10" ht="15.75" x14ac:dyDescent="0.25">
      <c r="A792" s="13">
        <v>65411</v>
      </c>
      <c r="B792" s="10">
        <f>59.8094 * CHOOSE(CONTROL!$C$15, $E$9, 100%, $G$9) + CHOOSE(CONTROL!$C$38, 0.0256, 0)</f>
        <v>59.834999999999994</v>
      </c>
      <c r="C792" s="10">
        <f>55.2847 * CHOOSE(CONTROL!$C$15, $E$9, 100%, $G$9) + CHOOSE(CONTROL!$C$38, 0.0347, 0)</f>
        <v>55.319400000000002</v>
      </c>
      <c r="D792" s="10">
        <f>55.2769 * CHOOSE(CONTROL!$C$15, $E$9, 100%, $G$9) + CHOOSE(CONTROL!$C$38, 0.0347, 0)</f>
        <v>55.311599999999999</v>
      </c>
      <c r="E792" s="28">
        <f>59.6532 * CHOOSE(CONTROL!$C$15, $E$9, 100%, $G$9) + CHOOSE(CONTROL!$C$38, 0.0347, 0)</f>
        <v>59.687899999999999</v>
      </c>
      <c r="F792" s="27">
        <f>59.6532 * CHOOSE(CONTROL!$C$15, $E$9, 100%, $G$9) + CHOOSE(CONTROL!$C$38, 0.0256, 0)</f>
        <v>59.678799999999995</v>
      </c>
      <c r="G792" s="10">
        <f>55.2832 * CHOOSE(CONTROL!$C$15, $E$9, 100%, $G$9) + CHOOSE(CONTROL!$C$38, 0.0347, 0)</f>
        <v>55.317900000000002</v>
      </c>
      <c r="H792" s="10">
        <f>55.2832 * CHOOSE(CONTROL!$C$15, $E$9, 100%, $G$9) + CHOOSE(CONTROL!$C$38, 0.0347, 0)</f>
        <v>55.317900000000002</v>
      </c>
      <c r="I792" s="10">
        <f>55.2847 * CHOOSE(CONTROL!$C$15, $E$9, 100%, $G$9) + CHOOSE(CONTROL!$C$38, 0.0347, 0)</f>
        <v>55.319400000000002</v>
      </c>
      <c r="J792" s="26">
        <f>343.5404</f>
        <v>343.54039999999998</v>
      </c>
    </row>
    <row r="793" spans="1:10" ht="15.75" x14ac:dyDescent="0.25">
      <c r="A793" s="13">
        <v>65439</v>
      </c>
      <c r="B793" s="10">
        <f>60.0302 * CHOOSE(CONTROL!$C$15, $E$9, 100%, $G$9) + CHOOSE(CONTROL!$C$38, 0.0256, 0)</f>
        <v>60.055799999999998</v>
      </c>
      <c r="C793" s="10">
        <f>55.5055 * CHOOSE(CONTROL!$C$15, $E$9, 100%, $G$9) + CHOOSE(CONTROL!$C$38, 0.0347, 0)</f>
        <v>55.540199999999999</v>
      </c>
      <c r="D793" s="10">
        <f>55.4977 * CHOOSE(CONTROL!$C$15, $E$9, 100%, $G$9) + CHOOSE(CONTROL!$C$38, 0.0347, 0)</f>
        <v>55.532400000000003</v>
      </c>
      <c r="E793" s="28">
        <f>59.8739 * CHOOSE(CONTROL!$C$15, $E$9, 100%, $G$9) + CHOOSE(CONTROL!$C$38, 0.0347, 0)</f>
        <v>59.9086</v>
      </c>
      <c r="F793" s="27">
        <f>59.8739 * CHOOSE(CONTROL!$C$15, $E$9, 100%, $G$9) + CHOOSE(CONTROL!$C$38, 0.0256, 0)</f>
        <v>59.899499999999996</v>
      </c>
      <c r="G793" s="10">
        <f>55.5039 * CHOOSE(CONTROL!$C$15, $E$9, 100%, $G$9) + CHOOSE(CONTROL!$C$38, 0.0347, 0)</f>
        <v>55.538600000000002</v>
      </c>
      <c r="H793" s="10">
        <f>55.5039 * CHOOSE(CONTROL!$C$15, $E$9, 100%, $G$9) + CHOOSE(CONTROL!$C$38, 0.0347, 0)</f>
        <v>55.538600000000002</v>
      </c>
      <c r="I793" s="10">
        <f>55.5055 * CHOOSE(CONTROL!$C$15, $E$9, 100%, $G$9) + CHOOSE(CONTROL!$C$38, 0.0347, 0)</f>
        <v>55.540199999999999</v>
      </c>
      <c r="J793" s="26">
        <f>342.5855</f>
        <v>342.58550000000002</v>
      </c>
    </row>
    <row r="794" spans="1:10" ht="15.75" x14ac:dyDescent="0.25">
      <c r="A794" s="13">
        <v>65470</v>
      </c>
      <c r="B794" s="10">
        <f>59.5191 * CHOOSE(CONTROL!$C$15, $E$9, 100%, $G$9) + CHOOSE(CONTROL!$C$38, 0.0256, 0)</f>
        <v>59.544699999999999</v>
      </c>
      <c r="C794" s="10">
        <f>54.9944 * CHOOSE(CONTROL!$C$15, $E$9, 100%, $G$9) + CHOOSE(CONTROL!$C$38, 0.0347, 0)</f>
        <v>55.0291</v>
      </c>
      <c r="D794" s="10">
        <f>54.9866 * CHOOSE(CONTROL!$C$15, $E$9, 100%, $G$9) + CHOOSE(CONTROL!$C$38, 0.0347, 0)</f>
        <v>55.021300000000004</v>
      </c>
      <c r="E794" s="28">
        <f>59.3629 * CHOOSE(CONTROL!$C$15, $E$9, 100%, $G$9) + CHOOSE(CONTROL!$C$38, 0.0347, 0)</f>
        <v>59.397600000000004</v>
      </c>
      <c r="F794" s="27">
        <f>59.3629 * CHOOSE(CONTROL!$C$15, $E$9, 100%, $G$9) + CHOOSE(CONTROL!$C$38, 0.0256, 0)</f>
        <v>59.388500000000001</v>
      </c>
      <c r="G794" s="10">
        <f>54.9929 * CHOOSE(CONTROL!$C$15, $E$9, 100%, $G$9) + CHOOSE(CONTROL!$C$38, 0.0347, 0)</f>
        <v>55.0276</v>
      </c>
      <c r="H794" s="10">
        <f>54.9929 * CHOOSE(CONTROL!$C$15, $E$9, 100%, $G$9) + CHOOSE(CONTROL!$C$38, 0.0347, 0)</f>
        <v>55.0276</v>
      </c>
      <c r="I794" s="10">
        <f>54.9944 * CHOOSE(CONTROL!$C$15, $E$9, 100%, $G$9) + CHOOSE(CONTROL!$C$38, 0.0347, 0)</f>
        <v>55.0291</v>
      </c>
      <c r="J794" s="26">
        <f>360.6417</f>
        <v>360.64170000000001</v>
      </c>
    </row>
    <row r="795" spans="1:10" ht="15.75" x14ac:dyDescent="0.25">
      <c r="A795" s="13">
        <v>65500</v>
      </c>
      <c r="B795" s="10">
        <f>59.024 * CHOOSE(CONTROL!$C$15, $E$9, 100%, $G$9) + CHOOSE(CONTROL!$C$38, 0.0256, 0)</f>
        <v>59.049599999999998</v>
      </c>
      <c r="C795" s="10">
        <f>54.4993 * CHOOSE(CONTROL!$C$15, $E$9, 100%, $G$9) + CHOOSE(CONTROL!$C$38, 0.0347, 0)</f>
        <v>54.533999999999999</v>
      </c>
      <c r="D795" s="10">
        <f>54.4915 * CHOOSE(CONTROL!$C$15, $E$9, 100%, $G$9) + CHOOSE(CONTROL!$C$38, 0.0347, 0)</f>
        <v>54.526200000000003</v>
      </c>
      <c r="E795" s="28">
        <f>58.8677 * CHOOSE(CONTROL!$C$15, $E$9, 100%, $G$9) + CHOOSE(CONTROL!$C$38, 0.0347, 0)</f>
        <v>58.9024</v>
      </c>
      <c r="F795" s="27">
        <f>58.8677 * CHOOSE(CONTROL!$C$15, $E$9, 100%, $G$9) + CHOOSE(CONTROL!$C$38, 0.0256, 0)</f>
        <v>58.893299999999996</v>
      </c>
      <c r="G795" s="10">
        <f>54.4977 * CHOOSE(CONTROL!$C$15, $E$9, 100%, $G$9) + CHOOSE(CONTROL!$C$38, 0.0347, 0)</f>
        <v>54.532400000000003</v>
      </c>
      <c r="H795" s="10">
        <f>54.4977 * CHOOSE(CONTROL!$C$15, $E$9, 100%, $G$9) + CHOOSE(CONTROL!$C$38, 0.0347, 0)</f>
        <v>54.532400000000003</v>
      </c>
      <c r="I795" s="10">
        <f>54.4993 * CHOOSE(CONTROL!$C$15, $E$9, 100%, $G$9) + CHOOSE(CONTROL!$C$38, 0.0347, 0)</f>
        <v>54.533999999999999</v>
      </c>
      <c r="J795" s="26">
        <f>384.0563</f>
        <v>384.05630000000002</v>
      </c>
    </row>
    <row r="796" spans="1:10" ht="15.75" x14ac:dyDescent="0.25">
      <c r="A796" s="13">
        <v>65531</v>
      </c>
      <c r="B796" s="10">
        <f>58.5078 * CHOOSE(CONTROL!$C$15, $E$9, 100%, $G$9) + CHOOSE(CONTROL!$C$38, 0.0256, 0)</f>
        <v>58.5334</v>
      </c>
      <c r="C796" s="10">
        <f>53.9831 * CHOOSE(CONTROL!$C$15, $E$9, 100%, $G$9) + CHOOSE(CONTROL!$C$38, 0.0347, 0)</f>
        <v>54.017800000000001</v>
      </c>
      <c r="D796" s="10">
        <f>53.9753 * CHOOSE(CONTROL!$C$15, $E$9, 100%, $G$9) + CHOOSE(CONTROL!$C$38, 0.0347, 0)</f>
        <v>54.01</v>
      </c>
      <c r="E796" s="28">
        <f>58.3516 * CHOOSE(CONTROL!$C$15, $E$9, 100%, $G$9) + CHOOSE(CONTROL!$C$38, 0.0347, 0)</f>
        <v>58.386299999999999</v>
      </c>
      <c r="F796" s="27">
        <f>58.3516 * CHOOSE(CONTROL!$C$15, $E$9, 100%, $G$9) + CHOOSE(CONTROL!$C$38, 0.0256, 0)</f>
        <v>58.377199999999995</v>
      </c>
      <c r="G796" s="10">
        <f>53.9816 * CHOOSE(CONTROL!$C$15, $E$9, 100%, $G$9) + CHOOSE(CONTROL!$C$38, 0.0347, 0)</f>
        <v>54.016300000000001</v>
      </c>
      <c r="H796" s="10">
        <f>53.9816 * CHOOSE(CONTROL!$C$15, $E$9, 100%, $G$9) + CHOOSE(CONTROL!$C$38, 0.0347, 0)</f>
        <v>54.016300000000001</v>
      </c>
      <c r="I796" s="10">
        <f>53.9831 * CHOOSE(CONTROL!$C$15, $E$9, 100%, $G$9) + CHOOSE(CONTROL!$C$38, 0.0347, 0)</f>
        <v>54.017800000000001</v>
      </c>
      <c r="J796" s="26">
        <f>396.9445</f>
        <v>396.94450000000001</v>
      </c>
    </row>
    <row r="797" spans="1:10" ht="15.75" x14ac:dyDescent="0.25">
      <c r="A797" s="13">
        <v>65561</v>
      </c>
      <c r="B797" s="10">
        <f>58.146 * CHOOSE(CONTROL!$C$15, $E$9, 100%, $G$9) + CHOOSE(CONTROL!$C$38, 0.0256, 0)</f>
        <v>58.171599999999998</v>
      </c>
      <c r="C797" s="10">
        <f>53.6213 * CHOOSE(CONTROL!$C$15, $E$9, 100%, $G$9) + CHOOSE(CONTROL!$C$38, 0.0347, 0)</f>
        <v>53.655999999999999</v>
      </c>
      <c r="D797" s="10">
        <f>53.6135 * CHOOSE(CONTROL!$C$15, $E$9, 100%, $G$9) + CHOOSE(CONTROL!$C$38, 0.0347, 0)</f>
        <v>53.648200000000003</v>
      </c>
      <c r="E797" s="28">
        <f>57.9898 * CHOOSE(CONTROL!$C$15, $E$9, 100%, $G$9) + CHOOSE(CONTROL!$C$38, 0.0347, 0)</f>
        <v>58.024500000000003</v>
      </c>
      <c r="F797" s="27">
        <f>57.9898 * CHOOSE(CONTROL!$C$15, $E$9, 100%, $G$9) + CHOOSE(CONTROL!$C$38, 0.0256, 0)</f>
        <v>58.0154</v>
      </c>
      <c r="G797" s="10">
        <f>53.6198 * CHOOSE(CONTROL!$C$15, $E$9, 100%, $G$9) + CHOOSE(CONTROL!$C$38, 0.0347, 0)</f>
        <v>53.654499999999999</v>
      </c>
      <c r="H797" s="10">
        <f>53.6198 * CHOOSE(CONTROL!$C$15, $E$9, 100%, $G$9) + CHOOSE(CONTROL!$C$38, 0.0347, 0)</f>
        <v>53.654499999999999</v>
      </c>
      <c r="I797" s="10">
        <f>53.6213 * CHOOSE(CONTROL!$C$15, $E$9, 100%, $G$9) + CHOOSE(CONTROL!$C$38, 0.0347, 0)</f>
        <v>53.655999999999999</v>
      </c>
      <c r="J797" s="26">
        <f>402.664</f>
        <v>402.66399999999999</v>
      </c>
    </row>
    <row r="798" spans="1:10" ht="15.75" x14ac:dyDescent="0.25">
      <c r="A798" s="13">
        <v>65592</v>
      </c>
      <c r="B798" s="10">
        <f>57.9395 * CHOOSE(CONTROL!$C$15, $E$9, 100%, $G$9) + CHOOSE(CONTROL!$C$38, 0.0256, 0)</f>
        <v>57.9651</v>
      </c>
      <c r="C798" s="10">
        <f>53.4148 * CHOOSE(CONTROL!$C$15, $E$9, 100%, $G$9) + CHOOSE(CONTROL!$C$38, 0.0347, 0)</f>
        <v>53.4495</v>
      </c>
      <c r="D798" s="10">
        <f>53.407 * CHOOSE(CONTROL!$C$15, $E$9, 100%, $G$9) + CHOOSE(CONTROL!$C$38, 0.0347, 0)</f>
        <v>53.441699999999997</v>
      </c>
      <c r="E798" s="28">
        <f>57.7833 * CHOOSE(CONTROL!$C$15, $E$9, 100%, $G$9) + CHOOSE(CONTROL!$C$38, 0.0347, 0)</f>
        <v>57.817999999999998</v>
      </c>
      <c r="F798" s="27">
        <f>57.7833 * CHOOSE(CONTROL!$C$15, $E$9, 100%, $G$9) + CHOOSE(CONTROL!$C$38, 0.0256, 0)</f>
        <v>57.808899999999994</v>
      </c>
      <c r="G798" s="10">
        <f>53.4133 * CHOOSE(CONTROL!$C$15, $E$9, 100%, $G$9) + CHOOSE(CONTROL!$C$38, 0.0347, 0)</f>
        <v>53.448</v>
      </c>
      <c r="H798" s="10">
        <f>53.4133 * CHOOSE(CONTROL!$C$15, $E$9, 100%, $G$9) + CHOOSE(CONTROL!$C$38, 0.0347, 0)</f>
        <v>53.448</v>
      </c>
      <c r="I798" s="10">
        <f>53.4148 * CHOOSE(CONTROL!$C$15, $E$9, 100%, $G$9) + CHOOSE(CONTROL!$C$38, 0.0347, 0)</f>
        <v>53.4495</v>
      </c>
      <c r="J798" s="26">
        <f>400.7809</f>
        <v>400.78089999999997</v>
      </c>
    </row>
    <row r="799" spans="1:10" ht="15.75" x14ac:dyDescent="0.25">
      <c r="A799" s="13">
        <v>65623</v>
      </c>
      <c r="B799" s="10">
        <f>58.0414 * CHOOSE(CONTROL!$C$15, $E$9, 100%, $G$9) + CHOOSE(CONTROL!$C$38, 0.0256, 0)</f>
        <v>58.067</v>
      </c>
      <c r="C799" s="10">
        <f>53.5167 * CHOOSE(CONTROL!$C$15, $E$9, 100%, $G$9) + CHOOSE(CONTROL!$C$38, 0.0347, 0)</f>
        <v>53.551400000000001</v>
      </c>
      <c r="D799" s="10">
        <f>53.5089 * CHOOSE(CONTROL!$C$15, $E$9, 100%, $G$9) + CHOOSE(CONTROL!$C$38, 0.0347, 0)</f>
        <v>53.543599999999998</v>
      </c>
      <c r="E799" s="28">
        <f>57.8852 * CHOOSE(CONTROL!$C$15, $E$9, 100%, $G$9) + CHOOSE(CONTROL!$C$38, 0.0347, 0)</f>
        <v>57.919899999999998</v>
      </c>
      <c r="F799" s="27">
        <f>57.8852 * CHOOSE(CONTROL!$C$15, $E$9, 100%, $G$9) + CHOOSE(CONTROL!$C$38, 0.0256, 0)</f>
        <v>57.910799999999995</v>
      </c>
      <c r="G799" s="10">
        <f>53.5152 * CHOOSE(CONTROL!$C$15, $E$9, 100%, $G$9) + CHOOSE(CONTROL!$C$38, 0.0347, 0)</f>
        <v>53.549900000000001</v>
      </c>
      <c r="H799" s="10">
        <f>53.5152 * CHOOSE(CONTROL!$C$15, $E$9, 100%, $G$9) + CHOOSE(CONTROL!$C$38, 0.0347, 0)</f>
        <v>53.549900000000001</v>
      </c>
      <c r="I799" s="10">
        <f>53.5167 * CHOOSE(CONTROL!$C$15, $E$9, 100%, $G$9) + CHOOSE(CONTROL!$C$38, 0.0347, 0)</f>
        <v>53.551400000000001</v>
      </c>
      <c r="J799" s="26">
        <f>391.4509</f>
        <v>391.45089999999999</v>
      </c>
    </row>
    <row r="800" spans="1:10" ht="15.75" x14ac:dyDescent="0.25">
      <c r="A800" s="13">
        <v>65653</v>
      </c>
      <c r="B800" s="10">
        <f>58.3182 * CHOOSE(CONTROL!$C$15, $E$9, 100%, $G$9) + CHOOSE(CONTROL!$C$38, 0.0256, 0)</f>
        <v>58.343799999999995</v>
      </c>
      <c r="C800" s="10">
        <f>53.7935 * CHOOSE(CONTROL!$C$15, $E$9, 100%, $G$9) + CHOOSE(CONTROL!$C$38, 0.0347, 0)</f>
        <v>53.828200000000002</v>
      </c>
      <c r="D800" s="10">
        <f>53.7857 * CHOOSE(CONTROL!$C$15, $E$9, 100%, $G$9) + CHOOSE(CONTROL!$C$38, 0.0347, 0)</f>
        <v>53.820399999999999</v>
      </c>
      <c r="E800" s="28">
        <f>58.162 * CHOOSE(CONTROL!$C$15, $E$9, 100%, $G$9) + CHOOSE(CONTROL!$C$38, 0.0347, 0)</f>
        <v>58.1967</v>
      </c>
      <c r="F800" s="27">
        <f>58.162 * CHOOSE(CONTROL!$C$15, $E$9, 100%, $G$9) + CHOOSE(CONTROL!$C$38, 0.0256, 0)</f>
        <v>58.187599999999996</v>
      </c>
      <c r="G800" s="10">
        <f>53.792 * CHOOSE(CONTROL!$C$15, $E$9, 100%, $G$9) + CHOOSE(CONTROL!$C$38, 0.0347, 0)</f>
        <v>53.826700000000002</v>
      </c>
      <c r="H800" s="10">
        <f>53.792 * CHOOSE(CONTROL!$C$15, $E$9, 100%, $G$9) + CHOOSE(CONTROL!$C$38, 0.0347, 0)</f>
        <v>53.826700000000002</v>
      </c>
      <c r="I800" s="10">
        <f>53.7935 * CHOOSE(CONTROL!$C$15, $E$9, 100%, $G$9) + CHOOSE(CONTROL!$C$38, 0.0347, 0)</f>
        <v>53.828200000000002</v>
      </c>
      <c r="J800" s="26">
        <f>378.4397</f>
        <v>378.43970000000002</v>
      </c>
    </row>
    <row r="801" spans="1:10" ht="15.75" x14ac:dyDescent="0.25">
      <c r="A801" s="13">
        <v>65684</v>
      </c>
      <c r="B801" s="10">
        <f>58.55 * CHOOSE(CONTROL!$C$15, $E$9, 100%, $G$9) + CHOOSE(CONTROL!$C$38, 0.0256, 0)</f>
        <v>58.575599999999994</v>
      </c>
      <c r="C801" s="10">
        <f>54.0254 * CHOOSE(CONTROL!$C$15, $E$9, 100%, $G$9) + CHOOSE(CONTROL!$C$38, 0.0347, 0)</f>
        <v>54.060099999999998</v>
      </c>
      <c r="D801" s="10">
        <f>54.0175 * CHOOSE(CONTROL!$C$15, $E$9, 100%, $G$9) + CHOOSE(CONTROL!$C$38, 0.0347, 0)</f>
        <v>54.052199999999999</v>
      </c>
      <c r="E801" s="28">
        <f>58.3938 * CHOOSE(CONTROL!$C$15, $E$9, 100%, $G$9) + CHOOSE(CONTROL!$C$38, 0.0347, 0)</f>
        <v>58.4285</v>
      </c>
      <c r="F801" s="27">
        <f>58.3938 * CHOOSE(CONTROL!$C$15, $E$9, 100%, $G$9) + CHOOSE(CONTROL!$C$38, 0.0256, 0)</f>
        <v>58.419399999999996</v>
      </c>
      <c r="G801" s="10">
        <f>54.0238 * CHOOSE(CONTROL!$C$15, $E$9, 100%, $G$9) + CHOOSE(CONTROL!$C$38, 0.0347, 0)</f>
        <v>54.058500000000002</v>
      </c>
      <c r="H801" s="10">
        <f>54.0238 * CHOOSE(CONTROL!$C$15, $E$9, 100%, $G$9) + CHOOSE(CONTROL!$C$38, 0.0347, 0)</f>
        <v>54.058500000000002</v>
      </c>
      <c r="I801" s="10">
        <f>54.0254 * CHOOSE(CONTROL!$C$15, $E$9, 100%, $G$9) + CHOOSE(CONTROL!$C$38, 0.0347, 0)</f>
        <v>54.060099999999998</v>
      </c>
      <c r="J801" s="26">
        <f>365.3529</f>
        <v>365.35289999999998</v>
      </c>
    </row>
    <row r="802" spans="1:10" ht="15.75" x14ac:dyDescent="0.25">
      <c r="A802" s="13">
        <v>65714</v>
      </c>
      <c r="B802" s="10">
        <f>58.7435 * CHOOSE(CONTROL!$C$15, $E$9, 100%, $G$9) + CHOOSE(CONTROL!$C$38, 0.0256, 0)</f>
        <v>58.769099999999995</v>
      </c>
      <c r="C802" s="10">
        <f>54.2188 * CHOOSE(CONTROL!$C$15, $E$9, 100%, $G$9) + CHOOSE(CONTROL!$C$38, 0.0347, 0)</f>
        <v>54.253500000000003</v>
      </c>
      <c r="D802" s="10">
        <f>54.211 * CHOOSE(CONTROL!$C$15, $E$9, 100%, $G$9) + CHOOSE(CONTROL!$C$38, 0.0347, 0)</f>
        <v>54.245699999999999</v>
      </c>
      <c r="E802" s="28">
        <f>58.5872 * CHOOSE(CONTROL!$C$15, $E$9, 100%, $G$9) + CHOOSE(CONTROL!$C$38, 0.0347, 0)</f>
        <v>58.621900000000004</v>
      </c>
      <c r="F802" s="27">
        <f>58.5872 * CHOOSE(CONTROL!$C$15, $E$9, 100%, $G$9) + CHOOSE(CONTROL!$C$38, 0.0256, 0)</f>
        <v>58.6128</v>
      </c>
      <c r="G802" s="10">
        <f>54.2172 * CHOOSE(CONTROL!$C$15, $E$9, 100%, $G$9) + CHOOSE(CONTROL!$C$38, 0.0347, 0)</f>
        <v>54.251899999999999</v>
      </c>
      <c r="H802" s="10">
        <f>54.2172 * CHOOSE(CONTROL!$C$15, $E$9, 100%, $G$9) + CHOOSE(CONTROL!$C$38, 0.0347, 0)</f>
        <v>54.251899999999999</v>
      </c>
      <c r="I802" s="10">
        <f>54.2188 * CHOOSE(CONTROL!$C$15, $E$9, 100%, $G$9) + CHOOSE(CONTROL!$C$38, 0.0347, 0)</f>
        <v>54.253500000000003</v>
      </c>
      <c r="J802" s="26">
        <f>362.7497</f>
        <v>362.74970000000002</v>
      </c>
    </row>
    <row r="803" spans="1:10" ht="15.75" x14ac:dyDescent="0.25">
      <c r="A803" s="13">
        <v>65745</v>
      </c>
      <c r="B803" s="10">
        <f>59.3396 * CHOOSE(CONTROL!$C$15, $E$9, 100%, $G$9) + CHOOSE(CONTROL!$C$38, 0.0256, 0)</f>
        <v>59.365199999999994</v>
      </c>
      <c r="C803" s="10">
        <f>54.8149 * CHOOSE(CONTROL!$C$15, $E$9, 100%, $G$9) + CHOOSE(CONTROL!$C$38, 0.0347, 0)</f>
        <v>54.849600000000002</v>
      </c>
      <c r="D803" s="10">
        <f>54.8071 * CHOOSE(CONTROL!$C$15, $E$9, 100%, $G$9) + CHOOSE(CONTROL!$C$38, 0.0347, 0)</f>
        <v>54.841799999999999</v>
      </c>
      <c r="E803" s="28">
        <f>59.1833 * CHOOSE(CONTROL!$C$15, $E$9, 100%, $G$9) + CHOOSE(CONTROL!$C$38, 0.0347, 0)</f>
        <v>59.218000000000004</v>
      </c>
      <c r="F803" s="27">
        <f>59.1833 * CHOOSE(CONTROL!$C$15, $E$9, 100%, $G$9) + CHOOSE(CONTROL!$C$38, 0.0256, 0)</f>
        <v>59.2089</v>
      </c>
      <c r="G803" s="10">
        <f>54.8133 * CHOOSE(CONTROL!$C$15, $E$9, 100%, $G$9) + CHOOSE(CONTROL!$C$38, 0.0347, 0)</f>
        <v>54.847999999999999</v>
      </c>
      <c r="H803" s="10">
        <f>54.8133 * CHOOSE(CONTROL!$C$15, $E$9, 100%, $G$9) + CHOOSE(CONTROL!$C$38, 0.0347, 0)</f>
        <v>54.847999999999999</v>
      </c>
      <c r="I803" s="10">
        <f>54.8149 * CHOOSE(CONTROL!$C$15, $E$9, 100%, $G$9) + CHOOSE(CONTROL!$C$38, 0.0347, 0)</f>
        <v>54.849600000000002</v>
      </c>
      <c r="J803" s="26">
        <f>351.985</f>
        <v>351.98500000000001</v>
      </c>
    </row>
    <row r="804" spans="1:10" ht="15.75" x14ac:dyDescent="0.25">
      <c r="A804" s="13">
        <v>65776</v>
      </c>
      <c r="B804" s="10">
        <f>60.8379 * CHOOSE(CONTROL!$C$15, $E$9, 100%, $G$9) + CHOOSE(CONTROL!$C$38, 0.0256, 0)</f>
        <v>60.863499999999995</v>
      </c>
      <c r="C804" s="10">
        <f>56.2361 * CHOOSE(CONTROL!$C$15, $E$9, 100%, $G$9) + CHOOSE(CONTROL!$C$38, 0.0347, 0)</f>
        <v>56.270800000000001</v>
      </c>
      <c r="D804" s="10">
        <f>56.2283 * CHOOSE(CONTROL!$C$15, $E$9, 100%, $G$9) + CHOOSE(CONTROL!$C$38, 0.0347, 0)</f>
        <v>56.262999999999998</v>
      </c>
      <c r="E804" s="28">
        <f>60.6817 * CHOOSE(CONTROL!$C$15, $E$9, 100%, $G$9) + CHOOSE(CONTROL!$C$38, 0.0347, 0)</f>
        <v>60.7164</v>
      </c>
      <c r="F804" s="27">
        <f>60.6817 * CHOOSE(CONTROL!$C$15, $E$9, 100%, $G$9) + CHOOSE(CONTROL!$C$38, 0.0256, 0)</f>
        <v>60.707299999999996</v>
      </c>
      <c r="G804" s="10">
        <f>56.2345 * CHOOSE(CONTROL!$C$15, $E$9, 100%, $G$9) + CHOOSE(CONTROL!$C$38, 0.0347, 0)</f>
        <v>56.269199999999998</v>
      </c>
      <c r="H804" s="10">
        <f>56.2345 * CHOOSE(CONTROL!$C$15, $E$9, 100%, $G$9) + CHOOSE(CONTROL!$C$38, 0.0347, 0)</f>
        <v>56.269199999999998</v>
      </c>
      <c r="I804" s="10">
        <f>56.2361 * CHOOSE(CONTROL!$C$15, $E$9, 100%, $G$9) + CHOOSE(CONTROL!$C$38, 0.0347, 0)</f>
        <v>56.270800000000001</v>
      </c>
      <c r="J804" s="26">
        <f>349.6273</f>
        <v>349.62729999999999</v>
      </c>
    </row>
    <row r="805" spans="1:10" ht="15.75" x14ac:dyDescent="0.25">
      <c r="A805" s="13">
        <v>65805</v>
      </c>
      <c r="B805" s="10">
        <f>61.0587 * CHOOSE(CONTROL!$C$15, $E$9, 100%, $G$9) + CHOOSE(CONTROL!$C$38, 0.0256, 0)</f>
        <v>61.084299999999999</v>
      </c>
      <c r="C805" s="10">
        <f>56.4568 * CHOOSE(CONTROL!$C$15, $E$9, 100%, $G$9) + CHOOSE(CONTROL!$C$38, 0.0347, 0)</f>
        <v>56.491500000000002</v>
      </c>
      <c r="D805" s="10">
        <f>56.449 * CHOOSE(CONTROL!$C$15, $E$9, 100%, $G$9) + CHOOSE(CONTROL!$C$38, 0.0347, 0)</f>
        <v>56.483699999999999</v>
      </c>
      <c r="E805" s="28">
        <f>60.9024 * CHOOSE(CONTROL!$C$15, $E$9, 100%, $G$9) + CHOOSE(CONTROL!$C$38, 0.0347, 0)</f>
        <v>60.937100000000001</v>
      </c>
      <c r="F805" s="27">
        <f>60.9024 * CHOOSE(CONTROL!$C$15, $E$9, 100%, $G$9) + CHOOSE(CONTROL!$C$38, 0.0256, 0)</f>
        <v>60.927999999999997</v>
      </c>
      <c r="G805" s="10">
        <f>56.4553 * CHOOSE(CONTROL!$C$15, $E$9, 100%, $G$9) + CHOOSE(CONTROL!$C$38, 0.0347, 0)</f>
        <v>56.49</v>
      </c>
      <c r="H805" s="10">
        <f>56.4553 * CHOOSE(CONTROL!$C$15, $E$9, 100%, $G$9) + CHOOSE(CONTROL!$C$38, 0.0347, 0)</f>
        <v>56.49</v>
      </c>
      <c r="I805" s="10">
        <f>56.4568 * CHOOSE(CONTROL!$C$15, $E$9, 100%, $G$9) + CHOOSE(CONTROL!$C$38, 0.0347, 0)</f>
        <v>56.491500000000002</v>
      </c>
      <c r="J805" s="26">
        <f>348.6554</f>
        <v>348.65539999999999</v>
      </c>
    </row>
    <row r="806" spans="1:10" ht="15.75" x14ac:dyDescent="0.25">
      <c r="A806" s="13">
        <v>65836</v>
      </c>
      <c r="B806" s="10">
        <f>60.5477 * CHOOSE(CONTROL!$C$15, $E$9, 100%, $G$9) + CHOOSE(CONTROL!$C$38, 0.0256, 0)</f>
        <v>60.573299999999996</v>
      </c>
      <c r="C806" s="10">
        <f>55.9458 * CHOOSE(CONTROL!$C$15, $E$9, 100%, $G$9) + CHOOSE(CONTROL!$C$38, 0.0347, 0)</f>
        <v>55.980499999999999</v>
      </c>
      <c r="D806" s="10">
        <f>55.938 * CHOOSE(CONTROL!$C$15, $E$9, 100%, $G$9) + CHOOSE(CONTROL!$C$38, 0.0347, 0)</f>
        <v>55.972700000000003</v>
      </c>
      <c r="E806" s="28">
        <f>60.3914 * CHOOSE(CONTROL!$C$15, $E$9, 100%, $G$9) + CHOOSE(CONTROL!$C$38, 0.0347, 0)</f>
        <v>60.426099999999998</v>
      </c>
      <c r="F806" s="27">
        <f>60.3914 * CHOOSE(CONTROL!$C$15, $E$9, 100%, $G$9) + CHOOSE(CONTROL!$C$38, 0.0256, 0)</f>
        <v>60.416999999999994</v>
      </c>
      <c r="G806" s="10">
        <f>55.9442 * CHOOSE(CONTROL!$C$15, $E$9, 100%, $G$9) + CHOOSE(CONTROL!$C$38, 0.0347, 0)</f>
        <v>55.978900000000003</v>
      </c>
      <c r="H806" s="10">
        <f>55.9442 * CHOOSE(CONTROL!$C$15, $E$9, 100%, $G$9) + CHOOSE(CONTROL!$C$38, 0.0347, 0)</f>
        <v>55.978900000000003</v>
      </c>
      <c r="I806" s="10">
        <f>55.9458 * CHOOSE(CONTROL!$C$15, $E$9, 100%, $G$9) + CHOOSE(CONTROL!$C$38, 0.0347, 0)</f>
        <v>55.980499999999999</v>
      </c>
      <c r="J806" s="26">
        <f>367.0316</f>
        <v>367.03160000000003</v>
      </c>
    </row>
    <row r="807" spans="1:10" ht="15.75" x14ac:dyDescent="0.25">
      <c r="A807" s="13">
        <v>65866</v>
      </c>
      <c r="B807" s="10">
        <f>60.0525 * CHOOSE(CONTROL!$C$15, $E$9, 100%, $G$9) + CHOOSE(CONTROL!$C$38, 0.0256, 0)</f>
        <v>60.078099999999999</v>
      </c>
      <c r="C807" s="10">
        <f>55.4506 * CHOOSE(CONTROL!$C$15, $E$9, 100%, $G$9) + CHOOSE(CONTROL!$C$38, 0.0347, 0)</f>
        <v>55.485300000000002</v>
      </c>
      <c r="D807" s="10">
        <f>55.4428 * CHOOSE(CONTROL!$C$15, $E$9, 100%, $G$9) + CHOOSE(CONTROL!$C$38, 0.0347, 0)</f>
        <v>55.477499999999999</v>
      </c>
      <c r="E807" s="28">
        <f>59.8962 * CHOOSE(CONTROL!$C$15, $E$9, 100%, $G$9) + CHOOSE(CONTROL!$C$38, 0.0347, 0)</f>
        <v>59.930900000000001</v>
      </c>
      <c r="F807" s="27">
        <f>59.8962 * CHOOSE(CONTROL!$C$15, $E$9, 100%, $G$9) + CHOOSE(CONTROL!$C$38, 0.0256, 0)</f>
        <v>59.921799999999998</v>
      </c>
      <c r="G807" s="10">
        <f>55.4491 * CHOOSE(CONTROL!$C$15, $E$9, 100%, $G$9) + CHOOSE(CONTROL!$C$38, 0.0347, 0)</f>
        <v>55.483800000000002</v>
      </c>
      <c r="H807" s="10">
        <f>55.4491 * CHOOSE(CONTROL!$C$15, $E$9, 100%, $G$9) + CHOOSE(CONTROL!$C$38, 0.0347, 0)</f>
        <v>55.483800000000002</v>
      </c>
      <c r="I807" s="10">
        <f>55.4506 * CHOOSE(CONTROL!$C$15, $E$9, 100%, $G$9) + CHOOSE(CONTROL!$C$38, 0.0347, 0)</f>
        <v>55.485300000000002</v>
      </c>
      <c r="J807" s="26">
        <f>390.8611</f>
        <v>390.86110000000002</v>
      </c>
    </row>
    <row r="808" spans="1:10" ht="15.75" x14ac:dyDescent="0.25">
      <c r="A808" s="13">
        <v>65897</v>
      </c>
      <c r="B808" s="10">
        <f>59.5364 * CHOOSE(CONTROL!$C$15, $E$9, 100%, $G$9) + CHOOSE(CONTROL!$C$38, 0.0256, 0)</f>
        <v>59.561999999999998</v>
      </c>
      <c r="C808" s="10">
        <f>54.9345 * CHOOSE(CONTROL!$C$15, $E$9, 100%, $G$9) + CHOOSE(CONTROL!$C$38, 0.0347, 0)</f>
        <v>54.969200000000001</v>
      </c>
      <c r="D808" s="10">
        <f>54.9267 * CHOOSE(CONTROL!$C$15, $E$9, 100%, $G$9) + CHOOSE(CONTROL!$C$38, 0.0347, 0)</f>
        <v>54.961399999999998</v>
      </c>
      <c r="E808" s="28">
        <f>59.3801 * CHOOSE(CONTROL!$C$15, $E$9, 100%, $G$9) + CHOOSE(CONTROL!$C$38, 0.0347, 0)</f>
        <v>59.4148</v>
      </c>
      <c r="F808" s="27">
        <f>59.3801 * CHOOSE(CONTROL!$C$15, $E$9, 100%, $G$9) + CHOOSE(CONTROL!$C$38, 0.0256, 0)</f>
        <v>59.405699999999996</v>
      </c>
      <c r="G808" s="10">
        <f>54.9329 * CHOOSE(CONTROL!$C$15, $E$9, 100%, $G$9) + CHOOSE(CONTROL!$C$38, 0.0347, 0)</f>
        <v>54.967599999999997</v>
      </c>
      <c r="H808" s="10">
        <f>54.9329 * CHOOSE(CONTROL!$C$15, $E$9, 100%, $G$9) + CHOOSE(CONTROL!$C$38, 0.0347, 0)</f>
        <v>54.967599999999997</v>
      </c>
      <c r="I808" s="10">
        <f>54.9345 * CHOOSE(CONTROL!$C$15, $E$9, 100%, $G$9) + CHOOSE(CONTROL!$C$38, 0.0347, 0)</f>
        <v>54.969200000000001</v>
      </c>
      <c r="J808" s="26">
        <f>403.9776</f>
        <v>403.9776</v>
      </c>
    </row>
    <row r="809" spans="1:10" ht="15.75" x14ac:dyDescent="0.25">
      <c r="A809" s="13">
        <v>65927</v>
      </c>
      <c r="B809" s="10">
        <f>59.1745 * CHOOSE(CONTROL!$C$15, $E$9, 100%, $G$9) + CHOOSE(CONTROL!$C$38, 0.0256, 0)</f>
        <v>59.200099999999999</v>
      </c>
      <c r="C809" s="10">
        <f>54.5727 * CHOOSE(CONTROL!$C$15, $E$9, 100%, $G$9) + CHOOSE(CONTROL!$C$38, 0.0347, 0)</f>
        <v>54.607399999999998</v>
      </c>
      <c r="D809" s="10">
        <f>54.5649 * CHOOSE(CONTROL!$C$15, $E$9, 100%, $G$9) + CHOOSE(CONTROL!$C$38, 0.0347, 0)</f>
        <v>54.599600000000002</v>
      </c>
      <c r="E809" s="28">
        <f>59.0183 * CHOOSE(CONTROL!$C$15, $E$9, 100%, $G$9) + CHOOSE(CONTROL!$C$38, 0.0347, 0)</f>
        <v>59.053000000000004</v>
      </c>
      <c r="F809" s="27">
        <f>59.0183 * CHOOSE(CONTROL!$C$15, $E$9, 100%, $G$9) + CHOOSE(CONTROL!$C$38, 0.0256, 0)</f>
        <v>59.043900000000001</v>
      </c>
      <c r="G809" s="10">
        <f>54.5711 * CHOOSE(CONTROL!$C$15, $E$9, 100%, $G$9) + CHOOSE(CONTROL!$C$38, 0.0347, 0)</f>
        <v>54.605800000000002</v>
      </c>
      <c r="H809" s="10">
        <f>54.5711 * CHOOSE(CONTROL!$C$15, $E$9, 100%, $G$9) + CHOOSE(CONTROL!$C$38, 0.0347, 0)</f>
        <v>54.605800000000002</v>
      </c>
      <c r="I809" s="10">
        <f>54.5727 * CHOOSE(CONTROL!$C$15, $E$9, 100%, $G$9) + CHOOSE(CONTROL!$C$38, 0.0347, 0)</f>
        <v>54.607399999999998</v>
      </c>
      <c r="J809" s="26">
        <f>409.7985</f>
        <v>409.79849999999999</v>
      </c>
    </row>
    <row r="810" spans="1:10" ht="15.75" x14ac:dyDescent="0.25">
      <c r="A810" s="13">
        <v>65958</v>
      </c>
      <c r="B810" s="10">
        <f>58.9681 * CHOOSE(CONTROL!$C$15, $E$9, 100%, $G$9) + CHOOSE(CONTROL!$C$38, 0.0256, 0)</f>
        <v>58.993699999999997</v>
      </c>
      <c r="C810" s="10">
        <f>54.3662 * CHOOSE(CONTROL!$C$15, $E$9, 100%, $G$9) + CHOOSE(CONTROL!$C$38, 0.0347, 0)</f>
        <v>54.4009</v>
      </c>
      <c r="D810" s="10">
        <f>54.3584 * CHOOSE(CONTROL!$C$15, $E$9, 100%, $G$9) + CHOOSE(CONTROL!$C$38, 0.0347, 0)</f>
        <v>54.393100000000004</v>
      </c>
      <c r="E810" s="28">
        <f>58.8118 * CHOOSE(CONTROL!$C$15, $E$9, 100%, $G$9) + CHOOSE(CONTROL!$C$38, 0.0347, 0)</f>
        <v>58.846499999999999</v>
      </c>
      <c r="F810" s="27">
        <f>58.8118 * CHOOSE(CONTROL!$C$15, $E$9, 100%, $G$9) + CHOOSE(CONTROL!$C$38, 0.0256, 0)</f>
        <v>58.837399999999995</v>
      </c>
      <c r="G810" s="10">
        <f>54.3646 * CHOOSE(CONTROL!$C$15, $E$9, 100%, $G$9) + CHOOSE(CONTROL!$C$38, 0.0347, 0)</f>
        <v>54.399300000000004</v>
      </c>
      <c r="H810" s="10">
        <f>54.3646 * CHOOSE(CONTROL!$C$15, $E$9, 100%, $G$9) + CHOOSE(CONTROL!$C$38, 0.0347, 0)</f>
        <v>54.399300000000004</v>
      </c>
      <c r="I810" s="10">
        <f>54.3662 * CHOOSE(CONTROL!$C$15, $E$9, 100%, $G$9) + CHOOSE(CONTROL!$C$38, 0.0347, 0)</f>
        <v>54.4009</v>
      </c>
      <c r="J810" s="26">
        <f>407.882</f>
        <v>407.88200000000001</v>
      </c>
    </row>
    <row r="811" spans="1:10" ht="15.75" x14ac:dyDescent="0.25">
      <c r="A811" s="13">
        <v>65989</v>
      </c>
      <c r="B811" s="10">
        <f>59.07 * CHOOSE(CONTROL!$C$15, $E$9, 100%, $G$9) + CHOOSE(CONTROL!$C$38, 0.0256, 0)</f>
        <v>59.095599999999997</v>
      </c>
      <c r="C811" s="10">
        <f>54.4681 * CHOOSE(CONTROL!$C$15, $E$9, 100%, $G$9) + CHOOSE(CONTROL!$C$38, 0.0347, 0)</f>
        <v>54.502800000000001</v>
      </c>
      <c r="D811" s="10">
        <f>54.4603 * CHOOSE(CONTROL!$C$15, $E$9, 100%, $G$9) + CHOOSE(CONTROL!$C$38, 0.0347, 0)</f>
        <v>54.494999999999997</v>
      </c>
      <c r="E811" s="28">
        <f>58.9137 * CHOOSE(CONTROL!$C$15, $E$9, 100%, $G$9) + CHOOSE(CONTROL!$C$38, 0.0347, 0)</f>
        <v>58.948399999999999</v>
      </c>
      <c r="F811" s="27">
        <f>58.9137 * CHOOSE(CONTROL!$C$15, $E$9, 100%, $G$9) + CHOOSE(CONTROL!$C$38, 0.0256, 0)</f>
        <v>58.939299999999996</v>
      </c>
      <c r="G811" s="10">
        <f>54.4665 * CHOOSE(CONTROL!$C$15, $E$9, 100%, $G$9) + CHOOSE(CONTROL!$C$38, 0.0347, 0)</f>
        <v>54.501200000000004</v>
      </c>
      <c r="H811" s="10">
        <f>54.4665 * CHOOSE(CONTROL!$C$15, $E$9, 100%, $G$9) + CHOOSE(CONTROL!$C$38, 0.0347, 0)</f>
        <v>54.501200000000004</v>
      </c>
      <c r="I811" s="10">
        <f>54.4681 * CHOOSE(CONTROL!$C$15, $E$9, 100%, $G$9) + CHOOSE(CONTROL!$C$38, 0.0347, 0)</f>
        <v>54.502800000000001</v>
      </c>
      <c r="J811" s="26">
        <f>398.3867</f>
        <v>398.38670000000002</v>
      </c>
    </row>
    <row r="812" spans="1:10" ht="15.75" x14ac:dyDescent="0.25">
      <c r="A812" s="13">
        <v>66019</v>
      </c>
      <c r="B812" s="10">
        <f>59.3468 * CHOOSE(CONTROL!$C$15, $E$9, 100%, $G$9) + CHOOSE(CONTROL!$C$38, 0.0256, 0)</f>
        <v>59.372399999999999</v>
      </c>
      <c r="C812" s="10">
        <f>54.7449 * CHOOSE(CONTROL!$C$15, $E$9, 100%, $G$9) + CHOOSE(CONTROL!$C$38, 0.0347, 0)</f>
        <v>54.779600000000002</v>
      </c>
      <c r="D812" s="10">
        <f>54.7371 * CHOOSE(CONTROL!$C$15, $E$9, 100%, $G$9) + CHOOSE(CONTROL!$C$38, 0.0347, 0)</f>
        <v>54.771799999999999</v>
      </c>
      <c r="E812" s="28">
        <f>59.1905 * CHOOSE(CONTROL!$C$15, $E$9, 100%, $G$9) + CHOOSE(CONTROL!$C$38, 0.0347, 0)</f>
        <v>59.225200000000001</v>
      </c>
      <c r="F812" s="27">
        <f>59.1905 * CHOOSE(CONTROL!$C$15, $E$9, 100%, $G$9) + CHOOSE(CONTROL!$C$38, 0.0256, 0)</f>
        <v>59.216099999999997</v>
      </c>
      <c r="G812" s="10">
        <f>54.7433 * CHOOSE(CONTROL!$C$15, $E$9, 100%, $G$9) + CHOOSE(CONTROL!$C$38, 0.0347, 0)</f>
        <v>54.777999999999999</v>
      </c>
      <c r="H812" s="10">
        <f>54.7433 * CHOOSE(CONTROL!$C$15, $E$9, 100%, $G$9) + CHOOSE(CONTROL!$C$38, 0.0347, 0)</f>
        <v>54.777999999999999</v>
      </c>
      <c r="I812" s="10">
        <f>54.7449 * CHOOSE(CONTROL!$C$15, $E$9, 100%, $G$9) + CHOOSE(CONTROL!$C$38, 0.0347, 0)</f>
        <v>54.779600000000002</v>
      </c>
      <c r="J812" s="26">
        <f>385.145</f>
        <v>385.14499999999998</v>
      </c>
    </row>
    <row r="813" spans="1:10" ht="15.75" x14ac:dyDescent="0.25">
      <c r="A813" s="13">
        <v>66050</v>
      </c>
      <c r="B813" s="10">
        <f>59.5786 * CHOOSE(CONTROL!$C$15, $E$9, 100%, $G$9) + CHOOSE(CONTROL!$C$38, 0.0256, 0)</f>
        <v>59.604199999999999</v>
      </c>
      <c r="C813" s="10">
        <f>54.9767 * CHOOSE(CONTROL!$C$15, $E$9, 100%, $G$9) + CHOOSE(CONTROL!$C$38, 0.0347, 0)</f>
        <v>55.011400000000002</v>
      </c>
      <c r="D813" s="10">
        <f>54.9689 * CHOOSE(CONTROL!$C$15, $E$9, 100%, $G$9) + CHOOSE(CONTROL!$C$38, 0.0347, 0)</f>
        <v>55.003599999999999</v>
      </c>
      <c r="E813" s="28">
        <f>59.4223 * CHOOSE(CONTROL!$C$15, $E$9, 100%, $G$9) + CHOOSE(CONTROL!$C$38, 0.0347, 0)</f>
        <v>59.457000000000001</v>
      </c>
      <c r="F813" s="27">
        <f>59.4223 * CHOOSE(CONTROL!$C$15, $E$9, 100%, $G$9) + CHOOSE(CONTROL!$C$38, 0.0256, 0)</f>
        <v>59.447899999999997</v>
      </c>
      <c r="G813" s="10">
        <f>54.9751 * CHOOSE(CONTROL!$C$15, $E$9, 100%, $G$9) + CHOOSE(CONTROL!$C$38, 0.0347, 0)</f>
        <v>55.009799999999998</v>
      </c>
      <c r="H813" s="10">
        <f>54.9751 * CHOOSE(CONTROL!$C$15, $E$9, 100%, $G$9) + CHOOSE(CONTROL!$C$38, 0.0347, 0)</f>
        <v>55.009799999999998</v>
      </c>
      <c r="I813" s="10">
        <f>54.9767 * CHOOSE(CONTROL!$C$15, $E$9, 100%, $G$9) + CHOOSE(CONTROL!$C$38, 0.0347, 0)</f>
        <v>55.011400000000002</v>
      </c>
      <c r="J813" s="26">
        <f>371.8263</f>
        <v>371.8263</v>
      </c>
    </row>
    <row r="814" spans="1:10" ht="15.75" x14ac:dyDescent="0.25">
      <c r="A814" s="13">
        <v>66080</v>
      </c>
      <c r="B814" s="10">
        <f>59.772 * CHOOSE(CONTROL!$C$15, $E$9, 100%, $G$9) + CHOOSE(CONTROL!$C$38, 0.0256, 0)</f>
        <v>59.797599999999996</v>
      </c>
      <c r="C814" s="10">
        <f>55.1701 * CHOOSE(CONTROL!$C$15, $E$9, 100%, $G$9) + CHOOSE(CONTROL!$C$38, 0.0347, 0)</f>
        <v>55.204799999999999</v>
      </c>
      <c r="D814" s="10">
        <f>55.1623 * CHOOSE(CONTROL!$C$15, $E$9, 100%, $G$9) + CHOOSE(CONTROL!$C$38, 0.0347, 0)</f>
        <v>55.197000000000003</v>
      </c>
      <c r="E814" s="28">
        <f>59.6158 * CHOOSE(CONTROL!$C$15, $E$9, 100%, $G$9) + CHOOSE(CONTROL!$C$38, 0.0347, 0)</f>
        <v>59.650500000000001</v>
      </c>
      <c r="F814" s="27">
        <f>59.6158 * CHOOSE(CONTROL!$C$15, $E$9, 100%, $G$9) + CHOOSE(CONTROL!$C$38, 0.0256, 0)</f>
        <v>59.641399999999997</v>
      </c>
      <c r="G814" s="10">
        <f>55.1686 * CHOOSE(CONTROL!$C$15, $E$9, 100%, $G$9) + CHOOSE(CONTROL!$C$38, 0.0347, 0)</f>
        <v>55.203299999999999</v>
      </c>
      <c r="H814" s="10">
        <f>55.1686 * CHOOSE(CONTROL!$C$15, $E$9, 100%, $G$9) + CHOOSE(CONTROL!$C$38, 0.0347, 0)</f>
        <v>55.203299999999999</v>
      </c>
      <c r="I814" s="10">
        <f>55.1701 * CHOOSE(CONTROL!$C$15, $E$9, 100%, $G$9) + CHOOSE(CONTROL!$C$38, 0.0347, 0)</f>
        <v>55.204799999999999</v>
      </c>
      <c r="J814" s="26">
        <f>369.1769</f>
        <v>369.17689999999999</v>
      </c>
    </row>
    <row r="815" spans="1:10" ht="15.75" x14ac:dyDescent="0.25">
      <c r="A815" s="13">
        <v>66111</v>
      </c>
      <c r="B815" s="10">
        <f>60.3681 * CHOOSE(CONTROL!$C$15, $E$9, 100%, $G$9) + CHOOSE(CONTROL!$C$38, 0.0256, 0)</f>
        <v>60.393699999999995</v>
      </c>
      <c r="C815" s="10">
        <f>55.7662 * CHOOSE(CONTROL!$C$15, $E$9, 100%, $G$9) + CHOOSE(CONTROL!$C$38, 0.0347, 0)</f>
        <v>55.800899999999999</v>
      </c>
      <c r="D815" s="10">
        <f>55.7584 * CHOOSE(CONTROL!$C$15, $E$9, 100%, $G$9) + CHOOSE(CONTROL!$C$38, 0.0347, 0)</f>
        <v>55.793100000000003</v>
      </c>
      <c r="E815" s="28">
        <f>60.2118 * CHOOSE(CONTROL!$C$15, $E$9, 100%, $G$9) + CHOOSE(CONTROL!$C$38, 0.0347, 0)</f>
        <v>60.246499999999997</v>
      </c>
      <c r="F815" s="27">
        <f>60.2118 * CHOOSE(CONTROL!$C$15, $E$9, 100%, $G$9) + CHOOSE(CONTROL!$C$38, 0.0256, 0)</f>
        <v>60.237399999999994</v>
      </c>
      <c r="G815" s="10">
        <f>55.7647 * CHOOSE(CONTROL!$C$15, $E$9, 100%, $G$9) + CHOOSE(CONTROL!$C$38, 0.0347, 0)</f>
        <v>55.799399999999999</v>
      </c>
      <c r="H815" s="10">
        <f>55.7647 * CHOOSE(CONTROL!$C$15, $E$9, 100%, $G$9) + CHOOSE(CONTROL!$C$38, 0.0347, 0)</f>
        <v>55.799399999999999</v>
      </c>
      <c r="I815" s="10">
        <f>55.7662 * CHOOSE(CONTROL!$C$15, $E$9, 100%, $G$9) + CHOOSE(CONTROL!$C$38, 0.0347, 0)</f>
        <v>55.800899999999999</v>
      </c>
      <c r="J815" s="26">
        <f>358.2216</f>
        <v>358.22160000000002</v>
      </c>
    </row>
    <row r="816" spans="1:10" ht="15.75" x14ac:dyDescent="0.25">
      <c r="A816" s="13">
        <v>66142</v>
      </c>
      <c r="B816" s="10">
        <f>61.8846 * CHOOSE(CONTROL!$C$15, $E$9, 100%, $G$9) + CHOOSE(CONTROL!$C$38, 0.0256, 0)</f>
        <v>61.910199999999996</v>
      </c>
      <c r="C816" s="10">
        <f>57.2042 * CHOOSE(CONTROL!$C$15, $E$9, 100%, $G$9) + CHOOSE(CONTROL!$C$38, 0.0347, 0)</f>
        <v>57.238900000000001</v>
      </c>
      <c r="D816" s="10">
        <f>57.1964 * CHOOSE(CONTROL!$C$15, $E$9, 100%, $G$9) + CHOOSE(CONTROL!$C$38, 0.0347, 0)</f>
        <v>57.231099999999998</v>
      </c>
      <c r="E816" s="28">
        <f>61.7284 * CHOOSE(CONTROL!$C$15, $E$9, 100%, $G$9) + CHOOSE(CONTROL!$C$38, 0.0347, 0)</f>
        <v>61.763100000000001</v>
      </c>
      <c r="F816" s="27">
        <f>61.7284 * CHOOSE(CONTROL!$C$15, $E$9, 100%, $G$9) + CHOOSE(CONTROL!$C$38, 0.0256, 0)</f>
        <v>61.753999999999998</v>
      </c>
      <c r="G816" s="10">
        <f>57.2027 * CHOOSE(CONTROL!$C$15, $E$9, 100%, $G$9) + CHOOSE(CONTROL!$C$38, 0.0347, 0)</f>
        <v>57.237400000000001</v>
      </c>
      <c r="H816" s="10">
        <f>57.2027 * CHOOSE(CONTROL!$C$15, $E$9, 100%, $G$9) + CHOOSE(CONTROL!$C$38, 0.0347, 0)</f>
        <v>57.237400000000001</v>
      </c>
      <c r="I816" s="10">
        <f>57.2042 * CHOOSE(CONTROL!$C$15, $E$9, 100%, $G$9) + CHOOSE(CONTROL!$C$38, 0.0347, 0)</f>
        <v>57.238900000000001</v>
      </c>
      <c r="J816" s="26">
        <f>355.822</f>
        <v>355.822</v>
      </c>
    </row>
    <row r="817" spans="1:10" ht="15.75" x14ac:dyDescent="0.25">
      <c r="A817" s="13">
        <v>66170</v>
      </c>
      <c r="B817" s="10">
        <f>62.1054 * CHOOSE(CONTROL!$C$15, $E$9, 100%, $G$9) + CHOOSE(CONTROL!$C$38, 0.0256, 0)</f>
        <v>62.131</v>
      </c>
      <c r="C817" s="10">
        <f>57.425 * CHOOSE(CONTROL!$C$15, $E$9, 100%, $G$9) + CHOOSE(CONTROL!$C$38, 0.0347, 0)</f>
        <v>57.459699999999998</v>
      </c>
      <c r="D817" s="10">
        <f>57.4172 * CHOOSE(CONTROL!$C$15, $E$9, 100%, $G$9) + CHOOSE(CONTROL!$C$38, 0.0347, 0)</f>
        <v>57.451900000000002</v>
      </c>
      <c r="E817" s="28">
        <f>61.9492 * CHOOSE(CONTROL!$C$15, $E$9, 100%, $G$9) + CHOOSE(CONTROL!$C$38, 0.0347, 0)</f>
        <v>61.983899999999998</v>
      </c>
      <c r="F817" s="27">
        <f>61.9492 * CHOOSE(CONTROL!$C$15, $E$9, 100%, $G$9) + CHOOSE(CONTROL!$C$38, 0.0256, 0)</f>
        <v>61.974799999999995</v>
      </c>
      <c r="G817" s="10">
        <f>57.4234 * CHOOSE(CONTROL!$C$15, $E$9, 100%, $G$9) + CHOOSE(CONTROL!$C$38, 0.0347, 0)</f>
        <v>57.458100000000002</v>
      </c>
      <c r="H817" s="10">
        <f>57.4234 * CHOOSE(CONTROL!$C$15, $E$9, 100%, $G$9) + CHOOSE(CONTROL!$C$38, 0.0347, 0)</f>
        <v>57.458100000000002</v>
      </c>
      <c r="I817" s="10">
        <f>57.425 * CHOOSE(CONTROL!$C$15, $E$9, 100%, $G$9) + CHOOSE(CONTROL!$C$38, 0.0347, 0)</f>
        <v>57.459699999999998</v>
      </c>
      <c r="J817" s="26">
        <f>354.833</f>
        <v>354.83300000000003</v>
      </c>
    </row>
    <row r="818" spans="1:10" ht="15.75" x14ac:dyDescent="0.25">
      <c r="A818" s="13">
        <v>66201</v>
      </c>
      <c r="B818" s="10">
        <f>61.5944 * CHOOSE(CONTROL!$C$15, $E$9, 100%, $G$9) + CHOOSE(CONTROL!$C$38, 0.0256, 0)</f>
        <v>61.62</v>
      </c>
      <c r="C818" s="10">
        <f>56.914 * CHOOSE(CONTROL!$C$15, $E$9, 100%, $G$9) + CHOOSE(CONTROL!$C$38, 0.0347, 0)</f>
        <v>56.948700000000002</v>
      </c>
      <c r="D818" s="10">
        <f>56.9061 * CHOOSE(CONTROL!$C$15, $E$9, 100%, $G$9) + CHOOSE(CONTROL!$C$38, 0.0347, 0)</f>
        <v>56.940800000000003</v>
      </c>
      <c r="E818" s="28">
        <f>61.4381 * CHOOSE(CONTROL!$C$15, $E$9, 100%, $G$9) + CHOOSE(CONTROL!$C$38, 0.0347, 0)</f>
        <v>61.472799999999999</v>
      </c>
      <c r="F818" s="27">
        <f>61.4381 * CHOOSE(CONTROL!$C$15, $E$9, 100%, $G$9) + CHOOSE(CONTROL!$C$38, 0.0256, 0)</f>
        <v>61.463699999999996</v>
      </c>
      <c r="G818" s="10">
        <f>56.9124 * CHOOSE(CONTROL!$C$15, $E$9, 100%, $G$9) + CHOOSE(CONTROL!$C$38, 0.0347, 0)</f>
        <v>56.947099999999999</v>
      </c>
      <c r="H818" s="10">
        <f>56.9124 * CHOOSE(CONTROL!$C$15, $E$9, 100%, $G$9) + CHOOSE(CONTROL!$C$38, 0.0347, 0)</f>
        <v>56.947099999999999</v>
      </c>
      <c r="I818" s="10">
        <f>56.914 * CHOOSE(CONTROL!$C$15, $E$9, 100%, $G$9) + CHOOSE(CONTROL!$C$38, 0.0347, 0)</f>
        <v>56.948700000000002</v>
      </c>
      <c r="J818" s="26">
        <f>373.5347</f>
        <v>373.53469999999999</v>
      </c>
    </row>
    <row r="819" spans="1:10" ht="15.75" x14ac:dyDescent="0.25">
      <c r="A819" s="13">
        <v>66231</v>
      </c>
      <c r="B819" s="10">
        <f>61.0992 * CHOOSE(CONTROL!$C$15, $E$9, 100%, $G$9) + CHOOSE(CONTROL!$C$38, 0.0256, 0)</f>
        <v>61.1248</v>
      </c>
      <c r="C819" s="10">
        <f>56.4188 * CHOOSE(CONTROL!$C$15, $E$9, 100%, $G$9) + CHOOSE(CONTROL!$C$38, 0.0347, 0)</f>
        <v>56.453499999999998</v>
      </c>
      <c r="D819" s="10">
        <f>56.411 * CHOOSE(CONTROL!$C$15, $E$9, 100%, $G$9) + CHOOSE(CONTROL!$C$38, 0.0347, 0)</f>
        <v>56.445700000000002</v>
      </c>
      <c r="E819" s="28">
        <f>60.9429 * CHOOSE(CONTROL!$C$15, $E$9, 100%, $G$9) + CHOOSE(CONTROL!$C$38, 0.0347, 0)</f>
        <v>60.977600000000002</v>
      </c>
      <c r="F819" s="27">
        <f>60.9429 * CHOOSE(CONTROL!$C$15, $E$9, 100%, $G$9) + CHOOSE(CONTROL!$C$38, 0.0256, 0)</f>
        <v>60.968499999999999</v>
      </c>
      <c r="G819" s="10">
        <f>56.4172 * CHOOSE(CONTROL!$C$15, $E$9, 100%, $G$9) + CHOOSE(CONTROL!$C$38, 0.0347, 0)</f>
        <v>56.451900000000002</v>
      </c>
      <c r="H819" s="10">
        <f>56.4172 * CHOOSE(CONTROL!$C$15, $E$9, 100%, $G$9) + CHOOSE(CONTROL!$C$38, 0.0347, 0)</f>
        <v>56.451900000000002</v>
      </c>
      <c r="I819" s="10">
        <f>56.4188 * CHOOSE(CONTROL!$C$15, $E$9, 100%, $G$9) + CHOOSE(CONTROL!$C$38, 0.0347, 0)</f>
        <v>56.453499999999998</v>
      </c>
      <c r="J819" s="26">
        <f>397.7864</f>
        <v>397.78640000000001</v>
      </c>
    </row>
    <row r="820" spans="1:10" ht="15.75" x14ac:dyDescent="0.25">
      <c r="A820" s="13">
        <v>66262</v>
      </c>
      <c r="B820" s="10">
        <f>60.5831 * CHOOSE(CONTROL!$C$15, $E$9, 100%, $G$9) + CHOOSE(CONTROL!$C$38, 0.0256, 0)</f>
        <v>60.608699999999999</v>
      </c>
      <c r="C820" s="10">
        <f>55.9027 * CHOOSE(CONTROL!$C$15, $E$9, 100%, $G$9) + CHOOSE(CONTROL!$C$38, 0.0347, 0)</f>
        <v>55.937400000000004</v>
      </c>
      <c r="D820" s="10">
        <f>55.8948 * CHOOSE(CONTROL!$C$15, $E$9, 100%, $G$9) + CHOOSE(CONTROL!$C$38, 0.0347, 0)</f>
        <v>55.929499999999997</v>
      </c>
      <c r="E820" s="28">
        <f>60.4268 * CHOOSE(CONTROL!$C$15, $E$9, 100%, $G$9) + CHOOSE(CONTROL!$C$38, 0.0347, 0)</f>
        <v>60.461500000000001</v>
      </c>
      <c r="F820" s="27">
        <f>60.4268 * CHOOSE(CONTROL!$C$15, $E$9, 100%, $G$9) + CHOOSE(CONTROL!$C$38, 0.0256, 0)</f>
        <v>60.452399999999997</v>
      </c>
      <c r="G820" s="10">
        <f>55.9011 * CHOOSE(CONTROL!$C$15, $E$9, 100%, $G$9) + CHOOSE(CONTROL!$C$38, 0.0347, 0)</f>
        <v>55.9358</v>
      </c>
      <c r="H820" s="10">
        <f>55.9011 * CHOOSE(CONTROL!$C$15, $E$9, 100%, $G$9) + CHOOSE(CONTROL!$C$38, 0.0347, 0)</f>
        <v>55.9358</v>
      </c>
      <c r="I820" s="10">
        <f>55.9027 * CHOOSE(CONTROL!$C$15, $E$9, 100%, $G$9) + CHOOSE(CONTROL!$C$38, 0.0347, 0)</f>
        <v>55.937400000000004</v>
      </c>
      <c r="J820" s="26">
        <f>411.1353</f>
        <v>411.13529999999997</v>
      </c>
    </row>
    <row r="821" spans="1:10" ht="15.75" x14ac:dyDescent="0.25">
      <c r="A821" s="13">
        <v>66292</v>
      </c>
      <c r="B821" s="10">
        <f>60.2212 * CHOOSE(CONTROL!$C$15, $E$9, 100%, $G$9) + CHOOSE(CONTROL!$C$38, 0.0256, 0)</f>
        <v>60.2468</v>
      </c>
      <c r="C821" s="10">
        <f>55.5408 * CHOOSE(CONTROL!$C$15, $E$9, 100%, $G$9) + CHOOSE(CONTROL!$C$38, 0.0347, 0)</f>
        <v>55.575499999999998</v>
      </c>
      <c r="D821" s="10">
        <f>55.533 * CHOOSE(CONTROL!$C$15, $E$9, 100%, $G$9) + CHOOSE(CONTROL!$C$38, 0.0347, 0)</f>
        <v>55.567700000000002</v>
      </c>
      <c r="E821" s="28">
        <f>60.065 * CHOOSE(CONTROL!$C$15, $E$9, 100%, $G$9) + CHOOSE(CONTROL!$C$38, 0.0347, 0)</f>
        <v>60.099699999999999</v>
      </c>
      <c r="F821" s="27">
        <f>60.065 * CHOOSE(CONTROL!$C$15, $E$9, 100%, $G$9) + CHOOSE(CONTROL!$C$38, 0.0256, 0)</f>
        <v>60.090599999999995</v>
      </c>
      <c r="G821" s="10">
        <f>55.5393 * CHOOSE(CONTROL!$C$15, $E$9, 100%, $G$9) + CHOOSE(CONTROL!$C$38, 0.0347, 0)</f>
        <v>55.573999999999998</v>
      </c>
      <c r="H821" s="10">
        <f>55.5393 * CHOOSE(CONTROL!$C$15, $E$9, 100%, $G$9) + CHOOSE(CONTROL!$C$38, 0.0347, 0)</f>
        <v>55.573999999999998</v>
      </c>
      <c r="I821" s="10">
        <f>55.5408 * CHOOSE(CONTROL!$C$15, $E$9, 100%, $G$9) + CHOOSE(CONTROL!$C$38, 0.0347, 0)</f>
        <v>55.575499999999998</v>
      </c>
      <c r="J821" s="26">
        <f>417.0593</f>
        <v>417.05930000000001</v>
      </c>
    </row>
    <row r="822" spans="1:10" ht="15.75" x14ac:dyDescent="0.25">
      <c r="A822" s="13">
        <v>66323</v>
      </c>
      <c r="B822" s="10">
        <f>60.0148 * CHOOSE(CONTROL!$C$15, $E$9, 100%, $G$9) + CHOOSE(CONTROL!$C$38, 0.0256, 0)</f>
        <v>60.040399999999998</v>
      </c>
      <c r="C822" s="10">
        <f>55.3343 * CHOOSE(CONTROL!$C$15, $E$9, 100%, $G$9) + CHOOSE(CONTROL!$C$38, 0.0347, 0)</f>
        <v>55.369</v>
      </c>
      <c r="D822" s="10">
        <f>55.3265 * CHOOSE(CONTROL!$C$15, $E$9, 100%, $G$9) + CHOOSE(CONTROL!$C$38, 0.0347, 0)</f>
        <v>55.361200000000004</v>
      </c>
      <c r="E822" s="28">
        <f>59.8585 * CHOOSE(CONTROL!$C$15, $E$9, 100%, $G$9) + CHOOSE(CONTROL!$C$38, 0.0347, 0)</f>
        <v>59.8932</v>
      </c>
      <c r="F822" s="27">
        <f>59.8585 * CHOOSE(CONTROL!$C$15, $E$9, 100%, $G$9) + CHOOSE(CONTROL!$C$38, 0.0256, 0)</f>
        <v>59.884099999999997</v>
      </c>
      <c r="G822" s="10">
        <f>55.3328 * CHOOSE(CONTROL!$C$15, $E$9, 100%, $G$9) + CHOOSE(CONTROL!$C$38, 0.0347, 0)</f>
        <v>55.3675</v>
      </c>
      <c r="H822" s="10">
        <f>55.3328 * CHOOSE(CONTROL!$C$15, $E$9, 100%, $G$9) + CHOOSE(CONTROL!$C$38, 0.0347, 0)</f>
        <v>55.3675</v>
      </c>
      <c r="I822" s="10">
        <f>55.3343 * CHOOSE(CONTROL!$C$15, $E$9, 100%, $G$9) + CHOOSE(CONTROL!$C$38, 0.0347, 0)</f>
        <v>55.369</v>
      </c>
      <c r="J822" s="26">
        <f>415.1089</f>
        <v>415.10890000000001</v>
      </c>
    </row>
    <row r="823" spans="1:10" ht="15.75" x14ac:dyDescent="0.25">
      <c r="A823" s="13">
        <v>66354</v>
      </c>
      <c r="B823" s="10">
        <f>60.1167 * CHOOSE(CONTROL!$C$15, $E$9, 100%, $G$9) + CHOOSE(CONTROL!$C$38, 0.0256, 0)</f>
        <v>60.142299999999999</v>
      </c>
      <c r="C823" s="10">
        <f>55.4362 * CHOOSE(CONTROL!$C$15, $E$9, 100%, $G$9) + CHOOSE(CONTROL!$C$38, 0.0347, 0)</f>
        <v>55.4709</v>
      </c>
      <c r="D823" s="10">
        <f>55.4284 * CHOOSE(CONTROL!$C$15, $E$9, 100%, $G$9) + CHOOSE(CONTROL!$C$38, 0.0347, 0)</f>
        <v>55.463100000000004</v>
      </c>
      <c r="E823" s="28">
        <f>59.9604 * CHOOSE(CONTROL!$C$15, $E$9, 100%, $G$9) + CHOOSE(CONTROL!$C$38, 0.0347, 0)</f>
        <v>59.995100000000001</v>
      </c>
      <c r="F823" s="27">
        <f>59.9604 * CHOOSE(CONTROL!$C$15, $E$9, 100%, $G$9) + CHOOSE(CONTROL!$C$38, 0.0256, 0)</f>
        <v>59.985999999999997</v>
      </c>
      <c r="G823" s="10">
        <f>55.4347 * CHOOSE(CONTROL!$C$15, $E$9, 100%, $G$9) + CHOOSE(CONTROL!$C$38, 0.0347, 0)</f>
        <v>55.4694</v>
      </c>
      <c r="H823" s="10">
        <f>55.4347 * CHOOSE(CONTROL!$C$15, $E$9, 100%, $G$9) + CHOOSE(CONTROL!$C$38, 0.0347, 0)</f>
        <v>55.4694</v>
      </c>
      <c r="I823" s="10">
        <f>55.4362 * CHOOSE(CONTROL!$C$15, $E$9, 100%, $G$9) + CHOOSE(CONTROL!$C$38, 0.0347, 0)</f>
        <v>55.4709</v>
      </c>
      <c r="J823" s="26">
        <f>405.4453</f>
        <v>405.44529999999997</v>
      </c>
    </row>
    <row r="824" spans="1:10" ht="15.75" x14ac:dyDescent="0.25">
      <c r="A824" s="13">
        <v>66384</v>
      </c>
      <c r="B824" s="10">
        <f>60.3935 * CHOOSE(CONTROL!$C$15, $E$9, 100%, $G$9) + CHOOSE(CONTROL!$C$38, 0.0256, 0)</f>
        <v>60.4191</v>
      </c>
      <c r="C824" s="10">
        <f>55.713 * CHOOSE(CONTROL!$C$15, $E$9, 100%, $G$9) + CHOOSE(CONTROL!$C$38, 0.0347, 0)</f>
        <v>55.747700000000002</v>
      </c>
      <c r="D824" s="10">
        <f>55.7052 * CHOOSE(CONTROL!$C$15, $E$9, 100%, $G$9) + CHOOSE(CONTROL!$C$38, 0.0347, 0)</f>
        <v>55.739899999999999</v>
      </c>
      <c r="E824" s="28">
        <f>60.2372 * CHOOSE(CONTROL!$C$15, $E$9, 100%, $G$9) + CHOOSE(CONTROL!$C$38, 0.0347, 0)</f>
        <v>60.271900000000002</v>
      </c>
      <c r="F824" s="27">
        <f>60.2372 * CHOOSE(CONTROL!$C$15, $E$9, 100%, $G$9) + CHOOSE(CONTROL!$C$38, 0.0256, 0)</f>
        <v>60.262799999999999</v>
      </c>
      <c r="G824" s="10">
        <f>55.7115 * CHOOSE(CONTROL!$C$15, $E$9, 100%, $G$9) + CHOOSE(CONTROL!$C$38, 0.0347, 0)</f>
        <v>55.746200000000002</v>
      </c>
      <c r="H824" s="10">
        <f>55.7115 * CHOOSE(CONTROL!$C$15, $E$9, 100%, $G$9) + CHOOSE(CONTROL!$C$38, 0.0347, 0)</f>
        <v>55.746200000000002</v>
      </c>
      <c r="I824" s="10">
        <f>55.713 * CHOOSE(CONTROL!$C$15, $E$9, 100%, $G$9) + CHOOSE(CONTROL!$C$38, 0.0347, 0)</f>
        <v>55.747700000000002</v>
      </c>
      <c r="J824" s="26">
        <f>391.969</f>
        <v>391.96899999999999</v>
      </c>
    </row>
    <row r="825" spans="1:10" ht="15.75" x14ac:dyDescent="0.25">
      <c r="A825" s="13">
        <v>66415</v>
      </c>
      <c r="B825" s="10">
        <f>60.6253 * CHOOSE(CONTROL!$C$15, $E$9, 100%, $G$9) + CHOOSE(CONTROL!$C$38, 0.0256, 0)</f>
        <v>60.6509</v>
      </c>
      <c r="C825" s="10">
        <f>55.9449 * CHOOSE(CONTROL!$C$15, $E$9, 100%, $G$9) + CHOOSE(CONTROL!$C$38, 0.0347, 0)</f>
        <v>55.979599999999998</v>
      </c>
      <c r="D825" s="10">
        <f>55.9371 * CHOOSE(CONTROL!$C$15, $E$9, 100%, $G$9) + CHOOSE(CONTROL!$C$38, 0.0347, 0)</f>
        <v>55.971800000000002</v>
      </c>
      <c r="E825" s="28">
        <f>60.469 * CHOOSE(CONTROL!$C$15, $E$9, 100%, $G$9) + CHOOSE(CONTROL!$C$38, 0.0347, 0)</f>
        <v>60.503700000000002</v>
      </c>
      <c r="F825" s="27">
        <f>60.469 * CHOOSE(CONTROL!$C$15, $E$9, 100%, $G$9) + CHOOSE(CONTROL!$C$38, 0.0256, 0)</f>
        <v>60.494599999999998</v>
      </c>
      <c r="G825" s="10">
        <f>55.9433 * CHOOSE(CONTROL!$C$15, $E$9, 100%, $G$9) + CHOOSE(CONTROL!$C$38, 0.0347, 0)</f>
        <v>55.978000000000002</v>
      </c>
      <c r="H825" s="10">
        <f>55.9433 * CHOOSE(CONTROL!$C$15, $E$9, 100%, $G$9) + CHOOSE(CONTROL!$C$38, 0.0347, 0)</f>
        <v>55.978000000000002</v>
      </c>
      <c r="I825" s="10">
        <f>55.9449 * CHOOSE(CONTROL!$C$15, $E$9, 100%, $G$9) + CHOOSE(CONTROL!$C$38, 0.0347, 0)</f>
        <v>55.979599999999998</v>
      </c>
      <c r="J825" s="26">
        <f>378.4143</f>
        <v>378.41430000000003</v>
      </c>
    </row>
    <row r="826" spans="1:10" ht="15.75" x14ac:dyDescent="0.25">
      <c r="A826" s="13">
        <v>66445</v>
      </c>
      <c r="B826" s="10">
        <f>60.8187 * CHOOSE(CONTROL!$C$15, $E$9, 100%, $G$9) + CHOOSE(CONTROL!$C$38, 0.0256, 0)</f>
        <v>60.844299999999997</v>
      </c>
      <c r="C826" s="10">
        <f>56.1383 * CHOOSE(CONTROL!$C$15, $E$9, 100%, $G$9) + CHOOSE(CONTROL!$C$38, 0.0347, 0)</f>
        <v>56.173000000000002</v>
      </c>
      <c r="D826" s="10">
        <f>56.1305 * CHOOSE(CONTROL!$C$15, $E$9, 100%, $G$9) + CHOOSE(CONTROL!$C$38, 0.0347, 0)</f>
        <v>56.165199999999999</v>
      </c>
      <c r="E826" s="28">
        <f>60.6625 * CHOOSE(CONTROL!$C$15, $E$9, 100%, $G$9) + CHOOSE(CONTROL!$C$38, 0.0347, 0)</f>
        <v>60.697200000000002</v>
      </c>
      <c r="F826" s="27">
        <f>60.6625 * CHOOSE(CONTROL!$C$15, $E$9, 100%, $G$9) + CHOOSE(CONTROL!$C$38, 0.0256, 0)</f>
        <v>60.688099999999999</v>
      </c>
      <c r="G826" s="10">
        <f>56.1367 * CHOOSE(CONTROL!$C$15, $E$9, 100%, $G$9) + CHOOSE(CONTROL!$C$38, 0.0347, 0)</f>
        <v>56.171399999999998</v>
      </c>
      <c r="H826" s="10">
        <f>56.1367 * CHOOSE(CONTROL!$C$15, $E$9, 100%, $G$9) + CHOOSE(CONTROL!$C$38, 0.0347, 0)</f>
        <v>56.171399999999998</v>
      </c>
      <c r="I826" s="10">
        <f>56.1383 * CHOOSE(CONTROL!$C$15, $E$9, 100%, $G$9) + CHOOSE(CONTROL!$C$38, 0.0347, 0)</f>
        <v>56.173000000000002</v>
      </c>
      <c r="J826" s="26">
        <f>375.718</f>
        <v>375.71800000000002</v>
      </c>
    </row>
    <row r="827" spans="1:10" ht="15.75" x14ac:dyDescent="0.25">
      <c r="A827" s="13">
        <v>66476</v>
      </c>
      <c r="B827" s="10">
        <f>61.4148 * CHOOSE(CONTROL!$C$15, $E$9, 100%, $G$9) + CHOOSE(CONTROL!$C$38, 0.0256, 0)</f>
        <v>61.440399999999997</v>
      </c>
      <c r="C827" s="10">
        <f>56.7344 * CHOOSE(CONTROL!$C$15, $E$9, 100%, $G$9) + CHOOSE(CONTROL!$C$38, 0.0347, 0)</f>
        <v>56.769100000000002</v>
      </c>
      <c r="D827" s="10">
        <f>56.7266 * CHOOSE(CONTROL!$C$15, $E$9, 100%, $G$9) + CHOOSE(CONTROL!$C$38, 0.0347, 0)</f>
        <v>56.761299999999999</v>
      </c>
      <c r="E827" s="28">
        <f>61.2585 * CHOOSE(CONTROL!$C$15, $E$9, 100%, $G$9) + CHOOSE(CONTROL!$C$38, 0.0347, 0)</f>
        <v>61.293199999999999</v>
      </c>
      <c r="F827" s="27">
        <f>61.2585 * CHOOSE(CONTROL!$C$15, $E$9, 100%, $G$9) + CHOOSE(CONTROL!$C$38, 0.0256, 0)</f>
        <v>61.284099999999995</v>
      </c>
      <c r="G827" s="10">
        <f>56.7328 * CHOOSE(CONTROL!$C$15, $E$9, 100%, $G$9) + CHOOSE(CONTROL!$C$38, 0.0347, 0)</f>
        <v>56.767499999999998</v>
      </c>
      <c r="H827" s="10">
        <f>56.7328 * CHOOSE(CONTROL!$C$15, $E$9, 100%, $G$9) + CHOOSE(CONTROL!$C$38, 0.0347, 0)</f>
        <v>56.767499999999998</v>
      </c>
      <c r="I827" s="10">
        <f>56.7344 * CHOOSE(CONTROL!$C$15, $E$9, 100%, $G$9) + CHOOSE(CONTROL!$C$38, 0.0347, 0)</f>
        <v>56.769100000000002</v>
      </c>
      <c r="J827" s="26">
        <f>364.5686</f>
        <v>364.5686</v>
      </c>
    </row>
    <row r="828" spans="1:10" ht="15.75" x14ac:dyDescent="0.25">
      <c r="A828" s="13">
        <v>66507</v>
      </c>
      <c r="B828" s="10">
        <f>62.9498 * CHOOSE(CONTROL!$C$15, $E$9, 100%, $G$9) + CHOOSE(CONTROL!$C$38, 0.0256, 0)</f>
        <v>62.9754</v>
      </c>
      <c r="C828" s="10">
        <f>58.1895 * CHOOSE(CONTROL!$C$15, $E$9, 100%, $G$9) + CHOOSE(CONTROL!$C$38, 0.0347, 0)</f>
        <v>58.224200000000003</v>
      </c>
      <c r="D828" s="10">
        <f>58.1817 * CHOOSE(CONTROL!$C$15, $E$9, 100%, $G$9) + CHOOSE(CONTROL!$C$38, 0.0347, 0)</f>
        <v>58.2164</v>
      </c>
      <c r="E828" s="28">
        <f>62.7936 * CHOOSE(CONTROL!$C$15, $E$9, 100%, $G$9) + CHOOSE(CONTROL!$C$38, 0.0347, 0)</f>
        <v>62.828299999999999</v>
      </c>
      <c r="F828" s="27">
        <f>62.7936 * CHOOSE(CONTROL!$C$15, $E$9, 100%, $G$9) + CHOOSE(CONTROL!$C$38, 0.0256, 0)</f>
        <v>62.819199999999995</v>
      </c>
      <c r="G828" s="10">
        <f>58.1879 * CHOOSE(CONTROL!$C$15, $E$9, 100%, $G$9) + CHOOSE(CONTROL!$C$38, 0.0347, 0)</f>
        <v>58.2226</v>
      </c>
      <c r="H828" s="10">
        <f>58.1879 * CHOOSE(CONTROL!$C$15, $E$9, 100%, $G$9) + CHOOSE(CONTROL!$C$38, 0.0347, 0)</f>
        <v>58.2226</v>
      </c>
      <c r="I828" s="10">
        <f>58.1895 * CHOOSE(CONTROL!$C$15, $E$9, 100%, $G$9) + CHOOSE(CONTROL!$C$38, 0.0347, 0)</f>
        <v>58.224200000000003</v>
      </c>
      <c r="J828" s="26">
        <f>362.1265</f>
        <v>362.12650000000002</v>
      </c>
    </row>
    <row r="829" spans="1:10" ht="15.75" x14ac:dyDescent="0.25">
      <c r="A829" s="13">
        <v>66535</v>
      </c>
      <c r="B829" s="10">
        <f>63.1706 * CHOOSE(CONTROL!$C$15, $E$9, 100%, $G$9) + CHOOSE(CONTROL!$C$38, 0.0256, 0)</f>
        <v>63.196199999999997</v>
      </c>
      <c r="C829" s="10">
        <f>58.4102 * CHOOSE(CONTROL!$C$15, $E$9, 100%, $G$9) + CHOOSE(CONTROL!$C$38, 0.0347, 0)</f>
        <v>58.444900000000004</v>
      </c>
      <c r="D829" s="10">
        <f>58.4024 * CHOOSE(CONTROL!$C$15, $E$9, 100%, $G$9) + CHOOSE(CONTROL!$C$38, 0.0347, 0)</f>
        <v>58.437100000000001</v>
      </c>
      <c r="E829" s="28">
        <f>63.0144 * CHOOSE(CONTROL!$C$15, $E$9, 100%, $G$9) + CHOOSE(CONTROL!$C$38, 0.0347, 0)</f>
        <v>63.049100000000003</v>
      </c>
      <c r="F829" s="27">
        <f>63.0144 * CHOOSE(CONTROL!$C$15, $E$9, 100%, $G$9) + CHOOSE(CONTROL!$C$38, 0.0256, 0)</f>
        <v>63.04</v>
      </c>
      <c r="G829" s="10">
        <f>58.4087 * CHOOSE(CONTROL!$C$15, $E$9, 100%, $G$9) + CHOOSE(CONTROL!$C$38, 0.0347, 0)</f>
        <v>58.443400000000004</v>
      </c>
      <c r="H829" s="10">
        <f>58.4087 * CHOOSE(CONTROL!$C$15, $E$9, 100%, $G$9) + CHOOSE(CONTROL!$C$38, 0.0347, 0)</f>
        <v>58.443400000000004</v>
      </c>
      <c r="I829" s="10">
        <f>58.4102 * CHOOSE(CONTROL!$C$15, $E$9, 100%, $G$9) + CHOOSE(CONTROL!$C$38, 0.0347, 0)</f>
        <v>58.444900000000004</v>
      </c>
      <c r="J829" s="26">
        <f>361.1199</f>
        <v>361.11989999999997</v>
      </c>
    </row>
    <row r="830" spans="1:10" ht="15.75" x14ac:dyDescent="0.25">
      <c r="A830" s="13">
        <v>66566</v>
      </c>
      <c r="B830" s="10">
        <f>62.6596 * CHOOSE(CONTROL!$C$15, $E$9, 100%, $G$9) + CHOOSE(CONTROL!$C$38, 0.0256, 0)</f>
        <v>62.685199999999995</v>
      </c>
      <c r="C830" s="10">
        <f>57.8992 * CHOOSE(CONTROL!$C$15, $E$9, 100%, $G$9) + CHOOSE(CONTROL!$C$38, 0.0347, 0)</f>
        <v>57.933900000000001</v>
      </c>
      <c r="D830" s="10">
        <f>57.8914 * CHOOSE(CONTROL!$C$15, $E$9, 100%, $G$9) + CHOOSE(CONTROL!$C$38, 0.0347, 0)</f>
        <v>57.926099999999998</v>
      </c>
      <c r="E830" s="28">
        <f>62.5033 * CHOOSE(CONTROL!$C$15, $E$9, 100%, $G$9) + CHOOSE(CONTROL!$C$38, 0.0347, 0)</f>
        <v>62.538000000000004</v>
      </c>
      <c r="F830" s="27">
        <f>62.5033 * CHOOSE(CONTROL!$C$15, $E$9, 100%, $G$9) + CHOOSE(CONTROL!$C$38, 0.0256, 0)</f>
        <v>62.5289</v>
      </c>
      <c r="G830" s="10">
        <f>57.8977 * CHOOSE(CONTROL!$C$15, $E$9, 100%, $G$9) + CHOOSE(CONTROL!$C$38, 0.0347, 0)</f>
        <v>57.932400000000001</v>
      </c>
      <c r="H830" s="10">
        <f>57.8977 * CHOOSE(CONTROL!$C$15, $E$9, 100%, $G$9) + CHOOSE(CONTROL!$C$38, 0.0347, 0)</f>
        <v>57.932400000000001</v>
      </c>
      <c r="I830" s="10">
        <f>57.8992 * CHOOSE(CONTROL!$C$15, $E$9, 100%, $G$9) + CHOOSE(CONTROL!$C$38, 0.0347, 0)</f>
        <v>57.933900000000001</v>
      </c>
      <c r="J830" s="26">
        <f>380.153</f>
        <v>380.15300000000002</v>
      </c>
    </row>
    <row r="831" spans="1:10" ht="15.75" x14ac:dyDescent="0.25">
      <c r="A831" s="13">
        <v>66596</v>
      </c>
      <c r="B831" s="10">
        <f>62.1644 * CHOOSE(CONTROL!$C$15, $E$9, 100%, $G$9) + CHOOSE(CONTROL!$C$38, 0.0256, 0)</f>
        <v>62.19</v>
      </c>
      <c r="C831" s="10">
        <f>57.404 * CHOOSE(CONTROL!$C$15, $E$9, 100%, $G$9) + CHOOSE(CONTROL!$C$38, 0.0347, 0)</f>
        <v>57.438700000000004</v>
      </c>
      <c r="D831" s="10">
        <f>57.3962 * CHOOSE(CONTROL!$C$15, $E$9, 100%, $G$9) + CHOOSE(CONTROL!$C$38, 0.0347, 0)</f>
        <v>57.430900000000001</v>
      </c>
      <c r="E831" s="28">
        <f>62.0081 * CHOOSE(CONTROL!$C$15, $E$9, 100%, $G$9) + CHOOSE(CONTROL!$C$38, 0.0347, 0)</f>
        <v>62.0428</v>
      </c>
      <c r="F831" s="27">
        <f>62.0081 * CHOOSE(CONTROL!$C$15, $E$9, 100%, $G$9) + CHOOSE(CONTROL!$C$38, 0.0256, 0)</f>
        <v>62.033699999999996</v>
      </c>
      <c r="G831" s="10">
        <f>57.4025 * CHOOSE(CONTROL!$C$15, $E$9, 100%, $G$9) + CHOOSE(CONTROL!$C$38, 0.0347, 0)</f>
        <v>57.437200000000004</v>
      </c>
      <c r="H831" s="10">
        <f>57.4025 * CHOOSE(CONTROL!$C$15, $E$9, 100%, $G$9) + CHOOSE(CONTROL!$C$38, 0.0347, 0)</f>
        <v>57.437200000000004</v>
      </c>
      <c r="I831" s="10">
        <f>57.404 * CHOOSE(CONTROL!$C$15, $E$9, 100%, $G$9) + CHOOSE(CONTROL!$C$38, 0.0347, 0)</f>
        <v>57.438700000000004</v>
      </c>
      <c r="J831" s="26">
        <f>404.8344</f>
        <v>404.83440000000002</v>
      </c>
    </row>
    <row r="832" spans="1:10" ht="15.75" x14ac:dyDescent="0.25">
      <c r="A832" s="13">
        <v>66627</v>
      </c>
      <c r="B832" s="10">
        <f>61.6483 * CHOOSE(CONTROL!$C$15, $E$9, 100%, $G$9) + CHOOSE(CONTROL!$C$38, 0.0256, 0)</f>
        <v>61.673899999999996</v>
      </c>
      <c r="C832" s="10">
        <f>56.8879 * CHOOSE(CONTROL!$C$15, $E$9, 100%, $G$9) + CHOOSE(CONTROL!$C$38, 0.0347, 0)</f>
        <v>56.922600000000003</v>
      </c>
      <c r="D832" s="10">
        <f>56.8801 * CHOOSE(CONTROL!$C$15, $E$9, 100%, $G$9) + CHOOSE(CONTROL!$C$38, 0.0347, 0)</f>
        <v>56.9148</v>
      </c>
      <c r="E832" s="28">
        <f>61.492 * CHOOSE(CONTROL!$C$15, $E$9, 100%, $G$9) + CHOOSE(CONTROL!$C$38, 0.0347, 0)</f>
        <v>61.526699999999998</v>
      </c>
      <c r="F832" s="27">
        <f>61.492 * CHOOSE(CONTROL!$C$15, $E$9, 100%, $G$9) + CHOOSE(CONTROL!$C$38, 0.0256, 0)</f>
        <v>61.517599999999995</v>
      </c>
      <c r="G832" s="10">
        <f>56.8864 * CHOOSE(CONTROL!$C$15, $E$9, 100%, $G$9) + CHOOSE(CONTROL!$C$38, 0.0347, 0)</f>
        <v>56.921100000000003</v>
      </c>
      <c r="H832" s="10">
        <f>56.8864 * CHOOSE(CONTROL!$C$15, $E$9, 100%, $G$9) + CHOOSE(CONTROL!$C$38, 0.0347, 0)</f>
        <v>56.921100000000003</v>
      </c>
      <c r="I832" s="10">
        <f>56.8879 * CHOOSE(CONTROL!$C$15, $E$9, 100%, $G$9) + CHOOSE(CONTROL!$C$38, 0.0347, 0)</f>
        <v>56.922600000000003</v>
      </c>
      <c r="J832" s="26">
        <f>418.4199</f>
        <v>418.41989999999998</v>
      </c>
    </row>
    <row r="833" spans="1:10" ht="15.75" x14ac:dyDescent="0.25">
      <c r="A833" s="13">
        <v>66657</v>
      </c>
      <c r="B833" s="10">
        <f>61.2864 * CHOOSE(CONTROL!$C$15, $E$9, 100%, $G$9) + CHOOSE(CONTROL!$C$38, 0.0256, 0)</f>
        <v>61.311999999999998</v>
      </c>
      <c r="C833" s="10">
        <f>56.5261 * CHOOSE(CONTROL!$C$15, $E$9, 100%, $G$9) + CHOOSE(CONTROL!$C$38, 0.0347, 0)</f>
        <v>56.5608</v>
      </c>
      <c r="D833" s="10">
        <f>56.5183 * CHOOSE(CONTROL!$C$15, $E$9, 100%, $G$9) + CHOOSE(CONTROL!$C$38, 0.0347, 0)</f>
        <v>56.553000000000004</v>
      </c>
      <c r="E833" s="28">
        <f>61.1302 * CHOOSE(CONTROL!$C$15, $E$9, 100%, $G$9) + CHOOSE(CONTROL!$C$38, 0.0347, 0)</f>
        <v>61.164900000000003</v>
      </c>
      <c r="F833" s="27">
        <f>61.1302 * CHOOSE(CONTROL!$C$15, $E$9, 100%, $G$9) + CHOOSE(CONTROL!$C$38, 0.0256, 0)</f>
        <v>61.155799999999999</v>
      </c>
      <c r="G833" s="10">
        <f>56.5245 * CHOOSE(CONTROL!$C$15, $E$9, 100%, $G$9) + CHOOSE(CONTROL!$C$38, 0.0347, 0)</f>
        <v>56.559200000000004</v>
      </c>
      <c r="H833" s="10">
        <f>56.5245 * CHOOSE(CONTROL!$C$15, $E$9, 100%, $G$9) + CHOOSE(CONTROL!$C$38, 0.0347, 0)</f>
        <v>56.559200000000004</v>
      </c>
      <c r="I833" s="10">
        <f>56.5261 * CHOOSE(CONTROL!$C$15, $E$9, 100%, $G$9) + CHOOSE(CONTROL!$C$38, 0.0347, 0)</f>
        <v>56.5608</v>
      </c>
      <c r="J833" s="26">
        <f>424.4488</f>
        <v>424.44880000000001</v>
      </c>
    </row>
    <row r="834" spans="1:10" ht="15.75" x14ac:dyDescent="0.25">
      <c r="A834" s="13">
        <v>66688</v>
      </c>
      <c r="B834" s="10">
        <f>61.08 * CHOOSE(CONTROL!$C$15, $E$9, 100%, $G$9) + CHOOSE(CONTROL!$C$38, 0.0256, 0)</f>
        <v>61.105599999999995</v>
      </c>
      <c r="C834" s="10">
        <f>56.3196 * CHOOSE(CONTROL!$C$15, $E$9, 100%, $G$9) + CHOOSE(CONTROL!$C$38, 0.0347, 0)</f>
        <v>56.354300000000002</v>
      </c>
      <c r="D834" s="10">
        <f>56.3118 * CHOOSE(CONTROL!$C$15, $E$9, 100%, $G$9) + CHOOSE(CONTROL!$C$38, 0.0347, 0)</f>
        <v>56.346499999999999</v>
      </c>
      <c r="E834" s="28">
        <f>60.9237 * CHOOSE(CONTROL!$C$15, $E$9, 100%, $G$9) + CHOOSE(CONTROL!$C$38, 0.0347, 0)</f>
        <v>60.958399999999997</v>
      </c>
      <c r="F834" s="27">
        <f>60.9237 * CHOOSE(CONTROL!$C$15, $E$9, 100%, $G$9) + CHOOSE(CONTROL!$C$38, 0.0256, 0)</f>
        <v>60.949299999999994</v>
      </c>
      <c r="G834" s="10">
        <f>56.318 * CHOOSE(CONTROL!$C$15, $E$9, 100%, $G$9) + CHOOSE(CONTROL!$C$38, 0.0347, 0)</f>
        <v>56.352699999999999</v>
      </c>
      <c r="H834" s="10">
        <f>56.318 * CHOOSE(CONTROL!$C$15, $E$9, 100%, $G$9) + CHOOSE(CONTROL!$C$38, 0.0347, 0)</f>
        <v>56.352699999999999</v>
      </c>
      <c r="I834" s="10">
        <f>56.3196 * CHOOSE(CONTROL!$C$15, $E$9, 100%, $G$9) + CHOOSE(CONTROL!$C$38, 0.0347, 0)</f>
        <v>56.354300000000002</v>
      </c>
      <c r="J834" s="26">
        <f>422.4638</f>
        <v>422.46379999999999</v>
      </c>
    </row>
    <row r="835" spans="1:10" ht="15.75" x14ac:dyDescent="0.25">
      <c r="A835" s="13">
        <v>66719</v>
      </c>
      <c r="B835" s="10">
        <f>61.1819 * CHOOSE(CONTROL!$C$15, $E$9, 100%, $G$9) + CHOOSE(CONTROL!$C$38, 0.0256, 0)</f>
        <v>61.207499999999996</v>
      </c>
      <c r="C835" s="10">
        <f>56.4215 * CHOOSE(CONTROL!$C$15, $E$9, 100%, $G$9) + CHOOSE(CONTROL!$C$38, 0.0347, 0)</f>
        <v>56.456200000000003</v>
      </c>
      <c r="D835" s="10">
        <f>56.4137 * CHOOSE(CONTROL!$C$15, $E$9, 100%, $G$9) + CHOOSE(CONTROL!$C$38, 0.0347, 0)</f>
        <v>56.448399999999999</v>
      </c>
      <c r="E835" s="28">
        <f>61.0256 * CHOOSE(CONTROL!$C$15, $E$9, 100%, $G$9) + CHOOSE(CONTROL!$C$38, 0.0347, 0)</f>
        <v>61.060299999999998</v>
      </c>
      <c r="F835" s="27">
        <f>61.0256 * CHOOSE(CONTROL!$C$15, $E$9, 100%, $G$9) + CHOOSE(CONTROL!$C$38, 0.0256, 0)</f>
        <v>61.051199999999994</v>
      </c>
      <c r="G835" s="10">
        <f>56.4199 * CHOOSE(CONTROL!$C$15, $E$9, 100%, $G$9) + CHOOSE(CONTROL!$C$38, 0.0347, 0)</f>
        <v>56.454599999999999</v>
      </c>
      <c r="H835" s="10">
        <f>56.4199 * CHOOSE(CONTROL!$C$15, $E$9, 100%, $G$9) + CHOOSE(CONTROL!$C$38, 0.0347, 0)</f>
        <v>56.454599999999999</v>
      </c>
      <c r="I835" s="10">
        <f>56.4215 * CHOOSE(CONTROL!$C$15, $E$9, 100%, $G$9) + CHOOSE(CONTROL!$C$38, 0.0347, 0)</f>
        <v>56.456200000000003</v>
      </c>
      <c r="J835" s="26">
        <f>412.629</f>
        <v>412.62900000000002</v>
      </c>
    </row>
    <row r="836" spans="1:10" ht="15.75" x14ac:dyDescent="0.25">
      <c r="A836" s="13">
        <v>66749</v>
      </c>
      <c r="B836" s="10">
        <f>61.4587 * CHOOSE(CONTROL!$C$15, $E$9, 100%, $G$9) + CHOOSE(CONTROL!$C$38, 0.0256, 0)</f>
        <v>61.484299999999998</v>
      </c>
      <c r="C836" s="10">
        <f>56.6983 * CHOOSE(CONTROL!$C$15, $E$9, 100%, $G$9) + CHOOSE(CONTROL!$C$38, 0.0347, 0)</f>
        <v>56.733000000000004</v>
      </c>
      <c r="D836" s="10">
        <f>56.6905 * CHOOSE(CONTROL!$C$15, $E$9, 100%, $G$9) + CHOOSE(CONTROL!$C$38, 0.0347, 0)</f>
        <v>56.725200000000001</v>
      </c>
      <c r="E836" s="28">
        <f>61.3024 * CHOOSE(CONTROL!$C$15, $E$9, 100%, $G$9) + CHOOSE(CONTROL!$C$38, 0.0347, 0)</f>
        <v>61.3371</v>
      </c>
      <c r="F836" s="27">
        <f>61.3024 * CHOOSE(CONTROL!$C$15, $E$9, 100%, $G$9) + CHOOSE(CONTROL!$C$38, 0.0256, 0)</f>
        <v>61.327999999999996</v>
      </c>
      <c r="G836" s="10">
        <f>56.6967 * CHOOSE(CONTROL!$C$15, $E$9, 100%, $G$9) + CHOOSE(CONTROL!$C$38, 0.0347, 0)</f>
        <v>56.731400000000001</v>
      </c>
      <c r="H836" s="10">
        <f>56.6967 * CHOOSE(CONTROL!$C$15, $E$9, 100%, $G$9) + CHOOSE(CONTROL!$C$38, 0.0347, 0)</f>
        <v>56.731400000000001</v>
      </c>
      <c r="I836" s="10">
        <f>56.6983 * CHOOSE(CONTROL!$C$15, $E$9, 100%, $G$9) + CHOOSE(CONTROL!$C$38, 0.0347, 0)</f>
        <v>56.733000000000004</v>
      </c>
      <c r="J836" s="26">
        <f>398.914</f>
        <v>398.91399999999999</v>
      </c>
    </row>
    <row r="837" spans="1:10" ht="15.75" x14ac:dyDescent="0.25">
      <c r="A837" s="13">
        <v>66780</v>
      </c>
      <c r="B837" s="10">
        <f>61.6905 * CHOOSE(CONTROL!$C$15, $E$9, 100%, $G$9) + CHOOSE(CONTROL!$C$38, 0.0256, 0)</f>
        <v>61.716099999999997</v>
      </c>
      <c r="C837" s="10">
        <f>56.9301 * CHOOSE(CONTROL!$C$15, $E$9, 100%, $G$9) + CHOOSE(CONTROL!$C$38, 0.0347, 0)</f>
        <v>56.964800000000004</v>
      </c>
      <c r="D837" s="10">
        <f>56.9223 * CHOOSE(CONTROL!$C$15, $E$9, 100%, $G$9) + CHOOSE(CONTROL!$C$38, 0.0347, 0)</f>
        <v>56.957000000000001</v>
      </c>
      <c r="E837" s="28">
        <f>61.5342 * CHOOSE(CONTROL!$C$15, $E$9, 100%, $G$9) + CHOOSE(CONTROL!$C$38, 0.0347, 0)</f>
        <v>61.568899999999999</v>
      </c>
      <c r="F837" s="27">
        <f>61.5342 * CHOOSE(CONTROL!$C$15, $E$9, 100%, $G$9) + CHOOSE(CONTROL!$C$38, 0.0256, 0)</f>
        <v>61.559799999999996</v>
      </c>
      <c r="G837" s="10">
        <f>56.9286 * CHOOSE(CONTROL!$C$15, $E$9, 100%, $G$9) + CHOOSE(CONTROL!$C$38, 0.0347, 0)</f>
        <v>56.963300000000004</v>
      </c>
      <c r="H837" s="10">
        <f>56.9286 * CHOOSE(CONTROL!$C$15, $E$9, 100%, $G$9) + CHOOSE(CONTROL!$C$38, 0.0347, 0)</f>
        <v>56.963300000000004</v>
      </c>
      <c r="I837" s="10">
        <f>56.9301 * CHOOSE(CONTROL!$C$15, $E$9, 100%, $G$9) + CHOOSE(CONTROL!$C$38, 0.0347, 0)</f>
        <v>56.964800000000004</v>
      </c>
      <c r="J837" s="26">
        <f>385.1191</f>
        <v>385.1191</v>
      </c>
    </row>
    <row r="838" spans="1:10" ht="15.75" x14ac:dyDescent="0.25">
      <c r="A838" s="13">
        <v>66810</v>
      </c>
      <c r="B838" s="10">
        <f>61.8839 * CHOOSE(CONTROL!$C$15, $E$9, 100%, $G$9) + CHOOSE(CONTROL!$C$38, 0.0256, 0)</f>
        <v>61.909499999999994</v>
      </c>
      <c r="C838" s="10">
        <f>57.1236 * CHOOSE(CONTROL!$C$15, $E$9, 100%, $G$9) + CHOOSE(CONTROL!$C$38, 0.0347, 0)</f>
        <v>57.158300000000004</v>
      </c>
      <c r="D838" s="10">
        <f>57.1158 * CHOOSE(CONTROL!$C$15, $E$9, 100%, $G$9) + CHOOSE(CONTROL!$C$38, 0.0347, 0)</f>
        <v>57.150500000000001</v>
      </c>
      <c r="E838" s="28">
        <f>61.7277 * CHOOSE(CONTROL!$C$15, $E$9, 100%, $G$9) + CHOOSE(CONTROL!$C$38, 0.0347, 0)</f>
        <v>61.7624</v>
      </c>
      <c r="F838" s="27">
        <f>61.7277 * CHOOSE(CONTROL!$C$15, $E$9, 100%, $G$9) + CHOOSE(CONTROL!$C$38, 0.0256, 0)</f>
        <v>61.753299999999996</v>
      </c>
      <c r="G838" s="10">
        <f>57.122 * CHOOSE(CONTROL!$C$15, $E$9, 100%, $G$9) + CHOOSE(CONTROL!$C$38, 0.0347, 0)</f>
        <v>57.156700000000001</v>
      </c>
      <c r="H838" s="10">
        <f>57.122 * CHOOSE(CONTROL!$C$15, $E$9, 100%, $G$9) + CHOOSE(CONTROL!$C$38, 0.0347, 0)</f>
        <v>57.156700000000001</v>
      </c>
      <c r="I838" s="10">
        <f>57.1236 * CHOOSE(CONTROL!$C$15, $E$9, 100%, $G$9) + CHOOSE(CONTROL!$C$38, 0.0347, 0)</f>
        <v>57.158300000000004</v>
      </c>
      <c r="J838" s="26">
        <f>382.375</f>
        <v>382.375</v>
      </c>
    </row>
    <row r="839" spans="1:10" ht="15.75" x14ac:dyDescent="0.25">
      <c r="A839" s="13">
        <v>66841</v>
      </c>
      <c r="B839" s="10">
        <f>62.48 * CHOOSE(CONTROL!$C$15, $E$9, 100%, $G$9) + CHOOSE(CONTROL!$C$38, 0.0256, 0)</f>
        <v>62.505599999999994</v>
      </c>
      <c r="C839" s="10">
        <f>57.7196 * CHOOSE(CONTROL!$C$15, $E$9, 100%, $G$9) + CHOOSE(CONTROL!$C$38, 0.0347, 0)</f>
        <v>57.754300000000001</v>
      </c>
      <c r="D839" s="10">
        <f>57.7118 * CHOOSE(CONTROL!$C$15, $E$9, 100%, $G$9) + CHOOSE(CONTROL!$C$38, 0.0347, 0)</f>
        <v>57.746499999999997</v>
      </c>
      <c r="E839" s="28">
        <f>62.3237 * CHOOSE(CONTROL!$C$15, $E$9, 100%, $G$9) + CHOOSE(CONTROL!$C$38, 0.0347, 0)</f>
        <v>62.358400000000003</v>
      </c>
      <c r="F839" s="27">
        <f>62.3237 * CHOOSE(CONTROL!$C$15, $E$9, 100%, $G$9) + CHOOSE(CONTROL!$C$38, 0.0256, 0)</f>
        <v>62.349299999999999</v>
      </c>
      <c r="G839" s="10">
        <f>57.7181 * CHOOSE(CONTROL!$C$15, $E$9, 100%, $G$9) + CHOOSE(CONTROL!$C$38, 0.0347, 0)</f>
        <v>57.752800000000001</v>
      </c>
      <c r="H839" s="10">
        <f>57.7181 * CHOOSE(CONTROL!$C$15, $E$9, 100%, $G$9) + CHOOSE(CONTROL!$C$38, 0.0347, 0)</f>
        <v>57.752800000000001</v>
      </c>
      <c r="I839" s="10">
        <f>57.7196 * CHOOSE(CONTROL!$C$15, $E$9, 100%, $G$9) + CHOOSE(CONTROL!$C$38, 0.0347, 0)</f>
        <v>57.754300000000001</v>
      </c>
      <c r="J839" s="26">
        <f>371.028</f>
        <v>371.02800000000002</v>
      </c>
    </row>
    <row r="840" spans="1:10" ht="15.75" x14ac:dyDescent="0.25">
      <c r="A840" s="13">
        <v>66872</v>
      </c>
      <c r="B840" s="10">
        <f>64.0339 * CHOOSE(CONTROL!$C$15, $E$9, 100%, $G$9) + CHOOSE(CONTROL!$C$38, 0.0256, 0)</f>
        <v>64.0595</v>
      </c>
      <c r="C840" s="10">
        <f>59.1922 * CHOOSE(CONTROL!$C$15, $E$9, 100%, $G$9) + CHOOSE(CONTROL!$C$38, 0.0347, 0)</f>
        <v>59.226900000000001</v>
      </c>
      <c r="D840" s="10">
        <f>59.1843 * CHOOSE(CONTROL!$C$15, $E$9, 100%, $G$9) + CHOOSE(CONTROL!$C$38, 0.0347, 0)</f>
        <v>59.219000000000001</v>
      </c>
      <c r="E840" s="28">
        <f>63.8776 * CHOOSE(CONTROL!$C$15, $E$9, 100%, $G$9) + CHOOSE(CONTROL!$C$38, 0.0347, 0)</f>
        <v>63.912300000000002</v>
      </c>
      <c r="F840" s="27">
        <f>63.8776 * CHOOSE(CONTROL!$C$15, $E$9, 100%, $G$9) + CHOOSE(CONTROL!$C$38, 0.0256, 0)</f>
        <v>63.903199999999998</v>
      </c>
      <c r="G840" s="10">
        <f>59.1906 * CHOOSE(CONTROL!$C$15, $E$9, 100%, $G$9) + CHOOSE(CONTROL!$C$38, 0.0347, 0)</f>
        <v>59.225300000000004</v>
      </c>
      <c r="H840" s="10">
        <f>59.1906 * CHOOSE(CONTROL!$C$15, $E$9, 100%, $G$9) + CHOOSE(CONTROL!$C$38, 0.0347, 0)</f>
        <v>59.225300000000004</v>
      </c>
      <c r="I840" s="10">
        <f>59.1922 * CHOOSE(CONTROL!$C$15, $E$9, 100%, $G$9) + CHOOSE(CONTROL!$C$38, 0.0347, 0)</f>
        <v>59.226900000000001</v>
      </c>
      <c r="J840" s="26">
        <f>368.5427</f>
        <v>368.54270000000002</v>
      </c>
    </row>
    <row r="841" spans="1:10" ht="15.75" x14ac:dyDescent="0.25">
      <c r="A841" s="13">
        <v>66900</v>
      </c>
      <c r="B841" s="10">
        <f>64.2546 * CHOOSE(CONTROL!$C$15, $E$9, 100%, $G$9) + CHOOSE(CONTROL!$C$38, 0.0256, 0)</f>
        <v>64.280199999999994</v>
      </c>
      <c r="C841" s="10">
        <f>59.4129 * CHOOSE(CONTROL!$C$15, $E$9, 100%, $G$9) + CHOOSE(CONTROL!$C$38, 0.0347, 0)</f>
        <v>59.447600000000001</v>
      </c>
      <c r="D841" s="10">
        <f>59.4051 * CHOOSE(CONTROL!$C$15, $E$9, 100%, $G$9) + CHOOSE(CONTROL!$C$38, 0.0347, 0)</f>
        <v>59.439799999999998</v>
      </c>
      <c r="E841" s="28">
        <f>64.0984 * CHOOSE(CONTROL!$C$15, $E$9, 100%, $G$9) + CHOOSE(CONTROL!$C$38, 0.0347, 0)</f>
        <v>64.133099999999999</v>
      </c>
      <c r="F841" s="27">
        <f>64.0984 * CHOOSE(CONTROL!$C$15, $E$9, 100%, $G$9) + CHOOSE(CONTROL!$C$38, 0.0256, 0)</f>
        <v>64.123999999999995</v>
      </c>
      <c r="G841" s="10">
        <f>59.4114 * CHOOSE(CONTROL!$C$15, $E$9, 100%, $G$9) + CHOOSE(CONTROL!$C$38, 0.0347, 0)</f>
        <v>59.446100000000001</v>
      </c>
      <c r="H841" s="10">
        <f>59.4114 * CHOOSE(CONTROL!$C$15, $E$9, 100%, $G$9) + CHOOSE(CONTROL!$C$38, 0.0347, 0)</f>
        <v>59.446100000000001</v>
      </c>
      <c r="I841" s="10">
        <f>59.4129 * CHOOSE(CONTROL!$C$15, $E$9, 100%, $G$9) + CHOOSE(CONTROL!$C$38, 0.0347, 0)</f>
        <v>59.447600000000001</v>
      </c>
      <c r="J841" s="26">
        <f>367.5183</f>
        <v>367.51830000000001</v>
      </c>
    </row>
    <row r="842" spans="1:10" ht="15.75" x14ac:dyDescent="0.25">
      <c r="A842" s="13">
        <v>66931</v>
      </c>
      <c r="B842" s="10">
        <f>63.7436 * CHOOSE(CONTROL!$C$15, $E$9, 100%, $G$9) + CHOOSE(CONTROL!$C$38, 0.0256, 0)</f>
        <v>63.769199999999998</v>
      </c>
      <c r="C842" s="10">
        <f>58.9019 * CHOOSE(CONTROL!$C$15, $E$9, 100%, $G$9) + CHOOSE(CONTROL!$C$38, 0.0347, 0)</f>
        <v>58.936599999999999</v>
      </c>
      <c r="D842" s="10">
        <f>58.8941 * CHOOSE(CONTROL!$C$15, $E$9, 100%, $G$9) + CHOOSE(CONTROL!$C$38, 0.0347, 0)</f>
        <v>58.928800000000003</v>
      </c>
      <c r="E842" s="28">
        <f>63.5873 * CHOOSE(CONTROL!$C$15, $E$9, 100%, $G$9) + CHOOSE(CONTROL!$C$38, 0.0347, 0)</f>
        <v>63.622</v>
      </c>
      <c r="F842" s="27">
        <f>63.5873 * CHOOSE(CONTROL!$C$15, $E$9, 100%, $G$9) + CHOOSE(CONTROL!$C$38, 0.0256, 0)</f>
        <v>63.612899999999996</v>
      </c>
      <c r="G842" s="10">
        <f>58.9003 * CHOOSE(CONTROL!$C$15, $E$9, 100%, $G$9) + CHOOSE(CONTROL!$C$38, 0.0347, 0)</f>
        <v>58.935000000000002</v>
      </c>
      <c r="H842" s="10">
        <f>58.9003 * CHOOSE(CONTROL!$C$15, $E$9, 100%, $G$9) + CHOOSE(CONTROL!$C$38, 0.0347, 0)</f>
        <v>58.935000000000002</v>
      </c>
      <c r="I842" s="10">
        <f>58.9019 * CHOOSE(CONTROL!$C$15, $E$9, 100%, $G$9) + CHOOSE(CONTROL!$C$38, 0.0347, 0)</f>
        <v>58.936599999999999</v>
      </c>
      <c r="J842" s="26">
        <f>386.8886</f>
        <v>386.8886</v>
      </c>
    </row>
    <row r="843" spans="1:10" ht="15.75" x14ac:dyDescent="0.25">
      <c r="A843" s="13">
        <v>66961</v>
      </c>
      <c r="B843" s="10">
        <f>63.2484 * CHOOSE(CONTROL!$C$15, $E$9, 100%, $G$9) + CHOOSE(CONTROL!$C$38, 0.0256, 0)</f>
        <v>63.273999999999994</v>
      </c>
      <c r="C843" s="10">
        <f>58.4067 * CHOOSE(CONTROL!$C$15, $E$9, 100%, $G$9) + CHOOSE(CONTROL!$C$38, 0.0347, 0)</f>
        <v>58.441400000000002</v>
      </c>
      <c r="D843" s="10">
        <f>58.3989 * CHOOSE(CONTROL!$C$15, $E$9, 100%, $G$9) + CHOOSE(CONTROL!$C$38, 0.0347, 0)</f>
        <v>58.433599999999998</v>
      </c>
      <c r="E843" s="28">
        <f>63.0922 * CHOOSE(CONTROL!$C$15, $E$9, 100%, $G$9) + CHOOSE(CONTROL!$C$38, 0.0347, 0)</f>
        <v>63.126899999999999</v>
      </c>
      <c r="F843" s="27">
        <f>63.0922 * CHOOSE(CONTROL!$C$15, $E$9, 100%, $G$9) + CHOOSE(CONTROL!$C$38, 0.0256, 0)</f>
        <v>63.117799999999995</v>
      </c>
      <c r="G843" s="10">
        <f>58.4051 * CHOOSE(CONTROL!$C$15, $E$9, 100%, $G$9) + CHOOSE(CONTROL!$C$38, 0.0347, 0)</f>
        <v>58.439799999999998</v>
      </c>
      <c r="H843" s="10">
        <f>58.4051 * CHOOSE(CONTROL!$C$15, $E$9, 100%, $G$9) + CHOOSE(CONTROL!$C$38, 0.0347, 0)</f>
        <v>58.439799999999998</v>
      </c>
      <c r="I843" s="10">
        <f>58.4067 * CHOOSE(CONTROL!$C$15, $E$9, 100%, $G$9) + CHOOSE(CONTROL!$C$38, 0.0347, 0)</f>
        <v>58.441400000000002</v>
      </c>
      <c r="J843" s="26">
        <f>412.0073</f>
        <v>412.00729999999999</v>
      </c>
    </row>
    <row r="844" spans="1:10" ht="15.75" x14ac:dyDescent="0.25">
      <c r="A844" s="13">
        <v>66992</v>
      </c>
      <c r="B844" s="10">
        <f>62.7323 * CHOOSE(CONTROL!$C$15, $E$9, 100%, $G$9) + CHOOSE(CONTROL!$C$38, 0.0256, 0)</f>
        <v>62.757899999999999</v>
      </c>
      <c r="C844" s="10">
        <f>57.8906 * CHOOSE(CONTROL!$C$15, $E$9, 100%, $G$9) + CHOOSE(CONTROL!$C$38, 0.0347, 0)</f>
        <v>57.9253</v>
      </c>
      <c r="D844" s="10">
        <f>57.8828 * CHOOSE(CONTROL!$C$15, $E$9, 100%, $G$9) + CHOOSE(CONTROL!$C$38, 0.0347, 0)</f>
        <v>57.917500000000004</v>
      </c>
      <c r="E844" s="28">
        <f>62.576 * CHOOSE(CONTROL!$C$15, $E$9, 100%, $G$9) + CHOOSE(CONTROL!$C$38, 0.0347, 0)</f>
        <v>62.610700000000001</v>
      </c>
      <c r="F844" s="27">
        <f>62.576 * CHOOSE(CONTROL!$C$15, $E$9, 100%, $G$9) + CHOOSE(CONTROL!$C$38, 0.0256, 0)</f>
        <v>62.601599999999998</v>
      </c>
      <c r="G844" s="10">
        <f>57.889 * CHOOSE(CONTROL!$C$15, $E$9, 100%, $G$9) + CHOOSE(CONTROL!$C$38, 0.0347, 0)</f>
        <v>57.923700000000004</v>
      </c>
      <c r="H844" s="10">
        <f>57.889 * CHOOSE(CONTROL!$C$15, $E$9, 100%, $G$9) + CHOOSE(CONTROL!$C$38, 0.0347, 0)</f>
        <v>57.923700000000004</v>
      </c>
      <c r="I844" s="10">
        <f>57.8906 * CHOOSE(CONTROL!$C$15, $E$9, 100%, $G$9) + CHOOSE(CONTROL!$C$38, 0.0347, 0)</f>
        <v>57.9253</v>
      </c>
      <c r="J844" s="26">
        <f>425.8335</f>
        <v>425.83350000000002</v>
      </c>
    </row>
    <row r="845" spans="1:10" ht="15.75" x14ac:dyDescent="0.25">
      <c r="A845" s="13">
        <v>67022</v>
      </c>
      <c r="B845" s="10">
        <f>62.3705 * CHOOSE(CONTROL!$C$15, $E$9, 100%, $G$9) + CHOOSE(CONTROL!$C$38, 0.0256, 0)</f>
        <v>62.396099999999997</v>
      </c>
      <c r="C845" s="10">
        <f>57.5288 * CHOOSE(CONTROL!$C$15, $E$9, 100%, $G$9) + CHOOSE(CONTROL!$C$38, 0.0347, 0)</f>
        <v>57.563499999999998</v>
      </c>
      <c r="D845" s="10">
        <f>57.521 * CHOOSE(CONTROL!$C$15, $E$9, 100%, $G$9) + CHOOSE(CONTROL!$C$38, 0.0347, 0)</f>
        <v>57.555700000000002</v>
      </c>
      <c r="E845" s="28">
        <f>62.2142 * CHOOSE(CONTROL!$C$15, $E$9, 100%, $G$9) + CHOOSE(CONTROL!$C$38, 0.0347, 0)</f>
        <v>62.248899999999999</v>
      </c>
      <c r="F845" s="27">
        <f>62.2142 * CHOOSE(CONTROL!$C$15, $E$9, 100%, $G$9) + CHOOSE(CONTROL!$C$38, 0.0256, 0)</f>
        <v>62.239799999999995</v>
      </c>
      <c r="G845" s="10">
        <f>57.5272 * CHOOSE(CONTROL!$C$15, $E$9, 100%, $G$9) + CHOOSE(CONTROL!$C$38, 0.0347, 0)</f>
        <v>57.561900000000001</v>
      </c>
      <c r="H845" s="10">
        <f>57.5272 * CHOOSE(CONTROL!$C$15, $E$9, 100%, $G$9) + CHOOSE(CONTROL!$C$38, 0.0347, 0)</f>
        <v>57.561900000000001</v>
      </c>
      <c r="I845" s="10">
        <f>57.5288 * CHOOSE(CONTROL!$C$15, $E$9, 100%, $G$9) + CHOOSE(CONTROL!$C$38, 0.0347, 0)</f>
        <v>57.563499999999998</v>
      </c>
      <c r="J845" s="26">
        <f>431.9693</f>
        <v>431.96929999999998</v>
      </c>
    </row>
    <row r="846" spans="1:10" ht="15.75" x14ac:dyDescent="0.25">
      <c r="A846" s="13">
        <v>67053</v>
      </c>
      <c r="B846" s="10">
        <f>62.164 * CHOOSE(CONTROL!$C$15, $E$9, 100%, $G$9) + CHOOSE(CONTROL!$C$38, 0.0256, 0)</f>
        <v>62.189599999999999</v>
      </c>
      <c r="C846" s="10">
        <f>57.3223 * CHOOSE(CONTROL!$C$15, $E$9, 100%, $G$9) + CHOOSE(CONTROL!$C$38, 0.0347, 0)</f>
        <v>57.356999999999999</v>
      </c>
      <c r="D846" s="10">
        <f>57.3145 * CHOOSE(CONTROL!$C$15, $E$9, 100%, $G$9) + CHOOSE(CONTROL!$C$38, 0.0347, 0)</f>
        <v>57.349200000000003</v>
      </c>
      <c r="E846" s="28">
        <f>62.0077 * CHOOSE(CONTROL!$C$15, $E$9, 100%, $G$9) + CHOOSE(CONTROL!$C$38, 0.0347, 0)</f>
        <v>62.042400000000001</v>
      </c>
      <c r="F846" s="27">
        <f>62.0077 * CHOOSE(CONTROL!$C$15, $E$9, 100%, $G$9) + CHOOSE(CONTROL!$C$38, 0.0256, 0)</f>
        <v>62.033299999999997</v>
      </c>
      <c r="G846" s="10">
        <f>57.3207 * CHOOSE(CONTROL!$C$15, $E$9, 100%, $G$9) + CHOOSE(CONTROL!$C$38, 0.0347, 0)</f>
        <v>57.355400000000003</v>
      </c>
      <c r="H846" s="10">
        <f>57.3207 * CHOOSE(CONTROL!$C$15, $E$9, 100%, $G$9) + CHOOSE(CONTROL!$C$38, 0.0347, 0)</f>
        <v>57.355400000000003</v>
      </c>
      <c r="I846" s="10">
        <f>57.3223 * CHOOSE(CONTROL!$C$15, $E$9, 100%, $G$9) + CHOOSE(CONTROL!$C$38, 0.0347, 0)</f>
        <v>57.356999999999999</v>
      </c>
      <c r="J846" s="26">
        <f>429.9491</f>
        <v>429.94909999999999</v>
      </c>
    </row>
    <row r="847" spans="1:10" ht="15.75" x14ac:dyDescent="0.25">
      <c r="A847" s="13">
        <v>67084</v>
      </c>
      <c r="B847" s="10">
        <f>62.2659 * CHOOSE(CONTROL!$C$15, $E$9, 100%, $G$9) + CHOOSE(CONTROL!$C$38, 0.0256, 0)</f>
        <v>62.291499999999999</v>
      </c>
      <c r="C847" s="10">
        <f>57.4242 * CHOOSE(CONTROL!$C$15, $E$9, 100%, $G$9) + CHOOSE(CONTROL!$C$38, 0.0347, 0)</f>
        <v>57.4589</v>
      </c>
      <c r="D847" s="10">
        <f>57.4164 * CHOOSE(CONTROL!$C$15, $E$9, 100%, $G$9) + CHOOSE(CONTROL!$C$38, 0.0347, 0)</f>
        <v>57.451100000000004</v>
      </c>
      <c r="E847" s="28">
        <f>62.1096 * CHOOSE(CONTROL!$C$15, $E$9, 100%, $G$9) + CHOOSE(CONTROL!$C$38, 0.0347, 0)</f>
        <v>62.144300000000001</v>
      </c>
      <c r="F847" s="27">
        <f>62.1096 * CHOOSE(CONTROL!$C$15, $E$9, 100%, $G$9) + CHOOSE(CONTROL!$C$38, 0.0256, 0)</f>
        <v>62.135199999999998</v>
      </c>
      <c r="G847" s="10">
        <f>57.4226 * CHOOSE(CONTROL!$C$15, $E$9, 100%, $G$9) + CHOOSE(CONTROL!$C$38, 0.0347, 0)</f>
        <v>57.457300000000004</v>
      </c>
      <c r="H847" s="10">
        <f>57.4226 * CHOOSE(CONTROL!$C$15, $E$9, 100%, $G$9) + CHOOSE(CONTROL!$C$38, 0.0347, 0)</f>
        <v>57.457300000000004</v>
      </c>
      <c r="I847" s="10">
        <f>57.4242 * CHOOSE(CONTROL!$C$15, $E$9, 100%, $G$9) + CHOOSE(CONTROL!$C$38, 0.0347, 0)</f>
        <v>57.4589</v>
      </c>
      <c r="J847" s="26">
        <f>419.9401</f>
        <v>419.94009999999997</v>
      </c>
    </row>
    <row r="848" spans="1:10" ht="15.75" x14ac:dyDescent="0.25">
      <c r="A848" s="13">
        <v>67114</v>
      </c>
      <c r="B848" s="10">
        <f>62.5427 * CHOOSE(CONTROL!$C$15, $E$9, 100%, $G$9) + CHOOSE(CONTROL!$C$38, 0.0256, 0)</f>
        <v>62.568300000000001</v>
      </c>
      <c r="C848" s="10">
        <f>57.701 * CHOOSE(CONTROL!$C$15, $E$9, 100%, $G$9) + CHOOSE(CONTROL!$C$38, 0.0347, 0)</f>
        <v>57.735700000000001</v>
      </c>
      <c r="D848" s="10">
        <f>57.6932 * CHOOSE(CONTROL!$C$15, $E$9, 100%, $G$9) + CHOOSE(CONTROL!$C$38, 0.0347, 0)</f>
        <v>57.727899999999998</v>
      </c>
      <c r="E848" s="28">
        <f>62.3864 * CHOOSE(CONTROL!$C$15, $E$9, 100%, $G$9) + CHOOSE(CONTROL!$C$38, 0.0347, 0)</f>
        <v>62.421100000000003</v>
      </c>
      <c r="F848" s="27">
        <f>62.3864 * CHOOSE(CONTROL!$C$15, $E$9, 100%, $G$9) + CHOOSE(CONTROL!$C$38, 0.0256, 0)</f>
        <v>62.411999999999999</v>
      </c>
      <c r="G848" s="10">
        <f>57.6994 * CHOOSE(CONTROL!$C$15, $E$9, 100%, $G$9) + CHOOSE(CONTROL!$C$38, 0.0347, 0)</f>
        <v>57.734099999999998</v>
      </c>
      <c r="H848" s="10">
        <f>57.6994 * CHOOSE(CONTROL!$C$15, $E$9, 100%, $G$9) + CHOOSE(CONTROL!$C$38, 0.0347, 0)</f>
        <v>57.734099999999998</v>
      </c>
      <c r="I848" s="10">
        <f>57.701 * CHOOSE(CONTROL!$C$15, $E$9, 100%, $G$9) + CHOOSE(CONTROL!$C$38, 0.0347, 0)</f>
        <v>57.735700000000001</v>
      </c>
      <c r="J848" s="26">
        <f>405.982</f>
        <v>405.98200000000003</v>
      </c>
    </row>
    <row r="849" spans="1:10" ht="15.75" x14ac:dyDescent="0.25">
      <c r="A849" s="13">
        <v>67145</v>
      </c>
      <c r="B849" s="10">
        <f>62.7745 * CHOOSE(CONTROL!$C$15, $E$9, 100%, $G$9) + CHOOSE(CONTROL!$C$38, 0.0256, 0)</f>
        <v>62.8001</v>
      </c>
      <c r="C849" s="10">
        <f>57.9328 * CHOOSE(CONTROL!$C$15, $E$9, 100%, $G$9) + CHOOSE(CONTROL!$C$38, 0.0347, 0)</f>
        <v>57.967500000000001</v>
      </c>
      <c r="D849" s="10">
        <f>57.925 * CHOOSE(CONTROL!$C$15, $E$9, 100%, $G$9) + CHOOSE(CONTROL!$C$38, 0.0347, 0)</f>
        <v>57.959699999999998</v>
      </c>
      <c r="E849" s="28">
        <f>62.6183 * CHOOSE(CONTROL!$C$15, $E$9, 100%, $G$9) + CHOOSE(CONTROL!$C$38, 0.0347, 0)</f>
        <v>62.652999999999999</v>
      </c>
      <c r="F849" s="27">
        <f>62.6183 * CHOOSE(CONTROL!$C$15, $E$9, 100%, $G$9) + CHOOSE(CONTROL!$C$38, 0.0256, 0)</f>
        <v>62.643899999999995</v>
      </c>
      <c r="G849" s="10">
        <f>57.9312 * CHOOSE(CONTROL!$C$15, $E$9, 100%, $G$9) + CHOOSE(CONTROL!$C$38, 0.0347, 0)</f>
        <v>57.965899999999998</v>
      </c>
      <c r="H849" s="10">
        <f>57.9312 * CHOOSE(CONTROL!$C$15, $E$9, 100%, $G$9) + CHOOSE(CONTROL!$C$38, 0.0347, 0)</f>
        <v>57.965899999999998</v>
      </c>
      <c r="I849" s="10">
        <f>57.9328 * CHOOSE(CONTROL!$C$15, $E$9, 100%, $G$9) + CHOOSE(CONTROL!$C$38, 0.0347, 0)</f>
        <v>57.967500000000001</v>
      </c>
      <c r="J849" s="26">
        <f>391.9427</f>
        <v>391.9427</v>
      </c>
    </row>
    <row r="850" spans="1:10" ht="15.75" x14ac:dyDescent="0.25">
      <c r="A850" s="13">
        <v>67175</v>
      </c>
      <c r="B850" s="10">
        <f>62.9679 * CHOOSE(CONTROL!$C$15, $E$9, 100%, $G$9) + CHOOSE(CONTROL!$C$38, 0.0256, 0)</f>
        <v>62.993499999999997</v>
      </c>
      <c r="C850" s="10">
        <f>58.1262 * CHOOSE(CONTROL!$C$15, $E$9, 100%, $G$9) + CHOOSE(CONTROL!$C$38, 0.0347, 0)</f>
        <v>58.160899999999998</v>
      </c>
      <c r="D850" s="10">
        <f>58.1184 * CHOOSE(CONTROL!$C$15, $E$9, 100%, $G$9) + CHOOSE(CONTROL!$C$38, 0.0347, 0)</f>
        <v>58.153100000000002</v>
      </c>
      <c r="E850" s="28">
        <f>62.8117 * CHOOSE(CONTROL!$C$15, $E$9, 100%, $G$9) + CHOOSE(CONTROL!$C$38, 0.0347, 0)</f>
        <v>62.846400000000003</v>
      </c>
      <c r="F850" s="27">
        <f>62.8117 * CHOOSE(CONTROL!$C$15, $E$9, 100%, $G$9) + CHOOSE(CONTROL!$C$38, 0.0256, 0)</f>
        <v>62.837299999999999</v>
      </c>
      <c r="G850" s="10">
        <f>58.1247 * CHOOSE(CONTROL!$C$15, $E$9, 100%, $G$9) + CHOOSE(CONTROL!$C$38, 0.0347, 0)</f>
        <v>58.159399999999998</v>
      </c>
      <c r="H850" s="10">
        <f>58.1247 * CHOOSE(CONTROL!$C$15, $E$9, 100%, $G$9) + CHOOSE(CONTROL!$C$38, 0.0347, 0)</f>
        <v>58.159399999999998</v>
      </c>
      <c r="I850" s="10">
        <f>58.1262 * CHOOSE(CONTROL!$C$15, $E$9, 100%, $G$9) + CHOOSE(CONTROL!$C$38, 0.0347, 0)</f>
        <v>58.160899999999998</v>
      </c>
      <c r="J850" s="26">
        <f>389.15</f>
        <v>389.15</v>
      </c>
    </row>
    <row r="851" spans="1:10" ht="15.75" x14ac:dyDescent="0.25">
      <c r="A851" s="13">
        <v>67206</v>
      </c>
      <c r="B851" s="10">
        <f>63.564 * CHOOSE(CONTROL!$C$15, $E$9, 100%, $G$9) + CHOOSE(CONTROL!$C$38, 0.0256, 0)</f>
        <v>63.589599999999997</v>
      </c>
      <c r="C851" s="10">
        <f>58.7223 * CHOOSE(CONTROL!$C$15, $E$9, 100%, $G$9) + CHOOSE(CONTROL!$C$38, 0.0347, 0)</f>
        <v>58.756999999999998</v>
      </c>
      <c r="D851" s="10">
        <f>58.7145 * CHOOSE(CONTROL!$C$15, $E$9, 100%, $G$9) + CHOOSE(CONTROL!$C$38, 0.0347, 0)</f>
        <v>58.749200000000002</v>
      </c>
      <c r="E851" s="28">
        <f>63.4078 * CHOOSE(CONTROL!$C$15, $E$9, 100%, $G$9) + CHOOSE(CONTROL!$C$38, 0.0347, 0)</f>
        <v>63.442500000000003</v>
      </c>
      <c r="F851" s="27">
        <f>63.4078 * CHOOSE(CONTROL!$C$15, $E$9, 100%, $G$9) + CHOOSE(CONTROL!$C$38, 0.0256, 0)</f>
        <v>63.433399999999999</v>
      </c>
      <c r="G851" s="10">
        <f>58.7208 * CHOOSE(CONTROL!$C$15, $E$9, 100%, $G$9) + CHOOSE(CONTROL!$C$38, 0.0347, 0)</f>
        <v>58.755499999999998</v>
      </c>
      <c r="H851" s="10">
        <f>58.7208 * CHOOSE(CONTROL!$C$15, $E$9, 100%, $G$9) + CHOOSE(CONTROL!$C$38, 0.0347, 0)</f>
        <v>58.755499999999998</v>
      </c>
      <c r="I851" s="10">
        <f>58.7223 * CHOOSE(CONTROL!$C$15, $E$9, 100%, $G$9) + CHOOSE(CONTROL!$C$38, 0.0347, 0)</f>
        <v>58.756999999999998</v>
      </c>
      <c r="J851" s="26">
        <f>377.6019</f>
        <v>377.6019</v>
      </c>
    </row>
    <row r="852" spans="1:10" ht="15.75" x14ac:dyDescent="0.25">
      <c r="A852" s="13">
        <v>67237</v>
      </c>
      <c r="B852" s="10">
        <f>65.137 * CHOOSE(CONTROL!$C$15, $E$9, 100%, $G$9) + CHOOSE(CONTROL!$C$38, 0.0256, 0)</f>
        <v>65.162599999999998</v>
      </c>
      <c r="C852" s="10">
        <f>60.2125 * CHOOSE(CONTROL!$C$15, $E$9, 100%, $G$9) + CHOOSE(CONTROL!$C$38, 0.0347, 0)</f>
        <v>60.247199999999999</v>
      </c>
      <c r="D852" s="10">
        <f>60.2047 * CHOOSE(CONTROL!$C$15, $E$9, 100%, $G$9) + CHOOSE(CONTROL!$C$38, 0.0347, 0)</f>
        <v>60.239400000000003</v>
      </c>
      <c r="E852" s="28">
        <f>64.9808 * CHOOSE(CONTROL!$C$15, $E$9, 100%, $G$9) + CHOOSE(CONTROL!$C$38, 0.0347, 0)</f>
        <v>65.015500000000003</v>
      </c>
      <c r="F852" s="27">
        <f>64.9808 * CHOOSE(CONTROL!$C$15, $E$9, 100%, $G$9) + CHOOSE(CONTROL!$C$38, 0.0256, 0)</f>
        <v>65.006399999999999</v>
      </c>
      <c r="G852" s="10">
        <f>60.211 * CHOOSE(CONTROL!$C$15, $E$9, 100%, $G$9) + CHOOSE(CONTROL!$C$38, 0.0347, 0)</f>
        <v>60.245699999999999</v>
      </c>
      <c r="H852" s="10">
        <f>60.211 * CHOOSE(CONTROL!$C$15, $E$9, 100%, $G$9) + CHOOSE(CONTROL!$C$38, 0.0347, 0)</f>
        <v>60.245699999999999</v>
      </c>
      <c r="I852" s="10">
        <f>60.2125 * CHOOSE(CONTROL!$C$15, $E$9, 100%, $G$9) + CHOOSE(CONTROL!$C$38, 0.0347, 0)</f>
        <v>60.247199999999999</v>
      </c>
      <c r="J852" s="26">
        <f>375.0726</f>
        <v>375.07260000000002</v>
      </c>
    </row>
    <row r="853" spans="1:10" ht="15.75" x14ac:dyDescent="0.25">
      <c r="A853" s="13">
        <v>67266</v>
      </c>
      <c r="B853" s="10">
        <f>65.3578 * CHOOSE(CONTROL!$C$15, $E$9, 100%, $G$9) + CHOOSE(CONTROL!$C$38, 0.0256, 0)</f>
        <v>65.383399999999995</v>
      </c>
      <c r="C853" s="10">
        <f>60.4333 * CHOOSE(CONTROL!$C$15, $E$9, 100%, $G$9) + CHOOSE(CONTROL!$C$38, 0.0347, 0)</f>
        <v>60.468000000000004</v>
      </c>
      <c r="D853" s="10">
        <f>60.4255 * CHOOSE(CONTROL!$C$15, $E$9, 100%, $G$9) + CHOOSE(CONTROL!$C$38, 0.0347, 0)</f>
        <v>60.4602</v>
      </c>
      <c r="E853" s="28">
        <f>65.2015 * CHOOSE(CONTROL!$C$15, $E$9, 100%, $G$9) + CHOOSE(CONTROL!$C$38, 0.0347, 0)</f>
        <v>65.236199999999997</v>
      </c>
      <c r="F853" s="27">
        <f>65.2015 * CHOOSE(CONTROL!$C$15, $E$9, 100%, $G$9) + CHOOSE(CONTROL!$C$38, 0.0256, 0)</f>
        <v>65.227099999999993</v>
      </c>
      <c r="G853" s="10">
        <f>60.4317 * CHOOSE(CONTROL!$C$15, $E$9, 100%, $G$9) + CHOOSE(CONTROL!$C$38, 0.0347, 0)</f>
        <v>60.4664</v>
      </c>
      <c r="H853" s="10">
        <f>60.4317 * CHOOSE(CONTROL!$C$15, $E$9, 100%, $G$9) + CHOOSE(CONTROL!$C$38, 0.0347, 0)</f>
        <v>60.4664</v>
      </c>
      <c r="I853" s="10">
        <f>60.4333 * CHOOSE(CONTROL!$C$15, $E$9, 100%, $G$9) + CHOOSE(CONTROL!$C$38, 0.0347, 0)</f>
        <v>60.468000000000004</v>
      </c>
      <c r="J853" s="26">
        <f>374.03</f>
        <v>374.03</v>
      </c>
    </row>
    <row r="854" spans="1:10" ht="15.75" x14ac:dyDescent="0.25">
      <c r="A854" s="13">
        <v>67297</v>
      </c>
      <c r="B854" s="10">
        <f>64.8468 * CHOOSE(CONTROL!$C$15, $E$9, 100%, $G$9) + CHOOSE(CONTROL!$C$38, 0.0256, 0)</f>
        <v>64.872399999999999</v>
      </c>
      <c r="C854" s="10">
        <f>59.9223 * CHOOSE(CONTROL!$C$15, $E$9, 100%, $G$9) + CHOOSE(CONTROL!$C$38, 0.0347, 0)</f>
        <v>59.957000000000001</v>
      </c>
      <c r="D854" s="10">
        <f>59.9145 * CHOOSE(CONTROL!$C$15, $E$9, 100%, $G$9) + CHOOSE(CONTROL!$C$38, 0.0347, 0)</f>
        <v>59.949199999999998</v>
      </c>
      <c r="E854" s="28">
        <f>64.6905 * CHOOSE(CONTROL!$C$15, $E$9, 100%, $G$9) + CHOOSE(CONTROL!$C$38, 0.0347, 0)</f>
        <v>64.725200000000001</v>
      </c>
      <c r="F854" s="27">
        <f>64.6905 * CHOOSE(CONTROL!$C$15, $E$9, 100%, $G$9) + CHOOSE(CONTROL!$C$38, 0.0256, 0)</f>
        <v>64.716099999999997</v>
      </c>
      <c r="G854" s="10">
        <f>59.9207 * CHOOSE(CONTROL!$C$15, $E$9, 100%, $G$9) + CHOOSE(CONTROL!$C$38, 0.0347, 0)</f>
        <v>59.955399999999997</v>
      </c>
      <c r="H854" s="10">
        <f>59.9207 * CHOOSE(CONTROL!$C$15, $E$9, 100%, $G$9) + CHOOSE(CONTROL!$C$38, 0.0347, 0)</f>
        <v>59.955399999999997</v>
      </c>
      <c r="I854" s="10">
        <f>59.9223 * CHOOSE(CONTROL!$C$15, $E$9, 100%, $G$9) + CHOOSE(CONTROL!$C$38, 0.0347, 0)</f>
        <v>59.957000000000001</v>
      </c>
      <c r="J854" s="26">
        <f>393.7436</f>
        <v>393.74360000000001</v>
      </c>
    </row>
    <row r="855" spans="1:10" ht="15.75" x14ac:dyDescent="0.25">
      <c r="A855" s="13">
        <v>67327</v>
      </c>
      <c r="B855" s="10">
        <f>64.3516 * CHOOSE(CONTROL!$C$15, $E$9, 100%, $G$9) + CHOOSE(CONTROL!$C$38, 0.0256, 0)</f>
        <v>64.377200000000002</v>
      </c>
      <c r="C855" s="10">
        <f>59.4271 * CHOOSE(CONTROL!$C$15, $E$9, 100%, $G$9) + CHOOSE(CONTROL!$C$38, 0.0347, 0)</f>
        <v>59.461800000000004</v>
      </c>
      <c r="D855" s="10">
        <f>59.4193 * CHOOSE(CONTROL!$C$15, $E$9, 100%, $G$9) + CHOOSE(CONTROL!$C$38, 0.0347, 0)</f>
        <v>59.454000000000001</v>
      </c>
      <c r="E855" s="28">
        <f>64.1953 * CHOOSE(CONTROL!$C$15, $E$9, 100%, $G$9) + CHOOSE(CONTROL!$C$38, 0.0347, 0)</f>
        <v>64.23</v>
      </c>
      <c r="F855" s="27">
        <f>64.1953 * CHOOSE(CONTROL!$C$15, $E$9, 100%, $G$9) + CHOOSE(CONTROL!$C$38, 0.0256, 0)</f>
        <v>64.2209</v>
      </c>
      <c r="G855" s="10">
        <f>59.4255 * CHOOSE(CONTROL!$C$15, $E$9, 100%, $G$9) + CHOOSE(CONTROL!$C$38, 0.0347, 0)</f>
        <v>59.4602</v>
      </c>
      <c r="H855" s="10">
        <f>59.4255 * CHOOSE(CONTROL!$C$15, $E$9, 100%, $G$9) + CHOOSE(CONTROL!$C$38, 0.0347, 0)</f>
        <v>59.4602</v>
      </c>
      <c r="I855" s="10">
        <f>59.4271 * CHOOSE(CONTROL!$C$15, $E$9, 100%, $G$9) + CHOOSE(CONTROL!$C$38, 0.0347, 0)</f>
        <v>59.461800000000004</v>
      </c>
      <c r="J855" s="26">
        <f>419.3073</f>
        <v>419.3073</v>
      </c>
    </row>
    <row r="856" spans="1:10" ht="15.75" x14ac:dyDescent="0.25">
      <c r="A856" s="13">
        <v>67358</v>
      </c>
      <c r="B856" s="10">
        <f>63.8355 * CHOOSE(CONTROL!$C$15, $E$9, 100%, $G$9) + CHOOSE(CONTROL!$C$38, 0.0256, 0)</f>
        <v>63.8611</v>
      </c>
      <c r="C856" s="10">
        <f>58.911 * CHOOSE(CONTROL!$C$15, $E$9, 100%, $G$9) + CHOOSE(CONTROL!$C$38, 0.0347, 0)</f>
        <v>58.945700000000002</v>
      </c>
      <c r="D856" s="10">
        <f>58.9032 * CHOOSE(CONTROL!$C$15, $E$9, 100%, $G$9) + CHOOSE(CONTROL!$C$38, 0.0347, 0)</f>
        <v>58.937899999999999</v>
      </c>
      <c r="E856" s="28">
        <f>63.6792 * CHOOSE(CONTROL!$C$15, $E$9, 100%, $G$9) + CHOOSE(CONTROL!$C$38, 0.0347, 0)</f>
        <v>63.713900000000002</v>
      </c>
      <c r="F856" s="27">
        <f>63.6792 * CHOOSE(CONTROL!$C$15, $E$9, 100%, $G$9) + CHOOSE(CONTROL!$C$38, 0.0256, 0)</f>
        <v>63.704799999999999</v>
      </c>
      <c r="G856" s="10">
        <f>58.9094 * CHOOSE(CONTROL!$C$15, $E$9, 100%, $G$9) + CHOOSE(CONTROL!$C$38, 0.0347, 0)</f>
        <v>58.944099999999999</v>
      </c>
      <c r="H856" s="10">
        <f>58.9094 * CHOOSE(CONTROL!$C$15, $E$9, 100%, $G$9) + CHOOSE(CONTROL!$C$38, 0.0347, 0)</f>
        <v>58.944099999999999</v>
      </c>
      <c r="I856" s="10">
        <f>58.911 * CHOOSE(CONTROL!$C$15, $E$9, 100%, $G$9) + CHOOSE(CONTROL!$C$38, 0.0347, 0)</f>
        <v>58.945700000000002</v>
      </c>
      <c r="J856" s="26">
        <f>433.3784</f>
        <v>433.3784</v>
      </c>
    </row>
    <row r="857" spans="1:10" ht="15.75" x14ac:dyDescent="0.25">
      <c r="A857" s="13">
        <v>67388</v>
      </c>
      <c r="B857" s="10">
        <f>63.4736 * CHOOSE(CONTROL!$C$15, $E$9, 100%, $G$9) + CHOOSE(CONTROL!$C$38, 0.0256, 0)</f>
        <v>63.499199999999995</v>
      </c>
      <c r="C857" s="10">
        <f>58.5492 * CHOOSE(CONTROL!$C$15, $E$9, 100%, $G$9) + CHOOSE(CONTROL!$C$38, 0.0347, 0)</f>
        <v>58.5839</v>
      </c>
      <c r="D857" s="10">
        <f>58.5413 * CHOOSE(CONTROL!$C$15, $E$9, 100%, $G$9) + CHOOSE(CONTROL!$C$38, 0.0347, 0)</f>
        <v>58.576000000000001</v>
      </c>
      <c r="E857" s="28">
        <f>63.3174 * CHOOSE(CONTROL!$C$15, $E$9, 100%, $G$9) + CHOOSE(CONTROL!$C$38, 0.0347, 0)</f>
        <v>63.3521</v>
      </c>
      <c r="F857" s="27">
        <f>63.3174 * CHOOSE(CONTROL!$C$15, $E$9, 100%, $G$9) + CHOOSE(CONTROL!$C$38, 0.0256, 0)</f>
        <v>63.342999999999996</v>
      </c>
      <c r="G857" s="10">
        <f>58.5476 * CHOOSE(CONTROL!$C$15, $E$9, 100%, $G$9) + CHOOSE(CONTROL!$C$38, 0.0347, 0)</f>
        <v>58.582300000000004</v>
      </c>
      <c r="H857" s="10">
        <f>58.5476 * CHOOSE(CONTROL!$C$15, $E$9, 100%, $G$9) + CHOOSE(CONTROL!$C$38, 0.0347, 0)</f>
        <v>58.582300000000004</v>
      </c>
      <c r="I857" s="10">
        <f>58.5492 * CHOOSE(CONTROL!$C$15, $E$9, 100%, $G$9) + CHOOSE(CONTROL!$C$38, 0.0347, 0)</f>
        <v>58.5839</v>
      </c>
      <c r="J857" s="26">
        <f>439.623</f>
        <v>439.62299999999999</v>
      </c>
    </row>
    <row r="858" spans="1:10" ht="15.75" x14ac:dyDescent="0.25">
      <c r="A858" s="13">
        <v>67419</v>
      </c>
      <c r="B858" s="10">
        <f>63.2671 * CHOOSE(CONTROL!$C$15, $E$9, 100%, $G$9) + CHOOSE(CONTROL!$C$38, 0.0256, 0)</f>
        <v>63.292699999999996</v>
      </c>
      <c r="C858" s="10">
        <f>58.3427 * CHOOSE(CONTROL!$C$15, $E$9, 100%, $G$9) + CHOOSE(CONTROL!$C$38, 0.0347, 0)</f>
        <v>58.377400000000002</v>
      </c>
      <c r="D858" s="10">
        <f>58.3348 * CHOOSE(CONTROL!$C$15, $E$9, 100%, $G$9) + CHOOSE(CONTROL!$C$38, 0.0347, 0)</f>
        <v>58.369500000000002</v>
      </c>
      <c r="E858" s="28">
        <f>63.1109 * CHOOSE(CONTROL!$C$15, $E$9, 100%, $G$9) + CHOOSE(CONTROL!$C$38, 0.0347, 0)</f>
        <v>63.145600000000002</v>
      </c>
      <c r="F858" s="27">
        <f>63.1109 * CHOOSE(CONTROL!$C$15, $E$9, 100%, $G$9) + CHOOSE(CONTROL!$C$38, 0.0256, 0)</f>
        <v>63.136499999999998</v>
      </c>
      <c r="G858" s="10">
        <f>58.3411 * CHOOSE(CONTROL!$C$15, $E$9, 100%, $G$9) + CHOOSE(CONTROL!$C$38, 0.0347, 0)</f>
        <v>58.375799999999998</v>
      </c>
      <c r="H858" s="10">
        <f>58.3411 * CHOOSE(CONTROL!$C$15, $E$9, 100%, $G$9) + CHOOSE(CONTROL!$C$38, 0.0347, 0)</f>
        <v>58.375799999999998</v>
      </c>
      <c r="I858" s="10">
        <f>58.3427 * CHOOSE(CONTROL!$C$15, $E$9, 100%, $G$9) + CHOOSE(CONTROL!$C$38, 0.0347, 0)</f>
        <v>58.377400000000002</v>
      </c>
      <c r="J858" s="26">
        <f>437.567</f>
        <v>437.56700000000001</v>
      </c>
    </row>
    <row r="859" spans="1:10" ht="15.75" x14ac:dyDescent="0.25">
      <c r="A859" s="13">
        <v>67450</v>
      </c>
      <c r="B859" s="10">
        <f>63.3691 * CHOOSE(CONTROL!$C$15, $E$9, 100%, $G$9) + CHOOSE(CONTROL!$C$38, 0.0256, 0)</f>
        <v>63.3947</v>
      </c>
      <c r="C859" s="10">
        <f>58.4446 * CHOOSE(CONTROL!$C$15, $E$9, 100%, $G$9) + CHOOSE(CONTROL!$C$38, 0.0347, 0)</f>
        <v>58.479300000000002</v>
      </c>
      <c r="D859" s="10">
        <f>58.4368 * CHOOSE(CONTROL!$C$15, $E$9, 100%, $G$9) + CHOOSE(CONTROL!$C$38, 0.0347, 0)</f>
        <v>58.471499999999999</v>
      </c>
      <c r="E859" s="28">
        <f>63.2128 * CHOOSE(CONTROL!$C$15, $E$9, 100%, $G$9) + CHOOSE(CONTROL!$C$38, 0.0347, 0)</f>
        <v>63.247500000000002</v>
      </c>
      <c r="F859" s="27">
        <f>63.2128 * CHOOSE(CONTROL!$C$15, $E$9, 100%, $G$9) + CHOOSE(CONTROL!$C$38, 0.0256, 0)</f>
        <v>63.238399999999999</v>
      </c>
      <c r="G859" s="10">
        <f>58.443 * CHOOSE(CONTROL!$C$15, $E$9, 100%, $G$9) + CHOOSE(CONTROL!$C$38, 0.0347, 0)</f>
        <v>58.477699999999999</v>
      </c>
      <c r="H859" s="10">
        <f>58.443 * CHOOSE(CONTROL!$C$15, $E$9, 100%, $G$9) + CHOOSE(CONTROL!$C$38, 0.0347, 0)</f>
        <v>58.477699999999999</v>
      </c>
      <c r="I859" s="10">
        <f>58.4446 * CHOOSE(CONTROL!$C$15, $E$9, 100%, $G$9) + CHOOSE(CONTROL!$C$38, 0.0347, 0)</f>
        <v>58.479300000000002</v>
      </c>
      <c r="J859" s="26">
        <f>427.3806</f>
        <v>427.38060000000002</v>
      </c>
    </row>
    <row r="860" spans="1:10" ht="15.75" x14ac:dyDescent="0.25">
      <c r="A860" s="13">
        <v>67480</v>
      </c>
      <c r="B860" s="10">
        <f>63.6459 * CHOOSE(CONTROL!$C$15, $E$9, 100%, $G$9) + CHOOSE(CONTROL!$C$38, 0.0256, 0)</f>
        <v>63.671499999999995</v>
      </c>
      <c r="C860" s="10">
        <f>58.7214 * CHOOSE(CONTROL!$C$15, $E$9, 100%, $G$9) + CHOOSE(CONTROL!$C$38, 0.0347, 0)</f>
        <v>58.756100000000004</v>
      </c>
      <c r="D860" s="10">
        <f>58.7136 * CHOOSE(CONTROL!$C$15, $E$9, 100%, $G$9) + CHOOSE(CONTROL!$C$38, 0.0347, 0)</f>
        <v>58.7483</v>
      </c>
      <c r="E860" s="28">
        <f>63.4896 * CHOOSE(CONTROL!$C$15, $E$9, 100%, $G$9) + CHOOSE(CONTROL!$C$38, 0.0347, 0)</f>
        <v>63.524300000000004</v>
      </c>
      <c r="F860" s="27">
        <f>63.4896 * CHOOSE(CONTROL!$C$15, $E$9, 100%, $G$9) + CHOOSE(CONTROL!$C$38, 0.0256, 0)</f>
        <v>63.5152</v>
      </c>
      <c r="G860" s="10">
        <f>58.7198 * CHOOSE(CONTROL!$C$15, $E$9, 100%, $G$9) + CHOOSE(CONTROL!$C$38, 0.0347, 0)</f>
        <v>58.7545</v>
      </c>
      <c r="H860" s="10">
        <f>58.7198 * CHOOSE(CONTROL!$C$15, $E$9, 100%, $G$9) + CHOOSE(CONTROL!$C$38, 0.0347, 0)</f>
        <v>58.7545</v>
      </c>
      <c r="I860" s="10">
        <f>58.7214 * CHOOSE(CONTROL!$C$15, $E$9, 100%, $G$9) + CHOOSE(CONTROL!$C$38, 0.0347, 0)</f>
        <v>58.756100000000004</v>
      </c>
      <c r="J860" s="26">
        <f>413.1752</f>
        <v>413.17520000000002</v>
      </c>
    </row>
    <row r="861" spans="1:10" ht="15.75" x14ac:dyDescent="0.25">
      <c r="A861" s="13">
        <v>67511</v>
      </c>
      <c r="B861" s="10">
        <f>63.8777 * CHOOSE(CONTROL!$C$15, $E$9, 100%, $G$9) + CHOOSE(CONTROL!$C$38, 0.0256, 0)</f>
        <v>63.903299999999994</v>
      </c>
      <c r="C861" s="10">
        <f>58.9532 * CHOOSE(CONTROL!$C$15, $E$9, 100%, $G$9) + CHOOSE(CONTROL!$C$38, 0.0347, 0)</f>
        <v>58.987900000000003</v>
      </c>
      <c r="D861" s="10">
        <f>58.9454 * CHOOSE(CONTROL!$C$15, $E$9, 100%, $G$9) + CHOOSE(CONTROL!$C$38, 0.0347, 0)</f>
        <v>58.9801</v>
      </c>
      <c r="E861" s="28">
        <f>63.7214 * CHOOSE(CONTROL!$C$15, $E$9, 100%, $G$9) + CHOOSE(CONTROL!$C$38, 0.0347, 0)</f>
        <v>63.756100000000004</v>
      </c>
      <c r="F861" s="27">
        <f>63.7214 * CHOOSE(CONTROL!$C$15, $E$9, 100%, $G$9) + CHOOSE(CONTROL!$C$38, 0.0256, 0)</f>
        <v>63.747</v>
      </c>
      <c r="G861" s="10">
        <f>58.9516 * CHOOSE(CONTROL!$C$15, $E$9, 100%, $G$9) + CHOOSE(CONTROL!$C$38, 0.0347, 0)</f>
        <v>58.9863</v>
      </c>
      <c r="H861" s="10">
        <f>58.9516 * CHOOSE(CONTROL!$C$15, $E$9, 100%, $G$9) + CHOOSE(CONTROL!$C$38, 0.0347, 0)</f>
        <v>58.9863</v>
      </c>
      <c r="I861" s="10">
        <f>58.9532 * CHOOSE(CONTROL!$C$15, $E$9, 100%, $G$9) + CHOOSE(CONTROL!$C$38, 0.0347, 0)</f>
        <v>58.987900000000003</v>
      </c>
      <c r="J861" s="26">
        <f>398.8872</f>
        <v>398.88720000000001</v>
      </c>
    </row>
    <row r="862" spans="1:10" ht="15.75" x14ac:dyDescent="0.25">
      <c r="A862" s="13">
        <v>67541</v>
      </c>
      <c r="B862" s="10">
        <f>64.0711 * CHOOSE(CONTROL!$C$15, $E$9, 100%, $G$9) + CHOOSE(CONTROL!$C$38, 0.0256, 0)</f>
        <v>64.096699999999998</v>
      </c>
      <c r="C862" s="10">
        <f>59.1466 * CHOOSE(CONTROL!$C$15, $E$9, 100%, $G$9) + CHOOSE(CONTROL!$C$38, 0.0347, 0)</f>
        <v>59.1813</v>
      </c>
      <c r="D862" s="10">
        <f>59.1388 * CHOOSE(CONTROL!$C$15, $E$9, 100%, $G$9) + CHOOSE(CONTROL!$C$38, 0.0347, 0)</f>
        <v>59.173500000000004</v>
      </c>
      <c r="E862" s="28">
        <f>63.9149 * CHOOSE(CONTROL!$C$15, $E$9, 100%, $G$9) + CHOOSE(CONTROL!$C$38, 0.0347, 0)</f>
        <v>63.949600000000004</v>
      </c>
      <c r="F862" s="27">
        <f>63.9149 * CHOOSE(CONTROL!$C$15, $E$9, 100%, $G$9) + CHOOSE(CONTROL!$C$38, 0.0256, 0)</f>
        <v>63.9405</v>
      </c>
      <c r="G862" s="10">
        <f>59.1451 * CHOOSE(CONTROL!$C$15, $E$9, 100%, $G$9) + CHOOSE(CONTROL!$C$38, 0.0347, 0)</f>
        <v>59.1798</v>
      </c>
      <c r="H862" s="10">
        <f>59.1451 * CHOOSE(CONTROL!$C$15, $E$9, 100%, $G$9) + CHOOSE(CONTROL!$C$38, 0.0347, 0)</f>
        <v>59.1798</v>
      </c>
      <c r="I862" s="10">
        <f>59.1466 * CHOOSE(CONTROL!$C$15, $E$9, 100%, $G$9) + CHOOSE(CONTROL!$C$38, 0.0347, 0)</f>
        <v>59.1813</v>
      </c>
      <c r="J862" s="26">
        <f>396.045</f>
        <v>396.04500000000002</v>
      </c>
    </row>
    <row r="863" spans="1:10" ht="15.75" x14ac:dyDescent="0.25">
      <c r="A863" s="13">
        <v>67572</v>
      </c>
      <c r="B863" s="10">
        <f>64.6672 * CHOOSE(CONTROL!$C$15, $E$9, 100%, $G$9) + CHOOSE(CONTROL!$C$38, 0.0256, 0)</f>
        <v>64.692799999999991</v>
      </c>
      <c r="C863" s="10">
        <f>59.7427 * CHOOSE(CONTROL!$C$15, $E$9, 100%, $G$9) + CHOOSE(CONTROL!$C$38, 0.0347, 0)</f>
        <v>59.7774</v>
      </c>
      <c r="D863" s="10">
        <f>59.7349 * CHOOSE(CONTROL!$C$15, $E$9, 100%, $G$9) + CHOOSE(CONTROL!$C$38, 0.0347, 0)</f>
        <v>59.769600000000004</v>
      </c>
      <c r="E863" s="28">
        <f>64.5109 * CHOOSE(CONTROL!$C$15, $E$9, 100%, $G$9) + CHOOSE(CONTROL!$C$38, 0.0347, 0)</f>
        <v>64.545600000000007</v>
      </c>
      <c r="F863" s="27">
        <f>64.5109 * CHOOSE(CONTROL!$C$15, $E$9, 100%, $G$9) + CHOOSE(CONTROL!$C$38, 0.0256, 0)</f>
        <v>64.536500000000004</v>
      </c>
      <c r="G863" s="10">
        <f>59.7411 * CHOOSE(CONTROL!$C$15, $E$9, 100%, $G$9) + CHOOSE(CONTROL!$C$38, 0.0347, 0)</f>
        <v>59.775800000000004</v>
      </c>
      <c r="H863" s="10">
        <f>59.7411 * CHOOSE(CONTROL!$C$15, $E$9, 100%, $G$9) + CHOOSE(CONTROL!$C$38, 0.0347, 0)</f>
        <v>59.775800000000004</v>
      </c>
      <c r="I863" s="10">
        <f>59.7427 * CHOOSE(CONTROL!$C$15, $E$9, 100%, $G$9) + CHOOSE(CONTROL!$C$38, 0.0347, 0)</f>
        <v>59.7774</v>
      </c>
      <c r="J863" s="26">
        <f>384.2923</f>
        <v>384.29230000000001</v>
      </c>
    </row>
    <row r="864" spans="1:10" ht="15.75" x14ac:dyDescent="0.25">
      <c r="A864" s="13">
        <v>67603</v>
      </c>
      <c r="B864" s="10">
        <f>66.2597 * CHOOSE(CONTROL!$C$15, $E$9, 100%, $G$9) + CHOOSE(CONTROL!$C$38, 0.0256, 0)</f>
        <v>66.285299999999992</v>
      </c>
      <c r="C864" s="10">
        <f>61.251 * CHOOSE(CONTROL!$C$15, $E$9, 100%, $G$9) + CHOOSE(CONTROL!$C$38, 0.0347, 0)</f>
        <v>61.285699999999999</v>
      </c>
      <c r="D864" s="10">
        <f>61.2432 * CHOOSE(CONTROL!$C$15, $E$9, 100%, $G$9) + CHOOSE(CONTROL!$C$38, 0.0347, 0)</f>
        <v>61.277900000000002</v>
      </c>
      <c r="E864" s="28">
        <f>66.1034 * CHOOSE(CONTROL!$C$15, $E$9, 100%, $G$9) + CHOOSE(CONTROL!$C$38, 0.0347, 0)</f>
        <v>66.138099999999994</v>
      </c>
      <c r="F864" s="27">
        <f>66.1034 * CHOOSE(CONTROL!$C$15, $E$9, 100%, $G$9) + CHOOSE(CONTROL!$C$38, 0.0256, 0)</f>
        <v>66.128999999999991</v>
      </c>
      <c r="G864" s="10">
        <f>61.2494 * CHOOSE(CONTROL!$C$15, $E$9, 100%, $G$9) + CHOOSE(CONTROL!$C$38, 0.0347, 0)</f>
        <v>61.284100000000002</v>
      </c>
      <c r="H864" s="10">
        <f>61.2494 * CHOOSE(CONTROL!$C$15, $E$9, 100%, $G$9) + CHOOSE(CONTROL!$C$38, 0.0347, 0)</f>
        <v>61.284100000000002</v>
      </c>
      <c r="I864" s="10">
        <f>61.251 * CHOOSE(CONTROL!$C$15, $E$9, 100%, $G$9) + CHOOSE(CONTROL!$C$38, 0.0347, 0)</f>
        <v>61.285699999999999</v>
      </c>
      <c r="J864" s="26">
        <f>381.7182</f>
        <v>381.71820000000002</v>
      </c>
    </row>
    <row r="865" spans="1:10" ht="15.75" x14ac:dyDescent="0.25">
      <c r="A865" s="13">
        <v>67631</v>
      </c>
      <c r="B865" s="10">
        <f>66.4805 * CHOOSE(CONTROL!$C$15, $E$9, 100%, $G$9) + CHOOSE(CONTROL!$C$38, 0.0256, 0)</f>
        <v>66.506100000000004</v>
      </c>
      <c r="C865" s="10">
        <f>61.4717 * CHOOSE(CONTROL!$C$15, $E$9, 100%, $G$9) + CHOOSE(CONTROL!$C$38, 0.0347, 0)</f>
        <v>61.506399999999999</v>
      </c>
      <c r="D865" s="10">
        <f>61.4639 * CHOOSE(CONTROL!$C$15, $E$9, 100%, $G$9) + CHOOSE(CONTROL!$C$38, 0.0347, 0)</f>
        <v>61.498600000000003</v>
      </c>
      <c r="E865" s="28">
        <f>66.3242 * CHOOSE(CONTROL!$C$15, $E$9, 100%, $G$9) + CHOOSE(CONTROL!$C$38, 0.0347, 0)</f>
        <v>66.358900000000006</v>
      </c>
      <c r="F865" s="27">
        <f>66.3242 * CHOOSE(CONTROL!$C$15, $E$9, 100%, $G$9) + CHOOSE(CONTROL!$C$38, 0.0256, 0)</f>
        <v>66.349800000000002</v>
      </c>
      <c r="G865" s="10">
        <f>61.4702 * CHOOSE(CONTROL!$C$15, $E$9, 100%, $G$9) + CHOOSE(CONTROL!$C$38, 0.0347, 0)</f>
        <v>61.504899999999999</v>
      </c>
      <c r="H865" s="10">
        <f>61.4702 * CHOOSE(CONTROL!$C$15, $E$9, 100%, $G$9) + CHOOSE(CONTROL!$C$38, 0.0347, 0)</f>
        <v>61.504899999999999</v>
      </c>
      <c r="I865" s="10">
        <f>61.4717 * CHOOSE(CONTROL!$C$15, $E$9, 100%, $G$9) + CHOOSE(CONTROL!$C$38, 0.0347, 0)</f>
        <v>61.506399999999999</v>
      </c>
      <c r="J865" s="26">
        <f>380.6571</f>
        <v>380.65710000000001</v>
      </c>
    </row>
    <row r="866" spans="1:10" ht="15.75" x14ac:dyDescent="0.25">
      <c r="A866" s="13">
        <v>67662</v>
      </c>
      <c r="B866" s="10">
        <f>65.9694 * CHOOSE(CONTROL!$C$15, $E$9, 100%, $G$9) + CHOOSE(CONTROL!$C$38, 0.0256, 0)</f>
        <v>65.99499999999999</v>
      </c>
      <c r="C866" s="10">
        <f>60.9607 * CHOOSE(CONTROL!$C$15, $E$9, 100%, $G$9) + CHOOSE(CONTROL!$C$38, 0.0347, 0)</f>
        <v>60.995400000000004</v>
      </c>
      <c r="D866" s="10">
        <f>60.9529 * CHOOSE(CONTROL!$C$15, $E$9, 100%, $G$9) + CHOOSE(CONTROL!$C$38, 0.0347, 0)</f>
        <v>60.9876</v>
      </c>
      <c r="E866" s="28">
        <f>65.8132 * CHOOSE(CONTROL!$C$15, $E$9, 100%, $G$9) + CHOOSE(CONTROL!$C$38, 0.0347, 0)</f>
        <v>65.847899999999996</v>
      </c>
      <c r="F866" s="27">
        <f>65.8132 * CHOOSE(CONTROL!$C$15, $E$9, 100%, $G$9) + CHOOSE(CONTROL!$C$38, 0.0256, 0)</f>
        <v>65.838799999999992</v>
      </c>
      <c r="G866" s="10">
        <f>60.9591 * CHOOSE(CONTROL!$C$15, $E$9, 100%, $G$9) + CHOOSE(CONTROL!$C$38, 0.0347, 0)</f>
        <v>60.9938</v>
      </c>
      <c r="H866" s="10">
        <f>60.9591 * CHOOSE(CONTROL!$C$15, $E$9, 100%, $G$9) + CHOOSE(CONTROL!$C$38, 0.0347, 0)</f>
        <v>60.9938</v>
      </c>
      <c r="I866" s="10">
        <f>60.9607 * CHOOSE(CONTROL!$C$15, $E$9, 100%, $G$9) + CHOOSE(CONTROL!$C$38, 0.0347, 0)</f>
        <v>60.995400000000004</v>
      </c>
      <c r="J866" s="26">
        <f>400.72</f>
        <v>400.72</v>
      </c>
    </row>
    <row r="867" spans="1:10" ht="15.75" x14ac:dyDescent="0.25">
      <c r="A867" s="13">
        <v>67692</v>
      </c>
      <c r="B867" s="10">
        <f>65.4742 * CHOOSE(CONTROL!$C$15, $E$9, 100%, $G$9) + CHOOSE(CONTROL!$C$38, 0.0256, 0)</f>
        <v>65.499799999999993</v>
      </c>
      <c r="C867" s="10">
        <f>60.4655 * CHOOSE(CONTROL!$C$15, $E$9, 100%, $G$9) + CHOOSE(CONTROL!$C$38, 0.0347, 0)</f>
        <v>60.5002</v>
      </c>
      <c r="D867" s="10">
        <f>60.4577 * CHOOSE(CONTROL!$C$15, $E$9, 100%, $G$9) + CHOOSE(CONTROL!$C$38, 0.0347, 0)</f>
        <v>60.492400000000004</v>
      </c>
      <c r="E867" s="28">
        <f>65.318 * CHOOSE(CONTROL!$C$15, $E$9, 100%, $G$9) + CHOOSE(CONTROL!$C$38, 0.0347, 0)</f>
        <v>65.352699999999999</v>
      </c>
      <c r="F867" s="27">
        <f>65.318 * CHOOSE(CONTROL!$C$15, $E$9, 100%, $G$9) + CHOOSE(CONTROL!$C$38, 0.0256, 0)</f>
        <v>65.343599999999995</v>
      </c>
      <c r="G867" s="10">
        <f>60.464 * CHOOSE(CONTROL!$C$15, $E$9, 100%, $G$9) + CHOOSE(CONTROL!$C$38, 0.0347, 0)</f>
        <v>60.498699999999999</v>
      </c>
      <c r="H867" s="10">
        <f>60.464 * CHOOSE(CONTROL!$C$15, $E$9, 100%, $G$9) + CHOOSE(CONTROL!$C$38, 0.0347, 0)</f>
        <v>60.498699999999999</v>
      </c>
      <c r="I867" s="10">
        <f>60.4655 * CHOOSE(CONTROL!$C$15, $E$9, 100%, $G$9) + CHOOSE(CONTROL!$C$38, 0.0347, 0)</f>
        <v>60.5002</v>
      </c>
      <c r="J867" s="26">
        <f>426.7367</f>
        <v>426.73669999999998</v>
      </c>
    </row>
    <row r="868" spans="1:10" ht="15.75" x14ac:dyDescent="0.25">
      <c r="A868" s="13">
        <v>67723</v>
      </c>
      <c r="B868" s="10">
        <f>64.9581 * CHOOSE(CONTROL!$C$15, $E$9, 100%, $G$9) + CHOOSE(CONTROL!$C$38, 0.0256, 0)</f>
        <v>64.983699999999999</v>
      </c>
      <c r="C868" s="10">
        <f>59.9494 * CHOOSE(CONTROL!$C$15, $E$9, 100%, $G$9) + CHOOSE(CONTROL!$C$38, 0.0347, 0)</f>
        <v>59.984099999999998</v>
      </c>
      <c r="D868" s="10">
        <f>59.9416 * CHOOSE(CONTROL!$C$15, $E$9, 100%, $G$9) + CHOOSE(CONTROL!$C$38, 0.0347, 0)</f>
        <v>59.976300000000002</v>
      </c>
      <c r="E868" s="28">
        <f>64.8019 * CHOOSE(CONTROL!$C$15, $E$9, 100%, $G$9) + CHOOSE(CONTROL!$C$38, 0.0347, 0)</f>
        <v>64.836600000000004</v>
      </c>
      <c r="F868" s="27">
        <f>64.8019 * CHOOSE(CONTROL!$C$15, $E$9, 100%, $G$9) + CHOOSE(CONTROL!$C$38, 0.0256, 0)</f>
        <v>64.827500000000001</v>
      </c>
      <c r="G868" s="10">
        <f>59.9478 * CHOOSE(CONTROL!$C$15, $E$9, 100%, $G$9) + CHOOSE(CONTROL!$C$38, 0.0347, 0)</f>
        <v>59.982500000000002</v>
      </c>
      <c r="H868" s="10">
        <f>59.9478 * CHOOSE(CONTROL!$C$15, $E$9, 100%, $G$9) + CHOOSE(CONTROL!$C$38, 0.0347, 0)</f>
        <v>59.982500000000002</v>
      </c>
      <c r="I868" s="10">
        <f>59.9494 * CHOOSE(CONTROL!$C$15, $E$9, 100%, $G$9) + CHOOSE(CONTROL!$C$38, 0.0347, 0)</f>
        <v>59.984099999999998</v>
      </c>
      <c r="J868" s="26">
        <f>441.0571</f>
        <v>441.05709999999999</v>
      </c>
    </row>
    <row r="869" spans="1:10" ht="15.75" x14ac:dyDescent="0.25">
      <c r="A869" s="13">
        <v>67753</v>
      </c>
      <c r="B869" s="10">
        <f>64.5963 * CHOOSE(CONTROL!$C$15, $E$9, 100%, $G$9) + CHOOSE(CONTROL!$C$38, 0.0256, 0)</f>
        <v>64.621899999999997</v>
      </c>
      <c r="C869" s="10">
        <f>59.5876 * CHOOSE(CONTROL!$C$15, $E$9, 100%, $G$9) + CHOOSE(CONTROL!$C$38, 0.0347, 0)</f>
        <v>59.622300000000003</v>
      </c>
      <c r="D869" s="10">
        <f>59.5798 * CHOOSE(CONTROL!$C$15, $E$9, 100%, $G$9) + CHOOSE(CONTROL!$C$38, 0.0347, 0)</f>
        <v>59.6145</v>
      </c>
      <c r="E869" s="28">
        <f>64.4401 * CHOOSE(CONTROL!$C$15, $E$9, 100%, $G$9) + CHOOSE(CONTROL!$C$38, 0.0347, 0)</f>
        <v>64.474800000000002</v>
      </c>
      <c r="F869" s="27">
        <f>64.4401 * CHOOSE(CONTROL!$C$15, $E$9, 100%, $G$9) + CHOOSE(CONTROL!$C$38, 0.0256, 0)</f>
        <v>64.465699999999998</v>
      </c>
      <c r="G869" s="10">
        <f>59.586 * CHOOSE(CONTROL!$C$15, $E$9, 100%, $G$9) + CHOOSE(CONTROL!$C$38, 0.0347, 0)</f>
        <v>59.620699999999999</v>
      </c>
      <c r="H869" s="10">
        <f>59.586 * CHOOSE(CONTROL!$C$15, $E$9, 100%, $G$9) + CHOOSE(CONTROL!$C$38, 0.0347, 0)</f>
        <v>59.620699999999999</v>
      </c>
      <c r="I869" s="10">
        <f>59.5876 * CHOOSE(CONTROL!$C$15, $E$9, 100%, $G$9) + CHOOSE(CONTROL!$C$38, 0.0347, 0)</f>
        <v>59.622300000000003</v>
      </c>
      <c r="J869" s="26">
        <f>447.4122</f>
        <v>447.41219999999998</v>
      </c>
    </row>
    <row r="870" spans="1:10" ht="15.75" x14ac:dyDescent="0.25">
      <c r="A870" s="13">
        <v>67784</v>
      </c>
      <c r="B870" s="10">
        <f>64.3898 * CHOOSE(CONTROL!$C$15, $E$9, 100%, $G$9) + CHOOSE(CONTROL!$C$38, 0.0256, 0)</f>
        <v>64.415399999999991</v>
      </c>
      <c r="C870" s="10">
        <f>59.3811 * CHOOSE(CONTROL!$C$15, $E$9, 100%, $G$9) + CHOOSE(CONTROL!$C$38, 0.0347, 0)</f>
        <v>59.415800000000004</v>
      </c>
      <c r="D870" s="10">
        <f>59.3733 * CHOOSE(CONTROL!$C$15, $E$9, 100%, $G$9) + CHOOSE(CONTROL!$C$38, 0.0347, 0)</f>
        <v>59.408000000000001</v>
      </c>
      <c r="E870" s="28">
        <f>64.2336 * CHOOSE(CONTROL!$C$15, $E$9, 100%, $G$9) + CHOOSE(CONTROL!$C$38, 0.0347, 0)</f>
        <v>64.268299999999996</v>
      </c>
      <c r="F870" s="27">
        <f>64.2336 * CHOOSE(CONTROL!$C$15, $E$9, 100%, $G$9) + CHOOSE(CONTROL!$C$38, 0.0256, 0)</f>
        <v>64.259199999999993</v>
      </c>
      <c r="G870" s="10">
        <f>59.3795 * CHOOSE(CONTROL!$C$15, $E$9, 100%, $G$9) + CHOOSE(CONTROL!$C$38, 0.0347, 0)</f>
        <v>59.414200000000001</v>
      </c>
      <c r="H870" s="10">
        <f>59.3795 * CHOOSE(CONTROL!$C$15, $E$9, 100%, $G$9) + CHOOSE(CONTROL!$C$38, 0.0347, 0)</f>
        <v>59.414200000000001</v>
      </c>
      <c r="I870" s="10">
        <f>59.3811 * CHOOSE(CONTROL!$C$15, $E$9, 100%, $G$9) + CHOOSE(CONTROL!$C$38, 0.0347, 0)</f>
        <v>59.415800000000004</v>
      </c>
      <c r="J870" s="26">
        <f>445.3198</f>
        <v>445.31979999999999</v>
      </c>
    </row>
    <row r="871" spans="1:10" ht="15.75" x14ac:dyDescent="0.25">
      <c r="A871" s="13">
        <v>67815</v>
      </c>
      <c r="B871" s="10">
        <f>64.4917 * CHOOSE(CONTROL!$C$15, $E$9, 100%, $G$9) + CHOOSE(CONTROL!$C$38, 0.0256, 0)</f>
        <v>64.517299999999992</v>
      </c>
      <c r="C871" s="10">
        <f>59.483 * CHOOSE(CONTROL!$C$15, $E$9, 100%, $G$9) + CHOOSE(CONTROL!$C$38, 0.0347, 0)</f>
        <v>59.517699999999998</v>
      </c>
      <c r="D871" s="10">
        <f>59.4752 * CHOOSE(CONTROL!$C$15, $E$9, 100%, $G$9) + CHOOSE(CONTROL!$C$38, 0.0347, 0)</f>
        <v>59.509900000000002</v>
      </c>
      <c r="E871" s="28">
        <f>64.3355 * CHOOSE(CONTROL!$C$15, $E$9, 100%, $G$9) + CHOOSE(CONTROL!$C$38, 0.0347, 0)</f>
        <v>64.370199999999997</v>
      </c>
      <c r="F871" s="27">
        <f>64.3355 * CHOOSE(CONTROL!$C$15, $E$9, 100%, $G$9) + CHOOSE(CONTROL!$C$38, 0.0256, 0)</f>
        <v>64.361099999999993</v>
      </c>
      <c r="G871" s="10">
        <f>59.4814 * CHOOSE(CONTROL!$C$15, $E$9, 100%, $G$9) + CHOOSE(CONTROL!$C$38, 0.0347, 0)</f>
        <v>59.516100000000002</v>
      </c>
      <c r="H871" s="10">
        <f>59.4814 * CHOOSE(CONTROL!$C$15, $E$9, 100%, $G$9) + CHOOSE(CONTROL!$C$38, 0.0347, 0)</f>
        <v>59.516100000000002</v>
      </c>
      <c r="I871" s="10">
        <f>59.483 * CHOOSE(CONTROL!$C$15, $E$9, 100%, $G$9) + CHOOSE(CONTROL!$C$38, 0.0347, 0)</f>
        <v>59.517699999999998</v>
      </c>
      <c r="J871" s="26">
        <f>434.953</f>
        <v>434.95299999999997</v>
      </c>
    </row>
    <row r="872" spans="1:10" ht="15.75" x14ac:dyDescent="0.25">
      <c r="A872" s="13">
        <v>67845</v>
      </c>
      <c r="B872" s="10">
        <f>64.7685 * CHOOSE(CONTROL!$C$15, $E$9, 100%, $G$9) + CHOOSE(CONTROL!$C$38, 0.0256, 0)</f>
        <v>64.7941</v>
      </c>
      <c r="C872" s="10">
        <f>59.7598 * CHOOSE(CONTROL!$C$15, $E$9, 100%, $G$9) + CHOOSE(CONTROL!$C$38, 0.0347, 0)</f>
        <v>59.794499999999999</v>
      </c>
      <c r="D872" s="10">
        <f>59.752 * CHOOSE(CONTROL!$C$15, $E$9, 100%, $G$9) + CHOOSE(CONTROL!$C$38, 0.0347, 0)</f>
        <v>59.786700000000003</v>
      </c>
      <c r="E872" s="28">
        <f>64.6123 * CHOOSE(CONTROL!$C$15, $E$9, 100%, $G$9) + CHOOSE(CONTROL!$C$38, 0.0347, 0)</f>
        <v>64.647000000000006</v>
      </c>
      <c r="F872" s="27">
        <f>64.6123 * CHOOSE(CONTROL!$C$15, $E$9, 100%, $G$9) + CHOOSE(CONTROL!$C$38, 0.0256, 0)</f>
        <v>64.637900000000002</v>
      </c>
      <c r="G872" s="10">
        <f>59.7582 * CHOOSE(CONTROL!$C$15, $E$9, 100%, $G$9) + CHOOSE(CONTROL!$C$38, 0.0347, 0)</f>
        <v>59.792900000000003</v>
      </c>
      <c r="H872" s="10">
        <f>59.7582 * CHOOSE(CONTROL!$C$15, $E$9, 100%, $G$9) + CHOOSE(CONTROL!$C$38, 0.0347, 0)</f>
        <v>59.792900000000003</v>
      </c>
      <c r="I872" s="10">
        <f>59.7598 * CHOOSE(CONTROL!$C$15, $E$9, 100%, $G$9) + CHOOSE(CONTROL!$C$38, 0.0347, 0)</f>
        <v>59.794499999999999</v>
      </c>
      <c r="J872" s="26">
        <f>420.4959</f>
        <v>420.49590000000001</v>
      </c>
    </row>
    <row r="873" spans="1:10" ht="15.75" x14ac:dyDescent="0.25">
      <c r="A873" s="13">
        <v>67876</v>
      </c>
      <c r="B873" s="10">
        <f>65.0003 * CHOOSE(CONTROL!$C$15, $E$9, 100%, $G$9) + CHOOSE(CONTROL!$C$38, 0.0256, 0)</f>
        <v>65.025899999999993</v>
      </c>
      <c r="C873" s="10">
        <f>59.9916 * CHOOSE(CONTROL!$C$15, $E$9, 100%, $G$9) + CHOOSE(CONTROL!$C$38, 0.0347, 0)</f>
        <v>60.026299999999999</v>
      </c>
      <c r="D873" s="10">
        <f>59.9838 * CHOOSE(CONTROL!$C$15, $E$9, 100%, $G$9) + CHOOSE(CONTROL!$C$38, 0.0347, 0)</f>
        <v>60.018500000000003</v>
      </c>
      <c r="E873" s="28">
        <f>64.8441 * CHOOSE(CONTROL!$C$15, $E$9, 100%, $G$9) + CHOOSE(CONTROL!$C$38, 0.0347, 0)</f>
        <v>64.878799999999998</v>
      </c>
      <c r="F873" s="27">
        <f>64.8441 * CHOOSE(CONTROL!$C$15, $E$9, 100%, $G$9) + CHOOSE(CONTROL!$C$38, 0.0256, 0)</f>
        <v>64.869699999999995</v>
      </c>
      <c r="G873" s="10">
        <f>59.99 * CHOOSE(CONTROL!$C$15, $E$9, 100%, $G$9) + CHOOSE(CONTROL!$C$38, 0.0347, 0)</f>
        <v>60.024700000000003</v>
      </c>
      <c r="H873" s="10">
        <f>59.99 * CHOOSE(CONTROL!$C$15, $E$9, 100%, $G$9) + CHOOSE(CONTROL!$C$38, 0.0347, 0)</f>
        <v>60.024700000000003</v>
      </c>
      <c r="I873" s="10">
        <f>59.9916 * CHOOSE(CONTROL!$C$15, $E$9, 100%, $G$9) + CHOOSE(CONTROL!$C$38, 0.0347, 0)</f>
        <v>60.026299999999999</v>
      </c>
      <c r="J873" s="26">
        <f>405.9547</f>
        <v>405.9547</v>
      </c>
    </row>
    <row r="874" spans="1:10" ht="15.75" x14ac:dyDescent="0.25">
      <c r="A874" s="13">
        <v>67906</v>
      </c>
      <c r="B874" s="10">
        <f>65.1938 * CHOOSE(CONTROL!$C$15, $E$9, 100%, $G$9) + CHOOSE(CONTROL!$C$38, 0.0256, 0)</f>
        <v>65.219399999999993</v>
      </c>
      <c r="C874" s="10">
        <f>60.185 * CHOOSE(CONTROL!$C$15, $E$9, 100%, $G$9) + CHOOSE(CONTROL!$C$38, 0.0347, 0)</f>
        <v>60.219700000000003</v>
      </c>
      <c r="D874" s="10">
        <f>60.1772 * CHOOSE(CONTROL!$C$15, $E$9, 100%, $G$9) + CHOOSE(CONTROL!$C$38, 0.0347, 0)</f>
        <v>60.2119</v>
      </c>
      <c r="E874" s="28">
        <f>65.0375 * CHOOSE(CONTROL!$C$15, $E$9, 100%, $G$9) + CHOOSE(CONTROL!$C$38, 0.0347, 0)</f>
        <v>65.072199999999995</v>
      </c>
      <c r="F874" s="27">
        <f>65.0375 * CHOOSE(CONTROL!$C$15, $E$9, 100%, $G$9) + CHOOSE(CONTROL!$C$38, 0.0256, 0)</f>
        <v>65.063099999999991</v>
      </c>
      <c r="G874" s="10">
        <f>60.1835 * CHOOSE(CONTROL!$C$15, $E$9, 100%, $G$9) + CHOOSE(CONTROL!$C$38, 0.0347, 0)</f>
        <v>60.218200000000003</v>
      </c>
      <c r="H874" s="10">
        <f>60.1835 * CHOOSE(CONTROL!$C$15, $E$9, 100%, $G$9) + CHOOSE(CONTROL!$C$38, 0.0347, 0)</f>
        <v>60.218200000000003</v>
      </c>
      <c r="I874" s="10">
        <f>60.185 * CHOOSE(CONTROL!$C$15, $E$9, 100%, $G$9) + CHOOSE(CONTROL!$C$38, 0.0347, 0)</f>
        <v>60.219700000000003</v>
      </c>
      <c r="J874" s="26">
        <f>403.0622</f>
        <v>403.06220000000002</v>
      </c>
    </row>
    <row r="875" spans="1:10" ht="15.75" x14ac:dyDescent="0.25">
      <c r="A875" s="13">
        <v>67937</v>
      </c>
      <c r="B875" s="10">
        <f>65.7899 * CHOOSE(CONTROL!$C$15, $E$9, 100%, $G$9) + CHOOSE(CONTROL!$C$38, 0.0256, 0)</f>
        <v>65.8155</v>
      </c>
      <c r="C875" s="10">
        <f>60.7811 * CHOOSE(CONTROL!$C$15, $E$9, 100%, $G$9) + CHOOSE(CONTROL!$C$38, 0.0347, 0)</f>
        <v>60.815800000000003</v>
      </c>
      <c r="D875" s="10">
        <f>60.7733 * CHOOSE(CONTROL!$C$15, $E$9, 100%, $G$9) + CHOOSE(CONTROL!$C$38, 0.0347, 0)</f>
        <v>60.808</v>
      </c>
      <c r="E875" s="28">
        <f>65.6336 * CHOOSE(CONTROL!$C$15, $E$9, 100%, $G$9) + CHOOSE(CONTROL!$C$38, 0.0347, 0)</f>
        <v>65.668300000000002</v>
      </c>
      <c r="F875" s="27">
        <f>65.6336 * CHOOSE(CONTROL!$C$15, $E$9, 100%, $G$9) + CHOOSE(CONTROL!$C$38, 0.0256, 0)</f>
        <v>65.659199999999998</v>
      </c>
      <c r="G875" s="10">
        <f>60.7796 * CHOOSE(CONTROL!$C$15, $E$9, 100%, $G$9) + CHOOSE(CONTROL!$C$38, 0.0347, 0)</f>
        <v>60.814300000000003</v>
      </c>
      <c r="H875" s="10">
        <f>60.7796 * CHOOSE(CONTROL!$C$15, $E$9, 100%, $G$9) + CHOOSE(CONTROL!$C$38, 0.0347, 0)</f>
        <v>60.814300000000003</v>
      </c>
      <c r="I875" s="10">
        <f>60.7811 * CHOOSE(CONTROL!$C$15, $E$9, 100%, $G$9) + CHOOSE(CONTROL!$C$38, 0.0347, 0)</f>
        <v>60.815800000000003</v>
      </c>
      <c r="J875" s="26">
        <f>391.1013</f>
        <v>391.10129999999998</v>
      </c>
    </row>
    <row r="876" spans="1:10" ht="15.75" x14ac:dyDescent="0.25">
      <c r="A876" s="13">
        <v>67968</v>
      </c>
      <c r="B876" s="10">
        <f>67.4022 * CHOOSE(CONTROL!$C$15, $E$9, 100%, $G$9) + CHOOSE(CONTROL!$C$38, 0.0256, 0)</f>
        <v>67.427799999999991</v>
      </c>
      <c r="C876" s="10">
        <f>62.3077 * CHOOSE(CONTROL!$C$15, $E$9, 100%, $G$9) + CHOOSE(CONTROL!$C$38, 0.0347, 0)</f>
        <v>62.342399999999998</v>
      </c>
      <c r="D876" s="10">
        <f>62.2999 * CHOOSE(CONTROL!$C$15, $E$9, 100%, $G$9) + CHOOSE(CONTROL!$C$38, 0.0347, 0)</f>
        <v>62.334600000000002</v>
      </c>
      <c r="E876" s="28">
        <f>67.2459 * CHOOSE(CONTROL!$C$15, $E$9, 100%, $G$9) + CHOOSE(CONTROL!$C$38, 0.0347, 0)</f>
        <v>67.280600000000007</v>
      </c>
      <c r="F876" s="27">
        <f>67.2459 * CHOOSE(CONTROL!$C$15, $E$9, 100%, $G$9) + CHOOSE(CONTROL!$C$38, 0.0256, 0)</f>
        <v>67.271500000000003</v>
      </c>
      <c r="G876" s="10">
        <f>62.3062 * CHOOSE(CONTROL!$C$15, $E$9, 100%, $G$9) + CHOOSE(CONTROL!$C$38, 0.0347, 0)</f>
        <v>62.340899999999998</v>
      </c>
      <c r="H876" s="10">
        <f>62.3062 * CHOOSE(CONTROL!$C$15, $E$9, 100%, $G$9) + CHOOSE(CONTROL!$C$38, 0.0347, 0)</f>
        <v>62.340899999999998</v>
      </c>
      <c r="I876" s="10">
        <f>62.3077 * CHOOSE(CONTROL!$C$15, $E$9, 100%, $G$9) + CHOOSE(CONTROL!$C$38, 0.0347, 0)</f>
        <v>62.342399999999998</v>
      </c>
      <c r="J876" s="26">
        <f>388.4815</f>
        <v>388.48149999999998</v>
      </c>
    </row>
    <row r="877" spans="1:10" ht="15.75" x14ac:dyDescent="0.25">
      <c r="A877" s="13">
        <v>67996</v>
      </c>
      <c r="B877" s="10">
        <f>67.623 * CHOOSE(CONTROL!$C$15, $E$9, 100%, $G$9) + CHOOSE(CONTROL!$C$38, 0.0256, 0)</f>
        <v>67.648600000000002</v>
      </c>
      <c r="C877" s="10">
        <f>62.5285 * CHOOSE(CONTROL!$C$15, $E$9, 100%, $G$9) + CHOOSE(CONTROL!$C$38, 0.0347, 0)</f>
        <v>62.563200000000002</v>
      </c>
      <c r="D877" s="10">
        <f>62.5207 * CHOOSE(CONTROL!$C$15, $E$9, 100%, $G$9) + CHOOSE(CONTROL!$C$38, 0.0347, 0)</f>
        <v>62.555399999999999</v>
      </c>
      <c r="E877" s="28">
        <f>67.4667 * CHOOSE(CONTROL!$C$15, $E$9, 100%, $G$9) + CHOOSE(CONTROL!$C$38, 0.0347, 0)</f>
        <v>67.501400000000004</v>
      </c>
      <c r="F877" s="27">
        <f>67.4667 * CHOOSE(CONTROL!$C$15, $E$9, 100%, $G$9) + CHOOSE(CONTROL!$C$38, 0.0256, 0)</f>
        <v>67.4923</v>
      </c>
      <c r="G877" s="10">
        <f>62.5269 * CHOOSE(CONTROL!$C$15, $E$9, 100%, $G$9) + CHOOSE(CONTROL!$C$38, 0.0347, 0)</f>
        <v>62.561599999999999</v>
      </c>
      <c r="H877" s="10">
        <f>62.5269 * CHOOSE(CONTROL!$C$15, $E$9, 100%, $G$9) + CHOOSE(CONTROL!$C$38, 0.0347, 0)</f>
        <v>62.561599999999999</v>
      </c>
      <c r="I877" s="10">
        <f>62.5285 * CHOOSE(CONTROL!$C$15, $E$9, 100%, $G$9) + CHOOSE(CONTROL!$C$38, 0.0347, 0)</f>
        <v>62.563200000000002</v>
      </c>
      <c r="J877" s="26">
        <f>387.4016</f>
        <v>387.40159999999997</v>
      </c>
    </row>
    <row r="878" spans="1:10" ht="15.75" x14ac:dyDescent="0.25">
      <c r="A878" s="13">
        <v>68027</v>
      </c>
      <c r="B878" s="10">
        <f>67.1119 * CHOOSE(CONTROL!$C$15, $E$9, 100%, $G$9) + CHOOSE(CONTROL!$C$38, 0.0256, 0)</f>
        <v>67.137500000000003</v>
      </c>
      <c r="C878" s="10">
        <f>62.0175 * CHOOSE(CONTROL!$C$15, $E$9, 100%, $G$9) + CHOOSE(CONTROL!$C$38, 0.0347, 0)</f>
        <v>62.052199999999999</v>
      </c>
      <c r="D878" s="10">
        <f>62.0096 * CHOOSE(CONTROL!$C$15, $E$9, 100%, $G$9) + CHOOSE(CONTROL!$C$38, 0.0347, 0)</f>
        <v>62.0443</v>
      </c>
      <c r="E878" s="28">
        <f>66.9557 * CHOOSE(CONTROL!$C$15, $E$9, 100%, $G$9) + CHOOSE(CONTROL!$C$38, 0.0347, 0)</f>
        <v>66.990399999999994</v>
      </c>
      <c r="F878" s="27">
        <f>66.9557 * CHOOSE(CONTROL!$C$15, $E$9, 100%, $G$9) + CHOOSE(CONTROL!$C$38, 0.0256, 0)</f>
        <v>66.98129999999999</v>
      </c>
      <c r="G878" s="10">
        <f>62.0159 * CHOOSE(CONTROL!$C$15, $E$9, 100%, $G$9) + CHOOSE(CONTROL!$C$38, 0.0347, 0)</f>
        <v>62.050600000000003</v>
      </c>
      <c r="H878" s="10">
        <f>62.0159 * CHOOSE(CONTROL!$C$15, $E$9, 100%, $G$9) + CHOOSE(CONTROL!$C$38, 0.0347, 0)</f>
        <v>62.050600000000003</v>
      </c>
      <c r="I878" s="10">
        <f>62.0175 * CHOOSE(CONTROL!$C$15, $E$9, 100%, $G$9) + CHOOSE(CONTROL!$C$38, 0.0347, 0)</f>
        <v>62.052199999999999</v>
      </c>
      <c r="J878" s="26">
        <f>407.82</f>
        <v>407.82</v>
      </c>
    </row>
    <row r="879" spans="1:10" ht="15.75" x14ac:dyDescent="0.25">
      <c r="A879" s="13">
        <v>68057</v>
      </c>
      <c r="B879" s="10">
        <f>66.6167 * CHOOSE(CONTROL!$C$15, $E$9, 100%, $G$9) + CHOOSE(CONTROL!$C$38, 0.0256, 0)</f>
        <v>66.642299999999992</v>
      </c>
      <c r="C879" s="10">
        <f>61.5223 * CHOOSE(CONTROL!$C$15, $E$9, 100%, $G$9) + CHOOSE(CONTROL!$C$38, 0.0347, 0)</f>
        <v>61.557000000000002</v>
      </c>
      <c r="D879" s="10">
        <f>61.5145 * CHOOSE(CONTROL!$C$15, $E$9, 100%, $G$9) + CHOOSE(CONTROL!$C$38, 0.0347, 0)</f>
        <v>61.549199999999999</v>
      </c>
      <c r="E879" s="28">
        <f>66.4605 * CHOOSE(CONTROL!$C$15, $E$9, 100%, $G$9) + CHOOSE(CONTROL!$C$38, 0.0347, 0)</f>
        <v>66.495199999999997</v>
      </c>
      <c r="F879" s="27">
        <f>66.4605 * CHOOSE(CONTROL!$C$15, $E$9, 100%, $G$9) + CHOOSE(CONTROL!$C$38, 0.0256, 0)</f>
        <v>66.486099999999993</v>
      </c>
      <c r="G879" s="10">
        <f>61.5207 * CHOOSE(CONTROL!$C$15, $E$9, 100%, $G$9) + CHOOSE(CONTROL!$C$38, 0.0347, 0)</f>
        <v>61.555399999999999</v>
      </c>
      <c r="H879" s="10">
        <f>61.5207 * CHOOSE(CONTROL!$C$15, $E$9, 100%, $G$9) + CHOOSE(CONTROL!$C$38, 0.0347, 0)</f>
        <v>61.555399999999999</v>
      </c>
      <c r="I879" s="10">
        <f>61.5223 * CHOOSE(CONTROL!$C$15, $E$9, 100%, $G$9) + CHOOSE(CONTROL!$C$38, 0.0347, 0)</f>
        <v>61.557000000000002</v>
      </c>
      <c r="J879" s="26">
        <f>434.2976</f>
        <v>434.29759999999999</v>
      </c>
    </row>
    <row r="880" spans="1:10" ht="15.75" x14ac:dyDescent="0.25">
      <c r="A880" s="13">
        <v>68088</v>
      </c>
      <c r="B880" s="10">
        <f>66.1006 * CHOOSE(CONTROL!$C$15, $E$9, 100%, $G$9) + CHOOSE(CONTROL!$C$38, 0.0256, 0)</f>
        <v>66.126199999999997</v>
      </c>
      <c r="C880" s="10">
        <f>61.0062 * CHOOSE(CONTROL!$C$15, $E$9, 100%, $G$9) + CHOOSE(CONTROL!$C$38, 0.0347, 0)</f>
        <v>61.040900000000001</v>
      </c>
      <c r="D880" s="10">
        <f>60.9984 * CHOOSE(CONTROL!$C$15, $E$9, 100%, $G$9) + CHOOSE(CONTROL!$C$38, 0.0347, 0)</f>
        <v>61.033099999999997</v>
      </c>
      <c r="E880" s="28">
        <f>65.9444 * CHOOSE(CONTROL!$C$15, $E$9, 100%, $G$9) + CHOOSE(CONTROL!$C$38, 0.0347, 0)</f>
        <v>65.979100000000003</v>
      </c>
      <c r="F880" s="27">
        <f>65.9444 * CHOOSE(CONTROL!$C$15, $E$9, 100%, $G$9) + CHOOSE(CONTROL!$C$38, 0.0256, 0)</f>
        <v>65.97</v>
      </c>
      <c r="G880" s="10">
        <f>61.0046 * CHOOSE(CONTROL!$C$15, $E$9, 100%, $G$9) + CHOOSE(CONTROL!$C$38, 0.0347, 0)</f>
        <v>61.039300000000004</v>
      </c>
      <c r="H880" s="10">
        <f>61.0046 * CHOOSE(CONTROL!$C$15, $E$9, 100%, $G$9) + CHOOSE(CONTROL!$C$38, 0.0347, 0)</f>
        <v>61.039300000000004</v>
      </c>
      <c r="I880" s="10">
        <f>61.0062 * CHOOSE(CONTROL!$C$15, $E$9, 100%, $G$9) + CHOOSE(CONTROL!$C$38, 0.0347, 0)</f>
        <v>61.040900000000001</v>
      </c>
      <c r="J880" s="26">
        <f>448.8718</f>
        <v>448.87180000000001</v>
      </c>
    </row>
    <row r="881" spans="1:10" ht="15.75" x14ac:dyDescent="0.25">
      <c r="A881" s="13">
        <v>68118</v>
      </c>
      <c r="B881" s="10">
        <f>65.7388 * CHOOSE(CONTROL!$C$15, $E$9, 100%, $G$9) + CHOOSE(CONTROL!$C$38, 0.0256, 0)</f>
        <v>65.764399999999995</v>
      </c>
      <c r="C881" s="10">
        <f>60.6443 * CHOOSE(CONTROL!$C$15, $E$9, 100%, $G$9) + CHOOSE(CONTROL!$C$38, 0.0347, 0)</f>
        <v>60.679000000000002</v>
      </c>
      <c r="D881" s="10">
        <f>60.6365 * CHOOSE(CONTROL!$C$15, $E$9, 100%, $G$9) + CHOOSE(CONTROL!$C$38, 0.0347, 0)</f>
        <v>60.671199999999999</v>
      </c>
      <c r="E881" s="28">
        <f>65.5825 * CHOOSE(CONTROL!$C$15, $E$9, 100%, $G$9) + CHOOSE(CONTROL!$C$38, 0.0347, 0)</f>
        <v>65.617199999999997</v>
      </c>
      <c r="F881" s="27">
        <f>65.5825 * CHOOSE(CONTROL!$C$15, $E$9, 100%, $G$9) + CHOOSE(CONTROL!$C$38, 0.0256, 0)</f>
        <v>65.608099999999993</v>
      </c>
      <c r="G881" s="10">
        <f>60.6428 * CHOOSE(CONTROL!$C$15, $E$9, 100%, $G$9) + CHOOSE(CONTROL!$C$38, 0.0347, 0)</f>
        <v>60.677500000000002</v>
      </c>
      <c r="H881" s="10">
        <f>60.6428 * CHOOSE(CONTROL!$C$15, $E$9, 100%, $G$9) + CHOOSE(CONTROL!$C$38, 0.0347, 0)</f>
        <v>60.677500000000002</v>
      </c>
      <c r="I881" s="10">
        <f>60.6443 * CHOOSE(CONTROL!$C$15, $E$9, 100%, $G$9) + CHOOSE(CONTROL!$C$38, 0.0347, 0)</f>
        <v>60.679000000000002</v>
      </c>
      <c r="J881" s="26">
        <f>455.3395</f>
        <v>455.33949999999999</v>
      </c>
    </row>
    <row r="882" spans="1:10" ht="15.75" x14ac:dyDescent="0.25">
      <c r="A882" s="13">
        <v>68149</v>
      </c>
      <c r="B882" s="10">
        <f>65.5323 * CHOOSE(CONTROL!$C$15, $E$9, 100%, $G$9) + CHOOSE(CONTROL!$C$38, 0.0256, 0)</f>
        <v>65.557900000000004</v>
      </c>
      <c r="C882" s="10">
        <f>60.4378 * CHOOSE(CONTROL!$C$15, $E$9, 100%, $G$9) + CHOOSE(CONTROL!$C$38, 0.0347, 0)</f>
        <v>60.472500000000004</v>
      </c>
      <c r="D882" s="10">
        <f>60.43 * CHOOSE(CONTROL!$C$15, $E$9, 100%, $G$9) + CHOOSE(CONTROL!$C$38, 0.0347, 0)</f>
        <v>60.464700000000001</v>
      </c>
      <c r="E882" s="28">
        <f>65.3761 * CHOOSE(CONTROL!$C$15, $E$9, 100%, $G$9) + CHOOSE(CONTROL!$C$38, 0.0347, 0)</f>
        <v>65.410799999999995</v>
      </c>
      <c r="F882" s="27">
        <f>65.3761 * CHOOSE(CONTROL!$C$15, $E$9, 100%, $G$9) + CHOOSE(CONTROL!$C$38, 0.0256, 0)</f>
        <v>65.401699999999991</v>
      </c>
      <c r="G882" s="10">
        <f>60.4363 * CHOOSE(CONTROL!$C$15, $E$9, 100%, $G$9) + CHOOSE(CONTROL!$C$38, 0.0347, 0)</f>
        <v>60.471000000000004</v>
      </c>
      <c r="H882" s="10">
        <f>60.4363 * CHOOSE(CONTROL!$C$15, $E$9, 100%, $G$9) + CHOOSE(CONTROL!$C$38, 0.0347, 0)</f>
        <v>60.471000000000004</v>
      </c>
      <c r="I882" s="10">
        <f>60.4378 * CHOOSE(CONTROL!$C$15, $E$9, 100%, $G$9) + CHOOSE(CONTROL!$C$38, 0.0347, 0)</f>
        <v>60.472500000000004</v>
      </c>
      <c r="J882" s="26">
        <f>453.2101</f>
        <v>453.21010000000001</v>
      </c>
    </row>
    <row r="883" spans="1:10" ht="15.75" x14ac:dyDescent="0.25">
      <c r="A883" s="13">
        <v>68180</v>
      </c>
      <c r="B883" s="10">
        <f>65.6342 * CHOOSE(CONTROL!$C$15, $E$9, 100%, $G$9) + CHOOSE(CONTROL!$C$38, 0.0256, 0)</f>
        <v>65.659800000000004</v>
      </c>
      <c r="C883" s="10">
        <f>60.5398 * CHOOSE(CONTROL!$C$15, $E$9, 100%, $G$9) + CHOOSE(CONTROL!$C$38, 0.0347, 0)</f>
        <v>60.5745</v>
      </c>
      <c r="D883" s="10">
        <f>60.5319 * CHOOSE(CONTROL!$C$15, $E$9, 100%, $G$9) + CHOOSE(CONTROL!$C$38, 0.0347, 0)</f>
        <v>60.566600000000001</v>
      </c>
      <c r="E883" s="28">
        <f>65.478 * CHOOSE(CONTROL!$C$15, $E$9, 100%, $G$9) + CHOOSE(CONTROL!$C$38, 0.0347, 0)</f>
        <v>65.512699999999995</v>
      </c>
      <c r="F883" s="27">
        <f>65.478 * CHOOSE(CONTROL!$C$15, $E$9, 100%, $G$9) + CHOOSE(CONTROL!$C$38, 0.0256, 0)</f>
        <v>65.503599999999992</v>
      </c>
      <c r="G883" s="10">
        <f>60.5382 * CHOOSE(CONTROL!$C$15, $E$9, 100%, $G$9) + CHOOSE(CONTROL!$C$38, 0.0347, 0)</f>
        <v>60.572900000000004</v>
      </c>
      <c r="H883" s="10">
        <f>60.5382 * CHOOSE(CONTROL!$C$15, $E$9, 100%, $G$9) + CHOOSE(CONTROL!$C$38, 0.0347, 0)</f>
        <v>60.572900000000004</v>
      </c>
      <c r="I883" s="10">
        <f>60.5398 * CHOOSE(CONTROL!$C$15, $E$9, 100%, $G$9) + CHOOSE(CONTROL!$C$38, 0.0347, 0)</f>
        <v>60.5745</v>
      </c>
      <c r="J883" s="26">
        <f>442.6595</f>
        <v>442.65949999999998</v>
      </c>
    </row>
    <row r="884" spans="1:10" ht="15.75" x14ac:dyDescent="0.25">
      <c r="A884" s="13">
        <v>68210</v>
      </c>
      <c r="B884" s="10">
        <f>65.911 * CHOOSE(CONTROL!$C$15, $E$9, 100%, $G$9) + CHOOSE(CONTROL!$C$38, 0.0256, 0)</f>
        <v>65.936599999999999</v>
      </c>
      <c r="C884" s="10">
        <f>60.8165 * CHOOSE(CONTROL!$C$15, $E$9, 100%, $G$9) + CHOOSE(CONTROL!$C$38, 0.0347, 0)</f>
        <v>60.851199999999999</v>
      </c>
      <c r="D884" s="10">
        <f>60.8087 * CHOOSE(CONTROL!$C$15, $E$9, 100%, $G$9) + CHOOSE(CONTROL!$C$38, 0.0347, 0)</f>
        <v>60.843400000000003</v>
      </c>
      <c r="E884" s="28">
        <f>65.7548 * CHOOSE(CONTROL!$C$15, $E$9, 100%, $G$9) + CHOOSE(CONTROL!$C$38, 0.0347, 0)</f>
        <v>65.789500000000004</v>
      </c>
      <c r="F884" s="27">
        <f>65.7548 * CHOOSE(CONTROL!$C$15, $E$9, 100%, $G$9) + CHOOSE(CONTROL!$C$38, 0.0256, 0)</f>
        <v>65.7804</v>
      </c>
      <c r="G884" s="10">
        <f>60.815 * CHOOSE(CONTROL!$C$15, $E$9, 100%, $G$9) + CHOOSE(CONTROL!$C$38, 0.0347, 0)</f>
        <v>60.849699999999999</v>
      </c>
      <c r="H884" s="10">
        <f>60.815 * CHOOSE(CONTROL!$C$15, $E$9, 100%, $G$9) + CHOOSE(CONTROL!$C$38, 0.0347, 0)</f>
        <v>60.849699999999999</v>
      </c>
      <c r="I884" s="10">
        <f>60.8165 * CHOOSE(CONTROL!$C$15, $E$9, 100%, $G$9) + CHOOSE(CONTROL!$C$38, 0.0347, 0)</f>
        <v>60.851199999999999</v>
      </c>
      <c r="J884" s="26">
        <f>427.9463</f>
        <v>427.94630000000001</v>
      </c>
    </row>
    <row r="885" spans="1:10" ht="15.75" x14ac:dyDescent="0.25">
      <c r="A885" s="13">
        <v>68241</v>
      </c>
      <c r="B885" s="10">
        <f>66.1428 * CHOOSE(CONTROL!$C$15, $E$9, 100%, $G$9) + CHOOSE(CONTROL!$C$38, 0.0256, 0)</f>
        <v>66.168399999999991</v>
      </c>
      <c r="C885" s="10">
        <f>61.0484 * CHOOSE(CONTROL!$C$15, $E$9, 100%, $G$9) + CHOOSE(CONTROL!$C$38, 0.0347, 0)</f>
        <v>61.083100000000002</v>
      </c>
      <c r="D885" s="10">
        <f>61.0406 * CHOOSE(CONTROL!$C$15, $E$9, 100%, $G$9) + CHOOSE(CONTROL!$C$38, 0.0347, 0)</f>
        <v>61.075299999999999</v>
      </c>
      <c r="E885" s="28">
        <f>65.9866 * CHOOSE(CONTROL!$C$15, $E$9, 100%, $G$9) + CHOOSE(CONTROL!$C$38, 0.0347, 0)</f>
        <v>66.021299999999997</v>
      </c>
      <c r="F885" s="27">
        <f>65.9866 * CHOOSE(CONTROL!$C$15, $E$9, 100%, $G$9) + CHOOSE(CONTROL!$C$38, 0.0256, 0)</f>
        <v>66.012199999999993</v>
      </c>
      <c r="G885" s="10">
        <f>61.0468 * CHOOSE(CONTROL!$C$15, $E$9, 100%, $G$9) + CHOOSE(CONTROL!$C$38, 0.0347, 0)</f>
        <v>61.081499999999998</v>
      </c>
      <c r="H885" s="10">
        <f>61.0468 * CHOOSE(CONTROL!$C$15, $E$9, 100%, $G$9) + CHOOSE(CONTROL!$C$38, 0.0347, 0)</f>
        <v>61.081499999999998</v>
      </c>
      <c r="I885" s="10">
        <f>61.0484 * CHOOSE(CONTROL!$C$15, $E$9, 100%, $G$9) + CHOOSE(CONTROL!$C$38, 0.0347, 0)</f>
        <v>61.083100000000002</v>
      </c>
      <c r="J885" s="26">
        <f>413.1475</f>
        <v>413.14749999999998</v>
      </c>
    </row>
    <row r="886" spans="1:10" ht="15.75" x14ac:dyDescent="0.25">
      <c r="A886" s="13">
        <v>68271</v>
      </c>
      <c r="B886" s="10">
        <f>66.3363 * CHOOSE(CONTROL!$C$15, $E$9, 100%, $G$9) + CHOOSE(CONTROL!$C$38, 0.0256, 0)</f>
        <v>66.361899999999991</v>
      </c>
      <c r="C886" s="10">
        <f>61.2418 * CHOOSE(CONTROL!$C$15, $E$9, 100%, $G$9) + CHOOSE(CONTROL!$C$38, 0.0347, 0)</f>
        <v>61.276499999999999</v>
      </c>
      <c r="D886" s="10">
        <f>61.234 * CHOOSE(CONTROL!$C$15, $E$9, 100%, $G$9) + CHOOSE(CONTROL!$C$38, 0.0347, 0)</f>
        <v>61.268700000000003</v>
      </c>
      <c r="E886" s="28">
        <f>66.18 * CHOOSE(CONTROL!$C$15, $E$9, 100%, $G$9) + CHOOSE(CONTROL!$C$38, 0.0347, 0)</f>
        <v>66.214700000000008</v>
      </c>
      <c r="F886" s="27">
        <f>66.18 * CHOOSE(CONTROL!$C$15, $E$9, 100%, $G$9) + CHOOSE(CONTROL!$C$38, 0.0256, 0)</f>
        <v>66.205600000000004</v>
      </c>
      <c r="G886" s="10">
        <f>61.2403 * CHOOSE(CONTROL!$C$15, $E$9, 100%, $G$9) + CHOOSE(CONTROL!$C$38, 0.0347, 0)</f>
        <v>61.274999999999999</v>
      </c>
      <c r="H886" s="10">
        <f>61.2403 * CHOOSE(CONTROL!$C$15, $E$9, 100%, $G$9) + CHOOSE(CONTROL!$C$38, 0.0347, 0)</f>
        <v>61.274999999999999</v>
      </c>
      <c r="I886" s="10">
        <f>61.2418 * CHOOSE(CONTROL!$C$15, $E$9, 100%, $G$9) + CHOOSE(CONTROL!$C$38, 0.0347, 0)</f>
        <v>61.276499999999999</v>
      </c>
      <c r="J886" s="26">
        <f>410.2037</f>
        <v>410.20370000000003</v>
      </c>
    </row>
    <row r="887" spans="1:10" ht="15.75" x14ac:dyDescent="0.25">
      <c r="A887" s="13">
        <v>68302</v>
      </c>
      <c r="B887" s="10">
        <f>66.9323 * CHOOSE(CONTROL!$C$15, $E$9, 100%, $G$9) + CHOOSE(CONTROL!$C$38, 0.0256, 0)</f>
        <v>66.957899999999995</v>
      </c>
      <c r="C887" s="10">
        <f>61.8379 * CHOOSE(CONTROL!$C$15, $E$9, 100%, $G$9) + CHOOSE(CONTROL!$C$38, 0.0347, 0)</f>
        <v>61.872599999999998</v>
      </c>
      <c r="D887" s="10">
        <f>61.8301 * CHOOSE(CONTROL!$C$15, $E$9, 100%, $G$9) + CHOOSE(CONTROL!$C$38, 0.0347, 0)</f>
        <v>61.864800000000002</v>
      </c>
      <c r="E887" s="28">
        <f>66.7761 * CHOOSE(CONTROL!$C$15, $E$9, 100%, $G$9) + CHOOSE(CONTROL!$C$38, 0.0347, 0)</f>
        <v>66.8108</v>
      </c>
      <c r="F887" s="27">
        <f>66.7761 * CHOOSE(CONTROL!$C$15, $E$9, 100%, $G$9) + CHOOSE(CONTROL!$C$38, 0.0256, 0)</f>
        <v>66.801699999999997</v>
      </c>
      <c r="G887" s="10">
        <f>61.8363 * CHOOSE(CONTROL!$C$15, $E$9, 100%, $G$9) + CHOOSE(CONTROL!$C$38, 0.0347, 0)</f>
        <v>61.871000000000002</v>
      </c>
      <c r="H887" s="10">
        <f>61.8363 * CHOOSE(CONTROL!$C$15, $E$9, 100%, $G$9) + CHOOSE(CONTROL!$C$38, 0.0347, 0)</f>
        <v>61.871000000000002</v>
      </c>
      <c r="I887" s="10">
        <f>61.8379 * CHOOSE(CONTROL!$C$15, $E$9, 100%, $G$9) + CHOOSE(CONTROL!$C$38, 0.0347, 0)</f>
        <v>61.872599999999998</v>
      </c>
      <c r="J887" s="26">
        <f>398.0308</f>
        <v>398.0308</v>
      </c>
    </row>
    <row r="888" spans="1:10" ht="15.75" x14ac:dyDescent="0.25">
      <c r="A888" s="13">
        <v>68333</v>
      </c>
      <c r="B888" s="10">
        <f>68.5649 * CHOOSE(CONTROL!$C$15, $E$9, 100%, $G$9) + CHOOSE(CONTROL!$C$38, 0.0256, 0)</f>
        <v>68.590499999999992</v>
      </c>
      <c r="C888" s="10">
        <f>63.3832 * CHOOSE(CONTROL!$C$15, $E$9, 100%, $G$9) + CHOOSE(CONTROL!$C$38, 0.0347, 0)</f>
        <v>63.417900000000003</v>
      </c>
      <c r="D888" s="10">
        <f>63.3754 * CHOOSE(CONTROL!$C$15, $E$9, 100%, $G$9) + CHOOSE(CONTROL!$C$38, 0.0347, 0)</f>
        <v>63.4101</v>
      </c>
      <c r="E888" s="28">
        <f>68.4086 * CHOOSE(CONTROL!$C$15, $E$9, 100%, $G$9) + CHOOSE(CONTROL!$C$38, 0.0347, 0)</f>
        <v>68.443300000000008</v>
      </c>
      <c r="F888" s="27">
        <f>68.4086 * CHOOSE(CONTROL!$C$15, $E$9, 100%, $G$9) + CHOOSE(CONTROL!$C$38, 0.0256, 0)</f>
        <v>68.434200000000004</v>
      </c>
      <c r="G888" s="10">
        <f>63.3816 * CHOOSE(CONTROL!$C$15, $E$9, 100%, $G$9) + CHOOSE(CONTROL!$C$38, 0.0347, 0)</f>
        <v>63.4163</v>
      </c>
      <c r="H888" s="10">
        <f>63.3816 * CHOOSE(CONTROL!$C$15, $E$9, 100%, $G$9) + CHOOSE(CONTROL!$C$38, 0.0347, 0)</f>
        <v>63.4163</v>
      </c>
      <c r="I888" s="10">
        <f>63.3832 * CHOOSE(CONTROL!$C$15, $E$9, 100%, $G$9) + CHOOSE(CONTROL!$C$38, 0.0347, 0)</f>
        <v>63.417900000000003</v>
      </c>
      <c r="J888" s="26">
        <f>395.3647</f>
        <v>395.36470000000003</v>
      </c>
    </row>
    <row r="889" spans="1:10" ht="15.75" x14ac:dyDescent="0.25">
      <c r="A889" s="13">
        <v>68361</v>
      </c>
      <c r="B889" s="10">
        <f>68.7856 * CHOOSE(CONTROL!$C$15, $E$9, 100%, $G$9) + CHOOSE(CONTROL!$C$38, 0.0256, 0)</f>
        <v>68.811199999999999</v>
      </c>
      <c r="C889" s="10">
        <f>63.6039 * CHOOSE(CONTROL!$C$15, $E$9, 100%, $G$9) + CHOOSE(CONTROL!$C$38, 0.0347, 0)</f>
        <v>63.638600000000004</v>
      </c>
      <c r="D889" s="10">
        <f>63.5961 * CHOOSE(CONTROL!$C$15, $E$9, 100%, $G$9) + CHOOSE(CONTROL!$C$38, 0.0347, 0)</f>
        <v>63.630800000000001</v>
      </c>
      <c r="E889" s="28">
        <f>68.6294 * CHOOSE(CONTROL!$C$15, $E$9, 100%, $G$9) + CHOOSE(CONTROL!$C$38, 0.0347, 0)</f>
        <v>68.664100000000005</v>
      </c>
      <c r="F889" s="27">
        <f>68.6294 * CHOOSE(CONTROL!$C$15, $E$9, 100%, $G$9) + CHOOSE(CONTROL!$C$38, 0.0256, 0)</f>
        <v>68.655000000000001</v>
      </c>
      <c r="G889" s="10">
        <f>63.6024 * CHOOSE(CONTROL!$C$15, $E$9, 100%, $G$9) + CHOOSE(CONTROL!$C$38, 0.0347, 0)</f>
        <v>63.637100000000004</v>
      </c>
      <c r="H889" s="10">
        <f>63.6024 * CHOOSE(CONTROL!$C$15, $E$9, 100%, $G$9) + CHOOSE(CONTROL!$C$38, 0.0347, 0)</f>
        <v>63.637100000000004</v>
      </c>
      <c r="I889" s="10">
        <f>63.6039 * CHOOSE(CONTROL!$C$15, $E$9, 100%, $G$9) + CHOOSE(CONTROL!$C$38, 0.0347, 0)</f>
        <v>63.638600000000004</v>
      </c>
      <c r="J889" s="26">
        <f>394.2657</f>
        <v>394.26569999999998</v>
      </c>
    </row>
    <row r="890" spans="1:10" ht="15.75" x14ac:dyDescent="0.25">
      <c r="A890" s="13">
        <v>68392</v>
      </c>
      <c r="B890" s="10">
        <f>68.2746 * CHOOSE(CONTROL!$C$15, $E$9, 100%, $G$9) + CHOOSE(CONTROL!$C$38, 0.0256, 0)</f>
        <v>68.300200000000004</v>
      </c>
      <c r="C890" s="10">
        <f>63.0929 * CHOOSE(CONTROL!$C$15, $E$9, 100%, $G$9) + CHOOSE(CONTROL!$C$38, 0.0347, 0)</f>
        <v>63.127600000000001</v>
      </c>
      <c r="D890" s="10">
        <f>63.0851 * CHOOSE(CONTROL!$C$15, $E$9, 100%, $G$9) + CHOOSE(CONTROL!$C$38, 0.0347, 0)</f>
        <v>63.119799999999998</v>
      </c>
      <c r="E890" s="28">
        <f>68.1184 * CHOOSE(CONTROL!$C$15, $E$9, 100%, $G$9) + CHOOSE(CONTROL!$C$38, 0.0347, 0)</f>
        <v>68.153099999999995</v>
      </c>
      <c r="F890" s="27">
        <f>68.1184 * CHOOSE(CONTROL!$C$15, $E$9, 100%, $G$9) + CHOOSE(CONTROL!$C$38, 0.0256, 0)</f>
        <v>68.143999999999991</v>
      </c>
      <c r="G890" s="10">
        <f>63.0913 * CHOOSE(CONTROL!$C$15, $E$9, 100%, $G$9) + CHOOSE(CONTROL!$C$38, 0.0347, 0)</f>
        <v>63.125999999999998</v>
      </c>
      <c r="H890" s="10">
        <f>63.0913 * CHOOSE(CONTROL!$C$15, $E$9, 100%, $G$9) + CHOOSE(CONTROL!$C$38, 0.0347, 0)</f>
        <v>63.125999999999998</v>
      </c>
      <c r="I890" s="10">
        <f>63.0929 * CHOOSE(CONTROL!$C$15, $E$9, 100%, $G$9) + CHOOSE(CONTROL!$C$38, 0.0347, 0)</f>
        <v>63.127600000000001</v>
      </c>
      <c r="J890" s="26">
        <f>415.0458</f>
        <v>415.04579999999999</v>
      </c>
    </row>
    <row r="891" spans="1:10" ht="15.75" x14ac:dyDescent="0.25">
      <c r="A891" s="13">
        <v>68422</v>
      </c>
      <c r="B891" s="10">
        <f>67.7794 * CHOOSE(CONTROL!$C$15, $E$9, 100%, $G$9) + CHOOSE(CONTROL!$C$38, 0.0256, 0)</f>
        <v>67.804999999999993</v>
      </c>
      <c r="C891" s="10">
        <f>62.5977 * CHOOSE(CONTROL!$C$15, $E$9, 100%, $G$9) + CHOOSE(CONTROL!$C$38, 0.0347, 0)</f>
        <v>62.632400000000004</v>
      </c>
      <c r="D891" s="10">
        <f>62.5899 * CHOOSE(CONTROL!$C$15, $E$9, 100%, $G$9) + CHOOSE(CONTROL!$C$38, 0.0347, 0)</f>
        <v>62.624600000000001</v>
      </c>
      <c r="E891" s="28">
        <f>67.6232 * CHOOSE(CONTROL!$C$15, $E$9, 100%, $G$9) + CHOOSE(CONTROL!$C$38, 0.0347, 0)</f>
        <v>67.657899999999998</v>
      </c>
      <c r="F891" s="27">
        <f>67.6232 * CHOOSE(CONTROL!$C$15, $E$9, 100%, $G$9) + CHOOSE(CONTROL!$C$38, 0.0256, 0)</f>
        <v>67.648799999999994</v>
      </c>
      <c r="G891" s="10">
        <f>62.5962 * CHOOSE(CONTROL!$C$15, $E$9, 100%, $G$9) + CHOOSE(CONTROL!$C$38, 0.0347, 0)</f>
        <v>62.630900000000004</v>
      </c>
      <c r="H891" s="10">
        <f>62.5962 * CHOOSE(CONTROL!$C$15, $E$9, 100%, $G$9) + CHOOSE(CONTROL!$C$38, 0.0347, 0)</f>
        <v>62.630900000000004</v>
      </c>
      <c r="I891" s="10">
        <f>62.5977 * CHOOSE(CONTROL!$C$15, $E$9, 100%, $G$9) + CHOOSE(CONTROL!$C$38, 0.0347, 0)</f>
        <v>62.632400000000004</v>
      </c>
      <c r="J891" s="26">
        <f>441.9926</f>
        <v>441.99259999999998</v>
      </c>
    </row>
    <row r="892" spans="1:10" ht="15.75" x14ac:dyDescent="0.25">
      <c r="A892" s="13">
        <v>68453</v>
      </c>
      <c r="B892" s="10">
        <f>67.2633 * CHOOSE(CONTROL!$C$15, $E$9, 100%, $G$9) + CHOOSE(CONTROL!$C$38, 0.0256, 0)</f>
        <v>67.288899999999998</v>
      </c>
      <c r="C892" s="10">
        <f>62.0816 * CHOOSE(CONTROL!$C$15, $E$9, 100%, $G$9) + CHOOSE(CONTROL!$C$38, 0.0347, 0)</f>
        <v>62.116300000000003</v>
      </c>
      <c r="D892" s="10">
        <f>62.0738 * CHOOSE(CONTROL!$C$15, $E$9, 100%, $G$9) + CHOOSE(CONTROL!$C$38, 0.0347, 0)</f>
        <v>62.108499999999999</v>
      </c>
      <c r="E892" s="28">
        <f>67.1071 * CHOOSE(CONTROL!$C$15, $E$9, 100%, $G$9) + CHOOSE(CONTROL!$C$38, 0.0347, 0)</f>
        <v>67.141800000000003</v>
      </c>
      <c r="F892" s="27">
        <f>67.1071 * CHOOSE(CONTROL!$C$15, $E$9, 100%, $G$9) + CHOOSE(CONTROL!$C$38, 0.0256, 0)</f>
        <v>67.1327</v>
      </c>
      <c r="G892" s="10">
        <f>62.08 * CHOOSE(CONTROL!$C$15, $E$9, 100%, $G$9) + CHOOSE(CONTROL!$C$38, 0.0347, 0)</f>
        <v>62.114699999999999</v>
      </c>
      <c r="H892" s="10">
        <f>62.08 * CHOOSE(CONTROL!$C$15, $E$9, 100%, $G$9) + CHOOSE(CONTROL!$C$38, 0.0347, 0)</f>
        <v>62.114699999999999</v>
      </c>
      <c r="I892" s="10">
        <f>62.0816 * CHOOSE(CONTROL!$C$15, $E$9, 100%, $G$9) + CHOOSE(CONTROL!$C$38, 0.0347, 0)</f>
        <v>62.116300000000003</v>
      </c>
      <c r="J892" s="26">
        <f>456.8249</f>
        <v>456.82490000000001</v>
      </c>
    </row>
    <row r="893" spans="1:10" ht="15.75" x14ac:dyDescent="0.25">
      <c r="A893" s="13">
        <v>68483</v>
      </c>
      <c r="B893" s="10">
        <f>66.9015 * CHOOSE(CONTROL!$C$15, $E$9, 100%, $G$9) + CHOOSE(CONTROL!$C$38, 0.0256, 0)</f>
        <v>66.927099999999996</v>
      </c>
      <c r="C893" s="10">
        <f>61.7198 * CHOOSE(CONTROL!$C$15, $E$9, 100%, $G$9) + CHOOSE(CONTROL!$C$38, 0.0347, 0)</f>
        <v>61.7545</v>
      </c>
      <c r="D893" s="10">
        <f>61.712 * CHOOSE(CONTROL!$C$15, $E$9, 100%, $G$9) + CHOOSE(CONTROL!$C$38, 0.0347, 0)</f>
        <v>61.746700000000004</v>
      </c>
      <c r="E893" s="28">
        <f>66.7452 * CHOOSE(CONTROL!$C$15, $E$9, 100%, $G$9) + CHOOSE(CONTROL!$C$38, 0.0347, 0)</f>
        <v>66.779899999999998</v>
      </c>
      <c r="F893" s="27">
        <f>66.7452 * CHOOSE(CONTROL!$C$15, $E$9, 100%, $G$9) + CHOOSE(CONTROL!$C$38, 0.0256, 0)</f>
        <v>66.770799999999994</v>
      </c>
      <c r="G893" s="10">
        <f>61.7182 * CHOOSE(CONTROL!$C$15, $E$9, 100%, $G$9) + CHOOSE(CONTROL!$C$38, 0.0347, 0)</f>
        <v>61.752900000000004</v>
      </c>
      <c r="H893" s="10">
        <f>61.7182 * CHOOSE(CONTROL!$C$15, $E$9, 100%, $G$9) + CHOOSE(CONTROL!$C$38, 0.0347, 0)</f>
        <v>61.752900000000004</v>
      </c>
      <c r="I893" s="10">
        <f>61.7198 * CHOOSE(CONTROL!$C$15, $E$9, 100%, $G$9) + CHOOSE(CONTROL!$C$38, 0.0347, 0)</f>
        <v>61.7545</v>
      </c>
      <c r="J893" s="26">
        <f>463.4073</f>
        <v>463.40730000000002</v>
      </c>
    </row>
    <row r="894" spans="1:10" ht="15.75" x14ac:dyDescent="0.25">
      <c r="A894" s="13">
        <v>68514</v>
      </c>
      <c r="B894" s="10">
        <f>66.695 * CHOOSE(CONTROL!$C$15, $E$9, 100%, $G$9) + CHOOSE(CONTROL!$C$38, 0.0256, 0)</f>
        <v>66.72059999999999</v>
      </c>
      <c r="C894" s="10">
        <f>61.5133 * CHOOSE(CONTROL!$C$15, $E$9, 100%, $G$9) + CHOOSE(CONTROL!$C$38, 0.0347, 0)</f>
        <v>61.548000000000002</v>
      </c>
      <c r="D894" s="10">
        <f>61.5055 * CHOOSE(CONTROL!$C$15, $E$9, 100%, $G$9) + CHOOSE(CONTROL!$C$38, 0.0347, 0)</f>
        <v>61.540199999999999</v>
      </c>
      <c r="E894" s="28">
        <f>66.5387 * CHOOSE(CONTROL!$C$15, $E$9, 100%, $G$9) + CHOOSE(CONTROL!$C$38, 0.0347, 0)</f>
        <v>66.573400000000007</v>
      </c>
      <c r="F894" s="27">
        <f>66.5387 * CHOOSE(CONTROL!$C$15, $E$9, 100%, $G$9) + CHOOSE(CONTROL!$C$38, 0.0256, 0)</f>
        <v>66.564300000000003</v>
      </c>
      <c r="G894" s="10">
        <f>61.5117 * CHOOSE(CONTROL!$C$15, $E$9, 100%, $G$9) + CHOOSE(CONTROL!$C$38, 0.0347, 0)</f>
        <v>61.546399999999998</v>
      </c>
      <c r="H894" s="10">
        <f>61.5117 * CHOOSE(CONTROL!$C$15, $E$9, 100%, $G$9) + CHOOSE(CONTROL!$C$38, 0.0347, 0)</f>
        <v>61.546399999999998</v>
      </c>
      <c r="I894" s="10">
        <f>61.5133 * CHOOSE(CONTROL!$C$15, $E$9, 100%, $G$9) + CHOOSE(CONTROL!$C$38, 0.0347, 0)</f>
        <v>61.548000000000002</v>
      </c>
      <c r="J894" s="26">
        <f>461.2401</f>
        <v>461.24009999999998</v>
      </c>
    </row>
    <row r="895" spans="1:10" ht="15.75" x14ac:dyDescent="0.25">
      <c r="A895" s="13">
        <v>68545</v>
      </c>
      <c r="B895" s="10">
        <f>66.7969 * CHOOSE(CONTROL!$C$15, $E$9, 100%, $G$9) + CHOOSE(CONTROL!$C$38, 0.0256, 0)</f>
        <v>66.822499999999991</v>
      </c>
      <c r="C895" s="10">
        <f>61.6152 * CHOOSE(CONTROL!$C$15, $E$9, 100%, $G$9) + CHOOSE(CONTROL!$C$38, 0.0347, 0)</f>
        <v>61.649900000000002</v>
      </c>
      <c r="D895" s="10">
        <f>61.6074 * CHOOSE(CONTROL!$C$15, $E$9, 100%, $G$9) + CHOOSE(CONTROL!$C$38, 0.0347, 0)</f>
        <v>61.642099999999999</v>
      </c>
      <c r="E895" s="28">
        <f>66.6407 * CHOOSE(CONTROL!$C$15, $E$9, 100%, $G$9) + CHOOSE(CONTROL!$C$38, 0.0347, 0)</f>
        <v>66.675399999999996</v>
      </c>
      <c r="F895" s="27">
        <f>66.6407 * CHOOSE(CONTROL!$C$15, $E$9, 100%, $G$9) + CHOOSE(CONTROL!$C$38, 0.0256, 0)</f>
        <v>66.666299999999993</v>
      </c>
      <c r="G895" s="10">
        <f>61.6136 * CHOOSE(CONTROL!$C$15, $E$9, 100%, $G$9) + CHOOSE(CONTROL!$C$38, 0.0347, 0)</f>
        <v>61.648299999999999</v>
      </c>
      <c r="H895" s="10">
        <f>61.6136 * CHOOSE(CONTROL!$C$15, $E$9, 100%, $G$9) + CHOOSE(CONTROL!$C$38, 0.0347, 0)</f>
        <v>61.648299999999999</v>
      </c>
      <c r="I895" s="10">
        <f>61.6152 * CHOOSE(CONTROL!$C$15, $E$9, 100%, $G$9) + CHOOSE(CONTROL!$C$38, 0.0347, 0)</f>
        <v>61.649900000000002</v>
      </c>
      <c r="J895" s="26">
        <f>450.5026</f>
        <v>450.50259999999997</v>
      </c>
    </row>
    <row r="896" spans="1:10" ht="15.75" x14ac:dyDescent="0.25">
      <c r="A896" s="13">
        <v>68575</v>
      </c>
      <c r="B896" s="10">
        <f>67.0737 * CHOOSE(CONTROL!$C$15, $E$9, 100%, $G$9) + CHOOSE(CONTROL!$C$38, 0.0256, 0)</f>
        <v>67.099299999999999</v>
      </c>
      <c r="C896" s="10">
        <f>61.892 * CHOOSE(CONTROL!$C$15, $E$9, 100%, $G$9) + CHOOSE(CONTROL!$C$38, 0.0347, 0)</f>
        <v>61.926700000000004</v>
      </c>
      <c r="D896" s="10">
        <f>61.8842 * CHOOSE(CONTROL!$C$15, $E$9, 100%, $G$9) + CHOOSE(CONTROL!$C$38, 0.0347, 0)</f>
        <v>61.918900000000001</v>
      </c>
      <c r="E896" s="28">
        <f>66.9175 * CHOOSE(CONTROL!$C$15, $E$9, 100%, $G$9) + CHOOSE(CONTROL!$C$38, 0.0347, 0)</f>
        <v>66.952200000000005</v>
      </c>
      <c r="F896" s="27">
        <f>66.9175 * CHOOSE(CONTROL!$C$15, $E$9, 100%, $G$9) + CHOOSE(CONTROL!$C$38, 0.0256, 0)</f>
        <v>66.943100000000001</v>
      </c>
      <c r="G896" s="10">
        <f>61.8904 * CHOOSE(CONTROL!$C$15, $E$9, 100%, $G$9) + CHOOSE(CONTROL!$C$38, 0.0347, 0)</f>
        <v>61.9251</v>
      </c>
      <c r="H896" s="10">
        <f>61.8904 * CHOOSE(CONTROL!$C$15, $E$9, 100%, $G$9) + CHOOSE(CONTROL!$C$38, 0.0347, 0)</f>
        <v>61.9251</v>
      </c>
      <c r="I896" s="10">
        <f>61.892 * CHOOSE(CONTROL!$C$15, $E$9, 100%, $G$9) + CHOOSE(CONTROL!$C$38, 0.0347, 0)</f>
        <v>61.926700000000004</v>
      </c>
      <c r="J896" s="26">
        <f>435.5287</f>
        <v>435.52870000000001</v>
      </c>
    </row>
    <row r="897" spans="1:10" ht="15.75" x14ac:dyDescent="0.25">
      <c r="A897" s="13">
        <v>68606</v>
      </c>
      <c r="B897" s="10">
        <f>67.3055 * CHOOSE(CONTROL!$C$15, $E$9, 100%, $G$9) + CHOOSE(CONTROL!$C$38, 0.0256, 0)</f>
        <v>67.331099999999992</v>
      </c>
      <c r="C897" s="10">
        <f>62.1238 * CHOOSE(CONTROL!$C$15, $E$9, 100%, $G$9) + CHOOSE(CONTROL!$C$38, 0.0347, 0)</f>
        <v>62.158500000000004</v>
      </c>
      <c r="D897" s="10">
        <f>62.116 * CHOOSE(CONTROL!$C$15, $E$9, 100%, $G$9) + CHOOSE(CONTROL!$C$38, 0.0347, 0)</f>
        <v>62.150700000000001</v>
      </c>
      <c r="E897" s="28">
        <f>67.1493 * CHOOSE(CONTROL!$C$15, $E$9, 100%, $G$9) + CHOOSE(CONTROL!$C$38, 0.0347, 0)</f>
        <v>67.183999999999997</v>
      </c>
      <c r="F897" s="27">
        <f>67.1493 * CHOOSE(CONTROL!$C$15, $E$9, 100%, $G$9) + CHOOSE(CONTROL!$C$38, 0.0256, 0)</f>
        <v>67.174899999999994</v>
      </c>
      <c r="G897" s="10">
        <f>62.1222 * CHOOSE(CONTROL!$C$15, $E$9, 100%, $G$9) + CHOOSE(CONTROL!$C$38, 0.0347, 0)</f>
        <v>62.1569</v>
      </c>
      <c r="H897" s="10">
        <f>62.1222 * CHOOSE(CONTROL!$C$15, $E$9, 100%, $G$9) + CHOOSE(CONTROL!$C$38, 0.0347, 0)</f>
        <v>62.1569</v>
      </c>
      <c r="I897" s="10">
        <f>62.1238 * CHOOSE(CONTROL!$C$15, $E$9, 100%, $G$9) + CHOOSE(CONTROL!$C$38, 0.0347, 0)</f>
        <v>62.158500000000004</v>
      </c>
      <c r="J897" s="26">
        <f>420.4676</f>
        <v>420.4676</v>
      </c>
    </row>
    <row r="898" spans="1:10" ht="15.75" x14ac:dyDescent="0.25">
      <c r="A898" s="13">
        <v>68636</v>
      </c>
      <c r="B898" s="10">
        <f>67.499 * CHOOSE(CONTROL!$C$15, $E$9, 100%, $G$9) + CHOOSE(CONTROL!$C$38, 0.0256, 0)</f>
        <v>67.524599999999992</v>
      </c>
      <c r="C898" s="10">
        <f>62.3172 * CHOOSE(CONTROL!$C$15, $E$9, 100%, $G$9) + CHOOSE(CONTROL!$C$38, 0.0347, 0)</f>
        <v>62.351900000000001</v>
      </c>
      <c r="D898" s="10">
        <f>62.3094 * CHOOSE(CONTROL!$C$15, $E$9, 100%, $G$9) + CHOOSE(CONTROL!$C$38, 0.0347, 0)</f>
        <v>62.344099999999997</v>
      </c>
      <c r="E898" s="28">
        <f>67.3427 * CHOOSE(CONTROL!$C$15, $E$9, 100%, $G$9) + CHOOSE(CONTROL!$C$38, 0.0347, 0)</f>
        <v>67.377399999999994</v>
      </c>
      <c r="F898" s="27">
        <f>67.3427 * CHOOSE(CONTROL!$C$15, $E$9, 100%, $G$9) + CHOOSE(CONTROL!$C$38, 0.0256, 0)</f>
        <v>67.368299999999991</v>
      </c>
      <c r="G898" s="10">
        <f>62.3157 * CHOOSE(CONTROL!$C$15, $E$9, 100%, $G$9) + CHOOSE(CONTROL!$C$38, 0.0347, 0)</f>
        <v>62.3504</v>
      </c>
      <c r="H898" s="10">
        <f>62.3157 * CHOOSE(CONTROL!$C$15, $E$9, 100%, $G$9) + CHOOSE(CONTROL!$C$38, 0.0347, 0)</f>
        <v>62.3504</v>
      </c>
      <c r="I898" s="10">
        <f>62.3172 * CHOOSE(CONTROL!$C$15, $E$9, 100%, $G$9) + CHOOSE(CONTROL!$C$38, 0.0347, 0)</f>
        <v>62.351900000000001</v>
      </c>
      <c r="J898" s="26">
        <f>417.4717</f>
        <v>417.4717</v>
      </c>
    </row>
    <row r="899" spans="1:10" ht="15.75" x14ac:dyDescent="0.25">
      <c r="A899" s="13">
        <v>68667</v>
      </c>
      <c r="B899" s="10">
        <f>68.095 * CHOOSE(CONTROL!$C$15, $E$9, 100%, $G$9) + CHOOSE(CONTROL!$C$38, 0.0256, 0)</f>
        <v>68.120599999999996</v>
      </c>
      <c r="C899" s="10">
        <f>62.9133 * CHOOSE(CONTROL!$C$15, $E$9, 100%, $G$9) + CHOOSE(CONTROL!$C$38, 0.0347, 0)</f>
        <v>62.948</v>
      </c>
      <c r="D899" s="10">
        <f>62.9055 * CHOOSE(CONTROL!$C$15, $E$9, 100%, $G$9) + CHOOSE(CONTROL!$C$38, 0.0347, 0)</f>
        <v>62.940200000000004</v>
      </c>
      <c r="E899" s="28">
        <f>67.9388 * CHOOSE(CONTROL!$C$15, $E$9, 100%, $G$9) + CHOOSE(CONTROL!$C$38, 0.0347, 0)</f>
        <v>67.973500000000001</v>
      </c>
      <c r="F899" s="27">
        <f>67.9388 * CHOOSE(CONTROL!$C$15, $E$9, 100%, $G$9) + CHOOSE(CONTROL!$C$38, 0.0256, 0)</f>
        <v>67.964399999999998</v>
      </c>
      <c r="G899" s="10">
        <f>62.9118 * CHOOSE(CONTROL!$C$15, $E$9, 100%, $G$9) + CHOOSE(CONTROL!$C$38, 0.0347, 0)</f>
        <v>62.9465</v>
      </c>
      <c r="H899" s="10">
        <f>62.9118 * CHOOSE(CONTROL!$C$15, $E$9, 100%, $G$9) + CHOOSE(CONTROL!$C$38, 0.0347, 0)</f>
        <v>62.9465</v>
      </c>
      <c r="I899" s="10">
        <f>62.9133 * CHOOSE(CONTROL!$C$15, $E$9, 100%, $G$9) + CHOOSE(CONTROL!$C$38, 0.0347, 0)</f>
        <v>62.948</v>
      </c>
      <c r="J899" s="26">
        <f>405.0832</f>
        <v>405.08319999999998</v>
      </c>
    </row>
    <row r="900" spans="1:10" ht="15.75" x14ac:dyDescent="0.25">
      <c r="A900" s="13">
        <v>68698</v>
      </c>
      <c r="B900" s="10">
        <f>69.7481 * CHOOSE(CONTROL!$C$15, $E$9, 100%, $G$9) + CHOOSE(CONTROL!$C$38, 0.0256, 0)</f>
        <v>69.773699999999991</v>
      </c>
      <c r="C900" s="10">
        <f>64.4776 * CHOOSE(CONTROL!$C$15, $E$9, 100%, $G$9) + CHOOSE(CONTROL!$C$38, 0.0347, 0)</f>
        <v>64.512299999999996</v>
      </c>
      <c r="D900" s="10">
        <f>64.4698 * CHOOSE(CONTROL!$C$15, $E$9, 100%, $G$9) + CHOOSE(CONTROL!$C$38, 0.0347, 0)</f>
        <v>64.504500000000007</v>
      </c>
      <c r="E900" s="28">
        <f>69.5919 * CHOOSE(CONTROL!$C$15, $E$9, 100%, $G$9) + CHOOSE(CONTROL!$C$38, 0.0347, 0)</f>
        <v>69.626599999999996</v>
      </c>
      <c r="F900" s="27">
        <f>69.5919 * CHOOSE(CONTROL!$C$15, $E$9, 100%, $G$9) + CHOOSE(CONTROL!$C$38, 0.0256, 0)</f>
        <v>69.617499999999993</v>
      </c>
      <c r="G900" s="10">
        <f>64.476 * CHOOSE(CONTROL!$C$15, $E$9, 100%, $G$9) + CHOOSE(CONTROL!$C$38, 0.0347, 0)</f>
        <v>64.5107</v>
      </c>
      <c r="H900" s="10">
        <f>64.476 * CHOOSE(CONTROL!$C$15, $E$9, 100%, $G$9) + CHOOSE(CONTROL!$C$38, 0.0347, 0)</f>
        <v>64.5107</v>
      </c>
      <c r="I900" s="10">
        <f>64.4776 * CHOOSE(CONTROL!$C$15, $E$9, 100%, $G$9) + CHOOSE(CONTROL!$C$38, 0.0347, 0)</f>
        <v>64.512299999999996</v>
      </c>
      <c r="J900" s="26">
        <f>402.3698</f>
        <v>402.3698</v>
      </c>
    </row>
    <row r="901" spans="1:10" ht="15.75" x14ac:dyDescent="0.25">
      <c r="A901" s="13">
        <v>68727</v>
      </c>
      <c r="B901" s="10">
        <f>69.9689 * CHOOSE(CONTROL!$C$15, $E$9, 100%, $G$9) + CHOOSE(CONTROL!$C$38, 0.0256, 0)</f>
        <v>69.994500000000002</v>
      </c>
      <c r="C901" s="10">
        <f>64.6984 * CHOOSE(CONTROL!$C$15, $E$9, 100%, $G$9) + CHOOSE(CONTROL!$C$38, 0.0347, 0)</f>
        <v>64.733100000000007</v>
      </c>
      <c r="D901" s="10">
        <f>64.6905 * CHOOSE(CONTROL!$C$15, $E$9, 100%, $G$9) + CHOOSE(CONTROL!$C$38, 0.0347, 0)</f>
        <v>64.725200000000001</v>
      </c>
      <c r="E901" s="28">
        <f>69.8126 * CHOOSE(CONTROL!$C$15, $E$9, 100%, $G$9) + CHOOSE(CONTROL!$C$38, 0.0347, 0)</f>
        <v>69.847300000000004</v>
      </c>
      <c r="F901" s="27">
        <f>69.8126 * CHOOSE(CONTROL!$C$15, $E$9, 100%, $G$9) + CHOOSE(CONTROL!$C$38, 0.0256, 0)</f>
        <v>69.838200000000001</v>
      </c>
      <c r="G901" s="10">
        <f>64.6968 * CHOOSE(CONTROL!$C$15, $E$9, 100%, $G$9) + CHOOSE(CONTROL!$C$38, 0.0347, 0)</f>
        <v>64.731499999999997</v>
      </c>
      <c r="H901" s="10">
        <f>64.6968 * CHOOSE(CONTROL!$C$15, $E$9, 100%, $G$9) + CHOOSE(CONTROL!$C$38, 0.0347, 0)</f>
        <v>64.731499999999997</v>
      </c>
      <c r="I901" s="10">
        <f>64.6984 * CHOOSE(CONTROL!$C$15, $E$9, 100%, $G$9) + CHOOSE(CONTROL!$C$38, 0.0347, 0)</f>
        <v>64.733100000000007</v>
      </c>
      <c r="J901" s="26">
        <f>401.2513</f>
        <v>401.25130000000001</v>
      </c>
    </row>
    <row r="902" spans="1:10" ht="15.75" x14ac:dyDescent="0.25">
      <c r="A902" s="13">
        <v>68758</v>
      </c>
      <c r="B902" s="10">
        <f>69.4578 * CHOOSE(CONTROL!$C$15, $E$9, 100%, $G$9) + CHOOSE(CONTROL!$C$38, 0.0256, 0)</f>
        <v>69.483400000000003</v>
      </c>
      <c r="C902" s="10">
        <f>64.1873 * CHOOSE(CONTROL!$C$15, $E$9, 100%, $G$9) + CHOOSE(CONTROL!$C$38, 0.0347, 0)</f>
        <v>64.221999999999994</v>
      </c>
      <c r="D902" s="10">
        <f>64.1795 * CHOOSE(CONTROL!$C$15, $E$9, 100%, $G$9) + CHOOSE(CONTROL!$C$38, 0.0347, 0)</f>
        <v>64.214200000000005</v>
      </c>
      <c r="E902" s="28">
        <f>69.3016 * CHOOSE(CONTROL!$C$15, $E$9, 100%, $G$9) + CHOOSE(CONTROL!$C$38, 0.0347, 0)</f>
        <v>69.336299999999994</v>
      </c>
      <c r="F902" s="27">
        <f>69.3016 * CHOOSE(CONTROL!$C$15, $E$9, 100%, $G$9) + CHOOSE(CONTROL!$C$38, 0.0256, 0)</f>
        <v>69.327199999999991</v>
      </c>
      <c r="G902" s="10">
        <f>64.1858 * CHOOSE(CONTROL!$C$15, $E$9, 100%, $G$9) + CHOOSE(CONTROL!$C$38, 0.0347, 0)</f>
        <v>64.220500000000001</v>
      </c>
      <c r="H902" s="10">
        <f>64.1858 * CHOOSE(CONTROL!$C$15, $E$9, 100%, $G$9) + CHOOSE(CONTROL!$C$38, 0.0347, 0)</f>
        <v>64.220500000000001</v>
      </c>
      <c r="I902" s="10">
        <f>64.1873 * CHOOSE(CONTROL!$C$15, $E$9, 100%, $G$9) + CHOOSE(CONTROL!$C$38, 0.0347, 0)</f>
        <v>64.221999999999994</v>
      </c>
      <c r="J902" s="26">
        <f>422.3996</f>
        <v>422.39960000000002</v>
      </c>
    </row>
    <row r="903" spans="1:10" ht="15.75" x14ac:dyDescent="0.25">
      <c r="A903" s="13">
        <v>68788</v>
      </c>
      <c r="B903" s="10">
        <f>68.9627 * CHOOSE(CONTROL!$C$15, $E$9, 100%, $G$9) + CHOOSE(CONTROL!$C$38, 0.0256, 0)</f>
        <v>68.988299999999995</v>
      </c>
      <c r="C903" s="10">
        <f>63.6922 * CHOOSE(CONTROL!$C$15, $E$9, 100%, $G$9) + CHOOSE(CONTROL!$C$38, 0.0347, 0)</f>
        <v>63.726900000000001</v>
      </c>
      <c r="D903" s="10">
        <f>63.6843 * CHOOSE(CONTROL!$C$15, $E$9, 100%, $G$9) + CHOOSE(CONTROL!$C$38, 0.0347, 0)</f>
        <v>63.719000000000001</v>
      </c>
      <c r="E903" s="28">
        <f>68.8064 * CHOOSE(CONTROL!$C$15, $E$9, 100%, $G$9) + CHOOSE(CONTROL!$C$38, 0.0347, 0)</f>
        <v>68.841099999999997</v>
      </c>
      <c r="F903" s="27">
        <f>68.8064 * CHOOSE(CONTROL!$C$15, $E$9, 100%, $G$9) + CHOOSE(CONTROL!$C$38, 0.0256, 0)</f>
        <v>68.831999999999994</v>
      </c>
      <c r="G903" s="10">
        <f>63.6906 * CHOOSE(CONTROL!$C$15, $E$9, 100%, $G$9) + CHOOSE(CONTROL!$C$38, 0.0347, 0)</f>
        <v>63.725300000000004</v>
      </c>
      <c r="H903" s="10">
        <f>63.6906 * CHOOSE(CONTROL!$C$15, $E$9, 100%, $G$9) + CHOOSE(CONTROL!$C$38, 0.0347, 0)</f>
        <v>63.725300000000004</v>
      </c>
      <c r="I903" s="10">
        <f>63.6922 * CHOOSE(CONTROL!$C$15, $E$9, 100%, $G$9) + CHOOSE(CONTROL!$C$38, 0.0347, 0)</f>
        <v>63.726900000000001</v>
      </c>
      <c r="J903" s="26">
        <f>449.8238</f>
        <v>449.82380000000001</v>
      </c>
    </row>
    <row r="904" spans="1:10" ht="15.75" x14ac:dyDescent="0.25">
      <c r="A904" s="13">
        <v>68819</v>
      </c>
      <c r="B904" s="10">
        <f>68.4465 * CHOOSE(CONTROL!$C$15, $E$9, 100%, $G$9) + CHOOSE(CONTROL!$C$38, 0.0256, 0)</f>
        <v>68.472099999999998</v>
      </c>
      <c r="C904" s="10">
        <f>63.176 * CHOOSE(CONTROL!$C$15, $E$9, 100%, $G$9) + CHOOSE(CONTROL!$C$38, 0.0347, 0)</f>
        <v>63.210700000000003</v>
      </c>
      <c r="D904" s="10">
        <f>63.1682 * CHOOSE(CONTROL!$C$15, $E$9, 100%, $G$9) + CHOOSE(CONTROL!$C$38, 0.0347, 0)</f>
        <v>63.2029</v>
      </c>
      <c r="E904" s="28">
        <f>68.2903 * CHOOSE(CONTROL!$C$15, $E$9, 100%, $G$9) + CHOOSE(CONTROL!$C$38, 0.0347, 0)</f>
        <v>68.325000000000003</v>
      </c>
      <c r="F904" s="27">
        <f>68.2903 * CHOOSE(CONTROL!$C$15, $E$9, 100%, $G$9) + CHOOSE(CONTROL!$C$38, 0.0256, 0)</f>
        <v>68.315899999999999</v>
      </c>
      <c r="G904" s="10">
        <f>63.1745 * CHOOSE(CONTROL!$C$15, $E$9, 100%, $G$9) + CHOOSE(CONTROL!$C$38, 0.0347, 0)</f>
        <v>63.209200000000003</v>
      </c>
      <c r="H904" s="10">
        <f>63.1745 * CHOOSE(CONTROL!$C$15, $E$9, 100%, $G$9) + CHOOSE(CONTROL!$C$38, 0.0347, 0)</f>
        <v>63.209200000000003</v>
      </c>
      <c r="I904" s="10">
        <f>63.176 * CHOOSE(CONTROL!$C$15, $E$9, 100%, $G$9) + CHOOSE(CONTROL!$C$38, 0.0347, 0)</f>
        <v>63.210700000000003</v>
      </c>
      <c r="J904" s="26">
        <f>464.919</f>
        <v>464.91899999999998</v>
      </c>
    </row>
    <row r="905" spans="1:10" ht="15.75" x14ac:dyDescent="0.25">
      <c r="A905" s="13">
        <v>68849</v>
      </c>
      <c r="B905" s="10">
        <f>68.0847 * CHOOSE(CONTROL!$C$15, $E$9, 100%, $G$9) + CHOOSE(CONTROL!$C$38, 0.0256, 0)</f>
        <v>68.110299999999995</v>
      </c>
      <c r="C905" s="10">
        <f>62.8142 * CHOOSE(CONTROL!$C$15, $E$9, 100%, $G$9) + CHOOSE(CONTROL!$C$38, 0.0347, 0)</f>
        <v>62.8489</v>
      </c>
      <c r="D905" s="10">
        <f>62.8064 * CHOOSE(CONTROL!$C$15, $E$9, 100%, $G$9) + CHOOSE(CONTROL!$C$38, 0.0347, 0)</f>
        <v>62.841099999999997</v>
      </c>
      <c r="E905" s="28">
        <f>67.9285 * CHOOSE(CONTROL!$C$15, $E$9, 100%, $G$9) + CHOOSE(CONTROL!$C$38, 0.0347, 0)</f>
        <v>67.963200000000001</v>
      </c>
      <c r="F905" s="27">
        <f>67.9285 * CHOOSE(CONTROL!$C$15, $E$9, 100%, $G$9) + CHOOSE(CONTROL!$C$38, 0.0256, 0)</f>
        <v>67.954099999999997</v>
      </c>
      <c r="G905" s="10">
        <f>62.8126 * CHOOSE(CONTROL!$C$15, $E$9, 100%, $G$9) + CHOOSE(CONTROL!$C$38, 0.0347, 0)</f>
        <v>62.847300000000004</v>
      </c>
      <c r="H905" s="10">
        <f>62.8126 * CHOOSE(CONTROL!$C$15, $E$9, 100%, $G$9) + CHOOSE(CONTROL!$C$38, 0.0347, 0)</f>
        <v>62.847300000000004</v>
      </c>
      <c r="I905" s="10">
        <f>62.8142 * CHOOSE(CONTROL!$C$15, $E$9, 100%, $G$9) + CHOOSE(CONTROL!$C$38, 0.0347, 0)</f>
        <v>62.8489</v>
      </c>
      <c r="J905" s="26">
        <f>471.618</f>
        <v>471.61799999999999</v>
      </c>
    </row>
    <row r="906" spans="1:10" ht="15.75" x14ac:dyDescent="0.25">
      <c r="A906" s="13">
        <v>68880</v>
      </c>
      <c r="B906" s="10">
        <f>67.8782 * CHOOSE(CONTROL!$C$15, $E$9, 100%, $G$9) + CHOOSE(CONTROL!$C$38, 0.0256, 0)</f>
        <v>67.903800000000004</v>
      </c>
      <c r="C906" s="10">
        <f>62.6077 * CHOOSE(CONTROL!$C$15, $E$9, 100%, $G$9) + CHOOSE(CONTROL!$C$38, 0.0347, 0)</f>
        <v>62.642400000000002</v>
      </c>
      <c r="D906" s="10">
        <f>62.5999 * CHOOSE(CONTROL!$C$15, $E$9, 100%, $G$9) + CHOOSE(CONTROL!$C$38, 0.0347, 0)</f>
        <v>62.634599999999999</v>
      </c>
      <c r="E906" s="28">
        <f>67.722 * CHOOSE(CONTROL!$C$15, $E$9, 100%, $G$9) + CHOOSE(CONTROL!$C$38, 0.0347, 0)</f>
        <v>67.756699999999995</v>
      </c>
      <c r="F906" s="27">
        <f>67.722 * CHOOSE(CONTROL!$C$15, $E$9, 100%, $G$9) + CHOOSE(CONTROL!$C$38, 0.0256, 0)</f>
        <v>67.747599999999991</v>
      </c>
      <c r="G906" s="10">
        <f>62.6062 * CHOOSE(CONTROL!$C$15, $E$9, 100%, $G$9) + CHOOSE(CONTROL!$C$38, 0.0347, 0)</f>
        <v>62.640900000000002</v>
      </c>
      <c r="H906" s="10">
        <f>62.6062 * CHOOSE(CONTROL!$C$15, $E$9, 100%, $G$9) + CHOOSE(CONTROL!$C$38, 0.0347, 0)</f>
        <v>62.640900000000002</v>
      </c>
      <c r="I906" s="10">
        <f>62.6077 * CHOOSE(CONTROL!$C$15, $E$9, 100%, $G$9) + CHOOSE(CONTROL!$C$38, 0.0347, 0)</f>
        <v>62.642400000000002</v>
      </c>
      <c r="J906" s="26">
        <f>469.4124</f>
        <v>469.41239999999999</v>
      </c>
    </row>
    <row r="907" spans="1:10" ht="15.75" x14ac:dyDescent="0.25">
      <c r="A907" s="13">
        <v>68911</v>
      </c>
      <c r="B907" s="10">
        <f>67.9801 * CHOOSE(CONTROL!$C$15, $E$9, 100%, $G$9) + CHOOSE(CONTROL!$C$38, 0.0256, 0)</f>
        <v>68.00569999999999</v>
      </c>
      <c r="C907" s="10">
        <f>62.7096 * CHOOSE(CONTROL!$C$15, $E$9, 100%, $G$9) + CHOOSE(CONTROL!$C$38, 0.0347, 0)</f>
        <v>62.744300000000003</v>
      </c>
      <c r="D907" s="10">
        <f>62.7018 * CHOOSE(CONTROL!$C$15, $E$9, 100%, $G$9) + CHOOSE(CONTROL!$C$38, 0.0347, 0)</f>
        <v>62.736499999999999</v>
      </c>
      <c r="E907" s="28">
        <f>67.8239 * CHOOSE(CONTROL!$C$15, $E$9, 100%, $G$9) + CHOOSE(CONTROL!$C$38, 0.0347, 0)</f>
        <v>67.858599999999996</v>
      </c>
      <c r="F907" s="27">
        <f>67.8239 * CHOOSE(CONTROL!$C$15, $E$9, 100%, $G$9) + CHOOSE(CONTROL!$C$38, 0.0256, 0)</f>
        <v>67.849499999999992</v>
      </c>
      <c r="G907" s="10">
        <f>62.7081 * CHOOSE(CONTROL!$C$15, $E$9, 100%, $G$9) + CHOOSE(CONTROL!$C$38, 0.0347, 0)</f>
        <v>62.742800000000003</v>
      </c>
      <c r="H907" s="10">
        <f>62.7081 * CHOOSE(CONTROL!$C$15, $E$9, 100%, $G$9) + CHOOSE(CONTROL!$C$38, 0.0347, 0)</f>
        <v>62.742800000000003</v>
      </c>
      <c r="I907" s="10">
        <f>62.7096 * CHOOSE(CONTROL!$C$15, $E$9, 100%, $G$9) + CHOOSE(CONTROL!$C$38, 0.0347, 0)</f>
        <v>62.744300000000003</v>
      </c>
      <c r="J907" s="26">
        <f>458.4847</f>
        <v>458.48469999999998</v>
      </c>
    </row>
    <row r="908" spans="1:10" ht="15.75" x14ac:dyDescent="0.25">
      <c r="A908" s="13">
        <v>68941</v>
      </c>
      <c r="B908" s="10">
        <f>68.2569 * CHOOSE(CONTROL!$C$15, $E$9, 100%, $G$9) + CHOOSE(CONTROL!$C$38, 0.0256, 0)</f>
        <v>68.282499999999999</v>
      </c>
      <c r="C908" s="10">
        <f>62.9864 * CHOOSE(CONTROL!$C$15, $E$9, 100%, $G$9) + CHOOSE(CONTROL!$C$38, 0.0347, 0)</f>
        <v>63.021100000000004</v>
      </c>
      <c r="D908" s="10">
        <f>62.9786 * CHOOSE(CONTROL!$C$15, $E$9, 100%, $G$9) + CHOOSE(CONTROL!$C$38, 0.0347, 0)</f>
        <v>63.013300000000001</v>
      </c>
      <c r="E908" s="28">
        <f>68.1007 * CHOOSE(CONTROL!$C$15, $E$9, 100%, $G$9) + CHOOSE(CONTROL!$C$38, 0.0347, 0)</f>
        <v>68.135400000000004</v>
      </c>
      <c r="F908" s="27">
        <f>68.1007 * CHOOSE(CONTROL!$C$15, $E$9, 100%, $G$9) + CHOOSE(CONTROL!$C$38, 0.0256, 0)</f>
        <v>68.126300000000001</v>
      </c>
      <c r="G908" s="10">
        <f>62.9849 * CHOOSE(CONTROL!$C$15, $E$9, 100%, $G$9) + CHOOSE(CONTROL!$C$38, 0.0347, 0)</f>
        <v>63.019600000000004</v>
      </c>
      <c r="H908" s="10">
        <f>62.9849 * CHOOSE(CONTROL!$C$15, $E$9, 100%, $G$9) + CHOOSE(CONTROL!$C$38, 0.0347, 0)</f>
        <v>63.019600000000004</v>
      </c>
      <c r="I908" s="10">
        <f>62.9864 * CHOOSE(CONTROL!$C$15, $E$9, 100%, $G$9) + CHOOSE(CONTROL!$C$38, 0.0347, 0)</f>
        <v>63.021100000000004</v>
      </c>
      <c r="J908" s="26">
        <f>443.2454</f>
        <v>443.24540000000002</v>
      </c>
    </row>
    <row r="909" spans="1:10" ht="15.75" x14ac:dyDescent="0.25">
      <c r="A909" s="13">
        <v>68972</v>
      </c>
      <c r="B909" s="10">
        <f>68.4888 * CHOOSE(CONTROL!$C$15, $E$9, 100%, $G$9) + CHOOSE(CONTROL!$C$38, 0.0256, 0)</f>
        <v>68.514399999999995</v>
      </c>
      <c r="C909" s="10">
        <f>63.2182 * CHOOSE(CONTROL!$C$15, $E$9, 100%, $G$9) + CHOOSE(CONTROL!$C$38, 0.0347, 0)</f>
        <v>63.252900000000004</v>
      </c>
      <c r="D909" s="10">
        <f>63.2104 * CHOOSE(CONTROL!$C$15, $E$9, 100%, $G$9) + CHOOSE(CONTROL!$C$38, 0.0347, 0)</f>
        <v>63.245100000000001</v>
      </c>
      <c r="E909" s="28">
        <f>68.3325 * CHOOSE(CONTROL!$C$15, $E$9, 100%, $G$9) + CHOOSE(CONTROL!$C$38, 0.0347, 0)</f>
        <v>68.367199999999997</v>
      </c>
      <c r="F909" s="27">
        <f>68.3325 * CHOOSE(CONTROL!$C$15, $E$9, 100%, $G$9) + CHOOSE(CONTROL!$C$38, 0.0256, 0)</f>
        <v>68.358099999999993</v>
      </c>
      <c r="G909" s="10">
        <f>63.2167 * CHOOSE(CONTROL!$C$15, $E$9, 100%, $G$9) + CHOOSE(CONTROL!$C$38, 0.0347, 0)</f>
        <v>63.251400000000004</v>
      </c>
      <c r="H909" s="10">
        <f>63.2167 * CHOOSE(CONTROL!$C$15, $E$9, 100%, $G$9) + CHOOSE(CONTROL!$C$38, 0.0347, 0)</f>
        <v>63.251400000000004</v>
      </c>
      <c r="I909" s="10">
        <f>63.2182 * CHOOSE(CONTROL!$C$15, $E$9, 100%, $G$9) + CHOOSE(CONTROL!$C$38, 0.0347, 0)</f>
        <v>63.252900000000004</v>
      </c>
      <c r="J909" s="26">
        <f>427.9175</f>
        <v>427.91750000000002</v>
      </c>
    </row>
    <row r="910" spans="1:10" ht="15.75" x14ac:dyDescent="0.25">
      <c r="A910" s="13">
        <v>69002</v>
      </c>
      <c r="B910" s="10">
        <f>68.6822 * CHOOSE(CONTROL!$C$15, $E$9, 100%, $G$9) + CHOOSE(CONTROL!$C$38, 0.0256, 0)</f>
        <v>68.707799999999992</v>
      </c>
      <c r="C910" s="10">
        <f>63.4117 * CHOOSE(CONTROL!$C$15, $E$9, 100%, $G$9) + CHOOSE(CONTROL!$C$38, 0.0347, 0)</f>
        <v>63.446400000000004</v>
      </c>
      <c r="D910" s="10">
        <f>63.4039 * CHOOSE(CONTROL!$C$15, $E$9, 100%, $G$9) + CHOOSE(CONTROL!$C$38, 0.0347, 0)</f>
        <v>63.438600000000001</v>
      </c>
      <c r="E910" s="28">
        <f>68.5259 * CHOOSE(CONTROL!$C$15, $E$9, 100%, $G$9) + CHOOSE(CONTROL!$C$38, 0.0347, 0)</f>
        <v>68.560599999999994</v>
      </c>
      <c r="F910" s="27">
        <f>68.5259 * CHOOSE(CONTROL!$C$15, $E$9, 100%, $G$9) + CHOOSE(CONTROL!$C$38, 0.0256, 0)</f>
        <v>68.55149999999999</v>
      </c>
      <c r="G910" s="10">
        <f>63.4101 * CHOOSE(CONTROL!$C$15, $E$9, 100%, $G$9) + CHOOSE(CONTROL!$C$38, 0.0347, 0)</f>
        <v>63.444800000000001</v>
      </c>
      <c r="H910" s="10">
        <f>63.4101 * CHOOSE(CONTROL!$C$15, $E$9, 100%, $G$9) + CHOOSE(CONTROL!$C$38, 0.0347, 0)</f>
        <v>63.444800000000001</v>
      </c>
      <c r="I910" s="10">
        <f>63.4117 * CHOOSE(CONTROL!$C$15, $E$9, 100%, $G$9) + CHOOSE(CONTROL!$C$38, 0.0347, 0)</f>
        <v>63.446400000000004</v>
      </c>
      <c r="J910" s="26">
        <f>424.8685</f>
        <v>424.86849999999998</v>
      </c>
    </row>
    <row r="911" spans="1:10" ht="15.75" x14ac:dyDescent="0.25">
      <c r="A911" s="13">
        <v>69033</v>
      </c>
      <c r="B911" s="10">
        <f>69.2783 * CHOOSE(CONTROL!$C$15, $E$9, 100%, $G$9) + CHOOSE(CONTROL!$C$38, 0.0256, 0)</f>
        <v>69.303899999999999</v>
      </c>
      <c r="C911" s="10">
        <f>64.0078 * CHOOSE(CONTROL!$C$15, $E$9, 100%, $G$9) + CHOOSE(CONTROL!$C$38, 0.0347, 0)</f>
        <v>64.042500000000004</v>
      </c>
      <c r="D911" s="10">
        <f>63.9999 * CHOOSE(CONTROL!$C$15, $E$9, 100%, $G$9) + CHOOSE(CONTROL!$C$38, 0.0347, 0)</f>
        <v>64.034599999999998</v>
      </c>
      <c r="E911" s="28">
        <f>69.122 * CHOOSE(CONTROL!$C$15, $E$9, 100%, $G$9) + CHOOSE(CONTROL!$C$38, 0.0347, 0)</f>
        <v>69.156700000000001</v>
      </c>
      <c r="F911" s="27">
        <f>69.122 * CHOOSE(CONTROL!$C$15, $E$9, 100%, $G$9) + CHOOSE(CONTROL!$C$38, 0.0256, 0)</f>
        <v>69.147599999999997</v>
      </c>
      <c r="G911" s="10">
        <f>64.0062 * CHOOSE(CONTROL!$C$15, $E$9, 100%, $G$9) + CHOOSE(CONTROL!$C$38, 0.0347, 0)</f>
        <v>64.040900000000008</v>
      </c>
      <c r="H911" s="10">
        <f>64.0062 * CHOOSE(CONTROL!$C$15, $E$9, 100%, $G$9) + CHOOSE(CONTROL!$C$38, 0.0347, 0)</f>
        <v>64.040900000000008</v>
      </c>
      <c r="I911" s="10">
        <f>64.0078 * CHOOSE(CONTROL!$C$15, $E$9, 100%, $G$9) + CHOOSE(CONTROL!$C$38, 0.0347, 0)</f>
        <v>64.042500000000004</v>
      </c>
      <c r="J911" s="26">
        <f>412.2605</f>
        <v>412.26049999999998</v>
      </c>
    </row>
    <row r="912" spans="1:10" ht="15.75" x14ac:dyDescent="0.25">
      <c r="A912" s="13">
        <v>69064</v>
      </c>
      <c r="B912" s="10">
        <f>70.9522 * CHOOSE(CONTROL!$C$15, $E$9, 100%, $G$9) + CHOOSE(CONTROL!$C$38, 0.0256, 0)</f>
        <v>70.977800000000002</v>
      </c>
      <c r="C912" s="10">
        <f>65.5914 * CHOOSE(CONTROL!$C$15, $E$9, 100%, $G$9) + CHOOSE(CONTROL!$C$38, 0.0347, 0)</f>
        <v>65.626099999999994</v>
      </c>
      <c r="D912" s="10">
        <f>65.5836 * CHOOSE(CONTROL!$C$15, $E$9, 100%, $G$9) + CHOOSE(CONTROL!$C$38, 0.0347, 0)</f>
        <v>65.618300000000005</v>
      </c>
      <c r="E912" s="28">
        <f>70.796 * CHOOSE(CONTROL!$C$15, $E$9, 100%, $G$9) + CHOOSE(CONTROL!$C$38, 0.0347, 0)</f>
        <v>70.830700000000007</v>
      </c>
      <c r="F912" s="27">
        <f>70.796 * CHOOSE(CONTROL!$C$15, $E$9, 100%, $G$9) + CHOOSE(CONTROL!$C$38, 0.0256, 0)</f>
        <v>70.821600000000004</v>
      </c>
      <c r="G912" s="10">
        <f>65.5898 * CHOOSE(CONTROL!$C$15, $E$9, 100%, $G$9) + CHOOSE(CONTROL!$C$38, 0.0347, 0)</f>
        <v>65.624499999999998</v>
      </c>
      <c r="H912" s="10">
        <f>65.5898 * CHOOSE(CONTROL!$C$15, $E$9, 100%, $G$9) + CHOOSE(CONTROL!$C$38, 0.0347, 0)</f>
        <v>65.624499999999998</v>
      </c>
      <c r="I912" s="10">
        <f>65.5914 * CHOOSE(CONTROL!$C$15, $E$9, 100%, $G$9) + CHOOSE(CONTROL!$C$38, 0.0347, 0)</f>
        <v>65.626099999999994</v>
      </c>
      <c r="J912" s="26">
        <f>409.499</f>
        <v>409.49900000000002</v>
      </c>
    </row>
    <row r="913" spans="1:10" ht="15.75" x14ac:dyDescent="0.25">
      <c r="A913" s="13">
        <v>69092</v>
      </c>
      <c r="B913" s="10">
        <f>71.173 * CHOOSE(CONTROL!$C$15, $E$9, 100%, $G$9) + CHOOSE(CONTROL!$C$38, 0.0256, 0)</f>
        <v>71.198599999999999</v>
      </c>
      <c r="C913" s="10">
        <f>65.8121 * CHOOSE(CONTROL!$C$15, $E$9, 100%, $G$9) + CHOOSE(CONTROL!$C$38, 0.0347, 0)</f>
        <v>65.846800000000002</v>
      </c>
      <c r="D913" s="10">
        <f>65.8043 * CHOOSE(CONTROL!$C$15, $E$9, 100%, $G$9) + CHOOSE(CONTROL!$C$38, 0.0347, 0)</f>
        <v>65.838999999999999</v>
      </c>
      <c r="E913" s="28">
        <f>71.0168 * CHOOSE(CONTROL!$C$15, $E$9, 100%, $G$9) + CHOOSE(CONTROL!$C$38, 0.0347, 0)</f>
        <v>71.051500000000004</v>
      </c>
      <c r="F913" s="27">
        <f>71.0168 * CHOOSE(CONTROL!$C$15, $E$9, 100%, $G$9) + CHOOSE(CONTROL!$C$38, 0.0256, 0)</f>
        <v>71.042400000000001</v>
      </c>
      <c r="G913" s="10">
        <f>65.8106 * CHOOSE(CONTROL!$C$15, $E$9, 100%, $G$9) + CHOOSE(CONTROL!$C$38, 0.0347, 0)</f>
        <v>65.845299999999995</v>
      </c>
      <c r="H913" s="10">
        <f>65.8106 * CHOOSE(CONTROL!$C$15, $E$9, 100%, $G$9) + CHOOSE(CONTROL!$C$38, 0.0347, 0)</f>
        <v>65.845299999999995</v>
      </c>
      <c r="I913" s="10">
        <f>65.8121 * CHOOSE(CONTROL!$C$15, $E$9, 100%, $G$9) + CHOOSE(CONTROL!$C$38, 0.0347, 0)</f>
        <v>65.846800000000002</v>
      </c>
      <c r="J913" s="26">
        <f>408.3607</f>
        <v>408.36070000000001</v>
      </c>
    </row>
    <row r="914" spans="1:10" ht="15.75" x14ac:dyDescent="0.25">
      <c r="A914" s="13">
        <v>69123</v>
      </c>
      <c r="B914" s="10">
        <f>70.662 * CHOOSE(CONTROL!$C$15, $E$9, 100%, $G$9) + CHOOSE(CONTROL!$C$38, 0.0256, 0)</f>
        <v>70.687600000000003</v>
      </c>
      <c r="C914" s="10">
        <f>65.3011 * CHOOSE(CONTROL!$C$15, $E$9, 100%, $G$9) + CHOOSE(CONTROL!$C$38, 0.0347, 0)</f>
        <v>65.335800000000006</v>
      </c>
      <c r="D914" s="10">
        <f>65.2933 * CHOOSE(CONTROL!$C$15, $E$9, 100%, $G$9) + CHOOSE(CONTROL!$C$38, 0.0347, 0)</f>
        <v>65.328000000000003</v>
      </c>
      <c r="E914" s="28">
        <f>70.5057 * CHOOSE(CONTROL!$C$15, $E$9, 100%, $G$9) + CHOOSE(CONTROL!$C$38, 0.0347, 0)</f>
        <v>70.540400000000005</v>
      </c>
      <c r="F914" s="27">
        <f>70.5057 * CHOOSE(CONTROL!$C$15, $E$9, 100%, $G$9) + CHOOSE(CONTROL!$C$38, 0.0256, 0)</f>
        <v>70.531300000000002</v>
      </c>
      <c r="G914" s="10">
        <f>65.2995 * CHOOSE(CONTROL!$C$15, $E$9, 100%, $G$9) + CHOOSE(CONTROL!$C$38, 0.0347, 0)</f>
        <v>65.334199999999996</v>
      </c>
      <c r="H914" s="10">
        <f>65.2995 * CHOOSE(CONTROL!$C$15, $E$9, 100%, $G$9) + CHOOSE(CONTROL!$C$38, 0.0347, 0)</f>
        <v>65.334199999999996</v>
      </c>
      <c r="I914" s="10">
        <f>65.3011 * CHOOSE(CONTROL!$C$15, $E$9, 100%, $G$9) + CHOOSE(CONTROL!$C$38, 0.0347, 0)</f>
        <v>65.335800000000006</v>
      </c>
      <c r="J914" s="26">
        <f>429.8837</f>
        <v>429.88369999999998</v>
      </c>
    </row>
    <row r="915" spans="1:10" ht="15.75" x14ac:dyDescent="0.25">
      <c r="A915" s="13">
        <v>69153</v>
      </c>
      <c r="B915" s="10">
        <f>70.1668 * CHOOSE(CONTROL!$C$15, $E$9, 100%, $G$9) + CHOOSE(CONTROL!$C$38, 0.0256, 0)</f>
        <v>70.192399999999992</v>
      </c>
      <c r="C915" s="10">
        <f>64.8059 * CHOOSE(CONTROL!$C$15, $E$9, 100%, $G$9) + CHOOSE(CONTROL!$C$38, 0.0347, 0)</f>
        <v>64.840599999999995</v>
      </c>
      <c r="D915" s="10">
        <f>64.7981 * CHOOSE(CONTROL!$C$15, $E$9, 100%, $G$9) + CHOOSE(CONTROL!$C$38, 0.0347, 0)</f>
        <v>64.832800000000006</v>
      </c>
      <c r="E915" s="28">
        <f>70.0105 * CHOOSE(CONTROL!$C$15, $E$9, 100%, $G$9) + CHOOSE(CONTROL!$C$38, 0.0347, 0)</f>
        <v>70.045199999999994</v>
      </c>
      <c r="F915" s="27">
        <f>70.0105 * CHOOSE(CONTROL!$C$15, $E$9, 100%, $G$9) + CHOOSE(CONTROL!$C$38, 0.0256, 0)</f>
        <v>70.03609999999999</v>
      </c>
      <c r="G915" s="10">
        <f>64.8044 * CHOOSE(CONTROL!$C$15, $E$9, 100%, $G$9) + CHOOSE(CONTROL!$C$38, 0.0347, 0)</f>
        <v>64.839100000000002</v>
      </c>
      <c r="H915" s="10">
        <f>64.8044 * CHOOSE(CONTROL!$C$15, $E$9, 100%, $G$9) + CHOOSE(CONTROL!$C$38, 0.0347, 0)</f>
        <v>64.839100000000002</v>
      </c>
      <c r="I915" s="10">
        <f>64.8059 * CHOOSE(CONTROL!$C$15, $E$9, 100%, $G$9) + CHOOSE(CONTROL!$C$38, 0.0347, 0)</f>
        <v>64.840599999999995</v>
      </c>
      <c r="J915" s="26">
        <f>457.7939</f>
        <v>457.79390000000001</v>
      </c>
    </row>
    <row r="916" spans="1:10" ht="15.75" x14ac:dyDescent="0.25">
      <c r="A916" s="13">
        <v>69184</v>
      </c>
      <c r="B916" s="10">
        <f>69.6507 * CHOOSE(CONTROL!$C$15, $E$9, 100%, $G$9) + CHOOSE(CONTROL!$C$38, 0.0256, 0)</f>
        <v>69.676299999999998</v>
      </c>
      <c r="C916" s="10">
        <f>64.2898 * CHOOSE(CONTROL!$C$15, $E$9, 100%, $G$9) + CHOOSE(CONTROL!$C$38, 0.0347, 0)</f>
        <v>64.3245</v>
      </c>
      <c r="D916" s="10">
        <f>64.282 * CHOOSE(CONTROL!$C$15, $E$9, 100%, $G$9) + CHOOSE(CONTROL!$C$38, 0.0347, 0)</f>
        <v>64.316699999999997</v>
      </c>
      <c r="E916" s="28">
        <f>69.4944 * CHOOSE(CONTROL!$C$15, $E$9, 100%, $G$9) + CHOOSE(CONTROL!$C$38, 0.0347, 0)</f>
        <v>69.5291</v>
      </c>
      <c r="F916" s="27">
        <f>69.4944 * CHOOSE(CONTROL!$C$15, $E$9, 100%, $G$9) + CHOOSE(CONTROL!$C$38, 0.0256, 0)</f>
        <v>69.52</v>
      </c>
      <c r="G916" s="10">
        <f>64.2882 * CHOOSE(CONTROL!$C$15, $E$9, 100%, $G$9) + CHOOSE(CONTROL!$C$38, 0.0347, 0)</f>
        <v>64.322900000000004</v>
      </c>
      <c r="H916" s="10">
        <f>64.2882 * CHOOSE(CONTROL!$C$15, $E$9, 100%, $G$9) + CHOOSE(CONTROL!$C$38, 0.0347, 0)</f>
        <v>64.322900000000004</v>
      </c>
      <c r="I916" s="10">
        <f>64.2898 * CHOOSE(CONTROL!$C$15, $E$9, 100%, $G$9) + CHOOSE(CONTROL!$C$38, 0.0347, 0)</f>
        <v>64.3245</v>
      </c>
      <c r="J916" s="26">
        <f>473.1565</f>
        <v>473.15649999999999</v>
      </c>
    </row>
    <row r="917" spans="1:10" ht="15.75" x14ac:dyDescent="0.25">
      <c r="A917" s="13">
        <v>69214</v>
      </c>
      <c r="B917" s="10">
        <f>69.2888 * CHOOSE(CONTROL!$C$15, $E$9, 100%, $G$9) + CHOOSE(CONTROL!$C$38, 0.0256, 0)</f>
        <v>69.314399999999992</v>
      </c>
      <c r="C917" s="10">
        <f>63.928 * CHOOSE(CONTROL!$C$15, $E$9, 100%, $G$9) + CHOOSE(CONTROL!$C$38, 0.0347, 0)</f>
        <v>63.962699999999998</v>
      </c>
      <c r="D917" s="10">
        <f>63.9202 * CHOOSE(CONTROL!$C$15, $E$9, 100%, $G$9) + CHOOSE(CONTROL!$C$38, 0.0347, 0)</f>
        <v>63.954900000000002</v>
      </c>
      <c r="E917" s="28">
        <f>69.1326 * CHOOSE(CONTROL!$C$15, $E$9, 100%, $G$9) + CHOOSE(CONTROL!$C$38, 0.0347, 0)</f>
        <v>69.167299999999997</v>
      </c>
      <c r="F917" s="27">
        <f>69.1326 * CHOOSE(CONTROL!$C$15, $E$9, 100%, $G$9) + CHOOSE(CONTROL!$C$38, 0.0256, 0)</f>
        <v>69.158199999999994</v>
      </c>
      <c r="G917" s="10">
        <f>63.9264 * CHOOSE(CONTROL!$C$15, $E$9, 100%, $G$9) + CHOOSE(CONTROL!$C$38, 0.0347, 0)</f>
        <v>63.961100000000002</v>
      </c>
      <c r="H917" s="10">
        <f>63.9264 * CHOOSE(CONTROL!$C$15, $E$9, 100%, $G$9) + CHOOSE(CONTROL!$C$38, 0.0347, 0)</f>
        <v>63.961100000000002</v>
      </c>
      <c r="I917" s="10">
        <f>63.928 * CHOOSE(CONTROL!$C$15, $E$9, 100%, $G$9) + CHOOSE(CONTROL!$C$38, 0.0347, 0)</f>
        <v>63.962699999999998</v>
      </c>
      <c r="J917" s="26">
        <f>479.9742</f>
        <v>479.9742</v>
      </c>
    </row>
    <row r="918" spans="1:10" ht="15.75" x14ac:dyDescent="0.25">
      <c r="A918" s="13">
        <v>69245</v>
      </c>
      <c r="B918" s="10">
        <f>69.0824 * CHOOSE(CONTROL!$C$15, $E$9, 100%, $G$9) + CHOOSE(CONTROL!$C$38, 0.0256, 0)</f>
        <v>69.108000000000004</v>
      </c>
      <c r="C918" s="10">
        <f>63.7215 * CHOOSE(CONTROL!$C$15, $E$9, 100%, $G$9) + CHOOSE(CONTROL!$C$38, 0.0347, 0)</f>
        <v>63.7562</v>
      </c>
      <c r="D918" s="10">
        <f>63.7137 * CHOOSE(CONTROL!$C$15, $E$9, 100%, $G$9) + CHOOSE(CONTROL!$C$38, 0.0347, 0)</f>
        <v>63.748400000000004</v>
      </c>
      <c r="E918" s="28">
        <f>68.9261 * CHOOSE(CONTROL!$C$15, $E$9, 100%, $G$9) + CHOOSE(CONTROL!$C$38, 0.0347, 0)</f>
        <v>68.960800000000006</v>
      </c>
      <c r="F918" s="27">
        <f>68.9261 * CHOOSE(CONTROL!$C$15, $E$9, 100%, $G$9) + CHOOSE(CONTROL!$C$38, 0.0256, 0)</f>
        <v>68.951700000000002</v>
      </c>
      <c r="G918" s="10">
        <f>63.7199 * CHOOSE(CONTROL!$C$15, $E$9, 100%, $G$9) + CHOOSE(CONTROL!$C$38, 0.0347, 0)</f>
        <v>63.754600000000003</v>
      </c>
      <c r="H918" s="10">
        <f>63.7199 * CHOOSE(CONTROL!$C$15, $E$9, 100%, $G$9) + CHOOSE(CONTROL!$C$38, 0.0347, 0)</f>
        <v>63.754600000000003</v>
      </c>
      <c r="I918" s="10">
        <f>63.7215 * CHOOSE(CONTROL!$C$15, $E$9, 100%, $G$9) + CHOOSE(CONTROL!$C$38, 0.0347, 0)</f>
        <v>63.7562</v>
      </c>
      <c r="J918" s="26">
        <f>477.7295</f>
        <v>477.72949999999997</v>
      </c>
    </row>
    <row r="919" spans="1:10" ht="15.75" x14ac:dyDescent="0.25">
      <c r="A919" s="13">
        <v>69276</v>
      </c>
      <c r="B919" s="10">
        <f>69.1843 * CHOOSE(CONTROL!$C$15, $E$9, 100%, $G$9) + CHOOSE(CONTROL!$C$38, 0.0256, 0)</f>
        <v>69.20989999999999</v>
      </c>
      <c r="C919" s="10">
        <f>63.8234 * CHOOSE(CONTROL!$C$15, $E$9, 100%, $G$9) + CHOOSE(CONTROL!$C$38, 0.0347, 0)</f>
        <v>63.8581</v>
      </c>
      <c r="D919" s="10">
        <f>63.8156 * CHOOSE(CONTROL!$C$15, $E$9, 100%, $G$9) + CHOOSE(CONTROL!$C$38, 0.0347, 0)</f>
        <v>63.850300000000004</v>
      </c>
      <c r="E919" s="28">
        <f>69.028 * CHOOSE(CONTROL!$C$15, $E$9, 100%, $G$9) + CHOOSE(CONTROL!$C$38, 0.0347, 0)</f>
        <v>69.062700000000007</v>
      </c>
      <c r="F919" s="27">
        <f>69.028 * CHOOSE(CONTROL!$C$15, $E$9, 100%, $G$9) + CHOOSE(CONTROL!$C$38, 0.0256, 0)</f>
        <v>69.053600000000003</v>
      </c>
      <c r="G919" s="10">
        <f>63.8218 * CHOOSE(CONTROL!$C$15, $E$9, 100%, $G$9) + CHOOSE(CONTROL!$C$38, 0.0347, 0)</f>
        <v>63.856500000000004</v>
      </c>
      <c r="H919" s="10">
        <f>63.8218 * CHOOSE(CONTROL!$C$15, $E$9, 100%, $G$9) + CHOOSE(CONTROL!$C$38, 0.0347, 0)</f>
        <v>63.856500000000004</v>
      </c>
      <c r="I919" s="10">
        <f>63.8234 * CHOOSE(CONTROL!$C$15, $E$9, 100%, $G$9) + CHOOSE(CONTROL!$C$38, 0.0347, 0)</f>
        <v>63.8581</v>
      </c>
      <c r="J919" s="26">
        <f>466.6081</f>
        <v>466.60809999999998</v>
      </c>
    </row>
    <row r="920" spans="1:10" ht="15.75" x14ac:dyDescent="0.25">
      <c r="A920" s="13">
        <v>69306</v>
      </c>
      <c r="B920" s="10">
        <f>69.4611 * CHOOSE(CONTROL!$C$15, $E$9, 100%, $G$9) + CHOOSE(CONTROL!$C$38, 0.0256, 0)</f>
        <v>69.486699999999999</v>
      </c>
      <c r="C920" s="10">
        <f>64.1002 * CHOOSE(CONTROL!$C$15, $E$9, 100%, $G$9) + CHOOSE(CONTROL!$C$38, 0.0347, 0)</f>
        <v>64.134900000000002</v>
      </c>
      <c r="D920" s="10">
        <f>64.0924 * CHOOSE(CONTROL!$C$15, $E$9, 100%, $G$9) + CHOOSE(CONTROL!$C$38, 0.0347, 0)</f>
        <v>64.127099999999999</v>
      </c>
      <c r="E920" s="28">
        <f>69.3048 * CHOOSE(CONTROL!$C$15, $E$9, 100%, $G$9) + CHOOSE(CONTROL!$C$38, 0.0347, 0)</f>
        <v>69.339500000000001</v>
      </c>
      <c r="F920" s="27">
        <f>69.3048 * CHOOSE(CONTROL!$C$15, $E$9, 100%, $G$9) + CHOOSE(CONTROL!$C$38, 0.0256, 0)</f>
        <v>69.330399999999997</v>
      </c>
      <c r="G920" s="10">
        <f>64.0986 * CHOOSE(CONTROL!$C$15, $E$9, 100%, $G$9) + CHOOSE(CONTROL!$C$38, 0.0347, 0)</f>
        <v>64.133300000000006</v>
      </c>
      <c r="H920" s="10">
        <f>64.0986 * CHOOSE(CONTROL!$C$15, $E$9, 100%, $G$9) + CHOOSE(CONTROL!$C$38, 0.0347, 0)</f>
        <v>64.133300000000006</v>
      </c>
      <c r="I920" s="10">
        <f>64.1002 * CHOOSE(CONTROL!$C$15, $E$9, 100%, $G$9) + CHOOSE(CONTROL!$C$38, 0.0347, 0)</f>
        <v>64.134900000000002</v>
      </c>
      <c r="J920" s="26">
        <f>451.0989</f>
        <v>451.09890000000001</v>
      </c>
    </row>
    <row r="921" spans="1:10" ht="15.75" x14ac:dyDescent="0.25">
      <c r="A921" s="13">
        <v>69337</v>
      </c>
      <c r="B921" s="10">
        <f>69.6929 * CHOOSE(CONTROL!$C$15, $E$9, 100%, $G$9) + CHOOSE(CONTROL!$C$38, 0.0256, 0)</f>
        <v>69.718499999999992</v>
      </c>
      <c r="C921" s="10">
        <f>64.332 * CHOOSE(CONTROL!$C$15, $E$9, 100%, $G$9) + CHOOSE(CONTROL!$C$38, 0.0347, 0)</f>
        <v>64.366699999999994</v>
      </c>
      <c r="D921" s="10">
        <f>64.3242 * CHOOSE(CONTROL!$C$15, $E$9, 100%, $G$9) + CHOOSE(CONTROL!$C$38, 0.0347, 0)</f>
        <v>64.358900000000006</v>
      </c>
      <c r="E921" s="28">
        <f>69.5366 * CHOOSE(CONTROL!$C$15, $E$9, 100%, $G$9) + CHOOSE(CONTROL!$C$38, 0.0347, 0)</f>
        <v>69.571300000000008</v>
      </c>
      <c r="F921" s="27">
        <f>69.5366 * CHOOSE(CONTROL!$C$15, $E$9, 100%, $G$9) + CHOOSE(CONTROL!$C$38, 0.0256, 0)</f>
        <v>69.562200000000004</v>
      </c>
      <c r="G921" s="10">
        <f>64.3305 * CHOOSE(CONTROL!$C$15, $E$9, 100%, $G$9) + CHOOSE(CONTROL!$C$38, 0.0347, 0)</f>
        <v>64.365200000000002</v>
      </c>
      <c r="H921" s="10">
        <f>64.3305 * CHOOSE(CONTROL!$C$15, $E$9, 100%, $G$9) + CHOOSE(CONTROL!$C$38, 0.0347, 0)</f>
        <v>64.365200000000002</v>
      </c>
      <c r="I921" s="10">
        <f>64.332 * CHOOSE(CONTROL!$C$15, $E$9, 100%, $G$9) + CHOOSE(CONTROL!$C$38, 0.0347, 0)</f>
        <v>64.366699999999994</v>
      </c>
      <c r="J921" s="26">
        <f>435.4994</f>
        <v>435.49939999999998</v>
      </c>
    </row>
    <row r="922" spans="1:10" ht="15.75" x14ac:dyDescent="0.25">
      <c r="A922" s="13">
        <v>69367</v>
      </c>
      <c r="B922" s="10">
        <f>69.8863 * CHOOSE(CONTROL!$C$15, $E$9, 100%, $G$9) + CHOOSE(CONTROL!$C$38, 0.0256, 0)</f>
        <v>69.911900000000003</v>
      </c>
      <c r="C922" s="10">
        <f>64.5255 * CHOOSE(CONTROL!$C$15, $E$9, 100%, $G$9) + CHOOSE(CONTROL!$C$38, 0.0347, 0)</f>
        <v>64.560199999999995</v>
      </c>
      <c r="D922" s="10">
        <f>64.5176 * CHOOSE(CONTROL!$C$15, $E$9, 100%, $G$9) + CHOOSE(CONTROL!$C$38, 0.0347, 0)</f>
        <v>64.552300000000002</v>
      </c>
      <c r="E922" s="28">
        <f>69.7301 * CHOOSE(CONTROL!$C$15, $E$9, 100%, $G$9) + CHOOSE(CONTROL!$C$38, 0.0347, 0)</f>
        <v>69.764799999999994</v>
      </c>
      <c r="F922" s="27">
        <f>69.7301 * CHOOSE(CONTROL!$C$15, $E$9, 100%, $G$9) + CHOOSE(CONTROL!$C$38, 0.0256, 0)</f>
        <v>69.75569999999999</v>
      </c>
      <c r="G922" s="10">
        <f>64.5239 * CHOOSE(CONTROL!$C$15, $E$9, 100%, $G$9) + CHOOSE(CONTROL!$C$38, 0.0347, 0)</f>
        <v>64.558599999999998</v>
      </c>
      <c r="H922" s="10">
        <f>64.5239 * CHOOSE(CONTROL!$C$15, $E$9, 100%, $G$9) + CHOOSE(CONTROL!$C$38, 0.0347, 0)</f>
        <v>64.558599999999998</v>
      </c>
      <c r="I922" s="10">
        <f>64.5255 * CHOOSE(CONTROL!$C$15, $E$9, 100%, $G$9) + CHOOSE(CONTROL!$C$38, 0.0347, 0)</f>
        <v>64.560199999999995</v>
      </c>
      <c r="J922" s="26">
        <f>432.3964</f>
        <v>432.39640000000003</v>
      </c>
    </row>
    <row r="923" spans="1:10" ht="15.75" x14ac:dyDescent="0.25">
      <c r="A923" s="13">
        <v>69398</v>
      </c>
      <c r="B923" s="10">
        <f>70.4824 * CHOOSE(CONTROL!$C$15, $E$9, 100%, $G$9) + CHOOSE(CONTROL!$C$38, 0.0256, 0)</f>
        <v>70.507999999999996</v>
      </c>
      <c r="C923" s="10">
        <f>65.1215 * CHOOSE(CONTROL!$C$15, $E$9, 100%, $G$9) + CHOOSE(CONTROL!$C$38, 0.0347, 0)</f>
        <v>65.156199999999998</v>
      </c>
      <c r="D923" s="10">
        <f>65.1137 * CHOOSE(CONTROL!$C$15, $E$9, 100%, $G$9) + CHOOSE(CONTROL!$C$38, 0.0347, 0)</f>
        <v>65.148399999999995</v>
      </c>
      <c r="E923" s="28">
        <f>70.3261 * CHOOSE(CONTROL!$C$15, $E$9, 100%, $G$9) + CHOOSE(CONTROL!$C$38, 0.0347, 0)</f>
        <v>70.360799999999998</v>
      </c>
      <c r="F923" s="27">
        <f>70.3261 * CHOOSE(CONTROL!$C$15, $E$9, 100%, $G$9) + CHOOSE(CONTROL!$C$38, 0.0256, 0)</f>
        <v>70.351699999999994</v>
      </c>
      <c r="G923" s="10">
        <f>65.12 * CHOOSE(CONTROL!$C$15, $E$9, 100%, $G$9) + CHOOSE(CONTROL!$C$38, 0.0347, 0)</f>
        <v>65.154700000000005</v>
      </c>
      <c r="H923" s="10">
        <f>65.12 * CHOOSE(CONTROL!$C$15, $E$9, 100%, $G$9) + CHOOSE(CONTROL!$C$38, 0.0347, 0)</f>
        <v>65.154700000000005</v>
      </c>
      <c r="I923" s="10">
        <f>65.1215 * CHOOSE(CONTROL!$C$15, $E$9, 100%, $G$9) + CHOOSE(CONTROL!$C$38, 0.0347, 0)</f>
        <v>65.156199999999998</v>
      </c>
      <c r="J923" s="26">
        <f>419.565</f>
        <v>419.565</v>
      </c>
    </row>
    <row r="924" spans="1:10" ht="15.75" x14ac:dyDescent="0.25">
      <c r="A924" s="13">
        <v>69429</v>
      </c>
      <c r="B924" s="10">
        <f>72.1776 * CHOOSE(CONTROL!$C$15, $E$9, 100%, $G$9) + CHOOSE(CONTROL!$C$38, 0.0256, 0)</f>
        <v>72.203199999999995</v>
      </c>
      <c r="C924" s="10">
        <f>66.7248 * CHOOSE(CONTROL!$C$15, $E$9, 100%, $G$9) + CHOOSE(CONTROL!$C$38, 0.0347, 0)</f>
        <v>66.759500000000003</v>
      </c>
      <c r="D924" s="10">
        <f>66.717 * CHOOSE(CONTROL!$C$15, $E$9, 100%, $G$9) + CHOOSE(CONTROL!$C$38, 0.0347, 0)</f>
        <v>66.7517</v>
      </c>
      <c r="E924" s="28">
        <f>72.0214 * CHOOSE(CONTROL!$C$15, $E$9, 100%, $G$9) + CHOOSE(CONTROL!$C$38, 0.0347, 0)</f>
        <v>72.056100000000001</v>
      </c>
      <c r="F924" s="27">
        <f>72.0214 * CHOOSE(CONTROL!$C$15, $E$9, 100%, $G$9) + CHOOSE(CONTROL!$C$38, 0.0256, 0)</f>
        <v>72.046999999999997</v>
      </c>
      <c r="G924" s="10">
        <f>66.7233 * CHOOSE(CONTROL!$C$15, $E$9, 100%, $G$9) + CHOOSE(CONTROL!$C$38, 0.0347, 0)</f>
        <v>66.757999999999996</v>
      </c>
      <c r="H924" s="10">
        <f>66.7233 * CHOOSE(CONTROL!$C$15, $E$9, 100%, $G$9) + CHOOSE(CONTROL!$C$38, 0.0347, 0)</f>
        <v>66.757999999999996</v>
      </c>
      <c r="I924" s="10">
        <f>66.7248 * CHOOSE(CONTROL!$C$15, $E$9, 100%, $G$9) + CHOOSE(CONTROL!$C$38, 0.0347, 0)</f>
        <v>66.759500000000003</v>
      </c>
      <c r="J924" s="26">
        <f>416.7545</f>
        <v>416.75450000000001</v>
      </c>
    </row>
    <row r="925" spans="1:10" ht="15.75" x14ac:dyDescent="0.25">
      <c r="A925" s="13">
        <v>69457</v>
      </c>
      <c r="B925" s="10">
        <f>72.3984 * CHOOSE(CONTROL!$C$15, $E$9, 100%, $G$9) + CHOOSE(CONTROL!$C$38, 0.0256, 0)</f>
        <v>72.423999999999992</v>
      </c>
      <c r="C925" s="10">
        <f>66.9456 * CHOOSE(CONTROL!$C$15, $E$9, 100%, $G$9) + CHOOSE(CONTROL!$C$38, 0.0347, 0)</f>
        <v>66.9803</v>
      </c>
      <c r="D925" s="10">
        <f>66.9378 * CHOOSE(CONTROL!$C$15, $E$9, 100%, $G$9) + CHOOSE(CONTROL!$C$38, 0.0347, 0)</f>
        <v>66.972499999999997</v>
      </c>
      <c r="E925" s="28">
        <f>72.2422 * CHOOSE(CONTROL!$C$15, $E$9, 100%, $G$9) + CHOOSE(CONTROL!$C$38, 0.0347, 0)</f>
        <v>72.276899999999998</v>
      </c>
      <c r="F925" s="27">
        <f>72.2422 * CHOOSE(CONTROL!$C$15, $E$9, 100%, $G$9) + CHOOSE(CONTROL!$C$38, 0.0256, 0)</f>
        <v>72.267799999999994</v>
      </c>
      <c r="G925" s="10">
        <f>66.944 * CHOOSE(CONTROL!$C$15, $E$9, 100%, $G$9) + CHOOSE(CONTROL!$C$38, 0.0347, 0)</f>
        <v>66.978700000000003</v>
      </c>
      <c r="H925" s="10">
        <f>66.944 * CHOOSE(CONTROL!$C$15, $E$9, 100%, $G$9) + CHOOSE(CONTROL!$C$38, 0.0347, 0)</f>
        <v>66.978700000000003</v>
      </c>
      <c r="I925" s="10">
        <f>66.9456 * CHOOSE(CONTROL!$C$15, $E$9, 100%, $G$9) + CHOOSE(CONTROL!$C$38, 0.0347, 0)</f>
        <v>66.9803</v>
      </c>
      <c r="J925" s="26">
        <f>415.5961</f>
        <v>415.59609999999998</v>
      </c>
    </row>
    <row r="926" spans="1:10" ht="15.75" x14ac:dyDescent="0.25">
      <c r="A926" s="13">
        <v>69488</v>
      </c>
      <c r="B926" s="10">
        <f>71.8874 * CHOOSE(CONTROL!$C$15, $E$9, 100%, $G$9) + CHOOSE(CONTROL!$C$38, 0.0256, 0)</f>
        <v>71.912999999999997</v>
      </c>
      <c r="C926" s="10">
        <f>66.4346 * CHOOSE(CONTROL!$C$15, $E$9, 100%, $G$9) + CHOOSE(CONTROL!$C$38, 0.0347, 0)</f>
        <v>66.469300000000004</v>
      </c>
      <c r="D926" s="10">
        <f>66.4267 * CHOOSE(CONTROL!$C$15, $E$9, 100%, $G$9) + CHOOSE(CONTROL!$C$38, 0.0347, 0)</f>
        <v>66.461399999999998</v>
      </c>
      <c r="E926" s="28">
        <f>71.7311 * CHOOSE(CONTROL!$C$15, $E$9, 100%, $G$9) + CHOOSE(CONTROL!$C$38, 0.0347, 0)</f>
        <v>71.765799999999999</v>
      </c>
      <c r="F926" s="27">
        <f>71.7311 * CHOOSE(CONTROL!$C$15, $E$9, 100%, $G$9) + CHOOSE(CONTROL!$C$38, 0.0256, 0)</f>
        <v>71.756699999999995</v>
      </c>
      <c r="G926" s="10">
        <f>66.433 * CHOOSE(CONTROL!$C$15, $E$9, 100%, $G$9) + CHOOSE(CONTROL!$C$38, 0.0347, 0)</f>
        <v>66.467700000000008</v>
      </c>
      <c r="H926" s="10">
        <f>66.433 * CHOOSE(CONTROL!$C$15, $E$9, 100%, $G$9) + CHOOSE(CONTROL!$C$38, 0.0347, 0)</f>
        <v>66.467700000000008</v>
      </c>
      <c r="I926" s="10">
        <f>66.4346 * CHOOSE(CONTROL!$C$15, $E$9, 100%, $G$9) + CHOOSE(CONTROL!$C$38, 0.0347, 0)</f>
        <v>66.469300000000004</v>
      </c>
      <c r="J926" s="26">
        <f>437.5004</f>
        <v>437.50040000000001</v>
      </c>
    </row>
    <row r="927" spans="1:10" ht="15.75" x14ac:dyDescent="0.25">
      <c r="A927" s="13">
        <v>69518</v>
      </c>
      <c r="B927" s="10">
        <f>71.3922 * CHOOSE(CONTROL!$C$15, $E$9, 100%, $G$9) + CHOOSE(CONTROL!$C$38, 0.0256, 0)</f>
        <v>71.4178</v>
      </c>
      <c r="C927" s="10">
        <f>65.9394 * CHOOSE(CONTROL!$C$15, $E$9, 100%, $G$9) + CHOOSE(CONTROL!$C$38, 0.0347, 0)</f>
        <v>65.974100000000007</v>
      </c>
      <c r="D927" s="10">
        <f>65.9316 * CHOOSE(CONTROL!$C$15, $E$9, 100%, $G$9) + CHOOSE(CONTROL!$C$38, 0.0347, 0)</f>
        <v>65.966300000000004</v>
      </c>
      <c r="E927" s="28">
        <f>71.2359 * CHOOSE(CONTROL!$C$15, $E$9, 100%, $G$9) + CHOOSE(CONTROL!$C$38, 0.0347, 0)</f>
        <v>71.270600000000002</v>
      </c>
      <c r="F927" s="27">
        <f>71.2359 * CHOOSE(CONTROL!$C$15, $E$9, 100%, $G$9) + CHOOSE(CONTROL!$C$38, 0.0256, 0)</f>
        <v>71.261499999999998</v>
      </c>
      <c r="G927" s="10">
        <f>65.9378 * CHOOSE(CONTROL!$C$15, $E$9, 100%, $G$9) + CHOOSE(CONTROL!$C$38, 0.0347, 0)</f>
        <v>65.972499999999997</v>
      </c>
      <c r="H927" s="10">
        <f>65.9378 * CHOOSE(CONTROL!$C$15, $E$9, 100%, $G$9) + CHOOSE(CONTROL!$C$38, 0.0347, 0)</f>
        <v>65.972499999999997</v>
      </c>
      <c r="I927" s="10">
        <f>65.9394 * CHOOSE(CONTROL!$C$15, $E$9, 100%, $G$9) + CHOOSE(CONTROL!$C$38, 0.0347, 0)</f>
        <v>65.974100000000007</v>
      </c>
      <c r="J927" s="26">
        <f>465.9051</f>
        <v>465.9051</v>
      </c>
    </row>
    <row r="928" spans="1:10" ht="15.75" x14ac:dyDescent="0.25">
      <c r="A928" s="13">
        <v>69549</v>
      </c>
      <c r="B928" s="10">
        <f>70.8761 * CHOOSE(CONTROL!$C$15, $E$9, 100%, $G$9) + CHOOSE(CONTROL!$C$38, 0.0256, 0)</f>
        <v>70.901699999999991</v>
      </c>
      <c r="C928" s="10">
        <f>65.4233 * CHOOSE(CONTROL!$C$15, $E$9, 100%, $G$9) + CHOOSE(CONTROL!$C$38, 0.0347, 0)</f>
        <v>65.457999999999998</v>
      </c>
      <c r="D928" s="10">
        <f>65.4154 * CHOOSE(CONTROL!$C$15, $E$9, 100%, $G$9) + CHOOSE(CONTROL!$C$38, 0.0347, 0)</f>
        <v>65.450100000000006</v>
      </c>
      <c r="E928" s="28">
        <f>70.7198 * CHOOSE(CONTROL!$C$15, $E$9, 100%, $G$9) + CHOOSE(CONTROL!$C$38, 0.0347, 0)</f>
        <v>70.754500000000007</v>
      </c>
      <c r="F928" s="27">
        <f>70.7198 * CHOOSE(CONTROL!$C$15, $E$9, 100%, $G$9) + CHOOSE(CONTROL!$C$38, 0.0256, 0)</f>
        <v>70.745400000000004</v>
      </c>
      <c r="G928" s="10">
        <f>65.4217 * CHOOSE(CONTROL!$C$15, $E$9, 100%, $G$9) + CHOOSE(CONTROL!$C$38, 0.0347, 0)</f>
        <v>65.456400000000002</v>
      </c>
      <c r="H928" s="10">
        <f>65.4217 * CHOOSE(CONTROL!$C$15, $E$9, 100%, $G$9) + CHOOSE(CONTROL!$C$38, 0.0347, 0)</f>
        <v>65.456400000000002</v>
      </c>
      <c r="I928" s="10">
        <f>65.4233 * CHOOSE(CONTROL!$C$15, $E$9, 100%, $G$9) + CHOOSE(CONTROL!$C$38, 0.0347, 0)</f>
        <v>65.457999999999998</v>
      </c>
      <c r="J928" s="26">
        <f>481.5399</f>
        <v>481.53989999999999</v>
      </c>
    </row>
    <row r="929" spans="1:10" ht="15.75" x14ac:dyDescent="0.25">
      <c r="A929" s="13">
        <v>69579</v>
      </c>
      <c r="B929" s="10">
        <f>70.5143 * CHOOSE(CONTROL!$C$15, $E$9, 100%, $G$9) + CHOOSE(CONTROL!$C$38, 0.0256, 0)</f>
        <v>70.539900000000003</v>
      </c>
      <c r="C929" s="10">
        <f>65.0614 * CHOOSE(CONTROL!$C$15, $E$9, 100%, $G$9) + CHOOSE(CONTROL!$C$38, 0.0347, 0)</f>
        <v>65.096100000000007</v>
      </c>
      <c r="D929" s="10">
        <f>65.0536 * CHOOSE(CONTROL!$C$15, $E$9, 100%, $G$9) + CHOOSE(CONTROL!$C$38, 0.0347, 0)</f>
        <v>65.088300000000004</v>
      </c>
      <c r="E929" s="28">
        <f>70.358 * CHOOSE(CONTROL!$C$15, $E$9, 100%, $G$9) + CHOOSE(CONTROL!$C$38, 0.0347, 0)</f>
        <v>70.392700000000005</v>
      </c>
      <c r="F929" s="27">
        <f>70.358 * CHOOSE(CONTROL!$C$15, $E$9, 100%, $G$9) + CHOOSE(CONTROL!$C$38, 0.0256, 0)</f>
        <v>70.383600000000001</v>
      </c>
      <c r="G929" s="10">
        <f>65.0599 * CHOOSE(CONTROL!$C$15, $E$9, 100%, $G$9) + CHOOSE(CONTROL!$C$38, 0.0347, 0)</f>
        <v>65.0946</v>
      </c>
      <c r="H929" s="10">
        <f>65.0599 * CHOOSE(CONTROL!$C$15, $E$9, 100%, $G$9) + CHOOSE(CONTROL!$C$38, 0.0347, 0)</f>
        <v>65.0946</v>
      </c>
      <c r="I929" s="10">
        <f>65.0614 * CHOOSE(CONTROL!$C$15, $E$9, 100%, $G$9) + CHOOSE(CONTROL!$C$38, 0.0347, 0)</f>
        <v>65.096100000000007</v>
      </c>
      <c r="J929" s="26">
        <f>488.4784</f>
        <v>488.47840000000002</v>
      </c>
    </row>
    <row r="930" spans="1:10" ht="15.75" x14ac:dyDescent="0.25">
      <c r="A930" s="13">
        <v>69610</v>
      </c>
      <c r="B930" s="10">
        <f>70.3078 * CHOOSE(CONTROL!$C$15, $E$9, 100%, $G$9) + CHOOSE(CONTROL!$C$38, 0.0256, 0)</f>
        <v>70.333399999999997</v>
      </c>
      <c r="C930" s="10">
        <f>64.8549 * CHOOSE(CONTROL!$C$15, $E$9, 100%, $G$9) + CHOOSE(CONTROL!$C$38, 0.0347, 0)</f>
        <v>64.889600000000002</v>
      </c>
      <c r="D930" s="10">
        <f>64.8471 * CHOOSE(CONTROL!$C$15, $E$9, 100%, $G$9) + CHOOSE(CONTROL!$C$38, 0.0347, 0)</f>
        <v>64.881799999999998</v>
      </c>
      <c r="E930" s="28">
        <f>70.1515 * CHOOSE(CONTROL!$C$15, $E$9, 100%, $G$9) + CHOOSE(CONTROL!$C$38, 0.0347, 0)</f>
        <v>70.186199999999999</v>
      </c>
      <c r="F930" s="27">
        <f>70.1515 * CHOOSE(CONTROL!$C$15, $E$9, 100%, $G$9) + CHOOSE(CONTROL!$C$38, 0.0256, 0)</f>
        <v>70.177099999999996</v>
      </c>
      <c r="G930" s="10">
        <f>64.8534 * CHOOSE(CONTROL!$C$15, $E$9, 100%, $G$9) + CHOOSE(CONTROL!$C$38, 0.0347, 0)</f>
        <v>64.888099999999994</v>
      </c>
      <c r="H930" s="10">
        <f>64.8534 * CHOOSE(CONTROL!$C$15, $E$9, 100%, $G$9) + CHOOSE(CONTROL!$C$38, 0.0347, 0)</f>
        <v>64.888099999999994</v>
      </c>
      <c r="I930" s="10">
        <f>64.8549 * CHOOSE(CONTROL!$C$15, $E$9, 100%, $G$9) + CHOOSE(CONTROL!$C$38, 0.0347, 0)</f>
        <v>64.889600000000002</v>
      </c>
      <c r="J930" s="26">
        <f>486.1939</f>
        <v>486.19389999999999</v>
      </c>
    </row>
    <row r="931" spans="1:10" ht="15.75" x14ac:dyDescent="0.25">
      <c r="A931" s="13">
        <v>69641</v>
      </c>
      <c r="B931" s="10">
        <f>70.4097 * CHOOSE(CONTROL!$C$15, $E$9, 100%, $G$9) + CHOOSE(CONTROL!$C$38, 0.0256, 0)</f>
        <v>70.435299999999998</v>
      </c>
      <c r="C931" s="10">
        <f>64.9568 * CHOOSE(CONTROL!$C$15, $E$9, 100%, $G$9) + CHOOSE(CONTROL!$C$38, 0.0347, 0)</f>
        <v>64.991500000000002</v>
      </c>
      <c r="D931" s="10">
        <f>64.949 * CHOOSE(CONTROL!$C$15, $E$9, 100%, $G$9) + CHOOSE(CONTROL!$C$38, 0.0347, 0)</f>
        <v>64.983699999999999</v>
      </c>
      <c r="E931" s="28">
        <f>70.2534 * CHOOSE(CONTROL!$C$15, $E$9, 100%, $G$9) + CHOOSE(CONTROL!$C$38, 0.0347, 0)</f>
        <v>70.2881</v>
      </c>
      <c r="F931" s="27">
        <f>70.2534 * CHOOSE(CONTROL!$C$15, $E$9, 100%, $G$9) + CHOOSE(CONTROL!$C$38, 0.0256, 0)</f>
        <v>70.278999999999996</v>
      </c>
      <c r="G931" s="10">
        <f>64.9553 * CHOOSE(CONTROL!$C$15, $E$9, 100%, $G$9) + CHOOSE(CONTROL!$C$38, 0.0347, 0)</f>
        <v>64.989999999999995</v>
      </c>
      <c r="H931" s="10">
        <f>64.9553 * CHOOSE(CONTROL!$C$15, $E$9, 100%, $G$9) + CHOOSE(CONTROL!$C$38, 0.0347, 0)</f>
        <v>64.989999999999995</v>
      </c>
      <c r="I931" s="10">
        <f>64.9568 * CHOOSE(CONTROL!$C$15, $E$9, 100%, $G$9) + CHOOSE(CONTROL!$C$38, 0.0347, 0)</f>
        <v>64.991500000000002</v>
      </c>
      <c r="J931" s="26">
        <f>474.8756</f>
        <v>474.87560000000002</v>
      </c>
    </row>
    <row r="932" spans="1:10" ht="15.75" x14ac:dyDescent="0.25">
      <c r="A932" s="13">
        <v>69671</v>
      </c>
      <c r="B932" s="10">
        <f>70.6865 * CHOOSE(CONTROL!$C$15, $E$9, 100%, $G$9) + CHOOSE(CONTROL!$C$38, 0.0256, 0)</f>
        <v>70.712099999999992</v>
      </c>
      <c r="C932" s="10">
        <f>65.2336 * CHOOSE(CONTROL!$C$15, $E$9, 100%, $G$9) + CHOOSE(CONTROL!$C$38, 0.0347, 0)</f>
        <v>65.268299999999996</v>
      </c>
      <c r="D932" s="10">
        <f>65.2258 * CHOOSE(CONTROL!$C$15, $E$9, 100%, $G$9) + CHOOSE(CONTROL!$C$38, 0.0347, 0)</f>
        <v>65.260500000000008</v>
      </c>
      <c r="E932" s="28">
        <f>70.5302 * CHOOSE(CONTROL!$C$15, $E$9, 100%, $G$9) + CHOOSE(CONTROL!$C$38, 0.0347, 0)</f>
        <v>70.564899999999994</v>
      </c>
      <c r="F932" s="27">
        <f>70.5302 * CHOOSE(CONTROL!$C$15, $E$9, 100%, $G$9) + CHOOSE(CONTROL!$C$38, 0.0256, 0)</f>
        <v>70.555799999999991</v>
      </c>
      <c r="G932" s="10">
        <f>65.2321 * CHOOSE(CONTROL!$C$15, $E$9, 100%, $G$9) + CHOOSE(CONTROL!$C$38, 0.0347, 0)</f>
        <v>65.266800000000003</v>
      </c>
      <c r="H932" s="10">
        <f>65.2321 * CHOOSE(CONTROL!$C$15, $E$9, 100%, $G$9) + CHOOSE(CONTROL!$C$38, 0.0347, 0)</f>
        <v>65.266800000000003</v>
      </c>
      <c r="I932" s="10">
        <f>65.2336 * CHOOSE(CONTROL!$C$15, $E$9, 100%, $G$9) + CHOOSE(CONTROL!$C$38, 0.0347, 0)</f>
        <v>65.268299999999996</v>
      </c>
      <c r="J932" s="26">
        <f>459.0915</f>
        <v>459.0915</v>
      </c>
    </row>
    <row r="933" spans="1:10" ht="15.75" x14ac:dyDescent="0.25">
      <c r="A933" s="13">
        <v>69702</v>
      </c>
      <c r="B933" s="10">
        <f>70.9183 * CHOOSE(CONTROL!$C$15, $E$9, 100%, $G$9) + CHOOSE(CONTROL!$C$38, 0.0256, 0)</f>
        <v>70.943899999999999</v>
      </c>
      <c r="C933" s="10">
        <f>65.4655 * CHOOSE(CONTROL!$C$15, $E$9, 100%, $G$9) + CHOOSE(CONTROL!$C$38, 0.0347, 0)</f>
        <v>65.500200000000007</v>
      </c>
      <c r="D933" s="10">
        <f>65.4577 * CHOOSE(CONTROL!$C$15, $E$9, 100%, $G$9) + CHOOSE(CONTROL!$C$38, 0.0347, 0)</f>
        <v>65.492400000000004</v>
      </c>
      <c r="E933" s="28">
        <f>70.762 * CHOOSE(CONTROL!$C$15, $E$9, 100%, $G$9) + CHOOSE(CONTROL!$C$38, 0.0347, 0)</f>
        <v>70.796700000000001</v>
      </c>
      <c r="F933" s="27">
        <f>70.762 * CHOOSE(CONTROL!$C$15, $E$9, 100%, $G$9) + CHOOSE(CONTROL!$C$38, 0.0256, 0)</f>
        <v>70.787599999999998</v>
      </c>
      <c r="G933" s="10">
        <f>65.4639 * CHOOSE(CONTROL!$C$15, $E$9, 100%, $G$9) + CHOOSE(CONTROL!$C$38, 0.0347, 0)</f>
        <v>65.498599999999996</v>
      </c>
      <c r="H933" s="10">
        <f>65.4639 * CHOOSE(CONTROL!$C$15, $E$9, 100%, $G$9) + CHOOSE(CONTROL!$C$38, 0.0347, 0)</f>
        <v>65.498599999999996</v>
      </c>
      <c r="I933" s="10">
        <f>65.4655 * CHOOSE(CONTROL!$C$15, $E$9, 100%, $G$9) + CHOOSE(CONTROL!$C$38, 0.0347, 0)</f>
        <v>65.500200000000007</v>
      </c>
      <c r="J933" s="26">
        <f>443.2157</f>
        <v>443.21570000000003</v>
      </c>
    </row>
    <row r="934" spans="1:10" ht="15.75" x14ac:dyDescent="0.25">
      <c r="A934" s="13">
        <v>69732</v>
      </c>
      <c r="B934" s="10">
        <f>71.1117 * CHOOSE(CONTROL!$C$15, $E$9, 100%, $G$9) + CHOOSE(CONTROL!$C$38, 0.0256, 0)</f>
        <v>71.137299999999996</v>
      </c>
      <c r="C934" s="10">
        <f>65.6589 * CHOOSE(CONTROL!$C$15, $E$9, 100%, $G$9) + CHOOSE(CONTROL!$C$38, 0.0347, 0)</f>
        <v>65.693600000000004</v>
      </c>
      <c r="D934" s="10">
        <f>65.6511 * CHOOSE(CONTROL!$C$15, $E$9, 100%, $G$9) + CHOOSE(CONTROL!$C$38, 0.0347, 0)</f>
        <v>65.6858</v>
      </c>
      <c r="E934" s="28">
        <f>70.9555 * CHOOSE(CONTROL!$C$15, $E$9, 100%, $G$9) + CHOOSE(CONTROL!$C$38, 0.0347, 0)</f>
        <v>70.990200000000002</v>
      </c>
      <c r="F934" s="27">
        <f>70.9555 * CHOOSE(CONTROL!$C$15, $E$9, 100%, $G$9) + CHOOSE(CONTROL!$C$38, 0.0256, 0)</f>
        <v>70.981099999999998</v>
      </c>
      <c r="G934" s="10">
        <f>65.6573 * CHOOSE(CONTROL!$C$15, $E$9, 100%, $G$9) + CHOOSE(CONTROL!$C$38, 0.0347, 0)</f>
        <v>65.692000000000007</v>
      </c>
      <c r="H934" s="10">
        <f>65.6573 * CHOOSE(CONTROL!$C$15, $E$9, 100%, $G$9) + CHOOSE(CONTROL!$C$38, 0.0347, 0)</f>
        <v>65.692000000000007</v>
      </c>
      <c r="I934" s="10">
        <f>65.6589 * CHOOSE(CONTROL!$C$15, $E$9, 100%, $G$9) + CHOOSE(CONTROL!$C$38, 0.0347, 0)</f>
        <v>65.693600000000004</v>
      </c>
      <c r="J934" s="26">
        <f>440.0576</f>
        <v>440.05759999999998</v>
      </c>
    </row>
    <row r="935" spans="1:10" ht="15.75" x14ac:dyDescent="0.25">
      <c r="A935" s="13">
        <v>69763</v>
      </c>
      <c r="B935" s="10">
        <f>71.7078 * CHOOSE(CONTROL!$C$15, $E$9, 100%, $G$9) + CHOOSE(CONTROL!$C$38, 0.0256, 0)</f>
        <v>71.733400000000003</v>
      </c>
      <c r="C935" s="10">
        <f>66.255 * CHOOSE(CONTROL!$C$15, $E$9, 100%, $G$9) + CHOOSE(CONTROL!$C$38, 0.0347, 0)</f>
        <v>66.289699999999996</v>
      </c>
      <c r="D935" s="10">
        <f>66.2472 * CHOOSE(CONTROL!$C$15, $E$9, 100%, $G$9) + CHOOSE(CONTROL!$C$38, 0.0347, 0)</f>
        <v>66.281900000000007</v>
      </c>
      <c r="E935" s="28">
        <f>71.5516 * CHOOSE(CONTROL!$C$15, $E$9, 100%, $G$9) + CHOOSE(CONTROL!$C$38, 0.0347, 0)</f>
        <v>71.586299999999994</v>
      </c>
      <c r="F935" s="27">
        <f>71.5516 * CHOOSE(CONTROL!$C$15, $E$9, 100%, $G$9) + CHOOSE(CONTROL!$C$38, 0.0256, 0)</f>
        <v>71.577199999999991</v>
      </c>
      <c r="G935" s="10">
        <f>66.2534 * CHOOSE(CONTROL!$C$15, $E$9, 100%, $G$9) + CHOOSE(CONTROL!$C$38, 0.0347, 0)</f>
        <v>66.2881</v>
      </c>
      <c r="H935" s="10">
        <f>66.2534 * CHOOSE(CONTROL!$C$15, $E$9, 100%, $G$9) + CHOOSE(CONTROL!$C$38, 0.0347, 0)</f>
        <v>66.2881</v>
      </c>
      <c r="I935" s="10">
        <f>66.255 * CHOOSE(CONTROL!$C$15, $E$9, 100%, $G$9) + CHOOSE(CONTROL!$C$38, 0.0347, 0)</f>
        <v>66.289699999999996</v>
      </c>
      <c r="J935" s="26">
        <f>426.9989</f>
        <v>426.99889999999999</v>
      </c>
    </row>
    <row r="936" spans="1:10" ht="15.75" x14ac:dyDescent="0.25">
      <c r="A936" s="13">
        <v>69794</v>
      </c>
      <c r="B936" s="10">
        <f>73.4247 * CHOOSE(CONTROL!$C$15, $E$9, 100%, $G$9) + CHOOSE(CONTROL!$C$38, 0.0256, 0)</f>
        <v>73.450299999999999</v>
      </c>
      <c r="C936" s="10">
        <f>67.8783 * CHOOSE(CONTROL!$C$15, $E$9, 100%, $G$9) + CHOOSE(CONTROL!$C$38, 0.0347, 0)</f>
        <v>67.912999999999997</v>
      </c>
      <c r="D936" s="10">
        <f>67.8705 * CHOOSE(CONTROL!$C$15, $E$9, 100%, $G$9) + CHOOSE(CONTROL!$C$38, 0.0347, 0)</f>
        <v>67.905200000000008</v>
      </c>
      <c r="E936" s="28">
        <f>73.2685 * CHOOSE(CONTROL!$C$15, $E$9, 100%, $G$9) + CHOOSE(CONTROL!$C$38, 0.0347, 0)</f>
        <v>73.303200000000004</v>
      </c>
      <c r="F936" s="27">
        <f>73.2685 * CHOOSE(CONTROL!$C$15, $E$9, 100%, $G$9) + CHOOSE(CONTROL!$C$38, 0.0256, 0)</f>
        <v>73.2941</v>
      </c>
      <c r="G936" s="10">
        <f>67.8767 * CHOOSE(CONTROL!$C$15, $E$9, 100%, $G$9) + CHOOSE(CONTROL!$C$38, 0.0347, 0)</f>
        <v>67.9114</v>
      </c>
      <c r="H936" s="10">
        <f>67.8767 * CHOOSE(CONTROL!$C$15, $E$9, 100%, $G$9) + CHOOSE(CONTROL!$C$38, 0.0347, 0)</f>
        <v>67.9114</v>
      </c>
      <c r="I936" s="10">
        <f>67.8783 * CHOOSE(CONTROL!$C$15, $E$9, 100%, $G$9) + CHOOSE(CONTROL!$C$38, 0.0347, 0)</f>
        <v>67.912999999999997</v>
      </c>
      <c r="J936" s="26">
        <f>424.1387</f>
        <v>424.13869999999997</v>
      </c>
    </row>
    <row r="937" spans="1:10" ht="15.75" x14ac:dyDescent="0.25">
      <c r="A937" s="13">
        <v>69822</v>
      </c>
      <c r="B937" s="10">
        <f>73.6455 * CHOOSE(CONTROL!$C$15, $E$9, 100%, $G$9) + CHOOSE(CONTROL!$C$38, 0.0256, 0)</f>
        <v>73.671099999999996</v>
      </c>
      <c r="C937" s="10">
        <f>68.0991 * CHOOSE(CONTROL!$C$15, $E$9, 100%, $G$9) + CHOOSE(CONTROL!$C$38, 0.0347, 0)</f>
        <v>68.133800000000008</v>
      </c>
      <c r="D937" s="10">
        <f>68.0913 * CHOOSE(CONTROL!$C$15, $E$9, 100%, $G$9) + CHOOSE(CONTROL!$C$38, 0.0347, 0)</f>
        <v>68.126000000000005</v>
      </c>
      <c r="E937" s="28">
        <f>73.4892 * CHOOSE(CONTROL!$C$15, $E$9, 100%, $G$9) + CHOOSE(CONTROL!$C$38, 0.0347, 0)</f>
        <v>73.523899999999998</v>
      </c>
      <c r="F937" s="27">
        <f>73.4892 * CHOOSE(CONTROL!$C$15, $E$9, 100%, $G$9) + CHOOSE(CONTROL!$C$38, 0.0256, 0)</f>
        <v>73.514799999999994</v>
      </c>
      <c r="G937" s="10">
        <f>68.0975 * CHOOSE(CONTROL!$C$15, $E$9, 100%, $G$9) + CHOOSE(CONTROL!$C$38, 0.0347, 0)</f>
        <v>68.132199999999997</v>
      </c>
      <c r="H937" s="10">
        <f>68.0975 * CHOOSE(CONTROL!$C$15, $E$9, 100%, $G$9) + CHOOSE(CONTROL!$C$38, 0.0347, 0)</f>
        <v>68.132199999999997</v>
      </c>
      <c r="I937" s="10">
        <f>68.0991 * CHOOSE(CONTROL!$C$15, $E$9, 100%, $G$9) + CHOOSE(CONTROL!$C$38, 0.0347, 0)</f>
        <v>68.133800000000008</v>
      </c>
      <c r="J937" s="26">
        <f>422.9597</f>
        <v>422.9597</v>
      </c>
    </row>
    <row r="938" spans="1:10" ht="15.75" x14ac:dyDescent="0.25">
      <c r="A938" s="13">
        <v>69853</v>
      </c>
      <c r="B938" s="10">
        <f>73.1344 * CHOOSE(CONTROL!$C$15, $E$9, 100%, $G$9) + CHOOSE(CONTROL!$C$38, 0.0256, 0)</f>
        <v>73.16</v>
      </c>
      <c r="C938" s="10">
        <f>67.588 * CHOOSE(CONTROL!$C$15, $E$9, 100%, $G$9) + CHOOSE(CONTROL!$C$38, 0.0347, 0)</f>
        <v>67.622699999999995</v>
      </c>
      <c r="D938" s="10">
        <f>67.5802 * CHOOSE(CONTROL!$C$15, $E$9, 100%, $G$9) + CHOOSE(CONTROL!$C$38, 0.0347, 0)</f>
        <v>67.614900000000006</v>
      </c>
      <c r="E938" s="28">
        <f>72.9782 * CHOOSE(CONTROL!$C$15, $E$9, 100%, $G$9) + CHOOSE(CONTROL!$C$38, 0.0347, 0)</f>
        <v>73.012900000000002</v>
      </c>
      <c r="F938" s="27">
        <f>72.9782 * CHOOSE(CONTROL!$C$15, $E$9, 100%, $G$9) + CHOOSE(CONTROL!$C$38, 0.0256, 0)</f>
        <v>73.003799999999998</v>
      </c>
      <c r="G938" s="10">
        <f>67.5865 * CHOOSE(CONTROL!$C$15, $E$9, 100%, $G$9) + CHOOSE(CONTROL!$C$38, 0.0347, 0)</f>
        <v>67.621200000000002</v>
      </c>
      <c r="H938" s="10">
        <f>67.5865 * CHOOSE(CONTROL!$C$15, $E$9, 100%, $G$9) + CHOOSE(CONTROL!$C$38, 0.0347, 0)</f>
        <v>67.621200000000002</v>
      </c>
      <c r="I938" s="10">
        <f>67.588 * CHOOSE(CONTROL!$C$15, $E$9, 100%, $G$9) + CHOOSE(CONTROL!$C$38, 0.0347, 0)</f>
        <v>67.622699999999995</v>
      </c>
      <c r="J938" s="26">
        <f>445.2521</f>
        <v>445.25209999999998</v>
      </c>
    </row>
    <row r="939" spans="1:10" ht="15.75" x14ac:dyDescent="0.25">
      <c r="A939" s="13">
        <v>69883</v>
      </c>
      <c r="B939" s="10">
        <f>72.6393 * CHOOSE(CONTROL!$C$15, $E$9, 100%, $G$9) + CHOOSE(CONTROL!$C$38, 0.0256, 0)</f>
        <v>72.664900000000003</v>
      </c>
      <c r="C939" s="10">
        <f>67.0929 * CHOOSE(CONTROL!$C$15, $E$9, 100%, $G$9) + CHOOSE(CONTROL!$C$38, 0.0347, 0)</f>
        <v>67.127600000000001</v>
      </c>
      <c r="D939" s="10">
        <f>67.085 * CHOOSE(CONTROL!$C$15, $E$9, 100%, $G$9) + CHOOSE(CONTROL!$C$38, 0.0347, 0)</f>
        <v>67.119699999999995</v>
      </c>
      <c r="E939" s="28">
        <f>72.483 * CHOOSE(CONTROL!$C$15, $E$9, 100%, $G$9) + CHOOSE(CONTROL!$C$38, 0.0347, 0)</f>
        <v>72.517700000000005</v>
      </c>
      <c r="F939" s="27">
        <f>72.483 * CHOOSE(CONTROL!$C$15, $E$9, 100%, $G$9) + CHOOSE(CONTROL!$C$38, 0.0256, 0)</f>
        <v>72.508600000000001</v>
      </c>
      <c r="G939" s="10">
        <f>67.0913 * CHOOSE(CONTROL!$C$15, $E$9, 100%, $G$9) + CHOOSE(CONTROL!$C$38, 0.0347, 0)</f>
        <v>67.126000000000005</v>
      </c>
      <c r="H939" s="10">
        <f>67.0913 * CHOOSE(CONTROL!$C$15, $E$9, 100%, $G$9) + CHOOSE(CONTROL!$C$38, 0.0347, 0)</f>
        <v>67.126000000000005</v>
      </c>
      <c r="I939" s="10">
        <f>67.0929 * CHOOSE(CONTROL!$C$15, $E$9, 100%, $G$9) + CHOOSE(CONTROL!$C$38, 0.0347, 0)</f>
        <v>67.127600000000001</v>
      </c>
      <c r="J939" s="26">
        <f>474.1601</f>
        <v>474.1601</v>
      </c>
    </row>
    <row r="940" spans="1:10" ht="15.75" x14ac:dyDescent="0.25">
      <c r="A940" s="13">
        <v>69914</v>
      </c>
      <c r="B940" s="10">
        <f>72.1231 * CHOOSE(CONTROL!$C$15, $E$9, 100%, $G$9) + CHOOSE(CONTROL!$C$38, 0.0256, 0)</f>
        <v>72.148699999999991</v>
      </c>
      <c r="C940" s="10">
        <f>66.5767 * CHOOSE(CONTROL!$C$15, $E$9, 100%, $G$9) + CHOOSE(CONTROL!$C$38, 0.0347, 0)</f>
        <v>66.611400000000003</v>
      </c>
      <c r="D940" s="10">
        <f>66.5689 * CHOOSE(CONTROL!$C$15, $E$9, 100%, $G$9) + CHOOSE(CONTROL!$C$38, 0.0347, 0)</f>
        <v>66.6036</v>
      </c>
      <c r="E940" s="28">
        <f>71.9669 * CHOOSE(CONTROL!$C$15, $E$9, 100%, $G$9) + CHOOSE(CONTROL!$C$38, 0.0347, 0)</f>
        <v>72.001599999999996</v>
      </c>
      <c r="F940" s="27">
        <f>71.9669 * CHOOSE(CONTROL!$C$15, $E$9, 100%, $G$9) + CHOOSE(CONTROL!$C$38, 0.0256, 0)</f>
        <v>71.992499999999993</v>
      </c>
      <c r="G940" s="10">
        <f>66.5752 * CHOOSE(CONTROL!$C$15, $E$9, 100%, $G$9) + CHOOSE(CONTROL!$C$38, 0.0347, 0)</f>
        <v>66.609899999999996</v>
      </c>
      <c r="H940" s="10">
        <f>66.5752 * CHOOSE(CONTROL!$C$15, $E$9, 100%, $G$9) + CHOOSE(CONTROL!$C$38, 0.0347, 0)</f>
        <v>66.609899999999996</v>
      </c>
      <c r="I940" s="10">
        <f>66.5767 * CHOOSE(CONTROL!$C$15, $E$9, 100%, $G$9) + CHOOSE(CONTROL!$C$38, 0.0347, 0)</f>
        <v>66.611400000000003</v>
      </c>
      <c r="J940" s="26">
        <f>490.0719</f>
        <v>490.07190000000003</v>
      </c>
    </row>
    <row r="941" spans="1:10" ht="15.75" x14ac:dyDescent="0.25">
      <c r="A941" s="13">
        <v>69944</v>
      </c>
      <c r="B941" s="10">
        <f>71.7613 * CHOOSE(CONTROL!$C$15, $E$9, 100%, $G$9) + CHOOSE(CONTROL!$C$38, 0.0256, 0)</f>
        <v>71.786900000000003</v>
      </c>
      <c r="C941" s="10">
        <f>66.2149 * CHOOSE(CONTROL!$C$15, $E$9, 100%, $G$9) + CHOOSE(CONTROL!$C$38, 0.0347, 0)</f>
        <v>66.249600000000001</v>
      </c>
      <c r="D941" s="10">
        <f>66.2071 * CHOOSE(CONTROL!$C$15, $E$9, 100%, $G$9) + CHOOSE(CONTROL!$C$38, 0.0347, 0)</f>
        <v>66.241799999999998</v>
      </c>
      <c r="E941" s="28">
        <f>71.6051 * CHOOSE(CONTROL!$C$15, $E$9, 100%, $G$9) + CHOOSE(CONTROL!$C$38, 0.0347, 0)</f>
        <v>71.639799999999994</v>
      </c>
      <c r="F941" s="27">
        <f>71.6051 * CHOOSE(CONTROL!$C$15, $E$9, 100%, $G$9) + CHOOSE(CONTROL!$C$38, 0.0256, 0)</f>
        <v>71.63069999999999</v>
      </c>
      <c r="G941" s="10">
        <f>66.2133 * CHOOSE(CONTROL!$C$15, $E$9, 100%, $G$9) + CHOOSE(CONTROL!$C$38, 0.0347, 0)</f>
        <v>66.248000000000005</v>
      </c>
      <c r="H941" s="10">
        <f>66.2133 * CHOOSE(CONTROL!$C$15, $E$9, 100%, $G$9) + CHOOSE(CONTROL!$C$38, 0.0347, 0)</f>
        <v>66.248000000000005</v>
      </c>
      <c r="I941" s="10">
        <f>66.2149 * CHOOSE(CONTROL!$C$15, $E$9, 100%, $G$9) + CHOOSE(CONTROL!$C$38, 0.0347, 0)</f>
        <v>66.249600000000001</v>
      </c>
      <c r="J941" s="26">
        <f>497.1333</f>
        <v>497.13330000000002</v>
      </c>
    </row>
    <row r="942" spans="1:10" ht="15.75" x14ac:dyDescent="0.25">
      <c r="A942" s="13">
        <v>69975</v>
      </c>
      <c r="B942" s="10">
        <f>71.5548 * CHOOSE(CONTROL!$C$15, $E$9, 100%, $G$9) + CHOOSE(CONTROL!$C$38, 0.0256, 0)</f>
        <v>71.580399999999997</v>
      </c>
      <c r="C942" s="10">
        <f>66.0084 * CHOOSE(CONTROL!$C$15, $E$9, 100%, $G$9) + CHOOSE(CONTROL!$C$38, 0.0347, 0)</f>
        <v>66.043099999999995</v>
      </c>
      <c r="D942" s="10">
        <f>66.0006 * CHOOSE(CONTROL!$C$15, $E$9, 100%, $G$9) + CHOOSE(CONTROL!$C$38, 0.0347, 0)</f>
        <v>66.035300000000007</v>
      </c>
      <c r="E942" s="28">
        <f>71.3986 * CHOOSE(CONTROL!$C$15, $E$9, 100%, $G$9) + CHOOSE(CONTROL!$C$38, 0.0347, 0)</f>
        <v>71.433300000000003</v>
      </c>
      <c r="F942" s="27">
        <f>71.3986 * CHOOSE(CONTROL!$C$15, $E$9, 100%, $G$9) + CHOOSE(CONTROL!$C$38, 0.0256, 0)</f>
        <v>71.424199999999999</v>
      </c>
      <c r="G942" s="10">
        <f>66.0069 * CHOOSE(CONTROL!$C$15, $E$9, 100%, $G$9) + CHOOSE(CONTROL!$C$38, 0.0347, 0)</f>
        <v>66.041600000000003</v>
      </c>
      <c r="H942" s="10">
        <f>66.0069 * CHOOSE(CONTROL!$C$15, $E$9, 100%, $G$9) + CHOOSE(CONTROL!$C$38, 0.0347, 0)</f>
        <v>66.041600000000003</v>
      </c>
      <c r="I942" s="10">
        <f>66.0084 * CHOOSE(CONTROL!$C$15, $E$9, 100%, $G$9) + CHOOSE(CONTROL!$C$38, 0.0347, 0)</f>
        <v>66.043099999999995</v>
      </c>
      <c r="J942" s="26">
        <f>494.8084</f>
        <v>494.80840000000001</v>
      </c>
    </row>
    <row r="943" spans="1:10" ht="15.75" x14ac:dyDescent="0.25">
      <c r="A943" s="13">
        <v>70006</v>
      </c>
      <c r="B943" s="10">
        <f>71.6567 * CHOOSE(CONTROL!$C$15, $E$9, 100%, $G$9) + CHOOSE(CONTROL!$C$38, 0.0256, 0)</f>
        <v>71.682299999999998</v>
      </c>
      <c r="C943" s="10">
        <f>66.1103 * CHOOSE(CONTROL!$C$15, $E$9, 100%, $G$9) + CHOOSE(CONTROL!$C$38, 0.0347, 0)</f>
        <v>66.144999999999996</v>
      </c>
      <c r="D943" s="10">
        <f>66.1025 * CHOOSE(CONTROL!$C$15, $E$9, 100%, $G$9) + CHOOSE(CONTROL!$C$38, 0.0347, 0)</f>
        <v>66.137200000000007</v>
      </c>
      <c r="E943" s="28">
        <f>71.5005 * CHOOSE(CONTROL!$C$15, $E$9, 100%, $G$9) + CHOOSE(CONTROL!$C$38, 0.0347, 0)</f>
        <v>71.535200000000003</v>
      </c>
      <c r="F943" s="27">
        <f>71.5005 * CHOOSE(CONTROL!$C$15, $E$9, 100%, $G$9) + CHOOSE(CONTROL!$C$38, 0.0256, 0)</f>
        <v>71.5261</v>
      </c>
      <c r="G943" s="10">
        <f>66.1088 * CHOOSE(CONTROL!$C$15, $E$9, 100%, $G$9) + CHOOSE(CONTROL!$C$38, 0.0347, 0)</f>
        <v>66.143500000000003</v>
      </c>
      <c r="H943" s="10">
        <f>66.1088 * CHOOSE(CONTROL!$C$15, $E$9, 100%, $G$9) + CHOOSE(CONTROL!$C$38, 0.0347, 0)</f>
        <v>66.143500000000003</v>
      </c>
      <c r="I943" s="10">
        <f>66.1103 * CHOOSE(CONTROL!$C$15, $E$9, 100%, $G$9) + CHOOSE(CONTROL!$C$38, 0.0347, 0)</f>
        <v>66.144999999999996</v>
      </c>
      <c r="J943" s="26">
        <f>483.2895</f>
        <v>483.28949999999998</v>
      </c>
    </row>
    <row r="944" spans="1:10" ht="15.75" x14ac:dyDescent="0.25">
      <c r="A944" s="13">
        <v>70036</v>
      </c>
      <c r="B944" s="10">
        <f>71.9335 * CHOOSE(CONTROL!$C$15, $E$9, 100%, $G$9) + CHOOSE(CONTROL!$C$38, 0.0256, 0)</f>
        <v>71.959099999999992</v>
      </c>
      <c r="C944" s="10">
        <f>66.3871 * CHOOSE(CONTROL!$C$15, $E$9, 100%, $G$9) + CHOOSE(CONTROL!$C$38, 0.0347, 0)</f>
        <v>66.421800000000005</v>
      </c>
      <c r="D944" s="10">
        <f>66.3793 * CHOOSE(CONTROL!$C$15, $E$9, 100%, $G$9) + CHOOSE(CONTROL!$C$38, 0.0347, 0)</f>
        <v>66.414000000000001</v>
      </c>
      <c r="E944" s="28">
        <f>71.7773 * CHOOSE(CONTROL!$C$15, $E$9, 100%, $G$9) + CHOOSE(CONTROL!$C$38, 0.0347, 0)</f>
        <v>71.811999999999998</v>
      </c>
      <c r="F944" s="27">
        <f>71.7773 * CHOOSE(CONTROL!$C$15, $E$9, 100%, $G$9) + CHOOSE(CONTROL!$C$38, 0.0256, 0)</f>
        <v>71.802899999999994</v>
      </c>
      <c r="G944" s="10">
        <f>66.3856 * CHOOSE(CONTROL!$C$15, $E$9, 100%, $G$9) + CHOOSE(CONTROL!$C$38, 0.0347, 0)</f>
        <v>66.420299999999997</v>
      </c>
      <c r="H944" s="10">
        <f>66.3856 * CHOOSE(CONTROL!$C$15, $E$9, 100%, $G$9) + CHOOSE(CONTROL!$C$38, 0.0347, 0)</f>
        <v>66.420299999999997</v>
      </c>
      <c r="I944" s="10">
        <f>66.3871 * CHOOSE(CONTROL!$C$15, $E$9, 100%, $G$9) + CHOOSE(CONTROL!$C$38, 0.0347, 0)</f>
        <v>66.421800000000005</v>
      </c>
      <c r="J944" s="26">
        <f>467.2257</f>
        <v>467.22570000000002</v>
      </c>
    </row>
    <row r="945" spans="1:10" ht="15.75" x14ac:dyDescent="0.25">
      <c r="A945" s="13">
        <v>70067</v>
      </c>
      <c r="B945" s="10">
        <f>72.1654 * CHOOSE(CONTROL!$C$15, $E$9, 100%, $G$9) + CHOOSE(CONTROL!$C$38, 0.0256, 0)</f>
        <v>72.191000000000003</v>
      </c>
      <c r="C945" s="10">
        <f>66.6189 * CHOOSE(CONTROL!$C$15, $E$9, 100%, $G$9) + CHOOSE(CONTROL!$C$38, 0.0347, 0)</f>
        <v>66.653599999999997</v>
      </c>
      <c r="D945" s="10">
        <f>66.6111 * CHOOSE(CONTROL!$C$15, $E$9, 100%, $G$9) + CHOOSE(CONTROL!$C$38, 0.0347, 0)</f>
        <v>66.645799999999994</v>
      </c>
      <c r="E945" s="28">
        <f>72.0091 * CHOOSE(CONTROL!$C$15, $E$9, 100%, $G$9) + CHOOSE(CONTROL!$C$38, 0.0347, 0)</f>
        <v>72.043800000000005</v>
      </c>
      <c r="F945" s="27">
        <f>72.0091 * CHOOSE(CONTROL!$C$15, $E$9, 100%, $G$9) + CHOOSE(CONTROL!$C$38, 0.0256, 0)</f>
        <v>72.034700000000001</v>
      </c>
      <c r="G945" s="10">
        <f>66.6174 * CHOOSE(CONTROL!$C$15, $E$9, 100%, $G$9) + CHOOSE(CONTROL!$C$38, 0.0347, 0)</f>
        <v>66.652100000000004</v>
      </c>
      <c r="H945" s="10">
        <f>66.6174 * CHOOSE(CONTROL!$C$15, $E$9, 100%, $G$9) + CHOOSE(CONTROL!$C$38, 0.0347, 0)</f>
        <v>66.652100000000004</v>
      </c>
      <c r="I945" s="10">
        <f>66.6189 * CHOOSE(CONTROL!$C$15, $E$9, 100%, $G$9) + CHOOSE(CONTROL!$C$38, 0.0347, 0)</f>
        <v>66.653599999999997</v>
      </c>
      <c r="J945" s="26">
        <f>451.0686</f>
        <v>451.0686</v>
      </c>
    </row>
    <row r="946" spans="1:10" ht="15.75" x14ac:dyDescent="0.25">
      <c r="A946" s="13">
        <v>70097</v>
      </c>
      <c r="B946" s="10">
        <f>72.3588 * CHOOSE(CONTROL!$C$15, $E$9, 100%, $G$9) + CHOOSE(CONTROL!$C$38, 0.0256, 0)</f>
        <v>72.384399999999999</v>
      </c>
      <c r="C946" s="10">
        <f>66.8124 * CHOOSE(CONTROL!$C$15, $E$9, 100%, $G$9) + CHOOSE(CONTROL!$C$38, 0.0347, 0)</f>
        <v>66.847099999999998</v>
      </c>
      <c r="D946" s="10">
        <f>66.8046 * CHOOSE(CONTROL!$C$15, $E$9, 100%, $G$9) + CHOOSE(CONTROL!$C$38, 0.0347, 0)</f>
        <v>66.839299999999994</v>
      </c>
      <c r="E946" s="28">
        <f>72.2025 * CHOOSE(CONTROL!$C$15, $E$9, 100%, $G$9) + CHOOSE(CONTROL!$C$38, 0.0347, 0)</f>
        <v>72.237200000000001</v>
      </c>
      <c r="F946" s="27">
        <f>72.2025 * CHOOSE(CONTROL!$C$15, $E$9, 100%, $G$9) + CHOOSE(CONTROL!$C$38, 0.0256, 0)</f>
        <v>72.228099999999998</v>
      </c>
      <c r="G946" s="10">
        <f>66.8108 * CHOOSE(CONTROL!$C$15, $E$9, 100%, $G$9) + CHOOSE(CONTROL!$C$38, 0.0347, 0)</f>
        <v>66.845500000000001</v>
      </c>
      <c r="H946" s="10">
        <f>66.8108 * CHOOSE(CONTROL!$C$15, $E$9, 100%, $G$9) + CHOOSE(CONTROL!$C$38, 0.0347, 0)</f>
        <v>66.845500000000001</v>
      </c>
      <c r="I946" s="10">
        <f>66.8124 * CHOOSE(CONTROL!$C$15, $E$9, 100%, $G$9) + CHOOSE(CONTROL!$C$38, 0.0347, 0)</f>
        <v>66.847099999999998</v>
      </c>
      <c r="J946" s="26">
        <f>447.8546</f>
        <v>447.8546</v>
      </c>
    </row>
    <row r="947" spans="1:10" ht="15.75" x14ac:dyDescent="0.25">
      <c r="A947" s="13">
        <v>70128</v>
      </c>
      <c r="B947" s="10">
        <f>72.9549 * CHOOSE(CONTROL!$C$15, $E$9, 100%, $G$9) + CHOOSE(CONTROL!$C$38, 0.0256, 0)</f>
        <v>72.980499999999992</v>
      </c>
      <c r="C947" s="10">
        <f>67.4085 * CHOOSE(CONTROL!$C$15, $E$9, 100%, $G$9) + CHOOSE(CONTROL!$C$38, 0.0347, 0)</f>
        <v>67.443200000000004</v>
      </c>
      <c r="D947" s="10">
        <f>67.4006 * CHOOSE(CONTROL!$C$15, $E$9, 100%, $G$9) + CHOOSE(CONTROL!$C$38, 0.0347, 0)</f>
        <v>67.435299999999998</v>
      </c>
      <c r="E947" s="28">
        <f>72.7986 * CHOOSE(CONTROL!$C$15, $E$9, 100%, $G$9) + CHOOSE(CONTROL!$C$38, 0.0347, 0)</f>
        <v>72.833299999999994</v>
      </c>
      <c r="F947" s="27">
        <f>72.7986 * CHOOSE(CONTROL!$C$15, $E$9, 100%, $G$9) + CHOOSE(CONTROL!$C$38, 0.0256, 0)</f>
        <v>72.82419999999999</v>
      </c>
      <c r="G947" s="10">
        <f>67.4069 * CHOOSE(CONTROL!$C$15, $E$9, 100%, $G$9) + CHOOSE(CONTROL!$C$38, 0.0347, 0)</f>
        <v>67.441599999999994</v>
      </c>
      <c r="H947" s="10">
        <f>67.4069 * CHOOSE(CONTROL!$C$15, $E$9, 100%, $G$9) + CHOOSE(CONTROL!$C$38, 0.0347, 0)</f>
        <v>67.441599999999994</v>
      </c>
      <c r="I947" s="10">
        <f>67.4085 * CHOOSE(CONTROL!$C$15, $E$9, 100%, $G$9) + CHOOSE(CONTROL!$C$38, 0.0347, 0)</f>
        <v>67.443200000000004</v>
      </c>
      <c r="J947" s="26">
        <f>434.5645</f>
        <v>434.56450000000001</v>
      </c>
    </row>
    <row r="948" spans="1:10" ht="15.75" x14ac:dyDescent="0.25">
      <c r="A948" s="13">
        <v>70159</v>
      </c>
      <c r="B948" s="10">
        <f>74.6938 * CHOOSE(CONTROL!$C$15, $E$9, 100%, $G$9) + CHOOSE(CONTROL!$C$38, 0.0256, 0)</f>
        <v>74.719399999999993</v>
      </c>
      <c r="C948" s="10">
        <f>69.0522 * CHOOSE(CONTROL!$C$15, $E$9, 100%, $G$9) + CHOOSE(CONTROL!$C$38, 0.0347, 0)</f>
        <v>69.0869</v>
      </c>
      <c r="D948" s="10">
        <f>69.0443 * CHOOSE(CONTROL!$C$15, $E$9, 100%, $G$9) + CHOOSE(CONTROL!$C$38, 0.0347, 0)</f>
        <v>69.079000000000008</v>
      </c>
      <c r="E948" s="28">
        <f>74.5376 * CHOOSE(CONTROL!$C$15, $E$9, 100%, $G$9) + CHOOSE(CONTROL!$C$38, 0.0347, 0)</f>
        <v>74.572299999999998</v>
      </c>
      <c r="F948" s="27">
        <f>74.5376 * CHOOSE(CONTROL!$C$15, $E$9, 100%, $G$9) + CHOOSE(CONTROL!$C$38, 0.0256, 0)</f>
        <v>74.563199999999995</v>
      </c>
      <c r="G948" s="10">
        <f>69.0506 * CHOOSE(CONTROL!$C$15, $E$9, 100%, $G$9) + CHOOSE(CONTROL!$C$38, 0.0347, 0)</f>
        <v>69.085300000000004</v>
      </c>
      <c r="H948" s="10">
        <f>69.0506 * CHOOSE(CONTROL!$C$15, $E$9, 100%, $G$9) + CHOOSE(CONTROL!$C$38, 0.0347, 0)</f>
        <v>69.085300000000004</v>
      </c>
      <c r="I948" s="10">
        <f>69.0522 * CHOOSE(CONTROL!$C$15, $E$9, 100%, $G$9) + CHOOSE(CONTROL!$C$38, 0.0347, 0)</f>
        <v>69.0869</v>
      </c>
      <c r="J948" s="26">
        <f>431.6536</f>
        <v>431.65359999999998</v>
      </c>
    </row>
    <row r="949" spans="1:10" ht="15.75" x14ac:dyDescent="0.25">
      <c r="A949" s="13">
        <v>70188</v>
      </c>
      <c r="B949" s="10">
        <f>74.9146 * CHOOSE(CONTROL!$C$15, $E$9, 100%, $G$9) + CHOOSE(CONTROL!$C$38, 0.0256, 0)</f>
        <v>74.94019999999999</v>
      </c>
      <c r="C949" s="10">
        <f>69.2729 * CHOOSE(CONTROL!$C$15, $E$9, 100%, $G$9) + CHOOSE(CONTROL!$C$38, 0.0347, 0)</f>
        <v>69.307600000000008</v>
      </c>
      <c r="D949" s="10">
        <f>69.2651 * CHOOSE(CONTROL!$C$15, $E$9, 100%, $G$9) + CHOOSE(CONTROL!$C$38, 0.0347, 0)</f>
        <v>69.299800000000005</v>
      </c>
      <c r="E949" s="28">
        <f>74.7583 * CHOOSE(CONTROL!$C$15, $E$9, 100%, $G$9) + CHOOSE(CONTROL!$C$38, 0.0347, 0)</f>
        <v>74.793000000000006</v>
      </c>
      <c r="F949" s="27">
        <f>74.7583 * CHOOSE(CONTROL!$C$15, $E$9, 100%, $G$9) + CHOOSE(CONTROL!$C$38, 0.0256, 0)</f>
        <v>74.783900000000003</v>
      </c>
      <c r="G949" s="10">
        <f>69.2714 * CHOOSE(CONTROL!$C$15, $E$9, 100%, $G$9) + CHOOSE(CONTROL!$C$38, 0.0347, 0)</f>
        <v>69.306100000000001</v>
      </c>
      <c r="H949" s="10">
        <f>69.2714 * CHOOSE(CONTROL!$C$15, $E$9, 100%, $G$9) + CHOOSE(CONTROL!$C$38, 0.0347, 0)</f>
        <v>69.306100000000001</v>
      </c>
      <c r="I949" s="10">
        <f>69.2729 * CHOOSE(CONTROL!$C$15, $E$9, 100%, $G$9) + CHOOSE(CONTROL!$C$38, 0.0347, 0)</f>
        <v>69.307600000000008</v>
      </c>
      <c r="J949" s="26">
        <f>430.4537</f>
        <v>430.45370000000003</v>
      </c>
    </row>
    <row r="950" spans="1:10" ht="15.75" x14ac:dyDescent="0.25">
      <c r="A950" s="13">
        <v>70219</v>
      </c>
      <c r="B950" s="10">
        <f>74.4035 * CHOOSE(CONTROL!$C$15, $E$9, 100%, $G$9) + CHOOSE(CONTROL!$C$38, 0.0256, 0)</f>
        <v>74.429099999999991</v>
      </c>
      <c r="C950" s="10">
        <f>68.7619 * CHOOSE(CONTROL!$C$15, $E$9, 100%, $G$9) + CHOOSE(CONTROL!$C$38, 0.0347, 0)</f>
        <v>68.796599999999998</v>
      </c>
      <c r="D950" s="10">
        <f>68.7541 * CHOOSE(CONTROL!$C$15, $E$9, 100%, $G$9) + CHOOSE(CONTROL!$C$38, 0.0347, 0)</f>
        <v>68.788799999999995</v>
      </c>
      <c r="E950" s="28">
        <f>74.2473 * CHOOSE(CONTROL!$C$15, $E$9, 100%, $G$9) + CHOOSE(CONTROL!$C$38, 0.0347, 0)</f>
        <v>74.281999999999996</v>
      </c>
      <c r="F950" s="27">
        <f>74.2473 * CHOOSE(CONTROL!$C$15, $E$9, 100%, $G$9) + CHOOSE(CONTROL!$C$38, 0.0256, 0)</f>
        <v>74.272899999999993</v>
      </c>
      <c r="G950" s="10">
        <f>68.7603 * CHOOSE(CONTROL!$C$15, $E$9, 100%, $G$9) + CHOOSE(CONTROL!$C$38, 0.0347, 0)</f>
        <v>68.795000000000002</v>
      </c>
      <c r="H950" s="10">
        <f>68.7603 * CHOOSE(CONTROL!$C$15, $E$9, 100%, $G$9) + CHOOSE(CONTROL!$C$38, 0.0347, 0)</f>
        <v>68.795000000000002</v>
      </c>
      <c r="I950" s="10">
        <f>68.7619 * CHOOSE(CONTROL!$C$15, $E$9, 100%, $G$9) + CHOOSE(CONTROL!$C$38, 0.0347, 0)</f>
        <v>68.796599999999998</v>
      </c>
      <c r="J950" s="26">
        <f>453.1411</f>
        <v>453.14109999999999</v>
      </c>
    </row>
    <row r="951" spans="1:10" ht="15.75" x14ac:dyDescent="0.25">
      <c r="A951" s="13">
        <v>70249</v>
      </c>
      <c r="B951" s="10">
        <f>73.9084 * CHOOSE(CONTROL!$C$15, $E$9, 100%, $G$9) + CHOOSE(CONTROL!$C$38, 0.0256, 0)</f>
        <v>73.933999999999997</v>
      </c>
      <c r="C951" s="10">
        <f>68.2667 * CHOOSE(CONTROL!$C$15, $E$9, 100%, $G$9) + CHOOSE(CONTROL!$C$38, 0.0347, 0)</f>
        <v>68.301400000000001</v>
      </c>
      <c r="D951" s="10">
        <f>68.2589 * CHOOSE(CONTROL!$C$15, $E$9, 100%, $G$9) + CHOOSE(CONTROL!$C$38, 0.0347, 0)</f>
        <v>68.293599999999998</v>
      </c>
      <c r="E951" s="28">
        <f>73.7521 * CHOOSE(CONTROL!$C$15, $E$9, 100%, $G$9) + CHOOSE(CONTROL!$C$38, 0.0347, 0)</f>
        <v>73.786799999999999</v>
      </c>
      <c r="F951" s="27">
        <f>73.7521 * CHOOSE(CONTROL!$C$15, $E$9, 100%, $G$9) + CHOOSE(CONTROL!$C$38, 0.0256, 0)</f>
        <v>73.777699999999996</v>
      </c>
      <c r="G951" s="10">
        <f>68.2651 * CHOOSE(CONTROL!$C$15, $E$9, 100%, $G$9) + CHOOSE(CONTROL!$C$38, 0.0347, 0)</f>
        <v>68.299800000000005</v>
      </c>
      <c r="H951" s="10">
        <f>68.2651 * CHOOSE(CONTROL!$C$15, $E$9, 100%, $G$9) + CHOOSE(CONTROL!$C$38, 0.0347, 0)</f>
        <v>68.299800000000005</v>
      </c>
      <c r="I951" s="10">
        <f>68.2667 * CHOOSE(CONTROL!$C$15, $E$9, 100%, $G$9) + CHOOSE(CONTROL!$C$38, 0.0347, 0)</f>
        <v>68.301400000000001</v>
      </c>
      <c r="J951" s="26">
        <f>482.5613</f>
        <v>482.56130000000002</v>
      </c>
    </row>
    <row r="952" spans="1:10" ht="15.75" x14ac:dyDescent="0.25">
      <c r="A952" s="13">
        <v>70280</v>
      </c>
      <c r="B952" s="10">
        <f>73.3922 * CHOOSE(CONTROL!$C$15, $E$9, 100%, $G$9) + CHOOSE(CONTROL!$C$38, 0.0256, 0)</f>
        <v>73.4178</v>
      </c>
      <c r="C952" s="10">
        <f>67.7506 * CHOOSE(CONTROL!$C$15, $E$9, 100%, $G$9) + CHOOSE(CONTROL!$C$38, 0.0347, 0)</f>
        <v>67.785300000000007</v>
      </c>
      <c r="D952" s="10">
        <f>67.7428 * CHOOSE(CONTROL!$C$15, $E$9, 100%, $G$9) + CHOOSE(CONTROL!$C$38, 0.0347, 0)</f>
        <v>67.777500000000003</v>
      </c>
      <c r="E952" s="28">
        <f>73.236 * CHOOSE(CONTROL!$C$15, $E$9, 100%, $G$9) + CHOOSE(CONTROL!$C$38, 0.0347, 0)</f>
        <v>73.270700000000005</v>
      </c>
      <c r="F952" s="27">
        <f>73.236 * CHOOSE(CONTROL!$C$15, $E$9, 100%, $G$9) + CHOOSE(CONTROL!$C$38, 0.0256, 0)</f>
        <v>73.261600000000001</v>
      </c>
      <c r="G952" s="10">
        <f>67.749 * CHOOSE(CONTROL!$C$15, $E$9, 100%, $G$9) + CHOOSE(CONTROL!$C$38, 0.0347, 0)</f>
        <v>67.783699999999996</v>
      </c>
      <c r="H952" s="10">
        <f>67.749 * CHOOSE(CONTROL!$C$15, $E$9, 100%, $G$9) + CHOOSE(CONTROL!$C$38, 0.0347, 0)</f>
        <v>67.783699999999996</v>
      </c>
      <c r="I952" s="10">
        <f>67.7506 * CHOOSE(CONTROL!$C$15, $E$9, 100%, $G$9) + CHOOSE(CONTROL!$C$38, 0.0347, 0)</f>
        <v>67.785300000000007</v>
      </c>
      <c r="J952" s="26">
        <f>498.7551</f>
        <v>498.75510000000003</v>
      </c>
    </row>
    <row r="953" spans="1:10" ht="15.75" x14ac:dyDescent="0.25">
      <c r="A953" s="13">
        <v>70310</v>
      </c>
      <c r="B953" s="10">
        <f>73.0304 * CHOOSE(CONTROL!$C$15, $E$9, 100%, $G$9) + CHOOSE(CONTROL!$C$38, 0.0256, 0)</f>
        <v>73.055999999999997</v>
      </c>
      <c r="C953" s="10">
        <f>67.3888 * CHOOSE(CONTROL!$C$15, $E$9, 100%, $G$9) + CHOOSE(CONTROL!$C$38, 0.0347, 0)</f>
        <v>67.423500000000004</v>
      </c>
      <c r="D953" s="10">
        <f>67.3809 * CHOOSE(CONTROL!$C$15, $E$9, 100%, $G$9) + CHOOSE(CONTROL!$C$38, 0.0347, 0)</f>
        <v>67.415599999999998</v>
      </c>
      <c r="E953" s="28">
        <f>72.8742 * CHOOSE(CONTROL!$C$15, $E$9, 100%, $G$9) + CHOOSE(CONTROL!$C$38, 0.0347, 0)</f>
        <v>72.908900000000003</v>
      </c>
      <c r="F953" s="27">
        <f>72.8742 * CHOOSE(CONTROL!$C$15, $E$9, 100%, $G$9) + CHOOSE(CONTROL!$C$38, 0.0256, 0)</f>
        <v>72.899799999999999</v>
      </c>
      <c r="G953" s="10">
        <f>67.3872 * CHOOSE(CONTROL!$C$15, $E$9, 100%, $G$9) + CHOOSE(CONTROL!$C$38, 0.0347, 0)</f>
        <v>67.421900000000008</v>
      </c>
      <c r="H953" s="10">
        <f>67.3872 * CHOOSE(CONTROL!$C$15, $E$9, 100%, $G$9) + CHOOSE(CONTROL!$C$38, 0.0347, 0)</f>
        <v>67.421900000000008</v>
      </c>
      <c r="I953" s="10">
        <f>67.3888 * CHOOSE(CONTROL!$C$15, $E$9, 100%, $G$9) + CHOOSE(CONTROL!$C$38, 0.0347, 0)</f>
        <v>67.423500000000004</v>
      </c>
      <c r="J953" s="26">
        <f>505.9416</f>
        <v>505.94159999999999</v>
      </c>
    </row>
    <row r="954" spans="1:10" ht="15.75" x14ac:dyDescent="0.25">
      <c r="A954" s="13">
        <v>70341</v>
      </c>
      <c r="B954" s="10">
        <f>72.8239 * CHOOSE(CONTROL!$C$15, $E$9, 100%, $G$9) + CHOOSE(CONTROL!$C$38, 0.0256, 0)</f>
        <v>72.849499999999992</v>
      </c>
      <c r="C954" s="10">
        <f>67.1823 * CHOOSE(CONTROL!$C$15, $E$9, 100%, $G$9) + CHOOSE(CONTROL!$C$38, 0.0347, 0)</f>
        <v>67.216999999999999</v>
      </c>
      <c r="D954" s="10">
        <f>67.1745 * CHOOSE(CONTROL!$C$15, $E$9, 100%, $G$9) + CHOOSE(CONTROL!$C$38, 0.0347, 0)</f>
        <v>67.209199999999996</v>
      </c>
      <c r="E954" s="28">
        <f>72.6677 * CHOOSE(CONTROL!$C$15, $E$9, 100%, $G$9) + CHOOSE(CONTROL!$C$38, 0.0347, 0)</f>
        <v>72.702399999999997</v>
      </c>
      <c r="F954" s="27">
        <f>72.6677 * CHOOSE(CONTROL!$C$15, $E$9, 100%, $G$9) + CHOOSE(CONTROL!$C$38, 0.0256, 0)</f>
        <v>72.693299999999994</v>
      </c>
      <c r="G954" s="10">
        <f>67.1807 * CHOOSE(CONTROL!$C$15, $E$9, 100%, $G$9) + CHOOSE(CONTROL!$C$38, 0.0347, 0)</f>
        <v>67.215400000000002</v>
      </c>
      <c r="H954" s="10">
        <f>67.1807 * CHOOSE(CONTROL!$C$15, $E$9, 100%, $G$9) + CHOOSE(CONTROL!$C$38, 0.0347, 0)</f>
        <v>67.215400000000002</v>
      </c>
      <c r="I954" s="10">
        <f>67.1823 * CHOOSE(CONTROL!$C$15, $E$9, 100%, $G$9) + CHOOSE(CONTROL!$C$38, 0.0347, 0)</f>
        <v>67.216999999999999</v>
      </c>
      <c r="J954" s="26">
        <f>503.5755</f>
        <v>503.57549999999998</v>
      </c>
    </row>
    <row r="955" spans="1:10" ht="15.75" x14ac:dyDescent="0.25">
      <c r="A955" s="13">
        <v>70372</v>
      </c>
      <c r="B955" s="10">
        <f>72.9258 * CHOOSE(CONTROL!$C$15, $E$9, 100%, $G$9) + CHOOSE(CONTROL!$C$38, 0.0256, 0)</f>
        <v>72.951399999999992</v>
      </c>
      <c r="C955" s="10">
        <f>67.2842 * CHOOSE(CONTROL!$C$15, $E$9, 100%, $G$9) + CHOOSE(CONTROL!$C$38, 0.0347, 0)</f>
        <v>67.318899999999999</v>
      </c>
      <c r="D955" s="10">
        <f>67.2764 * CHOOSE(CONTROL!$C$15, $E$9, 100%, $G$9) + CHOOSE(CONTROL!$C$38, 0.0347, 0)</f>
        <v>67.311099999999996</v>
      </c>
      <c r="E955" s="28">
        <f>72.7696 * CHOOSE(CONTROL!$C$15, $E$9, 100%, $G$9) + CHOOSE(CONTROL!$C$38, 0.0347, 0)</f>
        <v>72.804299999999998</v>
      </c>
      <c r="F955" s="27">
        <f>72.7696 * CHOOSE(CONTROL!$C$15, $E$9, 100%, $G$9) + CHOOSE(CONTROL!$C$38, 0.0256, 0)</f>
        <v>72.795199999999994</v>
      </c>
      <c r="G955" s="10">
        <f>67.2826 * CHOOSE(CONTROL!$C$15, $E$9, 100%, $G$9) + CHOOSE(CONTROL!$C$38, 0.0347, 0)</f>
        <v>67.317300000000003</v>
      </c>
      <c r="H955" s="10">
        <f>67.2826 * CHOOSE(CONTROL!$C$15, $E$9, 100%, $G$9) + CHOOSE(CONTROL!$C$38, 0.0347, 0)</f>
        <v>67.317300000000003</v>
      </c>
      <c r="I955" s="10">
        <f>67.2842 * CHOOSE(CONTROL!$C$15, $E$9, 100%, $G$9) + CHOOSE(CONTROL!$C$38, 0.0347, 0)</f>
        <v>67.318899999999999</v>
      </c>
      <c r="J955" s="26">
        <f>491.8524</f>
        <v>491.85239999999999</v>
      </c>
    </row>
    <row r="956" spans="1:10" ht="15.75" x14ac:dyDescent="0.25">
      <c r="A956" s="13">
        <v>70402</v>
      </c>
      <c r="B956" s="10">
        <f>73.2026 * CHOOSE(CONTROL!$C$15, $E$9, 100%, $G$9) + CHOOSE(CONTROL!$C$38, 0.0256, 0)</f>
        <v>73.228200000000001</v>
      </c>
      <c r="C956" s="10">
        <f>67.561 * CHOOSE(CONTROL!$C$15, $E$9, 100%, $G$9) + CHOOSE(CONTROL!$C$38, 0.0347, 0)</f>
        <v>67.595700000000008</v>
      </c>
      <c r="D956" s="10">
        <f>67.5532 * CHOOSE(CONTROL!$C$15, $E$9, 100%, $G$9) + CHOOSE(CONTROL!$C$38, 0.0347, 0)</f>
        <v>67.587900000000005</v>
      </c>
      <c r="E956" s="28">
        <f>73.0464 * CHOOSE(CONTROL!$C$15, $E$9, 100%, $G$9) + CHOOSE(CONTROL!$C$38, 0.0347, 0)</f>
        <v>73.081100000000006</v>
      </c>
      <c r="F956" s="27">
        <f>73.0464 * CHOOSE(CONTROL!$C$15, $E$9, 100%, $G$9) + CHOOSE(CONTROL!$C$38, 0.0256, 0)</f>
        <v>73.072000000000003</v>
      </c>
      <c r="G956" s="10">
        <f>67.5594 * CHOOSE(CONTROL!$C$15, $E$9, 100%, $G$9) + CHOOSE(CONTROL!$C$38, 0.0347, 0)</f>
        <v>67.594099999999997</v>
      </c>
      <c r="H956" s="10">
        <f>67.5594 * CHOOSE(CONTROL!$C$15, $E$9, 100%, $G$9) + CHOOSE(CONTROL!$C$38, 0.0347, 0)</f>
        <v>67.594099999999997</v>
      </c>
      <c r="I956" s="10">
        <f>67.561 * CHOOSE(CONTROL!$C$15, $E$9, 100%, $G$9) + CHOOSE(CONTROL!$C$38, 0.0347, 0)</f>
        <v>67.595700000000008</v>
      </c>
      <c r="J956" s="26">
        <f>475.5041</f>
        <v>475.50409999999999</v>
      </c>
    </row>
    <row r="957" spans="1:10" ht="15.75" x14ac:dyDescent="0.25">
      <c r="A957" s="13">
        <v>70433</v>
      </c>
      <c r="B957" s="10">
        <f>73.4344 * CHOOSE(CONTROL!$C$15, $E$9, 100%, $G$9) + CHOOSE(CONTROL!$C$38, 0.0256, 0)</f>
        <v>73.459999999999994</v>
      </c>
      <c r="C957" s="10">
        <f>67.7928 * CHOOSE(CONTROL!$C$15, $E$9, 100%, $G$9) + CHOOSE(CONTROL!$C$38, 0.0347, 0)</f>
        <v>67.827500000000001</v>
      </c>
      <c r="D957" s="10">
        <f>67.785 * CHOOSE(CONTROL!$C$15, $E$9, 100%, $G$9) + CHOOSE(CONTROL!$C$38, 0.0347, 0)</f>
        <v>67.819699999999997</v>
      </c>
      <c r="E957" s="28">
        <f>73.2782 * CHOOSE(CONTROL!$C$15, $E$9, 100%, $G$9) + CHOOSE(CONTROL!$C$38, 0.0347, 0)</f>
        <v>73.312899999999999</v>
      </c>
      <c r="F957" s="27">
        <f>73.2782 * CHOOSE(CONTROL!$C$15, $E$9, 100%, $G$9) + CHOOSE(CONTROL!$C$38, 0.0256, 0)</f>
        <v>73.303799999999995</v>
      </c>
      <c r="G957" s="10">
        <f>67.7912 * CHOOSE(CONTROL!$C$15, $E$9, 100%, $G$9) + CHOOSE(CONTROL!$C$38, 0.0347, 0)</f>
        <v>67.825900000000004</v>
      </c>
      <c r="H957" s="10">
        <f>67.7912 * CHOOSE(CONTROL!$C$15, $E$9, 100%, $G$9) + CHOOSE(CONTROL!$C$38, 0.0347, 0)</f>
        <v>67.825900000000004</v>
      </c>
      <c r="I957" s="10">
        <f>67.7928 * CHOOSE(CONTROL!$C$15, $E$9, 100%, $G$9) + CHOOSE(CONTROL!$C$38, 0.0347, 0)</f>
        <v>67.827500000000001</v>
      </c>
      <c r="J957" s="26">
        <f>459.0607</f>
        <v>459.0607</v>
      </c>
    </row>
    <row r="958" spans="1:10" ht="15.75" x14ac:dyDescent="0.25">
      <c r="A958" s="13">
        <v>70463</v>
      </c>
      <c r="B958" s="10">
        <f>73.6279 * CHOOSE(CONTROL!$C$15, $E$9, 100%, $G$9) + CHOOSE(CONTROL!$C$38, 0.0256, 0)</f>
        <v>73.653499999999994</v>
      </c>
      <c r="C958" s="10">
        <f>67.9862 * CHOOSE(CONTROL!$C$15, $E$9, 100%, $G$9) + CHOOSE(CONTROL!$C$38, 0.0347, 0)</f>
        <v>68.020899999999997</v>
      </c>
      <c r="D958" s="10">
        <f>67.9784 * CHOOSE(CONTROL!$C$15, $E$9, 100%, $G$9) + CHOOSE(CONTROL!$C$38, 0.0347, 0)</f>
        <v>68.013099999999994</v>
      </c>
      <c r="E958" s="28">
        <f>73.4716 * CHOOSE(CONTROL!$C$15, $E$9, 100%, $G$9) + CHOOSE(CONTROL!$C$38, 0.0347, 0)</f>
        <v>73.506299999999996</v>
      </c>
      <c r="F958" s="27">
        <f>73.4716 * CHOOSE(CONTROL!$C$15, $E$9, 100%, $G$9) + CHOOSE(CONTROL!$C$38, 0.0256, 0)</f>
        <v>73.497199999999992</v>
      </c>
      <c r="G958" s="10">
        <f>67.9847 * CHOOSE(CONTROL!$C$15, $E$9, 100%, $G$9) + CHOOSE(CONTROL!$C$38, 0.0347, 0)</f>
        <v>68.019400000000005</v>
      </c>
      <c r="H958" s="10">
        <f>67.9847 * CHOOSE(CONTROL!$C$15, $E$9, 100%, $G$9) + CHOOSE(CONTROL!$C$38, 0.0347, 0)</f>
        <v>68.019400000000005</v>
      </c>
      <c r="I958" s="10">
        <f>67.9862 * CHOOSE(CONTROL!$C$15, $E$9, 100%, $G$9) + CHOOSE(CONTROL!$C$38, 0.0347, 0)</f>
        <v>68.020899999999997</v>
      </c>
      <c r="J958" s="26">
        <f>455.7898</f>
        <v>455.78980000000001</v>
      </c>
    </row>
    <row r="959" spans="1:10" ht="15.75" x14ac:dyDescent="0.25">
      <c r="A959" s="13">
        <v>70494</v>
      </c>
      <c r="B959" s="10">
        <f>74.224 * CHOOSE(CONTROL!$C$15, $E$9, 100%, $G$9) + CHOOSE(CONTROL!$C$38, 0.0256, 0)</f>
        <v>74.249600000000001</v>
      </c>
      <c r="C959" s="10">
        <f>68.5823 * CHOOSE(CONTROL!$C$15, $E$9, 100%, $G$9) + CHOOSE(CONTROL!$C$38, 0.0347, 0)</f>
        <v>68.617000000000004</v>
      </c>
      <c r="D959" s="10">
        <f>68.5745 * CHOOSE(CONTROL!$C$15, $E$9, 100%, $G$9) + CHOOSE(CONTROL!$C$38, 0.0347, 0)</f>
        <v>68.609200000000001</v>
      </c>
      <c r="E959" s="28">
        <f>74.0677 * CHOOSE(CONTROL!$C$15, $E$9, 100%, $G$9) + CHOOSE(CONTROL!$C$38, 0.0347, 0)</f>
        <v>74.102400000000003</v>
      </c>
      <c r="F959" s="27">
        <f>74.0677 * CHOOSE(CONTROL!$C$15, $E$9, 100%, $G$9) + CHOOSE(CONTROL!$C$38, 0.0256, 0)</f>
        <v>74.093299999999999</v>
      </c>
      <c r="G959" s="10">
        <f>68.5807 * CHOOSE(CONTROL!$C$15, $E$9, 100%, $G$9) + CHOOSE(CONTROL!$C$38, 0.0347, 0)</f>
        <v>68.615399999999994</v>
      </c>
      <c r="H959" s="10">
        <f>68.5807 * CHOOSE(CONTROL!$C$15, $E$9, 100%, $G$9) + CHOOSE(CONTROL!$C$38, 0.0347, 0)</f>
        <v>68.615399999999994</v>
      </c>
      <c r="I959" s="10">
        <f>68.5823 * CHOOSE(CONTROL!$C$15, $E$9, 100%, $G$9) + CHOOSE(CONTROL!$C$38, 0.0347, 0)</f>
        <v>68.617000000000004</v>
      </c>
      <c r="J959" s="26">
        <f>442.2642</f>
        <v>442.26420000000002</v>
      </c>
    </row>
    <row r="960" spans="1:10" ht="15.75" x14ac:dyDescent="0.25">
      <c r="A960" s="13">
        <v>70525</v>
      </c>
      <c r="B960" s="10">
        <f>75.9853 * CHOOSE(CONTROL!$C$15, $E$9, 100%, $G$9) + CHOOSE(CONTROL!$C$38, 0.0256, 0)</f>
        <v>76.010899999999992</v>
      </c>
      <c r="C960" s="10">
        <f>70.2468 * CHOOSE(CONTROL!$C$15, $E$9, 100%, $G$9) + CHOOSE(CONTROL!$C$38, 0.0347, 0)</f>
        <v>70.281499999999994</v>
      </c>
      <c r="D960" s="10">
        <f>70.2389 * CHOOSE(CONTROL!$C$15, $E$9, 100%, $G$9) + CHOOSE(CONTROL!$C$38, 0.0347, 0)</f>
        <v>70.273600000000002</v>
      </c>
      <c r="E960" s="28">
        <f>75.8291 * CHOOSE(CONTROL!$C$15, $E$9, 100%, $G$9) + CHOOSE(CONTROL!$C$38, 0.0347, 0)</f>
        <v>75.863799999999998</v>
      </c>
      <c r="F960" s="27">
        <f>75.8291 * CHOOSE(CONTROL!$C$15, $E$9, 100%, $G$9) + CHOOSE(CONTROL!$C$38, 0.0256, 0)</f>
        <v>75.854699999999994</v>
      </c>
      <c r="G960" s="10">
        <f>70.2452 * CHOOSE(CONTROL!$C$15, $E$9, 100%, $G$9) + CHOOSE(CONTROL!$C$38, 0.0347, 0)</f>
        <v>70.279899999999998</v>
      </c>
      <c r="H960" s="10">
        <f>70.2452 * CHOOSE(CONTROL!$C$15, $E$9, 100%, $G$9) + CHOOSE(CONTROL!$C$38, 0.0347, 0)</f>
        <v>70.279899999999998</v>
      </c>
      <c r="I960" s="10">
        <f>70.2468 * CHOOSE(CONTROL!$C$15, $E$9, 100%, $G$9) + CHOOSE(CONTROL!$C$38, 0.0347, 0)</f>
        <v>70.281499999999994</v>
      </c>
      <c r="J960" s="26">
        <f>439.3017</f>
        <v>439.30169999999998</v>
      </c>
    </row>
    <row r="961" spans="1:10" ht="15.75" x14ac:dyDescent="0.25">
      <c r="A961" s="13">
        <v>70553</v>
      </c>
      <c r="B961" s="10">
        <f>76.2061 * CHOOSE(CONTROL!$C$15, $E$9, 100%, $G$9) + CHOOSE(CONTROL!$C$38, 0.0256, 0)</f>
        <v>76.231700000000004</v>
      </c>
      <c r="C961" s="10">
        <f>70.4675 * CHOOSE(CONTROL!$C$15, $E$9, 100%, $G$9) + CHOOSE(CONTROL!$C$38, 0.0347, 0)</f>
        <v>70.502200000000002</v>
      </c>
      <c r="D961" s="10">
        <f>70.4597 * CHOOSE(CONTROL!$C$15, $E$9, 100%, $G$9) + CHOOSE(CONTROL!$C$38, 0.0347, 0)</f>
        <v>70.494399999999999</v>
      </c>
      <c r="E961" s="28">
        <f>76.0498 * CHOOSE(CONTROL!$C$15, $E$9, 100%, $G$9) + CHOOSE(CONTROL!$C$38, 0.0347, 0)</f>
        <v>76.084500000000006</v>
      </c>
      <c r="F961" s="27">
        <f>76.0498 * CHOOSE(CONTROL!$C$15, $E$9, 100%, $G$9) + CHOOSE(CONTROL!$C$38, 0.0256, 0)</f>
        <v>76.075400000000002</v>
      </c>
      <c r="G961" s="10">
        <f>70.466 * CHOOSE(CONTROL!$C$15, $E$9, 100%, $G$9) + CHOOSE(CONTROL!$C$38, 0.0347, 0)</f>
        <v>70.500699999999995</v>
      </c>
      <c r="H961" s="10">
        <f>70.466 * CHOOSE(CONTROL!$C$15, $E$9, 100%, $G$9) + CHOOSE(CONTROL!$C$38, 0.0347, 0)</f>
        <v>70.500699999999995</v>
      </c>
      <c r="I961" s="10">
        <f>70.4675 * CHOOSE(CONTROL!$C$15, $E$9, 100%, $G$9) + CHOOSE(CONTROL!$C$38, 0.0347, 0)</f>
        <v>70.502200000000002</v>
      </c>
      <c r="J961" s="26">
        <f>438.0806</f>
        <v>438.0806</v>
      </c>
    </row>
    <row r="962" spans="1:10" ht="15.75" x14ac:dyDescent="0.25">
      <c r="A962" s="13">
        <v>70584</v>
      </c>
      <c r="B962" s="10">
        <f>75.695 * CHOOSE(CONTROL!$C$15, $E$9, 100%, $G$9) + CHOOSE(CONTROL!$C$38, 0.0256, 0)</f>
        <v>75.72059999999999</v>
      </c>
      <c r="C962" s="10">
        <f>69.9565 * CHOOSE(CONTROL!$C$15, $E$9, 100%, $G$9) + CHOOSE(CONTROL!$C$38, 0.0347, 0)</f>
        <v>69.991200000000006</v>
      </c>
      <c r="D962" s="10">
        <f>69.9487 * CHOOSE(CONTROL!$C$15, $E$9, 100%, $G$9) + CHOOSE(CONTROL!$C$38, 0.0347, 0)</f>
        <v>69.983400000000003</v>
      </c>
      <c r="E962" s="28">
        <f>75.5388 * CHOOSE(CONTROL!$C$15, $E$9, 100%, $G$9) + CHOOSE(CONTROL!$C$38, 0.0347, 0)</f>
        <v>75.573499999999996</v>
      </c>
      <c r="F962" s="27">
        <f>75.5388 * CHOOSE(CONTROL!$C$15, $E$9, 100%, $G$9) + CHOOSE(CONTROL!$C$38, 0.0256, 0)</f>
        <v>75.564399999999992</v>
      </c>
      <c r="G962" s="10">
        <f>69.9549 * CHOOSE(CONTROL!$C$15, $E$9, 100%, $G$9) + CHOOSE(CONTROL!$C$38, 0.0347, 0)</f>
        <v>69.989599999999996</v>
      </c>
      <c r="H962" s="10">
        <f>69.9549 * CHOOSE(CONTROL!$C$15, $E$9, 100%, $G$9) + CHOOSE(CONTROL!$C$38, 0.0347, 0)</f>
        <v>69.989599999999996</v>
      </c>
      <c r="I962" s="10">
        <f>69.9565 * CHOOSE(CONTROL!$C$15, $E$9, 100%, $G$9) + CHOOSE(CONTROL!$C$38, 0.0347, 0)</f>
        <v>69.991200000000006</v>
      </c>
      <c r="J962" s="26">
        <f>461.1699</f>
        <v>461.16989999999998</v>
      </c>
    </row>
    <row r="963" spans="1:10" ht="15.75" x14ac:dyDescent="0.25">
      <c r="A963" s="13">
        <v>70614</v>
      </c>
      <c r="B963" s="10">
        <f>75.1999 * CHOOSE(CONTROL!$C$15, $E$9, 100%, $G$9) + CHOOSE(CONTROL!$C$38, 0.0256, 0)</f>
        <v>75.225499999999997</v>
      </c>
      <c r="C963" s="10">
        <f>69.4613 * CHOOSE(CONTROL!$C$15, $E$9, 100%, $G$9) + CHOOSE(CONTROL!$C$38, 0.0347, 0)</f>
        <v>69.495999999999995</v>
      </c>
      <c r="D963" s="10">
        <f>69.4535 * CHOOSE(CONTROL!$C$15, $E$9, 100%, $G$9) + CHOOSE(CONTROL!$C$38, 0.0347, 0)</f>
        <v>69.488200000000006</v>
      </c>
      <c r="E963" s="28">
        <f>75.0436 * CHOOSE(CONTROL!$C$15, $E$9, 100%, $G$9) + CHOOSE(CONTROL!$C$38, 0.0347, 0)</f>
        <v>75.078299999999999</v>
      </c>
      <c r="F963" s="27">
        <f>75.0436 * CHOOSE(CONTROL!$C$15, $E$9, 100%, $G$9) + CHOOSE(CONTROL!$C$38, 0.0256, 0)</f>
        <v>75.069199999999995</v>
      </c>
      <c r="G963" s="10">
        <f>69.4597 * CHOOSE(CONTROL!$C$15, $E$9, 100%, $G$9) + CHOOSE(CONTROL!$C$38, 0.0347, 0)</f>
        <v>69.494399999999999</v>
      </c>
      <c r="H963" s="10">
        <f>69.4597 * CHOOSE(CONTROL!$C$15, $E$9, 100%, $G$9) + CHOOSE(CONTROL!$C$38, 0.0347, 0)</f>
        <v>69.494399999999999</v>
      </c>
      <c r="I963" s="10">
        <f>69.4613 * CHOOSE(CONTROL!$C$15, $E$9, 100%, $G$9) + CHOOSE(CONTROL!$C$38, 0.0347, 0)</f>
        <v>69.495999999999995</v>
      </c>
      <c r="J963" s="26">
        <f>491.1113</f>
        <v>491.11130000000003</v>
      </c>
    </row>
    <row r="964" spans="1:10" ht="15.75" x14ac:dyDescent="0.25">
      <c r="A964" s="13">
        <v>70645</v>
      </c>
      <c r="B964" s="10">
        <f>74.6838 * CHOOSE(CONTROL!$C$15, $E$9, 100%, $G$9) + CHOOSE(CONTROL!$C$38, 0.0256, 0)</f>
        <v>74.709400000000002</v>
      </c>
      <c r="C964" s="10">
        <f>68.9452 * CHOOSE(CONTROL!$C$15, $E$9, 100%, $G$9) + CHOOSE(CONTROL!$C$38, 0.0347, 0)</f>
        <v>68.979900000000001</v>
      </c>
      <c r="D964" s="10">
        <f>68.9374 * CHOOSE(CONTROL!$C$15, $E$9, 100%, $G$9) + CHOOSE(CONTROL!$C$38, 0.0347, 0)</f>
        <v>68.972099999999998</v>
      </c>
      <c r="E964" s="28">
        <f>74.5275 * CHOOSE(CONTROL!$C$15, $E$9, 100%, $G$9) + CHOOSE(CONTROL!$C$38, 0.0347, 0)</f>
        <v>74.562200000000004</v>
      </c>
      <c r="F964" s="27">
        <f>74.5275 * CHOOSE(CONTROL!$C$15, $E$9, 100%, $G$9) + CHOOSE(CONTROL!$C$38, 0.0256, 0)</f>
        <v>74.553100000000001</v>
      </c>
      <c r="G964" s="10">
        <f>68.9436 * CHOOSE(CONTROL!$C$15, $E$9, 100%, $G$9) + CHOOSE(CONTROL!$C$38, 0.0347, 0)</f>
        <v>68.978300000000004</v>
      </c>
      <c r="H964" s="10">
        <f>68.9436 * CHOOSE(CONTROL!$C$15, $E$9, 100%, $G$9) + CHOOSE(CONTROL!$C$38, 0.0347, 0)</f>
        <v>68.978300000000004</v>
      </c>
      <c r="I964" s="10">
        <f>68.9452 * CHOOSE(CONTROL!$C$15, $E$9, 100%, $G$9) + CHOOSE(CONTROL!$C$38, 0.0347, 0)</f>
        <v>68.979900000000001</v>
      </c>
      <c r="J964" s="26">
        <f>507.5921</f>
        <v>507.59210000000002</v>
      </c>
    </row>
    <row r="965" spans="1:10" ht="15.75" x14ac:dyDescent="0.25">
      <c r="A965" s="13">
        <v>70675</v>
      </c>
      <c r="B965" s="10">
        <f>74.3219 * CHOOSE(CONTROL!$C$15, $E$9, 100%, $G$9) + CHOOSE(CONTROL!$C$38, 0.0256, 0)</f>
        <v>74.347499999999997</v>
      </c>
      <c r="C965" s="10">
        <f>68.5834 * CHOOSE(CONTROL!$C$15, $E$9, 100%, $G$9) + CHOOSE(CONTROL!$C$38, 0.0347, 0)</f>
        <v>68.618099999999998</v>
      </c>
      <c r="D965" s="10">
        <f>68.5755 * CHOOSE(CONTROL!$C$15, $E$9, 100%, $G$9) + CHOOSE(CONTROL!$C$38, 0.0347, 0)</f>
        <v>68.610200000000006</v>
      </c>
      <c r="E965" s="28">
        <f>74.1657 * CHOOSE(CONTROL!$C$15, $E$9, 100%, $G$9) + CHOOSE(CONTROL!$C$38, 0.0347, 0)</f>
        <v>74.200400000000002</v>
      </c>
      <c r="F965" s="27">
        <f>74.1657 * CHOOSE(CONTROL!$C$15, $E$9, 100%, $G$9) + CHOOSE(CONTROL!$C$38, 0.0256, 0)</f>
        <v>74.191299999999998</v>
      </c>
      <c r="G965" s="10">
        <f>68.5818 * CHOOSE(CONTROL!$C$15, $E$9, 100%, $G$9) + CHOOSE(CONTROL!$C$38, 0.0347, 0)</f>
        <v>68.616500000000002</v>
      </c>
      <c r="H965" s="10">
        <f>68.5818 * CHOOSE(CONTROL!$C$15, $E$9, 100%, $G$9) + CHOOSE(CONTROL!$C$38, 0.0347, 0)</f>
        <v>68.616500000000002</v>
      </c>
      <c r="I965" s="10">
        <f>68.5834 * CHOOSE(CONTROL!$C$15, $E$9, 100%, $G$9) + CHOOSE(CONTROL!$C$38, 0.0347, 0)</f>
        <v>68.618099999999998</v>
      </c>
      <c r="J965" s="26">
        <f>514.9059</f>
        <v>514.90589999999997</v>
      </c>
    </row>
    <row r="966" spans="1:10" ht="15.75" x14ac:dyDescent="0.25">
      <c r="A966" s="13">
        <v>70706</v>
      </c>
      <c r="B966" s="10">
        <f>74.1154 * CHOOSE(CONTROL!$C$15, $E$9, 100%, $G$9) + CHOOSE(CONTROL!$C$38, 0.0256, 0)</f>
        <v>74.140999999999991</v>
      </c>
      <c r="C966" s="10">
        <f>68.3769 * CHOOSE(CONTROL!$C$15, $E$9, 100%, $G$9) + CHOOSE(CONTROL!$C$38, 0.0347, 0)</f>
        <v>68.411600000000007</v>
      </c>
      <c r="D966" s="10">
        <f>68.3691 * CHOOSE(CONTROL!$C$15, $E$9, 100%, $G$9) + CHOOSE(CONTROL!$C$38, 0.0347, 0)</f>
        <v>68.403800000000004</v>
      </c>
      <c r="E966" s="28">
        <f>73.9592 * CHOOSE(CONTROL!$C$15, $E$9, 100%, $G$9) + CHOOSE(CONTROL!$C$38, 0.0347, 0)</f>
        <v>73.993899999999996</v>
      </c>
      <c r="F966" s="27">
        <f>73.9592 * CHOOSE(CONTROL!$C$15, $E$9, 100%, $G$9) + CHOOSE(CONTROL!$C$38, 0.0256, 0)</f>
        <v>73.984799999999993</v>
      </c>
      <c r="G966" s="10">
        <f>68.3753 * CHOOSE(CONTROL!$C$15, $E$9, 100%, $G$9) + CHOOSE(CONTROL!$C$38, 0.0347, 0)</f>
        <v>68.41</v>
      </c>
      <c r="H966" s="10">
        <f>68.3753 * CHOOSE(CONTROL!$C$15, $E$9, 100%, $G$9) + CHOOSE(CONTROL!$C$38, 0.0347, 0)</f>
        <v>68.41</v>
      </c>
      <c r="I966" s="10">
        <f>68.3769 * CHOOSE(CONTROL!$C$15, $E$9, 100%, $G$9) + CHOOSE(CONTROL!$C$38, 0.0347, 0)</f>
        <v>68.411600000000007</v>
      </c>
      <c r="J966" s="26">
        <f>512.4979</f>
        <v>512.49789999999996</v>
      </c>
    </row>
    <row r="967" spans="1:10" ht="15.75" x14ac:dyDescent="0.25">
      <c r="A967" s="13">
        <v>70737</v>
      </c>
      <c r="B967" s="10">
        <f>74.2173 * CHOOSE(CONTROL!$C$15, $E$9, 100%, $G$9) + CHOOSE(CONTROL!$C$38, 0.0256, 0)</f>
        <v>74.242899999999992</v>
      </c>
      <c r="C967" s="10">
        <f>68.4788 * CHOOSE(CONTROL!$C$15, $E$9, 100%, $G$9) + CHOOSE(CONTROL!$C$38, 0.0347, 0)</f>
        <v>68.513500000000008</v>
      </c>
      <c r="D967" s="10">
        <f>68.471 * CHOOSE(CONTROL!$C$15, $E$9, 100%, $G$9) + CHOOSE(CONTROL!$C$38, 0.0347, 0)</f>
        <v>68.505700000000004</v>
      </c>
      <c r="E967" s="28">
        <f>74.0611 * CHOOSE(CONTROL!$C$15, $E$9, 100%, $G$9) + CHOOSE(CONTROL!$C$38, 0.0347, 0)</f>
        <v>74.095799999999997</v>
      </c>
      <c r="F967" s="27">
        <f>74.0611 * CHOOSE(CONTROL!$C$15, $E$9, 100%, $G$9) + CHOOSE(CONTROL!$C$38, 0.0256, 0)</f>
        <v>74.086699999999993</v>
      </c>
      <c r="G967" s="10">
        <f>68.4772 * CHOOSE(CONTROL!$C$15, $E$9, 100%, $G$9) + CHOOSE(CONTROL!$C$38, 0.0347, 0)</f>
        <v>68.511899999999997</v>
      </c>
      <c r="H967" s="10">
        <f>68.4772 * CHOOSE(CONTROL!$C$15, $E$9, 100%, $G$9) + CHOOSE(CONTROL!$C$38, 0.0347, 0)</f>
        <v>68.511899999999997</v>
      </c>
      <c r="I967" s="10">
        <f>68.4788 * CHOOSE(CONTROL!$C$15, $E$9, 100%, $G$9) + CHOOSE(CONTROL!$C$38, 0.0347, 0)</f>
        <v>68.513500000000008</v>
      </c>
      <c r="J967" s="26">
        <f>500.5671</f>
        <v>500.56709999999998</v>
      </c>
    </row>
    <row r="968" spans="1:10" ht="15.75" x14ac:dyDescent="0.25">
      <c r="A968" s="13">
        <v>70767</v>
      </c>
      <c r="B968" s="10">
        <f>74.4941 * CHOOSE(CONTROL!$C$15, $E$9, 100%, $G$9) + CHOOSE(CONTROL!$C$38, 0.0256, 0)</f>
        <v>74.5197</v>
      </c>
      <c r="C968" s="10">
        <f>68.7556 * CHOOSE(CONTROL!$C$15, $E$9, 100%, $G$9) + CHOOSE(CONTROL!$C$38, 0.0347, 0)</f>
        <v>68.790300000000002</v>
      </c>
      <c r="D968" s="10">
        <f>68.7478 * CHOOSE(CONTROL!$C$15, $E$9, 100%, $G$9) + CHOOSE(CONTROL!$C$38, 0.0347, 0)</f>
        <v>68.782499999999999</v>
      </c>
      <c r="E968" s="28">
        <f>74.3379 * CHOOSE(CONTROL!$C$15, $E$9, 100%, $G$9) + CHOOSE(CONTROL!$C$38, 0.0347, 0)</f>
        <v>74.372600000000006</v>
      </c>
      <c r="F968" s="27">
        <f>74.3379 * CHOOSE(CONTROL!$C$15, $E$9, 100%, $G$9) + CHOOSE(CONTROL!$C$38, 0.0256, 0)</f>
        <v>74.363500000000002</v>
      </c>
      <c r="G968" s="10">
        <f>68.754 * CHOOSE(CONTROL!$C$15, $E$9, 100%, $G$9) + CHOOSE(CONTROL!$C$38, 0.0347, 0)</f>
        <v>68.788700000000006</v>
      </c>
      <c r="H968" s="10">
        <f>68.754 * CHOOSE(CONTROL!$C$15, $E$9, 100%, $G$9) + CHOOSE(CONTROL!$C$38, 0.0347, 0)</f>
        <v>68.788700000000006</v>
      </c>
      <c r="I968" s="10">
        <f>68.7556 * CHOOSE(CONTROL!$C$15, $E$9, 100%, $G$9) + CHOOSE(CONTROL!$C$38, 0.0347, 0)</f>
        <v>68.790300000000002</v>
      </c>
      <c r="J968" s="26">
        <f>483.9291</f>
        <v>483.92910000000001</v>
      </c>
    </row>
    <row r="969" spans="1:10" ht="15.75" x14ac:dyDescent="0.25">
      <c r="A969" s="13">
        <v>70798</v>
      </c>
      <c r="B969" s="10">
        <f>74.726 * CHOOSE(CONTROL!$C$15, $E$9, 100%, $G$9) + CHOOSE(CONTROL!$C$38, 0.0256, 0)</f>
        <v>74.751599999999996</v>
      </c>
      <c r="C969" s="10">
        <f>68.9874 * CHOOSE(CONTROL!$C$15, $E$9, 100%, $G$9) + CHOOSE(CONTROL!$C$38, 0.0347, 0)</f>
        <v>69.022099999999995</v>
      </c>
      <c r="D969" s="10">
        <f>68.9796 * CHOOSE(CONTROL!$C$15, $E$9, 100%, $G$9) + CHOOSE(CONTROL!$C$38, 0.0347, 0)</f>
        <v>69.014300000000006</v>
      </c>
      <c r="E969" s="28">
        <f>74.5697 * CHOOSE(CONTROL!$C$15, $E$9, 100%, $G$9) + CHOOSE(CONTROL!$C$38, 0.0347, 0)</f>
        <v>74.604399999999998</v>
      </c>
      <c r="F969" s="27">
        <f>74.5697 * CHOOSE(CONTROL!$C$15, $E$9, 100%, $G$9) + CHOOSE(CONTROL!$C$38, 0.0256, 0)</f>
        <v>74.595299999999995</v>
      </c>
      <c r="G969" s="10">
        <f>68.9858 * CHOOSE(CONTROL!$C$15, $E$9, 100%, $G$9) + CHOOSE(CONTROL!$C$38, 0.0347, 0)</f>
        <v>69.020499999999998</v>
      </c>
      <c r="H969" s="10">
        <f>68.9858 * CHOOSE(CONTROL!$C$15, $E$9, 100%, $G$9) + CHOOSE(CONTROL!$C$38, 0.0347, 0)</f>
        <v>69.020499999999998</v>
      </c>
      <c r="I969" s="10">
        <f>68.9874 * CHOOSE(CONTROL!$C$15, $E$9, 100%, $G$9) + CHOOSE(CONTROL!$C$38, 0.0347, 0)</f>
        <v>69.022099999999995</v>
      </c>
      <c r="J969" s="26">
        <f>467.1944</f>
        <v>467.19439999999997</v>
      </c>
    </row>
    <row r="970" spans="1:10" ht="15.75" x14ac:dyDescent="0.25">
      <c r="A970" s="13">
        <v>70828</v>
      </c>
      <c r="B970" s="10">
        <f>74.9194 * CHOOSE(CONTROL!$C$15, $E$9, 100%, $G$9) + CHOOSE(CONTROL!$C$38, 0.0256, 0)</f>
        <v>74.944999999999993</v>
      </c>
      <c r="C970" s="10">
        <f>69.1808 * CHOOSE(CONTROL!$C$15, $E$9, 100%, $G$9) + CHOOSE(CONTROL!$C$38, 0.0347, 0)</f>
        <v>69.215500000000006</v>
      </c>
      <c r="D970" s="10">
        <f>69.173 * CHOOSE(CONTROL!$C$15, $E$9, 100%, $G$9) + CHOOSE(CONTROL!$C$38, 0.0347, 0)</f>
        <v>69.207700000000003</v>
      </c>
      <c r="E970" s="28">
        <f>74.7631 * CHOOSE(CONTROL!$C$15, $E$9, 100%, $G$9) + CHOOSE(CONTROL!$C$38, 0.0347, 0)</f>
        <v>74.797799999999995</v>
      </c>
      <c r="F970" s="27">
        <f>74.7631 * CHOOSE(CONTROL!$C$15, $E$9, 100%, $G$9) + CHOOSE(CONTROL!$C$38, 0.0256, 0)</f>
        <v>74.788699999999992</v>
      </c>
      <c r="G970" s="10">
        <f>69.1793 * CHOOSE(CONTROL!$C$15, $E$9, 100%, $G$9) + CHOOSE(CONTROL!$C$38, 0.0347, 0)</f>
        <v>69.213999999999999</v>
      </c>
      <c r="H970" s="10">
        <f>69.1793 * CHOOSE(CONTROL!$C$15, $E$9, 100%, $G$9) + CHOOSE(CONTROL!$C$38, 0.0347, 0)</f>
        <v>69.213999999999999</v>
      </c>
      <c r="I970" s="10">
        <f>69.1808 * CHOOSE(CONTROL!$C$15, $E$9, 100%, $G$9) + CHOOSE(CONTROL!$C$38, 0.0347, 0)</f>
        <v>69.215500000000006</v>
      </c>
      <c r="J970" s="26">
        <f>463.8655</f>
        <v>463.8655</v>
      </c>
    </row>
    <row r="971" spans="1:10" ht="15.75" x14ac:dyDescent="0.25">
      <c r="A971" s="13">
        <v>70859</v>
      </c>
      <c r="B971" s="10">
        <f>75.5155 * CHOOSE(CONTROL!$C$15, $E$9, 100%, $G$9) + CHOOSE(CONTROL!$C$38, 0.0256, 0)</f>
        <v>75.5411</v>
      </c>
      <c r="C971" s="10">
        <f>69.7769 * CHOOSE(CONTROL!$C$15, $E$9, 100%, $G$9) + CHOOSE(CONTROL!$C$38, 0.0347, 0)</f>
        <v>69.811599999999999</v>
      </c>
      <c r="D971" s="10">
        <f>69.7691 * CHOOSE(CONTROL!$C$15, $E$9, 100%, $G$9) + CHOOSE(CONTROL!$C$38, 0.0347, 0)</f>
        <v>69.803799999999995</v>
      </c>
      <c r="E971" s="28">
        <f>75.3592 * CHOOSE(CONTROL!$C$15, $E$9, 100%, $G$9) + CHOOSE(CONTROL!$C$38, 0.0347, 0)</f>
        <v>75.393900000000002</v>
      </c>
      <c r="F971" s="27">
        <f>75.3592 * CHOOSE(CONTROL!$C$15, $E$9, 100%, $G$9) + CHOOSE(CONTROL!$C$38, 0.0256, 0)</f>
        <v>75.384799999999998</v>
      </c>
      <c r="G971" s="10">
        <f>69.7753 * CHOOSE(CONTROL!$C$15, $E$9, 100%, $G$9) + CHOOSE(CONTROL!$C$38, 0.0347, 0)</f>
        <v>69.81</v>
      </c>
      <c r="H971" s="10">
        <f>69.7753 * CHOOSE(CONTROL!$C$15, $E$9, 100%, $G$9) + CHOOSE(CONTROL!$C$38, 0.0347, 0)</f>
        <v>69.81</v>
      </c>
      <c r="I971" s="10">
        <f>69.7769 * CHOOSE(CONTROL!$C$15, $E$9, 100%, $G$9) + CHOOSE(CONTROL!$C$38, 0.0347, 0)</f>
        <v>69.811599999999999</v>
      </c>
      <c r="J971" s="26">
        <f>450.1002</f>
        <v>450.10019999999997</v>
      </c>
    </row>
    <row r="972" spans="1:10" ht="15.75" x14ac:dyDescent="0.25">
      <c r="A972" s="13">
        <v>70890</v>
      </c>
      <c r="B972" s="10">
        <f>77.2996 * CHOOSE(CONTROL!$C$15, $E$9, 100%, $G$9) + CHOOSE(CONTROL!$C$38, 0.0256, 0)</f>
        <v>77.325199999999995</v>
      </c>
      <c r="C972" s="10">
        <f>71.4625 * CHOOSE(CONTROL!$C$15, $E$9, 100%, $G$9) + CHOOSE(CONTROL!$C$38, 0.0347, 0)</f>
        <v>71.497200000000007</v>
      </c>
      <c r="D972" s="10">
        <f>71.4546 * CHOOSE(CONTROL!$C$15, $E$9, 100%, $G$9) + CHOOSE(CONTROL!$C$38, 0.0347, 0)</f>
        <v>71.4893</v>
      </c>
      <c r="E972" s="28">
        <f>77.1434 * CHOOSE(CONTROL!$C$15, $E$9, 100%, $G$9) + CHOOSE(CONTROL!$C$38, 0.0347, 0)</f>
        <v>77.178100000000001</v>
      </c>
      <c r="F972" s="27">
        <f>77.1434 * CHOOSE(CONTROL!$C$15, $E$9, 100%, $G$9) + CHOOSE(CONTROL!$C$38, 0.0256, 0)</f>
        <v>77.168999999999997</v>
      </c>
      <c r="G972" s="10">
        <f>71.4609 * CHOOSE(CONTROL!$C$15, $E$9, 100%, $G$9) + CHOOSE(CONTROL!$C$38, 0.0347, 0)</f>
        <v>71.495599999999996</v>
      </c>
      <c r="H972" s="10">
        <f>71.4609 * CHOOSE(CONTROL!$C$15, $E$9, 100%, $G$9) + CHOOSE(CONTROL!$C$38, 0.0347, 0)</f>
        <v>71.495599999999996</v>
      </c>
      <c r="I972" s="10">
        <f>71.4625 * CHOOSE(CONTROL!$C$15, $E$9, 100%, $G$9) + CHOOSE(CONTROL!$C$38, 0.0347, 0)</f>
        <v>71.497200000000007</v>
      </c>
      <c r="J972" s="26">
        <f>447.0853</f>
        <v>447.08530000000002</v>
      </c>
    </row>
    <row r="973" spans="1:10" ht="15.75" x14ac:dyDescent="0.25">
      <c r="A973" s="13">
        <v>70918</v>
      </c>
      <c r="B973" s="10">
        <f>77.5204 * CHOOSE(CONTROL!$C$15, $E$9, 100%, $G$9) + CHOOSE(CONTROL!$C$38, 0.0256, 0)</f>
        <v>77.545999999999992</v>
      </c>
      <c r="C973" s="10">
        <f>71.6832 * CHOOSE(CONTROL!$C$15, $E$9, 100%, $G$9) + CHOOSE(CONTROL!$C$38, 0.0347, 0)</f>
        <v>71.7179</v>
      </c>
      <c r="D973" s="10">
        <f>71.6754 * CHOOSE(CONTROL!$C$15, $E$9, 100%, $G$9) + CHOOSE(CONTROL!$C$38, 0.0347, 0)</f>
        <v>71.710099999999997</v>
      </c>
      <c r="E973" s="28">
        <f>77.3642 * CHOOSE(CONTROL!$C$15, $E$9, 100%, $G$9) + CHOOSE(CONTROL!$C$38, 0.0347, 0)</f>
        <v>77.398899999999998</v>
      </c>
      <c r="F973" s="27">
        <f>77.3642 * CHOOSE(CONTROL!$C$15, $E$9, 100%, $G$9) + CHOOSE(CONTROL!$C$38, 0.0256, 0)</f>
        <v>77.389799999999994</v>
      </c>
      <c r="G973" s="10">
        <f>71.6817 * CHOOSE(CONTROL!$C$15, $E$9, 100%, $G$9) + CHOOSE(CONTROL!$C$38, 0.0347, 0)</f>
        <v>71.716400000000007</v>
      </c>
      <c r="H973" s="10">
        <f>71.6817 * CHOOSE(CONTROL!$C$15, $E$9, 100%, $G$9) + CHOOSE(CONTROL!$C$38, 0.0347, 0)</f>
        <v>71.716400000000007</v>
      </c>
      <c r="I973" s="10">
        <f>71.6832 * CHOOSE(CONTROL!$C$15, $E$9, 100%, $G$9) + CHOOSE(CONTROL!$C$38, 0.0347, 0)</f>
        <v>71.7179</v>
      </c>
      <c r="J973" s="26">
        <f>445.8425</f>
        <v>445.84249999999997</v>
      </c>
    </row>
    <row r="974" spans="1:10" ht="15.75" x14ac:dyDescent="0.25">
      <c r="A974" s="13">
        <v>70949</v>
      </c>
      <c r="B974" s="10">
        <f>77.0094 * CHOOSE(CONTROL!$C$15, $E$9, 100%, $G$9) + CHOOSE(CONTROL!$C$38, 0.0256, 0)</f>
        <v>77.034999999999997</v>
      </c>
      <c r="C974" s="10">
        <f>71.1722 * CHOOSE(CONTROL!$C$15, $E$9, 100%, $G$9) + CHOOSE(CONTROL!$C$38, 0.0347, 0)</f>
        <v>71.206900000000005</v>
      </c>
      <c r="D974" s="10">
        <f>71.1644 * CHOOSE(CONTROL!$C$15, $E$9, 100%, $G$9) + CHOOSE(CONTROL!$C$38, 0.0347, 0)</f>
        <v>71.199100000000001</v>
      </c>
      <c r="E974" s="28">
        <f>76.8531 * CHOOSE(CONTROL!$C$15, $E$9, 100%, $G$9) + CHOOSE(CONTROL!$C$38, 0.0347, 0)</f>
        <v>76.887799999999999</v>
      </c>
      <c r="F974" s="27">
        <f>76.8531 * CHOOSE(CONTROL!$C$15, $E$9, 100%, $G$9) + CHOOSE(CONTROL!$C$38, 0.0256, 0)</f>
        <v>76.878699999999995</v>
      </c>
      <c r="G974" s="10">
        <f>71.1706 * CHOOSE(CONTROL!$C$15, $E$9, 100%, $G$9) + CHOOSE(CONTROL!$C$38, 0.0347, 0)</f>
        <v>71.205299999999994</v>
      </c>
      <c r="H974" s="10">
        <f>71.1706 * CHOOSE(CONTROL!$C$15, $E$9, 100%, $G$9) + CHOOSE(CONTROL!$C$38, 0.0347, 0)</f>
        <v>71.205299999999994</v>
      </c>
      <c r="I974" s="10">
        <f>71.1722 * CHOOSE(CONTROL!$C$15, $E$9, 100%, $G$9) + CHOOSE(CONTROL!$C$38, 0.0347, 0)</f>
        <v>71.206900000000005</v>
      </c>
      <c r="J974" s="26">
        <f>469.341</f>
        <v>469.34100000000001</v>
      </c>
    </row>
    <row r="975" spans="1:10" ht="15.75" x14ac:dyDescent="0.25">
      <c r="A975" s="13">
        <v>70979</v>
      </c>
      <c r="B975" s="10">
        <f>76.5142 * CHOOSE(CONTROL!$C$15, $E$9, 100%, $G$9) + CHOOSE(CONTROL!$C$38, 0.0256, 0)</f>
        <v>76.5398</v>
      </c>
      <c r="C975" s="10">
        <f>70.677 * CHOOSE(CONTROL!$C$15, $E$9, 100%, $G$9) + CHOOSE(CONTROL!$C$38, 0.0347, 0)</f>
        <v>70.711700000000008</v>
      </c>
      <c r="D975" s="10">
        <f>70.6692 * CHOOSE(CONTROL!$C$15, $E$9, 100%, $G$9) + CHOOSE(CONTROL!$C$38, 0.0347, 0)</f>
        <v>70.703900000000004</v>
      </c>
      <c r="E975" s="28">
        <f>76.3579 * CHOOSE(CONTROL!$C$15, $E$9, 100%, $G$9) + CHOOSE(CONTROL!$C$38, 0.0347, 0)</f>
        <v>76.392600000000002</v>
      </c>
      <c r="F975" s="27">
        <f>76.3579 * CHOOSE(CONTROL!$C$15, $E$9, 100%, $G$9) + CHOOSE(CONTROL!$C$38, 0.0256, 0)</f>
        <v>76.383499999999998</v>
      </c>
      <c r="G975" s="10">
        <f>70.6754 * CHOOSE(CONTROL!$C$15, $E$9, 100%, $G$9) + CHOOSE(CONTROL!$C$38, 0.0347, 0)</f>
        <v>70.710099999999997</v>
      </c>
      <c r="H975" s="10">
        <f>70.6754 * CHOOSE(CONTROL!$C$15, $E$9, 100%, $G$9) + CHOOSE(CONTROL!$C$38, 0.0347, 0)</f>
        <v>70.710099999999997</v>
      </c>
      <c r="I975" s="10">
        <f>70.677 * CHOOSE(CONTROL!$C$15, $E$9, 100%, $G$9) + CHOOSE(CONTROL!$C$38, 0.0347, 0)</f>
        <v>70.711700000000008</v>
      </c>
      <c r="J975" s="26">
        <f>499.8129</f>
        <v>499.81290000000001</v>
      </c>
    </row>
    <row r="976" spans="1:10" ht="15.75" x14ac:dyDescent="0.25">
      <c r="A976" s="13">
        <v>71010</v>
      </c>
      <c r="B976" s="10">
        <f>75.9981 * CHOOSE(CONTROL!$C$15, $E$9, 100%, $G$9) + CHOOSE(CONTROL!$C$38, 0.0256, 0)</f>
        <v>76.023699999999991</v>
      </c>
      <c r="C976" s="10">
        <f>70.1609 * CHOOSE(CONTROL!$C$15, $E$9, 100%, $G$9) + CHOOSE(CONTROL!$C$38, 0.0347, 0)</f>
        <v>70.195599999999999</v>
      </c>
      <c r="D976" s="10">
        <f>70.1531 * CHOOSE(CONTROL!$C$15, $E$9, 100%, $G$9) + CHOOSE(CONTROL!$C$38, 0.0347, 0)</f>
        <v>70.187799999999996</v>
      </c>
      <c r="E976" s="28">
        <f>75.8418 * CHOOSE(CONTROL!$C$15, $E$9, 100%, $G$9) + CHOOSE(CONTROL!$C$38, 0.0347, 0)</f>
        <v>75.876500000000007</v>
      </c>
      <c r="F976" s="27">
        <f>75.8418 * CHOOSE(CONTROL!$C$15, $E$9, 100%, $G$9) + CHOOSE(CONTROL!$C$38, 0.0256, 0)</f>
        <v>75.867400000000004</v>
      </c>
      <c r="G976" s="10">
        <f>70.1593 * CHOOSE(CONTROL!$C$15, $E$9, 100%, $G$9) + CHOOSE(CONTROL!$C$38, 0.0347, 0)</f>
        <v>70.194000000000003</v>
      </c>
      <c r="H976" s="10">
        <f>70.1593 * CHOOSE(CONTROL!$C$15, $E$9, 100%, $G$9) + CHOOSE(CONTROL!$C$38, 0.0347, 0)</f>
        <v>70.194000000000003</v>
      </c>
      <c r="I976" s="10">
        <f>70.1609 * CHOOSE(CONTROL!$C$15, $E$9, 100%, $G$9) + CHOOSE(CONTROL!$C$38, 0.0347, 0)</f>
        <v>70.195599999999999</v>
      </c>
      <c r="J976" s="26">
        <f>516.5856</f>
        <v>516.5856</v>
      </c>
    </row>
    <row r="977" spans="1:10" ht="15.75" x14ac:dyDescent="0.25">
      <c r="A977" s="13">
        <v>71040</v>
      </c>
      <c r="B977" s="10">
        <f>75.6363 * CHOOSE(CONTROL!$C$15, $E$9, 100%, $G$9) + CHOOSE(CONTROL!$C$38, 0.0256, 0)</f>
        <v>75.661900000000003</v>
      </c>
      <c r="C977" s="10">
        <f>69.7991 * CHOOSE(CONTROL!$C$15, $E$9, 100%, $G$9) + CHOOSE(CONTROL!$C$38, 0.0347, 0)</f>
        <v>69.833799999999997</v>
      </c>
      <c r="D977" s="10">
        <f>69.7913 * CHOOSE(CONTROL!$C$15, $E$9, 100%, $G$9) + CHOOSE(CONTROL!$C$38, 0.0347, 0)</f>
        <v>69.826000000000008</v>
      </c>
      <c r="E977" s="28">
        <f>75.48 * CHOOSE(CONTROL!$C$15, $E$9, 100%, $G$9) + CHOOSE(CONTROL!$C$38, 0.0347, 0)</f>
        <v>75.514700000000005</v>
      </c>
      <c r="F977" s="27">
        <f>75.48 * CHOOSE(CONTROL!$C$15, $E$9, 100%, $G$9) + CHOOSE(CONTROL!$C$38, 0.0256, 0)</f>
        <v>75.505600000000001</v>
      </c>
      <c r="G977" s="10">
        <f>69.7975 * CHOOSE(CONTROL!$C$15, $E$9, 100%, $G$9) + CHOOSE(CONTROL!$C$38, 0.0347, 0)</f>
        <v>69.8322</v>
      </c>
      <c r="H977" s="10">
        <f>69.7975 * CHOOSE(CONTROL!$C$15, $E$9, 100%, $G$9) + CHOOSE(CONTROL!$C$38, 0.0347, 0)</f>
        <v>69.8322</v>
      </c>
      <c r="I977" s="10">
        <f>69.7991 * CHOOSE(CONTROL!$C$15, $E$9, 100%, $G$9) + CHOOSE(CONTROL!$C$38, 0.0347, 0)</f>
        <v>69.833799999999997</v>
      </c>
      <c r="J977" s="26">
        <f>524.0291</f>
        <v>524.02909999999997</v>
      </c>
    </row>
    <row r="978" spans="1:10" ht="15.75" x14ac:dyDescent="0.25">
      <c r="A978" s="13">
        <v>71071</v>
      </c>
      <c r="B978" s="10">
        <f>75.4298 * CHOOSE(CONTROL!$C$15, $E$9, 100%, $G$9) + CHOOSE(CONTROL!$C$38, 0.0256, 0)</f>
        <v>75.455399999999997</v>
      </c>
      <c r="C978" s="10">
        <f>69.5926 * CHOOSE(CONTROL!$C$15, $E$9, 100%, $G$9) + CHOOSE(CONTROL!$C$38, 0.0347, 0)</f>
        <v>69.627300000000005</v>
      </c>
      <c r="D978" s="10">
        <f>69.5848 * CHOOSE(CONTROL!$C$15, $E$9, 100%, $G$9) + CHOOSE(CONTROL!$C$38, 0.0347, 0)</f>
        <v>69.619500000000002</v>
      </c>
      <c r="E978" s="28">
        <f>75.2735 * CHOOSE(CONTROL!$C$15, $E$9, 100%, $G$9) + CHOOSE(CONTROL!$C$38, 0.0347, 0)</f>
        <v>75.308199999999999</v>
      </c>
      <c r="F978" s="27">
        <f>75.2735 * CHOOSE(CONTROL!$C$15, $E$9, 100%, $G$9) + CHOOSE(CONTROL!$C$38, 0.0256, 0)</f>
        <v>75.299099999999996</v>
      </c>
      <c r="G978" s="10">
        <f>69.591 * CHOOSE(CONTROL!$C$15, $E$9, 100%, $G$9) + CHOOSE(CONTROL!$C$38, 0.0347, 0)</f>
        <v>69.625699999999995</v>
      </c>
      <c r="H978" s="10">
        <f>69.591 * CHOOSE(CONTROL!$C$15, $E$9, 100%, $G$9) + CHOOSE(CONTROL!$C$38, 0.0347, 0)</f>
        <v>69.625699999999995</v>
      </c>
      <c r="I978" s="10">
        <f>69.5926 * CHOOSE(CONTROL!$C$15, $E$9, 100%, $G$9) + CHOOSE(CONTROL!$C$38, 0.0347, 0)</f>
        <v>69.627300000000005</v>
      </c>
      <c r="J978" s="26">
        <f>521.5784</f>
        <v>521.57839999999999</v>
      </c>
    </row>
    <row r="979" spans="1:10" ht="15.75" x14ac:dyDescent="0.25">
      <c r="A979" s="13">
        <v>71102</v>
      </c>
      <c r="B979" s="10">
        <f>75.5317 * CHOOSE(CONTROL!$C$15, $E$9, 100%, $G$9) + CHOOSE(CONTROL!$C$38, 0.0256, 0)</f>
        <v>75.557299999999998</v>
      </c>
      <c r="C979" s="10">
        <f>69.6945 * CHOOSE(CONTROL!$C$15, $E$9, 100%, $G$9) + CHOOSE(CONTROL!$C$38, 0.0347, 0)</f>
        <v>69.729200000000006</v>
      </c>
      <c r="D979" s="10">
        <f>69.6867 * CHOOSE(CONTROL!$C$15, $E$9, 100%, $G$9) + CHOOSE(CONTROL!$C$38, 0.0347, 0)</f>
        <v>69.721400000000003</v>
      </c>
      <c r="E979" s="28">
        <f>75.3754 * CHOOSE(CONTROL!$C$15, $E$9, 100%, $G$9) + CHOOSE(CONTROL!$C$38, 0.0347, 0)</f>
        <v>75.4101</v>
      </c>
      <c r="F979" s="27">
        <f>75.3754 * CHOOSE(CONTROL!$C$15, $E$9, 100%, $G$9) + CHOOSE(CONTROL!$C$38, 0.0256, 0)</f>
        <v>75.400999999999996</v>
      </c>
      <c r="G979" s="10">
        <f>69.6929 * CHOOSE(CONTROL!$C$15, $E$9, 100%, $G$9) + CHOOSE(CONTROL!$C$38, 0.0347, 0)</f>
        <v>69.727599999999995</v>
      </c>
      <c r="H979" s="10">
        <f>69.6929 * CHOOSE(CONTROL!$C$15, $E$9, 100%, $G$9) + CHOOSE(CONTROL!$C$38, 0.0347, 0)</f>
        <v>69.727599999999995</v>
      </c>
      <c r="I979" s="10">
        <f>69.6945 * CHOOSE(CONTROL!$C$15, $E$9, 100%, $G$9) + CHOOSE(CONTROL!$C$38, 0.0347, 0)</f>
        <v>69.729200000000006</v>
      </c>
      <c r="J979" s="26">
        <f>509.4362</f>
        <v>509.43619999999999</v>
      </c>
    </row>
    <row r="980" spans="1:10" ht="15.75" x14ac:dyDescent="0.25">
      <c r="A980" s="13">
        <v>71132</v>
      </c>
      <c r="B980" s="10">
        <f>75.8085 * CHOOSE(CONTROL!$C$15, $E$9, 100%, $G$9) + CHOOSE(CONTROL!$C$38, 0.0256, 0)</f>
        <v>75.834099999999992</v>
      </c>
      <c r="C980" s="10">
        <f>69.9713 * CHOOSE(CONTROL!$C$15, $E$9, 100%, $G$9) + CHOOSE(CONTROL!$C$38, 0.0347, 0)</f>
        <v>70.006</v>
      </c>
      <c r="D980" s="10">
        <f>69.9635 * CHOOSE(CONTROL!$C$15, $E$9, 100%, $G$9) + CHOOSE(CONTROL!$C$38, 0.0347, 0)</f>
        <v>69.998199999999997</v>
      </c>
      <c r="E980" s="28">
        <f>75.6522 * CHOOSE(CONTROL!$C$15, $E$9, 100%, $G$9) + CHOOSE(CONTROL!$C$38, 0.0347, 0)</f>
        <v>75.686899999999994</v>
      </c>
      <c r="F980" s="27">
        <f>75.6522 * CHOOSE(CONTROL!$C$15, $E$9, 100%, $G$9) + CHOOSE(CONTROL!$C$38, 0.0256, 0)</f>
        <v>75.677799999999991</v>
      </c>
      <c r="G980" s="10">
        <f>69.9697 * CHOOSE(CONTROL!$C$15, $E$9, 100%, $G$9) + CHOOSE(CONTROL!$C$38, 0.0347, 0)</f>
        <v>70.004400000000004</v>
      </c>
      <c r="H980" s="10">
        <f>69.9697 * CHOOSE(CONTROL!$C$15, $E$9, 100%, $G$9) + CHOOSE(CONTROL!$C$38, 0.0347, 0)</f>
        <v>70.004400000000004</v>
      </c>
      <c r="I980" s="10">
        <f>69.9713 * CHOOSE(CONTROL!$C$15, $E$9, 100%, $G$9) + CHOOSE(CONTROL!$C$38, 0.0347, 0)</f>
        <v>70.006</v>
      </c>
      <c r="J980" s="26">
        <f>492.5034</f>
        <v>492.5034</v>
      </c>
    </row>
    <row r="981" spans="1:10" ht="15.75" x14ac:dyDescent="0.25">
      <c r="A981" s="13">
        <v>71163</v>
      </c>
      <c r="B981" s="10">
        <f>76.0403 * CHOOSE(CONTROL!$C$15, $E$9, 100%, $G$9) + CHOOSE(CONTROL!$C$38, 0.0256, 0)</f>
        <v>76.065899999999999</v>
      </c>
      <c r="C981" s="10">
        <f>70.2031 * CHOOSE(CONTROL!$C$15, $E$9, 100%, $G$9) + CHOOSE(CONTROL!$C$38, 0.0347, 0)</f>
        <v>70.237800000000007</v>
      </c>
      <c r="D981" s="10">
        <f>70.1953 * CHOOSE(CONTROL!$C$15, $E$9, 100%, $G$9) + CHOOSE(CONTROL!$C$38, 0.0347, 0)</f>
        <v>70.23</v>
      </c>
      <c r="E981" s="28">
        <f>75.884 * CHOOSE(CONTROL!$C$15, $E$9, 100%, $G$9) + CHOOSE(CONTROL!$C$38, 0.0347, 0)</f>
        <v>75.918700000000001</v>
      </c>
      <c r="F981" s="27">
        <f>75.884 * CHOOSE(CONTROL!$C$15, $E$9, 100%, $G$9) + CHOOSE(CONTROL!$C$38, 0.0256, 0)</f>
        <v>75.909599999999998</v>
      </c>
      <c r="G981" s="10">
        <f>70.2015 * CHOOSE(CONTROL!$C$15, $E$9, 100%, $G$9) + CHOOSE(CONTROL!$C$38, 0.0347, 0)</f>
        <v>70.236199999999997</v>
      </c>
      <c r="H981" s="10">
        <f>70.2015 * CHOOSE(CONTROL!$C$15, $E$9, 100%, $G$9) + CHOOSE(CONTROL!$C$38, 0.0347, 0)</f>
        <v>70.236199999999997</v>
      </c>
      <c r="I981" s="10">
        <f>70.2031 * CHOOSE(CONTROL!$C$15, $E$9, 100%, $G$9) + CHOOSE(CONTROL!$C$38, 0.0347, 0)</f>
        <v>70.237800000000007</v>
      </c>
      <c r="J981" s="26">
        <f>475.4722</f>
        <v>475.47219999999999</v>
      </c>
    </row>
    <row r="982" spans="1:10" ht="15.75" x14ac:dyDescent="0.25">
      <c r="A982" s="13">
        <v>71193</v>
      </c>
      <c r="B982" s="10">
        <f>76.2337 * CHOOSE(CONTROL!$C$15, $E$9, 100%, $G$9) + CHOOSE(CONTROL!$C$38, 0.0256, 0)</f>
        <v>76.259299999999996</v>
      </c>
      <c r="C982" s="10">
        <f>70.3965 * CHOOSE(CONTROL!$C$15, $E$9, 100%, $G$9) + CHOOSE(CONTROL!$C$38, 0.0347, 0)</f>
        <v>70.431200000000004</v>
      </c>
      <c r="D982" s="10">
        <f>70.3887 * CHOOSE(CONTROL!$C$15, $E$9, 100%, $G$9) + CHOOSE(CONTROL!$C$38, 0.0347, 0)</f>
        <v>70.423400000000001</v>
      </c>
      <c r="E982" s="28">
        <f>76.0775 * CHOOSE(CONTROL!$C$15, $E$9, 100%, $G$9) + CHOOSE(CONTROL!$C$38, 0.0347, 0)</f>
        <v>76.112200000000001</v>
      </c>
      <c r="F982" s="27">
        <f>76.0775 * CHOOSE(CONTROL!$C$15, $E$9, 100%, $G$9) + CHOOSE(CONTROL!$C$38, 0.0256, 0)</f>
        <v>76.103099999999998</v>
      </c>
      <c r="G982" s="10">
        <f>70.395 * CHOOSE(CONTROL!$C$15, $E$9, 100%, $G$9) + CHOOSE(CONTROL!$C$38, 0.0347, 0)</f>
        <v>70.429699999999997</v>
      </c>
      <c r="H982" s="10">
        <f>70.395 * CHOOSE(CONTROL!$C$15, $E$9, 100%, $G$9) + CHOOSE(CONTROL!$C$38, 0.0347, 0)</f>
        <v>70.429699999999997</v>
      </c>
      <c r="I982" s="10">
        <f>70.3965 * CHOOSE(CONTROL!$C$15, $E$9, 100%, $G$9) + CHOOSE(CONTROL!$C$38, 0.0347, 0)</f>
        <v>70.431200000000004</v>
      </c>
      <c r="J982" s="26">
        <f>472.0843</f>
        <v>472.08429999999998</v>
      </c>
    </row>
    <row r="983" spans="1:10" ht="15.75" x14ac:dyDescent="0.25">
      <c r="A983" s="13">
        <v>71224</v>
      </c>
      <c r="B983" s="10">
        <f>76.8298 * CHOOSE(CONTROL!$C$15, $E$9, 100%, $G$9) + CHOOSE(CONTROL!$C$38, 0.0256, 0)</f>
        <v>76.855400000000003</v>
      </c>
      <c r="C983" s="10">
        <f>70.9926 * CHOOSE(CONTROL!$C$15, $E$9, 100%, $G$9) + CHOOSE(CONTROL!$C$38, 0.0347, 0)</f>
        <v>71.027299999999997</v>
      </c>
      <c r="D983" s="10">
        <f>70.9848 * CHOOSE(CONTROL!$C$15, $E$9, 100%, $G$9) + CHOOSE(CONTROL!$C$38, 0.0347, 0)</f>
        <v>71.019500000000008</v>
      </c>
      <c r="E983" s="28">
        <f>76.6736 * CHOOSE(CONTROL!$C$15, $E$9, 100%, $G$9) + CHOOSE(CONTROL!$C$38, 0.0347, 0)</f>
        <v>76.708299999999994</v>
      </c>
      <c r="F983" s="27">
        <f>76.6736 * CHOOSE(CONTROL!$C$15, $E$9, 100%, $G$9) + CHOOSE(CONTROL!$C$38, 0.0256, 0)</f>
        <v>76.69919999999999</v>
      </c>
      <c r="G983" s="10">
        <f>70.9911 * CHOOSE(CONTROL!$C$15, $E$9, 100%, $G$9) + CHOOSE(CONTROL!$C$38, 0.0347, 0)</f>
        <v>71.025800000000004</v>
      </c>
      <c r="H983" s="10">
        <f>70.9911 * CHOOSE(CONTROL!$C$15, $E$9, 100%, $G$9) + CHOOSE(CONTROL!$C$38, 0.0347, 0)</f>
        <v>71.025800000000004</v>
      </c>
      <c r="I983" s="10">
        <f>70.9926 * CHOOSE(CONTROL!$C$15, $E$9, 100%, $G$9) + CHOOSE(CONTROL!$C$38, 0.0347, 0)</f>
        <v>71.027299999999997</v>
      </c>
      <c r="J983" s="26">
        <f>458.0752</f>
        <v>458.0752</v>
      </c>
    </row>
    <row r="984" spans="1:10" ht="15.75" x14ac:dyDescent="0.25">
      <c r="A984" s="13">
        <v>71255</v>
      </c>
      <c r="B984" s="10">
        <f>78.6372 * CHOOSE(CONTROL!$C$15, $E$9, 100%, $G$9) + CHOOSE(CONTROL!$C$38, 0.0256, 0)</f>
        <v>78.662800000000004</v>
      </c>
      <c r="C984" s="10">
        <f>72.6996 * CHOOSE(CONTROL!$C$15, $E$9, 100%, $G$9) + CHOOSE(CONTROL!$C$38, 0.0347, 0)</f>
        <v>72.734300000000005</v>
      </c>
      <c r="D984" s="10">
        <f>72.6918 * CHOOSE(CONTROL!$C$15, $E$9, 100%, $G$9) + CHOOSE(CONTROL!$C$38, 0.0347, 0)</f>
        <v>72.726500000000001</v>
      </c>
      <c r="E984" s="28">
        <f>78.481 * CHOOSE(CONTROL!$C$15, $E$9, 100%, $G$9) + CHOOSE(CONTROL!$C$38, 0.0347, 0)</f>
        <v>78.515699999999995</v>
      </c>
      <c r="F984" s="27">
        <f>78.481 * CHOOSE(CONTROL!$C$15, $E$9, 100%, $G$9) + CHOOSE(CONTROL!$C$38, 0.0256, 0)</f>
        <v>78.506599999999992</v>
      </c>
      <c r="G984" s="10">
        <f>72.6981 * CHOOSE(CONTROL!$C$15, $E$9, 100%, $G$9) + CHOOSE(CONTROL!$C$38, 0.0347, 0)</f>
        <v>72.732799999999997</v>
      </c>
      <c r="H984" s="10">
        <f>72.6981 * CHOOSE(CONTROL!$C$15, $E$9, 100%, $G$9) + CHOOSE(CONTROL!$C$38, 0.0347, 0)</f>
        <v>72.732799999999997</v>
      </c>
      <c r="I984" s="10">
        <f>72.6996 * CHOOSE(CONTROL!$C$15, $E$9, 100%, $G$9) + CHOOSE(CONTROL!$C$38, 0.0347, 0)</f>
        <v>72.734300000000005</v>
      </c>
      <c r="J984" s="26">
        <f>455.0068</f>
        <v>455.0068</v>
      </c>
    </row>
    <row r="985" spans="1:10" ht="15.75" x14ac:dyDescent="0.25">
      <c r="A985" s="13">
        <v>71283</v>
      </c>
      <c r="B985" s="10">
        <f>78.858 * CHOOSE(CONTROL!$C$15, $E$9, 100%, $G$9) + CHOOSE(CONTROL!$C$38, 0.0256, 0)</f>
        <v>78.883600000000001</v>
      </c>
      <c r="C985" s="10">
        <f>72.9204 * CHOOSE(CONTROL!$C$15, $E$9, 100%, $G$9) + CHOOSE(CONTROL!$C$38, 0.0347, 0)</f>
        <v>72.955100000000002</v>
      </c>
      <c r="D985" s="10">
        <f>72.9126 * CHOOSE(CONTROL!$C$15, $E$9, 100%, $G$9) + CHOOSE(CONTROL!$C$38, 0.0347, 0)</f>
        <v>72.947299999999998</v>
      </c>
      <c r="E985" s="28">
        <f>78.7017 * CHOOSE(CONTROL!$C$15, $E$9, 100%, $G$9) + CHOOSE(CONTROL!$C$38, 0.0347, 0)</f>
        <v>78.736400000000003</v>
      </c>
      <c r="F985" s="27">
        <f>78.7017 * CHOOSE(CONTROL!$C$15, $E$9, 100%, $G$9) + CHOOSE(CONTROL!$C$38, 0.0256, 0)</f>
        <v>78.7273</v>
      </c>
      <c r="G985" s="10">
        <f>72.9188 * CHOOSE(CONTROL!$C$15, $E$9, 100%, $G$9) + CHOOSE(CONTROL!$C$38, 0.0347, 0)</f>
        <v>72.953500000000005</v>
      </c>
      <c r="H985" s="10">
        <f>72.9188 * CHOOSE(CONTROL!$C$15, $E$9, 100%, $G$9) + CHOOSE(CONTROL!$C$38, 0.0347, 0)</f>
        <v>72.953500000000005</v>
      </c>
      <c r="I985" s="10">
        <f>72.9204 * CHOOSE(CONTROL!$C$15, $E$9, 100%, $G$9) + CHOOSE(CONTROL!$C$38, 0.0347, 0)</f>
        <v>72.955100000000002</v>
      </c>
      <c r="J985" s="26">
        <f>453.742</f>
        <v>453.74200000000002</v>
      </c>
    </row>
    <row r="986" spans="1:10" ht="15.75" x14ac:dyDescent="0.25">
      <c r="A986" s="13">
        <v>71314</v>
      </c>
      <c r="B986" s="10">
        <f>78.3469 * CHOOSE(CONTROL!$C$15, $E$9, 100%, $G$9) + CHOOSE(CONTROL!$C$38, 0.0256, 0)</f>
        <v>78.372500000000002</v>
      </c>
      <c r="C986" s="10">
        <f>72.4094 * CHOOSE(CONTROL!$C$15, $E$9, 100%, $G$9) + CHOOSE(CONTROL!$C$38, 0.0347, 0)</f>
        <v>72.444100000000006</v>
      </c>
      <c r="D986" s="10">
        <f>72.4016 * CHOOSE(CONTROL!$C$15, $E$9, 100%, $G$9) + CHOOSE(CONTROL!$C$38, 0.0347, 0)</f>
        <v>72.436300000000003</v>
      </c>
      <c r="E986" s="28">
        <f>78.1907 * CHOOSE(CONTROL!$C$15, $E$9, 100%, $G$9) + CHOOSE(CONTROL!$C$38, 0.0347, 0)</f>
        <v>78.225400000000008</v>
      </c>
      <c r="F986" s="27">
        <f>78.1907 * CHOOSE(CONTROL!$C$15, $E$9, 100%, $G$9) + CHOOSE(CONTROL!$C$38, 0.0256, 0)</f>
        <v>78.216300000000004</v>
      </c>
      <c r="G986" s="10">
        <f>72.4078 * CHOOSE(CONTROL!$C$15, $E$9, 100%, $G$9) + CHOOSE(CONTROL!$C$38, 0.0347, 0)</f>
        <v>72.442499999999995</v>
      </c>
      <c r="H986" s="10">
        <f>72.4078 * CHOOSE(CONTROL!$C$15, $E$9, 100%, $G$9) + CHOOSE(CONTROL!$C$38, 0.0347, 0)</f>
        <v>72.442499999999995</v>
      </c>
      <c r="I986" s="10">
        <f>72.4094 * CHOOSE(CONTROL!$C$15, $E$9, 100%, $G$9) + CHOOSE(CONTROL!$C$38, 0.0347, 0)</f>
        <v>72.444100000000006</v>
      </c>
      <c r="J986" s="26">
        <f>477.6568</f>
        <v>477.65679999999998</v>
      </c>
    </row>
    <row r="987" spans="1:10" ht="15.75" x14ac:dyDescent="0.25">
      <c r="A987" s="13">
        <v>71344</v>
      </c>
      <c r="B987" s="10">
        <f>77.8518 * CHOOSE(CONTROL!$C$15, $E$9, 100%, $G$9) + CHOOSE(CONTROL!$C$38, 0.0256, 0)</f>
        <v>77.877399999999994</v>
      </c>
      <c r="C987" s="10">
        <f>71.9142 * CHOOSE(CONTROL!$C$15, $E$9, 100%, $G$9) + CHOOSE(CONTROL!$C$38, 0.0347, 0)</f>
        <v>71.948899999999995</v>
      </c>
      <c r="D987" s="10">
        <f>71.9064 * CHOOSE(CONTROL!$C$15, $E$9, 100%, $G$9) + CHOOSE(CONTROL!$C$38, 0.0347, 0)</f>
        <v>71.941100000000006</v>
      </c>
      <c r="E987" s="28">
        <f>77.6955 * CHOOSE(CONTROL!$C$15, $E$9, 100%, $G$9) + CHOOSE(CONTROL!$C$38, 0.0347, 0)</f>
        <v>77.730199999999996</v>
      </c>
      <c r="F987" s="27">
        <f>77.6955 * CHOOSE(CONTROL!$C$15, $E$9, 100%, $G$9) + CHOOSE(CONTROL!$C$38, 0.0256, 0)</f>
        <v>77.721099999999993</v>
      </c>
      <c r="G987" s="10">
        <f>71.9126 * CHOOSE(CONTROL!$C$15, $E$9, 100%, $G$9) + CHOOSE(CONTROL!$C$38, 0.0347, 0)</f>
        <v>71.947299999999998</v>
      </c>
      <c r="H987" s="10">
        <f>71.9126 * CHOOSE(CONTROL!$C$15, $E$9, 100%, $G$9) + CHOOSE(CONTROL!$C$38, 0.0347, 0)</f>
        <v>71.947299999999998</v>
      </c>
      <c r="I987" s="10">
        <f>71.9142 * CHOOSE(CONTROL!$C$15, $E$9, 100%, $G$9) + CHOOSE(CONTROL!$C$38, 0.0347, 0)</f>
        <v>71.948899999999995</v>
      </c>
      <c r="J987" s="26">
        <f>508.6687</f>
        <v>508.6687</v>
      </c>
    </row>
    <row r="988" spans="1:10" ht="15.75" x14ac:dyDescent="0.25">
      <c r="A988" s="13">
        <v>71375</v>
      </c>
      <c r="B988" s="10">
        <f>77.3356 * CHOOSE(CONTROL!$C$15, $E$9, 100%, $G$9) + CHOOSE(CONTROL!$C$38, 0.0256, 0)</f>
        <v>77.361199999999997</v>
      </c>
      <c r="C988" s="10">
        <f>71.3981 * CHOOSE(CONTROL!$C$15, $E$9, 100%, $G$9) + CHOOSE(CONTROL!$C$38, 0.0347, 0)</f>
        <v>71.4328</v>
      </c>
      <c r="D988" s="10">
        <f>71.3903 * CHOOSE(CONTROL!$C$15, $E$9, 100%, $G$9) + CHOOSE(CONTROL!$C$38, 0.0347, 0)</f>
        <v>71.424999999999997</v>
      </c>
      <c r="E988" s="28">
        <f>77.1794 * CHOOSE(CONTROL!$C$15, $E$9, 100%, $G$9) + CHOOSE(CONTROL!$C$38, 0.0347, 0)</f>
        <v>77.214100000000002</v>
      </c>
      <c r="F988" s="27">
        <f>77.1794 * CHOOSE(CONTROL!$C$15, $E$9, 100%, $G$9) + CHOOSE(CONTROL!$C$38, 0.0256, 0)</f>
        <v>77.204999999999998</v>
      </c>
      <c r="G988" s="10">
        <f>71.3965 * CHOOSE(CONTROL!$C$15, $E$9, 100%, $G$9) + CHOOSE(CONTROL!$C$38, 0.0347, 0)</f>
        <v>71.431200000000004</v>
      </c>
      <c r="H988" s="10">
        <f>71.3965 * CHOOSE(CONTROL!$C$15, $E$9, 100%, $G$9) + CHOOSE(CONTROL!$C$38, 0.0347, 0)</f>
        <v>71.431200000000004</v>
      </c>
      <c r="I988" s="10">
        <f>71.3981 * CHOOSE(CONTROL!$C$15, $E$9, 100%, $G$9) + CHOOSE(CONTROL!$C$38, 0.0347, 0)</f>
        <v>71.4328</v>
      </c>
      <c r="J988" s="26">
        <f>525.7386</f>
        <v>525.73860000000002</v>
      </c>
    </row>
    <row r="989" spans="1:10" ht="15.75" x14ac:dyDescent="0.25">
      <c r="A989" s="13">
        <v>71405</v>
      </c>
      <c r="B989" s="10">
        <f>76.9738 * CHOOSE(CONTROL!$C$15, $E$9, 100%, $G$9) + CHOOSE(CONTROL!$C$38, 0.0256, 0)</f>
        <v>76.999399999999994</v>
      </c>
      <c r="C989" s="10">
        <f>71.0362 * CHOOSE(CONTROL!$C$15, $E$9, 100%, $G$9) + CHOOSE(CONTROL!$C$38, 0.0347, 0)</f>
        <v>71.070899999999995</v>
      </c>
      <c r="D989" s="10">
        <f>71.0284 * CHOOSE(CONTROL!$C$15, $E$9, 100%, $G$9) + CHOOSE(CONTROL!$C$38, 0.0347, 0)</f>
        <v>71.063100000000006</v>
      </c>
      <c r="E989" s="28">
        <f>76.8176 * CHOOSE(CONTROL!$C$15, $E$9, 100%, $G$9) + CHOOSE(CONTROL!$C$38, 0.0347, 0)</f>
        <v>76.8523</v>
      </c>
      <c r="F989" s="27">
        <f>76.8176 * CHOOSE(CONTROL!$C$15, $E$9, 100%, $G$9) + CHOOSE(CONTROL!$C$38, 0.0256, 0)</f>
        <v>76.843199999999996</v>
      </c>
      <c r="G989" s="10">
        <f>71.0347 * CHOOSE(CONTROL!$C$15, $E$9, 100%, $G$9) + CHOOSE(CONTROL!$C$38, 0.0347, 0)</f>
        <v>71.069400000000002</v>
      </c>
      <c r="H989" s="10">
        <f>71.0347 * CHOOSE(CONTROL!$C$15, $E$9, 100%, $G$9) + CHOOSE(CONTROL!$C$38, 0.0347, 0)</f>
        <v>71.069400000000002</v>
      </c>
      <c r="I989" s="10">
        <f>71.0362 * CHOOSE(CONTROL!$C$15, $E$9, 100%, $G$9) + CHOOSE(CONTROL!$C$38, 0.0347, 0)</f>
        <v>71.070899999999995</v>
      </c>
      <c r="J989" s="26">
        <f>533.3139</f>
        <v>533.31389999999999</v>
      </c>
    </row>
    <row r="990" spans="1:10" ht="15.75" x14ac:dyDescent="0.25">
      <c r="A990" s="13">
        <v>71436</v>
      </c>
      <c r="B990" s="10">
        <f>76.7673 * CHOOSE(CONTROL!$C$15, $E$9, 100%, $G$9) + CHOOSE(CONTROL!$C$38, 0.0256, 0)</f>
        <v>76.792900000000003</v>
      </c>
      <c r="C990" s="10">
        <f>70.8298 * CHOOSE(CONTROL!$C$15, $E$9, 100%, $G$9) + CHOOSE(CONTROL!$C$38, 0.0347, 0)</f>
        <v>70.864500000000007</v>
      </c>
      <c r="D990" s="10">
        <f>70.8219 * CHOOSE(CONTROL!$C$15, $E$9, 100%, $G$9) + CHOOSE(CONTROL!$C$38, 0.0347, 0)</f>
        <v>70.8566</v>
      </c>
      <c r="E990" s="28">
        <f>76.6111 * CHOOSE(CONTROL!$C$15, $E$9, 100%, $G$9) + CHOOSE(CONTROL!$C$38, 0.0347, 0)</f>
        <v>76.645799999999994</v>
      </c>
      <c r="F990" s="27">
        <f>76.6111 * CHOOSE(CONTROL!$C$15, $E$9, 100%, $G$9) + CHOOSE(CONTROL!$C$38, 0.0256, 0)</f>
        <v>76.63669999999999</v>
      </c>
      <c r="G990" s="10">
        <f>70.8282 * CHOOSE(CONTROL!$C$15, $E$9, 100%, $G$9) + CHOOSE(CONTROL!$C$38, 0.0347, 0)</f>
        <v>70.862899999999996</v>
      </c>
      <c r="H990" s="10">
        <f>70.8282 * CHOOSE(CONTROL!$C$15, $E$9, 100%, $G$9) + CHOOSE(CONTROL!$C$38, 0.0347, 0)</f>
        <v>70.862899999999996</v>
      </c>
      <c r="I990" s="10">
        <f>70.8298 * CHOOSE(CONTROL!$C$15, $E$9, 100%, $G$9) + CHOOSE(CONTROL!$C$38, 0.0347, 0)</f>
        <v>70.864500000000007</v>
      </c>
      <c r="J990" s="26">
        <f>530.8197</f>
        <v>530.81970000000001</v>
      </c>
    </row>
    <row r="991" spans="1:10" ht="15.75" x14ac:dyDescent="0.25">
      <c r="A991" s="13">
        <v>71467</v>
      </c>
      <c r="B991" s="10">
        <f>76.8692 * CHOOSE(CONTROL!$C$15, $E$9, 100%, $G$9) + CHOOSE(CONTROL!$C$38, 0.0256, 0)</f>
        <v>76.894800000000004</v>
      </c>
      <c r="C991" s="10">
        <f>70.9317 * CHOOSE(CONTROL!$C$15, $E$9, 100%, $G$9) + CHOOSE(CONTROL!$C$38, 0.0347, 0)</f>
        <v>70.966400000000007</v>
      </c>
      <c r="D991" s="10">
        <f>70.9239 * CHOOSE(CONTROL!$C$15, $E$9, 100%, $G$9) + CHOOSE(CONTROL!$C$38, 0.0347, 0)</f>
        <v>70.958600000000004</v>
      </c>
      <c r="E991" s="28">
        <f>76.713 * CHOOSE(CONTROL!$C$15, $E$9, 100%, $G$9) + CHOOSE(CONTROL!$C$38, 0.0347, 0)</f>
        <v>76.747699999999995</v>
      </c>
      <c r="F991" s="27">
        <f>76.713 * CHOOSE(CONTROL!$C$15, $E$9, 100%, $G$9) + CHOOSE(CONTROL!$C$38, 0.0256, 0)</f>
        <v>76.738599999999991</v>
      </c>
      <c r="G991" s="10">
        <f>70.9301 * CHOOSE(CONTROL!$C$15, $E$9, 100%, $G$9) + CHOOSE(CONTROL!$C$38, 0.0347, 0)</f>
        <v>70.964799999999997</v>
      </c>
      <c r="H991" s="10">
        <f>70.9301 * CHOOSE(CONTROL!$C$15, $E$9, 100%, $G$9) + CHOOSE(CONTROL!$C$38, 0.0347, 0)</f>
        <v>70.964799999999997</v>
      </c>
      <c r="I991" s="10">
        <f>70.9317 * CHOOSE(CONTROL!$C$15, $E$9, 100%, $G$9) + CHOOSE(CONTROL!$C$38, 0.0347, 0)</f>
        <v>70.966400000000007</v>
      </c>
      <c r="J991" s="26">
        <f>518.4625</f>
        <v>518.46249999999998</v>
      </c>
    </row>
    <row r="992" spans="1:10" ht="15.75" x14ac:dyDescent="0.25">
      <c r="A992" s="13">
        <v>71497</v>
      </c>
      <c r="B992" s="10">
        <f>77.146 * CHOOSE(CONTROL!$C$15, $E$9, 100%, $G$9) + CHOOSE(CONTROL!$C$38, 0.0256, 0)</f>
        <v>77.171599999999998</v>
      </c>
      <c r="C992" s="10">
        <f>71.2085 * CHOOSE(CONTROL!$C$15, $E$9, 100%, $G$9) + CHOOSE(CONTROL!$C$38, 0.0347, 0)</f>
        <v>71.243200000000002</v>
      </c>
      <c r="D992" s="10">
        <f>71.2007 * CHOOSE(CONTROL!$C$15, $E$9, 100%, $G$9) + CHOOSE(CONTROL!$C$38, 0.0347, 0)</f>
        <v>71.235399999999998</v>
      </c>
      <c r="E992" s="28">
        <f>76.9898 * CHOOSE(CONTROL!$C$15, $E$9, 100%, $G$9) + CHOOSE(CONTROL!$C$38, 0.0347, 0)</f>
        <v>77.024500000000003</v>
      </c>
      <c r="F992" s="27">
        <f>76.9898 * CHOOSE(CONTROL!$C$15, $E$9, 100%, $G$9) + CHOOSE(CONTROL!$C$38, 0.0256, 0)</f>
        <v>77.0154</v>
      </c>
      <c r="G992" s="10">
        <f>71.2069 * CHOOSE(CONTROL!$C$15, $E$9, 100%, $G$9) + CHOOSE(CONTROL!$C$38, 0.0347, 0)</f>
        <v>71.241600000000005</v>
      </c>
      <c r="H992" s="10">
        <f>71.2069 * CHOOSE(CONTROL!$C$15, $E$9, 100%, $G$9) + CHOOSE(CONTROL!$C$38, 0.0347, 0)</f>
        <v>71.241600000000005</v>
      </c>
      <c r="I992" s="10">
        <f>71.2085 * CHOOSE(CONTROL!$C$15, $E$9, 100%, $G$9) + CHOOSE(CONTROL!$C$38, 0.0347, 0)</f>
        <v>71.243200000000002</v>
      </c>
      <c r="J992" s="26">
        <f>501.2297</f>
        <v>501.22969999999998</v>
      </c>
    </row>
    <row r="993" spans="1:10" ht="15.75" x14ac:dyDescent="0.25">
      <c r="A993" s="13">
        <v>71528</v>
      </c>
      <c r="B993" s="10">
        <f>77.3778 * CHOOSE(CONTROL!$C$15, $E$9, 100%, $G$9) + CHOOSE(CONTROL!$C$38, 0.0256, 0)</f>
        <v>77.403399999999991</v>
      </c>
      <c r="C993" s="10">
        <f>71.4403 * CHOOSE(CONTROL!$C$15, $E$9, 100%, $G$9) + CHOOSE(CONTROL!$C$38, 0.0347, 0)</f>
        <v>71.474999999999994</v>
      </c>
      <c r="D993" s="10">
        <f>71.4325 * CHOOSE(CONTROL!$C$15, $E$9, 100%, $G$9) + CHOOSE(CONTROL!$C$38, 0.0347, 0)</f>
        <v>71.467200000000005</v>
      </c>
      <c r="E993" s="28">
        <f>77.2216 * CHOOSE(CONTROL!$C$15, $E$9, 100%, $G$9) + CHOOSE(CONTROL!$C$38, 0.0347, 0)</f>
        <v>77.256299999999996</v>
      </c>
      <c r="F993" s="27">
        <f>77.2216 * CHOOSE(CONTROL!$C$15, $E$9, 100%, $G$9) + CHOOSE(CONTROL!$C$38, 0.0256, 0)</f>
        <v>77.247199999999992</v>
      </c>
      <c r="G993" s="10">
        <f>71.4387 * CHOOSE(CONTROL!$C$15, $E$9, 100%, $G$9) + CHOOSE(CONTROL!$C$38, 0.0347, 0)</f>
        <v>71.473399999999998</v>
      </c>
      <c r="H993" s="10">
        <f>71.4387 * CHOOSE(CONTROL!$C$15, $E$9, 100%, $G$9) + CHOOSE(CONTROL!$C$38, 0.0347, 0)</f>
        <v>71.473399999999998</v>
      </c>
      <c r="I993" s="10">
        <f>71.4403 * CHOOSE(CONTROL!$C$15, $E$9, 100%, $G$9) + CHOOSE(CONTROL!$C$38, 0.0347, 0)</f>
        <v>71.474999999999994</v>
      </c>
      <c r="J993" s="26">
        <f>483.8966</f>
        <v>483.89659999999998</v>
      </c>
    </row>
    <row r="994" spans="1:10" ht="15.75" x14ac:dyDescent="0.25">
      <c r="A994" s="13">
        <v>71558</v>
      </c>
      <c r="B994" s="10">
        <f>77.5713 * CHOOSE(CONTROL!$C$15, $E$9, 100%, $G$9) + CHOOSE(CONTROL!$C$38, 0.0256, 0)</f>
        <v>77.596899999999991</v>
      </c>
      <c r="C994" s="10">
        <f>71.6337 * CHOOSE(CONTROL!$C$15, $E$9, 100%, $G$9) + CHOOSE(CONTROL!$C$38, 0.0347, 0)</f>
        <v>71.668400000000005</v>
      </c>
      <c r="D994" s="10">
        <f>71.6259 * CHOOSE(CONTROL!$C$15, $E$9, 100%, $G$9) + CHOOSE(CONTROL!$C$38, 0.0347, 0)</f>
        <v>71.660600000000002</v>
      </c>
      <c r="E994" s="28">
        <f>77.415 * CHOOSE(CONTROL!$C$15, $E$9, 100%, $G$9) + CHOOSE(CONTROL!$C$38, 0.0347, 0)</f>
        <v>77.449700000000007</v>
      </c>
      <c r="F994" s="27">
        <f>77.415 * CHOOSE(CONTROL!$C$15, $E$9, 100%, $G$9) + CHOOSE(CONTROL!$C$38, 0.0256, 0)</f>
        <v>77.440600000000003</v>
      </c>
      <c r="G994" s="10">
        <f>71.6322 * CHOOSE(CONTROL!$C$15, $E$9, 100%, $G$9) + CHOOSE(CONTROL!$C$38, 0.0347, 0)</f>
        <v>71.666899999999998</v>
      </c>
      <c r="H994" s="10">
        <f>71.6322 * CHOOSE(CONTROL!$C$15, $E$9, 100%, $G$9) + CHOOSE(CONTROL!$C$38, 0.0347, 0)</f>
        <v>71.666899999999998</v>
      </c>
      <c r="I994" s="10">
        <f>71.6337 * CHOOSE(CONTROL!$C$15, $E$9, 100%, $G$9) + CHOOSE(CONTROL!$C$38, 0.0347, 0)</f>
        <v>71.668400000000005</v>
      </c>
      <c r="J994" s="26">
        <f>480.4488</f>
        <v>480.44880000000001</v>
      </c>
    </row>
    <row r="995" spans="1:10" ht="15.75" x14ac:dyDescent="0.25">
      <c r="A995" s="13">
        <v>71589</v>
      </c>
      <c r="B995" s="10">
        <f>78.1674 * CHOOSE(CONTROL!$C$15, $E$9, 100%, $G$9) + CHOOSE(CONTROL!$C$38, 0.0256, 0)</f>
        <v>78.192999999999998</v>
      </c>
      <c r="C995" s="10">
        <f>72.2298 * CHOOSE(CONTROL!$C$15, $E$9, 100%, $G$9) + CHOOSE(CONTROL!$C$38, 0.0347, 0)</f>
        <v>72.264499999999998</v>
      </c>
      <c r="D995" s="10">
        <f>72.222 * CHOOSE(CONTROL!$C$15, $E$9, 100%, $G$9) + CHOOSE(CONTROL!$C$38, 0.0347, 0)</f>
        <v>72.256699999999995</v>
      </c>
      <c r="E995" s="28">
        <f>78.0111 * CHOOSE(CONTROL!$C$15, $E$9, 100%, $G$9) + CHOOSE(CONTROL!$C$38, 0.0347, 0)</f>
        <v>78.0458</v>
      </c>
      <c r="F995" s="27">
        <f>78.0111 * CHOOSE(CONTROL!$C$15, $E$9, 100%, $G$9) + CHOOSE(CONTROL!$C$38, 0.0256, 0)</f>
        <v>78.036699999999996</v>
      </c>
      <c r="G995" s="10">
        <f>72.2282 * CHOOSE(CONTROL!$C$15, $E$9, 100%, $G$9) + CHOOSE(CONTROL!$C$38, 0.0347, 0)</f>
        <v>72.262900000000002</v>
      </c>
      <c r="H995" s="10">
        <f>72.2282 * CHOOSE(CONTROL!$C$15, $E$9, 100%, $G$9) + CHOOSE(CONTROL!$C$38, 0.0347, 0)</f>
        <v>72.262900000000002</v>
      </c>
      <c r="I995" s="10">
        <f>72.2298 * CHOOSE(CONTROL!$C$15, $E$9, 100%, $G$9) + CHOOSE(CONTROL!$C$38, 0.0347, 0)</f>
        <v>72.264499999999998</v>
      </c>
      <c r="J995" s="26">
        <f>466.1914</f>
        <v>466.19139999999999</v>
      </c>
    </row>
    <row r="996" spans="1:10" ht="15.75" x14ac:dyDescent="0.25">
      <c r="A996" s="13">
        <v>71620</v>
      </c>
      <c r="B996" s="10">
        <f>79.9984 * CHOOSE(CONTROL!$C$15, $E$9, 100%, $G$9) + CHOOSE(CONTROL!$C$38, 0.0256, 0)</f>
        <v>80.024000000000001</v>
      </c>
      <c r="C996" s="10">
        <f>73.9587 * CHOOSE(CONTROL!$C$15, $E$9, 100%, $G$9) + CHOOSE(CONTROL!$C$38, 0.0347, 0)</f>
        <v>73.993399999999994</v>
      </c>
      <c r="D996" s="10">
        <f>73.9509 * CHOOSE(CONTROL!$C$15, $E$9, 100%, $G$9) + CHOOSE(CONTROL!$C$38, 0.0347, 0)</f>
        <v>73.985600000000005</v>
      </c>
      <c r="E996" s="28">
        <f>79.8421 * CHOOSE(CONTROL!$C$15, $E$9, 100%, $G$9) + CHOOSE(CONTROL!$C$38, 0.0347, 0)</f>
        <v>79.876800000000003</v>
      </c>
      <c r="F996" s="27">
        <f>79.8421 * CHOOSE(CONTROL!$C$15, $E$9, 100%, $G$9) + CHOOSE(CONTROL!$C$38, 0.0256, 0)</f>
        <v>79.867699999999999</v>
      </c>
      <c r="G996" s="10">
        <f>73.9571 * CHOOSE(CONTROL!$C$15, $E$9, 100%, $G$9) + CHOOSE(CONTROL!$C$38, 0.0347, 0)</f>
        <v>73.991799999999998</v>
      </c>
      <c r="H996" s="10">
        <f>73.9571 * CHOOSE(CONTROL!$C$15, $E$9, 100%, $G$9) + CHOOSE(CONTROL!$C$38, 0.0347, 0)</f>
        <v>73.991799999999998</v>
      </c>
      <c r="I996" s="10">
        <f>73.9587 * CHOOSE(CONTROL!$C$15, $E$9, 100%, $G$9) + CHOOSE(CONTROL!$C$38, 0.0347, 0)</f>
        <v>73.993399999999994</v>
      </c>
      <c r="J996" s="26">
        <f>463.0686</f>
        <v>463.0686</v>
      </c>
    </row>
    <row r="997" spans="1:10" ht="15.75" x14ac:dyDescent="0.25">
      <c r="A997" s="13">
        <v>71649</v>
      </c>
      <c r="B997" s="10">
        <f>80.2192 * CHOOSE(CONTROL!$C$15, $E$9, 100%, $G$9) + CHOOSE(CONTROL!$C$38, 0.0256, 0)</f>
        <v>80.244799999999998</v>
      </c>
      <c r="C997" s="10">
        <f>74.1794 * CHOOSE(CONTROL!$C$15, $E$9, 100%, $G$9) + CHOOSE(CONTROL!$C$38, 0.0347, 0)</f>
        <v>74.214100000000002</v>
      </c>
      <c r="D997" s="10">
        <f>74.1716 * CHOOSE(CONTROL!$C$15, $E$9, 100%, $G$9) + CHOOSE(CONTROL!$C$38, 0.0347, 0)</f>
        <v>74.206299999999999</v>
      </c>
      <c r="E997" s="28">
        <f>80.0629 * CHOOSE(CONTROL!$C$15, $E$9, 100%, $G$9) + CHOOSE(CONTROL!$C$38, 0.0347, 0)</f>
        <v>80.0976</v>
      </c>
      <c r="F997" s="27">
        <f>80.0629 * CHOOSE(CONTROL!$C$15, $E$9, 100%, $G$9) + CHOOSE(CONTROL!$C$38, 0.0256, 0)</f>
        <v>80.088499999999996</v>
      </c>
      <c r="G997" s="10">
        <f>74.1779 * CHOOSE(CONTROL!$C$15, $E$9, 100%, $G$9) + CHOOSE(CONTROL!$C$38, 0.0347, 0)</f>
        <v>74.212599999999995</v>
      </c>
      <c r="H997" s="10">
        <f>74.1779 * CHOOSE(CONTROL!$C$15, $E$9, 100%, $G$9) + CHOOSE(CONTROL!$C$38, 0.0347, 0)</f>
        <v>74.212599999999995</v>
      </c>
      <c r="I997" s="10">
        <f>74.1794 * CHOOSE(CONTROL!$C$15, $E$9, 100%, $G$9) + CHOOSE(CONTROL!$C$38, 0.0347, 0)</f>
        <v>74.214100000000002</v>
      </c>
      <c r="J997" s="26">
        <f>461.7815</f>
        <v>461.78149999999999</v>
      </c>
    </row>
    <row r="998" spans="1:10" ht="15.75" x14ac:dyDescent="0.25">
      <c r="A998" s="13">
        <v>71680</v>
      </c>
      <c r="B998" s="10">
        <f>79.7081 * CHOOSE(CONTROL!$C$15, $E$9, 100%, $G$9) + CHOOSE(CONTROL!$C$38, 0.0256, 0)</f>
        <v>79.733699999999999</v>
      </c>
      <c r="C998" s="10">
        <f>73.6684 * CHOOSE(CONTROL!$C$15, $E$9, 100%, $G$9) + CHOOSE(CONTROL!$C$38, 0.0347, 0)</f>
        <v>73.703100000000006</v>
      </c>
      <c r="D998" s="10">
        <f>73.6606 * CHOOSE(CONTROL!$C$15, $E$9, 100%, $G$9) + CHOOSE(CONTROL!$C$38, 0.0347, 0)</f>
        <v>73.695300000000003</v>
      </c>
      <c r="E998" s="28">
        <f>79.5519 * CHOOSE(CONTROL!$C$15, $E$9, 100%, $G$9) + CHOOSE(CONTROL!$C$38, 0.0347, 0)</f>
        <v>79.586600000000004</v>
      </c>
      <c r="F998" s="27">
        <f>79.5519 * CHOOSE(CONTROL!$C$15, $E$9, 100%, $G$9) + CHOOSE(CONTROL!$C$38, 0.0256, 0)</f>
        <v>79.577500000000001</v>
      </c>
      <c r="G998" s="10">
        <f>73.6669 * CHOOSE(CONTROL!$C$15, $E$9, 100%, $G$9) + CHOOSE(CONTROL!$C$38, 0.0347, 0)</f>
        <v>73.701599999999999</v>
      </c>
      <c r="H998" s="10">
        <f>73.6669 * CHOOSE(CONTROL!$C$15, $E$9, 100%, $G$9) + CHOOSE(CONTROL!$C$38, 0.0347, 0)</f>
        <v>73.701599999999999</v>
      </c>
      <c r="I998" s="10">
        <f>73.6684 * CHOOSE(CONTROL!$C$15, $E$9, 100%, $G$9) + CHOOSE(CONTROL!$C$38, 0.0347, 0)</f>
        <v>73.703100000000006</v>
      </c>
      <c r="J998" s="26">
        <f>486.12</f>
        <v>486.12</v>
      </c>
    </row>
    <row r="999" spans="1:10" ht="15.75" x14ac:dyDescent="0.25">
      <c r="A999" s="13">
        <v>71710</v>
      </c>
      <c r="B999" s="10">
        <f>79.2129 * CHOOSE(CONTROL!$C$15, $E$9, 100%, $G$9) + CHOOSE(CONTROL!$C$38, 0.0256, 0)</f>
        <v>79.238500000000002</v>
      </c>
      <c r="C999" s="10">
        <f>73.1732 * CHOOSE(CONTROL!$C$15, $E$9, 100%, $G$9) + CHOOSE(CONTROL!$C$38, 0.0347, 0)</f>
        <v>73.207899999999995</v>
      </c>
      <c r="D999" s="10">
        <f>73.1654 * CHOOSE(CONTROL!$C$15, $E$9, 100%, $G$9) + CHOOSE(CONTROL!$C$38, 0.0347, 0)</f>
        <v>73.200100000000006</v>
      </c>
      <c r="E999" s="28">
        <f>79.0567 * CHOOSE(CONTROL!$C$15, $E$9, 100%, $G$9) + CHOOSE(CONTROL!$C$38, 0.0347, 0)</f>
        <v>79.091400000000007</v>
      </c>
      <c r="F999" s="27">
        <f>79.0567 * CHOOSE(CONTROL!$C$15, $E$9, 100%, $G$9) + CHOOSE(CONTROL!$C$38, 0.0256, 0)</f>
        <v>79.082300000000004</v>
      </c>
      <c r="G999" s="10">
        <f>73.1717 * CHOOSE(CONTROL!$C$15, $E$9, 100%, $G$9) + CHOOSE(CONTROL!$C$38, 0.0347, 0)</f>
        <v>73.206400000000002</v>
      </c>
      <c r="H999" s="10">
        <f>73.1717 * CHOOSE(CONTROL!$C$15, $E$9, 100%, $G$9) + CHOOSE(CONTROL!$C$38, 0.0347, 0)</f>
        <v>73.206400000000002</v>
      </c>
      <c r="I999" s="10">
        <f>73.1732 * CHOOSE(CONTROL!$C$15, $E$9, 100%, $G$9) + CHOOSE(CONTROL!$C$38, 0.0347, 0)</f>
        <v>73.207899999999995</v>
      </c>
      <c r="J999" s="26">
        <f>517.6813</f>
        <v>517.68129999999996</v>
      </c>
    </row>
    <row r="1000" spans="1:10" ht="15.75" x14ac:dyDescent="0.25">
      <c r="A1000" s="13">
        <v>71741</v>
      </c>
      <c r="B1000" s="10">
        <f>78.6968 * CHOOSE(CONTROL!$C$15, $E$9, 100%, $G$9) + CHOOSE(CONTROL!$C$38, 0.0256, 0)</f>
        <v>78.722399999999993</v>
      </c>
      <c r="C1000" s="10">
        <f>72.6571 * CHOOSE(CONTROL!$C$15, $E$9, 100%, $G$9) + CHOOSE(CONTROL!$C$38, 0.0347, 0)</f>
        <v>72.691800000000001</v>
      </c>
      <c r="D1000" s="10">
        <f>72.6493 * CHOOSE(CONTROL!$C$15, $E$9, 100%, $G$9) + CHOOSE(CONTROL!$C$38, 0.0347, 0)</f>
        <v>72.683999999999997</v>
      </c>
      <c r="E1000" s="28">
        <f>78.5406 * CHOOSE(CONTROL!$C$15, $E$9, 100%, $G$9) + CHOOSE(CONTROL!$C$38, 0.0347, 0)</f>
        <v>78.575299999999999</v>
      </c>
      <c r="F1000" s="27">
        <f>78.5406 * CHOOSE(CONTROL!$C$15, $E$9, 100%, $G$9) + CHOOSE(CONTROL!$C$38, 0.0256, 0)</f>
        <v>78.566199999999995</v>
      </c>
      <c r="G1000" s="10">
        <f>72.6556 * CHOOSE(CONTROL!$C$15, $E$9, 100%, $G$9) + CHOOSE(CONTROL!$C$38, 0.0347, 0)</f>
        <v>72.690300000000008</v>
      </c>
      <c r="H1000" s="10">
        <f>72.6556 * CHOOSE(CONTROL!$C$15, $E$9, 100%, $G$9) + CHOOSE(CONTROL!$C$38, 0.0347, 0)</f>
        <v>72.690300000000008</v>
      </c>
      <c r="I1000" s="10">
        <f>72.6571 * CHOOSE(CONTROL!$C$15, $E$9, 100%, $G$9) + CHOOSE(CONTROL!$C$38, 0.0347, 0)</f>
        <v>72.691800000000001</v>
      </c>
      <c r="J1000" s="26">
        <f>535.0537</f>
        <v>535.05370000000005</v>
      </c>
    </row>
    <row r="1001" spans="1:10" ht="15.75" x14ac:dyDescent="0.25">
      <c r="A1001" s="13">
        <v>71771</v>
      </c>
      <c r="B1001" s="10">
        <f>78.335 * CHOOSE(CONTROL!$C$15, $E$9, 100%, $G$9) + CHOOSE(CONTROL!$C$38, 0.0256, 0)</f>
        <v>78.360599999999991</v>
      </c>
      <c r="C1001" s="10">
        <f>72.2953 * CHOOSE(CONTROL!$C$15, $E$9, 100%, $G$9) + CHOOSE(CONTROL!$C$38, 0.0347, 0)</f>
        <v>72.33</v>
      </c>
      <c r="D1001" s="10">
        <f>72.2875 * CHOOSE(CONTROL!$C$15, $E$9, 100%, $G$9) + CHOOSE(CONTROL!$C$38, 0.0347, 0)</f>
        <v>72.322199999999995</v>
      </c>
      <c r="E1001" s="28">
        <f>78.1787 * CHOOSE(CONTROL!$C$15, $E$9, 100%, $G$9) + CHOOSE(CONTROL!$C$38, 0.0347, 0)</f>
        <v>78.213400000000007</v>
      </c>
      <c r="F1001" s="27">
        <f>78.1787 * CHOOSE(CONTROL!$C$15, $E$9, 100%, $G$9) + CHOOSE(CONTROL!$C$38, 0.0256, 0)</f>
        <v>78.204300000000003</v>
      </c>
      <c r="G1001" s="10">
        <f>72.2937 * CHOOSE(CONTROL!$C$15, $E$9, 100%, $G$9) + CHOOSE(CONTROL!$C$38, 0.0347, 0)</f>
        <v>72.328400000000002</v>
      </c>
      <c r="H1001" s="10">
        <f>72.2937 * CHOOSE(CONTROL!$C$15, $E$9, 100%, $G$9) + CHOOSE(CONTROL!$C$38, 0.0347, 0)</f>
        <v>72.328400000000002</v>
      </c>
      <c r="I1001" s="10">
        <f>72.2953 * CHOOSE(CONTROL!$C$15, $E$9, 100%, $G$9) + CHOOSE(CONTROL!$C$38, 0.0347, 0)</f>
        <v>72.33</v>
      </c>
      <c r="J1001" s="26">
        <f>542.7632</f>
        <v>542.76319999999998</v>
      </c>
    </row>
    <row r="1002" spans="1:10" ht="15.75" x14ac:dyDescent="0.25">
      <c r="A1002" s="13">
        <v>71802</v>
      </c>
      <c r="B1002" s="10">
        <f>78.1285 * CHOOSE(CONTROL!$C$15, $E$9, 100%, $G$9) + CHOOSE(CONTROL!$C$38, 0.0256, 0)</f>
        <v>78.1541</v>
      </c>
      <c r="C1002" s="10">
        <f>72.0888 * CHOOSE(CONTROL!$C$15, $E$9, 100%, $G$9) + CHOOSE(CONTROL!$C$38, 0.0347, 0)</f>
        <v>72.123500000000007</v>
      </c>
      <c r="D1002" s="10">
        <f>72.081 * CHOOSE(CONTROL!$C$15, $E$9, 100%, $G$9) + CHOOSE(CONTROL!$C$38, 0.0347, 0)</f>
        <v>72.115700000000004</v>
      </c>
      <c r="E1002" s="28">
        <f>77.9723 * CHOOSE(CONTROL!$C$15, $E$9, 100%, $G$9) + CHOOSE(CONTROL!$C$38, 0.0347, 0)</f>
        <v>78.007000000000005</v>
      </c>
      <c r="F1002" s="27">
        <f>77.9723 * CHOOSE(CONTROL!$C$15, $E$9, 100%, $G$9) + CHOOSE(CONTROL!$C$38, 0.0256, 0)</f>
        <v>77.997900000000001</v>
      </c>
      <c r="G1002" s="10">
        <f>72.0872 * CHOOSE(CONTROL!$C$15, $E$9, 100%, $G$9) + CHOOSE(CONTROL!$C$38, 0.0347, 0)</f>
        <v>72.121899999999997</v>
      </c>
      <c r="H1002" s="10">
        <f>72.0872 * CHOOSE(CONTROL!$C$15, $E$9, 100%, $G$9) + CHOOSE(CONTROL!$C$38, 0.0347, 0)</f>
        <v>72.121899999999997</v>
      </c>
      <c r="I1002" s="10">
        <f>72.0888 * CHOOSE(CONTROL!$C$15, $E$9, 100%, $G$9) + CHOOSE(CONTROL!$C$38, 0.0347, 0)</f>
        <v>72.123500000000007</v>
      </c>
      <c r="J1002" s="26">
        <f>540.2249</f>
        <v>540.22490000000005</v>
      </c>
    </row>
    <row r="1003" spans="1:10" ht="15.75" x14ac:dyDescent="0.25">
      <c r="A1003" s="13">
        <v>71833</v>
      </c>
      <c r="B1003" s="10">
        <f>78.2304 * CHOOSE(CONTROL!$C$15, $E$9, 100%, $G$9) + CHOOSE(CONTROL!$C$38, 0.0256, 0)</f>
        <v>78.256</v>
      </c>
      <c r="C1003" s="10">
        <f>72.1907 * CHOOSE(CONTROL!$C$15, $E$9, 100%, $G$9) + CHOOSE(CONTROL!$C$38, 0.0347, 0)</f>
        <v>72.225400000000008</v>
      </c>
      <c r="D1003" s="10">
        <f>72.1829 * CHOOSE(CONTROL!$C$15, $E$9, 100%, $G$9) + CHOOSE(CONTROL!$C$38, 0.0347, 0)</f>
        <v>72.217600000000004</v>
      </c>
      <c r="E1003" s="28">
        <f>78.0742 * CHOOSE(CONTROL!$C$15, $E$9, 100%, $G$9) + CHOOSE(CONTROL!$C$38, 0.0347, 0)</f>
        <v>78.108900000000006</v>
      </c>
      <c r="F1003" s="27">
        <f>78.0742 * CHOOSE(CONTROL!$C$15, $E$9, 100%, $G$9) + CHOOSE(CONTROL!$C$38, 0.0256, 0)</f>
        <v>78.099800000000002</v>
      </c>
      <c r="G1003" s="10">
        <f>72.1891 * CHOOSE(CONTROL!$C$15, $E$9, 100%, $G$9) + CHOOSE(CONTROL!$C$38, 0.0347, 0)</f>
        <v>72.223799999999997</v>
      </c>
      <c r="H1003" s="10">
        <f>72.1891 * CHOOSE(CONTROL!$C$15, $E$9, 100%, $G$9) + CHOOSE(CONTROL!$C$38, 0.0347, 0)</f>
        <v>72.223799999999997</v>
      </c>
      <c r="I1003" s="10">
        <f>72.1907 * CHOOSE(CONTROL!$C$15, $E$9, 100%, $G$9) + CHOOSE(CONTROL!$C$38, 0.0347, 0)</f>
        <v>72.225400000000008</v>
      </c>
      <c r="J1003" s="26">
        <f>527.6487</f>
        <v>527.64869999999996</v>
      </c>
    </row>
    <row r="1004" spans="1:10" ht="15.75" x14ac:dyDescent="0.25">
      <c r="A1004" s="13">
        <v>71863</v>
      </c>
      <c r="B1004" s="10">
        <f>78.5072 * CHOOSE(CONTROL!$C$15, $E$9, 100%, $G$9) + CHOOSE(CONTROL!$C$38, 0.0256, 0)</f>
        <v>78.532799999999995</v>
      </c>
      <c r="C1004" s="10">
        <f>72.4675 * CHOOSE(CONTROL!$C$15, $E$9, 100%, $G$9) + CHOOSE(CONTROL!$C$38, 0.0347, 0)</f>
        <v>72.502200000000002</v>
      </c>
      <c r="D1004" s="10">
        <f>72.4597 * CHOOSE(CONTROL!$C$15, $E$9, 100%, $G$9) + CHOOSE(CONTROL!$C$38, 0.0347, 0)</f>
        <v>72.494399999999999</v>
      </c>
      <c r="E1004" s="28">
        <f>78.351 * CHOOSE(CONTROL!$C$15, $E$9, 100%, $G$9) + CHOOSE(CONTROL!$C$38, 0.0347, 0)</f>
        <v>78.3857</v>
      </c>
      <c r="F1004" s="27">
        <f>78.351 * CHOOSE(CONTROL!$C$15, $E$9, 100%, $G$9) + CHOOSE(CONTROL!$C$38, 0.0256, 0)</f>
        <v>78.376599999999996</v>
      </c>
      <c r="G1004" s="10">
        <f>72.4659 * CHOOSE(CONTROL!$C$15, $E$9, 100%, $G$9) + CHOOSE(CONTROL!$C$38, 0.0347, 0)</f>
        <v>72.500600000000006</v>
      </c>
      <c r="H1004" s="10">
        <f>72.4659 * CHOOSE(CONTROL!$C$15, $E$9, 100%, $G$9) + CHOOSE(CONTROL!$C$38, 0.0347, 0)</f>
        <v>72.500600000000006</v>
      </c>
      <c r="I1004" s="10">
        <f>72.4675 * CHOOSE(CONTROL!$C$15, $E$9, 100%, $G$9) + CHOOSE(CONTROL!$C$38, 0.0347, 0)</f>
        <v>72.502200000000002</v>
      </c>
      <c r="J1004" s="26">
        <f>510.1105</f>
        <v>510.1105</v>
      </c>
    </row>
    <row r="1005" spans="1:10" ht="15.75" x14ac:dyDescent="0.25">
      <c r="A1005" s="13">
        <v>71894</v>
      </c>
      <c r="B1005" s="10">
        <f>78.739 * CHOOSE(CONTROL!$C$15, $E$9, 100%, $G$9) + CHOOSE(CONTROL!$C$38, 0.0256, 0)</f>
        <v>78.764600000000002</v>
      </c>
      <c r="C1005" s="10">
        <f>72.6993 * CHOOSE(CONTROL!$C$15, $E$9, 100%, $G$9) + CHOOSE(CONTROL!$C$38, 0.0347, 0)</f>
        <v>72.733999999999995</v>
      </c>
      <c r="D1005" s="10">
        <f>72.6915 * CHOOSE(CONTROL!$C$15, $E$9, 100%, $G$9) + CHOOSE(CONTROL!$C$38, 0.0347, 0)</f>
        <v>72.726200000000006</v>
      </c>
      <c r="E1005" s="28">
        <f>78.5828 * CHOOSE(CONTROL!$C$15, $E$9, 100%, $G$9) + CHOOSE(CONTROL!$C$38, 0.0347, 0)</f>
        <v>78.617500000000007</v>
      </c>
      <c r="F1005" s="27">
        <f>78.5828 * CHOOSE(CONTROL!$C$15, $E$9, 100%, $G$9) + CHOOSE(CONTROL!$C$38, 0.0256, 0)</f>
        <v>78.608400000000003</v>
      </c>
      <c r="G1005" s="10">
        <f>72.6978 * CHOOSE(CONTROL!$C$15, $E$9, 100%, $G$9) + CHOOSE(CONTROL!$C$38, 0.0347, 0)</f>
        <v>72.732500000000002</v>
      </c>
      <c r="H1005" s="10">
        <f>72.6978 * CHOOSE(CONTROL!$C$15, $E$9, 100%, $G$9) + CHOOSE(CONTROL!$C$38, 0.0347, 0)</f>
        <v>72.732500000000002</v>
      </c>
      <c r="I1005" s="10">
        <f>72.6993 * CHOOSE(CONTROL!$C$15, $E$9, 100%, $G$9) + CHOOSE(CONTROL!$C$38, 0.0347, 0)</f>
        <v>72.733999999999995</v>
      </c>
      <c r="J1005" s="26">
        <f>492.4704</f>
        <v>492.47039999999998</v>
      </c>
    </row>
    <row r="1006" spans="1:10" ht="15.75" x14ac:dyDescent="0.25">
      <c r="A1006" s="13">
        <v>71924</v>
      </c>
      <c r="B1006" s="10">
        <f>78.9325 * CHOOSE(CONTROL!$C$15, $E$9, 100%, $G$9) + CHOOSE(CONTROL!$C$38, 0.0256, 0)</f>
        <v>78.958100000000002</v>
      </c>
      <c r="C1006" s="10">
        <f>72.8928 * CHOOSE(CONTROL!$C$15, $E$9, 100%, $G$9) + CHOOSE(CONTROL!$C$38, 0.0347, 0)</f>
        <v>72.927499999999995</v>
      </c>
      <c r="D1006" s="10">
        <f>72.885 * CHOOSE(CONTROL!$C$15, $E$9, 100%, $G$9) + CHOOSE(CONTROL!$C$38, 0.0347, 0)</f>
        <v>72.919700000000006</v>
      </c>
      <c r="E1006" s="28">
        <f>78.7762 * CHOOSE(CONTROL!$C$15, $E$9, 100%, $G$9) + CHOOSE(CONTROL!$C$38, 0.0347, 0)</f>
        <v>78.810900000000004</v>
      </c>
      <c r="F1006" s="27">
        <f>78.7762 * CHOOSE(CONTROL!$C$15, $E$9, 100%, $G$9) + CHOOSE(CONTROL!$C$38, 0.0256, 0)</f>
        <v>78.8018</v>
      </c>
      <c r="G1006" s="10">
        <f>72.8912 * CHOOSE(CONTROL!$C$15, $E$9, 100%, $G$9) + CHOOSE(CONTROL!$C$38, 0.0347, 0)</f>
        <v>72.925899999999999</v>
      </c>
      <c r="H1006" s="10">
        <f>72.8912 * CHOOSE(CONTROL!$C$15, $E$9, 100%, $G$9) + CHOOSE(CONTROL!$C$38, 0.0347, 0)</f>
        <v>72.925899999999999</v>
      </c>
      <c r="I1006" s="10">
        <f>72.8928 * CHOOSE(CONTROL!$C$15, $E$9, 100%, $G$9) + CHOOSE(CONTROL!$C$38, 0.0347, 0)</f>
        <v>72.927499999999995</v>
      </c>
      <c r="J1006" s="26">
        <f>488.9614</f>
        <v>488.96140000000003</v>
      </c>
    </row>
    <row r="1007" spans="1:10" ht="15.75" x14ac:dyDescent="0.25">
      <c r="A1007" s="13">
        <v>71955</v>
      </c>
      <c r="B1007" s="10">
        <f>79.5285 * CHOOSE(CONTROL!$C$15, $E$9, 100%, $G$9) + CHOOSE(CONTROL!$C$38, 0.0256, 0)</f>
        <v>79.554099999999991</v>
      </c>
      <c r="C1007" s="10">
        <f>73.4888 * CHOOSE(CONTROL!$C$15, $E$9, 100%, $G$9) + CHOOSE(CONTROL!$C$38, 0.0347, 0)</f>
        <v>73.523499999999999</v>
      </c>
      <c r="D1007" s="10">
        <f>73.481 * CHOOSE(CONTROL!$C$15, $E$9, 100%, $G$9) + CHOOSE(CONTROL!$C$38, 0.0347, 0)</f>
        <v>73.515699999999995</v>
      </c>
      <c r="E1007" s="28">
        <f>79.3723 * CHOOSE(CONTROL!$C$15, $E$9, 100%, $G$9) + CHOOSE(CONTROL!$C$38, 0.0347, 0)</f>
        <v>79.406999999999996</v>
      </c>
      <c r="F1007" s="27">
        <f>79.3723 * CHOOSE(CONTROL!$C$15, $E$9, 100%, $G$9) + CHOOSE(CONTROL!$C$38, 0.0256, 0)</f>
        <v>79.397899999999993</v>
      </c>
      <c r="G1007" s="10">
        <f>73.4873 * CHOOSE(CONTROL!$C$15, $E$9, 100%, $G$9) + CHOOSE(CONTROL!$C$38, 0.0347, 0)</f>
        <v>73.522000000000006</v>
      </c>
      <c r="H1007" s="10">
        <f>73.4873 * CHOOSE(CONTROL!$C$15, $E$9, 100%, $G$9) + CHOOSE(CONTROL!$C$38, 0.0347, 0)</f>
        <v>73.522000000000006</v>
      </c>
      <c r="I1007" s="10">
        <f>73.4888 * CHOOSE(CONTROL!$C$15, $E$9, 100%, $G$9) + CHOOSE(CONTROL!$C$38, 0.0347, 0)</f>
        <v>73.523499999999999</v>
      </c>
      <c r="J1007" s="26">
        <f>474.4514</f>
        <v>474.45139999999998</v>
      </c>
    </row>
    <row r="1008" spans="1:10" ht="15.75" x14ac:dyDescent="0.25">
      <c r="A1008" s="13">
        <v>71986</v>
      </c>
      <c r="B1008" s="10">
        <f>81.3836 * CHOOSE(CONTROL!$C$15, $E$9, 100%, $G$9) + CHOOSE(CONTROL!$C$38, 0.0256, 0)</f>
        <v>81.409199999999998</v>
      </c>
      <c r="C1008" s="10">
        <f>75.24 * CHOOSE(CONTROL!$C$15, $E$9, 100%, $G$9) + CHOOSE(CONTROL!$C$38, 0.0347, 0)</f>
        <v>75.274699999999996</v>
      </c>
      <c r="D1008" s="10">
        <f>75.2322 * CHOOSE(CONTROL!$C$15, $E$9, 100%, $G$9) + CHOOSE(CONTROL!$C$38, 0.0347, 0)</f>
        <v>75.266900000000007</v>
      </c>
      <c r="E1008" s="28">
        <f>81.2274 * CHOOSE(CONTROL!$C$15, $E$9, 100%, $G$9) + CHOOSE(CONTROL!$C$38, 0.0347, 0)</f>
        <v>81.262100000000004</v>
      </c>
      <c r="F1008" s="27">
        <f>81.2274 * CHOOSE(CONTROL!$C$15, $E$9, 100%, $G$9) + CHOOSE(CONTROL!$C$38, 0.0256, 0)</f>
        <v>81.253</v>
      </c>
      <c r="G1008" s="10">
        <f>75.2384 * CHOOSE(CONTROL!$C$15, $E$9, 100%, $G$9) + CHOOSE(CONTROL!$C$38, 0.0347, 0)</f>
        <v>75.273099999999999</v>
      </c>
      <c r="H1008" s="10">
        <f>75.2384 * CHOOSE(CONTROL!$C$15, $E$9, 100%, $G$9) + CHOOSE(CONTROL!$C$38, 0.0347, 0)</f>
        <v>75.273099999999999</v>
      </c>
      <c r="I1008" s="10">
        <f>75.24 * CHOOSE(CONTROL!$C$15, $E$9, 100%, $G$9) + CHOOSE(CONTROL!$C$38, 0.0347, 0)</f>
        <v>75.274699999999996</v>
      </c>
      <c r="J1008" s="26">
        <f>471.2733</f>
        <v>471.27330000000001</v>
      </c>
    </row>
    <row r="1009" spans="1:10" ht="15.75" x14ac:dyDescent="0.25">
      <c r="A1009" s="13">
        <v>72014</v>
      </c>
      <c r="B1009" s="10">
        <f>81.6044 * CHOOSE(CONTROL!$C$15, $E$9, 100%, $G$9) + CHOOSE(CONTROL!$C$38, 0.0256, 0)</f>
        <v>81.63</v>
      </c>
      <c r="C1009" s="10">
        <f>75.4607 * CHOOSE(CONTROL!$C$15, $E$9, 100%, $G$9) + CHOOSE(CONTROL!$C$38, 0.0347, 0)</f>
        <v>75.495400000000004</v>
      </c>
      <c r="D1009" s="10">
        <f>75.4529 * CHOOSE(CONTROL!$C$15, $E$9, 100%, $G$9) + CHOOSE(CONTROL!$C$38, 0.0347, 0)</f>
        <v>75.4876</v>
      </c>
      <c r="E1009" s="28">
        <f>81.4481 * CHOOSE(CONTROL!$C$15, $E$9, 100%, $G$9) + CHOOSE(CONTROL!$C$38, 0.0347, 0)</f>
        <v>81.482799999999997</v>
      </c>
      <c r="F1009" s="27">
        <f>81.4481 * CHOOSE(CONTROL!$C$15, $E$9, 100%, $G$9) + CHOOSE(CONTROL!$C$38, 0.0256, 0)</f>
        <v>81.473699999999994</v>
      </c>
      <c r="G1009" s="10">
        <f>75.4592 * CHOOSE(CONTROL!$C$15, $E$9, 100%, $G$9) + CHOOSE(CONTROL!$C$38, 0.0347, 0)</f>
        <v>75.493899999999996</v>
      </c>
      <c r="H1009" s="10">
        <f>75.4592 * CHOOSE(CONTROL!$C$15, $E$9, 100%, $G$9) + CHOOSE(CONTROL!$C$38, 0.0347, 0)</f>
        <v>75.493899999999996</v>
      </c>
      <c r="I1009" s="10">
        <f>75.4607 * CHOOSE(CONTROL!$C$15, $E$9, 100%, $G$9) + CHOOSE(CONTROL!$C$38, 0.0347, 0)</f>
        <v>75.495400000000004</v>
      </c>
      <c r="J1009" s="26">
        <f>469.9634</f>
        <v>469.96339999999998</v>
      </c>
    </row>
    <row r="1010" spans="1:10" ht="15.75" x14ac:dyDescent="0.25">
      <c r="A1010" s="13">
        <v>72045</v>
      </c>
      <c r="B1010" s="10">
        <f>81.0934 * CHOOSE(CONTROL!$C$15, $E$9, 100%, $G$9) + CHOOSE(CONTROL!$C$38, 0.0256, 0)</f>
        <v>81.119</v>
      </c>
      <c r="C1010" s="10">
        <f>74.9497 * CHOOSE(CONTROL!$C$15, $E$9, 100%, $G$9) + CHOOSE(CONTROL!$C$38, 0.0347, 0)</f>
        <v>74.984400000000008</v>
      </c>
      <c r="D1010" s="10">
        <f>74.9419 * CHOOSE(CONTROL!$C$15, $E$9, 100%, $G$9) + CHOOSE(CONTROL!$C$38, 0.0347, 0)</f>
        <v>74.976600000000005</v>
      </c>
      <c r="E1010" s="28">
        <f>80.9371 * CHOOSE(CONTROL!$C$15, $E$9, 100%, $G$9) + CHOOSE(CONTROL!$C$38, 0.0347, 0)</f>
        <v>80.971800000000002</v>
      </c>
      <c r="F1010" s="27">
        <f>80.9371 * CHOOSE(CONTROL!$C$15, $E$9, 100%, $G$9) + CHOOSE(CONTROL!$C$38, 0.0256, 0)</f>
        <v>80.962699999999998</v>
      </c>
      <c r="G1010" s="10">
        <f>74.9481 * CHOOSE(CONTROL!$C$15, $E$9, 100%, $G$9) + CHOOSE(CONTROL!$C$38, 0.0347, 0)</f>
        <v>74.982799999999997</v>
      </c>
      <c r="H1010" s="10">
        <f>74.9481 * CHOOSE(CONTROL!$C$15, $E$9, 100%, $G$9) + CHOOSE(CONTROL!$C$38, 0.0347, 0)</f>
        <v>74.982799999999997</v>
      </c>
      <c r="I1010" s="10">
        <f>74.9497 * CHOOSE(CONTROL!$C$15, $E$9, 100%, $G$9) + CHOOSE(CONTROL!$C$38, 0.0347, 0)</f>
        <v>74.984400000000008</v>
      </c>
      <c r="J1010" s="26">
        <f>494.7331</f>
        <v>494.73309999999998</v>
      </c>
    </row>
    <row r="1011" spans="1:10" ht="15.75" x14ac:dyDescent="0.25">
      <c r="A1011" s="13">
        <v>72075</v>
      </c>
      <c r="B1011" s="10">
        <f>80.5982 * CHOOSE(CONTROL!$C$15, $E$9, 100%, $G$9) + CHOOSE(CONTROL!$C$38, 0.0256, 0)</f>
        <v>80.623800000000003</v>
      </c>
      <c r="C1011" s="10">
        <f>74.4545 * CHOOSE(CONTROL!$C$15, $E$9, 100%, $G$9) + CHOOSE(CONTROL!$C$38, 0.0347, 0)</f>
        <v>74.489199999999997</v>
      </c>
      <c r="D1011" s="10">
        <f>74.4467 * CHOOSE(CONTROL!$C$15, $E$9, 100%, $G$9) + CHOOSE(CONTROL!$C$38, 0.0347, 0)</f>
        <v>74.481400000000008</v>
      </c>
      <c r="E1011" s="28">
        <f>80.4419 * CHOOSE(CONTROL!$C$15, $E$9, 100%, $G$9) + CHOOSE(CONTROL!$C$38, 0.0347, 0)</f>
        <v>80.476600000000005</v>
      </c>
      <c r="F1011" s="27">
        <f>80.4419 * CHOOSE(CONTROL!$C$15, $E$9, 100%, $G$9) + CHOOSE(CONTROL!$C$38, 0.0256, 0)</f>
        <v>80.467500000000001</v>
      </c>
      <c r="G1011" s="10">
        <f>74.453 * CHOOSE(CONTROL!$C$15, $E$9, 100%, $G$9) + CHOOSE(CONTROL!$C$38, 0.0347, 0)</f>
        <v>74.487700000000004</v>
      </c>
      <c r="H1011" s="10">
        <f>74.453 * CHOOSE(CONTROL!$C$15, $E$9, 100%, $G$9) + CHOOSE(CONTROL!$C$38, 0.0347, 0)</f>
        <v>74.487700000000004</v>
      </c>
      <c r="I1011" s="10">
        <f>74.4545 * CHOOSE(CONTROL!$C$15, $E$9, 100%, $G$9) + CHOOSE(CONTROL!$C$38, 0.0347, 0)</f>
        <v>74.489199999999997</v>
      </c>
      <c r="J1011" s="26">
        <f>526.8536</f>
        <v>526.85360000000003</v>
      </c>
    </row>
    <row r="1012" spans="1:10" ht="15.75" x14ac:dyDescent="0.25">
      <c r="A1012" s="13">
        <v>72106</v>
      </c>
      <c r="B1012" s="10">
        <f>80.0821 * CHOOSE(CONTROL!$C$15, $E$9, 100%, $G$9) + CHOOSE(CONTROL!$C$38, 0.0256, 0)</f>
        <v>80.107699999999994</v>
      </c>
      <c r="C1012" s="10">
        <f>73.9384 * CHOOSE(CONTROL!$C$15, $E$9, 100%, $G$9) + CHOOSE(CONTROL!$C$38, 0.0347, 0)</f>
        <v>73.973100000000002</v>
      </c>
      <c r="D1012" s="10">
        <f>73.9306 * CHOOSE(CONTROL!$C$15, $E$9, 100%, $G$9) + CHOOSE(CONTROL!$C$38, 0.0347, 0)</f>
        <v>73.965299999999999</v>
      </c>
      <c r="E1012" s="28">
        <f>79.9258 * CHOOSE(CONTROL!$C$15, $E$9, 100%, $G$9) + CHOOSE(CONTROL!$C$38, 0.0347, 0)</f>
        <v>79.960499999999996</v>
      </c>
      <c r="F1012" s="27">
        <f>79.9258 * CHOOSE(CONTROL!$C$15, $E$9, 100%, $G$9) + CHOOSE(CONTROL!$C$38, 0.0256, 0)</f>
        <v>79.951399999999992</v>
      </c>
      <c r="G1012" s="10">
        <f>73.9368 * CHOOSE(CONTROL!$C$15, $E$9, 100%, $G$9) + CHOOSE(CONTROL!$C$38, 0.0347, 0)</f>
        <v>73.971500000000006</v>
      </c>
      <c r="H1012" s="10">
        <f>73.9368 * CHOOSE(CONTROL!$C$15, $E$9, 100%, $G$9) + CHOOSE(CONTROL!$C$38, 0.0347, 0)</f>
        <v>73.971500000000006</v>
      </c>
      <c r="I1012" s="10">
        <f>73.9384 * CHOOSE(CONTROL!$C$15, $E$9, 100%, $G$9) + CHOOSE(CONTROL!$C$38, 0.0347, 0)</f>
        <v>73.973100000000002</v>
      </c>
      <c r="J1012" s="26">
        <f>544.5338</f>
        <v>544.53380000000004</v>
      </c>
    </row>
    <row r="1013" spans="1:10" ht="15.75" x14ac:dyDescent="0.25">
      <c r="A1013" s="13">
        <v>72136</v>
      </c>
      <c r="B1013" s="10">
        <f>79.7202 * CHOOSE(CONTROL!$C$15, $E$9, 100%, $G$9) + CHOOSE(CONTROL!$C$38, 0.0256, 0)</f>
        <v>79.745800000000003</v>
      </c>
      <c r="C1013" s="10">
        <f>73.5766 * CHOOSE(CONTROL!$C$15, $E$9, 100%, $G$9) + CHOOSE(CONTROL!$C$38, 0.0347, 0)</f>
        <v>73.6113</v>
      </c>
      <c r="D1013" s="10">
        <f>73.5688 * CHOOSE(CONTROL!$C$15, $E$9, 100%, $G$9) + CHOOSE(CONTROL!$C$38, 0.0347, 0)</f>
        <v>73.603499999999997</v>
      </c>
      <c r="E1013" s="28">
        <f>79.564 * CHOOSE(CONTROL!$C$15, $E$9, 100%, $G$9) + CHOOSE(CONTROL!$C$38, 0.0347, 0)</f>
        <v>79.598699999999994</v>
      </c>
      <c r="F1013" s="27">
        <f>79.564 * CHOOSE(CONTROL!$C$15, $E$9, 100%, $G$9) + CHOOSE(CONTROL!$C$38, 0.0256, 0)</f>
        <v>79.58959999999999</v>
      </c>
      <c r="G1013" s="10">
        <f>73.575 * CHOOSE(CONTROL!$C$15, $E$9, 100%, $G$9) + CHOOSE(CONTROL!$C$38, 0.0347, 0)</f>
        <v>73.609700000000004</v>
      </c>
      <c r="H1013" s="10">
        <f>73.575 * CHOOSE(CONTROL!$C$15, $E$9, 100%, $G$9) + CHOOSE(CONTROL!$C$38, 0.0347, 0)</f>
        <v>73.609700000000004</v>
      </c>
      <c r="I1013" s="10">
        <f>73.5766 * CHOOSE(CONTROL!$C$15, $E$9, 100%, $G$9) + CHOOSE(CONTROL!$C$38, 0.0347, 0)</f>
        <v>73.6113</v>
      </c>
      <c r="J1013" s="26">
        <f>552.3799</f>
        <v>552.37990000000002</v>
      </c>
    </row>
    <row r="1014" spans="1:10" ht="15.75" x14ac:dyDescent="0.25">
      <c r="A1014" s="13">
        <v>72167</v>
      </c>
      <c r="B1014" s="10">
        <f>79.5137 * CHOOSE(CONTROL!$C$15, $E$9, 100%, $G$9) + CHOOSE(CONTROL!$C$38, 0.0256, 0)</f>
        <v>79.539299999999997</v>
      </c>
      <c r="C1014" s="10">
        <f>73.3701 * CHOOSE(CONTROL!$C$15, $E$9, 100%, $G$9) + CHOOSE(CONTROL!$C$38, 0.0347, 0)</f>
        <v>73.404799999999994</v>
      </c>
      <c r="D1014" s="10">
        <f>73.3623 * CHOOSE(CONTROL!$C$15, $E$9, 100%, $G$9) + CHOOSE(CONTROL!$C$38, 0.0347, 0)</f>
        <v>73.397000000000006</v>
      </c>
      <c r="E1014" s="28">
        <f>79.3575 * CHOOSE(CONTROL!$C$15, $E$9, 100%, $G$9) + CHOOSE(CONTROL!$C$38, 0.0347, 0)</f>
        <v>79.392200000000003</v>
      </c>
      <c r="F1014" s="27">
        <f>79.3575 * CHOOSE(CONTROL!$C$15, $E$9, 100%, $G$9) + CHOOSE(CONTROL!$C$38, 0.0256, 0)</f>
        <v>79.383099999999999</v>
      </c>
      <c r="G1014" s="10">
        <f>73.3685 * CHOOSE(CONTROL!$C$15, $E$9, 100%, $G$9) + CHOOSE(CONTROL!$C$38, 0.0347, 0)</f>
        <v>73.403199999999998</v>
      </c>
      <c r="H1014" s="10">
        <f>73.3685 * CHOOSE(CONTROL!$C$15, $E$9, 100%, $G$9) + CHOOSE(CONTROL!$C$38, 0.0347, 0)</f>
        <v>73.403199999999998</v>
      </c>
      <c r="I1014" s="10">
        <f>73.3701 * CHOOSE(CONTROL!$C$15, $E$9, 100%, $G$9) + CHOOSE(CONTROL!$C$38, 0.0347, 0)</f>
        <v>73.404799999999994</v>
      </c>
      <c r="J1014" s="26">
        <f>549.7966</f>
        <v>549.79660000000001</v>
      </c>
    </row>
    <row r="1015" spans="1:10" ht="15.75" x14ac:dyDescent="0.25">
      <c r="A1015" s="13">
        <v>72198</v>
      </c>
      <c r="B1015" s="10">
        <f>79.6157 * CHOOSE(CONTROL!$C$15, $E$9, 100%, $G$9) + CHOOSE(CONTROL!$C$38, 0.0256, 0)</f>
        <v>79.641300000000001</v>
      </c>
      <c r="C1015" s="10">
        <f>73.472 * CHOOSE(CONTROL!$C$15, $E$9, 100%, $G$9) + CHOOSE(CONTROL!$C$38, 0.0347, 0)</f>
        <v>73.506699999999995</v>
      </c>
      <c r="D1015" s="10">
        <f>73.4642 * CHOOSE(CONTROL!$C$15, $E$9, 100%, $G$9) + CHOOSE(CONTROL!$C$38, 0.0347, 0)</f>
        <v>73.498900000000006</v>
      </c>
      <c r="E1015" s="28">
        <f>79.4594 * CHOOSE(CONTROL!$C$15, $E$9, 100%, $G$9) + CHOOSE(CONTROL!$C$38, 0.0347, 0)</f>
        <v>79.494100000000003</v>
      </c>
      <c r="F1015" s="27">
        <f>79.4594 * CHOOSE(CONTROL!$C$15, $E$9, 100%, $G$9) + CHOOSE(CONTROL!$C$38, 0.0256, 0)</f>
        <v>79.484999999999999</v>
      </c>
      <c r="G1015" s="10">
        <f>73.4704 * CHOOSE(CONTROL!$C$15, $E$9, 100%, $G$9) + CHOOSE(CONTROL!$C$38, 0.0347, 0)</f>
        <v>73.505099999999999</v>
      </c>
      <c r="H1015" s="10">
        <f>73.4704 * CHOOSE(CONTROL!$C$15, $E$9, 100%, $G$9) + CHOOSE(CONTROL!$C$38, 0.0347, 0)</f>
        <v>73.505099999999999</v>
      </c>
      <c r="I1015" s="10">
        <f>73.472 * CHOOSE(CONTROL!$C$15, $E$9, 100%, $G$9) + CHOOSE(CONTROL!$C$38, 0.0347, 0)</f>
        <v>73.506699999999995</v>
      </c>
      <c r="J1015" s="26">
        <f>536.9976</f>
        <v>536.99760000000003</v>
      </c>
    </row>
    <row r="1016" spans="1:10" ht="15.75" x14ac:dyDescent="0.25">
      <c r="A1016" s="13">
        <v>72228</v>
      </c>
      <c r="B1016" s="10">
        <f>79.8925 * CHOOSE(CONTROL!$C$15, $E$9, 100%, $G$9) + CHOOSE(CONTROL!$C$38, 0.0256, 0)</f>
        <v>79.918099999999995</v>
      </c>
      <c r="C1016" s="10">
        <f>73.7488 * CHOOSE(CONTROL!$C$15, $E$9, 100%, $G$9) + CHOOSE(CONTROL!$C$38, 0.0347, 0)</f>
        <v>73.783500000000004</v>
      </c>
      <c r="D1016" s="10">
        <f>73.741 * CHOOSE(CONTROL!$C$15, $E$9, 100%, $G$9) + CHOOSE(CONTROL!$C$38, 0.0347, 0)</f>
        <v>73.775700000000001</v>
      </c>
      <c r="E1016" s="28">
        <f>79.7362 * CHOOSE(CONTROL!$C$15, $E$9, 100%, $G$9) + CHOOSE(CONTROL!$C$38, 0.0347, 0)</f>
        <v>79.770899999999997</v>
      </c>
      <c r="F1016" s="27">
        <f>79.7362 * CHOOSE(CONTROL!$C$15, $E$9, 100%, $G$9) + CHOOSE(CONTROL!$C$38, 0.0256, 0)</f>
        <v>79.761799999999994</v>
      </c>
      <c r="G1016" s="10">
        <f>73.7472 * CHOOSE(CONTROL!$C$15, $E$9, 100%, $G$9) + CHOOSE(CONTROL!$C$38, 0.0347, 0)</f>
        <v>73.781900000000007</v>
      </c>
      <c r="H1016" s="10">
        <f>73.7472 * CHOOSE(CONTROL!$C$15, $E$9, 100%, $G$9) + CHOOSE(CONTROL!$C$38, 0.0347, 0)</f>
        <v>73.781900000000007</v>
      </c>
      <c r="I1016" s="10">
        <f>73.7488 * CHOOSE(CONTROL!$C$15, $E$9, 100%, $G$9) + CHOOSE(CONTROL!$C$38, 0.0347, 0)</f>
        <v>73.783500000000004</v>
      </c>
      <c r="J1016" s="26">
        <f>519.1487</f>
        <v>519.14869999999996</v>
      </c>
    </row>
    <row r="1017" spans="1:10" ht="15.75" x14ac:dyDescent="0.25">
      <c r="A1017" s="13">
        <v>72259</v>
      </c>
      <c r="B1017" s="10">
        <f>80.1243 * CHOOSE(CONTROL!$C$15, $E$9, 100%, $G$9) + CHOOSE(CONTROL!$C$38, 0.0256, 0)</f>
        <v>80.149900000000002</v>
      </c>
      <c r="C1017" s="10">
        <f>73.9806 * CHOOSE(CONTROL!$C$15, $E$9, 100%, $G$9) + CHOOSE(CONTROL!$C$38, 0.0347, 0)</f>
        <v>74.015299999999996</v>
      </c>
      <c r="D1017" s="10">
        <f>73.9728 * CHOOSE(CONTROL!$C$15, $E$9, 100%, $G$9) + CHOOSE(CONTROL!$C$38, 0.0347, 0)</f>
        <v>74.007500000000007</v>
      </c>
      <c r="E1017" s="28">
        <f>79.968 * CHOOSE(CONTROL!$C$15, $E$9, 100%, $G$9) + CHOOSE(CONTROL!$C$38, 0.0347, 0)</f>
        <v>80.002700000000004</v>
      </c>
      <c r="F1017" s="27">
        <f>79.968 * CHOOSE(CONTROL!$C$15, $E$9, 100%, $G$9) + CHOOSE(CONTROL!$C$38, 0.0256, 0)</f>
        <v>79.993600000000001</v>
      </c>
      <c r="G1017" s="10">
        <f>73.9791 * CHOOSE(CONTROL!$C$15, $E$9, 100%, $G$9) + CHOOSE(CONTROL!$C$38, 0.0347, 0)</f>
        <v>74.013800000000003</v>
      </c>
      <c r="H1017" s="10">
        <f>73.9791 * CHOOSE(CONTROL!$C$15, $E$9, 100%, $G$9) + CHOOSE(CONTROL!$C$38, 0.0347, 0)</f>
        <v>74.013800000000003</v>
      </c>
      <c r="I1017" s="10">
        <f>73.9806 * CHOOSE(CONTROL!$C$15, $E$9, 100%, $G$9) + CHOOSE(CONTROL!$C$38, 0.0347, 0)</f>
        <v>74.015299999999996</v>
      </c>
      <c r="J1017" s="26">
        <f>501.196</f>
        <v>501.19600000000003</v>
      </c>
    </row>
    <row r="1018" spans="1:10" ht="15.75" x14ac:dyDescent="0.25">
      <c r="A1018" s="13">
        <v>72289</v>
      </c>
      <c r="B1018" s="10">
        <f>80.3177 * CHOOSE(CONTROL!$C$15, $E$9, 100%, $G$9) + CHOOSE(CONTROL!$C$38, 0.0256, 0)</f>
        <v>80.343299999999999</v>
      </c>
      <c r="C1018" s="10">
        <f>74.1741 * CHOOSE(CONTROL!$C$15, $E$9, 100%, $G$9) + CHOOSE(CONTROL!$C$38, 0.0347, 0)</f>
        <v>74.208799999999997</v>
      </c>
      <c r="D1018" s="10">
        <f>74.1662 * CHOOSE(CONTROL!$C$15, $E$9, 100%, $G$9) + CHOOSE(CONTROL!$C$38, 0.0347, 0)</f>
        <v>74.200900000000004</v>
      </c>
      <c r="E1018" s="28">
        <f>80.1615 * CHOOSE(CONTROL!$C$15, $E$9, 100%, $G$9) + CHOOSE(CONTROL!$C$38, 0.0347, 0)</f>
        <v>80.196200000000005</v>
      </c>
      <c r="F1018" s="27">
        <f>80.1615 * CHOOSE(CONTROL!$C$15, $E$9, 100%, $G$9) + CHOOSE(CONTROL!$C$38, 0.0256, 0)</f>
        <v>80.187100000000001</v>
      </c>
      <c r="G1018" s="10">
        <f>74.1725 * CHOOSE(CONTROL!$C$15, $E$9, 100%, $G$9) + CHOOSE(CONTROL!$C$38, 0.0347, 0)</f>
        <v>74.2072</v>
      </c>
      <c r="H1018" s="10">
        <f>74.1725 * CHOOSE(CONTROL!$C$15, $E$9, 100%, $G$9) + CHOOSE(CONTROL!$C$38, 0.0347, 0)</f>
        <v>74.2072</v>
      </c>
      <c r="I1018" s="10">
        <f>74.1741 * CHOOSE(CONTROL!$C$15, $E$9, 100%, $G$9) + CHOOSE(CONTROL!$C$38, 0.0347, 0)</f>
        <v>74.208799999999997</v>
      </c>
      <c r="J1018" s="26">
        <f>497.6249</f>
        <v>497.62490000000003</v>
      </c>
    </row>
    <row r="1019" spans="1:10" ht="15.75" x14ac:dyDescent="0.25">
      <c r="A1019" s="13">
        <v>72320</v>
      </c>
      <c r="B1019" s="10">
        <f>80.9138 * CHOOSE(CONTROL!$C$15, $E$9, 100%, $G$9) + CHOOSE(CONTROL!$C$38, 0.0256, 0)</f>
        <v>80.939399999999992</v>
      </c>
      <c r="C1019" s="10">
        <f>74.7701 * CHOOSE(CONTROL!$C$15, $E$9, 100%, $G$9) + CHOOSE(CONTROL!$C$38, 0.0347, 0)</f>
        <v>74.8048</v>
      </c>
      <c r="D1019" s="10">
        <f>74.7623 * CHOOSE(CONTROL!$C$15, $E$9, 100%, $G$9) + CHOOSE(CONTROL!$C$38, 0.0347, 0)</f>
        <v>74.796999999999997</v>
      </c>
      <c r="E1019" s="28">
        <f>80.7575 * CHOOSE(CONTROL!$C$15, $E$9, 100%, $G$9) + CHOOSE(CONTROL!$C$38, 0.0347, 0)</f>
        <v>80.792199999999994</v>
      </c>
      <c r="F1019" s="27">
        <f>80.7575 * CHOOSE(CONTROL!$C$15, $E$9, 100%, $G$9) + CHOOSE(CONTROL!$C$38, 0.0256, 0)</f>
        <v>80.78309999999999</v>
      </c>
      <c r="G1019" s="10">
        <f>74.7686 * CHOOSE(CONTROL!$C$15, $E$9, 100%, $G$9) + CHOOSE(CONTROL!$C$38, 0.0347, 0)</f>
        <v>74.803300000000007</v>
      </c>
      <c r="H1019" s="10">
        <f>74.7686 * CHOOSE(CONTROL!$C$15, $E$9, 100%, $G$9) + CHOOSE(CONTROL!$C$38, 0.0347, 0)</f>
        <v>74.803300000000007</v>
      </c>
      <c r="I1019" s="10">
        <f>74.7701 * CHOOSE(CONTROL!$C$15, $E$9, 100%, $G$9) + CHOOSE(CONTROL!$C$38, 0.0347, 0)</f>
        <v>74.8048</v>
      </c>
      <c r="J1019" s="26">
        <f>482.8578</f>
        <v>482.8578</v>
      </c>
    </row>
    <row r="1020" spans="1:10" ht="15.75" x14ac:dyDescent="0.25">
      <c r="A1020" s="13">
        <v>72351</v>
      </c>
      <c r="B1020" s="10">
        <f>82.7933 * CHOOSE(CONTROL!$C$15, $E$9, 100%, $G$9) + CHOOSE(CONTROL!$C$38, 0.0256, 0)</f>
        <v>82.818899999999999</v>
      </c>
      <c r="C1020" s="10">
        <f>76.5439 * CHOOSE(CONTROL!$C$15, $E$9, 100%, $G$9) + CHOOSE(CONTROL!$C$38, 0.0347, 0)</f>
        <v>76.578599999999994</v>
      </c>
      <c r="D1020" s="10">
        <f>76.5361 * CHOOSE(CONTROL!$C$15, $E$9, 100%, $G$9) + CHOOSE(CONTROL!$C$38, 0.0347, 0)</f>
        <v>76.570800000000006</v>
      </c>
      <c r="E1020" s="28">
        <f>82.6371 * CHOOSE(CONTROL!$C$15, $E$9, 100%, $G$9) + CHOOSE(CONTROL!$C$38, 0.0347, 0)</f>
        <v>82.671800000000005</v>
      </c>
      <c r="F1020" s="27">
        <f>82.6371 * CHOOSE(CONTROL!$C$15, $E$9, 100%, $G$9) + CHOOSE(CONTROL!$C$38, 0.0256, 0)</f>
        <v>82.662700000000001</v>
      </c>
      <c r="G1020" s="10">
        <f>76.5423 * CHOOSE(CONTROL!$C$15, $E$9, 100%, $G$9) + CHOOSE(CONTROL!$C$38, 0.0347, 0)</f>
        <v>76.576999999999998</v>
      </c>
      <c r="H1020" s="10">
        <f>76.5423 * CHOOSE(CONTROL!$C$15, $E$9, 100%, $G$9) + CHOOSE(CONTROL!$C$38, 0.0347, 0)</f>
        <v>76.576999999999998</v>
      </c>
      <c r="I1020" s="10">
        <f>76.5439 * CHOOSE(CONTROL!$C$15, $E$9, 100%, $G$9) + CHOOSE(CONTROL!$C$38, 0.0347, 0)</f>
        <v>76.578599999999994</v>
      </c>
      <c r="J1020" s="26">
        <f>479.6234</f>
        <v>479.6234</v>
      </c>
    </row>
    <row r="1021" spans="1:10" ht="15.75" x14ac:dyDescent="0.25">
      <c r="A1021" s="13">
        <v>72379</v>
      </c>
      <c r="B1021" s="10">
        <f>83.0141 * CHOOSE(CONTROL!$C$15, $E$9, 100%, $G$9) + CHOOSE(CONTROL!$C$38, 0.0256, 0)</f>
        <v>83.039699999999996</v>
      </c>
      <c r="C1021" s="10">
        <f>76.7647 * CHOOSE(CONTROL!$C$15, $E$9, 100%, $G$9) + CHOOSE(CONTROL!$C$38, 0.0347, 0)</f>
        <v>76.799400000000006</v>
      </c>
      <c r="D1021" s="10">
        <f>76.7568 * CHOOSE(CONTROL!$C$15, $E$9, 100%, $G$9) + CHOOSE(CONTROL!$C$38, 0.0347, 0)</f>
        <v>76.791499999999999</v>
      </c>
      <c r="E1021" s="28">
        <f>82.8579 * CHOOSE(CONTROL!$C$15, $E$9, 100%, $G$9) + CHOOSE(CONTROL!$C$38, 0.0347, 0)</f>
        <v>82.892600000000002</v>
      </c>
      <c r="F1021" s="27">
        <f>82.8579 * CHOOSE(CONTROL!$C$15, $E$9, 100%, $G$9) + CHOOSE(CONTROL!$C$38, 0.0256, 0)</f>
        <v>82.883499999999998</v>
      </c>
      <c r="G1021" s="10">
        <f>76.7631 * CHOOSE(CONTROL!$C$15, $E$9, 100%, $G$9) + CHOOSE(CONTROL!$C$38, 0.0347, 0)</f>
        <v>76.797799999999995</v>
      </c>
      <c r="H1021" s="10">
        <f>76.7631 * CHOOSE(CONTROL!$C$15, $E$9, 100%, $G$9) + CHOOSE(CONTROL!$C$38, 0.0347, 0)</f>
        <v>76.797799999999995</v>
      </c>
      <c r="I1021" s="10">
        <f>76.7647 * CHOOSE(CONTROL!$C$15, $E$9, 100%, $G$9) + CHOOSE(CONTROL!$C$38, 0.0347, 0)</f>
        <v>76.799400000000006</v>
      </c>
      <c r="J1021" s="26">
        <f>478.2902</f>
        <v>478.29020000000003</v>
      </c>
    </row>
    <row r="1022" spans="1:10" ht="15.75" x14ac:dyDescent="0.25">
      <c r="A1022" s="13">
        <v>72410</v>
      </c>
      <c r="B1022" s="10">
        <f>82.5031 * CHOOSE(CONTROL!$C$15, $E$9, 100%, $G$9) + CHOOSE(CONTROL!$C$38, 0.0256, 0)</f>
        <v>82.528700000000001</v>
      </c>
      <c r="C1022" s="10">
        <f>76.2536 * CHOOSE(CONTROL!$C$15, $E$9, 100%, $G$9) + CHOOSE(CONTROL!$C$38, 0.0347, 0)</f>
        <v>76.288300000000007</v>
      </c>
      <c r="D1022" s="10">
        <f>76.2458 * CHOOSE(CONTROL!$C$15, $E$9, 100%, $G$9) + CHOOSE(CONTROL!$C$38, 0.0347, 0)</f>
        <v>76.280500000000004</v>
      </c>
      <c r="E1022" s="28">
        <f>82.3468 * CHOOSE(CONTROL!$C$15, $E$9, 100%, $G$9) + CHOOSE(CONTROL!$C$38, 0.0347, 0)</f>
        <v>82.381500000000003</v>
      </c>
      <c r="F1022" s="27">
        <f>82.3468 * CHOOSE(CONTROL!$C$15, $E$9, 100%, $G$9) + CHOOSE(CONTROL!$C$38, 0.0256, 0)</f>
        <v>82.372399999999999</v>
      </c>
      <c r="G1022" s="10">
        <f>76.2521 * CHOOSE(CONTROL!$C$15, $E$9, 100%, $G$9) + CHOOSE(CONTROL!$C$38, 0.0347, 0)</f>
        <v>76.286799999999999</v>
      </c>
      <c r="H1022" s="10">
        <f>76.2521 * CHOOSE(CONTROL!$C$15, $E$9, 100%, $G$9) + CHOOSE(CONTROL!$C$38, 0.0347, 0)</f>
        <v>76.286799999999999</v>
      </c>
      <c r="I1022" s="10">
        <f>76.2536 * CHOOSE(CONTROL!$C$15, $E$9, 100%, $G$9) + CHOOSE(CONTROL!$C$38, 0.0347, 0)</f>
        <v>76.288300000000007</v>
      </c>
      <c r="J1022" s="26">
        <f>503.4989</f>
        <v>503.49889999999999</v>
      </c>
    </row>
    <row r="1023" spans="1:10" ht="15.75" x14ac:dyDescent="0.25">
      <c r="A1023" s="13">
        <v>72440</v>
      </c>
      <c r="B1023" s="10">
        <f>82.0079 * CHOOSE(CONTROL!$C$15, $E$9, 100%, $G$9) + CHOOSE(CONTROL!$C$38, 0.0256, 0)</f>
        <v>82.033500000000004</v>
      </c>
      <c r="C1023" s="10">
        <f>75.7585 * CHOOSE(CONTROL!$C$15, $E$9, 100%, $G$9) + CHOOSE(CONTROL!$C$38, 0.0347, 0)</f>
        <v>75.793199999999999</v>
      </c>
      <c r="D1023" s="10">
        <f>75.7506 * CHOOSE(CONTROL!$C$15, $E$9, 100%, $G$9) + CHOOSE(CONTROL!$C$38, 0.0347, 0)</f>
        <v>75.785300000000007</v>
      </c>
      <c r="E1023" s="28">
        <f>81.8516 * CHOOSE(CONTROL!$C$15, $E$9, 100%, $G$9) + CHOOSE(CONTROL!$C$38, 0.0347, 0)</f>
        <v>81.886300000000006</v>
      </c>
      <c r="F1023" s="27">
        <f>81.8516 * CHOOSE(CONTROL!$C$15, $E$9, 100%, $G$9) + CHOOSE(CONTROL!$C$38, 0.0256, 0)</f>
        <v>81.877200000000002</v>
      </c>
      <c r="G1023" s="10">
        <f>75.7569 * CHOOSE(CONTROL!$C$15, $E$9, 100%, $G$9) + CHOOSE(CONTROL!$C$38, 0.0347, 0)</f>
        <v>75.791600000000003</v>
      </c>
      <c r="H1023" s="10">
        <f>75.7569 * CHOOSE(CONTROL!$C$15, $E$9, 100%, $G$9) + CHOOSE(CONTROL!$C$38, 0.0347, 0)</f>
        <v>75.791600000000003</v>
      </c>
      <c r="I1023" s="10">
        <f>75.7585 * CHOOSE(CONTROL!$C$15, $E$9, 100%, $G$9) + CHOOSE(CONTROL!$C$38, 0.0347, 0)</f>
        <v>75.793199999999999</v>
      </c>
      <c r="J1023" s="26">
        <f>536.1885</f>
        <v>536.18849999999998</v>
      </c>
    </row>
    <row r="1024" spans="1:10" ht="15.75" x14ac:dyDescent="0.25">
      <c r="A1024" s="13">
        <v>72471</v>
      </c>
      <c r="B1024" s="10">
        <f>81.4918 * CHOOSE(CONTROL!$C$15, $E$9, 100%, $G$9) + CHOOSE(CONTROL!$C$38, 0.0256, 0)</f>
        <v>81.517399999999995</v>
      </c>
      <c r="C1024" s="10">
        <f>75.2423 * CHOOSE(CONTROL!$C$15, $E$9, 100%, $G$9) + CHOOSE(CONTROL!$C$38, 0.0347, 0)</f>
        <v>75.277000000000001</v>
      </c>
      <c r="D1024" s="10">
        <f>75.2345 * CHOOSE(CONTROL!$C$15, $E$9, 100%, $G$9) + CHOOSE(CONTROL!$C$38, 0.0347, 0)</f>
        <v>75.269199999999998</v>
      </c>
      <c r="E1024" s="28">
        <f>81.3355 * CHOOSE(CONTROL!$C$15, $E$9, 100%, $G$9) + CHOOSE(CONTROL!$C$38, 0.0347, 0)</f>
        <v>81.370199999999997</v>
      </c>
      <c r="F1024" s="27">
        <f>81.3355 * CHOOSE(CONTROL!$C$15, $E$9, 100%, $G$9) + CHOOSE(CONTROL!$C$38, 0.0256, 0)</f>
        <v>81.361099999999993</v>
      </c>
      <c r="G1024" s="10">
        <f>75.2408 * CHOOSE(CONTROL!$C$15, $E$9, 100%, $G$9) + CHOOSE(CONTROL!$C$38, 0.0347, 0)</f>
        <v>75.275499999999994</v>
      </c>
      <c r="H1024" s="10">
        <f>75.2408 * CHOOSE(CONTROL!$C$15, $E$9, 100%, $G$9) + CHOOSE(CONTROL!$C$38, 0.0347, 0)</f>
        <v>75.275499999999994</v>
      </c>
      <c r="I1024" s="10">
        <f>75.2423 * CHOOSE(CONTROL!$C$15, $E$9, 100%, $G$9) + CHOOSE(CONTROL!$C$38, 0.0347, 0)</f>
        <v>75.277000000000001</v>
      </c>
      <c r="J1024" s="26">
        <f>554.1819</f>
        <v>554.18190000000004</v>
      </c>
    </row>
    <row r="1025" spans="1:10" ht="15.75" x14ac:dyDescent="0.25">
      <c r="A1025" s="13">
        <v>72501</v>
      </c>
      <c r="B1025" s="10">
        <f>81.1299 * CHOOSE(CONTROL!$C$15, $E$9, 100%, $G$9) + CHOOSE(CONTROL!$C$38, 0.0256, 0)</f>
        <v>81.155500000000004</v>
      </c>
      <c r="C1025" s="10">
        <f>74.8805 * CHOOSE(CONTROL!$C$15, $E$9, 100%, $G$9) + CHOOSE(CONTROL!$C$38, 0.0347, 0)</f>
        <v>74.915199999999999</v>
      </c>
      <c r="D1025" s="10">
        <f>74.8727 * CHOOSE(CONTROL!$C$15, $E$9, 100%, $G$9) + CHOOSE(CONTROL!$C$38, 0.0347, 0)</f>
        <v>74.907399999999996</v>
      </c>
      <c r="E1025" s="28">
        <f>80.9737 * CHOOSE(CONTROL!$C$15, $E$9, 100%, $G$9) + CHOOSE(CONTROL!$C$38, 0.0347, 0)</f>
        <v>81.008399999999995</v>
      </c>
      <c r="F1025" s="27">
        <f>80.9737 * CHOOSE(CONTROL!$C$15, $E$9, 100%, $G$9) + CHOOSE(CONTROL!$C$38, 0.0256, 0)</f>
        <v>80.999299999999991</v>
      </c>
      <c r="G1025" s="10">
        <f>74.8789 * CHOOSE(CONTROL!$C$15, $E$9, 100%, $G$9) + CHOOSE(CONTROL!$C$38, 0.0347, 0)</f>
        <v>74.913600000000002</v>
      </c>
      <c r="H1025" s="10">
        <f>74.8789 * CHOOSE(CONTROL!$C$15, $E$9, 100%, $G$9) + CHOOSE(CONTROL!$C$38, 0.0347, 0)</f>
        <v>74.913600000000002</v>
      </c>
      <c r="I1025" s="10">
        <f>74.8805 * CHOOSE(CONTROL!$C$15, $E$9, 100%, $G$9) + CHOOSE(CONTROL!$C$38, 0.0347, 0)</f>
        <v>74.915199999999999</v>
      </c>
      <c r="J1025" s="26">
        <f>562.1671</f>
        <v>562.1671</v>
      </c>
    </row>
    <row r="1026" spans="1:10" ht="15.75" x14ac:dyDescent="0.25">
      <c r="A1026" s="13">
        <v>72532</v>
      </c>
      <c r="B1026" s="10">
        <f>80.9235 * CHOOSE(CONTROL!$C$15, $E$9, 100%, $G$9) + CHOOSE(CONTROL!$C$38, 0.0256, 0)</f>
        <v>80.949100000000001</v>
      </c>
      <c r="C1026" s="10">
        <f>74.674 * CHOOSE(CONTROL!$C$15, $E$9, 100%, $G$9) + CHOOSE(CONTROL!$C$38, 0.0347, 0)</f>
        <v>74.708700000000007</v>
      </c>
      <c r="D1026" s="10">
        <f>74.6662 * CHOOSE(CONTROL!$C$15, $E$9, 100%, $G$9) + CHOOSE(CONTROL!$C$38, 0.0347, 0)</f>
        <v>74.700900000000004</v>
      </c>
      <c r="E1026" s="28">
        <f>80.7672 * CHOOSE(CONTROL!$C$15, $E$9, 100%, $G$9) + CHOOSE(CONTROL!$C$38, 0.0347, 0)</f>
        <v>80.801900000000003</v>
      </c>
      <c r="F1026" s="27">
        <f>80.7672 * CHOOSE(CONTROL!$C$15, $E$9, 100%, $G$9) + CHOOSE(CONTROL!$C$38, 0.0256, 0)</f>
        <v>80.7928</v>
      </c>
      <c r="G1026" s="10">
        <f>74.6725 * CHOOSE(CONTROL!$C$15, $E$9, 100%, $G$9) + CHOOSE(CONTROL!$C$38, 0.0347, 0)</f>
        <v>74.7072</v>
      </c>
      <c r="H1026" s="10">
        <f>74.6725 * CHOOSE(CONTROL!$C$15, $E$9, 100%, $G$9) + CHOOSE(CONTROL!$C$38, 0.0347, 0)</f>
        <v>74.7072</v>
      </c>
      <c r="I1026" s="10">
        <f>74.674 * CHOOSE(CONTROL!$C$15, $E$9, 100%, $G$9) + CHOOSE(CONTROL!$C$38, 0.0347, 0)</f>
        <v>74.708700000000007</v>
      </c>
      <c r="J1026" s="26">
        <f>559.538</f>
        <v>559.53800000000001</v>
      </c>
    </row>
    <row r="1027" spans="1:10" ht="15.75" x14ac:dyDescent="0.25">
      <c r="A1027" s="13">
        <v>72563</v>
      </c>
      <c r="B1027" s="10">
        <f>81.0254 * CHOOSE(CONTROL!$C$15, $E$9, 100%, $G$9) + CHOOSE(CONTROL!$C$38, 0.0256, 0)</f>
        <v>81.051000000000002</v>
      </c>
      <c r="C1027" s="10">
        <f>74.7759 * CHOOSE(CONTROL!$C$15, $E$9, 100%, $G$9) + CHOOSE(CONTROL!$C$38, 0.0347, 0)</f>
        <v>74.810599999999994</v>
      </c>
      <c r="D1027" s="10">
        <f>74.7681 * CHOOSE(CONTROL!$C$15, $E$9, 100%, $G$9) + CHOOSE(CONTROL!$C$38, 0.0347, 0)</f>
        <v>74.802800000000005</v>
      </c>
      <c r="E1027" s="28">
        <f>80.8691 * CHOOSE(CONTROL!$C$15, $E$9, 100%, $G$9) + CHOOSE(CONTROL!$C$38, 0.0347, 0)</f>
        <v>80.903800000000004</v>
      </c>
      <c r="F1027" s="27">
        <f>80.8691 * CHOOSE(CONTROL!$C$15, $E$9, 100%, $G$9) + CHOOSE(CONTROL!$C$38, 0.0256, 0)</f>
        <v>80.8947</v>
      </c>
      <c r="G1027" s="10">
        <f>74.7744 * CHOOSE(CONTROL!$C$15, $E$9, 100%, $G$9) + CHOOSE(CONTROL!$C$38, 0.0347, 0)</f>
        <v>74.809100000000001</v>
      </c>
      <c r="H1027" s="10">
        <f>74.7744 * CHOOSE(CONTROL!$C$15, $E$9, 100%, $G$9) + CHOOSE(CONTROL!$C$38, 0.0347, 0)</f>
        <v>74.809100000000001</v>
      </c>
      <c r="I1027" s="10">
        <f>74.7759 * CHOOSE(CONTROL!$C$15, $E$9, 100%, $G$9) + CHOOSE(CONTROL!$C$38, 0.0347, 0)</f>
        <v>74.810599999999994</v>
      </c>
      <c r="J1027" s="26">
        <f>546.5122</f>
        <v>546.51220000000001</v>
      </c>
    </row>
    <row r="1028" spans="1:10" ht="15.75" x14ac:dyDescent="0.25">
      <c r="A1028" s="13">
        <v>72593</v>
      </c>
      <c r="B1028" s="10">
        <f>81.3022 * CHOOSE(CONTROL!$C$15, $E$9, 100%, $G$9) + CHOOSE(CONTROL!$C$38, 0.0256, 0)</f>
        <v>81.327799999999996</v>
      </c>
      <c r="C1028" s="10">
        <f>75.0527 * CHOOSE(CONTROL!$C$15, $E$9, 100%, $G$9) + CHOOSE(CONTROL!$C$38, 0.0347, 0)</f>
        <v>75.087400000000002</v>
      </c>
      <c r="D1028" s="10">
        <f>75.0449 * CHOOSE(CONTROL!$C$15, $E$9, 100%, $G$9) + CHOOSE(CONTROL!$C$38, 0.0347, 0)</f>
        <v>75.079599999999999</v>
      </c>
      <c r="E1028" s="28">
        <f>81.1459 * CHOOSE(CONTROL!$C$15, $E$9, 100%, $G$9) + CHOOSE(CONTROL!$C$38, 0.0347, 0)</f>
        <v>81.180599999999998</v>
      </c>
      <c r="F1028" s="27">
        <f>81.1459 * CHOOSE(CONTROL!$C$15, $E$9, 100%, $G$9) + CHOOSE(CONTROL!$C$38, 0.0256, 0)</f>
        <v>81.171499999999995</v>
      </c>
      <c r="G1028" s="10">
        <f>75.0512 * CHOOSE(CONTROL!$C$15, $E$9, 100%, $G$9) + CHOOSE(CONTROL!$C$38, 0.0347, 0)</f>
        <v>75.085899999999995</v>
      </c>
      <c r="H1028" s="10">
        <f>75.0512 * CHOOSE(CONTROL!$C$15, $E$9, 100%, $G$9) + CHOOSE(CONTROL!$C$38, 0.0347, 0)</f>
        <v>75.085899999999995</v>
      </c>
      <c r="I1028" s="10">
        <f>75.0527 * CHOOSE(CONTROL!$C$15, $E$9, 100%, $G$9) + CHOOSE(CONTROL!$C$38, 0.0347, 0)</f>
        <v>75.087400000000002</v>
      </c>
      <c r="J1028" s="26">
        <f>528.3471</f>
        <v>528.34709999999995</v>
      </c>
    </row>
    <row r="1029" spans="1:10" ht="15.75" x14ac:dyDescent="0.25">
      <c r="A1029" s="13">
        <v>72624</v>
      </c>
      <c r="B1029" s="10">
        <f>81.534 * CHOOSE(CONTROL!$C$15, $E$9, 100%, $G$9) + CHOOSE(CONTROL!$C$38, 0.0256, 0)</f>
        <v>81.559600000000003</v>
      </c>
      <c r="C1029" s="10">
        <f>75.2845 * CHOOSE(CONTROL!$C$15, $E$9, 100%, $G$9) + CHOOSE(CONTROL!$C$38, 0.0347, 0)</f>
        <v>75.319199999999995</v>
      </c>
      <c r="D1029" s="10">
        <f>75.2767 * CHOOSE(CONTROL!$C$15, $E$9, 100%, $G$9) + CHOOSE(CONTROL!$C$38, 0.0347, 0)</f>
        <v>75.311400000000006</v>
      </c>
      <c r="E1029" s="28">
        <f>81.3777 * CHOOSE(CONTROL!$C$15, $E$9, 100%, $G$9) + CHOOSE(CONTROL!$C$38, 0.0347, 0)</f>
        <v>81.412400000000005</v>
      </c>
      <c r="F1029" s="27">
        <f>81.3777 * CHOOSE(CONTROL!$C$15, $E$9, 100%, $G$9) + CHOOSE(CONTROL!$C$38, 0.0256, 0)</f>
        <v>81.403300000000002</v>
      </c>
      <c r="G1029" s="10">
        <f>75.283 * CHOOSE(CONTROL!$C$15, $E$9, 100%, $G$9) + CHOOSE(CONTROL!$C$38, 0.0347, 0)</f>
        <v>75.317700000000002</v>
      </c>
      <c r="H1029" s="10">
        <f>75.283 * CHOOSE(CONTROL!$C$15, $E$9, 100%, $G$9) + CHOOSE(CONTROL!$C$38, 0.0347, 0)</f>
        <v>75.317700000000002</v>
      </c>
      <c r="I1029" s="10">
        <f>75.2845 * CHOOSE(CONTROL!$C$15, $E$9, 100%, $G$9) + CHOOSE(CONTROL!$C$38, 0.0347, 0)</f>
        <v>75.319199999999995</v>
      </c>
      <c r="J1029" s="26">
        <f>510.0763</f>
        <v>510.0763</v>
      </c>
    </row>
    <row r="1030" spans="1:10" ht="15.75" x14ac:dyDescent="0.25">
      <c r="A1030" s="13">
        <v>72654</v>
      </c>
      <c r="B1030" s="10">
        <f>81.7274 * CHOOSE(CONTROL!$C$15, $E$9, 100%, $G$9) + CHOOSE(CONTROL!$C$38, 0.0256, 0)</f>
        <v>81.753</v>
      </c>
      <c r="C1030" s="10">
        <f>75.478 * CHOOSE(CONTROL!$C$15, $E$9, 100%, $G$9) + CHOOSE(CONTROL!$C$38, 0.0347, 0)</f>
        <v>75.512699999999995</v>
      </c>
      <c r="D1030" s="10">
        <f>75.4702 * CHOOSE(CONTROL!$C$15, $E$9, 100%, $G$9) + CHOOSE(CONTROL!$C$38, 0.0347, 0)</f>
        <v>75.504900000000006</v>
      </c>
      <c r="E1030" s="28">
        <f>81.5712 * CHOOSE(CONTROL!$C$15, $E$9, 100%, $G$9) + CHOOSE(CONTROL!$C$38, 0.0347, 0)</f>
        <v>81.605900000000005</v>
      </c>
      <c r="F1030" s="27">
        <f>81.5712 * CHOOSE(CONTROL!$C$15, $E$9, 100%, $G$9) + CHOOSE(CONTROL!$C$38, 0.0256, 0)</f>
        <v>81.596800000000002</v>
      </c>
      <c r="G1030" s="10">
        <f>75.4764 * CHOOSE(CONTROL!$C$15, $E$9, 100%, $G$9) + CHOOSE(CONTROL!$C$38, 0.0347, 0)</f>
        <v>75.511099999999999</v>
      </c>
      <c r="H1030" s="10">
        <f>75.4764 * CHOOSE(CONTROL!$C$15, $E$9, 100%, $G$9) + CHOOSE(CONTROL!$C$38, 0.0347, 0)</f>
        <v>75.511099999999999</v>
      </c>
      <c r="I1030" s="10">
        <f>75.478 * CHOOSE(CONTROL!$C$15, $E$9, 100%, $G$9) + CHOOSE(CONTROL!$C$38, 0.0347, 0)</f>
        <v>75.512699999999995</v>
      </c>
      <c r="J1030" s="26">
        <f>506.4418</f>
        <v>506.4418</v>
      </c>
    </row>
    <row r="1031" spans="1:10" ht="15.75" x14ac:dyDescent="0.25">
      <c r="A1031" s="13">
        <v>72685</v>
      </c>
      <c r="B1031" s="10">
        <f>82.3235 * CHOOSE(CONTROL!$C$15, $E$9, 100%, $G$9) + CHOOSE(CONTROL!$C$38, 0.0256, 0)</f>
        <v>82.349099999999993</v>
      </c>
      <c r="C1031" s="10">
        <f>76.0741 * CHOOSE(CONTROL!$C$15, $E$9, 100%, $G$9) + CHOOSE(CONTROL!$C$38, 0.0347, 0)</f>
        <v>76.108800000000002</v>
      </c>
      <c r="D1031" s="10">
        <f>76.0662 * CHOOSE(CONTROL!$C$15, $E$9, 100%, $G$9) + CHOOSE(CONTROL!$C$38, 0.0347, 0)</f>
        <v>76.100899999999996</v>
      </c>
      <c r="E1031" s="28">
        <f>82.1672 * CHOOSE(CONTROL!$C$15, $E$9, 100%, $G$9) + CHOOSE(CONTROL!$C$38, 0.0347, 0)</f>
        <v>82.201899999999995</v>
      </c>
      <c r="F1031" s="27">
        <f>82.1672 * CHOOSE(CONTROL!$C$15, $E$9, 100%, $G$9) + CHOOSE(CONTROL!$C$38, 0.0256, 0)</f>
        <v>82.192799999999991</v>
      </c>
      <c r="G1031" s="10">
        <f>76.0725 * CHOOSE(CONTROL!$C$15, $E$9, 100%, $G$9) + CHOOSE(CONTROL!$C$38, 0.0347, 0)</f>
        <v>76.107200000000006</v>
      </c>
      <c r="H1031" s="10">
        <f>76.0725 * CHOOSE(CONTROL!$C$15, $E$9, 100%, $G$9) + CHOOSE(CONTROL!$C$38, 0.0347, 0)</f>
        <v>76.107200000000006</v>
      </c>
      <c r="I1031" s="10">
        <f>76.0741 * CHOOSE(CONTROL!$C$15, $E$9, 100%, $G$9) + CHOOSE(CONTROL!$C$38, 0.0347, 0)</f>
        <v>76.108800000000002</v>
      </c>
      <c r="J1031" s="26">
        <f>491.4131</f>
        <v>491.41309999999999</v>
      </c>
    </row>
    <row r="1032" spans="1:10" ht="15.75" x14ac:dyDescent="0.25">
      <c r="A1032" s="13">
        <v>72716</v>
      </c>
      <c r="B1032" s="10">
        <f>84.228 * CHOOSE(CONTROL!$C$15, $E$9, 100%, $G$9) + CHOOSE(CONTROL!$C$38, 0.0256, 0)</f>
        <v>84.253599999999992</v>
      </c>
      <c r="C1032" s="10">
        <f>77.8709 * CHOOSE(CONTROL!$C$15, $E$9, 100%, $G$9) + CHOOSE(CONTROL!$C$38, 0.0347, 0)</f>
        <v>77.905600000000007</v>
      </c>
      <c r="D1032" s="10">
        <f>77.8631 * CHOOSE(CONTROL!$C$15, $E$9, 100%, $G$9) + CHOOSE(CONTROL!$C$38, 0.0347, 0)</f>
        <v>77.897800000000004</v>
      </c>
      <c r="E1032" s="28">
        <f>84.0717 * CHOOSE(CONTROL!$C$15, $E$9, 100%, $G$9) + CHOOSE(CONTROL!$C$38, 0.0347, 0)</f>
        <v>84.106400000000008</v>
      </c>
      <c r="F1032" s="27">
        <f>84.0717 * CHOOSE(CONTROL!$C$15, $E$9, 100%, $G$9) + CHOOSE(CONTROL!$C$38, 0.0256, 0)</f>
        <v>84.097300000000004</v>
      </c>
      <c r="G1032" s="10">
        <f>77.8693 * CHOOSE(CONTROL!$C$15, $E$9, 100%, $G$9) + CHOOSE(CONTROL!$C$38, 0.0347, 0)</f>
        <v>77.903999999999996</v>
      </c>
      <c r="H1032" s="10">
        <f>77.8693 * CHOOSE(CONTROL!$C$15, $E$9, 100%, $G$9) + CHOOSE(CONTROL!$C$38, 0.0347, 0)</f>
        <v>77.903999999999996</v>
      </c>
      <c r="I1032" s="10">
        <f>77.8709 * CHOOSE(CONTROL!$C$15, $E$9, 100%, $G$9) + CHOOSE(CONTROL!$C$38, 0.0347, 0)</f>
        <v>77.905600000000007</v>
      </c>
      <c r="J1032" s="26">
        <f>488.1214</f>
        <v>488.12139999999999</v>
      </c>
    </row>
    <row r="1033" spans="1:10" ht="15.75" x14ac:dyDescent="0.25">
      <c r="A1033" s="13">
        <v>72744</v>
      </c>
      <c r="B1033" s="10">
        <f>84.4487 * CHOOSE(CONTROL!$C$15, $E$9, 100%, $G$9) + CHOOSE(CONTROL!$C$38, 0.0256, 0)</f>
        <v>84.474299999999999</v>
      </c>
      <c r="C1033" s="10">
        <f>78.0916 * CHOOSE(CONTROL!$C$15, $E$9, 100%, $G$9) + CHOOSE(CONTROL!$C$38, 0.0347, 0)</f>
        <v>78.126300000000001</v>
      </c>
      <c r="D1033" s="10">
        <f>78.0838 * CHOOSE(CONTROL!$C$15, $E$9, 100%, $G$9) + CHOOSE(CONTROL!$C$38, 0.0347, 0)</f>
        <v>78.118499999999997</v>
      </c>
      <c r="E1033" s="28">
        <f>84.2925 * CHOOSE(CONTROL!$C$15, $E$9, 100%, $G$9) + CHOOSE(CONTROL!$C$38, 0.0347, 0)</f>
        <v>84.327200000000005</v>
      </c>
      <c r="F1033" s="27">
        <f>84.2925 * CHOOSE(CONTROL!$C$15, $E$9, 100%, $G$9) + CHOOSE(CONTROL!$C$38, 0.0256, 0)</f>
        <v>84.318100000000001</v>
      </c>
      <c r="G1033" s="10">
        <f>78.0901 * CHOOSE(CONTROL!$C$15, $E$9, 100%, $G$9) + CHOOSE(CONTROL!$C$38, 0.0347, 0)</f>
        <v>78.124800000000008</v>
      </c>
      <c r="H1033" s="10">
        <f>78.0901 * CHOOSE(CONTROL!$C$15, $E$9, 100%, $G$9) + CHOOSE(CONTROL!$C$38, 0.0347, 0)</f>
        <v>78.124800000000008</v>
      </c>
      <c r="I1033" s="10">
        <f>78.0916 * CHOOSE(CONTROL!$C$15, $E$9, 100%, $G$9) + CHOOSE(CONTROL!$C$38, 0.0347, 0)</f>
        <v>78.126300000000001</v>
      </c>
      <c r="J1033" s="26">
        <f>486.7646</f>
        <v>486.76459999999997</v>
      </c>
    </row>
    <row r="1034" spans="1:10" ht="15.75" x14ac:dyDescent="0.25">
      <c r="A1034" s="13">
        <v>72775</v>
      </c>
      <c r="B1034" s="10">
        <f>83.9377 * CHOOSE(CONTROL!$C$15, $E$9, 100%, $G$9) + CHOOSE(CONTROL!$C$38, 0.0256, 0)</f>
        <v>83.963300000000004</v>
      </c>
      <c r="C1034" s="10">
        <f>77.5806 * CHOOSE(CONTROL!$C$15, $E$9, 100%, $G$9) + CHOOSE(CONTROL!$C$38, 0.0347, 0)</f>
        <v>77.615300000000005</v>
      </c>
      <c r="D1034" s="10">
        <f>77.5728 * CHOOSE(CONTROL!$C$15, $E$9, 100%, $G$9) + CHOOSE(CONTROL!$C$38, 0.0347, 0)</f>
        <v>77.607500000000002</v>
      </c>
      <c r="E1034" s="28">
        <f>83.7814 * CHOOSE(CONTROL!$C$15, $E$9, 100%, $G$9) + CHOOSE(CONTROL!$C$38, 0.0347, 0)</f>
        <v>83.816100000000006</v>
      </c>
      <c r="F1034" s="27">
        <f>83.7814 * CHOOSE(CONTROL!$C$15, $E$9, 100%, $G$9) + CHOOSE(CONTROL!$C$38, 0.0256, 0)</f>
        <v>83.807000000000002</v>
      </c>
      <c r="G1034" s="10">
        <f>77.579 * CHOOSE(CONTROL!$C$15, $E$9, 100%, $G$9) + CHOOSE(CONTROL!$C$38, 0.0347, 0)</f>
        <v>77.613699999999994</v>
      </c>
      <c r="H1034" s="10">
        <f>77.579 * CHOOSE(CONTROL!$C$15, $E$9, 100%, $G$9) + CHOOSE(CONTROL!$C$38, 0.0347, 0)</f>
        <v>77.613699999999994</v>
      </c>
      <c r="I1034" s="10">
        <f>77.5806 * CHOOSE(CONTROL!$C$15, $E$9, 100%, $G$9) + CHOOSE(CONTROL!$C$38, 0.0347, 0)</f>
        <v>77.615300000000005</v>
      </c>
      <c r="J1034" s="26">
        <f>512.4199</f>
        <v>512.41989999999998</v>
      </c>
    </row>
    <row r="1035" spans="1:10" ht="15.75" x14ac:dyDescent="0.25">
      <c r="A1035" s="13">
        <v>72805</v>
      </c>
      <c r="B1035" s="10">
        <f>83.4425 * CHOOSE(CONTROL!$C$15, $E$9, 100%, $G$9) + CHOOSE(CONTROL!$C$38, 0.0256, 0)</f>
        <v>83.468099999999993</v>
      </c>
      <c r="C1035" s="10">
        <f>77.0854 * CHOOSE(CONTROL!$C$15, $E$9, 100%, $G$9) + CHOOSE(CONTROL!$C$38, 0.0347, 0)</f>
        <v>77.120100000000008</v>
      </c>
      <c r="D1035" s="10">
        <f>77.0776 * CHOOSE(CONTROL!$C$15, $E$9, 100%, $G$9) + CHOOSE(CONTROL!$C$38, 0.0347, 0)</f>
        <v>77.112300000000005</v>
      </c>
      <c r="E1035" s="28">
        <f>83.2863 * CHOOSE(CONTROL!$C$15, $E$9, 100%, $G$9) + CHOOSE(CONTROL!$C$38, 0.0347, 0)</f>
        <v>83.320999999999998</v>
      </c>
      <c r="F1035" s="27">
        <f>83.2863 * CHOOSE(CONTROL!$C$15, $E$9, 100%, $G$9) + CHOOSE(CONTROL!$C$38, 0.0256, 0)</f>
        <v>83.311899999999994</v>
      </c>
      <c r="G1035" s="10">
        <f>77.0839 * CHOOSE(CONTROL!$C$15, $E$9, 100%, $G$9) + CHOOSE(CONTROL!$C$38, 0.0347, 0)</f>
        <v>77.118600000000001</v>
      </c>
      <c r="H1035" s="10">
        <f>77.0839 * CHOOSE(CONTROL!$C$15, $E$9, 100%, $G$9) + CHOOSE(CONTROL!$C$38, 0.0347, 0)</f>
        <v>77.118600000000001</v>
      </c>
      <c r="I1035" s="10">
        <f>77.0854 * CHOOSE(CONTROL!$C$15, $E$9, 100%, $G$9) + CHOOSE(CONTROL!$C$38, 0.0347, 0)</f>
        <v>77.120100000000008</v>
      </c>
      <c r="J1035" s="26">
        <f>545.6887</f>
        <v>545.68870000000004</v>
      </c>
    </row>
    <row r="1036" spans="1:10" ht="15.75" x14ac:dyDescent="0.25">
      <c r="A1036" s="13">
        <v>72836</v>
      </c>
      <c r="B1036" s="10">
        <f>82.9264 * CHOOSE(CONTROL!$C$15, $E$9, 100%, $G$9) + CHOOSE(CONTROL!$C$38, 0.0256, 0)</f>
        <v>82.951999999999998</v>
      </c>
      <c r="C1036" s="10">
        <f>76.5693 * CHOOSE(CONTROL!$C$15, $E$9, 100%, $G$9) + CHOOSE(CONTROL!$C$38, 0.0347, 0)</f>
        <v>76.603999999999999</v>
      </c>
      <c r="D1036" s="10">
        <f>76.5615 * CHOOSE(CONTROL!$C$15, $E$9, 100%, $G$9) + CHOOSE(CONTROL!$C$38, 0.0347, 0)</f>
        <v>76.596199999999996</v>
      </c>
      <c r="E1036" s="28">
        <f>82.7702 * CHOOSE(CONTROL!$C$15, $E$9, 100%, $G$9) + CHOOSE(CONTROL!$C$38, 0.0347, 0)</f>
        <v>82.804900000000004</v>
      </c>
      <c r="F1036" s="27">
        <f>82.7702 * CHOOSE(CONTROL!$C$15, $E$9, 100%, $G$9) + CHOOSE(CONTROL!$C$38, 0.0256, 0)</f>
        <v>82.7958</v>
      </c>
      <c r="G1036" s="10">
        <f>76.5677 * CHOOSE(CONTROL!$C$15, $E$9, 100%, $G$9) + CHOOSE(CONTROL!$C$38, 0.0347, 0)</f>
        <v>76.602400000000003</v>
      </c>
      <c r="H1036" s="10">
        <f>76.5677 * CHOOSE(CONTROL!$C$15, $E$9, 100%, $G$9) + CHOOSE(CONTROL!$C$38, 0.0347, 0)</f>
        <v>76.602400000000003</v>
      </c>
      <c r="I1036" s="10">
        <f>76.5693 * CHOOSE(CONTROL!$C$15, $E$9, 100%, $G$9) + CHOOSE(CONTROL!$C$38, 0.0347, 0)</f>
        <v>76.603999999999999</v>
      </c>
      <c r="J1036" s="26">
        <f>564.001</f>
        <v>564.00099999999998</v>
      </c>
    </row>
    <row r="1037" spans="1:10" ht="15.75" x14ac:dyDescent="0.25">
      <c r="A1037" s="13">
        <v>72866</v>
      </c>
      <c r="B1037" s="10">
        <f>82.5646 * CHOOSE(CONTROL!$C$15, $E$9, 100%, $G$9) + CHOOSE(CONTROL!$C$38, 0.0256, 0)</f>
        <v>82.590199999999996</v>
      </c>
      <c r="C1037" s="10">
        <f>76.2075 * CHOOSE(CONTROL!$C$15, $E$9, 100%, $G$9) + CHOOSE(CONTROL!$C$38, 0.0347, 0)</f>
        <v>76.242199999999997</v>
      </c>
      <c r="D1037" s="10">
        <f>76.1997 * CHOOSE(CONTROL!$C$15, $E$9, 100%, $G$9) + CHOOSE(CONTROL!$C$38, 0.0347, 0)</f>
        <v>76.234400000000008</v>
      </c>
      <c r="E1037" s="28">
        <f>82.4083 * CHOOSE(CONTROL!$C$15, $E$9, 100%, $G$9) + CHOOSE(CONTROL!$C$38, 0.0347, 0)</f>
        <v>82.442999999999998</v>
      </c>
      <c r="F1037" s="27">
        <f>82.4083 * CHOOSE(CONTROL!$C$15, $E$9, 100%, $G$9) + CHOOSE(CONTROL!$C$38, 0.0256, 0)</f>
        <v>82.433899999999994</v>
      </c>
      <c r="G1037" s="10">
        <f>76.2059 * CHOOSE(CONTROL!$C$15, $E$9, 100%, $G$9) + CHOOSE(CONTROL!$C$38, 0.0347, 0)</f>
        <v>76.240600000000001</v>
      </c>
      <c r="H1037" s="10">
        <f>76.2059 * CHOOSE(CONTROL!$C$15, $E$9, 100%, $G$9) + CHOOSE(CONTROL!$C$38, 0.0347, 0)</f>
        <v>76.240600000000001</v>
      </c>
      <c r="I1037" s="10">
        <f>76.2075 * CHOOSE(CONTROL!$C$15, $E$9, 100%, $G$9) + CHOOSE(CONTROL!$C$38, 0.0347, 0)</f>
        <v>76.242199999999997</v>
      </c>
      <c r="J1037" s="26">
        <f>572.1276</f>
        <v>572.12760000000003</v>
      </c>
    </row>
    <row r="1038" spans="1:10" ht="15.75" x14ac:dyDescent="0.25">
      <c r="A1038" s="13">
        <v>72897</v>
      </c>
      <c r="B1038" s="10">
        <f>82.3581 * CHOOSE(CONTROL!$C$15, $E$9, 100%, $G$9) + CHOOSE(CONTROL!$C$38, 0.0256, 0)</f>
        <v>82.38369999999999</v>
      </c>
      <c r="C1038" s="10">
        <f>76.001 * CHOOSE(CONTROL!$C$15, $E$9, 100%, $G$9) + CHOOSE(CONTROL!$C$38, 0.0347, 0)</f>
        <v>76.035700000000006</v>
      </c>
      <c r="D1038" s="10">
        <f>75.9932 * CHOOSE(CONTROL!$C$15, $E$9, 100%, $G$9) + CHOOSE(CONTROL!$C$38, 0.0347, 0)</f>
        <v>76.027900000000002</v>
      </c>
      <c r="E1038" s="28">
        <f>82.2018 * CHOOSE(CONTROL!$C$15, $E$9, 100%, $G$9) + CHOOSE(CONTROL!$C$38, 0.0347, 0)</f>
        <v>82.236500000000007</v>
      </c>
      <c r="F1038" s="27">
        <f>82.2018 * CHOOSE(CONTROL!$C$15, $E$9, 100%, $G$9) + CHOOSE(CONTROL!$C$38, 0.0256, 0)</f>
        <v>82.227400000000003</v>
      </c>
      <c r="G1038" s="10">
        <f>75.9994 * CHOOSE(CONTROL!$C$15, $E$9, 100%, $G$9) + CHOOSE(CONTROL!$C$38, 0.0347, 0)</f>
        <v>76.034099999999995</v>
      </c>
      <c r="H1038" s="10">
        <f>75.9994 * CHOOSE(CONTROL!$C$15, $E$9, 100%, $G$9) + CHOOSE(CONTROL!$C$38, 0.0347, 0)</f>
        <v>76.034099999999995</v>
      </c>
      <c r="I1038" s="10">
        <f>76.001 * CHOOSE(CONTROL!$C$15, $E$9, 100%, $G$9) + CHOOSE(CONTROL!$C$38, 0.0347, 0)</f>
        <v>76.035700000000006</v>
      </c>
      <c r="J1038" s="26">
        <f>569.4519</f>
        <v>569.45190000000002</v>
      </c>
    </row>
    <row r="1039" spans="1:10" ht="15.75" x14ac:dyDescent="0.25">
      <c r="A1039" s="13">
        <v>72928</v>
      </c>
      <c r="B1039" s="10">
        <f>82.46 * CHOOSE(CONTROL!$C$15, $E$9, 100%, $G$9) + CHOOSE(CONTROL!$C$38, 0.0256, 0)</f>
        <v>82.485599999999991</v>
      </c>
      <c r="C1039" s="10">
        <f>76.1029 * CHOOSE(CONTROL!$C$15, $E$9, 100%, $G$9) + CHOOSE(CONTROL!$C$38, 0.0347, 0)</f>
        <v>76.137600000000006</v>
      </c>
      <c r="D1039" s="10">
        <f>76.0951 * CHOOSE(CONTROL!$C$15, $E$9, 100%, $G$9) + CHOOSE(CONTROL!$C$38, 0.0347, 0)</f>
        <v>76.129800000000003</v>
      </c>
      <c r="E1039" s="28">
        <f>82.3037 * CHOOSE(CONTROL!$C$15, $E$9, 100%, $G$9) + CHOOSE(CONTROL!$C$38, 0.0347, 0)</f>
        <v>82.338400000000007</v>
      </c>
      <c r="F1039" s="27">
        <f>82.3037 * CHOOSE(CONTROL!$C$15, $E$9, 100%, $G$9) + CHOOSE(CONTROL!$C$38, 0.0256, 0)</f>
        <v>82.329300000000003</v>
      </c>
      <c r="G1039" s="10">
        <f>76.1013 * CHOOSE(CONTROL!$C$15, $E$9, 100%, $G$9) + CHOOSE(CONTROL!$C$38, 0.0347, 0)</f>
        <v>76.135999999999996</v>
      </c>
      <c r="H1039" s="10">
        <f>76.1013 * CHOOSE(CONTROL!$C$15, $E$9, 100%, $G$9) + CHOOSE(CONTROL!$C$38, 0.0347, 0)</f>
        <v>76.135999999999996</v>
      </c>
      <c r="I1039" s="10">
        <f>76.1029 * CHOOSE(CONTROL!$C$15, $E$9, 100%, $G$9) + CHOOSE(CONTROL!$C$38, 0.0347, 0)</f>
        <v>76.137600000000006</v>
      </c>
      <c r="J1039" s="26">
        <f>556.1953</f>
        <v>556.19529999999997</v>
      </c>
    </row>
    <row r="1040" spans="1:10" ht="15.75" x14ac:dyDescent="0.25">
      <c r="A1040" s="13">
        <v>72958</v>
      </c>
      <c r="B1040" s="10">
        <f>82.7368 * CHOOSE(CONTROL!$C$15, $E$9, 100%, $G$9) + CHOOSE(CONTROL!$C$38, 0.0256, 0)</f>
        <v>82.7624</v>
      </c>
      <c r="C1040" s="10">
        <f>76.3797 * CHOOSE(CONTROL!$C$15, $E$9, 100%, $G$9) + CHOOSE(CONTROL!$C$38, 0.0347, 0)</f>
        <v>76.414400000000001</v>
      </c>
      <c r="D1040" s="10">
        <f>76.3719 * CHOOSE(CONTROL!$C$15, $E$9, 100%, $G$9) + CHOOSE(CONTROL!$C$38, 0.0347, 0)</f>
        <v>76.406599999999997</v>
      </c>
      <c r="E1040" s="28">
        <f>82.5805 * CHOOSE(CONTROL!$C$15, $E$9, 100%, $G$9) + CHOOSE(CONTROL!$C$38, 0.0347, 0)</f>
        <v>82.615200000000002</v>
      </c>
      <c r="F1040" s="27">
        <f>82.5805 * CHOOSE(CONTROL!$C$15, $E$9, 100%, $G$9) + CHOOSE(CONTROL!$C$38, 0.0256, 0)</f>
        <v>82.606099999999998</v>
      </c>
      <c r="G1040" s="10">
        <f>76.3781 * CHOOSE(CONTROL!$C$15, $E$9, 100%, $G$9) + CHOOSE(CONTROL!$C$38, 0.0347, 0)</f>
        <v>76.412800000000004</v>
      </c>
      <c r="H1040" s="10">
        <f>76.3781 * CHOOSE(CONTROL!$C$15, $E$9, 100%, $G$9) + CHOOSE(CONTROL!$C$38, 0.0347, 0)</f>
        <v>76.412800000000004</v>
      </c>
      <c r="I1040" s="10">
        <f>76.3797 * CHOOSE(CONTROL!$C$15, $E$9, 100%, $G$9) + CHOOSE(CONTROL!$C$38, 0.0347, 0)</f>
        <v>76.414400000000001</v>
      </c>
      <c r="J1040" s="26">
        <f>537.7084</f>
        <v>537.70839999999998</v>
      </c>
    </row>
    <row r="1041" spans="1:10" ht="15.75" x14ac:dyDescent="0.25">
      <c r="A1041" s="13">
        <v>72989</v>
      </c>
      <c r="B1041" s="10">
        <f>82.9686 * CHOOSE(CONTROL!$C$15, $E$9, 100%, $G$9) + CHOOSE(CONTROL!$C$38, 0.0256, 0)</f>
        <v>82.994199999999992</v>
      </c>
      <c r="C1041" s="10">
        <f>76.6115 * CHOOSE(CONTROL!$C$15, $E$9, 100%, $G$9) + CHOOSE(CONTROL!$C$38, 0.0347, 0)</f>
        <v>76.646200000000007</v>
      </c>
      <c r="D1041" s="10">
        <f>76.6037 * CHOOSE(CONTROL!$C$15, $E$9, 100%, $G$9) + CHOOSE(CONTROL!$C$38, 0.0347, 0)</f>
        <v>76.638400000000004</v>
      </c>
      <c r="E1041" s="28">
        <f>82.8124 * CHOOSE(CONTROL!$C$15, $E$9, 100%, $G$9) + CHOOSE(CONTROL!$C$38, 0.0347, 0)</f>
        <v>82.847099999999998</v>
      </c>
      <c r="F1041" s="27">
        <f>82.8124 * CHOOSE(CONTROL!$C$15, $E$9, 100%, $G$9) + CHOOSE(CONTROL!$C$38, 0.0256, 0)</f>
        <v>82.837999999999994</v>
      </c>
      <c r="G1041" s="10">
        <f>76.6099 * CHOOSE(CONTROL!$C$15, $E$9, 100%, $G$9) + CHOOSE(CONTROL!$C$38, 0.0347, 0)</f>
        <v>76.644599999999997</v>
      </c>
      <c r="H1041" s="10">
        <f>76.6099 * CHOOSE(CONTROL!$C$15, $E$9, 100%, $G$9) + CHOOSE(CONTROL!$C$38, 0.0347, 0)</f>
        <v>76.644599999999997</v>
      </c>
      <c r="I1041" s="10">
        <f>76.6115 * CHOOSE(CONTROL!$C$15, $E$9, 100%, $G$9) + CHOOSE(CONTROL!$C$38, 0.0347, 0)</f>
        <v>76.646200000000007</v>
      </c>
      <c r="J1041" s="26">
        <f>519.1139</f>
        <v>519.11389999999994</v>
      </c>
    </row>
    <row r="1042" spans="1:10" ht="15.75" x14ac:dyDescent="0.25">
      <c r="A1042" s="13">
        <v>73019</v>
      </c>
      <c r="B1042" s="10">
        <f>83.162 * CHOOSE(CONTROL!$C$15, $E$9, 100%, $G$9) + CHOOSE(CONTROL!$C$38, 0.0256, 0)</f>
        <v>83.187600000000003</v>
      </c>
      <c r="C1042" s="10">
        <f>76.8049 * CHOOSE(CONTROL!$C$15, $E$9, 100%, $G$9) + CHOOSE(CONTROL!$C$38, 0.0347, 0)</f>
        <v>76.839600000000004</v>
      </c>
      <c r="D1042" s="10">
        <f>76.7971 * CHOOSE(CONTROL!$C$15, $E$9, 100%, $G$9) + CHOOSE(CONTROL!$C$38, 0.0347, 0)</f>
        <v>76.831800000000001</v>
      </c>
      <c r="E1042" s="28">
        <f>83.0058 * CHOOSE(CONTROL!$C$15, $E$9, 100%, $G$9) + CHOOSE(CONTROL!$C$38, 0.0347, 0)</f>
        <v>83.040499999999994</v>
      </c>
      <c r="F1042" s="27">
        <f>83.0058 * CHOOSE(CONTROL!$C$15, $E$9, 100%, $G$9) + CHOOSE(CONTROL!$C$38, 0.0256, 0)</f>
        <v>83.031399999999991</v>
      </c>
      <c r="G1042" s="10">
        <f>76.8034 * CHOOSE(CONTROL!$C$15, $E$9, 100%, $G$9) + CHOOSE(CONTROL!$C$38, 0.0347, 0)</f>
        <v>76.838099999999997</v>
      </c>
      <c r="H1042" s="10">
        <f>76.8034 * CHOOSE(CONTROL!$C$15, $E$9, 100%, $G$9) + CHOOSE(CONTROL!$C$38, 0.0347, 0)</f>
        <v>76.838099999999997</v>
      </c>
      <c r="I1042" s="10">
        <f>76.8049 * CHOOSE(CONTROL!$C$15, $E$9, 100%, $G$9) + CHOOSE(CONTROL!$C$38, 0.0347, 0)</f>
        <v>76.839600000000004</v>
      </c>
      <c r="J1042" s="26">
        <f>515.415</f>
        <v>515.41499999999996</v>
      </c>
    </row>
    <row r="1043" spans="1:10" ht="15.75" x14ac:dyDescent="0.25">
      <c r="A1043" s="13">
        <v>73050</v>
      </c>
      <c r="B1043" s="10">
        <f>83.7581 * CHOOSE(CONTROL!$C$15, $E$9, 100%, $G$9) + CHOOSE(CONTROL!$C$38, 0.0256, 0)</f>
        <v>83.783699999999996</v>
      </c>
      <c r="C1043" s="10">
        <f>77.401 * CHOOSE(CONTROL!$C$15, $E$9, 100%, $G$9) + CHOOSE(CONTROL!$C$38, 0.0347, 0)</f>
        <v>77.435699999999997</v>
      </c>
      <c r="D1043" s="10">
        <f>77.3932 * CHOOSE(CONTROL!$C$15, $E$9, 100%, $G$9) + CHOOSE(CONTROL!$C$38, 0.0347, 0)</f>
        <v>77.427899999999994</v>
      </c>
      <c r="E1043" s="28">
        <f>83.6019 * CHOOSE(CONTROL!$C$15, $E$9, 100%, $G$9) + CHOOSE(CONTROL!$C$38, 0.0347, 0)</f>
        <v>83.636600000000001</v>
      </c>
      <c r="F1043" s="27">
        <f>83.6019 * CHOOSE(CONTROL!$C$15, $E$9, 100%, $G$9) + CHOOSE(CONTROL!$C$38, 0.0256, 0)</f>
        <v>83.627499999999998</v>
      </c>
      <c r="G1043" s="10">
        <f>77.3995 * CHOOSE(CONTROL!$C$15, $E$9, 100%, $G$9) + CHOOSE(CONTROL!$C$38, 0.0347, 0)</f>
        <v>77.434200000000004</v>
      </c>
      <c r="H1043" s="10">
        <f>77.3995 * CHOOSE(CONTROL!$C$15, $E$9, 100%, $G$9) + CHOOSE(CONTROL!$C$38, 0.0347, 0)</f>
        <v>77.434200000000004</v>
      </c>
      <c r="I1043" s="10">
        <f>77.401 * CHOOSE(CONTROL!$C$15, $E$9, 100%, $G$9) + CHOOSE(CONTROL!$C$38, 0.0347, 0)</f>
        <v>77.435699999999997</v>
      </c>
      <c r="J1043" s="26">
        <f>500.1201</f>
        <v>500.12009999999998</v>
      </c>
    </row>
    <row r="1044" spans="1:10" ht="15.75" x14ac:dyDescent="0.25">
      <c r="A1044" s="13">
        <v>73081</v>
      </c>
      <c r="B1044" s="10">
        <f>85.6879 * CHOOSE(CONTROL!$C$15, $E$9, 100%, $G$9) + CHOOSE(CONTROL!$C$38, 0.0256, 0)</f>
        <v>85.713499999999996</v>
      </c>
      <c r="C1044" s="10">
        <f>79.2213 * CHOOSE(CONTROL!$C$15, $E$9, 100%, $G$9) + CHOOSE(CONTROL!$C$38, 0.0347, 0)</f>
        <v>79.256</v>
      </c>
      <c r="D1044" s="10">
        <f>79.2135 * CHOOSE(CONTROL!$C$15, $E$9, 100%, $G$9) + CHOOSE(CONTROL!$C$38, 0.0347, 0)</f>
        <v>79.248199999999997</v>
      </c>
      <c r="E1044" s="28">
        <f>85.5317 * CHOOSE(CONTROL!$C$15, $E$9, 100%, $G$9) + CHOOSE(CONTROL!$C$38, 0.0347, 0)</f>
        <v>85.566400000000002</v>
      </c>
      <c r="F1044" s="27">
        <f>85.5317 * CHOOSE(CONTROL!$C$15, $E$9, 100%, $G$9) + CHOOSE(CONTROL!$C$38, 0.0256, 0)</f>
        <v>85.557299999999998</v>
      </c>
      <c r="G1044" s="10">
        <f>79.2197 * CHOOSE(CONTROL!$C$15, $E$9, 100%, $G$9) + CHOOSE(CONTROL!$C$38, 0.0347, 0)</f>
        <v>79.254400000000004</v>
      </c>
      <c r="H1044" s="10">
        <f>79.2197 * CHOOSE(CONTROL!$C$15, $E$9, 100%, $G$9) + CHOOSE(CONTROL!$C$38, 0.0347, 0)</f>
        <v>79.254400000000004</v>
      </c>
      <c r="I1044" s="10">
        <f>79.2213 * CHOOSE(CONTROL!$C$15, $E$9, 100%, $G$9) + CHOOSE(CONTROL!$C$38, 0.0347, 0)</f>
        <v>79.256</v>
      </c>
      <c r="J1044" s="26">
        <f>496.77</f>
        <v>496.77</v>
      </c>
    </row>
    <row r="1045" spans="1:10" ht="15.75" x14ac:dyDescent="0.25">
      <c r="A1045" s="13">
        <v>73109</v>
      </c>
      <c r="B1045" s="10">
        <f>85.9087 * CHOOSE(CONTROL!$C$15, $E$9, 100%, $G$9) + CHOOSE(CONTROL!$C$38, 0.0256, 0)</f>
        <v>85.934299999999993</v>
      </c>
      <c r="C1045" s="10">
        <f>79.442 * CHOOSE(CONTROL!$C$15, $E$9, 100%, $G$9) + CHOOSE(CONTROL!$C$38, 0.0347, 0)</f>
        <v>79.476699999999994</v>
      </c>
      <c r="D1045" s="10">
        <f>79.4342 * CHOOSE(CONTROL!$C$15, $E$9, 100%, $G$9) + CHOOSE(CONTROL!$C$38, 0.0347, 0)</f>
        <v>79.468900000000005</v>
      </c>
      <c r="E1045" s="28">
        <f>85.7524 * CHOOSE(CONTROL!$C$15, $E$9, 100%, $G$9) + CHOOSE(CONTROL!$C$38, 0.0347, 0)</f>
        <v>85.787099999999995</v>
      </c>
      <c r="F1045" s="27">
        <f>85.7524 * CHOOSE(CONTROL!$C$15, $E$9, 100%, $G$9) + CHOOSE(CONTROL!$C$38, 0.0256, 0)</f>
        <v>85.777999999999992</v>
      </c>
      <c r="G1045" s="10">
        <f>79.4405 * CHOOSE(CONTROL!$C$15, $E$9, 100%, $G$9) + CHOOSE(CONTROL!$C$38, 0.0347, 0)</f>
        <v>79.475200000000001</v>
      </c>
      <c r="H1045" s="10">
        <f>79.4405 * CHOOSE(CONTROL!$C$15, $E$9, 100%, $G$9) + CHOOSE(CONTROL!$C$38, 0.0347, 0)</f>
        <v>79.475200000000001</v>
      </c>
      <c r="I1045" s="10">
        <f>79.442 * CHOOSE(CONTROL!$C$15, $E$9, 100%, $G$9) + CHOOSE(CONTROL!$C$38, 0.0347, 0)</f>
        <v>79.476699999999994</v>
      </c>
      <c r="J1045" s="26">
        <f>495.3892</f>
        <v>495.38920000000002</v>
      </c>
    </row>
    <row r="1046" spans="1:10" ht="15.75" x14ac:dyDescent="0.25">
      <c r="A1046" s="13">
        <v>73140</v>
      </c>
      <c r="B1046" s="10">
        <f>85.3977 * CHOOSE(CONTROL!$C$15, $E$9, 100%, $G$9) + CHOOSE(CONTROL!$C$38, 0.0256, 0)</f>
        <v>85.423299999999998</v>
      </c>
      <c r="C1046" s="10">
        <f>78.931 * CHOOSE(CONTROL!$C$15, $E$9, 100%, $G$9) + CHOOSE(CONTROL!$C$38, 0.0347, 0)</f>
        <v>78.965699999999998</v>
      </c>
      <c r="D1046" s="10">
        <f>78.9232 * CHOOSE(CONTROL!$C$15, $E$9, 100%, $G$9) + CHOOSE(CONTROL!$C$38, 0.0347, 0)</f>
        <v>78.957899999999995</v>
      </c>
      <c r="E1046" s="28">
        <f>85.2414 * CHOOSE(CONTROL!$C$15, $E$9, 100%, $G$9) + CHOOSE(CONTROL!$C$38, 0.0347, 0)</f>
        <v>85.2761</v>
      </c>
      <c r="F1046" s="27">
        <f>85.2414 * CHOOSE(CONTROL!$C$15, $E$9, 100%, $G$9) + CHOOSE(CONTROL!$C$38, 0.0256, 0)</f>
        <v>85.266999999999996</v>
      </c>
      <c r="G1046" s="10">
        <f>78.9294 * CHOOSE(CONTROL!$C$15, $E$9, 100%, $G$9) + CHOOSE(CONTROL!$C$38, 0.0347, 0)</f>
        <v>78.964100000000002</v>
      </c>
      <c r="H1046" s="10">
        <f>78.9294 * CHOOSE(CONTROL!$C$15, $E$9, 100%, $G$9) + CHOOSE(CONTROL!$C$38, 0.0347, 0)</f>
        <v>78.964100000000002</v>
      </c>
      <c r="I1046" s="10">
        <f>78.931 * CHOOSE(CONTROL!$C$15, $E$9, 100%, $G$9) + CHOOSE(CONTROL!$C$38, 0.0347, 0)</f>
        <v>78.965699999999998</v>
      </c>
      <c r="J1046" s="26">
        <f>521.499</f>
        <v>521.49900000000002</v>
      </c>
    </row>
    <row r="1047" spans="1:10" ht="15.75" x14ac:dyDescent="0.25">
      <c r="A1047" s="13">
        <v>73170</v>
      </c>
      <c r="B1047" s="10">
        <f>84.9025 * CHOOSE(CONTROL!$C$15, $E$9, 100%, $G$9) + CHOOSE(CONTROL!$C$38, 0.0256, 0)</f>
        <v>84.928100000000001</v>
      </c>
      <c r="C1047" s="10">
        <f>78.4358 * CHOOSE(CONTROL!$C$15, $E$9, 100%, $G$9) + CHOOSE(CONTROL!$C$38, 0.0347, 0)</f>
        <v>78.470500000000001</v>
      </c>
      <c r="D1047" s="10">
        <f>78.428 * CHOOSE(CONTROL!$C$15, $E$9, 100%, $G$9) + CHOOSE(CONTROL!$C$38, 0.0347, 0)</f>
        <v>78.462699999999998</v>
      </c>
      <c r="E1047" s="28">
        <f>84.7462 * CHOOSE(CONTROL!$C$15, $E$9, 100%, $G$9) + CHOOSE(CONTROL!$C$38, 0.0347, 0)</f>
        <v>84.780900000000003</v>
      </c>
      <c r="F1047" s="27">
        <f>84.7462 * CHOOSE(CONTROL!$C$15, $E$9, 100%, $G$9) + CHOOSE(CONTROL!$C$38, 0.0256, 0)</f>
        <v>84.771799999999999</v>
      </c>
      <c r="G1047" s="10">
        <f>78.4343 * CHOOSE(CONTROL!$C$15, $E$9, 100%, $G$9) + CHOOSE(CONTROL!$C$38, 0.0347, 0)</f>
        <v>78.468999999999994</v>
      </c>
      <c r="H1047" s="10">
        <f>78.4343 * CHOOSE(CONTROL!$C$15, $E$9, 100%, $G$9) + CHOOSE(CONTROL!$C$38, 0.0347, 0)</f>
        <v>78.468999999999994</v>
      </c>
      <c r="I1047" s="10">
        <f>78.4358 * CHOOSE(CONTROL!$C$15, $E$9, 100%, $G$9) + CHOOSE(CONTROL!$C$38, 0.0347, 0)</f>
        <v>78.470500000000001</v>
      </c>
      <c r="J1047" s="26">
        <f>555.3573</f>
        <v>555.35730000000001</v>
      </c>
    </row>
    <row r="1048" spans="1:10" ht="15.75" x14ac:dyDescent="0.25">
      <c r="A1048" s="13">
        <v>73201</v>
      </c>
      <c r="B1048" s="10">
        <f>84.3864 * CHOOSE(CONTROL!$C$15, $E$9, 100%, $G$9) + CHOOSE(CONTROL!$C$38, 0.0256, 0)</f>
        <v>84.411999999999992</v>
      </c>
      <c r="C1048" s="10">
        <f>77.9197 * CHOOSE(CONTROL!$C$15, $E$9, 100%, $G$9) + CHOOSE(CONTROL!$C$38, 0.0347, 0)</f>
        <v>77.954400000000007</v>
      </c>
      <c r="D1048" s="10">
        <f>77.9119 * CHOOSE(CONTROL!$C$15, $E$9, 100%, $G$9) + CHOOSE(CONTROL!$C$38, 0.0347, 0)</f>
        <v>77.946600000000004</v>
      </c>
      <c r="E1048" s="28">
        <f>84.2301 * CHOOSE(CONTROL!$C$15, $E$9, 100%, $G$9) + CHOOSE(CONTROL!$C$38, 0.0347, 0)</f>
        <v>84.264799999999994</v>
      </c>
      <c r="F1048" s="27">
        <f>84.2301 * CHOOSE(CONTROL!$C$15, $E$9, 100%, $G$9) + CHOOSE(CONTROL!$C$38, 0.0256, 0)</f>
        <v>84.25569999999999</v>
      </c>
      <c r="G1048" s="10">
        <f>77.9181 * CHOOSE(CONTROL!$C$15, $E$9, 100%, $G$9) + CHOOSE(CONTROL!$C$38, 0.0347, 0)</f>
        <v>77.952799999999996</v>
      </c>
      <c r="H1048" s="10">
        <f>77.9181 * CHOOSE(CONTROL!$C$15, $E$9, 100%, $G$9) + CHOOSE(CONTROL!$C$38, 0.0347, 0)</f>
        <v>77.952799999999996</v>
      </c>
      <c r="I1048" s="10">
        <f>77.9197 * CHOOSE(CONTROL!$C$15, $E$9, 100%, $G$9) + CHOOSE(CONTROL!$C$38, 0.0347, 0)</f>
        <v>77.954400000000007</v>
      </c>
      <c r="J1048" s="26">
        <f>573.994</f>
        <v>573.99400000000003</v>
      </c>
    </row>
    <row r="1049" spans="1:10" ht="15.75" x14ac:dyDescent="0.25">
      <c r="A1049" s="13">
        <v>73231</v>
      </c>
      <c r="B1049" s="10">
        <f>84.0245 * CHOOSE(CONTROL!$C$15, $E$9, 100%, $G$9) + CHOOSE(CONTROL!$C$38, 0.0256, 0)</f>
        <v>84.0501</v>
      </c>
      <c r="C1049" s="10">
        <f>77.5579 * CHOOSE(CONTROL!$C$15, $E$9, 100%, $G$9) + CHOOSE(CONTROL!$C$38, 0.0347, 0)</f>
        <v>77.592600000000004</v>
      </c>
      <c r="D1049" s="10">
        <f>77.5501 * CHOOSE(CONTROL!$C$15, $E$9, 100%, $G$9) + CHOOSE(CONTROL!$C$38, 0.0347, 0)</f>
        <v>77.584800000000001</v>
      </c>
      <c r="E1049" s="28">
        <f>83.8683 * CHOOSE(CONTROL!$C$15, $E$9, 100%, $G$9) + CHOOSE(CONTROL!$C$38, 0.0347, 0)</f>
        <v>83.903000000000006</v>
      </c>
      <c r="F1049" s="27">
        <f>83.8683 * CHOOSE(CONTROL!$C$15, $E$9, 100%, $G$9) + CHOOSE(CONTROL!$C$38, 0.0256, 0)</f>
        <v>83.893900000000002</v>
      </c>
      <c r="G1049" s="10">
        <f>77.5563 * CHOOSE(CONTROL!$C$15, $E$9, 100%, $G$9) + CHOOSE(CONTROL!$C$38, 0.0347, 0)</f>
        <v>77.590999999999994</v>
      </c>
      <c r="H1049" s="10">
        <f>77.5563 * CHOOSE(CONTROL!$C$15, $E$9, 100%, $G$9) + CHOOSE(CONTROL!$C$38, 0.0347, 0)</f>
        <v>77.590999999999994</v>
      </c>
      <c r="I1049" s="10">
        <f>77.5579 * CHOOSE(CONTROL!$C$15, $E$9, 100%, $G$9) + CHOOSE(CONTROL!$C$38, 0.0347, 0)</f>
        <v>77.592600000000004</v>
      </c>
      <c r="J1049" s="26">
        <f>582.2646</f>
        <v>582.26459999999997</v>
      </c>
    </row>
    <row r="1050" spans="1:10" ht="15.75" x14ac:dyDescent="0.25">
      <c r="A1050" s="13">
        <v>73262</v>
      </c>
      <c r="B1050" s="10">
        <f>83.818 * CHOOSE(CONTROL!$C$15, $E$9, 100%, $G$9) + CHOOSE(CONTROL!$C$38, 0.0256, 0)</f>
        <v>83.843599999999995</v>
      </c>
      <c r="C1050" s="10">
        <f>77.3514 * CHOOSE(CONTROL!$C$15, $E$9, 100%, $G$9) + CHOOSE(CONTROL!$C$38, 0.0347, 0)</f>
        <v>77.386099999999999</v>
      </c>
      <c r="D1050" s="10">
        <f>77.3436 * CHOOSE(CONTROL!$C$15, $E$9, 100%, $G$9) + CHOOSE(CONTROL!$C$38, 0.0347, 0)</f>
        <v>77.378299999999996</v>
      </c>
      <c r="E1050" s="28">
        <f>83.6618 * CHOOSE(CONTROL!$C$15, $E$9, 100%, $G$9) + CHOOSE(CONTROL!$C$38, 0.0347, 0)</f>
        <v>83.6965</v>
      </c>
      <c r="F1050" s="27">
        <f>83.6618 * CHOOSE(CONTROL!$C$15, $E$9, 100%, $G$9) + CHOOSE(CONTROL!$C$38, 0.0256, 0)</f>
        <v>83.687399999999997</v>
      </c>
      <c r="G1050" s="10">
        <f>77.3498 * CHOOSE(CONTROL!$C$15, $E$9, 100%, $G$9) + CHOOSE(CONTROL!$C$38, 0.0347, 0)</f>
        <v>77.384500000000003</v>
      </c>
      <c r="H1050" s="10">
        <f>77.3498 * CHOOSE(CONTROL!$C$15, $E$9, 100%, $G$9) + CHOOSE(CONTROL!$C$38, 0.0347, 0)</f>
        <v>77.384500000000003</v>
      </c>
      <c r="I1050" s="10">
        <f>77.3514 * CHOOSE(CONTROL!$C$15, $E$9, 100%, $G$9) + CHOOSE(CONTROL!$C$38, 0.0347, 0)</f>
        <v>77.386099999999999</v>
      </c>
      <c r="J1050" s="26">
        <f>579.5416</f>
        <v>579.54160000000002</v>
      </c>
    </row>
    <row r="1051" spans="1:10" ht="15.75" x14ac:dyDescent="0.25">
      <c r="A1051" s="13">
        <v>73293</v>
      </c>
      <c r="B1051" s="10">
        <f>83.92 * CHOOSE(CONTROL!$C$15, $E$9, 100%, $G$9) + CHOOSE(CONTROL!$C$38, 0.0256, 0)</f>
        <v>83.945599999999999</v>
      </c>
      <c r="C1051" s="10">
        <f>77.4533 * CHOOSE(CONTROL!$C$15, $E$9, 100%, $G$9) + CHOOSE(CONTROL!$C$38, 0.0347, 0)</f>
        <v>77.488</v>
      </c>
      <c r="D1051" s="10">
        <f>77.4455 * CHOOSE(CONTROL!$C$15, $E$9, 100%, $G$9) + CHOOSE(CONTROL!$C$38, 0.0347, 0)</f>
        <v>77.480199999999996</v>
      </c>
      <c r="E1051" s="28">
        <f>83.7637 * CHOOSE(CONTROL!$C$15, $E$9, 100%, $G$9) + CHOOSE(CONTROL!$C$38, 0.0347, 0)</f>
        <v>83.798400000000001</v>
      </c>
      <c r="F1051" s="27">
        <f>83.7637 * CHOOSE(CONTROL!$C$15, $E$9, 100%, $G$9) + CHOOSE(CONTROL!$C$38, 0.0256, 0)</f>
        <v>83.789299999999997</v>
      </c>
      <c r="G1051" s="10">
        <f>77.4517 * CHOOSE(CONTROL!$C$15, $E$9, 100%, $G$9) + CHOOSE(CONTROL!$C$38, 0.0347, 0)</f>
        <v>77.486400000000003</v>
      </c>
      <c r="H1051" s="10">
        <f>77.4517 * CHOOSE(CONTROL!$C$15, $E$9, 100%, $G$9) + CHOOSE(CONTROL!$C$38, 0.0347, 0)</f>
        <v>77.486400000000003</v>
      </c>
      <c r="I1051" s="10">
        <f>77.4533 * CHOOSE(CONTROL!$C$15, $E$9, 100%, $G$9) + CHOOSE(CONTROL!$C$38, 0.0347, 0)</f>
        <v>77.488</v>
      </c>
      <c r="J1051" s="26">
        <f>566.0501</f>
        <v>566.05010000000004</v>
      </c>
    </row>
    <row r="1052" spans="1:10" ht="15.75" x14ac:dyDescent="0.25">
      <c r="A1052" s="13">
        <v>73323</v>
      </c>
      <c r="B1052" s="10">
        <f>84.1968 * CHOOSE(CONTROL!$C$15, $E$9, 100%, $G$9) + CHOOSE(CONTROL!$C$38, 0.0256, 0)</f>
        <v>84.222399999999993</v>
      </c>
      <c r="C1052" s="10">
        <f>77.7301 * CHOOSE(CONTROL!$C$15, $E$9, 100%, $G$9) + CHOOSE(CONTROL!$C$38, 0.0347, 0)</f>
        <v>77.764799999999994</v>
      </c>
      <c r="D1052" s="10">
        <f>77.7223 * CHOOSE(CONTROL!$C$15, $E$9, 100%, $G$9) + CHOOSE(CONTROL!$C$38, 0.0347, 0)</f>
        <v>77.757000000000005</v>
      </c>
      <c r="E1052" s="28">
        <f>84.0405 * CHOOSE(CONTROL!$C$15, $E$9, 100%, $G$9) + CHOOSE(CONTROL!$C$38, 0.0347, 0)</f>
        <v>84.075199999999995</v>
      </c>
      <c r="F1052" s="27">
        <f>84.0405 * CHOOSE(CONTROL!$C$15, $E$9, 100%, $G$9) + CHOOSE(CONTROL!$C$38, 0.0256, 0)</f>
        <v>84.066099999999992</v>
      </c>
      <c r="G1052" s="10">
        <f>77.7285 * CHOOSE(CONTROL!$C$15, $E$9, 100%, $G$9) + CHOOSE(CONTROL!$C$38, 0.0347, 0)</f>
        <v>77.763199999999998</v>
      </c>
      <c r="H1052" s="10">
        <f>77.7285 * CHOOSE(CONTROL!$C$15, $E$9, 100%, $G$9) + CHOOSE(CONTROL!$C$38, 0.0347, 0)</f>
        <v>77.763199999999998</v>
      </c>
      <c r="I1052" s="10">
        <f>77.7301 * CHOOSE(CONTROL!$C$15, $E$9, 100%, $G$9) + CHOOSE(CONTROL!$C$38, 0.0347, 0)</f>
        <v>77.764799999999994</v>
      </c>
      <c r="J1052" s="26">
        <f>547.2355</f>
        <v>547.2355</v>
      </c>
    </row>
    <row r="1053" spans="1:10" ht="15.75" x14ac:dyDescent="0.25">
      <c r="A1053" s="13">
        <v>73354</v>
      </c>
      <c r="B1053" s="10">
        <f>84.4286 * CHOOSE(CONTROL!$C$15, $E$9, 100%, $G$9) + CHOOSE(CONTROL!$C$38, 0.0256, 0)</f>
        <v>84.4542</v>
      </c>
      <c r="C1053" s="10">
        <f>77.9619 * CHOOSE(CONTROL!$C$15, $E$9, 100%, $G$9) + CHOOSE(CONTROL!$C$38, 0.0347, 0)</f>
        <v>77.996600000000001</v>
      </c>
      <c r="D1053" s="10">
        <f>77.9541 * CHOOSE(CONTROL!$C$15, $E$9, 100%, $G$9) + CHOOSE(CONTROL!$C$38, 0.0347, 0)</f>
        <v>77.988799999999998</v>
      </c>
      <c r="E1053" s="28">
        <f>84.2723 * CHOOSE(CONTROL!$C$15, $E$9, 100%, $G$9) + CHOOSE(CONTROL!$C$38, 0.0347, 0)</f>
        <v>84.307000000000002</v>
      </c>
      <c r="F1053" s="27">
        <f>84.2723 * CHOOSE(CONTROL!$C$15, $E$9, 100%, $G$9) + CHOOSE(CONTROL!$C$38, 0.0256, 0)</f>
        <v>84.297899999999998</v>
      </c>
      <c r="G1053" s="10">
        <f>77.9604 * CHOOSE(CONTROL!$C$15, $E$9, 100%, $G$9) + CHOOSE(CONTROL!$C$38, 0.0347, 0)</f>
        <v>77.995100000000008</v>
      </c>
      <c r="H1053" s="10">
        <f>77.9604 * CHOOSE(CONTROL!$C$15, $E$9, 100%, $G$9) + CHOOSE(CONTROL!$C$38, 0.0347, 0)</f>
        <v>77.995100000000008</v>
      </c>
      <c r="I1053" s="10">
        <f>77.9619 * CHOOSE(CONTROL!$C$15, $E$9, 100%, $G$9) + CHOOSE(CONTROL!$C$38, 0.0347, 0)</f>
        <v>77.996600000000001</v>
      </c>
      <c r="J1053" s="26">
        <f>528.3116</f>
        <v>528.3116</v>
      </c>
    </row>
    <row r="1054" spans="1:10" ht="15.75" x14ac:dyDescent="0.25">
      <c r="A1054" s="13">
        <v>73384</v>
      </c>
      <c r="B1054" s="10">
        <f>84.622 * CHOOSE(CONTROL!$C$15, $E$9, 100%, $G$9) + CHOOSE(CONTROL!$C$38, 0.0256, 0)</f>
        <v>84.647599999999997</v>
      </c>
      <c r="C1054" s="10">
        <f>78.1554 * CHOOSE(CONTROL!$C$15, $E$9, 100%, $G$9) + CHOOSE(CONTROL!$C$38, 0.0347, 0)</f>
        <v>78.190100000000001</v>
      </c>
      <c r="D1054" s="10">
        <f>78.1475 * CHOOSE(CONTROL!$C$15, $E$9, 100%, $G$9) + CHOOSE(CONTROL!$C$38, 0.0347, 0)</f>
        <v>78.182199999999995</v>
      </c>
      <c r="E1054" s="28">
        <f>84.4658 * CHOOSE(CONTROL!$C$15, $E$9, 100%, $G$9) + CHOOSE(CONTROL!$C$38, 0.0347, 0)</f>
        <v>84.500500000000002</v>
      </c>
      <c r="F1054" s="27">
        <f>84.4658 * CHOOSE(CONTROL!$C$15, $E$9, 100%, $G$9) + CHOOSE(CONTROL!$C$38, 0.0256, 0)</f>
        <v>84.491399999999999</v>
      </c>
      <c r="G1054" s="10">
        <f>78.1538 * CHOOSE(CONTROL!$C$15, $E$9, 100%, $G$9) + CHOOSE(CONTROL!$C$38, 0.0347, 0)</f>
        <v>78.188500000000005</v>
      </c>
      <c r="H1054" s="10">
        <f>78.1538 * CHOOSE(CONTROL!$C$15, $E$9, 100%, $G$9) + CHOOSE(CONTROL!$C$38, 0.0347, 0)</f>
        <v>78.188500000000005</v>
      </c>
      <c r="I1054" s="10">
        <f>78.1554 * CHOOSE(CONTROL!$C$15, $E$9, 100%, $G$9) + CHOOSE(CONTROL!$C$38, 0.0347, 0)</f>
        <v>78.190100000000001</v>
      </c>
      <c r="J1054" s="26">
        <f>524.5472</f>
        <v>524.54719999999998</v>
      </c>
    </row>
    <row r="1055" spans="1:10" ht="15.75" x14ac:dyDescent="0.25">
      <c r="A1055" s="13">
        <v>73415</v>
      </c>
      <c r="B1055" s="10">
        <f>85.2181 * CHOOSE(CONTROL!$C$15, $E$9, 100%, $G$9) + CHOOSE(CONTROL!$C$38, 0.0256, 0)</f>
        <v>85.243700000000004</v>
      </c>
      <c r="C1055" s="10">
        <f>78.7514 * CHOOSE(CONTROL!$C$15, $E$9, 100%, $G$9) + CHOOSE(CONTROL!$C$38, 0.0347, 0)</f>
        <v>78.786100000000005</v>
      </c>
      <c r="D1055" s="10">
        <f>78.7436 * CHOOSE(CONTROL!$C$15, $E$9, 100%, $G$9) + CHOOSE(CONTROL!$C$38, 0.0347, 0)</f>
        <v>78.778300000000002</v>
      </c>
      <c r="E1055" s="28">
        <f>85.0618 * CHOOSE(CONTROL!$C$15, $E$9, 100%, $G$9) + CHOOSE(CONTROL!$C$38, 0.0347, 0)</f>
        <v>85.096500000000006</v>
      </c>
      <c r="F1055" s="27">
        <f>85.0618 * CHOOSE(CONTROL!$C$15, $E$9, 100%, $G$9) + CHOOSE(CONTROL!$C$38, 0.0256, 0)</f>
        <v>85.087400000000002</v>
      </c>
      <c r="G1055" s="10">
        <f>78.7499 * CHOOSE(CONTROL!$C$15, $E$9, 100%, $G$9) + CHOOSE(CONTROL!$C$38, 0.0347, 0)</f>
        <v>78.784599999999998</v>
      </c>
      <c r="H1055" s="10">
        <f>78.7499 * CHOOSE(CONTROL!$C$15, $E$9, 100%, $G$9) + CHOOSE(CONTROL!$C$38, 0.0347, 0)</f>
        <v>78.784599999999998</v>
      </c>
      <c r="I1055" s="10">
        <f>78.7514 * CHOOSE(CONTROL!$C$15, $E$9, 100%, $G$9) + CHOOSE(CONTROL!$C$38, 0.0347, 0)</f>
        <v>78.786100000000005</v>
      </c>
      <c r="J1055" s="26">
        <f>508.9812</f>
        <v>508.9812</v>
      </c>
    </row>
    <row r="1056" spans="1:10" ht="15" x14ac:dyDescent="0.2">
      <c r="A1056" s="12"/>
      <c r="B1056" s="10"/>
      <c r="C1056" s="10"/>
      <c r="D1056" s="10"/>
      <c r="E1056" s="10"/>
      <c r="F1056" s="10"/>
      <c r="G1056" s="10"/>
      <c r="H1056" s="10"/>
      <c r="I1056" s="10"/>
    </row>
    <row r="1057" spans="1:11" ht="15" x14ac:dyDescent="0.2">
      <c r="A1057" s="11">
        <v>2014</v>
      </c>
      <c r="B1057" s="10">
        <f t="shared" ref="B1057:J1057" si="0">AVERAGE(B12:B23)</f>
        <v>16.025156573940563</v>
      </c>
      <c r="C1057" s="10">
        <f t="shared" si="0"/>
        <v>15.454743103888502</v>
      </c>
      <c r="D1057" s="10">
        <f t="shared" si="0"/>
        <v>15.446938937221836</v>
      </c>
      <c r="E1057" s="10">
        <f t="shared" si="0"/>
        <v>15.877972270555162</v>
      </c>
      <c r="F1057" s="10">
        <f t="shared" si="0"/>
        <v>15.868898240607235</v>
      </c>
      <c r="G1057" s="10">
        <f t="shared" si="0"/>
        <v>15.453180603888503</v>
      </c>
      <c r="H1057" s="10">
        <f t="shared" si="0"/>
        <v>15.453180603888503</v>
      </c>
      <c r="I1057" s="10">
        <f t="shared" si="0"/>
        <v>15.454743103888502</v>
      </c>
      <c r="J1057" s="10">
        <f t="shared" si="0"/>
        <v>98.139999999999986</v>
      </c>
      <c r="K1057" s="10"/>
    </row>
    <row r="1058" spans="1:11" ht="15" x14ac:dyDescent="0.2">
      <c r="A1058" s="11">
        <v>2015</v>
      </c>
      <c r="B1058" s="10">
        <f t="shared" ref="B1058:J1058" si="1">AVERAGE(B24:B35)</f>
        <v>14.939699999999997</v>
      </c>
      <c r="C1058" s="10">
        <f t="shared" si="1"/>
        <v>14.511249999999997</v>
      </c>
      <c r="D1058" s="10">
        <f t="shared" si="1"/>
        <v>14.503449999999999</v>
      </c>
      <c r="E1058" s="10">
        <f t="shared" si="1"/>
        <v>14.792499999999999</v>
      </c>
      <c r="F1058" s="10">
        <f t="shared" si="1"/>
        <v>14.7834</v>
      </c>
      <c r="G1058" s="10">
        <f t="shared" si="1"/>
        <v>14.509725000000001</v>
      </c>
      <c r="H1058" s="10">
        <f t="shared" si="1"/>
        <v>14.509725000000001</v>
      </c>
      <c r="I1058" s="10">
        <f t="shared" si="1"/>
        <v>14.511249999999997</v>
      </c>
      <c r="J1058" s="10">
        <f t="shared" si="1"/>
        <v>90.532500000000013</v>
      </c>
      <c r="K1058" s="10"/>
    </row>
    <row r="1059" spans="1:11" ht="15" x14ac:dyDescent="0.2">
      <c r="A1059" s="11">
        <v>2016</v>
      </c>
      <c r="B1059" s="10">
        <f t="shared" ref="B1059:J1059" si="2">AVERAGE(B36:B47)</f>
        <v>14.158025</v>
      </c>
      <c r="C1059" s="10">
        <f t="shared" si="2"/>
        <v>14.089383333333332</v>
      </c>
      <c r="D1059" s="10">
        <f t="shared" si="2"/>
        <v>14.081574999999999</v>
      </c>
      <c r="E1059" s="10">
        <f t="shared" si="2"/>
        <v>14.010866666666667</v>
      </c>
      <c r="F1059" s="10">
        <f t="shared" si="2"/>
        <v>14.001766666666667</v>
      </c>
      <c r="G1059" s="10">
        <f t="shared" si="2"/>
        <v>14.087816666666667</v>
      </c>
      <c r="H1059" s="10">
        <f t="shared" si="2"/>
        <v>14.087816666666667</v>
      </c>
      <c r="I1059" s="10">
        <f t="shared" si="2"/>
        <v>14.089383333333332</v>
      </c>
      <c r="J1059" s="10">
        <f t="shared" si="2"/>
        <v>85.529999999999987</v>
      </c>
      <c r="K1059" s="10"/>
    </row>
    <row r="1060" spans="1:11" ht="15" x14ac:dyDescent="0.2">
      <c r="A1060" s="11">
        <v>2017</v>
      </c>
      <c r="B1060" s="10">
        <f t="shared" ref="B1060:J1060" si="3">AVERAGE(B48:B59)</f>
        <v>14.223691666666667</v>
      </c>
      <c r="C1060" s="10">
        <f t="shared" si="3"/>
        <v>13.818941666666667</v>
      </c>
      <c r="D1060" s="10">
        <f t="shared" si="3"/>
        <v>13.811125000000004</v>
      </c>
      <c r="E1060" s="10">
        <f t="shared" si="3"/>
        <v>14.076533333333336</v>
      </c>
      <c r="F1060" s="10">
        <f t="shared" si="3"/>
        <v>14.067433333333334</v>
      </c>
      <c r="G1060" s="10">
        <f t="shared" si="3"/>
        <v>13.817391666666666</v>
      </c>
      <c r="H1060" s="10">
        <f t="shared" si="3"/>
        <v>13.817391666666666</v>
      </c>
      <c r="I1060" s="10">
        <f t="shared" si="3"/>
        <v>13.818941666666667</v>
      </c>
      <c r="J1060" s="10">
        <f t="shared" si="3"/>
        <v>86.78250833333334</v>
      </c>
      <c r="K1060" s="10"/>
    </row>
    <row r="1061" spans="1:11" ht="15" x14ac:dyDescent="0.2">
      <c r="A1061" s="11">
        <v>2018</v>
      </c>
      <c r="B1061" s="10">
        <f t="shared" ref="B1061:J1061" si="4">AVERAGE(B60:B71)</f>
        <v>14.469724999999999</v>
      </c>
      <c r="C1061" s="10">
        <f t="shared" si="4"/>
        <v>14.067491666666669</v>
      </c>
      <c r="D1061" s="10">
        <f t="shared" si="4"/>
        <v>14.059674999999999</v>
      </c>
      <c r="E1061" s="10">
        <f t="shared" si="4"/>
        <v>14.322591666666666</v>
      </c>
      <c r="F1061" s="10">
        <f t="shared" si="4"/>
        <v>14.313491666666669</v>
      </c>
      <c r="G1061" s="10">
        <f t="shared" si="4"/>
        <v>14.065908333333335</v>
      </c>
      <c r="H1061" s="10">
        <f t="shared" si="4"/>
        <v>14.065908333333335</v>
      </c>
      <c r="I1061" s="10">
        <f t="shared" si="4"/>
        <v>14.067491666666669</v>
      </c>
      <c r="J1061" s="10">
        <f t="shared" si="4"/>
        <v>89.037091666666655</v>
      </c>
      <c r="K1061" s="10"/>
    </row>
    <row r="1062" spans="1:11" ht="15" x14ac:dyDescent="0.2">
      <c r="A1062" s="11">
        <v>2019</v>
      </c>
      <c r="B1062" s="10">
        <f t="shared" ref="B1062:J1062" si="5">AVERAGE(B72:B83)</f>
        <v>16.07063333333333</v>
      </c>
      <c r="C1062" s="10">
        <f t="shared" si="5"/>
        <v>15.203450000000002</v>
      </c>
      <c r="D1062" s="10">
        <f t="shared" si="5"/>
        <v>15.195633333333333</v>
      </c>
      <c r="E1062" s="10">
        <f t="shared" si="5"/>
        <v>15.923491666666669</v>
      </c>
      <c r="F1062" s="10">
        <f t="shared" si="5"/>
        <v>15.914391666666669</v>
      </c>
      <c r="G1062" s="10">
        <f t="shared" si="5"/>
        <v>15.201891666666667</v>
      </c>
      <c r="H1062" s="10">
        <f t="shared" si="5"/>
        <v>15.201891666666667</v>
      </c>
      <c r="I1062" s="10">
        <f t="shared" si="5"/>
        <v>15.203450000000002</v>
      </c>
      <c r="J1062" s="10">
        <f t="shared" si="5"/>
        <v>101.32</v>
      </c>
      <c r="K1062" s="10"/>
    </row>
    <row r="1063" spans="1:11" ht="15" x14ac:dyDescent="0.2">
      <c r="A1063" s="11">
        <v>2020</v>
      </c>
      <c r="B1063" s="10">
        <f t="shared" ref="B1063:J1063" si="6">AVERAGE(B84:B95)</f>
        <v>16.983525</v>
      </c>
      <c r="C1063" s="10">
        <f t="shared" si="6"/>
        <v>15.945633333333332</v>
      </c>
      <c r="D1063" s="10">
        <f t="shared" si="6"/>
        <v>15.937816666666665</v>
      </c>
      <c r="E1063" s="10">
        <f t="shared" si="6"/>
        <v>16.836391666666668</v>
      </c>
      <c r="F1063" s="10">
        <f t="shared" si="6"/>
        <v>16.827291666666667</v>
      </c>
      <c r="G1063" s="10">
        <f t="shared" si="6"/>
        <v>15.944083333333332</v>
      </c>
      <c r="H1063" s="10">
        <f t="shared" si="6"/>
        <v>15.944083333333332</v>
      </c>
      <c r="I1063" s="10">
        <f t="shared" si="6"/>
        <v>15.945633333333332</v>
      </c>
      <c r="J1063" s="10">
        <f t="shared" si="6"/>
        <v>105.48999166666665</v>
      </c>
      <c r="K1063" s="10"/>
    </row>
    <row r="1064" spans="1:11" ht="15" x14ac:dyDescent="0.2">
      <c r="A1064" s="11">
        <v>2021</v>
      </c>
      <c r="B1064" s="10">
        <f t="shared" ref="B1064:J1064" si="7">AVERAGE(B96:B107)</f>
        <v>17.763491666666667</v>
      </c>
      <c r="C1064" s="10">
        <f t="shared" si="7"/>
        <v>16.495633333333334</v>
      </c>
      <c r="D1064" s="10">
        <f t="shared" si="7"/>
        <v>16.487816666666667</v>
      </c>
      <c r="E1064" s="10">
        <f t="shared" si="7"/>
        <v>17.616341666666667</v>
      </c>
      <c r="F1064" s="10">
        <f t="shared" si="7"/>
        <v>17.607241666666667</v>
      </c>
      <c r="G1064" s="10">
        <f t="shared" si="7"/>
        <v>16.494083333333336</v>
      </c>
      <c r="H1064" s="10">
        <f t="shared" si="7"/>
        <v>16.494083333333336</v>
      </c>
      <c r="I1064" s="10">
        <f t="shared" si="7"/>
        <v>16.495633333333334</v>
      </c>
      <c r="J1064" s="10">
        <f t="shared" si="7"/>
        <v>109.84999166666665</v>
      </c>
      <c r="K1064" s="10"/>
    </row>
    <row r="1065" spans="1:11" ht="15" x14ac:dyDescent="0.2">
      <c r="A1065" s="11">
        <v>2022</v>
      </c>
      <c r="B1065" s="10">
        <f t="shared" ref="B1065:J1065" si="8">AVERAGE(B108:B119)</f>
        <v>18.402500000000003</v>
      </c>
      <c r="C1065" s="10">
        <f t="shared" si="8"/>
        <v>17.040949999999999</v>
      </c>
      <c r="D1065" s="10">
        <f t="shared" si="8"/>
        <v>17.033133333333332</v>
      </c>
      <c r="E1065" s="10">
        <f t="shared" si="8"/>
        <v>18.255375000000001</v>
      </c>
      <c r="F1065" s="10">
        <f t="shared" si="8"/>
        <v>18.246275000000001</v>
      </c>
      <c r="G1065" s="10">
        <f t="shared" si="8"/>
        <v>17.03939166666667</v>
      </c>
      <c r="H1065" s="10">
        <f t="shared" si="8"/>
        <v>17.03939166666667</v>
      </c>
      <c r="I1065" s="10">
        <f t="shared" si="8"/>
        <v>17.040949999999999</v>
      </c>
      <c r="J1065" s="10">
        <f t="shared" si="8"/>
        <v>114.37999166666667</v>
      </c>
      <c r="K1065" s="10"/>
    </row>
    <row r="1066" spans="1:11" ht="15" x14ac:dyDescent="0.2">
      <c r="A1066" s="11">
        <v>2023</v>
      </c>
      <c r="B1066" s="10">
        <f t="shared" ref="B1066:J1066" si="9">AVERAGE(B120:B131)</f>
        <v>19.201699999999999</v>
      </c>
      <c r="C1066" s="10">
        <f t="shared" si="9"/>
        <v>17.66439166666667</v>
      </c>
      <c r="D1066" s="10">
        <f t="shared" si="9"/>
        <v>17.656583333333334</v>
      </c>
      <c r="E1066" s="10">
        <f t="shared" si="9"/>
        <v>19.054541666666665</v>
      </c>
      <c r="F1066" s="10">
        <f t="shared" si="9"/>
        <v>19.045441666666672</v>
      </c>
      <c r="G1066" s="10">
        <f t="shared" si="9"/>
        <v>17.662816666666671</v>
      </c>
      <c r="H1066" s="10">
        <f t="shared" si="9"/>
        <v>17.662816666666671</v>
      </c>
      <c r="I1066" s="10">
        <f t="shared" si="9"/>
        <v>17.66439166666667</v>
      </c>
      <c r="J1066" s="10">
        <f t="shared" si="9"/>
        <v>119.10000000000001</v>
      </c>
      <c r="K1066" s="10"/>
    </row>
    <row r="1067" spans="1:11" ht="15" x14ac:dyDescent="0.2">
      <c r="A1067" s="11">
        <v>2024</v>
      </c>
      <c r="B1067" s="10">
        <f t="shared" ref="B1067:J1067" si="10">AVERAGE(B132:B143)</f>
        <v>20.029699999999998</v>
      </c>
      <c r="C1067" s="10">
        <f t="shared" si="10"/>
        <v>18.315950000000004</v>
      </c>
      <c r="D1067" s="10">
        <f t="shared" si="10"/>
        <v>18.308133333333334</v>
      </c>
      <c r="E1067" s="10">
        <f t="shared" si="10"/>
        <v>19.882549999999998</v>
      </c>
      <c r="F1067" s="10">
        <f t="shared" si="10"/>
        <v>19.873450000000002</v>
      </c>
      <c r="G1067" s="10">
        <f t="shared" si="10"/>
        <v>18.314391666666669</v>
      </c>
      <c r="H1067" s="10">
        <f t="shared" si="10"/>
        <v>18.314391666666669</v>
      </c>
      <c r="I1067" s="10">
        <f t="shared" si="10"/>
        <v>18.315950000000004</v>
      </c>
      <c r="J1067" s="10">
        <f t="shared" si="10"/>
        <v>124.01000833333332</v>
      </c>
      <c r="K1067" s="10"/>
    </row>
    <row r="1068" spans="1:11" ht="15" x14ac:dyDescent="0.2">
      <c r="A1068" s="11">
        <v>2025</v>
      </c>
      <c r="B1068" s="10">
        <f t="shared" ref="B1068:J1068" si="11">AVERAGE(B144:B155)</f>
        <v>20.916975000000004</v>
      </c>
      <c r="C1068" s="10">
        <f t="shared" si="11"/>
        <v>19.025316666666665</v>
      </c>
      <c r="D1068" s="10">
        <f t="shared" si="11"/>
        <v>19.017499999999998</v>
      </c>
      <c r="E1068" s="10">
        <f t="shared" si="11"/>
        <v>20.769808333333334</v>
      </c>
      <c r="F1068" s="10">
        <f t="shared" si="11"/>
        <v>20.76070833333333</v>
      </c>
      <c r="G1068" s="10">
        <f t="shared" si="11"/>
        <v>19.023766666666667</v>
      </c>
      <c r="H1068" s="10">
        <f t="shared" si="11"/>
        <v>19.023766666666667</v>
      </c>
      <c r="I1068" s="10">
        <f t="shared" si="11"/>
        <v>19.025316666666665</v>
      </c>
      <c r="J1068" s="10">
        <f t="shared" si="11"/>
        <v>129.10999166666667</v>
      </c>
      <c r="K1068" s="10"/>
    </row>
    <row r="1069" spans="1:11" ht="15" x14ac:dyDescent="0.2">
      <c r="A1069" s="11">
        <v>2026</v>
      </c>
      <c r="B1069" s="10">
        <f t="shared" ref="B1069:J1069" si="12">AVERAGE(B156:B167)</f>
        <v>21.674499999999998</v>
      </c>
      <c r="C1069" s="10">
        <f t="shared" si="12"/>
        <v>19.764391666666668</v>
      </c>
      <c r="D1069" s="10">
        <f t="shared" si="12"/>
        <v>19.756583333333332</v>
      </c>
      <c r="E1069" s="10">
        <f t="shared" si="12"/>
        <v>21.527366666666666</v>
      </c>
      <c r="F1069" s="10">
        <f t="shared" si="12"/>
        <v>21.518266666666666</v>
      </c>
      <c r="G1069" s="10">
        <f t="shared" si="12"/>
        <v>19.762816666666669</v>
      </c>
      <c r="H1069" s="10">
        <f t="shared" si="12"/>
        <v>19.762816666666669</v>
      </c>
      <c r="I1069" s="10">
        <f t="shared" si="12"/>
        <v>19.764391666666668</v>
      </c>
      <c r="J1069" s="10">
        <f t="shared" si="12"/>
        <v>134.42999166666669</v>
      </c>
      <c r="K1069" s="10"/>
    </row>
    <row r="1070" spans="1:11" ht="15" x14ac:dyDescent="0.2">
      <c r="A1070" s="11">
        <v>2027</v>
      </c>
      <c r="B1070" s="10">
        <f t="shared" ref="B1070:J1070" si="13">AVERAGE(B168:B179)</f>
        <v>22.483525</v>
      </c>
      <c r="C1070" s="10">
        <f t="shared" si="13"/>
        <v>20.553691666666666</v>
      </c>
      <c r="D1070" s="10">
        <f t="shared" si="13"/>
        <v>20.545874999999999</v>
      </c>
      <c r="E1070" s="10">
        <f t="shared" si="13"/>
        <v>22.336391666666668</v>
      </c>
      <c r="F1070" s="10">
        <f t="shared" si="13"/>
        <v>22.327291666666667</v>
      </c>
      <c r="G1070" s="10">
        <f t="shared" si="13"/>
        <v>20.552108333333333</v>
      </c>
      <c r="H1070" s="10">
        <f t="shared" si="13"/>
        <v>20.552108333333333</v>
      </c>
      <c r="I1070" s="10">
        <f t="shared" si="13"/>
        <v>20.553691666666666</v>
      </c>
      <c r="J1070" s="10">
        <f t="shared" si="13"/>
        <v>139.96000833333335</v>
      </c>
      <c r="K1070" s="10"/>
    </row>
    <row r="1071" spans="1:11" ht="15" x14ac:dyDescent="0.2">
      <c r="A1071" s="11">
        <v>2028</v>
      </c>
      <c r="B1071" s="10">
        <f t="shared" ref="B1071:J1071" si="14">AVERAGE(B180:B191)</f>
        <v>23.402591666666666</v>
      </c>
      <c r="C1071" s="10">
        <f t="shared" si="14"/>
        <v>21.450316666666669</v>
      </c>
      <c r="D1071" s="10">
        <f t="shared" si="14"/>
        <v>21.442499999999999</v>
      </c>
      <c r="E1071" s="10">
        <f t="shared" si="14"/>
        <v>23.25544166666667</v>
      </c>
      <c r="F1071" s="10">
        <f t="shared" si="14"/>
        <v>23.246341666666666</v>
      </c>
      <c r="G1071" s="10">
        <f t="shared" si="14"/>
        <v>21.448766666666668</v>
      </c>
      <c r="H1071" s="10">
        <f t="shared" si="14"/>
        <v>21.448766666666668</v>
      </c>
      <c r="I1071" s="10">
        <f t="shared" si="14"/>
        <v>21.450316666666669</v>
      </c>
      <c r="J1071" s="10">
        <f t="shared" si="14"/>
        <v>145.71000833333335</v>
      </c>
      <c r="K1071" s="10"/>
    </row>
    <row r="1072" spans="1:11" ht="15" x14ac:dyDescent="0.2">
      <c r="A1072" s="11">
        <v>2029</v>
      </c>
      <c r="B1072" s="10">
        <f t="shared" ref="B1072:J1072" si="15">AVERAGE(B192:B203)</f>
        <v>24.342699999999997</v>
      </c>
      <c r="C1072" s="10">
        <f t="shared" si="15"/>
        <v>22.367500000000003</v>
      </c>
      <c r="D1072" s="10">
        <f t="shared" si="15"/>
        <v>22.359700000000004</v>
      </c>
      <c r="E1072" s="10">
        <f t="shared" si="15"/>
        <v>24.195566666666668</v>
      </c>
      <c r="F1072" s="10">
        <f t="shared" si="15"/>
        <v>24.186466666666664</v>
      </c>
      <c r="G1072" s="10">
        <f t="shared" si="15"/>
        <v>22.365949999999998</v>
      </c>
      <c r="H1072" s="10">
        <f t="shared" si="15"/>
        <v>22.365949999999998</v>
      </c>
      <c r="I1072" s="10">
        <f t="shared" si="15"/>
        <v>22.367500000000003</v>
      </c>
      <c r="J1072" s="10">
        <f t="shared" si="15"/>
        <v>151.69999166666668</v>
      </c>
      <c r="K1072" s="10"/>
    </row>
    <row r="1073" spans="1:11" ht="15" x14ac:dyDescent="0.2">
      <c r="A1073" s="11">
        <v>2030</v>
      </c>
      <c r="B1073" s="10">
        <f t="shared" ref="B1073:J1073" si="16">AVERAGE(B204:B215)</f>
        <v>25.321275000000004</v>
      </c>
      <c r="C1073" s="10">
        <f t="shared" si="16"/>
        <v>23.322200000000006</v>
      </c>
      <c r="D1073" s="10">
        <f t="shared" si="16"/>
        <v>23.314391666666666</v>
      </c>
      <c r="E1073" s="10">
        <f t="shared" si="16"/>
        <v>25.174100000000006</v>
      </c>
      <c r="F1073" s="10">
        <f t="shared" si="16"/>
        <v>25.165000000000003</v>
      </c>
      <c r="G1073" s="10">
        <f t="shared" si="16"/>
        <v>23.320633333333333</v>
      </c>
      <c r="H1073" s="10">
        <f t="shared" si="16"/>
        <v>23.320633333333333</v>
      </c>
      <c r="I1073" s="10">
        <f t="shared" si="16"/>
        <v>23.322200000000006</v>
      </c>
      <c r="J1073" s="10">
        <f t="shared" si="16"/>
        <v>157.93</v>
      </c>
      <c r="K1073" s="10"/>
    </row>
    <row r="1074" spans="1:11" ht="15" x14ac:dyDescent="0.2">
      <c r="A1074" s="11">
        <v>2031</v>
      </c>
      <c r="B1074" s="10">
        <f t="shared" ref="B1074:J1074" si="17">AVERAGE(B216:B227)</f>
        <v>25.757291666666664</v>
      </c>
      <c r="C1074" s="10">
        <f t="shared" si="17"/>
        <v>23.725500000000007</v>
      </c>
      <c r="D1074" s="10">
        <f t="shared" si="17"/>
        <v>23.717699999999997</v>
      </c>
      <c r="E1074" s="10">
        <f t="shared" si="17"/>
        <v>25.610141666666664</v>
      </c>
      <c r="F1074" s="10">
        <f t="shared" si="17"/>
        <v>25.601041666666664</v>
      </c>
      <c r="G1074" s="10">
        <f t="shared" si="17"/>
        <v>23.723941666666665</v>
      </c>
      <c r="H1074" s="10">
        <f t="shared" si="17"/>
        <v>23.723941666666665</v>
      </c>
      <c r="I1074" s="10">
        <f t="shared" si="17"/>
        <v>23.725500000000007</v>
      </c>
      <c r="J1074" s="10">
        <f t="shared" si="17"/>
        <v>160.72820833333336</v>
      </c>
      <c r="K1074" s="10"/>
    </row>
    <row r="1075" spans="1:11" ht="15" x14ac:dyDescent="0.2">
      <c r="A1075" s="11">
        <v>2032</v>
      </c>
      <c r="B1075" s="10">
        <f t="shared" ref="B1075:J1075" si="18">AVERAGE(B228:B239)</f>
        <v>26.201008333333334</v>
      </c>
      <c r="C1075" s="10">
        <f t="shared" si="18"/>
        <v>24.13593333333333</v>
      </c>
      <c r="D1075" s="10">
        <f t="shared" si="18"/>
        <v>24.128116666666667</v>
      </c>
      <c r="E1075" s="10">
        <f t="shared" si="18"/>
        <v>26.053875000000001</v>
      </c>
      <c r="F1075" s="10">
        <f t="shared" si="18"/>
        <v>26.044775000000001</v>
      </c>
      <c r="G1075" s="10">
        <f t="shared" si="18"/>
        <v>24.134383333333336</v>
      </c>
      <c r="H1075" s="10">
        <f t="shared" si="18"/>
        <v>24.134383333333336</v>
      </c>
      <c r="I1075" s="10">
        <f t="shared" si="18"/>
        <v>24.13593333333333</v>
      </c>
      <c r="J1075" s="10">
        <f t="shared" si="18"/>
        <v>163.57601666666667</v>
      </c>
      <c r="K1075" s="10"/>
    </row>
    <row r="1076" spans="1:11" ht="15" x14ac:dyDescent="0.2">
      <c r="A1076" s="11">
        <v>2033</v>
      </c>
      <c r="B1076" s="10">
        <f t="shared" ref="B1076:J1076" si="19">AVERAGE(B240:B251)</f>
        <v>26.652591666666666</v>
      </c>
      <c r="C1076" s="10">
        <f t="shared" si="19"/>
        <v>24.553608333333333</v>
      </c>
      <c r="D1076" s="10">
        <f t="shared" si="19"/>
        <v>24.5458</v>
      </c>
      <c r="E1076" s="10">
        <f t="shared" si="19"/>
        <v>26.50544166666667</v>
      </c>
      <c r="F1076" s="10">
        <f t="shared" si="19"/>
        <v>26.49634166666667</v>
      </c>
      <c r="G1076" s="10">
        <f t="shared" si="19"/>
        <v>24.552066666666672</v>
      </c>
      <c r="H1076" s="10">
        <f t="shared" si="19"/>
        <v>24.552066666666672</v>
      </c>
      <c r="I1076" s="10">
        <f t="shared" si="19"/>
        <v>24.553608333333333</v>
      </c>
      <c r="J1076" s="10">
        <f t="shared" si="19"/>
        <v>166.47428333333332</v>
      </c>
      <c r="K1076" s="10"/>
    </row>
    <row r="1077" spans="1:11" ht="15" x14ac:dyDescent="0.2">
      <c r="A1077" s="11">
        <v>2034</v>
      </c>
      <c r="B1077" s="10">
        <f t="shared" ref="B1077:J1077" si="20">AVERAGE(B252:B263)</f>
        <v>27.112133333333333</v>
      </c>
      <c r="C1077" s="10">
        <f t="shared" si="20"/>
        <v>24.978691666666673</v>
      </c>
      <c r="D1077" s="10">
        <f t="shared" si="20"/>
        <v>24.970874999999996</v>
      </c>
      <c r="E1077" s="10">
        <f t="shared" si="20"/>
        <v>26.964991666666666</v>
      </c>
      <c r="F1077" s="10">
        <f t="shared" si="20"/>
        <v>26.955891666666663</v>
      </c>
      <c r="G1077" s="10">
        <f t="shared" si="20"/>
        <v>24.977108333333337</v>
      </c>
      <c r="H1077" s="10">
        <f t="shared" si="20"/>
        <v>24.977108333333337</v>
      </c>
      <c r="I1077" s="10">
        <f t="shared" si="20"/>
        <v>24.978691666666673</v>
      </c>
      <c r="J1077" s="10">
        <f t="shared" si="20"/>
        <v>169.42389166666666</v>
      </c>
      <c r="K1077" s="10"/>
    </row>
    <row r="1078" spans="1:11" ht="15" x14ac:dyDescent="0.2">
      <c r="A1078" s="11">
        <v>2035</v>
      </c>
      <c r="B1078" s="10">
        <f t="shared" ref="B1078:J1078" si="21">AVERAGE(B264:B275)</f>
        <v>27.579799999999995</v>
      </c>
      <c r="C1078" s="10">
        <f t="shared" si="21"/>
        <v>25.411266666666666</v>
      </c>
      <c r="D1078" s="10">
        <f t="shared" si="21"/>
        <v>25.403441666666669</v>
      </c>
      <c r="E1078" s="10">
        <f t="shared" si="21"/>
        <v>27.432658333333332</v>
      </c>
      <c r="F1078" s="10">
        <f t="shared" si="21"/>
        <v>27.423558333333336</v>
      </c>
      <c r="G1078" s="10">
        <f t="shared" si="21"/>
        <v>25.409699999999997</v>
      </c>
      <c r="H1078" s="10">
        <f t="shared" si="21"/>
        <v>25.409699999999997</v>
      </c>
      <c r="I1078" s="10">
        <f t="shared" si="21"/>
        <v>25.411266666666666</v>
      </c>
      <c r="J1078" s="10">
        <f t="shared" si="21"/>
        <v>172.42575833333331</v>
      </c>
      <c r="K1078" s="10"/>
    </row>
    <row r="1079" spans="1:11" ht="15" x14ac:dyDescent="0.2">
      <c r="A1079" s="11">
        <v>2036</v>
      </c>
      <c r="B1079" s="10">
        <f t="shared" ref="B1079:J1079" si="22">AVERAGE(B276:B287)</f>
        <v>28.055733333333336</v>
      </c>
      <c r="C1079" s="10">
        <f t="shared" si="22"/>
        <v>25.851483333333334</v>
      </c>
      <c r="D1079" s="10">
        <f t="shared" si="22"/>
        <v>25.843666666666667</v>
      </c>
      <c r="E1079" s="10">
        <f t="shared" si="22"/>
        <v>27.908591666666666</v>
      </c>
      <c r="F1079" s="10">
        <f t="shared" si="22"/>
        <v>27.899491666666666</v>
      </c>
      <c r="G1079" s="10">
        <f t="shared" si="22"/>
        <v>25.849900000000002</v>
      </c>
      <c r="H1079" s="10">
        <f t="shared" si="22"/>
        <v>25.849900000000002</v>
      </c>
      <c r="I1079" s="10">
        <f t="shared" si="22"/>
        <v>25.851483333333334</v>
      </c>
      <c r="J1079" s="10">
        <f t="shared" si="22"/>
        <v>175.48079166666665</v>
      </c>
      <c r="K1079" s="10"/>
    </row>
    <row r="1080" spans="1:11" ht="15" x14ac:dyDescent="0.2">
      <c r="A1080" s="11">
        <v>2037</v>
      </c>
      <c r="B1080" s="10">
        <f t="shared" ref="B1080:J1080" si="23">AVERAGE(B288:B299)</f>
        <v>28.540091666666665</v>
      </c>
      <c r="C1080" s="10">
        <f t="shared" si="23"/>
        <v>26.299474999999997</v>
      </c>
      <c r="D1080" s="10">
        <f t="shared" si="23"/>
        <v>26.291658333333334</v>
      </c>
      <c r="E1080" s="10">
        <f t="shared" si="23"/>
        <v>28.392925000000002</v>
      </c>
      <c r="F1080" s="10">
        <f t="shared" si="23"/>
        <v>28.383825000000002</v>
      </c>
      <c r="G1080" s="10">
        <f t="shared" si="23"/>
        <v>26.297899999999998</v>
      </c>
      <c r="H1080" s="10">
        <f t="shared" si="23"/>
        <v>26.297899999999998</v>
      </c>
      <c r="I1080" s="10">
        <f t="shared" si="23"/>
        <v>26.299474999999997</v>
      </c>
      <c r="J1080" s="10">
        <f t="shared" si="23"/>
        <v>178.59000833333334</v>
      </c>
      <c r="K1080" s="10"/>
    </row>
    <row r="1081" spans="1:11" ht="15" x14ac:dyDescent="0.2">
      <c r="A1081" s="11">
        <f t="shared" ref="A1081:A1112" si="24">A1080+1</f>
        <v>2038</v>
      </c>
      <c r="B1081" s="10">
        <f t="shared" ref="B1081:J1081" si="25">AVERAGE(B300:B311)</f>
        <v>29.032983333333334</v>
      </c>
      <c r="C1081" s="10">
        <f t="shared" si="25"/>
        <v>26.755391666666668</v>
      </c>
      <c r="D1081" s="10">
        <f t="shared" si="25"/>
        <v>26.747574999999998</v>
      </c>
      <c r="E1081" s="10">
        <f t="shared" si="25"/>
        <v>28.88581666666667</v>
      </c>
      <c r="F1081" s="10">
        <f t="shared" si="25"/>
        <v>28.876716666666667</v>
      </c>
      <c r="G1081" s="10">
        <f t="shared" si="25"/>
        <v>26.753808333333335</v>
      </c>
      <c r="H1081" s="10">
        <f t="shared" si="25"/>
        <v>26.753808333333335</v>
      </c>
      <c r="I1081" s="10">
        <f t="shared" si="25"/>
        <v>26.755391666666668</v>
      </c>
      <c r="J1081" s="10">
        <f t="shared" si="25"/>
        <v>181.75429166666666</v>
      </c>
    </row>
    <row r="1082" spans="1:11" ht="15" x14ac:dyDescent="0.2">
      <c r="A1082" s="11">
        <f t="shared" si="24"/>
        <v>2039</v>
      </c>
      <c r="B1082" s="10">
        <f t="shared" ref="B1082:J1082" si="26">AVERAGE(B312:B323)</f>
        <v>29.534591666666667</v>
      </c>
      <c r="C1082" s="10">
        <f t="shared" si="26"/>
        <v>27.219341666666665</v>
      </c>
      <c r="D1082" s="10">
        <f t="shared" si="26"/>
        <v>27.211524999999998</v>
      </c>
      <c r="E1082" s="10">
        <f t="shared" si="26"/>
        <v>29.387425000000004</v>
      </c>
      <c r="F1082" s="10">
        <f t="shared" si="26"/>
        <v>29.378325</v>
      </c>
      <c r="G1082" s="10">
        <f t="shared" si="26"/>
        <v>27.217791666666667</v>
      </c>
      <c r="H1082" s="10">
        <f t="shared" si="26"/>
        <v>27.217791666666667</v>
      </c>
      <c r="I1082" s="10">
        <f t="shared" si="26"/>
        <v>27.219341666666665</v>
      </c>
      <c r="J1082" s="10">
        <f t="shared" si="26"/>
        <v>184.97461666666663</v>
      </c>
    </row>
    <row r="1083" spans="1:11" ht="15" x14ac:dyDescent="0.2">
      <c r="A1083" s="11">
        <f t="shared" si="24"/>
        <v>2040</v>
      </c>
      <c r="B1083" s="10">
        <f t="shared" ref="B1083:J1083" si="27">AVERAGE(B324:B335)</f>
        <v>30.045050000000003</v>
      </c>
      <c r="C1083" s="10">
        <f t="shared" si="27"/>
        <v>27.691500000000005</v>
      </c>
      <c r="D1083" s="10">
        <f t="shared" si="27"/>
        <v>27.683691666666665</v>
      </c>
      <c r="E1083" s="10">
        <f t="shared" si="27"/>
        <v>29.897900000000003</v>
      </c>
      <c r="F1083" s="10">
        <f t="shared" si="27"/>
        <v>29.888800000000003</v>
      </c>
      <c r="G1083" s="10">
        <f t="shared" si="27"/>
        <v>27.68994166666667</v>
      </c>
      <c r="H1083" s="10">
        <f t="shared" si="27"/>
        <v>27.68994166666667</v>
      </c>
      <c r="I1083" s="10">
        <f t="shared" si="27"/>
        <v>27.691500000000005</v>
      </c>
      <c r="J1083" s="10">
        <f t="shared" si="27"/>
        <v>188.25201666666666</v>
      </c>
    </row>
    <row r="1084" spans="1:11" ht="15" x14ac:dyDescent="0.2">
      <c r="A1084" s="11">
        <f t="shared" si="24"/>
        <v>2041</v>
      </c>
      <c r="B1084" s="10">
        <f t="shared" ref="B1084:J1084" si="28">AVERAGE(B336:B347)</f>
        <v>30.56453333333334</v>
      </c>
      <c r="C1084" s="10">
        <f t="shared" si="28"/>
        <v>28.171999999999997</v>
      </c>
      <c r="D1084" s="10">
        <f t="shared" si="28"/>
        <v>28.164200000000005</v>
      </c>
      <c r="E1084" s="10">
        <f t="shared" si="28"/>
        <v>30.417391666666671</v>
      </c>
      <c r="F1084" s="10">
        <f t="shared" si="28"/>
        <v>30.408291666666667</v>
      </c>
      <c r="G1084" s="10">
        <f t="shared" si="28"/>
        <v>28.170441666666665</v>
      </c>
      <c r="H1084" s="10">
        <f t="shared" si="28"/>
        <v>28.170441666666665</v>
      </c>
      <c r="I1084" s="10">
        <f t="shared" si="28"/>
        <v>28.171999999999997</v>
      </c>
      <c r="J1084" s="10">
        <f t="shared" si="28"/>
        <v>191.58749166666666</v>
      </c>
    </row>
    <row r="1085" spans="1:11" ht="15" x14ac:dyDescent="0.2">
      <c r="A1085" s="11">
        <f t="shared" si="24"/>
        <v>2042</v>
      </c>
      <c r="B1085" s="10">
        <f t="shared" ref="B1085:J1085" si="29">AVERAGE(B348:B359)</f>
        <v>31.093199999999996</v>
      </c>
      <c r="C1085" s="10">
        <f t="shared" si="29"/>
        <v>28.661000000000001</v>
      </c>
      <c r="D1085" s="10">
        <f t="shared" si="29"/>
        <v>28.653191666666668</v>
      </c>
      <c r="E1085" s="10">
        <f t="shared" si="29"/>
        <v>30.94605</v>
      </c>
      <c r="F1085" s="10">
        <f t="shared" si="29"/>
        <v>30.93695</v>
      </c>
      <c r="G1085" s="10">
        <f t="shared" si="29"/>
        <v>28.659433333333336</v>
      </c>
      <c r="H1085" s="10">
        <f t="shared" si="29"/>
        <v>28.659433333333336</v>
      </c>
      <c r="I1085" s="10">
        <f t="shared" si="29"/>
        <v>28.661000000000001</v>
      </c>
      <c r="J1085" s="10">
        <f t="shared" si="29"/>
        <v>194.9820583333333</v>
      </c>
    </row>
    <row r="1086" spans="1:11" ht="15" x14ac:dyDescent="0.2">
      <c r="A1086" s="11">
        <f t="shared" si="24"/>
        <v>2043</v>
      </c>
      <c r="B1086" s="10">
        <f t="shared" ref="B1086:J1086" si="30">AVERAGE(B360:B371)</f>
        <v>31.631199999999996</v>
      </c>
      <c r="C1086" s="10">
        <f t="shared" si="30"/>
        <v>29.158633333333331</v>
      </c>
      <c r="D1086" s="10">
        <f t="shared" si="30"/>
        <v>29.150808333333334</v>
      </c>
      <c r="E1086" s="10">
        <f t="shared" si="30"/>
        <v>31.484066666666667</v>
      </c>
      <c r="F1086" s="10">
        <f t="shared" si="30"/>
        <v>31.47496666666666</v>
      </c>
      <c r="G1086" s="10">
        <f t="shared" si="30"/>
        <v>29.157075000000003</v>
      </c>
      <c r="H1086" s="10">
        <f t="shared" si="30"/>
        <v>29.157075000000003</v>
      </c>
      <c r="I1086" s="10">
        <f t="shared" si="30"/>
        <v>29.158633333333331</v>
      </c>
      <c r="J1086" s="10">
        <f t="shared" si="30"/>
        <v>198.43677500000001</v>
      </c>
    </row>
    <row r="1087" spans="1:11" ht="15" x14ac:dyDescent="0.2">
      <c r="A1087" s="11">
        <f t="shared" si="24"/>
        <v>2044</v>
      </c>
      <c r="B1087" s="10">
        <f t="shared" ref="B1087:J1087" si="31">AVERAGE(B372:B383)</f>
        <v>32.178708333333333</v>
      </c>
      <c r="C1087" s="10">
        <f t="shared" si="31"/>
        <v>29.665066666666672</v>
      </c>
      <c r="D1087" s="10">
        <f t="shared" si="31"/>
        <v>29.657249999999994</v>
      </c>
      <c r="E1087" s="10">
        <f t="shared" si="31"/>
        <v>32.031574999999997</v>
      </c>
      <c r="F1087" s="10">
        <f t="shared" si="31"/>
        <v>32.022475</v>
      </c>
      <c r="G1087" s="10">
        <f t="shared" si="31"/>
        <v>29.663499999999999</v>
      </c>
      <c r="H1087" s="10">
        <f t="shared" si="31"/>
        <v>29.663499999999999</v>
      </c>
      <c r="I1087" s="10">
        <f t="shared" si="31"/>
        <v>29.665066666666672</v>
      </c>
      <c r="J1087" s="10">
        <f t="shared" si="31"/>
        <v>201.95269999999996</v>
      </c>
    </row>
    <row r="1088" spans="1:11" ht="15" x14ac:dyDescent="0.2">
      <c r="A1088" s="11">
        <f t="shared" si="24"/>
        <v>2045</v>
      </c>
      <c r="B1088" s="10">
        <f t="shared" ref="B1088:J1088" si="32">AVERAGE(B384:B395)</f>
        <v>32.735899999999994</v>
      </c>
      <c r="C1088" s="10">
        <f t="shared" si="32"/>
        <v>30.180433333333337</v>
      </c>
      <c r="D1088" s="10">
        <f t="shared" si="32"/>
        <v>30.172608333333333</v>
      </c>
      <c r="E1088" s="10">
        <f t="shared" si="32"/>
        <v>32.588758333333338</v>
      </c>
      <c r="F1088" s="10">
        <f t="shared" si="32"/>
        <v>32.579658333333327</v>
      </c>
      <c r="G1088" s="10">
        <f t="shared" si="32"/>
        <v>30.178875000000001</v>
      </c>
      <c r="H1088" s="10">
        <f t="shared" si="32"/>
        <v>30.178875000000001</v>
      </c>
      <c r="I1088" s="10">
        <f t="shared" si="32"/>
        <v>30.180433333333337</v>
      </c>
      <c r="J1088" s="10">
        <f t="shared" si="32"/>
        <v>205.53090833333331</v>
      </c>
    </row>
    <row r="1089" spans="1:10" ht="15" x14ac:dyDescent="0.2">
      <c r="A1089" s="11">
        <f t="shared" si="24"/>
        <v>2046</v>
      </c>
      <c r="B1089" s="10">
        <f t="shared" ref="B1089:J1089" si="33">AVERAGE(B396:B407)</f>
        <v>33.302933333333321</v>
      </c>
      <c r="C1089" s="10">
        <f t="shared" si="33"/>
        <v>30.704900000000006</v>
      </c>
      <c r="D1089" s="10">
        <f t="shared" si="33"/>
        <v>30.697099999999995</v>
      </c>
      <c r="E1089" s="10">
        <f t="shared" si="33"/>
        <v>33.155791666666673</v>
      </c>
      <c r="F1089" s="10">
        <f t="shared" si="33"/>
        <v>33.146691666666662</v>
      </c>
      <c r="G1089" s="10">
        <f t="shared" si="33"/>
        <v>30.703350000000004</v>
      </c>
      <c r="H1089" s="10">
        <f t="shared" si="33"/>
        <v>30.703350000000004</v>
      </c>
      <c r="I1089" s="10">
        <f t="shared" si="33"/>
        <v>30.704900000000006</v>
      </c>
      <c r="J1089" s="10">
        <f t="shared" si="33"/>
        <v>209.17253333333335</v>
      </c>
    </row>
    <row r="1090" spans="1:10" ht="15" x14ac:dyDescent="0.2">
      <c r="A1090" s="11">
        <f t="shared" si="24"/>
        <v>2047</v>
      </c>
      <c r="B1090" s="10">
        <f t="shared" ref="B1090:J1090" si="34">AVERAGE(B408:B419)</f>
        <v>33.879991666666669</v>
      </c>
      <c r="C1090" s="10">
        <f t="shared" si="34"/>
        <v>31.238666666666671</v>
      </c>
      <c r="D1090" s="10">
        <f t="shared" si="34"/>
        <v>31.230849999999993</v>
      </c>
      <c r="E1090" s="10">
        <f t="shared" si="34"/>
        <v>33.732833333333332</v>
      </c>
      <c r="F1090" s="10">
        <f t="shared" si="34"/>
        <v>33.723733333333335</v>
      </c>
      <c r="G1090" s="10">
        <f t="shared" si="34"/>
        <v>31.237099999999998</v>
      </c>
      <c r="H1090" s="10">
        <f t="shared" si="34"/>
        <v>31.237099999999998</v>
      </c>
      <c r="I1090" s="10">
        <f t="shared" si="34"/>
        <v>31.238666666666671</v>
      </c>
      <c r="J1090" s="10">
        <f t="shared" si="34"/>
        <v>212.87868333333333</v>
      </c>
    </row>
    <row r="1091" spans="1:10" ht="15" x14ac:dyDescent="0.2">
      <c r="A1091" s="11">
        <f t="shared" si="24"/>
        <v>2048</v>
      </c>
      <c r="B1091" s="10">
        <f t="shared" ref="B1091:J1091" si="35">AVERAGE(B420:B431)</f>
        <v>34.467224999999992</v>
      </c>
      <c r="C1091" s="10">
        <f t="shared" si="35"/>
        <v>31.781833333333335</v>
      </c>
      <c r="D1091" s="10">
        <f t="shared" si="35"/>
        <v>31.774016666666665</v>
      </c>
      <c r="E1091" s="10">
        <f t="shared" si="35"/>
        <v>34.320091666666663</v>
      </c>
      <c r="F1091" s="10">
        <f t="shared" si="35"/>
        <v>34.310991666666666</v>
      </c>
      <c r="G1091" s="10">
        <f t="shared" si="35"/>
        <v>31.780283333333333</v>
      </c>
      <c r="H1091" s="10">
        <f t="shared" si="35"/>
        <v>31.780283333333333</v>
      </c>
      <c r="I1091" s="10">
        <f t="shared" si="35"/>
        <v>31.781833333333335</v>
      </c>
      <c r="J1091" s="10">
        <f t="shared" si="35"/>
        <v>216.65049166666665</v>
      </c>
    </row>
    <row r="1092" spans="1:10" ht="15" x14ac:dyDescent="0.2">
      <c r="A1092" s="11">
        <f t="shared" si="24"/>
        <v>2049</v>
      </c>
      <c r="B1092" s="10">
        <f t="shared" ref="B1092:J1092" si="36">AVERAGE(B432:B443)</f>
        <v>35.064849999999993</v>
      </c>
      <c r="C1092" s="10">
        <f t="shared" si="36"/>
        <v>32.334599999999995</v>
      </c>
      <c r="D1092" s="10">
        <f t="shared" si="36"/>
        <v>32.326800000000006</v>
      </c>
      <c r="E1092" s="10">
        <f t="shared" si="36"/>
        <v>34.917700000000004</v>
      </c>
      <c r="F1092" s="10">
        <f t="shared" si="36"/>
        <v>34.9086</v>
      </c>
      <c r="G1092" s="10">
        <f t="shared" si="36"/>
        <v>32.333049999999993</v>
      </c>
      <c r="H1092" s="10">
        <f t="shared" si="36"/>
        <v>32.333049999999993</v>
      </c>
      <c r="I1092" s="10">
        <f t="shared" si="36"/>
        <v>32.334599999999995</v>
      </c>
      <c r="J1092" s="10">
        <f t="shared" si="36"/>
        <v>220.48912500000003</v>
      </c>
    </row>
    <row r="1093" spans="1:10" ht="15" x14ac:dyDescent="0.2">
      <c r="A1093" s="11">
        <f t="shared" si="24"/>
        <v>2050</v>
      </c>
      <c r="B1093" s="10">
        <f t="shared" ref="B1093:J1093" si="37">AVERAGE(B444:B455)</f>
        <v>35.673024999999996</v>
      </c>
      <c r="C1093" s="10">
        <f t="shared" si="37"/>
        <v>32.897149999999996</v>
      </c>
      <c r="D1093" s="10">
        <f t="shared" si="37"/>
        <v>32.889333333333333</v>
      </c>
      <c r="E1093" s="10">
        <f t="shared" si="37"/>
        <v>35.525891666666674</v>
      </c>
      <c r="F1093" s="10">
        <f t="shared" si="37"/>
        <v>35.51679166666667</v>
      </c>
      <c r="G1093" s="10">
        <f t="shared" si="37"/>
        <v>32.895591666666668</v>
      </c>
      <c r="H1093" s="10">
        <f t="shared" si="37"/>
        <v>32.895591666666668</v>
      </c>
      <c r="I1093" s="10">
        <f t="shared" si="37"/>
        <v>32.897149999999996</v>
      </c>
      <c r="J1093" s="10">
        <f t="shared" si="37"/>
        <v>224.39578333333336</v>
      </c>
    </row>
    <row r="1094" spans="1:10" ht="15" x14ac:dyDescent="0.2">
      <c r="A1094" s="11">
        <f t="shared" si="24"/>
        <v>2051</v>
      </c>
      <c r="B1094" s="10">
        <f t="shared" ref="B1094:J1094" si="38">AVERAGE(B456:B467)</f>
        <v>36.29195</v>
      </c>
      <c r="C1094" s="10">
        <f t="shared" si="38"/>
        <v>33.469625000000001</v>
      </c>
      <c r="D1094" s="10">
        <f t="shared" si="38"/>
        <v>33.46180833333333</v>
      </c>
      <c r="E1094" s="10">
        <f t="shared" si="38"/>
        <v>36.144799999999996</v>
      </c>
      <c r="F1094" s="10">
        <f t="shared" si="38"/>
        <v>36.1357</v>
      </c>
      <c r="G1094" s="10">
        <f t="shared" si="38"/>
        <v>33.468075000000006</v>
      </c>
      <c r="H1094" s="10">
        <f t="shared" si="38"/>
        <v>33.468075000000006</v>
      </c>
      <c r="I1094" s="10">
        <f t="shared" si="38"/>
        <v>33.469625000000001</v>
      </c>
      <c r="J1094" s="10">
        <f t="shared" si="38"/>
        <v>228.37164166666662</v>
      </c>
    </row>
    <row r="1095" spans="1:10" ht="15" x14ac:dyDescent="0.2">
      <c r="A1095" s="11">
        <f t="shared" si="24"/>
        <v>2052</v>
      </c>
      <c r="B1095" s="10">
        <f t="shared" ref="B1095:J1095" si="39">AVERAGE(B468:B479)</f>
        <v>36.921799999999998</v>
      </c>
      <c r="C1095" s="10">
        <f t="shared" si="39"/>
        <v>34.052208333333333</v>
      </c>
      <c r="D1095" s="10">
        <f t="shared" si="39"/>
        <v>34.044400000000003</v>
      </c>
      <c r="E1095" s="10">
        <f t="shared" si="39"/>
        <v>36.774666666666668</v>
      </c>
      <c r="F1095" s="10">
        <f t="shared" si="39"/>
        <v>36.765566666666665</v>
      </c>
      <c r="G1095" s="10">
        <f t="shared" si="39"/>
        <v>34.050666666666665</v>
      </c>
      <c r="H1095" s="10">
        <f t="shared" si="39"/>
        <v>34.050666666666665</v>
      </c>
      <c r="I1095" s="10">
        <f t="shared" si="39"/>
        <v>34.052208333333333</v>
      </c>
      <c r="J1095" s="10">
        <f t="shared" si="39"/>
        <v>232.41796666666664</v>
      </c>
    </row>
    <row r="1096" spans="1:10" ht="15" x14ac:dyDescent="0.2">
      <c r="A1096" s="11">
        <f t="shared" si="24"/>
        <v>2053</v>
      </c>
      <c r="B1096" s="10">
        <f t="shared" ref="B1096:J1096" si="40">AVERAGE(B480:B491)</f>
        <v>37.562800000000003</v>
      </c>
      <c r="C1096" s="10">
        <f t="shared" si="40"/>
        <v>34.645100000000006</v>
      </c>
      <c r="D1096" s="10">
        <f t="shared" si="40"/>
        <v>34.637300000000003</v>
      </c>
      <c r="E1096" s="10">
        <f t="shared" si="40"/>
        <v>37.415649999999999</v>
      </c>
      <c r="F1096" s="10">
        <f t="shared" si="40"/>
        <v>37.406550000000003</v>
      </c>
      <c r="G1096" s="10">
        <f t="shared" si="40"/>
        <v>34.643549999999998</v>
      </c>
      <c r="H1096" s="10">
        <f t="shared" si="40"/>
        <v>34.643549999999998</v>
      </c>
      <c r="I1096" s="10">
        <f t="shared" si="40"/>
        <v>34.645100000000006</v>
      </c>
      <c r="J1096" s="10">
        <f t="shared" si="40"/>
        <v>236.53595833333335</v>
      </c>
    </row>
    <row r="1097" spans="1:10" ht="15" x14ac:dyDescent="0.2">
      <c r="A1097" s="11">
        <f t="shared" si="24"/>
        <v>2054</v>
      </c>
      <c r="B1097" s="10">
        <f t="shared" ref="B1097:J1097" si="41">AVERAGE(B492:B503)</f>
        <v>38.2151</v>
      </c>
      <c r="C1097" s="10">
        <f t="shared" si="41"/>
        <v>35.248475000000006</v>
      </c>
      <c r="D1097" s="10">
        <f t="shared" si="41"/>
        <v>35.240666666666662</v>
      </c>
      <c r="E1097" s="10">
        <f t="shared" si="41"/>
        <v>38.067966666666671</v>
      </c>
      <c r="F1097" s="10">
        <f t="shared" si="41"/>
        <v>38.058866666666667</v>
      </c>
      <c r="G1097" s="10">
        <f t="shared" si="41"/>
        <v>35.246900000000004</v>
      </c>
      <c r="H1097" s="10">
        <f t="shared" si="41"/>
        <v>35.246900000000004</v>
      </c>
      <c r="I1097" s="10">
        <f t="shared" si="41"/>
        <v>35.248475000000006</v>
      </c>
      <c r="J1097" s="10">
        <f t="shared" si="41"/>
        <v>240.72693333333333</v>
      </c>
    </row>
    <row r="1098" spans="1:10" ht="15" x14ac:dyDescent="0.2">
      <c r="A1098" s="11">
        <f t="shared" si="24"/>
        <v>2055</v>
      </c>
      <c r="B1098" s="10">
        <f t="shared" ref="B1098:J1098" si="42">AVERAGE(B504:B515)</f>
        <v>38.878950000000003</v>
      </c>
      <c r="C1098" s="10">
        <f t="shared" si="42"/>
        <v>35.862500000000004</v>
      </c>
      <c r="D1098" s="10">
        <f t="shared" si="42"/>
        <v>35.854691666666668</v>
      </c>
      <c r="E1098" s="10">
        <f t="shared" si="42"/>
        <v>38.7318</v>
      </c>
      <c r="F1098" s="10">
        <f t="shared" si="42"/>
        <v>38.722699999999996</v>
      </c>
      <c r="G1098" s="10">
        <f t="shared" si="42"/>
        <v>35.860925000000002</v>
      </c>
      <c r="H1098" s="10">
        <f t="shared" si="42"/>
        <v>35.860925000000002</v>
      </c>
      <c r="I1098" s="10">
        <f t="shared" si="42"/>
        <v>35.862500000000004</v>
      </c>
      <c r="J1098" s="10">
        <f t="shared" si="42"/>
        <v>244.99215833333335</v>
      </c>
    </row>
    <row r="1099" spans="1:10" ht="15" x14ac:dyDescent="0.2">
      <c r="A1099" s="11">
        <f t="shared" si="24"/>
        <v>2056</v>
      </c>
      <c r="B1099" s="10">
        <f t="shared" ref="B1099:J1099" si="43">AVERAGE(B516:B527)</f>
        <v>39.554508333333331</v>
      </c>
      <c r="C1099" s="10">
        <f t="shared" si="43"/>
        <v>36.487375</v>
      </c>
      <c r="D1099" s="10">
        <f t="shared" si="43"/>
        <v>36.47955833333333</v>
      </c>
      <c r="E1099" s="10">
        <f t="shared" si="43"/>
        <v>39.407375000000009</v>
      </c>
      <c r="F1099" s="10">
        <f t="shared" si="43"/>
        <v>39.398274999999991</v>
      </c>
      <c r="G1099" s="10">
        <f t="shared" si="43"/>
        <v>36.485800000000005</v>
      </c>
      <c r="H1099" s="10">
        <f t="shared" si="43"/>
        <v>36.485800000000005</v>
      </c>
      <c r="I1099" s="10">
        <f t="shared" si="43"/>
        <v>36.487375</v>
      </c>
      <c r="J1099" s="10">
        <f t="shared" si="43"/>
        <v>249.33296666666664</v>
      </c>
    </row>
    <row r="1100" spans="1:10" ht="15" x14ac:dyDescent="0.2">
      <c r="A1100" s="11">
        <f t="shared" si="24"/>
        <v>2057</v>
      </c>
      <c r="B1100" s="10">
        <f t="shared" ref="B1100:J1100" si="44">AVERAGE(B528:B539)</f>
        <v>40.242008333333331</v>
      </c>
      <c r="C1100" s="10">
        <f t="shared" si="44"/>
        <v>37.123291666666667</v>
      </c>
      <c r="D1100" s="10">
        <f t="shared" si="44"/>
        <v>37.115474999999996</v>
      </c>
      <c r="E1100" s="10">
        <f t="shared" si="44"/>
        <v>40.094875000000009</v>
      </c>
      <c r="F1100" s="10">
        <f t="shared" si="44"/>
        <v>40.085774999999991</v>
      </c>
      <c r="G1100" s="10">
        <f t="shared" si="44"/>
        <v>37.121708333333331</v>
      </c>
      <c r="H1100" s="10">
        <f t="shared" si="44"/>
        <v>37.121708333333331</v>
      </c>
      <c r="I1100" s="10">
        <f t="shared" si="44"/>
        <v>37.123291666666667</v>
      </c>
      <c r="J1100" s="10">
        <f t="shared" si="44"/>
        <v>253.75066666666672</v>
      </c>
    </row>
    <row r="1101" spans="1:10" ht="15" x14ac:dyDescent="0.2">
      <c r="A1101" s="11">
        <f t="shared" si="24"/>
        <v>2058</v>
      </c>
      <c r="B1101" s="10">
        <f t="shared" ref="B1101:J1101" si="45">AVERAGE(B540:B551)</f>
        <v>40.941674999999996</v>
      </c>
      <c r="C1101" s="10">
        <f t="shared" si="45"/>
        <v>37.770416666666669</v>
      </c>
      <c r="D1101" s="10">
        <f t="shared" si="45"/>
        <v>37.762599999999999</v>
      </c>
      <c r="E1101" s="10">
        <f t="shared" si="45"/>
        <v>40.794508333333326</v>
      </c>
      <c r="F1101" s="10">
        <f t="shared" si="45"/>
        <v>40.785408333333329</v>
      </c>
      <c r="G1101" s="10">
        <f t="shared" si="45"/>
        <v>37.768875000000001</v>
      </c>
      <c r="H1101" s="10">
        <f t="shared" si="45"/>
        <v>37.768875000000001</v>
      </c>
      <c r="I1101" s="10">
        <f t="shared" si="45"/>
        <v>37.770416666666669</v>
      </c>
      <c r="J1101" s="10">
        <f t="shared" si="45"/>
        <v>258.24664999999999</v>
      </c>
    </row>
    <row r="1102" spans="1:10" ht="15" x14ac:dyDescent="0.2">
      <c r="A1102" s="11">
        <f t="shared" si="24"/>
        <v>2059</v>
      </c>
      <c r="B1102" s="10">
        <f t="shared" ref="B1102:J1102" si="46">AVERAGE(B552:B563)</f>
        <v>41.653691666666667</v>
      </c>
      <c r="C1102" s="10">
        <f t="shared" si="46"/>
        <v>38.428999999999995</v>
      </c>
      <c r="D1102" s="10">
        <f t="shared" si="46"/>
        <v>38.421200000000006</v>
      </c>
      <c r="E1102" s="10">
        <f t="shared" si="46"/>
        <v>41.506524999999996</v>
      </c>
      <c r="F1102" s="10">
        <f t="shared" si="46"/>
        <v>41.497425</v>
      </c>
      <c r="G1102" s="10">
        <f t="shared" si="46"/>
        <v>38.427441666666667</v>
      </c>
      <c r="H1102" s="10">
        <f t="shared" si="46"/>
        <v>38.427441666666667</v>
      </c>
      <c r="I1102" s="10">
        <f t="shared" si="46"/>
        <v>38.428999999999995</v>
      </c>
      <c r="J1102" s="10">
        <f t="shared" si="46"/>
        <v>262.82230000000004</v>
      </c>
    </row>
    <row r="1103" spans="1:10" ht="15" x14ac:dyDescent="0.2">
      <c r="A1103" s="11">
        <f t="shared" si="24"/>
        <v>2060</v>
      </c>
      <c r="B1103" s="10">
        <f t="shared" ref="B1103:J1103" si="47">AVERAGE(B564:B575)</f>
        <v>42.378283333333322</v>
      </c>
      <c r="C1103" s="10">
        <f t="shared" si="47"/>
        <v>39.099216666666671</v>
      </c>
      <c r="D1103" s="10">
        <f t="shared" si="47"/>
        <v>39.091399999999993</v>
      </c>
      <c r="E1103" s="10">
        <f t="shared" si="47"/>
        <v>42.231116666666658</v>
      </c>
      <c r="F1103" s="10">
        <f t="shared" si="47"/>
        <v>42.222016666666669</v>
      </c>
      <c r="G1103" s="10">
        <f t="shared" si="47"/>
        <v>39.097666666666669</v>
      </c>
      <c r="H1103" s="10">
        <f t="shared" si="47"/>
        <v>39.097666666666669</v>
      </c>
      <c r="I1103" s="10">
        <f t="shared" si="47"/>
        <v>39.099216666666671</v>
      </c>
      <c r="J1103" s="10">
        <f t="shared" si="47"/>
        <v>267.47901666666667</v>
      </c>
    </row>
    <row r="1104" spans="1:10" ht="15" x14ac:dyDescent="0.2">
      <c r="A1104" s="11">
        <f t="shared" si="24"/>
        <v>2061</v>
      </c>
      <c r="B1104" s="10">
        <f t="shared" ref="B1104:J1104" si="48">AVERAGE(B576:B587)</f>
        <v>43.115674999999989</v>
      </c>
      <c r="C1104" s="10">
        <f t="shared" si="48"/>
        <v>39.781291666666668</v>
      </c>
      <c r="D1104" s="10">
        <f t="shared" si="48"/>
        <v>39.773474999999998</v>
      </c>
      <c r="E1104" s="10">
        <f t="shared" si="48"/>
        <v>42.968508333333325</v>
      </c>
      <c r="F1104" s="10">
        <f t="shared" si="48"/>
        <v>42.959408333333329</v>
      </c>
      <c r="G1104" s="10">
        <f t="shared" si="48"/>
        <v>39.779708333333339</v>
      </c>
      <c r="H1104" s="10">
        <f t="shared" si="48"/>
        <v>39.779708333333339</v>
      </c>
      <c r="I1104" s="10">
        <f t="shared" si="48"/>
        <v>39.781291666666668</v>
      </c>
      <c r="J1104" s="10">
        <f t="shared" si="48"/>
        <v>272.21823333333333</v>
      </c>
    </row>
    <row r="1105" spans="1:10" ht="15" x14ac:dyDescent="0.2">
      <c r="A1105" s="11">
        <f t="shared" si="24"/>
        <v>2062</v>
      </c>
      <c r="B1105" s="10">
        <f t="shared" ref="B1105:J1114" ca="1" si="49">AVERAGE(OFFSET(B$588,($A1105-$A$1105)*12,0,12,1))</f>
        <v>43.866099999999996</v>
      </c>
      <c r="C1105" s="10">
        <f t="shared" ca="1" si="49"/>
        <v>40.4754</v>
      </c>
      <c r="D1105" s="10">
        <f t="shared" ca="1" si="49"/>
        <v>40.467591666666664</v>
      </c>
      <c r="E1105" s="10">
        <f t="shared" ca="1" si="49"/>
        <v>43.718941666666666</v>
      </c>
      <c r="F1105" s="10">
        <f t="shared" ca="1" si="49"/>
        <v>43.709841666666655</v>
      </c>
      <c r="G1105" s="10">
        <f t="shared" ca="1" si="49"/>
        <v>40.473824999999998</v>
      </c>
      <c r="H1105" s="10">
        <f t="shared" ca="1" si="49"/>
        <v>40.473824999999998</v>
      </c>
      <c r="I1105" s="10">
        <f t="shared" ca="1" si="49"/>
        <v>40.4754</v>
      </c>
      <c r="J1105" s="10">
        <f t="shared" ca="1" si="49"/>
        <v>277.04143333333337</v>
      </c>
    </row>
    <row r="1106" spans="1:10" ht="15" x14ac:dyDescent="0.2">
      <c r="A1106" s="11">
        <f t="shared" si="24"/>
        <v>2063</v>
      </c>
      <c r="B1106" s="10">
        <f t="shared" ca="1" si="49"/>
        <v>44.629783333333336</v>
      </c>
      <c r="C1106" s="10">
        <f t="shared" ca="1" si="49"/>
        <v>41.181774999999995</v>
      </c>
      <c r="D1106" s="10">
        <f t="shared" ca="1" si="49"/>
        <v>41.173958333333339</v>
      </c>
      <c r="E1106" s="10">
        <f t="shared" ca="1" si="49"/>
        <v>44.482616666666672</v>
      </c>
      <c r="F1106" s="10">
        <f t="shared" ca="1" si="49"/>
        <v>44.473516666666661</v>
      </c>
      <c r="G1106" s="10">
        <f t="shared" ca="1" si="49"/>
        <v>41.180200000000006</v>
      </c>
      <c r="H1106" s="10">
        <f t="shared" ca="1" si="49"/>
        <v>41.180200000000006</v>
      </c>
      <c r="I1106" s="10">
        <f t="shared" ca="1" si="49"/>
        <v>41.181774999999995</v>
      </c>
      <c r="J1106" s="10">
        <f t="shared" ca="1" si="49"/>
        <v>281.95009166666665</v>
      </c>
    </row>
    <row r="1107" spans="1:10" ht="15" x14ac:dyDescent="0.2">
      <c r="A1107" s="11">
        <f t="shared" si="24"/>
        <v>2064</v>
      </c>
      <c r="B1107" s="10">
        <f t="shared" ca="1" si="49"/>
        <v>45.406950000000002</v>
      </c>
      <c r="C1107" s="10">
        <f t="shared" ca="1" si="49"/>
        <v>41.900608333333338</v>
      </c>
      <c r="D1107" s="10">
        <f t="shared" ca="1" si="49"/>
        <v>41.892800000000001</v>
      </c>
      <c r="E1107" s="10">
        <f t="shared" ca="1" si="49"/>
        <v>45.259800000000006</v>
      </c>
      <c r="F1107" s="10">
        <f t="shared" ca="1" si="49"/>
        <v>45.250700000000002</v>
      </c>
      <c r="G1107" s="10">
        <f t="shared" ca="1" si="49"/>
        <v>41.899066666666663</v>
      </c>
      <c r="H1107" s="10">
        <f t="shared" ca="1" si="49"/>
        <v>41.899066666666663</v>
      </c>
      <c r="I1107" s="10">
        <f t="shared" ca="1" si="49"/>
        <v>41.900608333333338</v>
      </c>
      <c r="J1107" s="10">
        <f t="shared" ca="1" si="49"/>
        <v>286.94569166666668</v>
      </c>
    </row>
    <row r="1108" spans="1:10" ht="15" x14ac:dyDescent="0.2">
      <c r="A1108" s="11">
        <f t="shared" si="24"/>
        <v>2065</v>
      </c>
      <c r="B1108" s="10">
        <f t="shared" ca="1" si="49"/>
        <v>46.197858333333322</v>
      </c>
      <c r="C1108" s="10">
        <f t="shared" ca="1" si="49"/>
        <v>42.63218333333333</v>
      </c>
      <c r="D1108" s="10">
        <f t="shared" ca="1" si="49"/>
        <v>42.624375000000001</v>
      </c>
      <c r="E1108" s="10">
        <f t="shared" ca="1" si="49"/>
        <v>46.050699999999999</v>
      </c>
      <c r="F1108" s="10">
        <f t="shared" ca="1" si="49"/>
        <v>46.041599999999995</v>
      </c>
      <c r="G1108" s="10">
        <f t="shared" ca="1" si="49"/>
        <v>42.630600000000001</v>
      </c>
      <c r="H1108" s="10">
        <f t="shared" ca="1" si="49"/>
        <v>42.630600000000001</v>
      </c>
      <c r="I1108" s="10">
        <f t="shared" ca="1" si="49"/>
        <v>42.63218333333333</v>
      </c>
      <c r="J1108" s="10">
        <f t="shared" ca="1" si="49"/>
        <v>292.0298416666667</v>
      </c>
    </row>
    <row r="1109" spans="1:10" ht="15" x14ac:dyDescent="0.2">
      <c r="A1109" s="11">
        <f t="shared" si="24"/>
        <v>2066</v>
      </c>
      <c r="B1109" s="10">
        <f t="shared" ca="1" si="49"/>
        <v>47.002733333333332</v>
      </c>
      <c r="C1109" s="10">
        <f t="shared" ca="1" si="49"/>
        <v>43.376658333333332</v>
      </c>
      <c r="D1109" s="10">
        <f t="shared" ca="1" si="49"/>
        <v>43.368841666666668</v>
      </c>
      <c r="E1109" s="10">
        <f t="shared" ca="1" si="49"/>
        <v>46.855591666666669</v>
      </c>
      <c r="F1109" s="10">
        <f t="shared" ca="1" si="49"/>
        <v>46.846491666666658</v>
      </c>
      <c r="G1109" s="10">
        <f t="shared" ca="1" si="49"/>
        <v>43.375100000000003</v>
      </c>
      <c r="H1109" s="10">
        <f t="shared" ca="1" si="49"/>
        <v>43.375100000000003</v>
      </c>
      <c r="I1109" s="10">
        <f t="shared" ca="1" si="49"/>
        <v>43.376658333333332</v>
      </c>
      <c r="J1109" s="10">
        <f t="shared" ca="1" si="49"/>
        <v>297.20405</v>
      </c>
    </row>
    <row r="1110" spans="1:10" ht="15" x14ac:dyDescent="0.2">
      <c r="A1110" s="11">
        <f t="shared" si="24"/>
        <v>2067</v>
      </c>
      <c r="B1110" s="10">
        <f t="shared" ca="1" si="49"/>
        <v>47.821833333333331</v>
      </c>
      <c r="C1110" s="10">
        <f t="shared" ca="1" si="49"/>
        <v>44.134291666666677</v>
      </c>
      <c r="D1110" s="10">
        <f t="shared" ca="1" si="49"/>
        <v>44.126491666666674</v>
      </c>
      <c r="E1110" s="10">
        <f t="shared" ca="1" si="49"/>
        <v>47.674691666666668</v>
      </c>
      <c r="F1110" s="10">
        <f t="shared" ca="1" si="49"/>
        <v>47.665591666666671</v>
      </c>
      <c r="G1110" s="10">
        <f t="shared" ca="1" si="49"/>
        <v>44.132725000000001</v>
      </c>
      <c r="H1110" s="10">
        <f t="shared" ca="1" si="49"/>
        <v>44.132725000000001</v>
      </c>
      <c r="I1110" s="10">
        <f t="shared" ca="1" si="49"/>
        <v>44.134291666666677</v>
      </c>
      <c r="J1110" s="10">
        <f t="shared" ca="1" si="49"/>
        <v>302.46994999999998</v>
      </c>
    </row>
    <row r="1111" spans="1:10" ht="15" x14ac:dyDescent="0.2">
      <c r="A1111" s="11">
        <f t="shared" si="24"/>
        <v>2068</v>
      </c>
      <c r="B1111" s="10">
        <f t="shared" ca="1" si="49"/>
        <v>48.655400000000007</v>
      </c>
      <c r="C1111" s="10">
        <f t="shared" ca="1" si="49"/>
        <v>44.905300000000004</v>
      </c>
      <c r="D1111" s="10">
        <f t="shared" ca="1" si="49"/>
        <v>44.897500000000001</v>
      </c>
      <c r="E1111" s="10">
        <f t="shared" ca="1" si="49"/>
        <v>48.508266666666678</v>
      </c>
      <c r="F1111" s="10">
        <f t="shared" ca="1" si="49"/>
        <v>48.499166666666667</v>
      </c>
      <c r="G1111" s="10">
        <f t="shared" ca="1" si="49"/>
        <v>44.903750000000002</v>
      </c>
      <c r="H1111" s="10">
        <f t="shared" ca="1" si="49"/>
        <v>44.903750000000002</v>
      </c>
      <c r="I1111" s="10">
        <f t="shared" ca="1" si="49"/>
        <v>44.905300000000004</v>
      </c>
      <c r="J1111" s="10">
        <f t="shared" ca="1" si="49"/>
        <v>307.82914166666666</v>
      </c>
    </row>
    <row r="1112" spans="1:10" ht="15" x14ac:dyDescent="0.2">
      <c r="A1112" s="11">
        <f t="shared" si="24"/>
        <v>2069</v>
      </c>
      <c r="B1112" s="10">
        <f t="shared" ca="1" si="49"/>
        <v>49.503700000000009</v>
      </c>
      <c r="C1112" s="10">
        <f t="shared" ca="1" si="49"/>
        <v>45.689950000000003</v>
      </c>
      <c r="D1112" s="10">
        <f t="shared" ca="1" si="49"/>
        <v>45.682141666666666</v>
      </c>
      <c r="E1112" s="10">
        <f t="shared" ca="1" si="49"/>
        <v>49.356566666666673</v>
      </c>
      <c r="F1112" s="10">
        <f t="shared" ca="1" si="49"/>
        <v>49.347466666666662</v>
      </c>
      <c r="G1112" s="10">
        <f t="shared" ca="1" si="49"/>
        <v>45.688391666666661</v>
      </c>
      <c r="H1112" s="10">
        <f t="shared" ca="1" si="49"/>
        <v>45.688391666666661</v>
      </c>
      <c r="I1112" s="10">
        <f t="shared" ca="1" si="49"/>
        <v>45.689950000000003</v>
      </c>
      <c r="J1112" s="10">
        <f t="shared" ca="1" si="49"/>
        <v>313.28329166666668</v>
      </c>
    </row>
    <row r="1113" spans="1:10" ht="15" x14ac:dyDescent="0.2">
      <c r="A1113" s="11">
        <f t="shared" ref="A1113:A1143" si="50">A1112+1</f>
        <v>2070</v>
      </c>
      <c r="B1113" s="10">
        <f t="shared" ca="1" si="49"/>
        <v>50.366999999999997</v>
      </c>
      <c r="C1113" s="10">
        <f t="shared" ca="1" si="49"/>
        <v>46.488466666666675</v>
      </c>
      <c r="D1113" s="10">
        <f t="shared" ca="1" si="49"/>
        <v>46.480649999999997</v>
      </c>
      <c r="E1113" s="10">
        <f t="shared" ca="1" si="49"/>
        <v>50.219850000000008</v>
      </c>
      <c r="F1113" s="10">
        <f t="shared" ca="1" si="49"/>
        <v>50.210749999999997</v>
      </c>
      <c r="G1113" s="10">
        <f t="shared" ca="1" si="49"/>
        <v>46.486900000000013</v>
      </c>
      <c r="H1113" s="10">
        <f t="shared" ca="1" si="49"/>
        <v>46.486900000000013</v>
      </c>
      <c r="I1113" s="10">
        <f t="shared" ca="1" si="49"/>
        <v>46.488466666666675</v>
      </c>
      <c r="J1113" s="10">
        <f t="shared" ca="1" si="49"/>
        <v>318.83406666666673</v>
      </c>
    </row>
    <row r="1114" spans="1:10" ht="15" x14ac:dyDescent="0.2">
      <c r="A1114" s="11">
        <f t="shared" si="50"/>
        <v>2071</v>
      </c>
      <c r="B1114" s="10">
        <f t="shared" ca="1" si="49"/>
        <v>51.245533333333334</v>
      </c>
      <c r="C1114" s="10">
        <f t="shared" ca="1" si="49"/>
        <v>47.301074999999997</v>
      </c>
      <c r="D1114" s="10">
        <f t="shared" ca="1" si="49"/>
        <v>47.293266666666675</v>
      </c>
      <c r="E1114" s="10">
        <f t="shared" ca="1" si="49"/>
        <v>51.098391666666664</v>
      </c>
      <c r="F1114" s="10">
        <f t="shared" ca="1" si="49"/>
        <v>51.089291666666668</v>
      </c>
      <c r="G1114" s="10">
        <f t="shared" ca="1" si="49"/>
        <v>47.299500000000002</v>
      </c>
      <c r="H1114" s="10">
        <f t="shared" ca="1" si="49"/>
        <v>47.299500000000002</v>
      </c>
      <c r="I1114" s="10">
        <f t="shared" ca="1" si="49"/>
        <v>47.301074999999997</v>
      </c>
      <c r="J1114" s="10">
        <f t="shared" ca="1" si="49"/>
        <v>324.483225</v>
      </c>
    </row>
    <row r="1115" spans="1:10" ht="15" x14ac:dyDescent="0.2">
      <c r="A1115" s="11">
        <f t="shared" si="50"/>
        <v>2072</v>
      </c>
      <c r="B1115" s="10">
        <f t="shared" ref="B1115:J1124" ca="1" si="51">AVERAGE(OFFSET(B$588,($A1115-$A$1105)*12,0,12,1))</f>
        <v>52.139600000000002</v>
      </c>
      <c r="C1115" s="10">
        <f t="shared" ca="1" si="51"/>
        <v>48.128041666666668</v>
      </c>
      <c r="D1115" s="10">
        <f t="shared" ca="1" si="51"/>
        <v>48.120224999999998</v>
      </c>
      <c r="E1115" s="10">
        <f t="shared" ca="1" si="51"/>
        <v>51.992450000000012</v>
      </c>
      <c r="F1115" s="10">
        <f t="shared" ca="1" si="51"/>
        <v>51.983350000000009</v>
      </c>
      <c r="G1115" s="10">
        <f t="shared" ca="1" si="51"/>
        <v>48.126491666666674</v>
      </c>
      <c r="H1115" s="10">
        <f t="shared" ca="1" si="51"/>
        <v>48.126491666666674</v>
      </c>
      <c r="I1115" s="10">
        <f t="shared" ca="1" si="51"/>
        <v>48.128041666666668</v>
      </c>
      <c r="J1115" s="10">
        <f t="shared" ca="1" si="51"/>
        <v>330.23245833333334</v>
      </c>
    </row>
    <row r="1116" spans="1:10" ht="15" x14ac:dyDescent="0.2">
      <c r="A1116" s="11">
        <f t="shared" si="50"/>
        <v>2073</v>
      </c>
      <c r="B1116" s="10">
        <f t="shared" ca="1" si="51"/>
        <v>53.049466666666653</v>
      </c>
      <c r="C1116" s="10">
        <f t="shared" ca="1" si="51"/>
        <v>48.969625000000008</v>
      </c>
      <c r="D1116" s="10">
        <f t="shared" ca="1" si="51"/>
        <v>48.961808333333344</v>
      </c>
      <c r="E1116" s="10">
        <f t="shared" ca="1" si="51"/>
        <v>52.902300000000004</v>
      </c>
      <c r="F1116" s="10">
        <f t="shared" ca="1" si="51"/>
        <v>52.893200000000007</v>
      </c>
      <c r="G1116" s="10">
        <f t="shared" ca="1" si="51"/>
        <v>48.968075000000006</v>
      </c>
      <c r="H1116" s="10">
        <f t="shared" ca="1" si="51"/>
        <v>48.968075000000006</v>
      </c>
      <c r="I1116" s="10">
        <f t="shared" ca="1" si="51"/>
        <v>48.969625000000008</v>
      </c>
      <c r="J1116" s="10">
        <f t="shared" ca="1" si="51"/>
        <v>336.08355</v>
      </c>
    </row>
    <row r="1117" spans="1:10" ht="15" x14ac:dyDescent="0.2">
      <c r="A1117" s="11">
        <f t="shared" si="50"/>
        <v>2074</v>
      </c>
      <c r="B1117" s="10">
        <f t="shared" ca="1" si="51"/>
        <v>53.9754</v>
      </c>
      <c r="C1117" s="10">
        <f t="shared" ca="1" si="51"/>
        <v>49.826091666666656</v>
      </c>
      <c r="D1117" s="10">
        <f t="shared" ca="1" si="51"/>
        <v>49.818275</v>
      </c>
      <c r="E1117" s="10">
        <f t="shared" ca="1" si="51"/>
        <v>53.828249999999997</v>
      </c>
      <c r="F1117" s="10">
        <f t="shared" ca="1" si="51"/>
        <v>53.81915</v>
      </c>
      <c r="G1117" s="10">
        <f t="shared" ca="1" si="51"/>
        <v>49.824508333333334</v>
      </c>
      <c r="H1117" s="10">
        <f t="shared" ca="1" si="51"/>
        <v>49.824508333333334</v>
      </c>
      <c r="I1117" s="10">
        <f t="shared" ca="1" si="51"/>
        <v>49.826091666666656</v>
      </c>
      <c r="J1117" s="10">
        <f t="shared" ca="1" si="51"/>
        <v>342.0383083333333</v>
      </c>
    </row>
    <row r="1118" spans="1:10" ht="15" x14ac:dyDescent="0.2">
      <c r="A1118" s="11">
        <f t="shared" si="50"/>
        <v>2075</v>
      </c>
      <c r="B1118" s="10">
        <f t="shared" ca="1" si="51"/>
        <v>54.917700000000004</v>
      </c>
      <c r="C1118" s="10">
        <f t="shared" ca="1" si="51"/>
        <v>50.697675000000004</v>
      </c>
      <c r="D1118" s="10">
        <f t="shared" ca="1" si="51"/>
        <v>50.689850000000014</v>
      </c>
      <c r="E1118" s="10">
        <f t="shared" ca="1" si="51"/>
        <v>54.770541666666674</v>
      </c>
      <c r="F1118" s="10">
        <f t="shared" ca="1" si="51"/>
        <v>54.761441666666677</v>
      </c>
      <c r="G1118" s="10">
        <f t="shared" ca="1" si="51"/>
        <v>50.696099999999994</v>
      </c>
      <c r="H1118" s="10">
        <f t="shared" ca="1" si="51"/>
        <v>50.696099999999994</v>
      </c>
      <c r="I1118" s="10">
        <f t="shared" ca="1" si="51"/>
        <v>50.697675000000004</v>
      </c>
      <c r="J1118" s="10">
        <f t="shared" ca="1" si="51"/>
        <v>348.09859166666666</v>
      </c>
    </row>
    <row r="1119" spans="1:10" ht="15" x14ac:dyDescent="0.2">
      <c r="A1119" s="11">
        <f t="shared" si="50"/>
        <v>2076</v>
      </c>
      <c r="B1119" s="10">
        <f t="shared" ca="1" si="51"/>
        <v>55.876633333333331</v>
      </c>
      <c r="C1119" s="10">
        <f t="shared" ca="1" si="51"/>
        <v>51.584649999999989</v>
      </c>
      <c r="D1119" s="10">
        <f t="shared" ca="1" si="51"/>
        <v>51.576833333333333</v>
      </c>
      <c r="E1119" s="10">
        <f t="shared" ca="1" si="51"/>
        <v>55.729491666666661</v>
      </c>
      <c r="F1119" s="10">
        <f t="shared" ca="1" si="51"/>
        <v>55.720391666666671</v>
      </c>
      <c r="G1119" s="10">
        <f t="shared" ca="1" si="51"/>
        <v>51.583091666666661</v>
      </c>
      <c r="H1119" s="10">
        <f t="shared" ca="1" si="51"/>
        <v>51.583091666666661</v>
      </c>
      <c r="I1119" s="10">
        <f t="shared" ca="1" si="51"/>
        <v>51.584649999999989</v>
      </c>
      <c r="J1119" s="10">
        <f t="shared" ca="1" si="51"/>
        <v>354.26623333333333</v>
      </c>
    </row>
    <row r="1120" spans="1:10" ht="15" x14ac:dyDescent="0.2">
      <c r="A1120" s="11">
        <f t="shared" si="50"/>
        <v>2077</v>
      </c>
      <c r="B1120" s="10">
        <f t="shared" ca="1" si="51"/>
        <v>56.852516666666666</v>
      </c>
      <c r="C1120" s="10">
        <f t="shared" ca="1" si="51"/>
        <v>52.487299999999998</v>
      </c>
      <c r="D1120" s="10">
        <f t="shared" ca="1" si="51"/>
        <v>52.479491666666661</v>
      </c>
      <c r="E1120" s="10">
        <f t="shared" ca="1" si="51"/>
        <v>56.705383333333337</v>
      </c>
      <c r="F1120" s="10">
        <f t="shared" ca="1" si="51"/>
        <v>56.696283333333334</v>
      </c>
      <c r="G1120" s="10">
        <f t="shared" ca="1" si="51"/>
        <v>52.485741666666662</v>
      </c>
      <c r="H1120" s="10">
        <f t="shared" ca="1" si="51"/>
        <v>52.485741666666662</v>
      </c>
      <c r="I1120" s="10">
        <f t="shared" ca="1" si="51"/>
        <v>52.487299999999998</v>
      </c>
      <c r="J1120" s="10">
        <f t="shared" ca="1" si="51"/>
        <v>360.54315833333334</v>
      </c>
    </row>
    <row r="1121" spans="1:10" ht="15" x14ac:dyDescent="0.2">
      <c r="A1121" s="11">
        <f t="shared" si="50"/>
        <v>2078</v>
      </c>
      <c r="B1121" s="10">
        <f t="shared" ca="1" si="51"/>
        <v>57.845658333333319</v>
      </c>
      <c r="C1121" s="10">
        <f t="shared" ca="1" si="51"/>
        <v>53.405900000000003</v>
      </c>
      <c r="D1121" s="10">
        <f t="shared" ca="1" si="51"/>
        <v>53.398099999999999</v>
      </c>
      <c r="E1121" s="10">
        <f t="shared" ca="1" si="51"/>
        <v>57.698500000000003</v>
      </c>
      <c r="F1121" s="10">
        <f t="shared" ca="1" si="51"/>
        <v>57.689400000000006</v>
      </c>
      <c r="G1121" s="10">
        <f t="shared" ca="1" si="51"/>
        <v>53.40434166666666</v>
      </c>
      <c r="H1121" s="10">
        <f t="shared" ca="1" si="51"/>
        <v>53.40434166666666</v>
      </c>
      <c r="I1121" s="10">
        <f t="shared" ca="1" si="51"/>
        <v>53.405900000000003</v>
      </c>
      <c r="J1121" s="10">
        <f t="shared" ca="1" si="51"/>
        <v>366.9312916666666</v>
      </c>
    </row>
    <row r="1122" spans="1:10" ht="15" x14ac:dyDescent="0.2">
      <c r="A1122" s="11">
        <f t="shared" si="50"/>
        <v>2079</v>
      </c>
      <c r="B1122" s="10">
        <f t="shared" ca="1" si="51"/>
        <v>58.856324999999998</v>
      </c>
      <c r="C1122" s="10">
        <f t="shared" ca="1" si="51"/>
        <v>54.340733333333333</v>
      </c>
      <c r="D1122" s="10">
        <f t="shared" ca="1" si="51"/>
        <v>54.332924999999996</v>
      </c>
      <c r="E1122" s="10">
        <f t="shared" ca="1" si="51"/>
        <v>58.709191666666662</v>
      </c>
      <c r="F1122" s="10">
        <f t="shared" ca="1" si="51"/>
        <v>58.700091666666658</v>
      </c>
      <c r="G1122" s="10">
        <f t="shared" ca="1" si="51"/>
        <v>54.339191666666665</v>
      </c>
      <c r="H1122" s="10">
        <f t="shared" ca="1" si="51"/>
        <v>54.339191666666665</v>
      </c>
      <c r="I1122" s="10">
        <f t="shared" ca="1" si="51"/>
        <v>54.340733333333333</v>
      </c>
      <c r="J1122" s="10">
        <f t="shared" ca="1" si="51"/>
        <v>373.43262499999997</v>
      </c>
    </row>
    <row r="1123" spans="1:10" ht="15" x14ac:dyDescent="0.2">
      <c r="A1123" s="11">
        <f t="shared" si="50"/>
        <v>2080</v>
      </c>
      <c r="B1123" s="10">
        <f t="shared" ca="1" si="51"/>
        <v>59.884874999999994</v>
      </c>
      <c r="C1123" s="10">
        <f t="shared" ca="1" si="51"/>
        <v>55.292091666666664</v>
      </c>
      <c r="D1123" s="10">
        <f t="shared" ca="1" si="51"/>
        <v>55.284291666666661</v>
      </c>
      <c r="E1123" s="10">
        <f t="shared" ca="1" si="51"/>
        <v>59.73769999999999</v>
      </c>
      <c r="F1123" s="10">
        <f t="shared" ca="1" si="51"/>
        <v>59.7286</v>
      </c>
      <c r="G1123" s="10">
        <f t="shared" ca="1" si="51"/>
        <v>55.290525000000002</v>
      </c>
      <c r="H1123" s="10">
        <f t="shared" ca="1" si="51"/>
        <v>55.290525000000002</v>
      </c>
      <c r="I1123" s="10">
        <f t="shared" ca="1" si="51"/>
        <v>55.292091666666664</v>
      </c>
      <c r="J1123" s="10">
        <f t="shared" ca="1" si="51"/>
        <v>380.04916666666668</v>
      </c>
    </row>
    <row r="1124" spans="1:10" ht="15" x14ac:dyDescent="0.2">
      <c r="A1124" s="11">
        <f t="shared" si="50"/>
        <v>2081</v>
      </c>
      <c r="B1124" s="10">
        <f t="shared" ca="1" si="51"/>
        <v>60.931574999999988</v>
      </c>
      <c r="C1124" s="10">
        <f t="shared" ca="1" si="51"/>
        <v>56.260250000000006</v>
      </c>
      <c r="D1124" s="10">
        <f t="shared" ca="1" si="51"/>
        <v>56.252433333333336</v>
      </c>
      <c r="E1124" s="10">
        <f t="shared" ca="1" si="51"/>
        <v>60.784408333333317</v>
      </c>
      <c r="F1124" s="10">
        <f t="shared" ca="1" si="51"/>
        <v>60.775308333333328</v>
      </c>
      <c r="G1124" s="10">
        <f t="shared" ca="1" si="51"/>
        <v>56.258691666666664</v>
      </c>
      <c r="H1124" s="10">
        <f t="shared" ca="1" si="51"/>
        <v>56.258691666666664</v>
      </c>
      <c r="I1124" s="10">
        <f t="shared" ca="1" si="51"/>
        <v>56.260250000000006</v>
      </c>
      <c r="J1124" s="10">
        <f t="shared" ca="1" si="51"/>
        <v>386.78289999999993</v>
      </c>
    </row>
    <row r="1125" spans="1:10" ht="15" x14ac:dyDescent="0.2">
      <c r="A1125" s="11">
        <f t="shared" si="50"/>
        <v>2082</v>
      </c>
      <c r="B1125" s="10">
        <f t="shared" ref="B1125:J1134" ca="1" si="52">AVERAGE(OFFSET(B$588,($A1125-$A$1105)*12,0,12,1))</f>
        <v>61.996774999999985</v>
      </c>
      <c r="C1125" s="10">
        <f t="shared" ca="1" si="52"/>
        <v>57.245500000000014</v>
      </c>
      <c r="D1125" s="10">
        <f t="shared" ca="1" si="52"/>
        <v>57.23769999999999</v>
      </c>
      <c r="E1125" s="10">
        <f t="shared" ca="1" si="52"/>
        <v>61.849608333333322</v>
      </c>
      <c r="F1125" s="10">
        <f t="shared" ca="1" si="52"/>
        <v>61.840508333333325</v>
      </c>
      <c r="G1125" s="10">
        <f t="shared" ca="1" si="52"/>
        <v>57.243950000000005</v>
      </c>
      <c r="H1125" s="10">
        <f t="shared" ca="1" si="52"/>
        <v>57.243950000000005</v>
      </c>
      <c r="I1125" s="10">
        <f t="shared" ca="1" si="52"/>
        <v>57.245500000000014</v>
      </c>
      <c r="J1125" s="10">
        <f t="shared" ca="1" si="52"/>
        <v>393.63595000000004</v>
      </c>
    </row>
    <row r="1126" spans="1:10" ht="15" x14ac:dyDescent="0.2">
      <c r="A1126" s="11">
        <f t="shared" si="50"/>
        <v>2083</v>
      </c>
      <c r="B1126" s="10">
        <f t="shared" ca="1" si="52"/>
        <v>63.08079166666667</v>
      </c>
      <c r="C1126" s="10">
        <f t="shared" ca="1" si="52"/>
        <v>58.248191666666649</v>
      </c>
      <c r="D1126" s="10">
        <f t="shared" ca="1" si="52"/>
        <v>58.240383333333334</v>
      </c>
      <c r="E1126" s="10">
        <f t="shared" ca="1" si="52"/>
        <v>62.933633333333326</v>
      </c>
      <c r="F1126" s="10">
        <f t="shared" ca="1" si="52"/>
        <v>62.924533333333336</v>
      </c>
      <c r="G1126" s="10">
        <f t="shared" ca="1" si="52"/>
        <v>58.246616666666675</v>
      </c>
      <c r="H1126" s="10">
        <f t="shared" ca="1" si="52"/>
        <v>58.246616666666675</v>
      </c>
      <c r="I1126" s="10">
        <f t="shared" ca="1" si="52"/>
        <v>58.248191666666649</v>
      </c>
      <c r="J1126" s="10">
        <f t="shared" ca="1" si="52"/>
        <v>400.61045833333327</v>
      </c>
    </row>
    <row r="1127" spans="1:10" ht="15" x14ac:dyDescent="0.2">
      <c r="A1127" s="11">
        <f t="shared" si="50"/>
        <v>2084</v>
      </c>
      <c r="B1127" s="10">
        <f t="shared" ca="1" si="52"/>
        <v>64.183966666666663</v>
      </c>
      <c r="C1127" s="10">
        <f t="shared" ca="1" si="52"/>
        <v>59.268583333333332</v>
      </c>
      <c r="D1127" s="10">
        <f t="shared" ca="1" si="52"/>
        <v>59.260766666666662</v>
      </c>
      <c r="E1127" s="10">
        <f t="shared" ca="1" si="52"/>
        <v>64.036800000000014</v>
      </c>
      <c r="F1127" s="10">
        <f t="shared" ca="1" si="52"/>
        <v>64.027699999999996</v>
      </c>
      <c r="G1127" s="10">
        <f t="shared" ca="1" si="52"/>
        <v>59.267000000000003</v>
      </c>
      <c r="H1127" s="10">
        <f t="shared" ca="1" si="52"/>
        <v>59.267000000000003</v>
      </c>
      <c r="I1127" s="10">
        <f t="shared" ca="1" si="52"/>
        <v>59.268583333333332</v>
      </c>
      <c r="J1127" s="10">
        <f t="shared" ca="1" si="52"/>
        <v>407.70851666666664</v>
      </c>
    </row>
    <row r="1128" spans="1:10" ht="15" x14ac:dyDescent="0.2">
      <c r="A1128" s="11">
        <f t="shared" si="50"/>
        <v>2085</v>
      </c>
      <c r="B1128" s="10">
        <f t="shared" ca="1" si="52"/>
        <v>65.306616666666656</v>
      </c>
      <c r="C1128" s="10">
        <f t="shared" ca="1" si="52"/>
        <v>60.306991666666669</v>
      </c>
      <c r="D1128" s="10">
        <f t="shared" ca="1" si="52"/>
        <v>60.299191666666673</v>
      </c>
      <c r="E1128" s="10">
        <f t="shared" ca="1" si="52"/>
        <v>65.159483333333327</v>
      </c>
      <c r="F1128" s="10">
        <f t="shared" ca="1" si="52"/>
        <v>65.150383333333309</v>
      </c>
      <c r="G1128" s="10">
        <f t="shared" ca="1" si="52"/>
        <v>60.305425000000007</v>
      </c>
      <c r="H1128" s="10">
        <f t="shared" ca="1" si="52"/>
        <v>60.305425000000007</v>
      </c>
      <c r="I1128" s="10">
        <f t="shared" ca="1" si="52"/>
        <v>60.306991666666669</v>
      </c>
      <c r="J1128" s="10">
        <f t="shared" ca="1" si="52"/>
        <v>414.93235000000004</v>
      </c>
    </row>
    <row r="1129" spans="1:10" ht="15" x14ac:dyDescent="0.2">
      <c r="A1129" s="11">
        <f t="shared" si="50"/>
        <v>2086</v>
      </c>
      <c r="B1129" s="10">
        <f t="shared" ca="1" si="52"/>
        <v>66.449108333333328</v>
      </c>
      <c r="C1129" s="10">
        <f t="shared" ca="1" si="52"/>
        <v>61.363758333333323</v>
      </c>
      <c r="D1129" s="10">
        <f t="shared" ca="1" si="52"/>
        <v>61.355941666666659</v>
      </c>
      <c r="E1129" s="10">
        <f t="shared" ca="1" si="52"/>
        <v>66.301974999999999</v>
      </c>
      <c r="F1129" s="10">
        <f t="shared" ca="1" si="52"/>
        <v>66.292874999999995</v>
      </c>
      <c r="G1129" s="10">
        <f t="shared" ca="1" si="52"/>
        <v>61.362200000000001</v>
      </c>
      <c r="H1129" s="10">
        <f t="shared" ca="1" si="52"/>
        <v>61.362200000000001</v>
      </c>
      <c r="I1129" s="10">
        <f t="shared" ca="1" si="52"/>
        <v>61.363758333333323</v>
      </c>
      <c r="J1129" s="10">
        <f t="shared" ca="1" si="52"/>
        <v>422.28415833333321</v>
      </c>
    </row>
    <row r="1130" spans="1:10" ht="15" x14ac:dyDescent="0.2">
      <c r="A1130" s="11">
        <f t="shared" si="50"/>
        <v>2087</v>
      </c>
      <c r="B1130" s="10">
        <f t="shared" ca="1" si="52"/>
        <v>67.611800000000002</v>
      </c>
      <c r="C1130" s="10">
        <f t="shared" ca="1" si="52"/>
        <v>62.439191666666666</v>
      </c>
      <c r="D1130" s="10">
        <f t="shared" ca="1" si="52"/>
        <v>62.431391666666677</v>
      </c>
      <c r="E1130" s="10">
        <f t="shared" ca="1" si="52"/>
        <v>67.464666666666645</v>
      </c>
      <c r="F1130" s="10">
        <f t="shared" ca="1" si="52"/>
        <v>67.455566666666655</v>
      </c>
      <c r="G1130" s="10">
        <f t="shared" ca="1" si="52"/>
        <v>62.437625000000004</v>
      </c>
      <c r="H1130" s="10">
        <f t="shared" ca="1" si="52"/>
        <v>62.437625000000004</v>
      </c>
      <c r="I1130" s="10">
        <f t="shared" ca="1" si="52"/>
        <v>62.439191666666666</v>
      </c>
      <c r="J1130" s="10">
        <f t="shared" ca="1" si="52"/>
        <v>429.76624166666664</v>
      </c>
    </row>
    <row r="1131" spans="1:10" ht="15" x14ac:dyDescent="0.2">
      <c r="A1131" s="11">
        <f t="shared" si="50"/>
        <v>2088</v>
      </c>
      <c r="B1131" s="10">
        <f t="shared" ca="1" si="52"/>
        <v>68.795033333333336</v>
      </c>
      <c r="C1131" s="10">
        <f t="shared" ca="1" si="52"/>
        <v>63.533625000000001</v>
      </c>
      <c r="D1131" s="10">
        <f t="shared" ca="1" si="52"/>
        <v>63.525799999999983</v>
      </c>
      <c r="E1131" s="10">
        <f t="shared" ca="1" si="52"/>
        <v>68.647891666666666</v>
      </c>
      <c r="F1131" s="10">
        <f t="shared" ca="1" si="52"/>
        <v>68.638791666666677</v>
      </c>
      <c r="G1131" s="10">
        <f t="shared" ca="1" si="52"/>
        <v>63.532074999999992</v>
      </c>
      <c r="H1131" s="10">
        <f t="shared" ca="1" si="52"/>
        <v>63.532074999999992</v>
      </c>
      <c r="I1131" s="10">
        <f t="shared" ca="1" si="52"/>
        <v>63.533625000000001</v>
      </c>
      <c r="J1131" s="10">
        <f t="shared" ca="1" si="52"/>
        <v>437.38087500000006</v>
      </c>
    </row>
    <row r="1132" spans="1:10" ht="15" x14ac:dyDescent="0.2">
      <c r="A1132" s="11">
        <f t="shared" si="50"/>
        <v>2089</v>
      </c>
      <c r="B1132" s="10">
        <f t="shared" ca="1" si="52"/>
        <v>69.999174999999994</v>
      </c>
      <c r="C1132" s="10">
        <f t="shared" ca="1" si="52"/>
        <v>64.647400000000005</v>
      </c>
      <c r="D1132" s="10">
        <f t="shared" ca="1" si="52"/>
        <v>64.639591666666675</v>
      </c>
      <c r="E1132" s="10">
        <f t="shared" ca="1" si="52"/>
        <v>69.852008333333345</v>
      </c>
      <c r="F1132" s="10">
        <f t="shared" ca="1" si="52"/>
        <v>69.842908333333341</v>
      </c>
      <c r="G1132" s="10">
        <f t="shared" ca="1" si="52"/>
        <v>64.645833333333329</v>
      </c>
      <c r="H1132" s="10">
        <f t="shared" ca="1" si="52"/>
        <v>64.645833333333329</v>
      </c>
      <c r="I1132" s="10">
        <f t="shared" ca="1" si="52"/>
        <v>64.647400000000005</v>
      </c>
      <c r="J1132" s="10">
        <f t="shared" ca="1" si="52"/>
        <v>445.13044166666663</v>
      </c>
    </row>
    <row r="1133" spans="1:10" ht="15" x14ac:dyDescent="0.2">
      <c r="A1133" s="11">
        <f t="shared" si="50"/>
        <v>2090</v>
      </c>
      <c r="B1133" s="10">
        <f t="shared" ca="1" si="52"/>
        <v>71.224583333333314</v>
      </c>
      <c r="C1133" s="10">
        <f t="shared" ca="1" si="52"/>
        <v>65.780850000000001</v>
      </c>
      <c r="D1133" s="10">
        <f t="shared" ca="1" si="52"/>
        <v>65.773033333333331</v>
      </c>
      <c r="E1133" s="10">
        <f t="shared" ca="1" si="52"/>
        <v>71.07741666666665</v>
      </c>
      <c r="F1133" s="10">
        <f t="shared" ca="1" si="52"/>
        <v>71.068316666666661</v>
      </c>
      <c r="G1133" s="10">
        <f t="shared" ca="1" si="52"/>
        <v>65.779291666666666</v>
      </c>
      <c r="H1133" s="10">
        <f t="shared" ca="1" si="52"/>
        <v>65.779291666666666</v>
      </c>
      <c r="I1133" s="10">
        <f t="shared" ca="1" si="52"/>
        <v>65.780850000000001</v>
      </c>
      <c r="J1133" s="10">
        <f t="shared" ca="1" si="52"/>
        <v>453.01729999999998</v>
      </c>
    </row>
    <row r="1134" spans="1:10" ht="15" x14ac:dyDescent="0.2">
      <c r="A1134" s="11">
        <f t="shared" si="50"/>
        <v>2091</v>
      </c>
      <c r="B1134" s="10">
        <f t="shared" ca="1" si="52"/>
        <v>72.471633333333344</v>
      </c>
      <c r="C1134" s="10">
        <f t="shared" ca="1" si="52"/>
        <v>66.934324999999987</v>
      </c>
      <c r="D1134" s="10">
        <f t="shared" ca="1" si="52"/>
        <v>66.926508333333331</v>
      </c>
      <c r="E1134" s="10">
        <f t="shared" ca="1" si="52"/>
        <v>72.324491666666674</v>
      </c>
      <c r="F1134" s="10">
        <f t="shared" ca="1" si="52"/>
        <v>72.315391666666685</v>
      </c>
      <c r="G1134" s="10">
        <f t="shared" ca="1" si="52"/>
        <v>66.932775000000007</v>
      </c>
      <c r="H1134" s="10">
        <f t="shared" ca="1" si="52"/>
        <v>66.932775000000007</v>
      </c>
      <c r="I1134" s="10">
        <f t="shared" ca="1" si="52"/>
        <v>66.934324999999987</v>
      </c>
      <c r="J1134" s="10">
        <f t="shared" ca="1" si="52"/>
        <v>461.04392499999994</v>
      </c>
    </row>
    <row r="1135" spans="1:10" ht="15" x14ac:dyDescent="0.2">
      <c r="A1135" s="11">
        <f t="shared" si="50"/>
        <v>2092</v>
      </c>
      <c r="B1135" s="10">
        <f t="shared" ref="B1135:J1143" ca="1" si="53">AVERAGE(OFFSET(B$588,($A1135-$A$1105)*12,0,12,1))</f>
        <v>73.740725000000012</v>
      </c>
      <c r="C1135" s="10">
        <f t="shared" ca="1" si="53"/>
        <v>68.108191666666656</v>
      </c>
      <c r="D1135" s="10">
        <f t="shared" ca="1" si="53"/>
        <v>68.100375</v>
      </c>
      <c r="E1135" s="10">
        <f t="shared" ca="1" si="53"/>
        <v>73.593591666666669</v>
      </c>
      <c r="F1135" s="10">
        <f t="shared" ca="1" si="53"/>
        <v>73.584491666666665</v>
      </c>
      <c r="G1135" s="10">
        <f t="shared" ca="1" si="53"/>
        <v>68.106608333333341</v>
      </c>
      <c r="H1135" s="10">
        <f t="shared" ca="1" si="53"/>
        <v>68.106608333333341</v>
      </c>
      <c r="I1135" s="10">
        <f t="shared" ca="1" si="53"/>
        <v>68.108191666666656</v>
      </c>
      <c r="J1135" s="10">
        <f t="shared" ca="1" si="53"/>
        <v>469.21275833333328</v>
      </c>
    </row>
    <row r="1136" spans="1:10" ht="15" x14ac:dyDescent="0.2">
      <c r="A1136" s="11">
        <f t="shared" si="50"/>
        <v>2093</v>
      </c>
      <c r="B1136" s="10">
        <f t="shared" ca="1" si="53"/>
        <v>75.03224166666665</v>
      </c>
      <c r="C1136" s="10">
        <f t="shared" ca="1" si="53"/>
        <v>69.302791666666664</v>
      </c>
      <c r="D1136" s="10">
        <f t="shared" ca="1" si="53"/>
        <v>69.294975000000008</v>
      </c>
      <c r="E1136" s="10">
        <f t="shared" ca="1" si="53"/>
        <v>74.885091666666696</v>
      </c>
      <c r="F1136" s="10">
        <f t="shared" ca="1" si="53"/>
        <v>74.87599166666665</v>
      </c>
      <c r="G1136" s="10">
        <f t="shared" ca="1" si="53"/>
        <v>69.301208333333321</v>
      </c>
      <c r="H1136" s="10">
        <f t="shared" ca="1" si="53"/>
        <v>69.301208333333321</v>
      </c>
      <c r="I1136" s="10">
        <f t="shared" ca="1" si="53"/>
        <v>69.302791666666664</v>
      </c>
      <c r="J1136" s="10">
        <f t="shared" ca="1" si="53"/>
        <v>477.52630833333336</v>
      </c>
    </row>
    <row r="1137" spans="1:10" ht="15" x14ac:dyDescent="0.2">
      <c r="A1137" s="11">
        <f t="shared" si="50"/>
        <v>2094</v>
      </c>
      <c r="B1137" s="10">
        <f t="shared" ca="1" si="53"/>
        <v>76.346583333333328</v>
      </c>
      <c r="C1137" s="10">
        <f t="shared" ca="1" si="53"/>
        <v>70.518491666666662</v>
      </c>
      <c r="D1137" s="10">
        <f t="shared" ca="1" si="53"/>
        <v>70.510683333333333</v>
      </c>
      <c r="E1137" s="10">
        <f t="shared" ca="1" si="53"/>
        <v>76.199416666666693</v>
      </c>
      <c r="F1137" s="10">
        <f t="shared" ca="1" si="53"/>
        <v>76.190316666666661</v>
      </c>
      <c r="G1137" s="10">
        <f t="shared" ca="1" si="53"/>
        <v>70.51691666666666</v>
      </c>
      <c r="H1137" s="10">
        <f t="shared" ca="1" si="53"/>
        <v>70.51691666666666</v>
      </c>
      <c r="I1137" s="10">
        <f t="shared" ca="1" si="53"/>
        <v>70.518491666666662</v>
      </c>
      <c r="J1137" s="10">
        <f t="shared" ca="1" si="53"/>
        <v>485.98717499999998</v>
      </c>
    </row>
    <row r="1138" spans="1:10" ht="15" x14ac:dyDescent="0.2">
      <c r="A1138" s="11">
        <f t="shared" si="50"/>
        <v>2095</v>
      </c>
      <c r="B1138" s="10">
        <f t="shared" ca="1" si="53"/>
        <v>77.684125000000009</v>
      </c>
      <c r="C1138" s="10">
        <f t="shared" ca="1" si="53"/>
        <v>71.755675000000011</v>
      </c>
      <c r="D1138" s="10">
        <f t="shared" ca="1" si="53"/>
        <v>71.747866666666681</v>
      </c>
      <c r="E1138" s="10">
        <f t="shared" ca="1" si="53"/>
        <v>77.536991666666665</v>
      </c>
      <c r="F1138" s="10">
        <f t="shared" ca="1" si="53"/>
        <v>77.527891666666662</v>
      </c>
      <c r="G1138" s="10">
        <f t="shared" ca="1" si="53"/>
        <v>71.754099999999994</v>
      </c>
      <c r="H1138" s="10">
        <f t="shared" ca="1" si="53"/>
        <v>71.754099999999994</v>
      </c>
      <c r="I1138" s="10">
        <f t="shared" ca="1" si="53"/>
        <v>71.755675000000011</v>
      </c>
      <c r="J1138" s="10">
        <f t="shared" ca="1" si="53"/>
        <v>494.59795833333334</v>
      </c>
    </row>
    <row r="1139" spans="1:10" ht="15" x14ac:dyDescent="0.2">
      <c r="A1139" s="11">
        <f t="shared" si="50"/>
        <v>2096</v>
      </c>
      <c r="B1139" s="10">
        <f t="shared" ca="1" si="53"/>
        <v>79.045308333333324</v>
      </c>
      <c r="C1139" s="10">
        <f t="shared" ca="1" si="53"/>
        <v>73.014700000000005</v>
      </c>
      <c r="D1139" s="10">
        <f t="shared" ca="1" si="53"/>
        <v>73.006900000000016</v>
      </c>
      <c r="E1139" s="10">
        <f t="shared" ca="1" si="53"/>
        <v>78.898175000000009</v>
      </c>
      <c r="F1139" s="10">
        <f t="shared" ca="1" si="53"/>
        <v>78.889074999999991</v>
      </c>
      <c r="G1139" s="10">
        <f t="shared" ca="1" si="53"/>
        <v>73.013149999999982</v>
      </c>
      <c r="H1139" s="10">
        <f t="shared" ca="1" si="53"/>
        <v>73.013149999999982</v>
      </c>
      <c r="I1139" s="10">
        <f t="shared" ca="1" si="53"/>
        <v>73.014700000000005</v>
      </c>
      <c r="J1139" s="10">
        <f t="shared" ca="1" si="53"/>
        <v>503.36130000000003</v>
      </c>
    </row>
    <row r="1140" spans="1:10" ht="15" x14ac:dyDescent="0.2">
      <c r="A1140" s="11">
        <f t="shared" si="50"/>
        <v>2097</v>
      </c>
      <c r="B1140" s="10">
        <f t="shared" ca="1" si="53"/>
        <v>80.430566666666664</v>
      </c>
      <c r="C1140" s="10">
        <f t="shared" ca="1" si="53"/>
        <v>74.296000000000006</v>
      </c>
      <c r="D1140" s="10">
        <f t="shared" ca="1" si="53"/>
        <v>74.288191666666691</v>
      </c>
      <c r="E1140" s="10">
        <f t="shared" ca="1" si="53"/>
        <v>80.2834</v>
      </c>
      <c r="F1140" s="10">
        <f t="shared" ca="1" si="53"/>
        <v>80.274299999999997</v>
      </c>
      <c r="G1140" s="10">
        <f t="shared" ca="1" si="53"/>
        <v>74.294433333333345</v>
      </c>
      <c r="H1140" s="10">
        <f t="shared" ca="1" si="53"/>
        <v>74.294433333333345</v>
      </c>
      <c r="I1140" s="10">
        <f t="shared" ca="1" si="53"/>
        <v>74.296000000000006</v>
      </c>
      <c r="J1140" s="10">
        <f t="shared" ca="1" si="53"/>
        <v>512.27989166666657</v>
      </c>
    </row>
    <row r="1141" spans="1:10" ht="15" x14ac:dyDescent="0.2">
      <c r="A1141" s="11">
        <f t="shared" si="50"/>
        <v>2098</v>
      </c>
      <c r="B1141" s="10">
        <f t="shared" ca="1" si="53"/>
        <v>81.84027500000002</v>
      </c>
      <c r="C1141" s="10">
        <f t="shared" ca="1" si="53"/>
        <v>75.599924999999999</v>
      </c>
      <c r="D1141" s="10">
        <f t="shared" ca="1" si="53"/>
        <v>75.592100000000016</v>
      </c>
      <c r="E1141" s="10">
        <f t="shared" ca="1" si="53"/>
        <v>81.693108333333342</v>
      </c>
      <c r="F1141" s="10">
        <f t="shared" ca="1" si="53"/>
        <v>81.684008333333338</v>
      </c>
      <c r="G1141" s="10">
        <f t="shared" ca="1" si="53"/>
        <v>75.598375000000004</v>
      </c>
      <c r="H1141" s="10">
        <f t="shared" ca="1" si="53"/>
        <v>75.598375000000004</v>
      </c>
      <c r="I1141" s="10">
        <f t="shared" ca="1" si="53"/>
        <v>75.599924999999999</v>
      </c>
      <c r="J1141" s="10">
        <f t="shared" ca="1" si="53"/>
        <v>521.35654166666666</v>
      </c>
    </row>
    <row r="1142" spans="1:10" ht="15" x14ac:dyDescent="0.2">
      <c r="A1142" s="11">
        <f t="shared" si="50"/>
        <v>2099</v>
      </c>
      <c r="B1142" s="10">
        <f t="shared" ca="1" si="53"/>
        <v>83.274891666666647</v>
      </c>
      <c r="C1142" s="10">
        <f t="shared" ca="1" si="53"/>
        <v>76.926891666666663</v>
      </c>
      <c r="D1142" s="10">
        <f t="shared" ca="1" si="53"/>
        <v>76.919091666666688</v>
      </c>
      <c r="E1142" s="10">
        <f t="shared" ca="1" si="53"/>
        <v>83.127741666666651</v>
      </c>
      <c r="F1142" s="10">
        <f t="shared" ca="1" si="53"/>
        <v>83.118641666666647</v>
      </c>
      <c r="G1142" s="10">
        <f t="shared" ca="1" si="53"/>
        <v>76.925325000000001</v>
      </c>
      <c r="H1142" s="10">
        <f t="shared" ca="1" si="53"/>
        <v>76.925325000000001</v>
      </c>
      <c r="I1142" s="10">
        <f t="shared" ca="1" si="53"/>
        <v>76.926891666666663</v>
      </c>
      <c r="J1142" s="10">
        <f t="shared" ca="1" si="53"/>
        <v>530.59398333333343</v>
      </c>
    </row>
    <row r="1143" spans="1:10" ht="15" x14ac:dyDescent="0.2">
      <c r="A1143" s="11">
        <f t="shared" si="50"/>
        <v>2100</v>
      </c>
      <c r="B1143" s="10">
        <f t="shared" ca="1" si="53"/>
        <v>84.734866666666662</v>
      </c>
      <c r="C1143" s="10">
        <f t="shared" ca="1" si="53"/>
        <v>78.277300000000025</v>
      </c>
      <c r="D1143" s="10">
        <f t="shared" ca="1" si="53"/>
        <v>78.269491666666667</v>
      </c>
      <c r="E1143" s="10">
        <f t="shared" ca="1" si="53"/>
        <v>84.587699999999998</v>
      </c>
      <c r="F1143" s="10">
        <f t="shared" ca="1" si="53"/>
        <v>84.578600000000009</v>
      </c>
      <c r="G1143" s="10">
        <f t="shared" ca="1" si="53"/>
        <v>78.275733333333321</v>
      </c>
      <c r="H1143" s="10">
        <f t="shared" ca="1" si="53"/>
        <v>78.275733333333321</v>
      </c>
      <c r="I1143" s="10">
        <f t="shared" ca="1" si="53"/>
        <v>78.277300000000025</v>
      </c>
      <c r="J1143" s="10">
        <f t="shared" ca="1" si="53"/>
        <v>539.99510833333341</v>
      </c>
    </row>
    <row r="1144" spans="1:10" x14ac:dyDescent="0.2">
      <c r="A1144" s="8"/>
    </row>
    <row r="1145" spans="1:10" x14ac:dyDescent="0.2">
      <c r="A1145" s="8"/>
    </row>
    <row r="1146" spans="1:10" x14ac:dyDescent="0.2">
      <c r="A1146" s="8"/>
    </row>
    <row r="1147" spans="1:10" x14ac:dyDescent="0.2">
      <c r="A1147" s="8"/>
    </row>
    <row r="1148" spans="1:10" x14ac:dyDescent="0.2">
      <c r="A1148" s="8"/>
    </row>
    <row r="1149" spans="1:10" x14ac:dyDescent="0.2">
      <c r="A1149" s="8"/>
    </row>
    <row r="1150" spans="1:10" x14ac:dyDescent="0.2">
      <c r="A1150" s="8"/>
    </row>
    <row r="1151" spans="1:10" x14ac:dyDescent="0.2">
      <c r="A1151" s="8"/>
    </row>
    <row r="1152" spans="1:10" x14ac:dyDescent="0.2">
      <c r="A1152" s="8"/>
    </row>
    <row r="1153" spans="1:1" x14ac:dyDescent="0.2">
      <c r="A1153" s="8"/>
    </row>
    <row r="1154" spans="1:1" x14ac:dyDescent="0.2">
      <c r="A1154" s="8"/>
    </row>
    <row r="1155" spans="1:1" x14ac:dyDescent="0.2">
      <c r="A1155" s="8"/>
    </row>
    <row r="1156" spans="1:1" x14ac:dyDescent="0.2">
      <c r="A1156" s="8"/>
    </row>
    <row r="1157" spans="1:1" x14ac:dyDescent="0.2">
      <c r="A1157" s="8"/>
    </row>
    <row r="1158" spans="1:1" x14ac:dyDescent="0.2">
      <c r="A1158" s="8"/>
    </row>
    <row r="1159" spans="1:1" x14ac:dyDescent="0.2">
      <c r="A1159" s="8"/>
    </row>
    <row r="1160" spans="1:1" x14ac:dyDescent="0.2">
      <c r="A1160" s="8"/>
    </row>
    <row r="1161" spans="1:1" x14ac:dyDescent="0.2">
      <c r="A1161" s="8"/>
    </row>
    <row r="1162" spans="1:1" x14ac:dyDescent="0.2">
      <c r="A1162" s="8"/>
    </row>
    <row r="1163" spans="1:1" x14ac:dyDescent="0.2">
      <c r="A1163" s="8"/>
    </row>
  </sheetData>
  <pageMargins left="0.25" right="0.25" top="0.5" bottom="0.5" header="0.25" footer="0.25"/>
  <pageSetup paperSize="5" scale="9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D1159"/>
  <sheetViews>
    <sheetView zoomScale="70" zoomScaleNormal="70" workbookViewId="0">
      <pane xSplit="1" ySplit="12" topLeftCell="U1080" activePane="bottomRight" state="frozen"/>
      <selection activeCell="A6" sqref="A6"/>
      <selection pane="topRight" activeCell="A6" sqref="A6"/>
      <selection pane="bottomLeft" activeCell="A6" sqref="A6"/>
      <selection pane="bottomRight" activeCell="A7" sqref="A7"/>
    </sheetView>
  </sheetViews>
  <sheetFormatPr defaultColWidth="7.109375" defaultRowHeight="12.75" x14ac:dyDescent="0.2"/>
  <cols>
    <col min="1" max="1" width="18.21875" style="9" customWidth="1"/>
    <col min="2" max="12" width="13" style="9" customWidth="1"/>
    <col min="13" max="16" width="20.6640625" style="9" customWidth="1"/>
    <col min="17" max="17" width="15.5546875" style="9" customWidth="1"/>
    <col min="18" max="18" width="16.21875" style="9" customWidth="1"/>
    <col min="19" max="19" width="13" style="8" customWidth="1"/>
    <col min="20" max="26" width="19.77734375" style="8" customWidth="1"/>
    <col min="27" max="27" width="15.5546875" style="8" customWidth="1"/>
    <col min="28" max="28" width="16.88671875" style="8" customWidth="1"/>
    <col min="29" max="30" width="14.77734375" style="8" customWidth="1"/>
    <col min="31" max="31" width="14" style="8" customWidth="1"/>
    <col min="32" max="32" width="10.21875" style="8" customWidth="1"/>
    <col min="33" max="33" width="11.77734375" style="8" customWidth="1"/>
    <col min="34" max="34" width="7.109375" style="8" customWidth="1"/>
    <col min="35" max="35" width="8.77734375" style="8" customWidth="1"/>
    <col min="36" max="36" width="9.21875" style="8" customWidth="1"/>
    <col min="37" max="37" width="11.77734375" style="8" customWidth="1"/>
    <col min="38" max="38" width="7.109375" style="8" customWidth="1"/>
    <col min="39" max="39" width="9.21875" style="8" customWidth="1"/>
    <col min="40" max="40" width="9.33203125" style="8" customWidth="1"/>
    <col min="41" max="41" width="8.21875" style="8" customWidth="1"/>
    <col min="42" max="42" width="9" style="8" customWidth="1"/>
    <col min="43" max="16384" width="7.109375" style="8"/>
  </cols>
  <sheetData>
    <row r="1" spans="1:30" ht="15.75" x14ac:dyDescent="0.25">
      <c r="A1" s="98" t="s">
        <v>93</v>
      </c>
    </row>
    <row r="2" spans="1:30" ht="15.75" x14ac:dyDescent="0.25">
      <c r="A2" s="98" t="s">
        <v>94</v>
      </c>
    </row>
    <row r="3" spans="1:30" ht="15.75" x14ac:dyDescent="0.25">
      <c r="A3" s="98" t="s">
        <v>95</v>
      </c>
    </row>
    <row r="4" spans="1:30" ht="15.75" x14ac:dyDescent="0.25">
      <c r="A4" s="98" t="s">
        <v>96</v>
      </c>
    </row>
    <row r="5" spans="1:30" ht="15.75" x14ac:dyDescent="0.25">
      <c r="A5" s="98" t="s">
        <v>98</v>
      </c>
    </row>
    <row r="6" spans="1:30" ht="15.75" x14ac:dyDescent="0.25">
      <c r="A6" s="98" t="s">
        <v>102</v>
      </c>
    </row>
    <row r="8" spans="1:30" ht="15.75" x14ac:dyDescent="0.25">
      <c r="A8" s="25" t="s">
        <v>28</v>
      </c>
      <c r="M8" s="55"/>
      <c r="N8" s="55"/>
      <c r="O8" s="51"/>
      <c r="P8" s="51"/>
      <c r="T8" s="103" t="s">
        <v>71</v>
      </c>
      <c r="U8" s="103"/>
      <c r="V8" s="103"/>
      <c r="W8" s="103"/>
      <c r="X8" s="103"/>
      <c r="Y8" s="103"/>
      <c r="Z8" s="103"/>
    </row>
    <row r="9" spans="1:30" ht="16.5" thickBot="1" x14ac:dyDescent="0.3">
      <c r="A9" s="25"/>
      <c r="B9" s="23" t="s">
        <v>27</v>
      </c>
      <c r="C9" s="54">
        <f>1-0.209</f>
        <v>0.79100000000000004</v>
      </c>
      <c r="D9" s="23"/>
      <c r="E9" s="54">
        <f>1+0.209</f>
        <v>1.2090000000000001</v>
      </c>
      <c r="F9" s="54"/>
      <c r="G9" s="54"/>
      <c r="H9" s="1"/>
      <c r="I9" s="1"/>
      <c r="J9" s="1"/>
      <c r="K9" s="1"/>
      <c r="L9" s="1"/>
      <c r="M9" s="1"/>
      <c r="N9" s="1"/>
      <c r="O9" s="1"/>
      <c r="P9" s="1"/>
      <c r="T9" s="103" t="s">
        <v>70</v>
      </c>
      <c r="U9" s="103"/>
      <c r="V9" s="103"/>
      <c r="W9" s="103"/>
      <c r="X9" s="103"/>
      <c r="Y9" s="103"/>
      <c r="Z9" s="103"/>
      <c r="AA9" s="102"/>
      <c r="AB9" s="102"/>
      <c r="AC9" s="1"/>
    </row>
    <row r="10" spans="1:30" ht="21.75" thickTop="1" thickBot="1" x14ac:dyDescent="0.35">
      <c r="B10" s="53"/>
      <c r="C10" s="52"/>
      <c r="D10" s="53"/>
      <c r="E10" s="52"/>
      <c r="F10" s="52"/>
      <c r="G10" s="52"/>
      <c r="H10" s="1"/>
      <c r="I10" s="1"/>
      <c r="J10" s="1"/>
      <c r="K10" s="1"/>
      <c r="L10" s="1"/>
      <c r="M10" s="1"/>
      <c r="N10" s="1"/>
      <c r="O10" s="1"/>
      <c r="P10" s="1"/>
      <c r="T10" s="104" t="s">
        <v>69</v>
      </c>
      <c r="U10" s="105"/>
      <c r="V10" s="105"/>
      <c r="W10" s="105"/>
      <c r="X10" s="105"/>
      <c r="Y10" s="105"/>
      <c r="Z10" s="106"/>
      <c r="AA10" s="51"/>
      <c r="AB10" s="51"/>
      <c r="AC10" s="1"/>
    </row>
    <row r="11" spans="1:30" s="18" customFormat="1" ht="112.5" customHeight="1" thickTop="1" x14ac:dyDescent="0.25">
      <c r="B11" s="47" t="s">
        <v>68</v>
      </c>
      <c r="C11" s="50" t="s">
        <v>67</v>
      </c>
      <c r="D11" s="47" t="s">
        <v>66</v>
      </c>
      <c r="E11" s="47" t="s">
        <v>65</v>
      </c>
      <c r="F11" s="50" t="s">
        <v>64</v>
      </c>
      <c r="G11" s="50" t="s">
        <v>63</v>
      </c>
      <c r="H11" s="50" t="s">
        <v>62</v>
      </c>
      <c r="I11" s="50" t="s">
        <v>61</v>
      </c>
      <c r="J11" s="50" t="s">
        <v>60</v>
      </c>
      <c r="K11" s="50" t="s">
        <v>59</v>
      </c>
      <c r="L11" s="19" t="s">
        <v>58</v>
      </c>
      <c r="M11" s="49" t="s">
        <v>57</v>
      </c>
      <c r="N11" s="49" t="s">
        <v>56</v>
      </c>
      <c r="O11" s="49" t="s">
        <v>55</v>
      </c>
      <c r="P11" s="49" t="s">
        <v>54</v>
      </c>
      <c r="Q11" s="19" t="s">
        <v>53</v>
      </c>
      <c r="R11" s="21" t="s">
        <v>52</v>
      </c>
      <c r="S11" s="19" t="s">
        <v>51</v>
      </c>
      <c r="T11" s="46" t="s">
        <v>50</v>
      </c>
      <c r="U11" s="46" t="s">
        <v>49</v>
      </c>
      <c r="V11" s="46" t="s">
        <v>48</v>
      </c>
      <c r="W11" s="46" t="s">
        <v>47</v>
      </c>
      <c r="X11" s="46" t="s">
        <v>46</v>
      </c>
      <c r="Y11" s="46" t="s">
        <v>45</v>
      </c>
      <c r="Z11" s="46" t="s">
        <v>44</v>
      </c>
      <c r="AA11" s="21" t="s">
        <v>43</v>
      </c>
      <c r="AB11" s="21" t="s">
        <v>42</v>
      </c>
      <c r="AC11" s="47" t="s">
        <v>41</v>
      </c>
      <c r="AD11" s="48" t="s">
        <v>40</v>
      </c>
    </row>
    <row r="12" spans="1:30" s="18" customFormat="1" ht="15.75" x14ac:dyDescent="0.25">
      <c r="A12" s="20" t="s">
        <v>15</v>
      </c>
      <c r="B12" s="19" t="s">
        <v>14</v>
      </c>
      <c r="C12" s="19" t="s">
        <v>14</v>
      </c>
      <c r="D12" s="19" t="s">
        <v>14</v>
      </c>
      <c r="E12" s="19" t="s">
        <v>14</v>
      </c>
      <c r="F12" s="19" t="s">
        <v>14</v>
      </c>
      <c r="G12" s="19" t="s">
        <v>14</v>
      </c>
      <c r="H12" s="19" t="s">
        <v>14</v>
      </c>
      <c r="I12" s="19" t="s">
        <v>14</v>
      </c>
      <c r="J12" s="19" t="s">
        <v>14</v>
      </c>
      <c r="K12" s="19" t="s">
        <v>14</v>
      </c>
      <c r="L12" s="19" t="s">
        <v>14</v>
      </c>
      <c r="M12" s="19" t="s">
        <v>14</v>
      </c>
      <c r="N12" s="19" t="s">
        <v>14</v>
      </c>
      <c r="O12" s="19" t="s">
        <v>14</v>
      </c>
      <c r="P12" s="19" t="s">
        <v>14</v>
      </c>
      <c r="Q12" s="19" t="s">
        <v>14</v>
      </c>
      <c r="R12" s="19" t="s">
        <v>14</v>
      </c>
      <c r="S12" s="19" t="s">
        <v>14</v>
      </c>
      <c r="T12" s="46" t="s">
        <v>39</v>
      </c>
      <c r="U12" s="46" t="s">
        <v>39</v>
      </c>
      <c r="V12" s="46" t="s">
        <v>39</v>
      </c>
      <c r="W12" s="46" t="s">
        <v>39</v>
      </c>
      <c r="X12" s="46" t="s">
        <v>39</v>
      </c>
      <c r="Y12" s="46" t="s">
        <v>39</v>
      </c>
      <c r="Z12" s="46" t="s">
        <v>39</v>
      </c>
      <c r="AA12" s="19" t="s">
        <v>14</v>
      </c>
      <c r="AB12" s="19" t="s">
        <v>39</v>
      </c>
      <c r="AC12" s="47" t="s">
        <v>14</v>
      </c>
      <c r="AD12" s="46" t="s">
        <v>14</v>
      </c>
    </row>
    <row r="13" spans="1:30" ht="15" x14ac:dyDescent="0.2">
      <c r="A13" s="16">
        <v>41640</v>
      </c>
      <c r="B13" s="10">
        <v>4.5403508981821297</v>
      </c>
      <c r="C13" s="10">
        <v>4.5453053729014501</v>
      </c>
      <c r="D13" s="10">
        <v>4.5955088080806696</v>
      </c>
      <c r="E13" s="10">
        <v>4.6292860121002901</v>
      </c>
      <c r="F13" s="10">
        <v>4.5057134542830504</v>
      </c>
      <c r="G13" s="10">
        <v>4.5232699624600601</v>
      </c>
      <c r="H13" s="10">
        <v>4.6184822160436596</v>
      </c>
      <c r="I13" s="10">
        <v>4.5142474091236702</v>
      </c>
      <c r="J13" s="10">
        <v>4.4987134542830498</v>
      </c>
      <c r="K13" s="10">
        <f>CHOOSE(CONTROL!$C$42, 4.533, 4.533) * CHOOSE(CONTROL!$C$21, $C$9, 100%, $E$9)</f>
        <v>4.5330000000000004</v>
      </c>
      <c r="L13" s="10">
        <v>5.2054822160436602</v>
      </c>
      <c r="M13" s="10">
        <v>4.4671409331847798</v>
      </c>
      <c r="N13" s="10">
        <v>4.4845202655912004</v>
      </c>
      <c r="O13" s="10">
        <v>4.5857010193679901</v>
      </c>
      <c r="P13" s="10">
        <v>4.48255738022426</v>
      </c>
      <c r="Q13" s="10">
        <v>5.1810010193679901</v>
      </c>
      <c r="R13" s="10">
        <v>5.7809535219164099</v>
      </c>
      <c r="S13" s="10">
        <v>4.407</v>
      </c>
      <c r="T13" s="38">
        <v>29.253942540000001</v>
      </c>
      <c r="U13" s="38">
        <v>12.063650000000001</v>
      </c>
      <c r="V13" s="38">
        <v>4.9444999999999997</v>
      </c>
      <c r="W13" s="38">
        <v>0.71033400000000002</v>
      </c>
      <c r="X13" s="38">
        <v>0</v>
      </c>
      <c r="Y13" s="38"/>
      <c r="Z13" s="38">
        <v>0.4</v>
      </c>
      <c r="AA13" s="10">
        <v>4.4959996929375601</v>
      </c>
      <c r="AB13" s="45">
        <v>1.0435350000000001</v>
      </c>
      <c r="AC13" s="33">
        <v>4.5470654716081098</v>
      </c>
      <c r="AD13" s="27">
        <v>4.5299185954854799</v>
      </c>
    </row>
    <row r="14" spans="1:30" ht="15" x14ac:dyDescent="0.2">
      <c r="A14" s="16">
        <v>41671</v>
      </c>
      <c r="B14" s="10">
        <v>5.7253939823975104</v>
      </c>
      <c r="C14" s="10">
        <v>5.7303484571168299</v>
      </c>
      <c r="D14" s="10">
        <v>5.7908494929551004</v>
      </c>
      <c r="E14" s="10">
        <v>5.8246266969747102</v>
      </c>
      <c r="F14" s="10">
        <v>5.7186228492538103</v>
      </c>
      <c r="G14" s="10">
        <v>5.7359240116945696</v>
      </c>
      <c r="H14" s="10">
        <v>5.8138229009180904</v>
      </c>
      <c r="I14" s="10">
        <v>5.7121624941628601</v>
      </c>
      <c r="J14" s="10">
        <v>5.7116228492538204</v>
      </c>
      <c r="K14" s="10">
        <f>CHOOSE(CONTROL!$C$42, 5.7785, 5.7785) * CHOOSE(CONTROL!$C$21, $C$9, 100%, $E$9)</f>
        <v>5.7785000000000002</v>
      </c>
      <c r="L14" s="10">
        <v>6.4008229009180804</v>
      </c>
      <c r="M14" s="10">
        <v>5.6678099581145602</v>
      </c>
      <c r="N14" s="10">
        <v>5.6849365216683001</v>
      </c>
      <c r="O14" s="10">
        <v>5.7689786331106596</v>
      </c>
      <c r="P14" s="10">
        <v>5.6683834139465397</v>
      </c>
      <c r="Q14" s="10">
        <v>6.3642786331106604</v>
      </c>
      <c r="R14" s="10">
        <v>6.9671893296934302</v>
      </c>
      <c r="S14" s="10">
        <v>5.55779533908155</v>
      </c>
      <c r="T14" s="38">
        <v>26.512149040000001</v>
      </c>
      <c r="U14" s="38">
        <v>10.8962</v>
      </c>
      <c r="V14" s="38">
        <v>4.4660000000000002</v>
      </c>
      <c r="W14" s="38">
        <v>0.64159200000000005</v>
      </c>
      <c r="X14" s="38">
        <v>0</v>
      </c>
      <c r="Y14" s="38"/>
      <c r="Z14" s="38">
        <v>0.4</v>
      </c>
      <c r="AA14" s="10">
        <v>5.6800276756208303</v>
      </c>
      <c r="AB14" s="45">
        <v>1.0435350000000001</v>
      </c>
      <c r="AC14" s="33">
        <v>5.7440587165890404</v>
      </c>
      <c r="AD14" s="27">
        <v>5.7195685555344298</v>
      </c>
    </row>
    <row r="15" spans="1:30" ht="15" x14ac:dyDescent="0.2">
      <c r="A15" s="16">
        <v>41699</v>
      </c>
      <c r="B15" s="10">
        <v>5.0025024161324501</v>
      </c>
      <c r="C15" s="10">
        <v>5.0074568908517696</v>
      </c>
      <c r="D15" s="10">
        <v>5.0988507286671796</v>
      </c>
      <c r="E15" s="10">
        <v>5.1326279326867903</v>
      </c>
      <c r="F15" s="10">
        <v>5.0323589513456204</v>
      </c>
      <c r="G15" s="10">
        <v>5.0518543218713896</v>
      </c>
      <c r="H15" s="10">
        <v>5.1218241366301598</v>
      </c>
      <c r="I15" s="10">
        <v>5.0253125302044603</v>
      </c>
      <c r="J15" s="10">
        <v>5.0253589513456198</v>
      </c>
      <c r="K15" s="10">
        <v>5.0444680614808997</v>
      </c>
      <c r="L15" s="10">
        <v>5.7088241366301604</v>
      </c>
      <c r="M15" s="10">
        <v>4.9884716591760796</v>
      </c>
      <c r="N15" s="10">
        <v>5.0077702874304899</v>
      </c>
      <c r="O15" s="10">
        <v>5.0839633425907804</v>
      </c>
      <c r="P15" s="10">
        <v>4.98846496338588</v>
      </c>
      <c r="Q15" s="10">
        <v>5.6792633425907804</v>
      </c>
      <c r="R15" s="10">
        <v>6.2804615009472498</v>
      </c>
      <c r="S15" s="10">
        <v>4.85579533908155</v>
      </c>
      <c r="T15" s="38">
        <v>29.394616540000001</v>
      </c>
      <c r="U15" s="38">
        <v>12.063650000000001</v>
      </c>
      <c r="V15" s="38">
        <v>4.9444999999999997</v>
      </c>
      <c r="W15" s="38">
        <v>0.71033400000000002</v>
      </c>
      <c r="X15" s="38">
        <v>0</v>
      </c>
      <c r="Y15" s="38"/>
      <c r="Z15" s="38">
        <v>0.4</v>
      </c>
      <c r="AA15" s="10">
        <v>4.9655957411274896</v>
      </c>
      <c r="AB15" s="45">
        <v>1.0435350000000001</v>
      </c>
      <c r="AC15" s="33">
        <v>5.0429066154505398</v>
      </c>
      <c r="AD15" s="27">
        <v>5.0372470232526201</v>
      </c>
    </row>
    <row r="16" spans="1:30" ht="15" x14ac:dyDescent="0.2">
      <c r="A16" s="16">
        <v>41730</v>
      </c>
      <c r="B16" s="10">
        <v>4.7242193852928898</v>
      </c>
      <c r="C16" s="10">
        <v>4.7285916418283396</v>
      </c>
      <c r="D16" s="10">
        <v>4.8778331736331699</v>
      </c>
      <c r="E16" s="10">
        <v>4.9096107035116399</v>
      </c>
      <c r="F16" s="10">
        <v>4.7425977349984798</v>
      </c>
      <c r="G16" s="10">
        <v>4.7606282068366204</v>
      </c>
      <c r="H16" s="10">
        <v>4.8993959623947596</v>
      </c>
      <c r="I16" s="10">
        <v>4.7410987520147803</v>
      </c>
      <c r="J16" s="10">
        <v>4.7355977349984801</v>
      </c>
      <c r="K16" s="10">
        <v>4.7562598941315004</v>
      </c>
      <c r="L16" s="10">
        <v>5.4863959623947602</v>
      </c>
      <c r="M16" s="10">
        <v>4.7016346385902397</v>
      </c>
      <c r="N16" s="10">
        <v>4.7194831515382702</v>
      </c>
      <c r="O16" s="10">
        <v>4.8637798563522399</v>
      </c>
      <c r="P16" s="10">
        <v>4.7071193976366503</v>
      </c>
      <c r="Q16" s="10">
        <v>5.4590798563522398</v>
      </c>
      <c r="R16" s="10">
        <v>6.0597275559931196</v>
      </c>
      <c r="S16" s="10">
        <v>4.5847953390815501</v>
      </c>
      <c r="T16" s="38">
        <v>30.193848039999999</v>
      </c>
      <c r="U16" s="38">
        <v>11.6745</v>
      </c>
      <c r="V16" s="38">
        <v>4.7850000000000001</v>
      </c>
      <c r="W16" s="38">
        <v>0.68742000000000003</v>
      </c>
      <c r="X16" s="38">
        <v>0.77903628000000003</v>
      </c>
      <c r="Y16" s="38"/>
      <c r="Z16" s="38">
        <v>0.3</v>
      </c>
      <c r="AA16" s="10">
        <v>4.68923954870169</v>
      </c>
      <c r="AB16" s="45">
        <v>1.0435350000000001</v>
      </c>
      <c r="AC16" s="33">
        <v>4.7822326339714403</v>
      </c>
      <c r="AD16" s="27">
        <v>4.7603316510110698</v>
      </c>
    </row>
    <row r="17" spans="1:30" ht="15" x14ac:dyDescent="0.2">
      <c r="A17" s="16">
        <v>41760</v>
      </c>
      <c r="B17" s="10">
        <f>CHOOSE(CONTROL!$C$42, 4.6087, 4.6087) * CHOOSE(CONTROL!$C$21, $C$9, 100%, $E$9)</f>
        <v>4.6086999999999998</v>
      </c>
      <c r="C17" s="10">
        <f>CHOOSE(CONTROL!$C$42, 4.6167, 4.6167) * CHOOSE(CONTROL!$C$21, $C$9, 100%, $E$9)</f>
        <v>4.6166999999999998</v>
      </c>
      <c r="D17" s="10">
        <f>CHOOSE(CONTROL!$C$42, 4.7686, 4.7686) * CHOOSE(CONTROL!$C$21, $C$9, 100%, $E$9)</f>
        <v>4.7686000000000002</v>
      </c>
      <c r="E17" s="10">
        <f>CHOOSE(CONTROL!$C$42, 4.7998, 4.7998) * CHOOSE(CONTROL!$C$21, $C$9, 100%, $E$9)</f>
        <v>4.7998000000000003</v>
      </c>
      <c r="F17" s="10">
        <f>CHOOSE(CONTROL!$C$42, 4.6076, 4.6076)*CHOOSE(CONTROL!$C$21, $C$9, 100%, $E$9)</f>
        <v>4.6075999999999997</v>
      </c>
      <c r="G17" s="10">
        <f>CHOOSE(CONTROL!$C$42, 4.6259, 4.6259)*CHOOSE(CONTROL!$C$21, $C$9, 100%, $E$9)</f>
        <v>4.6258999999999997</v>
      </c>
      <c r="H17" s="10">
        <f>CHOOSE(CONTROL!$C$42, 4.7881, 4.7881) * CHOOSE(CONTROL!$C$21, $C$9, 100%, $E$9)</f>
        <v>4.7881</v>
      </c>
      <c r="I17" s="10">
        <f>CHOOSE(CONTROL!$C$42, 4.5983, 4.5983)* CHOOSE(CONTROL!$C$21, $C$9, 100%, $E$9)</f>
        <v>4.5983000000000001</v>
      </c>
      <c r="J17" s="10">
        <f>CHOOSE(CONTROL!$C$42, 4.6002, 4.6002)* CHOOSE(CONTROL!$C$21, $C$9, 100%, $E$9)</f>
        <v>4.6002000000000001</v>
      </c>
      <c r="K17" s="10">
        <f>CHOOSE(CONTROL!$C$42, 4.6224, 4.6224) * CHOOSE(CONTROL!$C$21, $C$9, 100%, $E$9)</f>
        <v>4.6223999999999998</v>
      </c>
      <c r="L17" s="10">
        <f>CHOOSE(CONTROL!$C$42, 5.3751, 5.3751) * CHOOSE(CONTROL!$C$21, $C$9, 100%, $E$9)</f>
        <v>5.3750999999999998</v>
      </c>
      <c r="M17" s="10">
        <f>CHOOSE(CONTROL!$C$42, 4.5737, 4.5737) * CHOOSE(CONTROL!$C$21, $C$9, 100%, $E$9)</f>
        <v>4.5736999999999997</v>
      </c>
      <c r="N17" s="10">
        <f>CHOOSE(CONTROL!$C$42, 4.5918, 4.5918) * CHOOSE(CONTROL!$C$21, $C$9, 100%, $E$9)</f>
        <v>4.5918000000000001</v>
      </c>
      <c r="O17" s="10">
        <f>CHOOSE(CONTROL!$C$42, 4.7592, 4.7592) * CHOOSE(CONTROL!$C$21, $C$9, 100%, $E$9)</f>
        <v>4.7591999999999999</v>
      </c>
      <c r="P17" s="10">
        <f>CHOOSE(CONTROL!$C$42, 4.5719, 4.5719) * CHOOSE(CONTROL!$C$21, $C$9, 100%, $E$9)</f>
        <v>4.5719000000000003</v>
      </c>
      <c r="Q17" s="10">
        <f>CHOOSE(CONTROL!$C$42, 5.3545, 5.3545) * CHOOSE(CONTROL!$C$21, $C$9, 100%, $E$9)</f>
        <v>5.3544999999999998</v>
      </c>
      <c r="R17" s="10">
        <f>CHOOSE(CONTROL!$C$42, 5.9549, 5.9549) * CHOOSE(CONTROL!$C$21, $C$9, 100%, $E$9)</f>
        <v>5.9549000000000003</v>
      </c>
      <c r="S17" s="10">
        <f>CHOOSE(CONTROL!$C$42, 4.4772, 4.4772) * CHOOSE(CONTROL!$C$21, $C$9, 100%, $E$9)</f>
        <v>4.4771999999999998</v>
      </c>
      <c r="T17" s="41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17" s="38">
        <f>(1000*CHOOSE(CONTROL!$C$42, 695, 695)*CHOOSE(CONTROL!$C$42, 0.5599, 0.5599)*CHOOSE(CONTROL!$C$42, 31, 31))/1000000</f>
        <v>12.063045499999998</v>
      </c>
      <c r="V17" s="38">
        <f>(1000*CHOOSE(CONTROL!$C$42, 580, 580)*CHOOSE(CONTROL!$C$42, 0.275, 0.275)*CHOOSE(CONTROL!$C$42, 31, 31))/1000000</f>
        <v>4.9444999999999997</v>
      </c>
      <c r="W17" s="38">
        <f>(1000*CHOOSE(CONTROL!$C$42, 0.1146, 0.1146)*CHOOSE(CONTROL!$C$42, 200, 200)*CHOOSE(CONTROL!$C$42, 31, 31))/1000000</f>
        <v>0.71052000000000004</v>
      </c>
      <c r="X17" s="38">
        <f>31*0.1790888*145000/1000000</f>
        <v>0.80500415599999997</v>
      </c>
      <c r="Y17" s="38"/>
      <c r="Z17" s="38">
        <f t="shared" ref="Z17:Z52" si="0">(0.12*2500000)/1000000</f>
        <v>0.3</v>
      </c>
      <c r="AA17" s="10">
        <f>CHOOSE(CONTROL!$C$42, 4.5791, 4.5791) * CHOOSE(CONTROL!$C$21, $C$9, 100%, $E$9)</f>
        <v>4.5791000000000004</v>
      </c>
      <c r="AB17" s="45">
        <f>(31*((7.89*31500+7.95*100000)/31))/1000000</f>
        <v>1.0435350000000001</v>
      </c>
      <c r="AC17" s="33">
        <f>(B17*194.205+C17*267.466+D17*133.845+E17*213.484+F17*40+G17*25+H17*50+I17*100+J17*300)/(194.205+267.466+133.845+213.484+50+40+25+100+300)</f>
        <v>4.6616488941842906</v>
      </c>
      <c r="AD17" s="27">
        <f t="shared" ref="AD17:AD22" si="1">(M17*240+N17*120+O17*235+P17*100)/(240+120+235+100)</f>
        <v>4.6392892086330937</v>
      </c>
    </row>
    <row r="18" spans="1:30" ht="15" x14ac:dyDescent="0.2">
      <c r="A18" s="16">
        <v>41791</v>
      </c>
      <c r="B18" s="10">
        <f>CHOOSE(CONTROL!$C$42, 4.6355, 4.6355) * CHOOSE(CONTROL!$C$21, $C$9, 100%, $E$9)</f>
        <v>4.6355000000000004</v>
      </c>
      <c r="C18" s="10">
        <f>CHOOSE(CONTROL!$C$42, 4.6435, 4.6435) * CHOOSE(CONTROL!$C$21, $C$9, 100%, $E$9)</f>
        <v>4.6435000000000004</v>
      </c>
      <c r="D18" s="10">
        <f>CHOOSE(CONTROL!$C$42, 4.8233, 4.8233) * CHOOSE(CONTROL!$C$21, $C$9, 100%, $E$9)</f>
        <v>4.8232999999999997</v>
      </c>
      <c r="E18" s="10">
        <f>CHOOSE(CONTROL!$C$42, 4.8545, 4.8545) * CHOOSE(CONTROL!$C$21, $C$9, 100%, $E$9)</f>
        <v>4.8544999999999998</v>
      </c>
      <c r="F18" s="10">
        <f>CHOOSE(CONTROL!$C$42, 4.6329, 4.6329)*CHOOSE(CONTROL!$C$21, $C$9, 100%, $E$9)</f>
        <v>4.6329000000000002</v>
      </c>
      <c r="G18" s="10">
        <f>CHOOSE(CONTROL!$C$42, 4.6513, 4.6513)*CHOOSE(CONTROL!$C$21, $C$9, 100%, $E$9)</f>
        <v>4.6513</v>
      </c>
      <c r="H18" s="10">
        <f>CHOOSE(CONTROL!$C$42, 4.8428, 4.8428) * CHOOSE(CONTROL!$C$21, $C$9, 100%, $E$9)</f>
        <v>4.8428000000000004</v>
      </c>
      <c r="I18" s="10">
        <f>CHOOSE(CONTROL!$C$42, 4.6344, 4.6344)* CHOOSE(CONTROL!$C$21, $C$9, 100%, $E$9)</f>
        <v>4.6344000000000003</v>
      </c>
      <c r="J18" s="10">
        <f>CHOOSE(CONTROL!$C$42, 4.6255, 4.6255)* CHOOSE(CONTROL!$C$21, $C$9, 100%, $E$9)</f>
        <v>4.6254999999999997</v>
      </c>
      <c r="K18" s="10">
        <f>CHOOSE(CONTROL!$C$42, 4.6584, 4.6584) * CHOOSE(CONTROL!$C$21, $C$9, 100%, $E$9)</f>
        <v>4.6584000000000003</v>
      </c>
      <c r="L18" s="10">
        <f>CHOOSE(CONTROL!$C$42, 5.4298, 5.4298) * CHOOSE(CONTROL!$C$21, $C$9, 100%, $E$9)</f>
        <v>5.4298000000000002</v>
      </c>
      <c r="M18" s="10">
        <f>CHOOSE(CONTROL!$C$42, 4.5986, 4.5986) * CHOOSE(CONTROL!$C$21, $C$9, 100%, $E$9)</f>
        <v>4.5986000000000002</v>
      </c>
      <c r="N18" s="10">
        <f>CHOOSE(CONTROL!$C$42, 4.6168, 4.6168) * CHOOSE(CONTROL!$C$21, $C$9, 100%, $E$9)</f>
        <v>4.6167999999999996</v>
      </c>
      <c r="O18" s="10">
        <f>CHOOSE(CONTROL!$C$42, 4.8132, 4.8132) * CHOOSE(CONTROL!$C$21, $C$9, 100%, $E$9)</f>
        <v>4.8132000000000001</v>
      </c>
      <c r="P18" s="10">
        <f>CHOOSE(CONTROL!$C$42, 4.6075, 4.6075) * CHOOSE(CONTROL!$C$21, $C$9, 100%, $E$9)</f>
        <v>4.6074999999999999</v>
      </c>
      <c r="Q18" s="10">
        <f>CHOOSE(CONTROL!$C$42, 5.4085, 5.4085) * CHOOSE(CONTROL!$C$21, $C$9, 100%, $E$9)</f>
        <v>5.4085000000000001</v>
      </c>
      <c r="R18" s="10">
        <f>CHOOSE(CONTROL!$C$42, 6.009, 6.009) * CHOOSE(CONTROL!$C$21, $C$9, 100%, $E$9)</f>
        <v>6.0090000000000003</v>
      </c>
      <c r="S18" s="10">
        <f>CHOOSE(CONTROL!$C$42, 4.5032, 4.5032) * CHOOSE(CONTROL!$C$21, $C$9, 100%, $E$9)</f>
        <v>4.5031999999999996</v>
      </c>
      <c r="T18" s="41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18" s="38">
        <f>(1000*CHOOSE(CONTROL!$C$42, 695, 695)*CHOOSE(CONTROL!$C$42, 0.5599, 0.5599)*CHOOSE(CONTROL!$C$42, 30, 30))/1000000</f>
        <v>11.673914999999997</v>
      </c>
      <c r="V18" s="38">
        <f>(1000*CHOOSE(CONTROL!$C$42, 580, 580)*CHOOSE(CONTROL!$C$42, 0.275, 0.275)*CHOOSE(CONTROL!$C$42, 30, 30))/1000000</f>
        <v>4.7850000000000001</v>
      </c>
      <c r="W18" s="38">
        <f>(1000*CHOOSE(CONTROL!$C$42, 0.1146, 0.1146)*CHOOSE(CONTROL!$C$42, 200, 200)*CHOOSE(CONTROL!$C$42, 30, 30))/1000000</f>
        <v>0.68759999999999999</v>
      </c>
      <c r="X18" s="38">
        <f>30*0.1790888*145000/1000000</f>
        <v>0.77903627999999991</v>
      </c>
      <c r="Y18" s="38"/>
      <c r="Z18" s="38">
        <f t="shared" si="0"/>
        <v>0.3</v>
      </c>
      <c r="AA18" s="10">
        <f>CHOOSE(CONTROL!$C$42, 4.5996, 4.5996) * CHOOSE(CONTROL!$C$21, $C$9, 100%, $E$9)</f>
        <v>4.5995999999999997</v>
      </c>
      <c r="AB18" s="44">
        <f>(30*((7.95*31500+8.07*100000)/30))/1000000</f>
        <v>1.0574250000000001</v>
      </c>
      <c r="AC18" s="33">
        <f>(B18*194.205+C18*267.466+D18*133.845+E18*213.484+F18*40+G18*25+H18*50+I18*100+J18*300)/(194.205+267.466+133.845+213.484+50+40+25+100+300)</f>
        <v>4.6971123980362535</v>
      </c>
      <c r="AD18" s="27">
        <f t="shared" si="1"/>
        <v>4.6755856115107912</v>
      </c>
    </row>
    <row r="19" spans="1:30" ht="15" x14ac:dyDescent="0.2">
      <c r="A19" s="16">
        <v>41821</v>
      </c>
      <c r="B19" s="10">
        <f>CHOOSE(CONTROL!$C$42, 4.6748, 4.6748) * CHOOSE(CONTROL!$C$21, $C$9, 100%, $E$9)</f>
        <v>4.6748000000000003</v>
      </c>
      <c r="C19" s="10">
        <f>CHOOSE(CONTROL!$C$42, 4.6828, 4.6828) * CHOOSE(CONTROL!$C$21, $C$9, 100%, $E$9)</f>
        <v>4.6828000000000003</v>
      </c>
      <c r="D19" s="10">
        <f>CHOOSE(CONTROL!$C$42, 4.8625, 4.8625) * CHOOSE(CONTROL!$C$21, $C$9, 100%, $E$9)</f>
        <v>4.8624999999999998</v>
      </c>
      <c r="E19" s="10">
        <f>CHOOSE(CONTROL!$C$42, 4.8938, 4.8938) * CHOOSE(CONTROL!$C$21, $C$9, 100%, $E$9)</f>
        <v>4.8937999999999997</v>
      </c>
      <c r="F19" s="10">
        <f>CHOOSE(CONTROL!$C$42, 4.6726, 4.6726)*CHOOSE(CONTROL!$C$21, $C$9, 100%, $E$9)</f>
        <v>4.6726000000000001</v>
      </c>
      <c r="G19" s="10">
        <f>CHOOSE(CONTROL!$C$42, 4.6912, 4.6912)*CHOOSE(CONTROL!$C$21, $C$9, 100%, $E$9)</f>
        <v>4.6912000000000003</v>
      </c>
      <c r="H19" s="10">
        <f>CHOOSE(CONTROL!$C$42, 4.8821, 4.8821) * CHOOSE(CONTROL!$C$21, $C$9, 100%, $E$9)</f>
        <v>4.8821000000000003</v>
      </c>
      <c r="I19" s="10">
        <f>CHOOSE(CONTROL!$C$42, 4.6737, 4.6737)* CHOOSE(CONTROL!$C$21, $C$9, 100%, $E$9)</f>
        <v>4.6737000000000002</v>
      </c>
      <c r="J19" s="10">
        <f>CHOOSE(CONTROL!$C$42, 4.6652, 4.6652)* CHOOSE(CONTROL!$C$21, $C$9, 100%, $E$9)</f>
        <v>4.6651999999999996</v>
      </c>
      <c r="K19" s="10">
        <f>CHOOSE(CONTROL!$C$42, 4.6975, 4.6975) * CHOOSE(CONTROL!$C$21, $C$9, 100%, $E$9)</f>
        <v>4.6974999999999998</v>
      </c>
      <c r="L19" s="10">
        <f>CHOOSE(CONTROL!$C$42, 5.4691, 5.4691) * CHOOSE(CONTROL!$C$21, $C$9, 100%, $E$9)</f>
        <v>5.4691000000000001</v>
      </c>
      <c r="M19" s="10">
        <f>CHOOSE(CONTROL!$C$42, 4.6379, 4.6379) * CHOOSE(CONTROL!$C$21, $C$9, 100%, $E$9)</f>
        <v>4.6379000000000001</v>
      </c>
      <c r="N19" s="10">
        <f>CHOOSE(CONTROL!$C$42, 4.6562, 4.6562) * CHOOSE(CONTROL!$C$21, $C$9, 100%, $E$9)</f>
        <v>4.6562000000000001</v>
      </c>
      <c r="O19" s="10">
        <f>CHOOSE(CONTROL!$C$42, 4.8519, 4.8519) * CHOOSE(CONTROL!$C$21, $C$9, 100%, $E$9)</f>
        <v>4.8518999999999997</v>
      </c>
      <c r="P19" s="10">
        <f>CHOOSE(CONTROL!$C$42, 4.6463, 4.6463) * CHOOSE(CONTROL!$C$21, $C$9, 100%, $E$9)</f>
        <v>4.6463000000000001</v>
      </c>
      <c r="Q19" s="10">
        <f>CHOOSE(CONTROL!$C$42, 5.4472, 5.4472) * CHOOSE(CONTROL!$C$21, $C$9, 100%, $E$9)</f>
        <v>5.4471999999999996</v>
      </c>
      <c r="R19" s="10">
        <f>CHOOSE(CONTROL!$C$42, 6.0479, 6.0479) * CHOOSE(CONTROL!$C$21, $C$9, 100%, $E$9)</f>
        <v>6.0479000000000003</v>
      </c>
      <c r="S19" s="10">
        <f>CHOOSE(CONTROL!$C$42, 4.5412, 4.5412) * CHOOSE(CONTROL!$C$21, $C$9, 100%, $E$9)</f>
        <v>4.5411999999999999</v>
      </c>
      <c r="T19" s="41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19" s="38">
        <f>(1000*CHOOSE(CONTROL!$C$42, 695, 695)*CHOOSE(CONTROL!$C$42, 0.5599, 0.5599)*CHOOSE(CONTROL!$C$42, 31, 31))/1000000</f>
        <v>12.063045499999998</v>
      </c>
      <c r="V19" s="38">
        <f>(1000*CHOOSE(CONTROL!$C$42, 580, 580)*CHOOSE(CONTROL!$C$42, 0.275, 0.275)*CHOOSE(CONTROL!$C$42, 31, 31))/1000000</f>
        <v>4.9444999999999997</v>
      </c>
      <c r="W19" s="38">
        <f>(1000*CHOOSE(CONTROL!$C$42, 0.1146, 0.1146)*CHOOSE(CONTROL!$C$42, 200, 200)*CHOOSE(CONTROL!$C$42, 31, 31))/1000000</f>
        <v>0.71052000000000004</v>
      </c>
      <c r="X19" s="38">
        <f>31*0.1790888*145000/1000000</f>
        <v>0.80500415599999997</v>
      </c>
      <c r="Y19" s="38"/>
      <c r="Z19" s="38">
        <f t="shared" si="0"/>
        <v>0.3</v>
      </c>
      <c r="AA19" s="10">
        <f>CHOOSE(CONTROL!$C$42, 4.6385, 4.6385) * CHOOSE(CONTROL!$C$21, $C$9, 100%, $E$9)</f>
        <v>4.6384999999999996</v>
      </c>
      <c r="AB19" s="43">
        <f>(31*((8.01*31500+8.07*100000)/31))/1000000</f>
        <v>1.059315</v>
      </c>
      <c r="AC19" s="33">
        <f>(B19*194.205+C19*267.466+D19*133.845+E19*213.484+F19*40+G19*25+H19*50+I19*100+J19*300)/(194.205+267.466+133.845+213.484+50+40+25+100+300)</f>
        <v>4.7365163372356509</v>
      </c>
      <c r="AD19" s="27">
        <f t="shared" si="1"/>
        <v>4.7146280575539574</v>
      </c>
    </row>
    <row r="20" spans="1:30" ht="15" x14ac:dyDescent="0.2">
      <c r="A20" s="16">
        <v>41852</v>
      </c>
      <c r="B20" s="10">
        <f>CHOOSE(CONTROL!$C$42, 4.6727, 4.6727) * CHOOSE(CONTROL!$C$21, $C$9, 100%, $E$9)</f>
        <v>4.6726999999999999</v>
      </c>
      <c r="C20" s="10">
        <f>CHOOSE(CONTROL!$C$42, 4.6807, 4.6807) * CHOOSE(CONTROL!$C$21, $C$9, 100%, $E$9)</f>
        <v>4.6806999999999999</v>
      </c>
      <c r="D20" s="10">
        <f>CHOOSE(CONTROL!$C$42, 4.8605, 4.8605) * CHOOSE(CONTROL!$C$21, $C$9, 100%, $E$9)</f>
        <v>4.8605</v>
      </c>
      <c r="E20" s="10">
        <f>CHOOSE(CONTROL!$C$42, 4.8917, 4.8917) * CHOOSE(CONTROL!$C$21, $C$9, 100%, $E$9)</f>
        <v>4.8917000000000002</v>
      </c>
      <c r="F20" s="10">
        <f>CHOOSE(CONTROL!$C$42, 4.6705, 4.6705)*CHOOSE(CONTROL!$C$21, $C$9, 100%, $E$9)</f>
        <v>4.6704999999999997</v>
      </c>
      <c r="G20" s="10">
        <f>CHOOSE(CONTROL!$C$42, 4.6891, 4.6891)*CHOOSE(CONTROL!$C$21, $C$9, 100%, $E$9)</f>
        <v>4.6890999999999998</v>
      </c>
      <c r="H20" s="10">
        <f>CHOOSE(CONTROL!$C$42, 4.88, 4.88) * CHOOSE(CONTROL!$C$21, $C$9, 100%, $E$9)</f>
        <v>4.88</v>
      </c>
      <c r="I20" s="10">
        <f>CHOOSE(CONTROL!$C$42, 4.6716, 4.6716)* CHOOSE(CONTROL!$C$21, $C$9, 100%, $E$9)</f>
        <v>4.6715999999999998</v>
      </c>
      <c r="J20" s="10">
        <f>CHOOSE(CONTROL!$C$42, 4.6631, 4.6631)* CHOOSE(CONTROL!$C$21, $C$9, 100%, $E$9)</f>
        <v>4.6631</v>
      </c>
      <c r="K20" s="10">
        <f>CHOOSE(CONTROL!$C$42, 4.6955, 4.6955) * CHOOSE(CONTROL!$C$21, $C$9, 100%, $E$9)</f>
        <v>4.6955</v>
      </c>
      <c r="L20" s="10">
        <f>CHOOSE(CONTROL!$C$42, 5.467, 5.467) * CHOOSE(CONTROL!$C$21, $C$9, 100%, $E$9)</f>
        <v>5.4669999999999996</v>
      </c>
      <c r="M20" s="10">
        <f>CHOOSE(CONTROL!$C$42, 4.6358, 4.6358) * CHOOSE(CONTROL!$C$21, $C$9, 100%, $E$9)</f>
        <v>4.6357999999999997</v>
      </c>
      <c r="N20" s="10">
        <f>CHOOSE(CONTROL!$C$42, 4.6541, 4.6541) * CHOOSE(CONTROL!$C$21, $C$9, 100%, $E$9)</f>
        <v>4.6540999999999997</v>
      </c>
      <c r="O20" s="10">
        <f>CHOOSE(CONTROL!$C$42, 4.8499, 4.8499) * CHOOSE(CONTROL!$C$21, $C$9, 100%, $E$9)</f>
        <v>4.8498999999999999</v>
      </c>
      <c r="P20" s="10">
        <f>CHOOSE(CONTROL!$C$42, 4.6442, 4.6442) * CHOOSE(CONTROL!$C$21, $C$9, 100%, $E$9)</f>
        <v>4.6441999999999997</v>
      </c>
      <c r="Q20" s="10">
        <f>CHOOSE(CONTROL!$C$42, 5.4452, 5.4452) * CHOOSE(CONTROL!$C$21, $C$9, 100%, $E$9)</f>
        <v>5.4451999999999998</v>
      </c>
      <c r="R20" s="10">
        <f>CHOOSE(CONTROL!$C$42, 6.0458, 6.0458) * CHOOSE(CONTROL!$C$21, $C$9, 100%, $E$9)</f>
        <v>6.0457999999999998</v>
      </c>
      <c r="S20" s="10">
        <f>CHOOSE(CONTROL!$C$42, 4.5392, 4.5392) * CHOOSE(CONTROL!$C$21, $C$9, 100%, $E$9)</f>
        <v>4.5392000000000001</v>
      </c>
      <c r="T20" s="41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20" s="38">
        <f>(1000*CHOOSE(CONTROL!$C$42, 695, 695)*CHOOSE(CONTROL!$C$42, 0.5599, 0.5599)*CHOOSE(CONTROL!$C$42, 31, 31))/1000000</f>
        <v>12.063045499999998</v>
      </c>
      <c r="V20" s="38">
        <f>(1000*CHOOSE(CONTROL!$C$42, 580, 580)*CHOOSE(CONTROL!$C$42, 0.275, 0.275)*CHOOSE(CONTROL!$C$42, 31, 31))/1000000</f>
        <v>4.9444999999999997</v>
      </c>
      <c r="W20" s="38">
        <f>(1000*CHOOSE(CONTROL!$C$42, 0.1146, 0.1146)*CHOOSE(CONTROL!$C$42, 200, 200)*CHOOSE(CONTROL!$C$42, 31, 31))/1000000</f>
        <v>0.71052000000000004</v>
      </c>
      <c r="X20" s="38">
        <f>31*0.1790888*145000/1000000</f>
        <v>0.80500415599999997</v>
      </c>
      <c r="Y20" s="38"/>
      <c r="Z20" s="38">
        <f t="shared" si="0"/>
        <v>0.3</v>
      </c>
      <c r="AA20" s="10">
        <f>CHOOSE(CONTROL!$C$42, 4.6364, 4.6364) * CHOOSE(CONTROL!$C$21, $C$9, 100%, $E$9)</f>
        <v>4.6364000000000001</v>
      </c>
      <c r="AB20" s="43">
        <f>(31*((8.01*31500+8.07*100000)/31))/1000000</f>
        <v>1.059315</v>
      </c>
      <c r="AC20" s="33">
        <f>(B20*194.205+C20*267.466+D20*133.845+E20*213.484+F20*40+G20*25+H20*50+I20*100+J20*300)/(194.205+267.466+133.845+213.484+50+40+25+100+300)</f>
        <v>4.7344264463746235</v>
      </c>
      <c r="AD20" s="27">
        <f t="shared" si="1"/>
        <v>4.7125618705035963</v>
      </c>
    </row>
    <row r="21" spans="1:30" ht="15" x14ac:dyDescent="0.2">
      <c r="A21" s="16">
        <v>41883</v>
      </c>
      <c r="B21" s="10">
        <f>CHOOSE(CONTROL!$C$42, 4.65, 4.65) * CHOOSE(CONTROL!$C$21, $C$9, 100%, $E$9)</f>
        <v>4.6500000000000004</v>
      </c>
      <c r="C21" s="10">
        <f>CHOOSE(CONTROL!$C$42, 4.658, 4.658) * CHOOSE(CONTROL!$C$21, $C$9, 100%, $E$9)</f>
        <v>4.6580000000000004</v>
      </c>
      <c r="D21" s="10">
        <f>CHOOSE(CONTROL!$C$42, 4.8378, 4.8378) * CHOOSE(CONTROL!$C$21, $C$9, 100%, $E$9)</f>
        <v>4.8377999999999997</v>
      </c>
      <c r="E21" s="10">
        <f>CHOOSE(CONTROL!$C$42, 4.869, 4.869) * CHOOSE(CONTROL!$C$21, $C$9, 100%, $E$9)</f>
        <v>4.8689999999999998</v>
      </c>
      <c r="F21" s="10">
        <f>CHOOSE(CONTROL!$C$42, 4.6475, 4.6475)*CHOOSE(CONTROL!$C$21, $C$9, 100%, $E$9)</f>
        <v>4.6475</v>
      </c>
      <c r="G21" s="10">
        <f>CHOOSE(CONTROL!$C$42, 4.666, 4.666)*CHOOSE(CONTROL!$C$21, $C$9, 100%, $E$9)</f>
        <v>4.6660000000000004</v>
      </c>
      <c r="H21" s="10">
        <f>CHOOSE(CONTROL!$C$42, 4.8573, 4.8573) * CHOOSE(CONTROL!$C$21, $C$9, 100%, $E$9)</f>
        <v>4.8573000000000004</v>
      </c>
      <c r="I21" s="10">
        <f>CHOOSE(CONTROL!$C$42, 4.6489, 4.6489)* CHOOSE(CONTROL!$C$21, $C$9, 100%, $E$9)</f>
        <v>4.6489000000000003</v>
      </c>
      <c r="J21" s="10">
        <f>CHOOSE(CONTROL!$C$42, 4.6401, 4.6401)* CHOOSE(CONTROL!$C$21, $C$9, 100%, $E$9)</f>
        <v>4.6401000000000003</v>
      </c>
      <c r="K21" s="10">
        <f>CHOOSE(CONTROL!$C$42, 4.6728, 4.6728) * CHOOSE(CONTROL!$C$21, $C$9, 100%, $E$9)</f>
        <v>4.6727999999999996</v>
      </c>
      <c r="L21" s="10">
        <f>CHOOSE(CONTROL!$C$42, 5.4443, 5.4443) * CHOOSE(CONTROL!$C$21, $C$9, 100%, $E$9)</f>
        <v>5.4443000000000001</v>
      </c>
      <c r="M21" s="10">
        <f>CHOOSE(CONTROL!$C$42, 4.6131, 4.6131) * CHOOSE(CONTROL!$C$21, $C$9, 100%, $E$9)</f>
        <v>4.6131000000000002</v>
      </c>
      <c r="N21" s="10">
        <f>CHOOSE(CONTROL!$C$42, 4.6313, 4.6313) * CHOOSE(CONTROL!$C$21, $C$9, 100%, $E$9)</f>
        <v>4.6313000000000004</v>
      </c>
      <c r="O21" s="10">
        <f>CHOOSE(CONTROL!$C$42, 4.8275, 4.8275) * CHOOSE(CONTROL!$C$21, $C$9, 100%, $E$9)</f>
        <v>4.8274999999999997</v>
      </c>
      <c r="P21" s="10">
        <f>CHOOSE(CONTROL!$C$42, 4.6218, 4.6218) * CHOOSE(CONTROL!$C$21, $C$9, 100%, $E$9)</f>
        <v>4.6218000000000004</v>
      </c>
      <c r="Q21" s="10">
        <f>CHOOSE(CONTROL!$C$42, 5.4228, 5.4228) * CHOOSE(CONTROL!$C$21, $C$9, 100%, $E$9)</f>
        <v>5.4227999999999996</v>
      </c>
      <c r="R21" s="10">
        <f>CHOOSE(CONTROL!$C$42, 6.0233, 6.0233) * CHOOSE(CONTROL!$C$21, $C$9, 100%, $E$9)</f>
        <v>6.0232999999999999</v>
      </c>
      <c r="S21" s="10">
        <f>CHOOSE(CONTROL!$C$42, 4.5172, 4.5172) * CHOOSE(CONTROL!$C$21, $C$9, 100%, $E$9)</f>
        <v>4.5171999999999999</v>
      </c>
      <c r="T21" s="41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21" s="38">
        <f>(1000*CHOOSE(CONTROL!$C$42, 695, 695)*CHOOSE(CONTROL!$C$42, 0.5599, 0.5599)*CHOOSE(CONTROL!$C$42, 30, 30))/1000000</f>
        <v>11.673914999999997</v>
      </c>
      <c r="V21" s="38">
        <f>(1000*CHOOSE(CONTROL!$C$42, 580, 580)*CHOOSE(CONTROL!$C$42, 0.275, 0.275)*CHOOSE(CONTROL!$C$42, 30, 30))/1000000</f>
        <v>4.7850000000000001</v>
      </c>
      <c r="W21" s="38">
        <f>(1000*CHOOSE(CONTROL!$C$42, 0.1146, 0.1146)*CHOOSE(CONTROL!$C$42, 200, 200)*CHOOSE(CONTROL!$C$42, 30, 30))/1000000</f>
        <v>0.68759999999999999</v>
      </c>
      <c r="X21" s="38">
        <f>30*0.1790888*145000/1000000</f>
        <v>0.77903627999999991</v>
      </c>
      <c r="Y21" s="38"/>
      <c r="Z21" s="38">
        <f t="shared" si="0"/>
        <v>0.3</v>
      </c>
      <c r="AA21" s="10">
        <f>CHOOSE(CONTROL!$C$42, 4.6139, 4.6139) * CHOOSE(CONTROL!$C$21, $C$9, 100%, $E$9)</f>
        <v>4.6139000000000001</v>
      </c>
      <c r="AB21" s="43">
        <f>(30*((8.01*31500+8.07*100000)/30))/1000000</f>
        <v>1.059315</v>
      </c>
      <c r="AC21" s="33">
        <f>(B21*194.205+C21*267.466+D21*133.845+E21*213.484+F21*40+G21*25+H21*50+I21*100+J21*300)/(194.205+267.466+133.845+213.484+50+40+25+100+300)</f>
        <v>4.7116418542296081</v>
      </c>
      <c r="AD21" s="27">
        <f t="shared" si="1"/>
        <v>4.6899892086330945</v>
      </c>
    </row>
    <row r="22" spans="1:30" ht="15" x14ac:dyDescent="0.2">
      <c r="A22" s="16">
        <v>41913</v>
      </c>
      <c r="B22" s="10">
        <f>CHOOSE(CONTROL!$C$42, 4.6582, 4.6582) * CHOOSE(CONTROL!$C$21, $C$9, 100%, $E$9)</f>
        <v>4.6581999999999999</v>
      </c>
      <c r="C22" s="10">
        <f>CHOOSE(CONTROL!$C$42, 4.6635, 4.6635) * CHOOSE(CONTROL!$C$21, $C$9, 100%, $E$9)</f>
        <v>4.6635</v>
      </c>
      <c r="D22" s="10">
        <f>CHOOSE(CONTROL!$C$42, 4.8482, 4.8482) * CHOOSE(CONTROL!$C$21, $C$9, 100%, $E$9)</f>
        <v>4.8482000000000003</v>
      </c>
      <c r="E22" s="10">
        <f>CHOOSE(CONTROL!$C$42, 4.8771, 4.8771) * CHOOSE(CONTROL!$C$21, $C$9, 100%, $E$9)</f>
        <v>4.8771000000000004</v>
      </c>
      <c r="F22" s="10">
        <f>CHOOSE(CONTROL!$C$42, 4.6576, 4.6576)*CHOOSE(CONTROL!$C$21, $C$9, 100%, $E$9)</f>
        <v>4.6576000000000004</v>
      </c>
      <c r="G22" s="10">
        <f>CHOOSE(CONTROL!$C$42, 4.6757, 4.6757)*CHOOSE(CONTROL!$C$21, $C$9, 100%, $E$9)</f>
        <v>4.6757</v>
      </c>
      <c r="H22" s="10">
        <f>CHOOSE(CONTROL!$C$42, 4.8672, 4.8672) * CHOOSE(CONTROL!$C$21, $C$9, 100%, $E$9)</f>
        <v>4.8672000000000004</v>
      </c>
      <c r="I22" s="10">
        <f>CHOOSE(CONTROL!$C$42, 4.6588, 4.6588)* CHOOSE(CONTROL!$C$21, $C$9, 100%, $E$9)</f>
        <v>4.6588000000000003</v>
      </c>
      <c r="J22" s="10">
        <f>CHOOSE(CONTROL!$C$42, 4.6502, 4.6502)* CHOOSE(CONTROL!$C$21, $C$9, 100%, $E$9)</f>
        <v>4.6501999999999999</v>
      </c>
      <c r="K22" s="10">
        <f>CHOOSE(CONTROL!$C$42, 4.6827, 4.6827) * CHOOSE(CONTROL!$C$21, $C$9, 100%, $E$9)</f>
        <v>4.6826999999999996</v>
      </c>
      <c r="L22" s="10">
        <f>CHOOSE(CONTROL!$C$42, 5.4542, 5.4542) * CHOOSE(CONTROL!$C$21, $C$9, 100%, $E$9)</f>
        <v>5.4542000000000002</v>
      </c>
      <c r="M22" s="10">
        <f>CHOOSE(CONTROL!$C$42, 4.623, 4.623) * CHOOSE(CONTROL!$C$21, $C$9, 100%, $E$9)</f>
        <v>4.6230000000000002</v>
      </c>
      <c r="N22" s="10">
        <f>CHOOSE(CONTROL!$C$42, 4.6409, 4.6409) * CHOOSE(CONTROL!$C$21, $C$9, 100%, $E$9)</f>
        <v>4.6409000000000002</v>
      </c>
      <c r="O22" s="10">
        <f>CHOOSE(CONTROL!$C$42, 4.8373, 4.8373) * CHOOSE(CONTROL!$C$21, $C$9, 100%, $E$9)</f>
        <v>4.8372999999999999</v>
      </c>
      <c r="P22" s="10">
        <f>CHOOSE(CONTROL!$C$42, 4.6316, 4.6316) * CHOOSE(CONTROL!$C$21, $C$9, 100%, $E$9)</f>
        <v>4.6315999999999997</v>
      </c>
      <c r="Q22" s="10">
        <f>CHOOSE(CONTROL!$C$42, 5.4326, 5.4326) * CHOOSE(CONTROL!$C$21, $C$9, 100%, $E$9)</f>
        <v>5.4325999999999999</v>
      </c>
      <c r="R22" s="10">
        <f>CHOOSE(CONTROL!$C$42, 6.0332, 6.0332) * CHOOSE(CONTROL!$C$21, $C$9, 100%, $E$9)</f>
        <v>6.0331999999999999</v>
      </c>
      <c r="S22" s="10">
        <f>CHOOSE(CONTROL!$C$42, 4.5268, 4.5268) * CHOOSE(CONTROL!$C$21, $C$9, 100%, $E$9)</f>
        <v>4.5267999999999997</v>
      </c>
      <c r="T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" s="38">
        <f>(1000*CHOOSE(CONTROL!$C$42, 695, 695)*CHOOSE(CONTROL!$C$42, 0.5599, 0.5599)*CHOOSE(CONTROL!$C$42, 31, 31))/1000000</f>
        <v>12.063045499999998</v>
      </c>
      <c r="V22" s="38">
        <f>(1000*CHOOSE(CONTROL!$C$42, 580, 580)*CHOOSE(CONTROL!$C$42, 0.275, 0.275)*CHOOSE(CONTROL!$C$42, 31, 31))/1000000</f>
        <v>4.9444999999999997</v>
      </c>
      <c r="W22" s="38">
        <f>(1000*CHOOSE(CONTROL!$C$42, 0.1146, 0.1146)*CHOOSE(CONTROL!$C$42, 200, 200)*CHOOSE(CONTROL!$C$42, 31, 31))/1000000</f>
        <v>0.71052000000000004</v>
      </c>
      <c r="X22" s="38">
        <f>31*0.1790888*145000/1000000</f>
        <v>0.80500415599999997</v>
      </c>
      <c r="Y22" s="38"/>
      <c r="Z22" s="38">
        <f t="shared" si="0"/>
        <v>0.3</v>
      </c>
      <c r="AA22" s="10">
        <f>CHOOSE(CONTROL!$C$42, 4.6237, 4.6237) * CHOOSE(CONTROL!$C$21, $C$9, 100%, $E$9)</f>
        <v>4.6237000000000004</v>
      </c>
      <c r="AB22" s="43">
        <f>(31*((8.01*31500+8.07*100000)/31))/1000000</f>
        <v>1.059315</v>
      </c>
      <c r="AC22" s="33">
        <f>(B22*131.881+C22*277.167+D22*79.08+E22*285.872+F22*40+G22*25+H22*0+I22*100+J22*300)/(131.881+277.167+79.08+285.872+0+40+25+100+300)</f>
        <v>4.720463975706215</v>
      </c>
      <c r="AD22" s="27">
        <f t="shared" si="1"/>
        <v>4.699789208633093</v>
      </c>
    </row>
    <row r="23" spans="1:30" ht="15" x14ac:dyDescent="0.2">
      <c r="A23" s="16">
        <v>41944</v>
      </c>
      <c r="B23" s="10">
        <f>CHOOSE(CONTROL!$C$42, 4.7063, 4.7063) * CHOOSE(CONTROL!$C$21, $C$9, 100%, $E$9)</f>
        <v>4.7062999999999997</v>
      </c>
      <c r="C23" s="10">
        <f>CHOOSE(CONTROL!$C$42, 4.7114, 4.7114) * CHOOSE(CONTROL!$C$21, $C$9, 100%, $E$9)</f>
        <v>4.7114000000000003</v>
      </c>
      <c r="D23" s="10">
        <f>CHOOSE(CONTROL!$C$42, 4.7464, 4.7464) * CHOOSE(CONTROL!$C$21, $C$9, 100%, $E$9)</f>
        <v>4.7464000000000004</v>
      </c>
      <c r="E23" s="10">
        <f>CHOOSE(CONTROL!$C$42, 4.7802, 4.7802) * CHOOSE(CONTROL!$C$21, $C$9, 100%, $E$9)</f>
        <v>4.7801999999999998</v>
      </c>
      <c r="F23" s="10">
        <f>CHOOSE(CONTROL!$C$42, 4.6851, 4.6851)*CHOOSE(CONTROL!$C$21, $C$9, 100%, $E$9)</f>
        <v>4.6851000000000003</v>
      </c>
      <c r="G23" s="10">
        <f>CHOOSE(CONTROL!$C$42, 4.7033, 4.7033)*CHOOSE(CONTROL!$C$21, $C$9, 100%, $E$9)</f>
        <v>4.7032999999999996</v>
      </c>
      <c r="H23" s="10">
        <f>CHOOSE(CONTROL!$C$42, 4.7691, 4.7691) * CHOOSE(CONTROL!$C$21, $C$9, 100%, $E$9)</f>
        <v>4.7690999999999999</v>
      </c>
      <c r="I23" s="10">
        <f>CHOOSE(CONTROL!$C$42, 4.7136, 4.7136)* CHOOSE(CONTROL!$C$21, $C$9, 100%, $E$9)</f>
        <v>4.7135999999999996</v>
      </c>
      <c r="J23" s="10">
        <f>CHOOSE(CONTROL!$C$42, 4.6777, 4.6777)* CHOOSE(CONTROL!$C$21, $C$9, 100%, $E$9)</f>
        <v>4.6776999999999997</v>
      </c>
      <c r="K23" s="10">
        <f>CHOOSE(CONTROL!$C$42, 4.7373, 4.7373) * CHOOSE(CONTROL!$C$21, $C$9, 100%, $E$9)</f>
        <v>4.7373000000000003</v>
      </c>
      <c r="L23" s="10">
        <f>CHOOSE(CONTROL!$C$42, 5.3561, 5.3561) * CHOOSE(CONTROL!$C$21, $C$9, 100%, $E$9)</f>
        <v>5.3560999999999996</v>
      </c>
      <c r="M23" s="10">
        <f>CHOOSE(CONTROL!$C$42, 4.6502, 4.6502) * CHOOSE(CONTROL!$C$21, $C$9, 100%, $E$9)</f>
        <v>4.6501999999999999</v>
      </c>
      <c r="N23" s="10">
        <f>CHOOSE(CONTROL!$C$42, 4.6682, 4.6682) * CHOOSE(CONTROL!$C$21, $C$9, 100%, $E$9)</f>
        <v>4.6681999999999997</v>
      </c>
      <c r="O23" s="10">
        <f>CHOOSE(CONTROL!$C$42, 4.7404, 4.7404) * CHOOSE(CONTROL!$C$21, $C$9, 100%, $E$9)</f>
        <v>4.7404000000000002</v>
      </c>
      <c r="P23" s="10">
        <f>CHOOSE(CONTROL!$C$42, 4.6857, 4.6857) * CHOOSE(CONTROL!$C$21, $C$9, 100%, $E$9)</f>
        <v>4.6856999999999998</v>
      </c>
      <c r="Q23" s="10">
        <f>CHOOSE(CONTROL!$C$42, 5.3357, 5.3357) * CHOOSE(CONTROL!$C$21, $C$9, 100%, $E$9)</f>
        <v>5.3357000000000001</v>
      </c>
      <c r="R23" s="10">
        <f>CHOOSE(CONTROL!$C$42, 5.9361, 5.9361) * CHOOSE(CONTROL!$C$21, $C$9, 100%, $E$9)</f>
        <v>5.9360999999999997</v>
      </c>
      <c r="S23" s="10">
        <f>CHOOSE(CONTROL!$C$42, 4.5738, 4.5738) * CHOOSE(CONTROL!$C$21, $C$9, 100%, $E$9)</f>
        <v>4.5738000000000003</v>
      </c>
      <c r="T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" s="38">
        <f>(1000*CHOOSE(CONTROL!$C$42, 695, 695)*CHOOSE(CONTROL!$C$42, 0.5599, 0.5599)*CHOOSE(CONTROL!$C$42, 30, 30))/1000000</f>
        <v>11.673914999999997</v>
      </c>
      <c r="V23" s="38">
        <f>(1000*CHOOSE(CONTROL!$C$42, 580, 580)*CHOOSE(CONTROL!$C$42, 0.275, 0.275)*CHOOSE(CONTROL!$C$42, 30, 30))/1000000</f>
        <v>4.7850000000000001</v>
      </c>
      <c r="W23" s="38">
        <f>(1000*CHOOSE(CONTROL!$C$42, 0.1146, 0.1146)*CHOOSE(CONTROL!$C$42, 200, 200)*CHOOSE(CONTROL!$C$42, 30, 30))/1000000</f>
        <v>0.68759999999999999</v>
      </c>
      <c r="X23" s="38">
        <v>0</v>
      </c>
      <c r="Y23" s="38"/>
      <c r="Z23" s="38">
        <f t="shared" si="0"/>
        <v>0.3</v>
      </c>
      <c r="AA23" s="10">
        <f>CHOOSE(CONTROL!$C$42, 4.6729, 4.6729) * CHOOSE(CONTROL!$C$21, $C$9, 100%, $E$9)</f>
        <v>4.6729000000000003</v>
      </c>
      <c r="AB23" s="43">
        <f>(30*((8.01*31500+8.07*100000)/30))/1000000</f>
        <v>1.059315</v>
      </c>
      <c r="AC23" s="33">
        <f>(B23*122.58+C23*297.941+D23*89.177+E23*200.302+F23*40+G23*0+H23*0+I23*100+J23*300)/(122.58+297.941+89.177+200.302+0+40+0+100+300)</f>
        <v>4.716038969217391</v>
      </c>
      <c r="AD23" s="27">
        <f>(M23*240+N23*0+O23*355+P23*100)/(240+0+355+100)</f>
        <v>4.7013812949640297</v>
      </c>
    </row>
    <row r="24" spans="1:30" ht="15" x14ac:dyDescent="0.2">
      <c r="A24" s="16">
        <v>41974</v>
      </c>
      <c r="B24" s="10">
        <f>CHOOSE(CONTROL!$C$42, 4.8199, 4.8199) * CHOOSE(CONTROL!$C$21, $C$9, 100%, $E$9)</f>
        <v>4.8198999999999996</v>
      </c>
      <c r="C24" s="10">
        <f>CHOOSE(CONTROL!$C$42, 4.825, 4.825) * CHOOSE(CONTROL!$C$21, $C$9, 100%, $E$9)</f>
        <v>4.8250000000000002</v>
      </c>
      <c r="D24" s="10">
        <f>CHOOSE(CONTROL!$C$42, 4.86, 4.86) * CHOOSE(CONTROL!$C$21, $C$9, 100%, $E$9)</f>
        <v>4.8600000000000003</v>
      </c>
      <c r="E24" s="10">
        <f>CHOOSE(CONTROL!$C$42, 4.8938, 4.8938) * CHOOSE(CONTROL!$C$21, $C$9, 100%, $E$9)</f>
        <v>4.8937999999999997</v>
      </c>
      <c r="F24" s="10">
        <f>CHOOSE(CONTROL!$C$42, 4.8001, 4.8001)*CHOOSE(CONTROL!$C$21, $C$9, 100%, $E$9)</f>
        <v>4.8000999999999996</v>
      </c>
      <c r="G24" s="10">
        <f>CHOOSE(CONTROL!$C$42, 4.8188, 4.8188)*CHOOSE(CONTROL!$C$21, $C$9, 100%, $E$9)</f>
        <v>4.8188000000000004</v>
      </c>
      <c r="H24" s="10">
        <f>CHOOSE(CONTROL!$C$42, 4.8827, 4.8827) * CHOOSE(CONTROL!$C$21, $C$9, 100%, $E$9)</f>
        <v>4.8826999999999998</v>
      </c>
      <c r="I24" s="10">
        <f>CHOOSE(CONTROL!$C$42, 4.8272, 4.8272)* CHOOSE(CONTROL!$C$21, $C$9, 100%, $E$9)</f>
        <v>4.8272000000000004</v>
      </c>
      <c r="J24" s="10">
        <f>CHOOSE(CONTROL!$C$42, 4.7927, 4.7927)* CHOOSE(CONTROL!$C$21, $C$9, 100%, $E$9)</f>
        <v>4.7927</v>
      </c>
      <c r="K24" s="10">
        <f>CHOOSE(CONTROL!$C$42, 4.8505, 4.8505) * CHOOSE(CONTROL!$C$21, $C$9, 100%, $E$9)</f>
        <v>4.8505000000000003</v>
      </c>
      <c r="L24" s="10">
        <f>CHOOSE(CONTROL!$C$42, 5.4697, 5.4697) * CHOOSE(CONTROL!$C$21, $C$9, 100%, $E$9)</f>
        <v>5.4696999999999996</v>
      </c>
      <c r="M24" s="10">
        <f>CHOOSE(CONTROL!$C$42, 4.7638, 4.7638) * CHOOSE(CONTROL!$C$21, $C$9, 100%, $E$9)</f>
        <v>4.7637999999999998</v>
      </c>
      <c r="N24" s="10">
        <f>CHOOSE(CONTROL!$C$42, 4.7821, 4.7821) * CHOOSE(CONTROL!$C$21, $C$9, 100%, $E$9)</f>
        <v>4.7820999999999998</v>
      </c>
      <c r="O24" s="10">
        <f>CHOOSE(CONTROL!$C$42, 4.8526, 4.8526) * CHOOSE(CONTROL!$C$21, $C$9, 100%, $E$9)</f>
        <v>4.8525999999999998</v>
      </c>
      <c r="P24" s="10">
        <f>CHOOSE(CONTROL!$C$42, 4.7978, 4.7978) * CHOOSE(CONTROL!$C$21, $C$9, 100%, $E$9)</f>
        <v>4.7977999999999996</v>
      </c>
      <c r="Q24" s="10">
        <f>CHOOSE(CONTROL!$C$42, 5.4479, 5.4479) * CHOOSE(CONTROL!$C$21, $C$9, 100%, $E$9)</f>
        <v>5.4478999999999997</v>
      </c>
      <c r="R24" s="10">
        <f>CHOOSE(CONTROL!$C$42, 6.0485, 6.0485) * CHOOSE(CONTROL!$C$21, $C$9, 100%, $E$9)</f>
        <v>6.0484999999999998</v>
      </c>
      <c r="S24" s="10">
        <f>CHOOSE(CONTROL!$C$42, 4.6838, 4.6838) * CHOOSE(CONTROL!$C$21, $C$9, 100%, $E$9)</f>
        <v>4.6837999999999997</v>
      </c>
      <c r="T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" s="38">
        <f>(1000*CHOOSE(CONTROL!$C$42, 695, 695)*CHOOSE(CONTROL!$C$42, 0.5599, 0.5599)*CHOOSE(CONTROL!$C$42, 31, 31))/1000000</f>
        <v>12.063045499999998</v>
      </c>
      <c r="V24" s="38">
        <f>(1000*CHOOSE(CONTROL!$C$42, 580, 580)*CHOOSE(CONTROL!$C$42, 0.275, 0.275)*CHOOSE(CONTROL!$C$42, 31, 31))/1000000</f>
        <v>4.9444999999999997</v>
      </c>
      <c r="W24" s="38">
        <f>(1000*CHOOSE(CONTROL!$C$42, 0.1146, 0.1146)*CHOOSE(CONTROL!$C$42, 200, 200)*CHOOSE(CONTROL!$C$42, 31, 31))/1000000</f>
        <v>0.71052000000000004</v>
      </c>
      <c r="X24" s="38">
        <v>0</v>
      </c>
      <c r="Y24" s="38"/>
      <c r="Z24" s="38">
        <f t="shared" si="0"/>
        <v>0.3</v>
      </c>
      <c r="AA24" s="10">
        <f>CHOOSE(CONTROL!$C$42, 4.7855, 4.7855) * CHOOSE(CONTROL!$C$21, $C$9, 100%, $E$9)</f>
        <v>4.7854999999999999</v>
      </c>
      <c r="AB24" s="43">
        <f>(31*((8.01*31500+8.07*100000)/31))/1000000</f>
        <v>1.059315</v>
      </c>
      <c r="AC24" s="33">
        <f>(B24*122.58+C24*297.941+D24*89.177+E24*200.302+F24*40+G24*0+H24*0+I24*100+J24*300)/(122.58+297.941+89.177+200.302+0+40+0+100+300)</f>
        <v>4.830052882260869</v>
      </c>
      <c r="AD24" s="27">
        <f>(M24*240+N24*0+O24*355+P24*100)/(240+0+355+100)</f>
        <v>4.8140503597122297</v>
      </c>
    </row>
    <row r="25" spans="1:30" ht="15" x14ac:dyDescent="0.2">
      <c r="A25" s="16">
        <v>42005</v>
      </c>
      <c r="B25" s="10">
        <f>CHOOSE(CONTROL!$C$42, 4.9025, 4.9025) * CHOOSE(CONTROL!$C$21, $C$9, 100%, $E$9)</f>
        <v>4.9024999999999999</v>
      </c>
      <c r="C25" s="10">
        <f>CHOOSE(CONTROL!$C$42, 4.9076, 4.9076) * CHOOSE(CONTROL!$C$21, $C$9, 100%, $E$9)</f>
        <v>4.9076000000000004</v>
      </c>
      <c r="D25" s="10">
        <f>CHOOSE(CONTROL!$C$42, 4.9427, 4.9427) * CHOOSE(CONTROL!$C$21, $C$9, 100%, $E$9)</f>
        <v>4.9427000000000003</v>
      </c>
      <c r="E25" s="10">
        <f>CHOOSE(CONTROL!$C$42, 4.9765, 4.9765) * CHOOSE(CONTROL!$C$21, $C$9, 100%, $E$9)</f>
        <v>4.9764999999999997</v>
      </c>
      <c r="F25" s="10">
        <f>CHOOSE(CONTROL!$C$42, 4.8838, 4.8838)*CHOOSE(CONTROL!$C$21, $C$9, 100%, $E$9)</f>
        <v>4.8837999999999999</v>
      </c>
      <c r="G25" s="10">
        <f>CHOOSE(CONTROL!$C$42, 4.9027, 4.9027)*CHOOSE(CONTROL!$C$21, $C$9, 100%, $E$9)</f>
        <v>4.9027000000000003</v>
      </c>
      <c r="H25" s="10">
        <f>CHOOSE(CONTROL!$C$42, 4.9653, 4.9653) * CHOOSE(CONTROL!$C$21, $C$9, 100%, $E$9)</f>
        <v>4.9653</v>
      </c>
      <c r="I25" s="10">
        <f>CHOOSE(CONTROL!$C$42, 4.9098, 4.9098)* CHOOSE(CONTROL!$C$21, $C$9, 100%, $E$9)</f>
        <v>4.9097999999999997</v>
      </c>
      <c r="J25" s="10">
        <f>CHOOSE(CONTROL!$C$42, 4.8764, 4.8764)* CHOOSE(CONTROL!$C$21, $C$9, 100%, $E$9)</f>
        <v>4.8764000000000003</v>
      </c>
      <c r="K25" s="10">
        <f>CHOOSE(CONTROL!$C$42, 4.9329, 4.9329) * CHOOSE(CONTROL!$C$21, $C$9, 100%, $E$9)</f>
        <v>4.9329000000000001</v>
      </c>
      <c r="L25" s="10">
        <f>CHOOSE(CONTROL!$C$42, 5.5523, 5.5523) * CHOOSE(CONTROL!$C$21, $C$9, 100%, $E$9)</f>
        <v>5.5522999999999998</v>
      </c>
      <c r="M25" s="10">
        <f>CHOOSE(CONTROL!$C$42, 4.8464, 4.8464) * CHOOSE(CONTROL!$C$21, $C$9, 100%, $E$9)</f>
        <v>4.8464</v>
      </c>
      <c r="N25" s="10">
        <f>CHOOSE(CONTROL!$C$42, 4.865, 4.865) * CHOOSE(CONTROL!$C$21, $C$9, 100%, $E$9)</f>
        <v>4.8650000000000002</v>
      </c>
      <c r="O25" s="10">
        <f>CHOOSE(CONTROL!$C$42, 4.9341, 4.9341) * CHOOSE(CONTROL!$C$21, $C$9, 100%, $E$9)</f>
        <v>4.9340999999999999</v>
      </c>
      <c r="P25" s="10">
        <f>CHOOSE(CONTROL!$C$42, 4.8793, 4.8793) * CHOOSE(CONTROL!$C$21, $C$9, 100%, $E$9)</f>
        <v>4.8792999999999997</v>
      </c>
      <c r="Q25" s="10">
        <f>CHOOSE(CONTROL!$C$42, 5.5294, 5.5294) * CHOOSE(CONTROL!$C$21, $C$9, 100%, $E$9)</f>
        <v>5.5293999999999999</v>
      </c>
      <c r="R25" s="10">
        <f>CHOOSE(CONTROL!$C$42, 6.1302, 6.1302) * CHOOSE(CONTROL!$C$21, $C$9, 100%, $E$9)</f>
        <v>6.1302000000000003</v>
      </c>
      <c r="S25" s="10">
        <f>CHOOSE(CONTROL!$C$42, 4.7638, 4.7638) * CHOOSE(CONTROL!$C$21, $C$9, 100%, $E$9)</f>
        <v>4.7637999999999998</v>
      </c>
      <c r="T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38">
        <f>(1000*CHOOSE(CONTROL!$C$42, 695, 695)*CHOOSE(CONTROL!$C$42, 0.5599, 0.5599)*CHOOSE(CONTROL!$C$42, 31, 31))/1000000</f>
        <v>12.063045499999998</v>
      </c>
      <c r="V25" s="38">
        <f>(1000*CHOOSE(CONTROL!$C$42, 580, 580)*CHOOSE(CONTROL!$C$42, 0.275, 0.275)*CHOOSE(CONTROL!$C$42, 31, 31))/1000000</f>
        <v>4.9444999999999997</v>
      </c>
      <c r="W25" s="38">
        <f>(1000*CHOOSE(CONTROL!$C$42, 0.1146, 0.1146)*CHOOSE(CONTROL!$C$42, 200, 200)*CHOOSE(CONTROL!$C$42, 31, 31))/1000000</f>
        <v>0.71052000000000004</v>
      </c>
      <c r="X25" s="38">
        <v>0</v>
      </c>
      <c r="Y25" s="38"/>
      <c r="Z25" s="38">
        <f t="shared" si="0"/>
        <v>0.3</v>
      </c>
      <c r="AA25" s="10">
        <f>CHOOSE(CONTROL!$C$42, 4.8673, 4.8673) * CHOOSE(CONTROL!$C$21, $C$9, 100%, $E$9)</f>
        <v>4.8673000000000002</v>
      </c>
      <c r="AB25" s="43">
        <f>(31*((8.01*31500+8.07*100000)/31))/1000000</f>
        <v>1.059315</v>
      </c>
      <c r="AC25" s="33">
        <f>(B25*122.58+C25*297.941+D25*89.177+E25*200.302+F25*40+G25*0+H25*0+I25*100+J25*300)/(122.58+297.941+89.177+200.302+0+40+0+100+300)</f>
        <v>4.9130032717391297</v>
      </c>
      <c r="AD25" s="27">
        <f>(M25*240+N25*0+O25*355+P25*100)/(240+0+355+100)</f>
        <v>4.8959302158273381</v>
      </c>
    </row>
    <row r="26" spans="1:30" ht="15" x14ac:dyDescent="0.2">
      <c r="A26" s="16">
        <v>42036</v>
      </c>
      <c r="B26" s="10">
        <f>CHOOSE(CONTROL!$C$42, 4.8612, 4.8612) * CHOOSE(CONTROL!$C$21, $C$9, 100%, $E$9)</f>
        <v>4.8612000000000002</v>
      </c>
      <c r="C26" s="10">
        <f>CHOOSE(CONTROL!$C$42, 4.8663, 4.8663) * CHOOSE(CONTROL!$C$21, $C$9, 100%, $E$9)</f>
        <v>4.8662999999999998</v>
      </c>
      <c r="D26" s="10">
        <f>CHOOSE(CONTROL!$C$42, 4.9014, 4.9014) * CHOOSE(CONTROL!$C$21, $C$9, 100%, $E$9)</f>
        <v>4.9013999999999998</v>
      </c>
      <c r="E26" s="10">
        <f>CHOOSE(CONTROL!$C$42, 4.9352, 4.9352) * CHOOSE(CONTROL!$C$21, $C$9, 100%, $E$9)</f>
        <v>4.9352</v>
      </c>
      <c r="F26" s="10">
        <f>CHOOSE(CONTROL!$C$42, 4.842, 4.842)*CHOOSE(CONTROL!$C$21, $C$9, 100%, $E$9)</f>
        <v>4.8419999999999996</v>
      </c>
      <c r="G26" s="10">
        <f>CHOOSE(CONTROL!$C$42, 4.8607, 4.8607)*CHOOSE(CONTROL!$C$21, $C$9, 100%, $E$9)</f>
        <v>4.8606999999999996</v>
      </c>
      <c r="H26" s="10">
        <f>CHOOSE(CONTROL!$C$42, 4.924, 4.924) * CHOOSE(CONTROL!$C$21, $C$9, 100%, $E$9)</f>
        <v>4.9240000000000004</v>
      </c>
      <c r="I26" s="10">
        <f>CHOOSE(CONTROL!$C$42, 4.8685, 4.8685)* CHOOSE(CONTROL!$C$21, $C$9, 100%, $E$9)</f>
        <v>4.8685</v>
      </c>
      <c r="J26" s="10">
        <f>CHOOSE(CONTROL!$C$42, 4.8346, 4.8346)* CHOOSE(CONTROL!$C$21, $C$9, 100%, $E$9)</f>
        <v>4.8346</v>
      </c>
      <c r="K26" s="10">
        <f>CHOOSE(CONTROL!$C$42, 4.8917, 4.8917) * CHOOSE(CONTROL!$C$21, $C$9, 100%, $E$9)</f>
        <v>4.8917000000000002</v>
      </c>
      <c r="L26" s="10">
        <f>CHOOSE(CONTROL!$C$42, 5.511, 5.511) * CHOOSE(CONTROL!$C$21, $C$9, 100%, $E$9)</f>
        <v>5.5110000000000001</v>
      </c>
      <c r="M26" s="10">
        <f>CHOOSE(CONTROL!$C$42, 4.8051, 4.8051) * CHOOSE(CONTROL!$C$21, $C$9, 100%, $E$9)</f>
        <v>4.8051000000000004</v>
      </c>
      <c r="N26" s="10">
        <f>CHOOSE(CONTROL!$C$42, 4.8236, 4.8236) * CHOOSE(CONTROL!$C$21, $C$9, 100%, $E$9)</f>
        <v>4.8235999999999999</v>
      </c>
      <c r="O26" s="10">
        <f>CHOOSE(CONTROL!$C$42, 4.8933, 4.8933) * CHOOSE(CONTROL!$C$21, $C$9, 100%, $E$9)</f>
        <v>4.8933</v>
      </c>
      <c r="P26" s="10">
        <f>CHOOSE(CONTROL!$C$42, 4.8386, 4.8386) * CHOOSE(CONTROL!$C$21, $C$9, 100%, $E$9)</f>
        <v>4.8385999999999996</v>
      </c>
      <c r="Q26" s="10">
        <f>CHOOSE(CONTROL!$C$42, 5.4886, 5.4886) * CHOOSE(CONTROL!$C$21, $C$9, 100%, $E$9)</f>
        <v>5.4885999999999999</v>
      </c>
      <c r="R26" s="10">
        <f>CHOOSE(CONTROL!$C$42, 6.0894, 6.0894) * CHOOSE(CONTROL!$C$21, $C$9, 100%, $E$9)</f>
        <v>6.0894000000000004</v>
      </c>
      <c r="S26" s="10">
        <f>CHOOSE(CONTROL!$C$42, 4.7238, 4.7238) * CHOOSE(CONTROL!$C$21, $C$9, 100%, $E$9)</f>
        <v>4.7237999999999998</v>
      </c>
      <c r="T2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38">
        <f>(1000*CHOOSE(CONTROL!$C$42, 695, 695)*CHOOSE(CONTROL!$C$42, 0.5599, 0.5599)*CHOOSE(CONTROL!$C$42, 28, 28))/1000000</f>
        <v>10.895653999999999</v>
      </c>
      <c r="V26" s="38">
        <f>(1000*CHOOSE(CONTROL!$C$42, 580, 580)*CHOOSE(CONTROL!$C$42, 0.275, 0.275)*CHOOSE(CONTROL!$C$42, 28, 28))/1000000</f>
        <v>4.4660000000000002</v>
      </c>
      <c r="W26" s="38">
        <f>(1000*CHOOSE(CONTROL!$C$42, 0.1146, 0.1146)*CHOOSE(CONTROL!$C$42, 200, 200)*CHOOSE(CONTROL!$C$42, 28, 28))/1000000</f>
        <v>0.64176</v>
      </c>
      <c r="X26" s="38">
        <v>0</v>
      </c>
      <c r="Y26" s="38"/>
      <c r="Z26" s="38">
        <f t="shared" si="0"/>
        <v>0.3</v>
      </c>
      <c r="AA26" s="10">
        <f>CHOOSE(CONTROL!$C$42, 4.8264, 4.8264) * CHOOSE(CONTROL!$C$21, $C$9, 100%, $E$9)</f>
        <v>4.8263999999999996</v>
      </c>
      <c r="AB26" s="43">
        <f>(28*((8.01*31500+8.07*100000)/28))/1000000</f>
        <v>1.059315</v>
      </c>
      <c r="AC26" s="33">
        <f>(B26*122.58+C26*297.941+D26*89.177+E26*200.302+F26*40+G26*0+H26*0+I26*100+J26*300)/(122.58+297.941+89.177+200.302+0+40+0+100+300)</f>
        <v>4.8715554456521746</v>
      </c>
      <c r="AD26" s="27">
        <f>(M26*240+N26*0+O26*355+P26*100)/(240+0+355+100)</f>
        <v>4.8549719424460438</v>
      </c>
    </row>
    <row r="27" spans="1:30" ht="15" x14ac:dyDescent="0.2">
      <c r="A27" s="16">
        <v>42064</v>
      </c>
      <c r="B27" s="10">
        <f>CHOOSE(CONTROL!$C$42, 4.7538, 4.7538) * CHOOSE(CONTROL!$C$21, $C$9, 100%, $E$9)</f>
        <v>4.7538</v>
      </c>
      <c r="C27" s="10">
        <f>CHOOSE(CONTROL!$C$42, 4.7589, 4.7589) * CHOOSE(CONTROL!$C$21, $C$9, 100%, $E$9)</f>
        <v>4.7588999999999997</v>
      </c>
      <c r="D27" s="10">
        <f>CHOOSE(CONTROL!$C$42, 4.7939, 4.7939) * CHOOSE(CONTROL!$C$21, $C$9, 100%, $E$9)</f>
        <v>4.7938999999999998</v>
      </c>
      <c r="E27" s="10">
        <f>CHOOSE(CONTROL!$C$42, 4.8278, 4.8278) * CHOOSE(CONTROL!$C$21, $C$9, 100%, $E$9)</f>
        <v>4.8277999999999999</v>
      </c>
      <c r="F27" s="10">
        <f>CHOOSE(CONTROL!$C$42, 4.7332, 4.7332)*CHOOSE(CONTROL!$C$21, $C$9, 100%, $E$9)</f>
        <v>4.7332000000000001</v>
      </c>
      <c r="G27" s="10">
        <f>CHOOSE(CONTROL!$C$42, 4.7516, 4.7516)*CHOOSE(CONTROL!$C$21, $C$9, 100%, $E$9)</f>
        <v>4.7515999999999998</v>
      </c>
      <c r="H27" s="10">
        <f>CHOOSE(CONTROL!$C$42, 4.8166, 4.8166) * CHOOSE(CONTROL!$C$21, $C$9, 100%, $E$9)</f>
        <v>4.8166000000000002</v>
      </c>
      <c r="I27" s="10">
        <f>CHOOSE(CONTROL!$C$42, 4.7611, 4.7611)* CHOOSE(CONTROL!$C$21, $C$9, 100%, $E$9)</f>
        <v>4.7610999999999999</v>
      </c>
      <c r="J27" s="10">
        <f>CHOOSE(CONTROL!$C$42, 4.7258, 4.7258)* CHOOSE(CONTROL!$C$21, $C$9, 100%, $E$9)</f>
        <v>4.7257999999999996</v>
      </c>
      <c r="K27" s="10">
        <f>CHOOSE(CONTROL!$C$42, 4.7846, 4.7846) * CHOOSE(CONTROL!$C$21, $C$9, 100%, $E$9)</f>
        <v>4.7846000000000002</v>
      </c>
      <c r="L27" s="10">
        <f>CHOOSE(CONTROL!$C$42, 5.4036, 5.4036) * CHOOSE(CONTROL!$C$21, $C$9, 100%, $E$9)</f>
        <v>5.4036</v>
      </c>
      <c r="M27" s="10">
        <f>CHOOSE(CONTROL!$C$42, 4.6977, 4.6977) * CHOOSE(CONTROL!$C$21, $C$9, 100%, $E$9)</f>
        <v>4.6977000000000002</v>
      </c>
      <c r="N27" s="10">
        <f>CHOOSE(CONTROL!$C$42, 4.7158, 4.7158) * CHOOSE(CONTROL!$C$21, $C$9, 100%, $E$9)</f>
        <v>4.7157999999999998</v>
      </c>
      <c r="O27" s="10">
        <f>CHOOSE(CONTROL!$C$42, 4.7873, 4.7873) * CHOOSE(CONTROL!$C$21, $C$9, 100%, $E$9)</f>
        <v>4.7873000000000001</v>
      </c>
      <c r="P27" s="10">
        <f>CHOOSE(CONTROL!$C$42, 4.7325, 4.7325) * CHOOSE(CONTROL!$C$21, $C$9, 100%, $E$9)</f>
        <v>4.7324999999999999</v>
      </c>
      <c r="Q27" s="10">
        <f>CHOOSE(CONTROL!$C$42, 5.3826, 5.3826) * CHOOSE(CONTROL!$C$21, $C$9, 100%, $E$9)</f>
        <v>5.3826000000000001</v>
      </c>
      <c r="R27" s="10">
        <f>CHOOSE(CONTROL!$C$42, 5.9831, 5.9831) * CHOOSE(CONTROL!$C$21, $C$9, 100%, $E$9)</f>
        <v>5.9831000000000003</v>
      </c>
      <c r="S27" s="10">
        <f>CHOOSE(CONTROL!$C$42, 4.6198, 4.6198) * CHOOSE(CONTROL!$C$21, $C$9, 100%, $E$9)</f>
        <v>4.6197999999999997</v>
      </c>
      <c r="T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38">
        <f>(1000*CHOOSE(CONTROL!$C$42, 695, 695)*CHOOSE(CONTROL!$C$42, 0.5599, 0.5599)*CHOOSE(CONTROL!$C$42, 31, 31))/1000000</f>
        <v>12.063045499999998</v>
      </c>
      <c r="V27" s="38">
        <f>(1000*CHOOSE(CONTROL!$C$42, 580, 580)*CHOOSE(CONTROL!$C$42, 0.275, 0.275)*CHOOSE(CONTROL!$C$42, 31, 31))/1000000</f>
        <v>4.9444999999999997</v>
      </c>
      <c r="W27" s="38">
        <f>(1000*CHOOSE(CONTROL!$C$42, 0.1146, 0.1146)*CHOOSE(CONTROL!$C$42, 200, 200)*CHOOSE(CONTROL!$C$42, 31, 31))/1000000</f>
        <v>0.71052000000000004</v>
      </c>
      <c r="X27" s="38">
        <v>0</v>
      </c>
      <c r="Y27" s="38"/>
      <c r="Z27" s="38">
        <f t="shared" si="0"/>
        <v>0.3</v>
      </c>
      <c r="AA27" s="10">
        <f>CHOOSE(CONTROL!$C$42, 4.7199, 4.7199) * CHOOSE(CONTROL!$C$21, $C$9, 100%, $E$9)</f>
        <v>4.7199</v>
      </c>
      <c r="AB27" s="43">
        <f>(31*((8.01*31500+8.07*100000)/31))/1000000</f>
        <v>1.059315</v>
      </c>
      <c r="AC27" s="33">
        <f>(B27*122.58+C27*297.941+D27*89.177+E27*200.302+F27*40+G27*0+H27*0+I27*100+J27*300)/(122.58+297.941+89.177+200.302+0+40+0+100+300)</f>
        <v>4.763733778086956</v>
      </c>
      <c r="AD27" s="27">
        <f>(M27*240+N27*0+O27*355+P27*100)/(240+0+355+100)</f>
        <v>4.7484741007194247</v>
      </c>
    </row>
    <row r="28" spans="1:30" ht="15" x14ac:dyDescent="0.2">
      <c r="A28" s="16">
        <v>42095</v>
      </c>
      <c r="B28" s="10">
        <f>CHOOSE(CONTROL!$C$42, 4.2579, 4.2579) * CHOOSE(CONTROL!$C$21, $C$9, 100%, $E$9)</f>
        <v>4.2579000000000002</v>
      </c>
      <c r="C28" s="10">
        <f>CHOOSE(CONTROL!$C$42, 4.2624, 4.2624) * CHOOSE(CONTROL!$C$21, $C$9, 100%, $E$9)</f>
        <v>4.2624000000000004</v>
      </c>
      <c r="D28" s="10">
        <f>CHOOSE(CONTROL!$C$42, 4.4406, 4.4406) * CHOOSE(CONTROL!$C$21, $C$9, 100%, $E$9)</f>
        <v>4.4405999999999999</v>
      </c>
      <c r="E28" s="10">
        <f>CHOOSE(CONTROL!$C$42, 4.4724, 4.4724) * CHOOSE(CONTROL!$C$21, $C$9, 100%, $E$9)</f>
        <v>4.4724000000000004</v>
      </c>
      <c r="F28" s="10">
        <f>CHOOSE(CONTROL!$C$42, 4.2013, 4.2013)*CHOOSE(CONTROL!$C$21, $C$9, 100%, $E$9)</f>
        <v>4.2012999999999998</v>
      </c>
      <c r="G28" s="10">
        <f>CHOOSE(CONTROL!$C$42, 4.2179, 4.2179)*CHOOSE(CONTROL!$C$21, $C$9, 100%, $E$9)</f>
        <v>4.2179000000000002</v>
      </c>
      <c r="H28" s="10">
        <f>CHOOSE(CONTROL!$C$42, 4.4619, 4.4619) * CHOOSE(CONTROL!$C$21, $C$9, 100%, $E$9)</f>
        <v>4.4619</v>
      </c>
      <c r="I28" s="10">
        <f>CHOOSE(CONTROL!$C$42, 4.2339, 4.2339)* CHOOSE(CONTROL!$C$21, $C$9, 100%, $E$9)</f>
        <v>4.2339000000000002</v>
      </c>
      <c r="J28" s="10">
        <f>CHOOSE(CONTROL!$C$42, 4.1939, 4.1939)* CHOOSE(CONTROL!$C$21, $C$9, 100%, $E$9)</f>
        <v>4.1939000000000002</v>
      </c>
      <c r="K28" s="10">
        <f>CHOOSE(CONTROL!$C$42, 4.2592, 4.2592) * CHOOSE(CONTROL!$C$21, $C$9, 100%, $E$9)</f>
        <v>4.2591999999999999</v>
      </c>
      <c r="L28" s="10">
        <f>CHOOSE(CONTROL!$C$42, 5.0489, 5.0489) * CHOOSE(CONTROL!$C$21, $C$9, 100%, $E$9)</f>
        <v>5.0488999999999997</v>
      </c>
      <c r="M28" s="10">
        <f>CHOOSE(CONTROL!$C$42, 4.1727, 4.1727) * CHOOSE(CONTROL!$C$21, $C$9, 100%, $E$9)</f>
        <v>4.1726999999999999</v>
      </c>
      <c r="N28" s="10">
        <f>CHOOSE(CONTROL!$C$42, 4.1891, 4.1891) * CHOOSE(CONTROL!$C$21, $C$9, 100%, $E$9)</f>
        <v>4.1890999999999998</v>
      </c>
      <c r="O28" s="10">
        <f>CHOOSE(CONTROL!$C$42, 4.4372, 4.4372) * CHOOSE(CONTROL!$C$21, $C$9, 100%, $E$9)</f>
        <v>4.4371999999999998</v>
      </c>
      <c r="P28" s="10">
        <f>CHOOSE(CONTROL!$C$42, 4.2122, 4.2122) * CHOOSE(CONTROL!$C$21, $C$9, 100%, $E$9)</f>
        <v>4.2122000000000002</v>
      </c>
      <c r="Q28" s="10">
        <f>CHOOSE(CONTROL!$C$42, 5.0325, 5.0325) * CHOOSE(CONTROL!$C$21, $C$9, 100%, $E$9)</f>
        <v>5.0324999999999998</v>
      </c>
      <c r="R28" s="10">
        <f>CHOOSE(CONTROL!$C$42, 5.6321, 5.6321) * CHOOSE(CONTROL!$C$21, $C$9, 100%, $E$9)</f>
        <v>5.6321000000000003</v>
      </c>
      <c r="S28" s="10">
        <f>CHOOSE(CONTROL!$C$42, 4.1388, 4.1388) * CHOOSE(CONTROL!$C$21, $C$9, 100%, $E$9)</f>
        <v>4.1387999999999998</v>
      </c>
      <c r="T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38">
        <f>(1000*CHOOSE(CONTROL!$C$42, 695, 695)*CHOOSE(CONTROL!$C$42, 0.5599, 0.5599)*CHOOSE(CONTROL!$C$42, 30, 30))/1000000</f>
        <v>11.673914999999997</v>
      </c>
      <c r="V28" s="38">
        <f>(1000*CHOOSE(CONTROL!$C$42, 580, 580)*CHOOSE(CONTROL!$C$42, 0.275, 0.275)*CHOOSE(CONTROL!$C$42, 30, 30))/1000000</f>
        <v>4.7850000000000001</v>
      </c>
      <c r="W28" s="38">
        <f>(1000*CHOOSE(CONTROL!$C$42, 0.1146, 0.1146)*CHOOSE(CONTROL!$C$42, 200, 200)*CHOOSE(CONTROL!$C$42, 30, 30))/1000000</f>
        <v>0.68759999999999999</v>
      </c>
      <c r="X28" s="38">
        <f>(30*0.1790888*245000/1000000)+(30*0.2374*100000/1000000)</f>
        <v>2.0285026799999999</v>
      </c>
      <c r="Y28" s="38"/>
      <c r="Z28" s="38">
        <f t="shared" si="0"/>
        <v>0.3</v>
      </c>
      <c r="AA28" s="10">
        <f>CHOOSE(CONTROL!$C$42, 4.2225, 4.2225) * CHOOSE(CONTROL!$C$21, $C$9, 100%, $E$9)</f>
        <v>4.2225000000000001</v>
      </c>
      <c r="AB28" s="43">
        <f>(30*((8.01*31500+8.07*100000)/30))/1000000</f>
        <v>1.059315</v>
      </c>
      <c r="AC28" s="33">
        <f>(B28*141.293+C28*267.993+D28*115.016+E28*89.698+F28*40+G28*185+H28*0+I28*100+J28*300)/(141.293+267.993+115.016+89.698+0+40+185+100+300)</f>
        <v>4.2661289045197748</v>
      </c>
      <c r="AD28" s="27">
        <f t="shared" ref="AD28:AD34" si="2">(M28*240+N28*160+O28*195+P28*100)/(240+160+195+100)</f>
        <v>4.2563712230215822</v>
      </c>
    </row>
    <row r="29" spans="1:30" ht="15" x14ac:dyDescent="0.2">
      <c r="A29" s="16">
        <v>42125</v>
      </c>
      <c r="B29" s="10">
        <f>CHOOSE(CONTROL!$C$42, 4.2286, 4.2286) * CHOOSE(CONTROL!$C$21, $C$9, 100%, $E$9)</f>
        <v>4.2286000000000001</v>
      </c>
      <c r="C29" s="10">
        <f>CHOOSE(CONTROL!$C$42, 4.2366, 4.2366) * CHOOSE(CONTROL!$C$21, $C$9, 100%, $E$9)</f>
        <v>4.2366000000000001</v>
      </c>
      <c r="D29" s="10">
        <f>CHOOSE(CONTROL!$C$42, 4.4117, 4.4117) * CHOOSE(CONTROL!$C$21, $C$9, 100%, $E$9)</f>
        <v>4.4116999999999997</v>
      </c>
      <c r="E29" s="10">
        <f>CHOOSE(CONTROL!$C$42, 4.443, 4.443) * CHOOSE(CONTROL!$C$21, $C$9, 100%, $E$9)</f>
        <v>4.4429999999999996</v>
      </c>
      <c r="F29" s="10">
        <f>CHOOSE(CONTROL!$C$42, 4.1703, 4.1703)*CHOOSE(CONTROL!$C$21, $C$9, 100%, $E$9)</f>
        <v>4.1703000000000001</v>
      </c>
      <c r="G29" s="10">
        <f>CHOOSE(CONTROL!$C$42, 4.1872, 4.1872)*CHOOSE(CONTROL!$C$21, $C$9, 100%, $E$9)</f>
        <v>4.1871999999999998</v>
      </c>
      <c r="H29" s="10">
        <f>CHOOSE(CONTROL!$C$42, 4.4313, 4.4313) * CHOOSE(CONTROL!$C$21, $C$9, 100%, $E$9)</f>
        <v>4.4313000000000002</v>
      </c>
      <c r="I29" s="10">
        <f>CHOOSE(CONTROL!$C$42, 4.2033, 4.2033)* CHOOSE(CONTROL!$C$21, $C$9, 100%, $E$9)</f>
        <v>4.2032999999999996</v>
      </c>
      <c r="J29" s="10">
        <f>CHOOSE(CONTROL!$C$42, 4.1629, 4.1629)* CHOOSE(CONTROL!$C$21, $C$9, 100%, $E$9)</f>
        <v>4.1628999999999996</v>
      </c>
      <c r="K29" s="10">
        <f>CHOOSE(CONTROL!$C$42, 4.2287, 4.2287) * CHOOSE(CONTROL!$C$21, $C$9, 100%, $E$9)</f>
        <v>4.2286999999999999</v>
      </c>
      <c r="L29" s="10">
        <f>CHOOSE(CONTROL!$C$42, 5.0183, 5.0183) * CHOOSE(CONTROL!$C$21, $C$9, 100%, $E$9)</f>
        <v>5.0183</v>
      </c>
      <c r="M29" s="10">
        <f>CHOOSE(CONTROL!$C$42, 4.1421, 4.1421) * CHOOSE(CONTROL!$C$21, $C$9, 100%, $E$9)</f>
        <v>4.1421000000000001</v>
      </c>
      <c r="N29" s="10">
        <f>CHOOSE(CONTROL!$C$42, 4.1587, 4.1587) * CHOOSE(CONTROL!$C$21, $C$9, 100%, $E$9)</f>
        <v>4.1586999999999996</v>
      </c>
      <c r="O29" s="10">
        <f>CHOOSE(CONTROL!$C$42, 4.407, 4.407) * CHOOSE(CONTROL!$C$21, $C$9, 100%, $E$9)</f>
        <v>4.407</v>
      </c>
      <c r="P29" s="10">
        <f>CHOOSE(CONTROL!$C$42, 4.182, 4.182) * CHOOSE(CONTROL!$C$21, $C$9, 100%, $E$9)</f>
        <v>4.1820000000000004</v>
      </c>
      <c r="Q29" s="10">
        <f>CHOOSE(CONTROL!$C$42, 5.0023, 5.0023) * CHOOSE(CONTROL!$C$21, $C$9, 100%, $E$9)</f>
        <v>5.0023</v>
      </c>
      <c r="R29" s="10">
        <f>CHOOSE(CONTROL!$C$42, 5.6018, 5.6018) * CHOOSE(CONTROL!$C$21, $C$9, 100%, $E$9)</f>
        <v>5.6017999999999999</v>
      </c>
      <c r="S29" s="10">
        <f>CHOOSE(CONTROL!$C$42, 4.1092, 4.1092) * CHOOSE(CONTROL!$C$21, $C$9, 100%, $E$9)</f>
        <v>4.1092000000000004</v>
      </c>
      <c r="T29" s="41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38">
        <f>(1000*CHOOSE(CONTROL!$C$42, 695, 695)*CHOOSE(CONTROL!$C$42, 0.5599, 0.5599)*CHOOSE(CONTROL!$C$42, 31, 31))/1000000</f>
        <v>12.063045499999998</v>
      </c>
      <c r="V29" s="38">
        <f>(1000*CHOOSE(CONTROL!$C$42, 580, 580)*CHOOSE(CONTROL!$C$42, 0.275, 0.275)*CHOOSE(CONTROL!$C$42, 31, 31))/1000000</f>
        <v>4.9444999999999997</v>
      </c>
      <c r="W29" s="38">
        <f>(1000*CHOOSE(CONTROL!$C$42, 0.1146, 0.1146)*CHOOSE(CONTROL!$C$42, 200, 200)*CHOOSE(CONTROL!$C$42, 31, 31))/1000000</f>
        <v>0.71052000000000004</v>
      </c>
      <c r="X29" s="38">
        <f>(31*0.1790888*245000/1000000)+(31*0.2374*100000/1000000)</f>
        <v>2.0961194359999999</v>
      </c>
      <c r="Y29" s="38"/>
      <c r="Z29" s="38">
        <f t="shared" si="0"/>
        <v>0.3</v>
      </c>
      <c r="AA29" s="10">
        <f>CHOOSE(CONTROL!$C$42, 4.1922, 4.1922) * CHOOSE(CONTROL!$C$21, $C$9, 100%, $E$9)</f>
        <v>4.1921999999999997</v>
      </c>
      <c r="AB29" s="43">
        <f>(31*((8.01*31500+8.07*100000)/31))/1000000</f>
        <v>1.059315</v>
      </c>
      <c r="AC29" s="33">
        <f>(B29*194.205+C29*267.466+D29*133.845+E29*53.484+F29*40+G29*185+H29*50+I29*100+J29*300)/(194.205+267.466+133.845+53.484+50+40+185+100+300)</f>
        <v>4.2406979736404828</v>
      </c>
      <c r="AD29" s="27">
        <f t="shared" si="2"/>
        <v>4.2259870503597119</v>
      </c>
    </row>
    <row r="30" spans="1:30" ht="15" x14ac:dyDescent="0.2">
      <c r="A30" s="16">
        <v>42156</v>
      </c>
      <c r="B30" s="10">
        <f>CHOOSE(CONTROL!$C$42, 4.2431, 4.2431) * CHOOSE(CONTROL!$C$21, $C$9, 100%, $E$9)</f>
        <v>4.2431000000000001</v>
      </c>
      <c r="C30" s="10">
        <f>CHOOSE(CONTROL!$C$42, 4.2511, 4.2511) * CHOOSE(CONTROL!$C$21, $C$9, 100%, $E$9)</f>
        <v>4.2511000000000001</v>
      </c>
      <c r="D30" s="10">
        <f>CHOOSE(CONTROL!$C$42, 4.4262, 4.4262) * CHOOSE(CONTROL!$C$21, $C$9, 100%, $E$9)</f>
        <v>4.4261999999999997</v>
      </c>
      <c r="E30" s="10">
        <f>CHOOSE(CONTROL!$C$42, 4.4574, 4.4574) * CHOOSE(CONTROL!$C$21, $C$9, 100%, $E$9)</f>
        <v>4.4573999999999998</v>
      </c>
      <c r="F30" s="10">
        <f>CHOOSE(CONTROL!$C$42, 4.185, 4.185)*CHOOSE(CONTROL!$C$21, $C$9, 100%, $E$9)</f>
        <v>4.1849999999999996</v>
      </c>
      <c r="G30" s="10">
        <f>CHOOSE(CONTROL!$C$42, 4.2019, 4.2019)*CHOOSE(CONTROL!$C$21, $C$9, 100%, $E$9)</f>
        <v>4.2019000000000002</v>
      </c>
      <c r="H30" s="10">
        <f>CHOOSE(CONTROL!$C$42, 4.4458, 4.4458) * CHOOSE(CONTROL!$C$21, $C$9, 100%, $E$9)</f>
        <v>4.4458000000000002</v>
      </c>
      <c r="I30" s="10">
        <f>CHOOSE(CONTROL!$C$42, 4.2177, 4.2177)* CHOOSE(CONTROL!$C$21, $C$9, 100%, $E$9)</f>
        <v>4.2176999999999998</v>
      </c>
      <c r="J30" s="10">
        <f>CHOOSE(CONTROL!$C$42, 4.1776, 4.1776)* CHOOSE(CONTROL!$C$21, $C$9, 100%, $E$9)</f>
        <v>4.1776</v>
      </c>
      <c r="K30" s="10">
        <f>CHOOSE(CONTROL!$C$42, 4.2431, 4.2431) * CHOOSE(CONTROL!$C$21, $C$9, 100%, $E$9)</f>
        <v>4.2431000000000001</v>
      </c>
      <c r="L30" s="10">
        <f>CHOOSE(CONTROL!$C$42, 5.0328, 5.0328) * CHOOSE(CONTROL!$C$21, $C$9, 100%, $E$9)</f>
        <v>5.0327999999999999</v>
      </c>
      <c r="M30" s="10">
        <f>CHOOSE(CONTROL!$C$42, 4.1565, 4.1565) * CHOOSE(CONTROL!$C$21, $C$9, 100%, $E$9)</f>
        <v>4.1565000000000003</v>
      </c>
      <c r="N30" s="10">
        <f>CHOOSE(CONTROL!$C$42, 4.1733, 4.1733) * CHOOSE(CONTROL!$C$21, $C$9, 100%, $E$9)</f>
        <v>4.1733000000000002</v>
      </c>
      <c r="O30" s="10">
        <f>CHOOSE(CONTROL!$C$42, 4.4213, 4.4213) * CHOOSE(CONTROL!$C$21, $C$9, 100%, $E$9)</f>
        <v>4.4212999999999996</v>
      </c>
      <c r="P30" s="10">
        <f>CHOOSE(CONTROL!$C$42, 4.1962, 4.1962) * CHOOSE(CONTROL!$C$21, $C$9, 100%, $E$9)</f>
        <v>4.1962000000000002</v>
      </c>
      <c r="Q30" s="10">
        <f>CHOOSE(CONTROL!$C$42, 5.0166, 5.0166) * CHOOSE(CONTROL!$C$21, $C$9, 100%, $E$9)</f>
        <v>5.0166000000000004</v>
      </c>
      <c r="R30" s="10">
        <f>CHOOSE(CONTROL!$C$42, 5.6161, 5.6161) * CHOOSE(CONTROL!$C$21, $C$9, 100%, $E$9)</f>
        <v>5.6161000000000003</v>
      </c>
      <c r="S30" s="10">
        <f>CHOOSE(CONTROL!$C$42, 4.1232, 4.1232) * CHOOSE(CONTROL!$C$21, $C$9, 100%, $E$9)</f>
        <v>4.1231999999999998</v>
      </c>
      <c r="T30" s="41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38">
        <f>(1000*CHOOSE(CONTROL!$C$42, 695, 695)*CHOOSE(CONTROL!$C$42, 0.5599, 0.5599)*CHOOSE(CONTROL!$C$42, 30, 30))/1000000</f>
        <v>11.673914999999997</v>
      </c>
      <c r="V30" s="38">
        <f>(1000*CHOOSE(CONTROL!$C$42, 580, 580)*CHOOSE(CONTROL!$C$42, 0.275, 0.275)*CHOOSE(CONTROL!$C$42, 30, 30))/1000000</f>
        <v>4.7850000000000001</v>
      </c>
      <c r="W30" s="38">
        <f>(1000*CHOOSE(CONTROL!$C$42, 0.1146, 0.1146)*CHOOSE(CONTROL!$C$42, 200, 200)*CHOOSE(CONTROL!$C$42, 30, 30))/1000000</f>
        <v>0.68759999999999999</v>
      </c>
      <c r="X30" s="38">
        <f>(30*0.1790888*245000/1000000)+(30*0.2374*100000/1000000)</f>
        <v>2.0285026799999999</v>
      </c>
      <c r="Y30" s="38"/>
      <c r="Z30" s="38">
        <f t="shared" si="0"/>
        <v>0.3</v>
      </c>
      <c r="AA30" s="10">
        <f>CHOOSE(CONTROL!$C$42, 4.2065, 4.2065) * CHOOSE(CONTROL!$C$21, $C$9, 100%, $E$9)</f>
        <v>4.2065000000000001</v>
      </c>
      <c r="AB30" s="42">
        <f>(30*((8.07*31500+8.18*100000)/30))/1000000</f>
        <v>1.0722050000000001</v>
      </c>
      <c r="AC30" s="33">
        <f>(B30*194.205+C30*267.466+D30*133.845+E30*53.484+F30*40+G30*185+H30*50+I30*100+J30*300)/(194.205+267.466+133.845+53.484+50+40+185+100+300)</f>
        <v>4.255265686329305</v>
      </c>
      <c r="AD30" s="27">
        <f t="shared" si="2"/>
        <v>4.2403762589928053</v>
      </c>
    </row>
    <row r="31" spans="1:30" ht="15" x14ac:dyDescent="0.2">
      <c r="A31" s="16">
        <v>42186</v>
      </c>
      <c r="B31" s="10">
        <f>CHOOSE(CONTROL!$C$42, 4.2699, 4.2699) * CHOOSE(CONTROL!$C$21, $C$9, 100%, $E$9)</f>
        <v>4.2698999999999998</v>
      </c>
      <c r="C31" s="10">
        <f>CHOOSE(CONTROL!$C$42, 4.2779, 4.2779) * CHOOSE(CONTROL!$C$21, $C$9, 100%, $E$9)</f>
        <v>4.2778999999999998</v>
      </c>
      <c r="D31" s="10">
        <f>CHOOSE(CONTROL!$C$42, 4.4531, 4.4531) * CHOOSE(CONTROL!$C$21, $C$9, 100%, $E$9)</f>
        <v>4.4531000000000001</v>
      </c>
      <c r="E31" s="10">
        <f>CHOOSE(CONTROL!$C$42, 4.4843, 4.4843) * CHOOSE(CONTROL!$C$21, $C$9, 100%, $E$9)</f>
        <v>4.4843000000000002</v>
      </c>
      <c r="F31" s="10">
        <f>CHOOSE(CONTROL!$C$42, 4.2122, 4.2122)*CHOOSE(CONTROL!$C$21, $C$9, 100%, $E$9)</f>
        <v>4.2122000000000002</v>
      </c>
      <c r="G31" s="10">
        <f>CHOOSE(CONTROL!$C$42, 4.2292, 4.2292)*CHOOSE(CONTROL!$C$21, $C$9, 100%, $E$9)</f>
        <v>4.2291999999999996</v>
      </c>
      <c r="H31" s="10">
        <f>CHOOSE(CONTROL!$C$42, 4.4726, 4.4726) * CHOOSE(CONTROL!$C$21, $C$9, 100%, $E$9)</f>
        <v>4.4725999999999999</v>
      </c>
      <c r="I31" s="10">
        <f>CHOOSE(CONTROL!$C$42, 4.2446, 4.2446)* CHOOSE(CONTROL!$C$21, $C$9, 100%, $E$9)</f>
        <v>4.2446000000000002</v>
      </c>
      <c r="J31" s="10">
        <f>CHOOSE(CONTROL!$C$42, 4.2048, 4.2048)* CHOOSE(CONTROL!$C$21, $C$9, 100%, $E$9)</f>
        <v>4.2047999999999996</v>
      </c>
      <c r="K31" s="10">
        <f>CHOOSE(CONTROL!$C$42, 4.2698, 4.2698) * CHOOSE(CONTROL!$C$21, $C$9, 100%, $E$9)</f>
        <v>4.2698</v>
      </c>
      <c r="L31" s="10">
        <f>CHOOSE(CONTROL!$C$42, 5.0596, 5.0596) * CHOOSE(CONTROL!$C$21, $C$9, 100%, $E$9)</f>
        <v>5.0595999999999997</v>
      </c>
      <c r="M31" s="10">
        <f>CHOOSE(CONTROL!$C$42, 4.1834, 4.1834) * CHOOSE(CONTROL!$C$21, $C$9, 100%, $E$9)</f>
        <v>4.1833999999999998</v>
      </c>
      <c r="N31" s="10">
        <f>CHOOSE(CONTROL!$C$42, 4.2002, 4.2002) * CHOOSE(CONTROL!$C$21, $C$9, 100%, $E$9)</f>
        <v>4.2001999999999997</v>
      </c>
      <c r="O31" s="10">
        <f>CHOOSE(CONTROL!$C$42, 4.4478, 4.4478) * CHOOSE(CONTROL!$C$21, $C$9, 100%, $E$9)</f>
        <v>4.4478</v>
      </c>
      <c r="P31" s="10">
        <f>CHOOSE(CONTROL!$C$42, 4.2227, 4.2227) * CHOOSE(CONTROL!$C$21, $C$9, 100%, $E$9)</f>
        <v>4.2226999999999997</v>
      </c>
      <c r="Q31" s="10">
        <f>CHOOSE(CONTROL!$C$42, 5.0431, 5.0431) * CHOOSE(CONTROL!$C$21, $C$9, 100%, $E$9)</f>
        <v>5.0430999999999999</v>
      </c>
      <c r="R31" s="10">
        <f>CHOOSE(CONTROL!$C$42, 5.6427, 5.6427) * CHOOSE(CONTROL!$C$21, $C$9, 100%, $E$9)</f>
        <v>5.6426999999999996</v>
      </c>
      <c r="S31" s="10">
        <f>CHOOSE(CONTROL!$C$42, 4.1492, 4.1492) * CHOOSE(CONTROL!$C$21, $C$9, 100%, $E$9)</f>
        <v>4.1492000000000004</v>
      </c>
      <c r="T31" s="41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38">
        <f>(1000*CHOOSE(CONTROL!$C$42, 695, 695)*CHOOSE(CONTROL!$C$42, 0.5599, 0.5599)*CHOOSE(CONTROL!$C$42, 31, 31))/1000000</f>
        <v>12.063045499999998</v>
      </c>
      <c r="V31" s="38">
        <f>(1000*CHOOSE(CONTROL!$C$42, 580, 580)*CHOOSE(CONTROL!$C$42, 0.275, 0.275)*CHOOSE(CONTROL!$C$42, 31, 31))/1000000</f>
        <v>4.9444999999999997</v>
      </c>
      <c r="W31" s="38">
        <f>(1000*CHOOSE(CONTROL!$C$42, 0.1146, 0.1146)*CHOOSE(CONTROL!$C$42, 200, 200)*CHOOSE(CONTROL!$C$42, 31, 31))/1000000</f>
        <v>0.71052000000000004</v>
      </c>
      <c r="X31" s="38">
        <f>(31*0.1790888*245000/1000000)+(31*0.2374*100000/1000000)</f>
        <v>2.0961194359999999</v>
      </c>
      <c r="Y31" s="38"/>
      <c r="Z31" s="38">
        <f t="shared" si="0"/>
        <v>0.3</v>
      </c>
      <c r="AA31" s="10">
        <f>CHOOSE(CONTROL!$C$42, 4.2331, 4.2331) * CHOOSE(CONTROL!$C$21, $C$9, 100%, $E$9)</f>
        <v>4.2331000000000003</v>
      </c>
      <c r="AB31" s="40">
        <f>(31*((8.12*31500+8.18*100000)/31))/1000000</f>
        <v>1.07378</v>
      </c>
      <c r="AC31" s="33">
        <f>(B31*194.205+C31*267.466+D31*133.845+E31*53.484+F31*40+G31*185+H31*50+I31*100+J31*300)/(194.205+267.466+133.845+53.484+50+40+185+100+300)</f>
        <v>4.2822599709969786</v>
      </c>
      <c r="AD31" s="27">
        <f t="shared" si="2"/>
        <v>4.2671064748201433</v>
      </c>
    </row>
    <row r="32" spans="1:30" ht="15" x14ac:dyDescent="0.2">
      <c r="A32" s="16">
        <v>42217</v>
      </c>
      <c r="B32" s="10">
        <f>CHOOSE(CONTROL!$C$42, 4.2617, 4.2617) * CHOOSE(CONTROL!$C$21, $C$9, 100%, $E$9)</f>
        <v>4.2617000000000003</v>
      </c>
      <c r="C32" s="10">
        <f>CHOOSE(CONTROL!$C$42, 4.2697, 4.2697) * CHOOSE(CONTROL!$C$21, $C$9, 100%, $E$9)</f>
        <v>4.2697000000000003</v>
      </c>
      <c r="D32" s="10">
        <f>CHOOSE(CONTROL!$C$42, 4.4448, 4.4448) * CHOOSE(CONTROL!$C$21, $C$9, 100%, $E$9)</f>
        <v>4.4447999999999999</v>
      </c>
      <c r="E32" s="10">
        <f>CHOOSE(CONTROL!$C$42, 4.476, 4.476) * CHOOSE(CONTROL!$C$21, $C$9, 100%, $E$9)</f>
        <v>4.476</v>
      </c>
      <c r="F32" s="10">
        <f>CHOOSE(CONTROL!$C$42, 4.2038, 4.2038)*CHOOSE(CONTROL!$C$21, $C$9, 100%, $E$9)</f>
        <v>4.2038000000000002</v>
      </c>
      <c r="G32" s="10">
        <f>CHOOSE(CONTROL!$C$42, 4.2208, 4.2208)*CHOOSE(CONTROL!$C$21, $C$9, 100%, $E$9)</f>
        <v>4.2207999999999997</v>
      </c>
      <c r="H32" s="10">
        <f>CHOOSE(CONTROL!$C$42, 4.4643, 4.4643) * CHOOSE(CONTROL!$C$21, $C$9, 100%, $E$9)</f>
        <v>4.4642999999999997</v>
      </c>
      <c r="I32" s="10">
        <f>CHOOSE(CONTROL!$C$42, 4.2363, 4.2363)* CHOOSE(CONTROL!$C$21, $C$9, 100%, $E$9)</f>
        <v>4.2363</v>
      </c>
      <c r="J32" s="10">
        <f>CHOOSE(CONTROL!$C$42, 4.1964, 4.1964)* CHOOSE(CONTROL!$C$21, $C$9, 100%, $E$9)</f>
        <v>4.1963999999999997</v>
      </c>
      <c r="K32" s="10">
        <f>CHOOSE(CONTROL!$C$42, 4.2616, 4.2616) * CHOOSE(CONTROL!$C$21, $C$9, 100%, $E$9)</f>
        <v>4.2615999999999996</v>
      </c>
      <c r="L32" s="10">
        <f>CHOOSE(CONTROL!$C$42, 5.0513, 5.0513) * CHOOSE(CONTROL!$C$21, $C$9, 100%, $E$9)</f>
        <v>5.0513000000000003</v>
      </c>
      <c r="M32" s="10">
        <f>CHOOSE(CONTROL!$C$42, 4.1751, 4.1751) * CHOOSE(CONTROL!$C$21, $C$9, 100%, $E$9)</f>
        <v>4.1750999999999996</v>
      </c>
      <c r="N32" s="10">
        <f>CHOOSE(CONTROL!$C$42, 4.1919, 4.1919) * CHOOSE(CONTROL!$C$21, $C$9, 100%, $E$9)</f>
        <v>4.1919000000000004</v>
      </c>
      <c r="O32" s="10">
        <f>CHOOSE(CONTROL!$C$42, 4.4396, 4.4396) * CHOOSE(CONTROL!$C$21, $C$9, 100%, $E$9)</f>
        <v>4.4396000000000004</v>
      </c>
      <c r="P32" s="10">
        <f>CHOOSE(CONTROL!$C$42, 4.2146, 4.2146) * CHOOSE(CONTROL!$C$21, $C$9, 100%, $E$9)</f>
        <v>4.2145999999999999</v>
      </c>
      <c r="Q32" s="10">
        <f>CHOOSE(CONTROL!$C$42, 5.0349, 5.0349) * CHOOSE(CONTROL!$C$21, $C$9, 100%, $E$9)</f>
        <v>5.0349000000000004</v>
      </c>
      <c r="R32" s="10">
        <f>CHOOSE(CONTROL!$C$42, 5.6345, 5.6345) * CHOOSE(CONTROL!$C$21, $C$9, 100%, $E$9)</f>
        <v>5.6345000000000001</v>
      </c>
      <c r="S32" s="10">
        <f>CHOOSE(CONTROL!$C$42, 4.1412, 4.1412) * CHOOSE(CONTROL!$C$21, $C$9, 100%, $E$9)</f>
        <v>4.1412000000000004</v>
      </c>
      <c r="T32" s="41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38">
        <f>(1000*CHOOSE(CONTROL!$C$42, 695, 695)*CHOOSE(CONTROL!$C$42, 0.5599, 0.5599)*CHOOSE(CONTROL!$C$42, 31, 31))/1000000</f>
        <v>12.063045499999998</v>
      </c>
      <c r="V32" s="38">
        <f>(1000*CHOOSE(CONTROL!$C$42, 580, 580)*CHOOSE(CONTROL!$C$42, 0.275, 0.275)*CHOOSE(CONTROL!$C$42, 31, 31))/1000000</f>
        <v>4.9444999999999997</v>
      </c>
      <c r="W32" s="38">
        <f>(1000*CHOOSE(CONTROL!$C$42, 0.1146, 0.1146)*CHOOSE(CONTROL!$C$42, 200, 200)*CHOOSE(CONTROL!$C$42, 31, 31))/1000000</f>
        <v>0.71052000000000004</v>
      </c>
      <c r="X32" s="38">
        <f>(31*0.1790888*245000/1000000)+(31*0.2374*100000/1000000)</f>
        <v>2.0961194359999999</v>
      </c>
      <c r="Y32" s="38"/>
      <c r="Z32" s="38">
        <f t="shared" si="0"/>
        <v>0.3</v>
      </c>
      <c r="AA32" s="10">
        <f>CHOOSE(CONTROL!$C$42, 4.2249, 4.2249) * CHOOSE(CONTROL!$C$21, $C$9, 100%, $E$9)</f>
        <v>4.2248999999999999</v>
      </c>
      <c r="AB32" s="40">
        <f>(31*((8.12*31500+8.18*100000)/31))/1000000</f>
        <v>1.07378</v>
      </c>
      <c r="AC32" s="33">
        <f>(B32*194.205+C32*267.466+D32*133.845+E32*53.484+F32*40+G32*185+H32*50+I32*100+J32*300)/(194.205+267.466+133.845+53.484+50+40+185+100+300)</f>
        <v>4.2739551878398796</v>
      </c>
      <c r="AD32" s="27">
        <f t="shared" si="2"/>
        <v>4.2588633093525186</v>
      </c>
    </row>
    <row r="33" spans="1:30" ht="15" x14ac:dyDescent="0.2">
      <c r="A33" s="16">
        <v>42248</v>
      </c>
      <c r="B33" s="10">
        <f>CHOOSE(CONTROL!$C$42, 4.2369, 4.2369) * CHOOSE(CONTROL!$C$21, $C$9, 100%, $E$9)</f>
        <v>4.2369000000000003</v>
      </c>
      <c r="C33" s="10">
        <f>CHOOSE(CONTROL!$C$42, 4.2449, 4.2449) * CHOOSE(CONTROL!$C$21, $C$9, 100%, $E$9)</f>
        <v>4.2449000000000003</v>
      </c>
      <c r="D33" s="10">
        <f>CHOOSE(CONTROL!$C$42, 4.42, 4.42) * CHOOSE(CONTROL!$C$21, $C$9, 100%, $E$9)</f>
        <v>4.42</v>
      </c>
      <c r="E33" s="10">
        <f>CHOOSE(CONTROL!$C$42, 4.4512, 4.4512) * CHOOSE(CONTROL!$C$21, $C$9, 100%, $E$9)</f>
        <v>4.4512</v>
      </c>
      <c r="F33" s="10">
        <f>CHOOSE(CONTROL!$C$42, 4.1787, 4.1787)*CHOOSE(CONTROL!$C$21, $C$9, 100%, $E$9)</f>
        <v>4.1787000000000001</v>
      </c>
      <c r="G33" s="10">
        <f>CHOOSE(CONTROL!$C$42, 4.1956, 4.1956)*CHOOSE(CONTROL!$C$21, $C$9, 100%, $E$9)</f>
        <v>4.1955999999999998</v>
      </c>
      <c r="H33" s="10">
        <f>CHOOSE(CONTROL!$C$42, 4.4396, 4.4396) * CHOOSE(CONTROL!$C$21, $C$9, 100%, $E$9)</f>
        <v>4.4396000000000004</v>
      </c>
      <c r="I33" s="10">
        <f>CHOOSE(CONTROL!$C$42, 4.2115, 4.2115)* CHOOSE(CONTROL!$C$21, $C$9, 100%, $E$9)</f>
        <v>4.2115</v>
      </c>
      <c r="J33" s="10">
        <f>CHOOSE(CONTROL!$C$42, 4.1713, 4.1713)* CHOOSE(CONTROL!$C$21, $C$9, 100%, $E$9)</f>
        <v>4.1712999999999996</v>
      </c>
      <c r="K33" s="10">
        <f>CHOOSE(CONTROL!$C$42, 4.2369, 4.2369) * CHOOSE(CONTROL!$C$21, $C$9, 100%, $E$9)</f>
        <v>4.2369000000000003</v>
      </c>
      <c r="L33" s="10">
        <f>CHOOSE(CONTROL!$C$42, 5.0266, 5.0266) * CHOOSE(CONTROL!$C$21, $C$9, 100%, $E$9)</f>
        <v>5.0266000000000002</v>
      </c>
      <c r="M33" s="10">
        <f>CHOOSE(CONTROL!$C$42, 4.1503, 4.1503) * CHOOSE(CONTROL!$C$21, $C$9, 100%, $E$9)</f>
        <v>4.1502999999999997</v>
      </c>
      <c r="N33" s="10">
        <f>CHOOSE(CONTROL!$C$42, 4.167, 4.167) * CHOOSE(CONTROL!$C$21, $C$9, 100%, $E$9)</f>
        <v>4.1669999999999998</v>
      </c>
      <c r="O33" s="10">
        <f>CHOOSE(CONTROL!$C$42, 4.4151, 4.4151) * CHOOSE(CONTROL!$C$21, $C$9, 100%, $E$9)</f>
        <v>4.4150999999999998</v>
      </c>
      <c r="P33" s="10">
        <f>CHOOSE(CONTROL!$C$42, 4.1901, 4.1901) * CHOOSE(CONTROL!$C$21, $C$9, 100%, $E$9)</f>
        <v>4.1901000000000002</v>
      </c>
      <c r="Q33" s="10">
        <f>CHOOSE(CONTROL!$C$42, 5.0104, 5.0104) * CHOOSE(CONTROL!$C$21, $C$9, 100%, $E$9)</f>
        <v>5.0103999999999997</v>
      </c>
      <c r="R33" s="10">
        <f>CHOOSE(CONTROL!$C$42, 5.61, 5.61) * CHOOSE(CONTROL!$C$21, $C$9, 100%, $E$9)</f>
        <v>5.61</v>
      </c>
      <c r="S33" s="10">
        <f>CHOOSE(CONTROL!$C$42, 4.1172, 4.1172) * CHOOSE(CONTROL!$C$21, $C$9, 100%, $E$9)</f>
        <v>4.1172000000000004</v>
      </c>
      <c r="T33" s="41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38">
        <f>(1000*CHOOSE(CONTROL!$C$42, 695, 695)*CHOOSE(CONTROL!$C$42, 0.5599, 0.5599)*CHOOSE(CONTROL!$C$42, 30, 30))/1000000</f>
        <v>11.673914999999997</v>
      </c>
      <c r="V33" s="38">
        <f>(1000*CHOOSE(CONTROL!$C$42, 580, 580)*CHOOSE(CONTROL!$C$42, 0.275, 0.275)*CHOOSE(CONTROL!$C$42, 30, 30))/1000000</f>
        <v>4.7850000000000001</v>
      </c>
      <c r="W33" s="38">
        <f>(1000*CHOOSE(CONTROL!$C$42, 0.1146, 0.1146)*CHOOSE(CONTROL!$C$42, 200, 200)*CHOOSE(CONTROL!$C$42, 30, 30))/1000000</f>
        <v>0.68759999999999999</v>
      </c>
      <c r="X33" s="38">
        <f>(30*0.1790888*245000/1000000)+(30*0.2374*100000/1000000)</f>
        <v>2.0285026799999999</v>
      </c>
      <c r="Y33" s="38"/>
      <c r="Z33" s="38">
        <f t="shared" si="0"/>
        <v>0.3</v>
      </c>
      <c r="AA33" s="10">
        <f>CHOOSE(CONTROL!$C$42, 4.2004, 4.2004) * CHOOSE(CONTROL!$C$21, $C$9, 100%, $E$9)</f>
        <v>4.2004000000000001</v>
      </c>
      <c r="AB33" s="40">
        <f>(30*((8.12*31500+8.18*100000)/30))/1000000</f>
        <v>1.07378</v>
      </c>
      <c r="AC33" s="33">
        <f>(B33*194.205+C33*267.466+D33*133.845+E33*53.484+F33*40+G33*185+H33*50+I33*100+J33*300)/(194.205+267.466+133.845+53.484+50+40+185+100+300)</f>
        <v>4.2490260337613304</v>
      </c>
      <c r="AD33" s="27">
        <f t="shared" si="2"/>
        <v>4.2341676258992811</v>
      </c>
    </row>
    <row r="34" spans="1:30" ht="15" x14ac:dyDescent="0.2">
      <c r="A34" s="16">
        <v>42278</v>
      </c>
      <c r="B34" s="10">
        <f>CHOOSE(CONTROL!$C$42, 4.2554, 4.2554) * CHOOSE(CONTROL!$C$21, $C$9, 100%, $E$9)</f>
        <v>4.2553999999999998</v>
      </c>
      <c r="C34" s="10">
        <f>CHOOSE(CONTROL!$C$42, 4.2608, 4.2608) * CHOOSE(CONTROL!$C$21, $C$9, 100%, $E$9)</f>
        <v>4.2607999999999997</v>
      </c>
      <c r="D34" s="10">
        <f>CHOOSE(CONTROL!$C$42, 4.4408, 4.4408) * CHOOSE(CONTROL!$C$21, $C$9, 100%, $E$9)</f>
        <v>4.4408000000000003</v>
      </c>
      <c r="E34" s="10">
        <f>CHOOSE(CONTROL!$C$42, 4.4697, 4.4697) * CHOOSE(CONTROL!$C$21, $C$9, 100%, $E$9)</f>
        <v>4.4696999999999996</v>
      </c>
      <c r="F34" s="10">
        <f>CHOOSE(CONTROL!$C$42, 4.1992, 4.1992)*CHOOSE(CONTROL!$C$21, $C$9, 100%, $E$9)</f>
        <v>4.1992000000000003</v>
      </c>
      <c r="G34" s="10">
        <f>CHOOSE(CONTROL!$C$42, 4.2158, 4.2158)*CHOOSE(CONTROL!$C$21, $C$9, 100%, $E$9)</f>
        <v>4.2157999999999998</v>
      </c>
      <c r="H34" s="10">
        <f>CHOOSE(CONTROL!$C$42, 4.4598, 4.4598) * CHOOSE(CONTROL!$C$21, $C$9, 100%, $E$9)</f>
        <v>4.4598000000000004</v>
      </c>
      <c r="I34" s="10">
        <f>CHOOSE(CONTROL!$C$42, 4.2318, 4.2318)* CHOOSE(CONTROL!$C$21, $C$9, 100%, $E$9)</f>
        <v>4.2317999999999998</v>
      </c>
      <c r="J34" s="10">
        <f>CHOOSE(CONTROL!$C$42, 4.1918, 4.1918)* CHOOSE(CONTROL!$C$21, $C$9, 100%, $E$9)</f>
        <v>4.1917999999999997</v>
      </c>
      <c r="K34" s="10">
        <f>CHOOSE(CONTROL!$C$42, 4.2571, 4.2571) * CHOOSE(CONTROL!$C$21, $C$9, 100%, $E$9)</f>
        <v>4.2571000000000003</v>
      </c>
      <c r="L34" s="10">
        <f>CHOOSE(CONTROL!$C$42, 5.0468, 5.0468) * CHOOSE(CONTROL!$C$21, $C$9, 100%, $E$9)</f>
        <v>5.0468000000000002</v>
      </c>
      <c r="M34" s="10">
        <f>CHOOSE(CONTROL!$C$42, 4.1706, 4.1706) * CHOOSE(CONTROL!$C$21, $C$9, 100%, $E$9)</f>
        <v>4.1706000000000003</v>
      </c>
      <c r="N34" s="10">
        <f>CHOOSE(CONTROL!$C$42, 4.187, 4.187) * CHOOSE(CONTROL!$C$21, $C$9, 100%, $E$9)</f>
        <v>4.1870000000000003</v>
      </c>
      <c r="O34" s="10">
        <f>CHOOSE(CONTROL!$C$42, 4.4351, 4.4351) * CHOOSE(CONTROL!$C$21, $C$9, 100%, $E$9)</f>
        <v>4.4351000000000003</v>
      </c>
      <c r="P34" s="10">
        <f>CHOOSE(CONTROL!$C$42, 4.2101, 4.2101) * CHOOSE(CONTROL!$C$21, $C$9, 100%, $E$9)</f>
        <v>4.2100999999999997</v>
      </c>
      <c r="Q34" s="10">
        <f>CHOOSE(CONTROL!$C$42, 5.0304, 5.0304) * CHOOSE(CONTROL!$C$21, $C$9, 100%, $E$9)</f>
        <v>5.0304000000000002</v>
      </c>
      <c r="R34" s="10">
        <f>CHOOSE(CONTROL!$C$42, 5.63, 5.63) * CHOOSE(CONTROL!$C$21, $C$9, 100%, $E$9)</f>
        <v>5.63</v>
      </c>
      <c r="S34" s="10">
        <f>CHOOSE(CONTROL!$C$42, 4.1368, 4.1368) * CHOOSE(CONTROL!$C$21, $C$9, 100%, $E$9)</f>
        <v>4.1368</v>
      </c>
      <c r="T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38">
        <f>(1000*CHOOSE(CONTROL!$C$42, 695, 695)*CHOOSE(CONTROL!$C$42, 0.5599, 0.5599)*CHOOSE(CONTROL!$C$42, 31, 31))/1000000</f>
        <v>12.063045499999998</v>
      </c>
      <c r="V34" s="38">
        <f>(1000*CHOOSE(CONTROL!$C$42, 580, 580)*CHOOSE(CONTROL!$C$42, 0.275, 0.275)*CHOOSE(CONTROL!$C$42, 31, 31))/1000000</f>
        <v>4.9444999999999997</v>
      </c>
      <c r="W34" s="38">
        <f>(1000*CHOOSE(CONTROL!$C$42, 0.1146, 0.1146)*CHOOSE(CONTROL!$C$42, 200, 200)*CHOOSE(CONTROL!$C$42, 31, 31))/1000000</f>
        <v>0.71052000000000004</v>
      </c>
      <c r="X34" s="38">
        <f>(31*0.1790888*245000/1000000)+(31*0.2374*100000/1000000)</f>
        <v>2.0961194359999999</v>
      </c>
      <c r="Y34" s="38"/>
      <c r="Z34" s="38">
        <f t="shared" si="0"/>
        <v>0.3</v>
      </c>
      <c r="AA34" s="10">
        <f>CHOOSE(CONTROL!$C$42, 4.2205, 4.2205) * CHOOSE(CONTROL!$C$21, $C$9, 100%, $E$9)</f>
        <v>4.2205000000000004</v>
      </c>
      <c r="AB34" s="40">
        <f>(31*((8.12*31500+8.18*100000)/31))/1000000</f>
        <v>1.07378</v>
      </c>
      <c r="AC34" s="33">
        <f>(B34*131.881+C34*277.167+D34*79.08+E34*125.872+F34*40+G34*185+H34*0+I34*100+J34*300)/(131.881+277.167+79.08+125.872+0+40+185+100+300)</f>
        <v>4.2651808744148498</v>
      </c>
      <c r="AD34" s="27">
        <f t="shared" si="2"/>
        <v>4.2542712230215827</v>
      </c>
    </row>
    <row r="35" spans="1:30" ht="15" x14ac:dyDescent="0.2">
      <c r="A35" s="16">
        <v>42309</v>
      </c>
      <c r="B35" s="10">
        <f>CHOOSE(CONTROL!$C$42, 4.2963, 4.2963) * CHOOSE(CONTROL!$C$21, $C$9, 100%, $E$9)</f>
        <v>4.2962999999999996</v>
      </c>
      <c r="C35" s="10">
        <f>CHOOSE(CONTROL!$C$42, 4.3014, 4.3014) * CHOOSE(CONTROL!$C$21, $C$9, 100%, $E$9)</f>
        <v>4.3014000000000001</v>
      </c>
      <c r="D35" s="10">
        <f>CHOOSE(CONTROL!$C$42, 4.3261, 4.3261) * CHOOSE(CONTROL!$C$21, $C$9, 100%, $E$9)</f>
        <v>4.3261000000000003</v>
      </c>
      <c r="E35" s="10">
        <f>CHOOSE(CONTROL!$C$42, 4.3599, 4.3599) * CHOOSE(CONTROL!$C$21, $C$9, 100%, $E$9)</f>
        <v>4.3598999999999997</v>
      </c>
      <c r="F35" s="10">
        <f>CHOOSE(CONTROL!$C$42, 4.262, 4.262)*CHOOSE(CONTROL!$C$21, $C$9, 100%, $E$9)</f>
        <v>4.2619999999999996</v>
      </c>
      <c r="G35" s="10">
        <f>CHOOSE(CONTROL!$C$42, 4.2788, 4.2788)*CHOOSE(CONTROL!$C$21, $C$9, 100%, $E$9)</f>
        <v>4.2788000000000004</v>
      </c>
      <c r="H35" s="10">
        <f>CHOOSE(CONTROL!$C$42, 4.3488, 4.3488) * CHOOSE(CONTROL!$C$21, $C$9, 100%, $E$9)</f>
        <v>4.3487999999999998</v>
      </c>
      <c r="I35" s="10">
        <f>CHOOSE(CONTROL!$C$42, 4.2958, 4.2958)* CHOOSE(CONTROL!$C$21, $C$9, 100%, $E$9)</f>
        <v>4.2957999999999998</v>
      </c>
      <c r="J35" s="10">
        <f>CHOOSE(CONTROL!$C$42, 4.2546, 4.2546)* CHOOSE(CONTROL!$C$21, $C$9, 100%, $E$9)</f>
        <v>4.2545999999999999</v>
      </c>
      <c r="K35" s="10">
        <f>CHOOSE(CONTROL!$C$42, 4.3209, 4.3209) * CHOOSE(CONTROL!$C$21, $C$9, 100%, $E$9)</f>
        <v>4.3209</v>
      </c>
      <c r="L35" s="10">
        <f>CHOOSE(CONTROL!$C$42, 4.9358, 4.9358) * CHOOSE(CONTROL!$C$21, $C$9, 100%, $E$9)</f>
        <v>4.9358000000000004</v>
      </c>
      <c r="M35" s="10">
        <f>CHOOSE(CONTROL!$C$42, 4.2325, 4.2325) * CHOOSE(CONTROL!$C$21, $C$9, 100%, $E$9)</f>
        <v>4.2324999999999999</v>
      </c>
      <c r="N35" s="10">
        <f>CHOOSE(CONTROL!$C$42, 4.2491, 4.2491) * CHOOSE(CONTROL!$C$21, $C$9, 100%, $E$9)</f>
        <v>4.2491000000000003</v>
      </c>
      <c r="O35" s="10">
        <f>CHOOSE(CONTROL!$C$42, 4.3256, 4.3256) * CHOOSE(CONTROL!$C$21, $C$9, 100%, $E$9)</f>
        <v>4.3255999999999997</v>
      </c>
      <c r="P35" s="10">
        <f>CHOOSE(CONTROL!$C$42, 4.2733, 4.2733) * CHOOSE(CONTROL!$C$21, $C$9, 100%, $E$9)</f>
        <v>4.2732999999999999</v>
      </c>
      <c r="Q35" s="10">
        <f>CHOOSE(CONTROL!$C$42, 4.9209, 4.9209) * CHOOSE(CONTROL!$C$21, $C$9, 100%, $E$9)</f>
        <v>4.9208999999999996</v>
      </c>
      <c r="R35" s="10">
        <f>CHOOSE(CONTROL!$C$42, 5.5202, 5.5202) * CHOOSE(CONTROL!$C$21, $C$9, 100%, $E$9)</f>
        <v>5.5202</v>
      </c>
      <c r="S35" s="10">
        <f>CHOOSE(CONTROL!$C$42, 4.1768, 4.1768) * CHOOSE(CONTROL!$C$21, $C$9, 100%, $E$9)</f>
        <v>4.1768000000000001</v>
      </c>
      <c r="T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38">
        <f>(1000*CHOOSE(CONTROL!$C$42, 695, 695)*CHOOSE(CONTROL!$C$42, 0.5599, 0.5599)*CHOOSE(CONTROL!$C$42, 30, 30))/1000000</f>
        <v>11.673914999999997</v>
      </c>
      <c r="V35" s="38">
        <f>(1000*CHOOSE(CONTROL!$C$42, 580, 580)*CHOOSE(CONTROL!$C$42, 0.275, 0.275)*CHOOSE(CONTROL!$C$42, 30, 30))/1000000</f>
        <v>4.7850000000000001</v>
      </c>
      <c r="W35" s="38">
        <f>(1000*CHOOSE(CONTROL!$C$42, 0.1146, 0.1146)*CHOOSE(CONTROL!$C$42, 200, 200)*CHOOSE(CONTROL!$C$42, 30, 30))/1000000</f>
        <v>0.68759999999999999</v>
      </c>
      <c r="X35" s="38">
        <f>(30*0.1790888*100000/1000000)+(30*0.2374*100000/1000000)</f>
        <v>1.2494664</v>
      </c>
      <c r="Y35" s="38"/>
      <c r="Z35" s="38">
        <f t="shared" si="0"/>
        <v>0.3</v>
      </c>
      <c r="AA35" s="10">
        <f>CHOOSE(CONTROL!$C$42, 4.2563, 4.2563) * CHOOSE(CONTROL!$C$21, $C$9, 100%, $E$9)</f>
        <v>4.2563000000000004</v>
      </c>
      <c r="AB35" s="40">
        <f>(30*((8.12*31500+8.18*100000)/30))/1000000</f>
        <v>1.07378</v>
      </c>
      <c r="AC35" s="33">
        <f>(B35*122.58+C35*297.941+D35*89.177+E35*40.302+F35*40+G35*160+H35*0+I35*100+J35*300)/(122.58+297.941+89.177+40.302+0+40+160+100+300)</f>
        <v>4.2876114616521743</v>
      </c>
      <c r="AD35" s="27">
        <f>(M35*240+N35*40+O35*315+P35*100)/(240+40+315+100)</f>
        <v>4.2815223021582725</v>
      </c>
    </row>
    <row r="36" spans="1:30" ht="15" x14ac:dyDescent="0.2">
      <c r="A36" s="16">
        <v>42339</v>
      </c>
      <c r="B36" s="10">
        <f>CHOOSE(CONTROL!$C$42, 4.4347, 4.4347) * CHOOSE(CONTROL!$C$21, $C$9, 100%, $E$9)</f>
        <v>4.4347000000000003</v>
      </c>
      <c r="C36" s="10">
        <f>CHOOSE(CONTROL!$C$42, 4.4398, 4.4398) * CHOOSE(CONTROL!$C$21, $C$9, 100%, $E$9)</f>
        <v>4.4398</v>
      </c>
      <c r="D36" s="10">
        <f>CHOOSE(CONTROL!$C$42, 4.4645, 4.4645) * CHOOSE(CONTROL!$C$21, $C$9, 100%, $E$9)</f>
        <v>4.4645000000000001</v>
      </c>
      <c r="E36" s="10">
        <f>CHOOSE(CONTROL!$C$42, 4.4983, 4.4983) * CHOOSE(CONTROL!$C$21, $C$9, 100%, $E$9)</f>
        <v>4.4983000000000004</v>
      </c>
      <c r="F36" s="10">
        <f>CHOOSE(CONTROL!$C$42, 4.4021, 4.4021)*CHOOSE(CONTROL!$C$21, $C$9, 100%, $E$9)</f>
        <v>4.4020999999999999</v>
      </c>
      <c r="G36" s="10">
        <f>CHOOSE(CONTROL!$C$42, 4.4194, 4.4194)*CHOOSE(CONTROL!$C$21, $C$9, 100%, $E$9)</f>
        <v>4.4194000000000004</v>
      </c>
      <c r="H36" s="10">
        <f>CHOOSE(CONTROL!$C$42, 4.4872, 4.4872) * CHOOSE(CONTROL!$C$21, $C$9, 100%, $E$9)</f>
        <v>4.4871999999999996</v>
      </c>
      <c r="I36" s="10">
        <f>CHOOSE(CONTROL!$C$42, 4.4342, 4.4342)* CHOOSE(CONTROL!$C$21, $C$9, 100%, $E$9)</f>
        <v>4.4341999999999997</v>
      </c>
      <c r="J36" s="10">
        <f>CHOOSE(CONTROL!$C$42, 4.3947, 4.3947)* CHOOSE(CONTROL!$C$21, $C$9, 100%, $E$9)</f>
        <v>4.3947000000000003</v>
      </c>
      <c r="K36" s="10">
        <f>CHOOSE(CONTROL!$C$42, 4.4589, 4.4589) * CHOOSE(CONTROL!$C$21, $C$9, 100%, $E$9)</f>
        <v>4.4588999999999999</v>
      </c>
      <c r="L36" s="10">
        <f>CHOOSE(CONTROL!$C$42, 5.0742, 5.0742) * CHOOSE(CONTROL!$C$21, $C$9, 100%, $E$9)</f>
        <v>5.0742000000000003</v>
      </c>
      <c r="M36" s="10">
        <f>CHOOSE(CONTROL!$C$42, 4.3709, 4.3709) * CHOOSE(CONTROL!$C$21, $C$9, 100%, $E$9)</f>
        <v>4.3708999999999998</v>
      </c>
      <c r="N36" s="10">
        <f>CHOOSE(CONTROL!$C$42, 4.388, 4.388) * CHOOSE(CONTROL!$C$21, $C$9, 100%, $E$9)</f>
        <v>4.3879999999999999</v>
      </c>
      <c r="O36" s="10">
        <f>CHOOSE(CONTROL!$C$42, 4.4621, 4.4621) * CHOOSE(CONTROL!$C$21, $C$9, 100%, $E$9)</f>
        <v>4.4621000000000004</v>
      </c>
      <c r="P36" s="10">
        <f>CHOOSE(CONTROL!$C$42, 4.4099, 4.4099) * CHOOSE(CONTROL!$C$21, $C$9, 100%, $E$9)</f>
        <v>4.4099000000000004</v>
      </c>
      <c r="Q36" s="10">
        <f>CHOOSE(CONTROL!$C$42, 5.0574, 5.0574) * CHOOSE(CONTROL!$C$21, $C$9, 100%, $E$9)</f>
        <v>5.0574000000000003</v>
      </c>
      <c r="R36" s="10">
        <f>CHOOSE(CONTROL!$C$42, 5.6571, 5.6571) * CHOOSE(CONTROL!$C$21, $C$9, 100%, $E$9)</f>
        <v>5.6570999999999998</v>
      </c>
      <c r="S36" s="10">
        <f>CHOOSE(CONTROL!$C$42, 4.3108, 4.3108) * CHOOSE(CONTROL!$C$21, $C$9, 100%, $E$9)</f>
        <v>4.3108000000000004</v>
      </c>
      <c r="T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38">
        <f>(1000*CHOOSE(CONTROL!$C$42, 695, 695)*CHOOSE(CONTROL!$C$42, 0.5599, 0.5599)*CHOOSE(CONTROL!$C$42, 31, 31))/1000000</f>
        <v>12.063045499999998</v>
      </c>
      <c r="V36" s="38">
        <f>(1000*CHOOSE(CONTROL!$C$42, 580, 580)*CHOOSE(CONTROL!$C$42, 0.275, 0.275)*CHOOSE(CONTROL!$C$42, 31, 31))/1000000</f>
        <v>4.9444999999999997</v>
      </c>
      <c r="W36" s="38">
        <f>(1000*CHOOSE(CONTROL!$C$42, 0.1146, 0.1146)*CHOOSE(CONTROL!$C$42, 200, 200)*CHOOSE(CONTROL!$C$42, 31, 31))/1000000</f>
        <v>0.71052000000000004</v>
      </c>
      <c r="X36" s="38">
        <f>(31*0.1790888*100000/1000000)+(31*0.2374*100000/1000000)</f>
        <v>1.2911152800000001</v>
      </c>
      <c r="Y36" s="38"/>
      <c r="Z36" s="38">
        <f t="shared" si="0"/>
        <v>0.3</v>
      </c>
      <c r="AA36" s="10">
        <f>CHOOSE(CONTROL!$C$42, 4.3934, 4.3934) * CHOOSE(CONTROL!$C$21, $C$9, 100%, $E$9)</f>
        <v>4.3933999999999997</v>
      </c>
      <c r="AB36" s="40">
        <f>(31*((8.12*31500+8.18*100000)/31))/1000000</f>
        <v>1.07378</v>
      </c>
      <c r="AC36" s="33">
        <f>(B36*122.58+C36*297.941+D36*89.177+E36*40.302+F36*40+G36*160+H36*0+I36*100+J36*300)/(122.58+297.941+89.177+40.302+0+40+160+100+300)</f>
        <v>4.4268201573043475</v>
      </c>
      <c r="AD36" s="27">
        <f>(M36*240+N36*40+O36*315+P36*100)/(240+40+315+100)</f>
        <v>4.4188309352517976</v>
      </c>
    </row>
    <row r="37" spans="1:30" ht="15" x14ac:dyDescent="0.2">
      <c r="A37" s="16">
        <v>42370</v>
      </c>
      <c r="B37" s="10">
        <f>CHOOSE(CONTROL!$C$42, 4.569, 4.569) * CHOOSE(CONTROL!$C$21, $C$9, 100%, $E$9)</f>
        <v>4.569</v>
      </c>
      <c r="C37" s="10">
        <f>CHOOSE(CONTROL!$C$42, 4.5741, 4.5741) * CHOOSE(CONTROL!$C$21, $C$9, 100%, $E$9)</f>
        <v>4.5740999999999996</v>
      </c>
      <c r="D37" s="10">
        <f>CHOOSE(CONTROL!$C$42, 4.6091, 4.6091) * CHOOSE(CONTROL!$C$21, $C$9, 100%, $E$9)</f>
        <v>4.6090999999999998</v>
      </c>
      <c r="E37" s="10">
        <f>CHOOSE(CONTROL!$C$42, 4.6429, 4.6429) * CHOOSE(CONTROL!$C$21, $C$9, 100%, $E$9)</f>
        <v>4.6429</v>
      </c>
      <c r="F37" s="10">
        <f>CHOOSE(CONTROL!$C$42, 4.5503, 4.5503)*CHOOSE(CONTROL!$C$21, $C$9, 100%, $E$9)</f>
        <v>4.5503</v>
      </c>
      <c r="G37" s="10">
        <f>CHOOSE(CONTROL!$C$42, 4.5692, 4.5692)*CHOOSE(CONTROL!$C$21, $C$9, 100%, $E$9)</f>
        <v>4.5692000000000004</v>
      </c>
      <c r="H37" s="10">
        <f>CHOOSE(CONTROL!$C$42, 4.6318, 4.6318) * CHOOSE(CONTROL!$C$21, $C$9, 100%, $E$9)</f>
        <v>4.6318000000000001</v>
      </c>
      <c r="I37" s="10">
        <f>CHOOSE(CONTROL!$C$42, 4.5762, 4.5762)* CHOOSE(CONTROL!$C$21, $C$9, 100%, $E$9)</f>
        <v>4.5762</v>
      </c>
      <c r="J37" s="10">
        <f>CHOOSE(CONTROL!$C$42, 4.5429, 4.5429)* CHOOSE(CONTROL!$C$21, $C$9, 100%, $E$9)</f>
        <v>4.5429000000000004</v>
      </c>
      <c r="K37" s="10">
        <f>CHOOSE(CONTROL!$C$42, 4.6097, 4.6097) * CHOOSE(CONTROL!$C$21, $C$9, 100%, $E$9)</f>
        <v>4.6097000000000001</v>
      </c>
      <c r="L37" s="10">
        <f>CHOOSE(CONTROL!$C$42, 5.2188, 5.2188) * CHOOSE(CONTROL!$C$21, $C$9, 100%, $E$9)</f>
        <v>5.2187999999999999</v>
      </c>
      <c r="M37" s="10">
        <f>CHOOSE(CONTROL!$C$42, 4.5171, 4.5171) * CHOOSE(CONTROL!$C$21, $C$9, 100%, $E$9)</f>
        <v>4.5171000000000001</v>
      </c>
      <c r="N37" s="10">
        <f>CHOOSE(CONTROL!$C$42, 4.5357, 4.5357) * CHOOSE(CONTROL!$C$21, $C$9, 100%, $E$9)</f>
        <v>4.5357000000000003</v>
      </c>
      <c r="O37" s="10">
        <f>CHOOSE(CONTROL!$C$42, 4.6049, 4.6049) * CHOOSE(CONTROL!$C$21, $C$9, 100%, $E$9)</f>
        <v>4.6048999999999998</v>
      </c>
      <c r="P37" s="10">
        <f>CHOOSE(CONTROL!$C$42, 4.5501, 4.5501) * CHOOSE(CONTROL!$C$21, $C$9, 100%, $E$9)</f>
        <v>4.5500999999999996</v>
      </c>
      <c r="Q37" s="10">
        <f>CHOOSE(CONTROL!$C$42, 5.2002, 5.2002) * CHOOSE(CONTROL!$C$21, $C$9, 100%, $E$9)</f>
        <v>5.2001999999999997</v>
      </c>
      <c r="R37" s="10">
        <f>CHOOSE(CONTROL!$C$42, 5.8002, 5.8002) * CHOOSE(CONTROL!$C$21, $C$9, 100%, $E$9)</f>
        <v>5.8002000000000002</v>
      </c>
      <c r="S37" s="10">
        <f>CHOOSE(CONTROL!$C$42, 4.4408, 4.4408) * CHOOSE(CONTROL!$C$21, $C$9, 100%, $E$9)</f>
        <v>4.4408000000000003</v>
      </c>
      <c r="T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38">
        <f>(1000*CHOOSE(CONTROL!$C$42, 695, 695)*CHOOSE(CONTROL!$C$42, 0.5599, 0.5599)*CHOOSE(CONTROL!$C$42, 31, 31))/1000000</f>
        <v>12.063045499999998</v>
      </c>
      <c r="V37" s="38">
        <f>(1000*CHOOSE(CONTROL!$C$42, 580, 580)*CHOOSE(CONTROL!$C$42, 0.275, 0.275)*CHOOSE(CONTROL!$C$42, 31, 31))/1000000</f>
        <v>4.9444999999999997</v>
      </c>
      <c r="W37" s="38">
        <f>(1000*CHOOSE(CONTROL!$C$42, 0.1146, 0.1146)*CHOOSE(CONTROL!$C$42, 200, 200)*CHOOSE(CONTROL!$C$42, 31, 31))/1000000</f>
        <v>0.71052000000000004</v>
      </c>
      <c r="X37" s="38">
        <f>(31*0.1790888*100000/1000000)+(31*0.2374*100000/1000000)</f>
        <v>1.2911152800000001</v>
      </c>
      <c r="Y37" s="38"/>
      <c r="Z37" s="38">
        <f t="shared" si="0"/>
        <v>0.3</v>
      </c>
      <c r="AA37" s="10"/>
      <c r="AB37" s="39"/>
      <c r="AC37" s="33">
        <f>(B37*122.58+C37*297.941+D37*89.177+E37*40.302+F37*40+G37*160+H37*0+I37*100+J37*300)/(122.58+297.941+89.177+40.302+0+40+160+100+300)</f>
        <v>4.5692154909565215</v>
      </c>
      <c r="AD37" s="27">
        <f>(M37*'RAP TEMPLATE-GAS AVAILABILITY'!O36+N37*'RAP TEMPLATE-GAS AVAILABILITY'!P36+O37*'RAP TEMPLATE-GAS AVAILABILITY'!Q36+P37*'RAP TEMPLATE-GAS AVAILABILITY'!R36)/('RAP TEMPLATE-GAS AVAILABILITY'!O36+'RAP TEMPLATE-GAS AVAILABILITY'!P36+'RAP TEMPLATE-GAS AVAILABILITY'!Q36+'RAP TEMPLATE-GAS AVAILABILITY'!R36)</f>
        <v>4.5627129496402876</v>
      </c>
    </row>
    <row r="38" spans="1:30" ht="15" x14ac:dyDescent="0.2">
      <c r="A38" s="16">
        <v>42401</v>
      </c>
      <c r="B38" s="10">
        <f>CHOOSE(CONTROL!$C$42, 4.5452, 4.5452) * CHOOSE(CONTROL!$C$21, $C$9, 100%, $E$9)</f>
        <v>4.5452000000000004</v>
      </c>
      <c r="C38" s="10">
        <f>CHOOSE(CONTROL!$C$42, 4.5503, 4.5503) * CHOOSE(CONTROL!$C$21, $C$9, 100%, $E$9)</f>
        <v>4.5503</v>
      </c>
      <c r="D38" s="10">
        <f>CHOOSE(CONTROL!$C$42, 4.5853, 4.5853) * CHOOSE(CONTROL!$C$21, $C$9, 100%, $E$9)</f>
        <v>4.5853000000000002</v>
      </c>
      <c r="E38" s="10">
        <f>CHOOSE(CONTROL!$C$42, 4.6191, 4.6191) * CHOOSE(CONTROL!$C$21, $C$9, 100%, $E$9)</f>
        <v>4.6191000000000004</v>
      </c>
      <c r="F38" s="10">
        <f>CHOOSE(CONTROL!$C$42, 4.526, 4.526)*CHOOSE(CONTROL!$C$21, $C$9, 100%, $E$9)</f>
        <v>4.5259999999999998</v>
      </c>
      <c r="G38" s="10">
        <f>CHOOSE(CONTROL!$C$42, 4.5447, 4.5447)*CHOOSE(CONTROL!$C$21, $C$9, 100%, $E$9)</f>
        <v>4.5446999999999997</v>
      </c>
      <c r="H38" s="10">
        <f>CHOOSE(CONTROL!$C$42, 4.608, 4.608) * CHOOSE(CONTROL!$C$21, $C$9, 100%, $E$9)</f>
        <v>4.6079999999999997</v>
      </c>
      <c r="I38" s="10">
        <f>CHOOSE(CONTROL!$C$42, 4.5525, 4.5525)* CHOOSE(CONTROL!$C$21, $C$9, 100%, $E$9)</f>
        <v>4.5525000000000002</v>
      </c>
      <c r="J38" s="10">
        <f>CHOOSE(CONTROL!$C$42, 4.5186, 4.5186)* CHOOSE(CONTROL!$C$21, $C$9, 100%, $E$9)</f>
        <v>4.5186000000000002</v>
      </c>
      <c r="K38" s="10">
        <f>CHOOSE(CONTROL!$C$42, 4.5855, 4.5855) * CHOOSE(CONTROL!$C$21, $C$9, 100%, $E$9)</f>
        <v>4.5854999999999997</v>
      </c>
      <c r="L38" s="10">
        <f>CHOOSE(CONTROL!$C$42, 5.195, 5.195) * CHOOSE(CONTROL!$C$21, $C$9, 100%, $E$9)</f>
        <v>5.1950000000000003</v>
      </c>
      <c r="M38" s="10">
        <f>CHOOSE(CONTROL!$C$42, 4.4931, 4.4931) * CHOOSE(CONTROL!$C$21, $C$9, 100%, $E$9)</f>
        <v>4.4931000000000001</v>
      </c>
      <c r="N38" s="10">
        <f>CHOOSE(CONTROL!$C$42, 4.5116, 4.5116) * CHOOSE(CONTROL!$C$21, $C$9, 100%, $E$9)</f>
        <v>4.5115999999999996</v>
      </c>
      <c r="O38" s="10">
        <f>CHOOSE(CONTROL!$C$42, 4.5814, 4.5814) * CHOOSE(CONTROL!$C$21, $C$9, 100%, $E$9)</f>
        <v>4.5814000000000004</v>
      </c>
      <c r="P38" s="10">
        <f>CHOOSE(CONTROL!$C$42, 4.5266, 4.5266) * CHOOSE(CONTROL!$C$21, $C$9, 100%, $E$9)</f>
        <v>4.5266000000000002</v>
      </c>
      <c r="Q38" s="10">
        <f>CHOOSE(CONTROL!$C$42, 5.1767, 5.1767) * CHOOSE(CONTROL!$C$21, $C$9, 100%, $E$9)</f>
        <v>5.1767000000000003</v>
      </c>
      <c r="R38" s="10">
        <f>CHOOSE(CONTROL!$C$42, 5.7767, 5.7767) * CHOOSE(CONTROL!$C$21, $C$9, 100%, $E$9)</f>
        <v>5.7766999999999999</v>
      </c>
      <c r="S38" s="10">
        <f>CHOOSE(CONTROL!$C$42, 4.4178, 4.4178) * CHOOSE(CONTROL!$C$21, $C$9, 100%, $E$9)</f>
        <v>4.4177999999999997</v>
      </c>
      <c r="T3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" s="38">
        <f>(1000*CHOOSE(CONTROL!$C$42, 695, 695)*CHOOSE(CONTROL!$C$42, 0.5599, 0.5599)*CHOOSE(CONTROL!$C$42, 29, 29))/1000000</f>
        <v>11.284784499999999</v>
      </c>
      <c r="V38" s="38">
        <f>(1000*CHOOSE(CONTROL!$C$42, 580, 580)*CHOOSE(CONTROL!$C$42, 0.275, 0.275)*CHOOSE(CONTROL!$C$42, 29, 29))/1000000</f>
        <v>4.6254999999999997</v>
      </c>
      <c r="W38" s="38">
        <f>(1000*CHOOSE(CONTROL!$C$42, 0.1146, 0.1146)*CHOOSE(CONTROL!$C$42, 200, 200)*CHOOSE(CONTROL!$C$42, 29, 29))/1000000</f>
        <v>0.66468000000000005</v>
      </c>
      <c r="X38" s="38">
        <f>(29*0.1790888*100000/1000000)+(29*0.2374*100000/1000000)</f>
        <v>1.2078175199999999</v>
      </c>
      <c r="Y38" s="38"/>
      <c r="Z38" s="38">
        <f t="shared" si="0"/>
        <v>0.3</v>
      </c>
      <c r="AA38" s="10"/>
      <c r="AB38" s="39"/>
      <c r="AC38" s="33">
        <f>(B38*122.58+C38*297.941+D38*89.177+E38*40.302+F38*40+G38*160+H38*0+I38*100+J38*300)/(122.58+297.941+89.177+40.302+0+40+160+100+300)</f>
        <v>4.5451789692173916</v>
      </c>
      <c r="AD38" s="27">
        <f>(M38*'RAP TEMPLATE-GAS AVAILABILITY'!O37+N38*'RAP TEMPLATE-GAS AVAILABILITY'!P37+O38*'RAP TEMPLATE-GAS AVAILABILITY'!Q37+P38*'RAP TEMPLATE-GAS AVAILABILITY'!R37)/('RAP TEMPLATE-GAS AVAILABILITY'!O37+'RAP TEMPLATE-GAS AVAILABILITY'!P37+'RAP TEMPLATE-GAS AVAILABILITY'!Q37+'RAP TEMPLATE-GAS AVAILABILITY'!R37)</f>
        <v>4.5390057553956833</v>
      </c>
    </row>
    <row r="39" spans="1:30" ht="15" x14ac:dyDescent="0.2">
      <c r="A39" s="16">
        <v>42430</v>
      </c>
      <c r="B39" s="10">
        <f>CHOOSE(CONTROL!$C$42, 4.4833, 4.4833) * CHOOSE(CONTROL!$C$21, $C$9, 100%, $E$9)</f>
        <v>4.4832999999999998</v>
      </c>
      <c r="C39" s="10">
        <f>CHOOSE(CONTROL!$C$42, 4.4884, 4.4884) * CHOOSE(CONTROL!$C$21, $C$9, 100%, $E$9)</f>
        <v>4.4884000000000004</v>
      </c>
      <c r="D39" s="10">
        <f>CHOOSE(CONTROL!$C$42, 4.5234, 4.5234) * CHOOSE(CONTROL!$C$21, $C$9, 100%, $E$9)</f>
        <v>4.5233999999999996</v>
      </c>
      <c r="E39" s="10">
        <f>CHOOSE(CONTROL!$C$42, 4.5572, 4.5572) * CHOOSE(CONTROL!$C$21, $C$9, 100%, $E$9)</f>
        <v>4.5571999999999999</v>
      </c>
      <c r="F39" s="10">
        <f>CHOOSE(CONTROL!$C$42, 4.4626, 4.4626)*CHOOSE(CONTROL!$C$21, $C$9, 100%, $E$9)</f>
        <v>4.4626000000000001</v>
      </c>
      <c r="G39" s="10">
        <f>CHOOSE(CONTROL!$C$42, 4.481, 4.481)*CHOOSE(CONTROL!$C$21, $C$9, 100%, $E$9)</f>
        <v>4.4809999999999999</v>
      </c>
      <c r="H39" s="10">
        <f>CHOOSE(CONTROL!$C$42, 4.5461, 4.5461) * CHOOSE(CONTROL!$C$21, $C$9, 100%, $E$9)</f>
        <v>4.5461</v>
      </c>
      <c r="I39" s="10">
        <f>CHOOSE(CONTROL!$C$42, 4.4905, 4.4905)* CHOOSE(CONTROL!$C$21, $C$9, 100%, $E$9)</f>
        <v>4.4904999999999999</v>
      </c>
      <c r="J39" s="10">
        <f>CHOOSE(CONTROL!$C$42, 4.4552, 4.4552)* CHOOSE(CONTROL!$C$21, $C$9, 100%, $E$9)</f>
        <v>4.4551999999999996</v>
      </c>
      <c r="K39" s="10">
        <f>CHOOSE(CONTROL!$C$42, 4.5225, 4.5225) * CHOOSE(CONTROL!$C$21, $C$9, 100%, $E$9)</f>
        <v>4.5225</v>
      </c>
      <c r="L39" s="10">
        <f>CHOOSE(CONTROL!$C$42, 5.1331, 5.1331) * CHOOSE(CONTROL!$C$21, $C$9, 100%, $E$9)</f>
        <v>5.1330999999999998</v>
      </c>
      <c r="M39" s="10">
        <f>CHOOSE(CONTROL!$C$42, 4.4306, 4.4306) * CHOOSE(CONTROL!$C$21, $C$9, 100%, $E$9)</f>
        <v>4.4306000000000001</v>
      </c>
      <c r="N39" s="10">
        <f>CHOOSE(CONTROL!$C$42, 4.4488, 4.4488) * CHOOSE(CONTROL!$C$21, $C$9, 100%, $E$9)</f>
        <v>4.4488000000000003</v>
      </c>
      <c r="O39" s="10">
        <f>CHOOSE(CONTROL!$C$42, 4.5203, 4.5203) * CHOOSE(CONTROL!$C$21, $C$9, 100%, $E$9)</f>
        <v>4.5202999999999998</v>
      </c>
      <c r="P39" s="10">
        <f>CHOOSE(CONTROL!$C$42, 4.4655, 4.4655) * CHOOSE(CONTROL!$C$21, $C$9, 100%, $E$9)</f>
        <v>4.4654999999999996</v>
      </c>
      <c r="Q39" s="10">
        <f>CHOOSE(CONTROL!$C$42, 5.1156, 5.1156) * CHOOSE(CONTROL!$C$21, $C$9, 100%, $E$9)</f>
        <v>5.1155999999999997</v>
      </c>
      <c r="R39" s="10">
        <f>CHOOSE(CONTROL!$C$42, 5.7153, 5.7153) * CHOOSE(CONTROL!$C$21, $C$9, 100%, $E$9)</f>
        <v>5.7153</v>
      </c>
      <c r="S39" s="10">
        <f>CHOOSE(CONTROL!$C$42, 4.3578, 4.3578) * CHOOSE(CONTROL!$C$21, $C$9, 100%, $E$9)</f>
        <v>4.3578000000000001</v>
      </c>
      <c r="T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38">
        <f>(1000*CHOOSE(CONTROL!$C$42, 695, 695)*CHOOSE(CONTROL!$C$42, 0.5599, 0.5599)*CHOOSE(CONTROL!$C$42, 31, 31))/1000000</f>
        <v>12.063045499999998</v>
      </c>
      <c r="V39" s="38">
        <f>(1000*CHOOSE(CONTROL!$C$42, 580, 580)*CHOOSE(CONTROL!$C$42, 0.275, 0.275)*CHOOSE(CONTROL!$C$42, 31, 31))/1000000</f>
        <v>4.9444999999999997</v>
      </c>
      <c r="W39" s="38">
        <f>(1000*CHOOSE(CONTROL!$C$42, 0.1146, 0.1146)*CHOOSE(CONTROL!$C$42, 200, 200)*CHOOSE(CONTROL!$C$42, 31, 31))/1000000</f>
        <v>0.71052000000000004</v>
      </c>
      <c r="X39" s="38">
        <f>(31*0.1790888*100000/1000000)+(31*0.2374*100000/1000000)</f>
        <v>1.2911152800000001</v>
      </c>
      <c r="Y39" s="38"/>
      <c r="Z39" s="38">
        <f t="shared" si="0"/>
        <v>0.3</v>
      </c>
      <c r="AA39" s="10"/>
      <c r="AB39" s="39"/>
      <c r="AC39" s="33">
        <f>(B39*122.58+C39*297.941+D39*89.177+E39*40.302+F39*40+G39*160+H39*0+I39*100+J39*300)/(122.58+297.941+89.177+40.302+0+40+160+100+300)</f>
        <v>4.4825763605217395</v>
      </c>
      <c r="AD39" s="27">
        <f>(M39*'RAP TEMPLATE-GAS AVAILABILITY'!O38+N39*'RAP TEMPLATE-GAS AVAILABILITY'!P38+O39*'RAP TEMPLATE-GAS AVAILABILITY'!Q38+P39*'RAP TEMPLATE-GAS AVAILABILITY'!R38)/('RAP TEMPLATE-GAS AVAILABILITY'!O38+'RAP TEMPLATE-GAS AVAILABILITY'!P38+'RAP TEMPLATE-GAS AVAILABILITY'!Q38+'RAP TEMPLATE-GAS AVAILABILITY'!R38)</f>
        <v>4.4773244604316549</v>
      </c>
    </row>
    <row r="40" spans="1:30" ht="15" x14ac:dyDescent="0.2">
      <c r="A40" s="16">
        <v>42461</v>
      </c>
      <c r="B40" s="10">
        <f>CHOOSE(CONTROL!$C$42, 4.2031, 4.2031) * CHOOSE(CONTROL!$C$21, $C$9, 100%, $E$9)</f>
        <v>4.2031000000000001</v>
      </c>
      <c r="C40" s="10">
        <f>CHOOSE(CONTROL!$C$42, 4.2076, 4.2076) * CHOOSE(CONTROL!$C$21, $C$9, 100%, $E$9)</f>
        <v>4.2076000000000002</v>
      </c>
      <c r="D40" s="10">
        <f>CHOOSE(CONTROL!$C$42, 4.3858, 4.3858) * CHOOSE(CONTROL!$C$21, $C$9, 100%, $E$9)</f>
        <v>4.3857999999999997</v>
      </c>
      <c r="E40" s="10">
        <f>CHOOSE(CONTROL!$C$42, 4.4177, 4.4177) * CHOOSE(CONTROL!$C$21, $C$9, 100%, $E$9)</f>
        <v>4.4177</v>
      </c>
      <c r="F40" s="10">
        <f>CHOOSE(CONTROL!$C$42, 4.1466, 4.1466)*CHOOSE(CONTROL!$C$21, $C$9, 100%, $E$9)</f>
        <v>4.1466000000000003</v>
      </c>
      <c r="G40" s="10">
        <f>CHOOSE(CONTROL!$C$42, 4.1632, 4.1632)*CHOOSE(CONTROL!$C$21, $C$9, 100%, $E$9)</f>
        <v>4.1631999999999998</v>
      </c>
      <c r="H40" s="10">
        <f>CHOOSE(CONTROL!$C$42, 4.4071, 4.4071) * CHOOSE(CONTROL!$C$21, $C$9, 100%, $E$9)</f>
        <v>4.4070999999999998</v>
      </c>
      <c r="I40" s="10">
        <f>CHOOSE(CONTROL!$C$42, 4.1791, 4.1791)* CHOOSE(CONTROL!$C$21, $C$9, 100%, $E$9)</f>
        <v>4.1791</v>
      </c>
      <c r="J40" s="10">
        <f>CHOOSE(CONTROL!$C$42, 4.1392, 4.1392)* CHOOSE(CONTROL!$C$21, $C$9, 100%, $E$9)</f>
        <v>4.1391999999999998</v>
      </c>
      <c r="K40" s="10">
        <f>CHOOSE(CONTROL!$C$42, 4.2061, 4.2061) * CHOOSE(CONTROL!$C$21, $C$9, 100%, $E$9)</f>
        <v>4.2061000000000002</v>
      </c>
      <c r="L40" s="10">
        <f>CHOOSE(CONTROL!$C$42, 4.9941, 4.9941) * CHOOSE(CONTROL!$C$21, $C$9, 100%, $E$9)</f>
        <v>4.9941000000000004</v>
      </c>
      <c r="M40" s="10">
        <f>CHOOSE(CONTROL!$C$42, 4.1186, 4.1186) * CHOOSE(CONTROL!$C$21, $C$9, 100%, $E$9)</f>
        <v>4.1185999999999998</v>
      </c>
      <c r="N40" s="10">
        <f>CHOOSE(CONTROL!$C$42, 4.135, 4.135) * CHOOSE(CONTROL!$C$21, $C$9, 100%, $E$9)</f>
        <v>4.1349999999999998</v>
      </c>
      <c r="O40" s="10">
        <f>CHOOSE(CONTROL!$C$42, 4.3831, 4.3831) * CHOOSE(CONTROL!$C$21, $C$9, 100%, $E$9)</f>
        <v>4.3830999999999998</v>
      </c>
      <c r="P40" s="10">
        <f>CHOOSE(CONTROL!$C$42, 4.1581, 4.1581) * CHOOSE(CONTROL!$C$21, $C$9, 100%, $E$9)</f>
        <v>4.1581000000000001</v>
      </c>
      <c r="Q40" s="10">
        <f>CHOOSE(CONTROL!$C$42, 4.9784, 4.9784) * CHOOSE(CONTROL!$C$21, $C$9, 100%, $E$9)</f>
        <v>4.9783999999999997</v>
      </c>
      <c r="R40" s="10">
        <f>CHOOSE(CONTROL!$C$42, 5.5779, 5.5779) * CHOOSE(CONTROL!$C$21, $C$9, 100%, $E$9)</f>
        <v>5.5778999999999996</v>
      </c>
      <c r="S40" s="10">
        <f>CHOOSE(CONTROL!$C$42, 4.0858, 4.0858) * CHOOSE(CONTROL!$C$21, $C$9, 100%, $E$9)</f>
        <v>4.0857999999999999</v>
      </c>
      <c r="T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38">
        <f>(1000*CHOOSE(CONTROL!$C$42, 695, 695)*CHOOSE(CONTROL!$C$42, 0.5599, 0.5599)*CHOOSE(CONTROL!$C$42, 30, 30))/1000000</f>
        <v>11.673914999999997</v>
      </c>
      <c r="V40" s="38">
        <f>(1000*CHOOSE(CONTROL!$C$42, 580, 580)*CHOOSE(CONTROL!$C$42, 0.275, 0.275)*CHOOSE(CONTROL!$C$42, 30, 30))/1000000</f>
        <v>4.7850000000000001</v>
      </c>
      <c r="W40" s="38">
        <f>(1000*CHOOSE(CONTROL!$C$42, 0.1146, 0.1146)*CHOOSE(CONTROL!$C$42, 200, 200)*CHOOSE(CONTROL!$C$42, 30, 30))/1000000</f>
        <v>0.68759999999999999</v>
      </c>
      <c r="X40" s="38">
        <f>(30*0.1790888*245000/1000000)+(30*0.2374*100000/1000000)</f>
        <v>2.0285026799999999</v>
      </c>
      <c r="Y40" s="38"/>
      <c r="Z40" s="38">
        <f t="shared" si="0"/>
        <v>0.3</v>
      </c>
      <c r="AA40" s="10"/>
      <c r="AB40" s="39"/>
      <c r="AC40" s="33">
        <f>(B40*141.293+C40*267.993+D40*115.016+E40*89.698+F40*40+G40*185+H40*0+I40*100+J40*300)/(141.293+267.993+115.016+89.698+0+40+185+100+300)</f>
        <v>4.2113785169491527</v>
      </c>
      <c r="AD40" s="27">
        <f>(M40*'RAP TEMPLATE-GAS AVAILABILITY'!O39+N40*'RAP TEMPLATE-GAS AVAILABILITY'!P39+O40*'RAP TEMPLATE-GAS AVAILABILITY'!Q39+P40*'RAP TEMPLATE-GAS AVAILABILITY'!R39)/('RAP TEMPLATE-GAS AVAILABILITY'!O39+'RAP TEMPLATE-GAS AVAILABILITY'!P39+'RAP TEMPLATE-GAS AVAILABILITY'!Q39+'RAP TEMPLATE-GAS AVAILABILITY'!R39)</f>
        <v>4.2022712230215822</v>
      </c>
    </row>
    <row r="41" spans="1:30" ht="15" x14ac:dyDescent="0.2">
      <c r="A41" s="16">
        <v>42491</v>
      </c>
      <c r="B41" s="10">
        <f>CHOOSE(CONTROL!$C$42, 4.2111, 4.2111) * CHOOSE(CONTROL!$C$21, $C$9, 100%, $E$9)</f>
        <v>4.2111000000000001</v>
      </c>
      <c r="C41" s="10">
        <f>CHOOSE(CONTROL!$C$42, 4.2191, 4.2191) * CHOOSE(CONTROL!$C$21, $C$9, 100%, $E$9)</f>
        <v>4.2191000000000001</v>
      </c>
      <c r="D41" s="10">
        <f>CHOOSE(CONTROL!$C$42, 4.3942, 4.3942) * CHOOSE(CONTROL!$C$21, $C$9, 100%, $E$9)</f>
        <v>4.3941999999999997</v>
      </c>
      <c r="E41" s="10">
        <f>CHOOSE(CONTROL!$C$42, 4.4254, 4.4254) * CHOOSE(CONTROL!$C$21, $C$9, 100%, $E$9)</f>
        <v>4.4253999999999998</v>
      </c>
      <c r="F41" s="10">
        <f>CHOOSE(CONTROL!$C$42, 4.1528, 4.1528)*CHOOSE(CONTROL!$C$21, $C$9, 100%, $E$9)</f>
        <v>4.1528</v>
      </c>
      <c r="G41" s="10">
        <f>CHOOSE(CONTROL!$C$42, 4.1696, 4.1696)*CHOOSE(CONTROL!$C$21, $C$9, 100%, $E$9)</f>
        <v>4.1696</v>
      </c>
      <c r="H41" s="10">
        <f>CHOOSE(CONTROL!$C$42, 4.4137, 4.4137) * CHOOSE(CONTROL!$C$21, $C$9, 100%, $E$9)</f>
        <v>4.4137000000000004</v>
      </c>
      <c r="I41" s="10">
        <f>CHOOSE(CONTROL!$C$42, 4.1857, 4.1857)* CHOOSE(CONTROL!$C$21, $C$9, 100%, $E$9)</f>
        <v>4.1856999999999998</v>
      </c>
      <c r="J41" s="10">
        <f>CHOOSE(CONTROL!$C$42, 4.1454, 4.1454)* CHOOSE(CONTROL!$C$21, $C$9, 100%, $E$9)</f>
        <v>4.1454000000000004</v>
      </c>
      <c r="K41" s="10">
        <f>CHOOSE(CONTROL!$C$42, 4.2117, 4.2117) * CHOOSE(CONTROL!$C$21, $C$9, 100%, $E$9)</f>
        <v>4.2117000000000004</v>
      </c>
      <c r="L41" s="10">
        <f>CHOOSE(CONTROL!$C$42, 5.0007, 5.0007) * CHOOSE(CONTROL!$C$21, $C$9, 100%, $E$9)</f>
        <v>5.0007000000000001</v>
      </c>
      <c r="M41" s="10">
        <f>CHOOSE(CONTROL!$C$42, 4.1247, 4.1247) * CHOOSE(CONTROL!$C$21, $C$9, 100%, $E$9)</f>
        <v>4.1246999999999998</v>
      </c>
      <c r="N41" s="10">
        <f>CHOOSE(CONTROL!$C$42, 4.1414, 4.1414) * CHOOSE(CONTROL!$C$21, $C$9, 100%, $E$9)</f>
        <v>4.1414</v>
      </c>
      <c r="O41" s="10">
        <f>CHOOSE(CONTROL!$C$42, 4.3897, 4.3897) * CHOOSE(CONTROL!$C$21, $C$9, 100%, $E$9)</f>
        <v>4.3897000000000004</v>
      </c>
      <c r="P41" s="10">
        <f>CHOOSE(CONTROL!$C$42, 4.1646, 4.1646) * CHOOSE(CONTROL!$C$21, $C$9, 100%, $E$9)</f>
        <v>4.1646000000000001</v>
      </c>
      <c r="Q41" s="10">
        <f>CHOOSE(CONTROL!$C$42, 4.985, 4.985) * CHOOSE(CONTROL!$C$21, $C$9, 100%, $E$9)</f>
        <v>4.9850000000000003</v>
      </c>
      <c r="R41" s="10">
        <f>CHOOSE(CONTROL!$C$42, 5.5844, 5.5844) * CHOOSE(CONTROL!$C$21, $C$9, 100%, $E$9)</f>
        <v>5.5843999999999996</v>
      </c>
      <c r="S41" s="10">
        <f>CHOOSE(CONTROL!$C$42, 4.0922, 4.0922) * CHOOSE(CONTROL!$C$21, $C$9, 100%, $E$9)</f>
        <v>4.0922000000000001</v>
      </c>
      <c r="T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" s="38">
        <f>(1000*CHOOSE(CONTROL!$C$42, 695, 695)*CHOOSE(CONTROL!$C$42, 0.5599, 0.5599)*CHOOSE(CONTROL!$C$42, 31, 31))/1000000</f>
        <v>12.063045499999998</v>
      </c>
      <c r="V41" s="38">
        <f>(1000*CHOOSE(CONTROL!$C$42, 580, 580)*CHOOSE(CONTROL!$C$42, 0.275, 0.275)*CHOOSE(CONTROL!$C$42, 31, 31))/1000000</f>
        <v>4.9444999999999997</v>
      </c>
      <c r="W41" s="38">
        <f>(1000*CHOOSE(CONTROL!$C$42, 0.1146, 0.1146)*CHOOSE(CONTROL!$C$42, 121.5, 121.5)*CHOOSE(CONTROL!$C$42, 31, 31))/1000000</f>
        <v>0.43164089999999994</v>
      </c>
      <c r="X41" s="38">
        <f>(31*0.1790888*245000/1000000)+(31*0.2374*100000/1000000)</f>
        <v>2.0961194359999999</v>
      </c>
      <c r="Y41" s="38"/>
      <c r="Z41" s="38">
        <f t="shared" si="0"/>
        <v>0.3</v>
      </c>
      <c r="AA41" s="10"/>
      <c r="AB41" s="39"/>
      <c r="AC41" s="33">
        <f>(B41*194.205+C41*267.466+D41*133.845+E41*53.484+F41*40+G41*185+H41*0+I41*100+J41*300)/(194.205+267.466+133.845+53.484+0+40+185+100+300)</f>
        <v>4.215690948744113</v>
      </c>
      <c r="AD41" s="27">
        <f>(M41*'RAP TEMPLATE-GAS AVAILABILITY'!O40+N41*'RAP TEMPLATE-GAS AVAILABILITY'!P40+O41*'RAP TEMPLATE-GAS AVAILABILITY'!Q40+P41*'RAP TEMPLATE-GAS AVAILABILITY'!R40)/('RAP TEMPLATE-GAS AVAILABILITY'!O40+'RAP TEMPLATE-GAS AVAILABILITY'!P40+'RAP TEMPLATE-GAS AVAILABILITY'!Q40+'RAP TEMPLATE-GAS AVAILABILITY'!R40)</f>
        <v>4.2086381294964035</v>
      </c>
    </row>
    <row r="42" spans="1:30" ht="15" x14ac:dyDescent="0.2">
      <c r="A42" s="16">
        <v>42522</v>
      </c>
      <c r="B42" s="10">
        <f>CHOOSE(CONTROL!$C$42, 4.2266, 4.2266) * CHOOSE(CONTROL!$C$21, $C$9, 100%, $E$9)</f>
        <v>4.2266000000000004</v>
      </c>
      <c r="C42" s="10">
        <f>CHOOSE(CONTROL!$C$42, 4.2346, 4.2346) * CHOOSE(CONTROL!$C$21, $C$9, 100%, $E$9)</f>
        <v>4.2346000000000004</v>
      </c>
      <c r="D42" s="10">
        <f>CHOOSE(CONTROL!$C$42, 4.4097, 4.4097) * CHOOSE(CONTROL!$C$21, $C$9, 100%, $E$9)</f>
        <v>4.4097</v>
      </c>
      <c r="E42" s="10">
        <f>CHOOSE(CONTROL!$C$42, 4.4409, 4.4409) * CHOOSE(CONTROL!$C$21, $C$9, 100%, $E$9)</f>
        <v>4.4409000000000001</v>
      </c>
      <c r="F42" s="10">
        <f>CHOOSE(CONTROL!$C$42, 4.1684, 4.1684)*CHOOSE(CONTROL!$C$21, $C$9, 100%, $E$9)</f>
        <v>4.1684000000000001</v>
      </c>
      <c r="G42" s="10">
        <f>CHOOSE(CONTROL!$C$42, 4.1854, 4.1854)*CHOOSE(CONTROL!$C$21, $C$9, 100%, $E$9)</f>
        <v>4.1853999999999996</v>
      </c>
      <c r="H42" s="10">
        <f>CHOOSE(CONTROL!$C$42, 4.4292, 4.4292) * CHOOSE(CONTROL!$C$21, $C$9, 100%, $E$9)</f>
        <v>4.4291999999999998</v>
      </c>
      <c r="I42" s="10">
        <f>CHOOSE(CONTROL!$C$42, 4.2012, 4.2012)* CHOOSE(CONTROL!$C$21, $C$9, 100%, $E$9)</f>
        <v>4.2012</v>
      </c>
      <c r="J42" s="10">
        <f>CHOOSE(CONTROL!$C$42, 4.161, 4.161)* CHOOSE(CONTROL!$C$21, $C$9, 100%, $E$9)</f>
        <v>4.1609999999999996</v>
      </c>
      <c r="K42" s="10">
        <f>CHOOSE(CONTROL!$C$42, 4.2271, 4.2271) * CHOOSE(CONTROL!$C$21, $C$9, 100%, $E$9)</f>
        <v>4.2271000000000001</v>
      </c>
      <c r="L42" s="10">
        <f>CHOOSE(CONTROL!$C$42, 5.0162, 5.0162) * CHOOSE(CONTROL!$C$21, $C$9, 100%, $E$9)</f>
        <v>5.0162000000000004</v>
      </c>
      <c r="M42" s="10">
        <f>CHOOSE(CONTROL!$C$42, 4.1402, 4.1402) * CHOOSE(CONTROL!$C$21, $C$9, 100%, $E$9)</f>
        <v>4.1402000000000001</v>
      </c>
      <c r="N42" s="10">
        <f>CHOOSE(CONTROL!$C$42, 4.1569, 4.1569) * CHOOSE(CONTROL!$C$21, $C$9, 100%, $E$9)</f>
        <v>4.1569000000000003</v>
      </c>
      <c r="O42" s="10">
        <f>CHOOSE(CONTROL!$C$42, 4.4049, 4.4049) * CHOOSE(CONTROL!$C$21, $C$9, 100%, $E$9)</f>
        <v>4.4048999999999996</v>
      </c>
      <c r="P42" s="10">
        <f>CHOOSE(CONTROL!$C$42, 4.1799, 4.1799) * CHOOSE(CONTROL!$C$21, $C$9, 100%, $E$9)</f>
        <v>4.1798999999999999</v>
      </c>
      <c r="Q42" s="10">
        <f>CHOOSE(CONTROL!$C$42, 5.0002, 5.0002) * CHOOSE(CONTROL!$C$21, $C$9, 100%, $E$9)</f>
        <v>5.0002000000000004</v>
      </c>
      <c r="R42" s="10">
        <f>CHOOSE(CONTROL!$C$42, 5.5997, 5.5997) * CHOOSE(CONTROL!$C$21, $C$9, 100%, $E$9)</f>
        <v>5.5997000000000003</v>
      </c>
      <c r="S42" s="10">
        <f>CHOOSE(CONTROL!$C$42, 4.1072, 4.1072) * CHOOSE(CONTROL!$C$21, $C$9, 100%, $E$9)</f>
        <v>4.1071999999999997</v>
      </c>
      <c r="T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" s="38">
        <f>(1000*CHOOSE(CONTROL!$C$42, 695, 695)*CHOOSE(CONTROL!$C$42, 0.5599, 0.5599)*CHOOSE(CONTROL!$C$42, 30, 30))/1000000</f>
        <v>11.673914999999997</v>
      </c>
      <c r="V42" s="38">
        <f>(1000*CHOOSE(CONTROL!$C$42, 580, 580)*CHOOSE(CONTROL!$C$42, 0.275, 0.275)*CHOOSE(CONTROL!$C$42, 30, 30))/1000000</f>
        <v>4.7850000000000001</v>
      </c>
      <c r="W42" s="38">
        <f>(1000*CHOOSE(CONTROL!$C$42, 0.1146, 0.1146)*CHOOSE(CONTROL!$C$42, 121.5, 121.5)*CHOOSE(CONTROL!$C$42, 30, 30))/1000000</f>
        <v>0.417717</v>
      </c>
      <c r="X42" s="38">
        <f>(30*0.1790888*245000/1000000)+(30*0.2374*100000/1000000)</f>
        <v>2.0285026799999999</v>
      </c>
      <c r="Y42" s="38"/>
      <c r="Z42" s="38">
        <f t="shared" si="0"/>
        <v>0.3</v>
      </c>
      <c r="AA42" s="10"/>
      <c r="AB42" s="39"/>
      <c r="AC42" s="33">
        <f>(B42*194.205+C42*267.466+D42*133.845+E42*53.484+F42*40+G42*185+H42*0+I42*100+J42*300)/(194.205+267.466+133.845+53.484+0+40+185+100+300)</f>
        <v>4.2312611999215068</v>
      </c>
      <c r="AD42" s="27">
        <f>(M42*'RAP TEMPLATE-GAS AVAILABILITY'!O41+N42*'RAP TEMPLATE-GAS AVAILABILITY'!P41+O42*'RAP TEMPLATE-GAS AVAILABILITY'!Q41+P42*'RAP TEMPLATE-GAS AVAILABILITY'!R41)/('RAP TEMPLATE-GAS AVAILABILITY'!O41+'RAP TEMPLATE-GAS AVAILABILITY'!P41+'RAP TEMPLATE-GAS AVAILABILITY'!Q41+'RAP TEMPLATE-GAS AVAILABILITY'!R41)</f>
        <v>4.224025179856115</v>
      </c>
    </row>
    <row r="43" spans="1:30" ht="15" x14ac:dyDescent="0.2">
      <c r="A43" s="16">
        <v>42552</v>
      </c>
      <c r="B43" s="10">
        <f>CHOOSE(CONTROL!$C$42, 4.2462, 4.2462) * CHOOSE(CONTROL!$C$21, $C$9, 100%, $E$9)</f>
        <v>4.2462</v>
      </c>
      <c r="C43" s="10">
        <f>CHOOSE(CONTROL!$C$42, 4.2542, 4.2542) * CHOOSE(CONTROL!$C$21, $C$9, 100%, $E$9)</f>
        <v>4.2542</v>
      </c>
      <c r="D43" s="10">
        <f>CHOOSE(CONTROL!$C$42, 4.4293, 4.4293) * CHOOSE(CONTROL!$C$21, $C$9, 100%, $E$9)</f>
        <v>4.4292999999999996</v>
      </c>
      <c r="E43" s="10">
        <f>CHOOSE(CONTROL!$C$42, 4.4605, 4.4605) * CHOOSE(CONTROL!$C$21, $C$9, 100%, $E$9)</f>
        <v>4.4604999999999997</v>
      </c>
      <c r="F43" s="10">
        <f>CHOOSE(CONTROL!$C$42, 4.1884, 4.1884)*CHOOSE(CONTROL!$C$21, $C$9, 100%, $E$9)</f>
        <v>4.1883999999999997</v>
      </c>
      <c r="G43" s="10">
        <f>CHOOSE(CONTROL!$C$42, 4.2054, 4.2054)*CHOOSE(CONTROL!$C$21, $C$9, 100%, $E$9)</f>
        <v>4.2054</v>
      </c>
      <c r="H43" s="10">
        <f>CHOOSE(CONTROL!$C$42, 4.4489, 4.4489) * CHOOSE(CONTROL!$C$21, $C$9, 100%, $E$9)</f>
        <v>4.4489000000000001</v>
      </c>
      <c r="I43" s="10">
        <f>CHOOSE(CONTROL!$C$42, 4.2208, 4.2208)* CHOOSE(CONTROL!$C$21, $C$9, 100%, $E$9)</f>
        <v>4.2207999999999997</v>
      </c>
      <c r="J43" s="10">
        <f>CHOOSE(CONTROL!$C$42, 4.181, 4.181)* CHOOSE(CONTROL!$C$21, $C$9, 100%, $E$9)</f>
        <v>4.181</v>
      </c>
      <c r="K43" s="10">
        <f>CHOOSE(CONTROL!$C$42, 4.2468, 4.2468) * CHOOSE(CONTROL!$C$21, $C$9, 100%, $E$9)</f>
        <v>4.2468000000000004</v>
      </c>
      <c r="L43" s="10">
        <f>CHOOSE(CONTROL!$C$42, 5.0359, 5.0359) * CHOOSE(CONTROL!$C$21, $C$9, 100%, $E$9)</f>
        <v>5.0358999999999998</v>
      </c>
      <c r="M43" s="10">
        <f>CHOOSE(CONTROL!$C$42, 4.1599, 4.1599) * CHOOSE(CONTROL!$C$21, $C$9, 100%, $E$9)</f>
        <v>4.1599000000000004</v>
      </c>
      <c r="N43" s="10">
        <f>CHOOSE(CONTROL!$C$42, 4.1767, 4.1767) * CHOOSE(CONTROL!$C$21, $C$9, 100%, $E$9)</f>
        <v>4.1767000000000003</v>
      </c>
      <c r="O43" s="10">
        <f>CHOOSE(CONTROL!$C$42, 4.4243, 4.4243) * CHOOSE(CONTROL!$C$21, $C$9, 100%, $E$9)</f>
        <v>4.4242999999999997</v>
      </c>
      <c r="P43" s="10">
        <f>CHOOSE(CONTROL!$C$42, 4.1993, 4.1993) * CHOOSE(CONTROL!$C$21, $C$9, 100%, $E$9)</f>
        <v>4.1993</v>
      </c>
      <c r="Q43" s="10">
        <f>CHOOSE(CONTROL!$C$42, 5.0196, 5.0196) * CHOOSE(CONTROL!$C$21, $C$9, 100%, $E$9)</f>
        <v>5.0195999999999996</v>
      </c>
      <c r="R43" s="10">
        <f>CHOOSE(CONTROL!$C$42, 5.6192, 5.6192) * CHOOSE(CONTROL!$C$21, $C$9, 100%, $E$9)</f>
        <v>5.6192000000000002</v>
      </c>
      <c r="S43" s="10">
        <f>CHOOSE(CONTROL!$C$42, 4.1262, 4.1262) * CHOOSE(CONTROL!$C$21, $C$9, 100%, $E$9)</f>
        <v>4.1261999999999999</v>
      </c>
      <c r="T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" s="38">
        <f>(1000*CHOOSE(CONTROL!$C$42, 695, 695)*CHOOSE(CONTROL!$C$42, 0.5599, 0.5599)*CHOOSE(CONTROL!$C$42, 31, 31))/1000000</f>
        <v>12.063045499999998</v>
      </c>
      <c r="V43" s="38">
        <f>(1000*CHOOSE(CONTROL!$C$42, 580, 580)*CHOOSE(CONTROL!$C$42, 0.275, 0.275)*CHOOSE(CONTROL!$C$42, 31, 31))/1000000</f>
        <v>4.9444999999999997</v>
      </c>
      <c r="W43" s="38">
        <f>(1000*CHOOSE(CONTROL!$C$42, 0.1146, 0.1146)*CHOOSE(CONTROL!$C$42, 121.5, 121.5)*CHOOSE(CONTROL!$C$42, 31, 31))/1000000</f>
        <v>0.43164089999999994</v>
      </c>
      <c r="X43" s="38">
        <f>(31*0.1790888*245000/1000000)+(31*0.2374*100000/1000000)</f>
        <v>2.0961194359999999</v>
      </c>
      <c r="Y43" s="38"/>
      <c r="Z43" s="38">
        <f t="shared" si="0"/>
        <v>0.3</v>
      </c>
      <c r="AA43" s="10"/>
      <c r="AB43" s="39"/>
      <c r="AC43" s="33">
        <f>(B43*194.205+C43*267.466+D43*133.845+E43*53.484+F43*40+G43*185+H43*0+I43*100+J43*300)/(194.205+267.466+133.845+53.484+0+40+185+100+300)</f>
        <v>4.2510260350863422</v>
      </c>
      <c r="AD43" s="27">
        <f>(M43*'RAP TEMPLATE-GAS AVAILABILITY'!O42+N43*'RAP TEMPLATE-GAS AVAILABILITY'!P42+O43*'RAP TEMPLATE-GAS AVAILABILITY'!Q42+P43*'RAP TEMPLATE-GAS AVAILABILITY'!R42)/('RAP TEMPLATE-GAS AVAILABILITY'!O42+'RAP TEMPLATE-GAS AVAILABILITY'!P42+'RAP TEMPLATE-GAS AVAILABILITY'!Q42+'RAP TEMPLATE-GAS AVAILABILITY'!R42)</f>
        <v>4.243620863309352</v>
      </c>
    </row>
    <row r="44" spans="1:30" ht="15" x14ac:dyDescent="0.2">
      <c r="A44" s="16">
        <v>42583</v>
      </c>
      <c r="B44" s="10">
        <f>CHOOSE(CONTROL!$C$42, 4.2534, 4.2534) * CHOOSE(CONTROL!$C$21, $C$9, 100%, $E$9)</f>
        <v>4.2534000000000001</v>
      </c>
      <c r="C44" s="10">
        <f>CHOOSE(CONTROL!$C$42, 4.2614, 4.2614) * CHOOSE(CONTROL!$C$21, $C$9, 100%, $E$9)</f>
        <v>4.2614000000000001</v>
      </c>
      <c r="D44" s="10">
        <f>CHOOSE(CONTROL!$C$42, 4.4365, 4.4365) * CHOOSE(CONTROL!$C$21, $C$9, 100%, $E$9)</f>
        <v>4.4364999999999997</v>
      </c>
      <c r="E44" s="10">
        <f>CHOOSE(CONTROL!$C$42, 4.4678, 4.4678) * CHOOSE(CONTROL!$C$21, $C$9, 100%, $E$9)</f>
        <v>4.4678000000000004</v>
      </c>
      <c r="F44" s="10">
        <f>CHOOSE(CONTROL!$C$42, 4.1955, 4.1955)*CHOOSE(CONTROL!$C$21, $C$9, 100%, $E$9)</f>
        <v>4.1955</v>
      </c>
      <c r="G44" s="10">
        <f>CHOOSE(CONTROL!$C$42, 4.2125, 4.2125)*CHOOSE(CONTROL!$C$21, $C$9, 100%, $E$9)</f>
        <v>4.2125000000000004</v>
      </c>
      <c r="H44" s="10">
        <f>CHOOSE(CONTROL!$C$42, 4.4561, 4.4561) * CHOOSE(CONTROL!$C$21, $C$9, 100%, $E$9)</f>
        <v>4.4561000000000002</v>
      </c>
      <c r="I44" s="10">
        <f>CHOOSE(CONTROL!$C$42, 4.2281, 4.2281)* CHOOSE(CONTROL!$C$21, $C$9, 100%, $E$9)</f>
        <v>4.2281000000000004</v>
      </c>
      <c r="J44" s="10">
        <f>CHOOSE(CONTROL!$C$42, 4.1881, 4.1881)* CHOOSE(CONTROL!$C$21, $C$9, 100%, $E$9)</f>
        <v>4.1881000000000004</v>
      </c>
      <c r="K44" s="10">
        <f>CHOOSE(CONTROL!$C$42, 4.2536, 4.2536) * CHOOSE(CONTROL!$C$21, $C$9, 100%, $E$9)</f>
        <v>4.2535999999999996</v>
      </c>
      <c r="L44" s="10">
        <f>CHOOSE(CONTROL!$C$42, 5.0431, 5.0431) * CHOOSE(CONTROL!$C$21, $C$9, 100%, $E$9)</f>
        <v>5.0430999999999999</v>
      </c>
      <c r="M44" s="10">
        <f>CHOOSE(CONTROL!$C$42, 4.167, 4.167) * CHOOSE(CONTROL!$C$21, $C$9, 100%, $E$9)</f>
        <v>4.1669999999999998</v>
      </c>
      <c r="N44" s="10">
        <f>CHOOSE(CONTROL!$C$42, 4.1837, 4.1837) * CHOOSE(CONTROL!$C$21, $C$9, 100%, $E$9)</f>
        <v>4.1837</v>
      </c>
      <c r="O44" s="10">
        <f>CHOOSE(CONTROL!$C$42, 4.4314, 4.4314) * CHOOSE(CONTROL!$C$21, $C$9, 100%, $E$9)</f>
        <v>4.4314</v>
      </c>
      <c r="P44" s="10">
        <f>CHOOSE(CONTROL!$C$42, 4.2064, 4.2064) * CHOOSE(CONTROL!$C$21, $C$9, 100%, $E$9)</f>
        <v>4.2064000000000004</v>
      </c>
      <c r="Q44" s="10">
        <f>CHOOSE(CONTROL!$C$42, 5.0267, 5.0267) * CHOOSE(CONTROL!$C$21, $C$9, 100%, $E$9)</f>
        <v>5.0266999999999999</v>
      </c>
      <c r="R44" s="10">
        <f>CHOOSE(CONTROL!$C$42, 5.6263, 5.6263) * CHOOSE(CONTROL!$C$21, $C$9, 100%, $E$9)</f>
        <v>5.6262999999999996</v>
      </c>
      <c r="S44" s="10">
        <f>CHOOSE(CONTROL!$C$42, 4.1332, 4.1332) * CHOOSE(CONTROL!$C$21, $C$9, 100%, $E$9)</f>
        <v>4.1332000000000004</v>
      </c>
      <c r="T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" s="38">
        <f>(1000*CHOOSE(CONTROL!$C$42, 695, 695)*CHOOSE(CONTROL!$C$42, 0.5599, 0.5599)*CHOOSE(CONTROL!$C$42, 31, 31))/1000000</f>
        <v>12.063045499999998</v>
      </c>
      <c r="V44" s="38">
        <f>(1000*CHOOSE(CONTROL!$C$42, 580, 580)*CHOOSE(CONTROL!$C$42, 0.275, 0.275)*CHOOSE(CONTROL!$C$42, 31, 31))/1000000</f>
        <v>4.9444999999999997</v>
      </c>
      <c r="W44" s="38">
        <f>(1000*CHOOSE(CONTROL!$C$42, 0.1146, 0.1146)*CHOOSE(CONTROL!$C$42, 121.5, 121.5)*CHOOSE(CONTROL!$C$42, 31, 31))/1000000</f>
        <v>0.43164089999999994</v>
      </c>
      <c r="X44" s="38">
        <f>(31*0.1790888*245000/1000000)+(31*0.2374*100000/1000000)</f>
        <v>2.0961194359999999</v>
      </c>
      <c r="Y44" s="38"/>
      <c r="Z44" s="38">
        <f t="shared" si="0"/>
        <v>0.3</v>
      </c>
      <c r="AA44" s="10"/>
      <c r="AB44" s="39"/>
      <c r="AC44" s="33">
        <f>(B44*194.205+C44*267.466+D44*133.845+E44*53.484+F44*40+G44*185+H44*0+I44*100+J44*300)/(194.205+267.466+133.845+53.484+0+40+185+100+300)</f>
        <v>4.2581968737048674</v>
      </c>
      <c r="AD44" s="27">
        <f>(M44*'RAP TEMPLATE-GAS AVAILABILITY'!O43+N44*'RAP TEMPLATE-GAS AVAILABILITY'!P43+O44*'RAP TEMPLATE-GAS AVAILABILITY'!Q43+P44*'RAP TEMPLATE-GAS AVAILABILITY'!R43)/('RAP TEMPLATE-GAS AVAILABILITY'!O43+'RAP TEMPLATE-GAS AVAILABILITY'!P43+'RAP TEMPLATE-GAS AVAILABILITY'!Q43+'RAP TEMPLATE-GAS AVAILABILITY'!R43)</f>
        <v>4.2506978417266188</v>
      </c>
    </row>
    <row r="45" spans="1:30" ht="15" x14ac:dyDescent="0.2">
      <c r="A45" s="16">
        <v>42614</v>
      </c>
      <c r="B45" s="10">
        <f>CHOOSE(CONTROL!$C$42, 4.2452, 4.2452) * CHOOSE(CONTROL!$C$21, $C$9, 100%, $E$9)</f>
        <v>4.2451999999999996</v>
      </c>
      <c r="C45" s="10">
        <f>CHOOSE(CONTROL!$C$42, 4.2531, 4.2531) * CHOOSE(CONTROL!$C$21, $C$9, 100%, $E$9)</f>
        <v>4.2530999999999999</v>
      </c>
      <c r="D45" s="10">
        <f>CHOOSE(CONTROL!$C$42, 4.4283, 4.4283) * CHOOSE(CONTROL!$C$21, $C$9, 100%, $E$9)</f>
        <v>4.4283000000000001</v>
      </c>
      <c r="E45" s="10">
        <f>CHOOSE(CONTROL!$C$42, 4.4595, 4.4595) * CHOOSE(CONTROL!$C$21, $C$9, 100%, $E$9)</f>
        <v>4.4595000000000002</v>
      </c>
      <c r="F45" s="10">
        <f>CHOOSE(CONTROL!$C$42, 4.1869, 4.1869)*CHOOSE(CONTROL!$C$21, $C$9, 100%, $E$9)</f>
        <v>4.1868999999999996</v>
      </c>
      <c r="G45" s="10">
        <f>CHOOSE(CONTROL!$C$42, 4.2039, 4.2039)*CHOOSE(CONTROL!$C$21, $C$9, 100%, $E$9)</f>
        <v>4.2039</v>
      </c>
      <c r="H45" s="10">
        <f>CHOOSE(CONTROL!$C$42, 4.4478, 4.4478) * CHOOSE(CONTROL!$C$21, $C$9, 100%, $E$9)</f>
        <v>4.4478</v>
      </c>
      <c r="I45" s="10">
        <f>CHOOSE(CONTROL!$C$42, 4.2198, 4.2198)* CHOOSE(CONTROL!$C$21, $C$9, 100%, $E$9)</f>
        <v>4.2198000000000002</v>
      </c>
      <c r="J45" s="10">
        <f>CHOOSE(CONTROL!$C$42, 4.1795, 4.1795)* CHOOSE(CONTROL!$C$21, $C$9, 100%, $E$9)</f>
        <v>4.1795</v>
      </c>
      <c r="K45" s="10">
        <f>CHOOSE(CONTROL!$C$42, 4.2449, 4.2449) * CHOOSE(CONTROL!$C$21, $C$9, 100%, $E$9)</f>
        <v>4.2449000000000003</v>
      </c>
      <c r="L45" s="10">
        <f>CHOOSE(CONTROL!$C$42, 5.0348, 5.0348) * CHOOSE(CONTROL!$C$21, $C$9, 100%, $E$9)</f>
        <v>5.0347999999999997</v>
      </c>
      <c r="M45" s="10">
        <f>CHOOSE(CONTROL!$C$42, 4.1585, 4.1585) * CHOOSE(CONTROL!$C$21, $C$9, 100%, $E$9)</f>
        <v>4.1585000000000001</v>
      </c>
      <c r="N45" s="10">
        <f>CHOOSE(CONTROL!$C$42, 4.1752, 4.1752) * CHOOSE(CONTROL!$C$21, $C$9, 100%, $E$9)</f>
        <v>4.1752000000000002</v>
      </c>
      <c r="O45" s="10">
        <f>CHOOSE(CONTROL!$C$42, 4.4233, 4.4233) * CHOOSE(CONTROL!$C$21, $C$9, 100%, $E$9)</f>
        <v>4.4233000000000002</v>
      </c>
      <c r="P45" s="10">
        <f>CHOOSE(CONTROL!$C$42, 4.1983, 4.1983) * CHOOSE(CONTROL!$C$21, $C$9, 100%, $E$9)</f>
        <v>4.1982999999999997</v>
      </c>
      <c r="Q45" s="10">
        <f>CHOOSE(CONTROL!$C$42, 5.0186, 5.0186) * CHOOSE(CONTROL!$C$21, $C$9, 100%, $E$9)</f>
        <v>5.0186000000000002</v>
      </c>
      <c r="R45" s="10">
        <f>CHOOSE(CONTROL!$C$42, 5.6181, 5.6181) * CHOOSE(CONTROL!$C$21, $C$9, 100%, $E$9)</f>
        <v>5.6181000000000001</v>
      </c>
      <c r="S45" s="10">
        <f>CHOOSE(CONTROL!$C$42, 4.1252, 4.1252) * CHOOSE(CONTROL!$C$21, $C$9, 100%, $E$9)</f>
        <v>4.1252000000000004</v>
      </c>
      <c r="T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" s="38">
        <f>(1000*CHOOSE(CONTROL!$C$42, 695, 695)*CHOOSE(CONTROL!$C$42, 0.5599, 0.5599)*CHOOSE(CONTROL!$C$42, 30, 30))/1000000</f>
        <v>11.673914999999997</v>
      </c>
      <c r="V45" s="38">
        <f>(1000*CHOOSE(CONTROL!$C$42, 580, 580)*CHOOSE(CONTROL!$C$42, 0.275, 0.275)*CHOOSE(CONTROL!$C$42, 30, 30))/1000000</f>
        <v>4.7850000000000001</v>
      </c>
      <c r="W45" s="38">
        <f>(1000*CHOOSE(CONTROL!$C$42, 0.1146, 0.1146)*CHOOSE(CONTROL!$C$42, 121.5, 121.5)*CHOOSE(CONTROL!$C$42, 30, 30))/1000000</f>
        <v>0.417717</v>
      </c>
      <c r="X45" s="38">
        <f>(30*0.1790888*245000/1000000)+(30*0.2374*100000/1000000)</f>
        <v>2.0285026799999999</v>
      </c>
      <c r="Y45" s="38"/>
      <c r="Z45" s="38">
        <f t="shared" si="0"/>
        <v>0.3</v>
      </c>
      <c r="AA45" s="10"/>
      <c r="AB45" s="39"/>
      <c r="AC45" s="33">
        <f>(B45*194.205+C45*267.466+D45*133.845+E45*53.484+F45*40+G45*185+H45*0+I45*100+J45*300)/(194.205+267.466+133.845+53.484+0+40+185+100+300)</f>
        <v>4.2497989969387762</v>
      </c>
      <c r="AD45" s="27">
        <f>(M45*'RAP TEMPLATE-GAS AVAILABILITY'!O44+N45*'RAP TEMPLATE-GAS AVAILABILITY'!P44+O45*'RAP TEMPLATE-GAS AVAILABILITY'!Q44+P45*'RAP TEMPLATE-GAS AVAILABILITY'!R44)/('RAP TEMPLATE-GAS AVAILABILITY'!O44+'RAP TEMPLATE-GAS AVAILABILITY'!P44+'RAP TEMPLATE-GAS AVAILABILITY'!Q44+'RAP TEMPLATE-GAS AVAILABILITY'!R44)</f>
        <v>4.2423676258992806</v>
      </c>
    </row>
    <row r="46" spans="1:30" ht="15" x14ac:dyDescent="0.2">
      <c r="A46" s="16">
        <v>42644</v>
      </c>
      <c r="B46" s="10">
        <f>CHOOSE(CONTROL!$C$42, 4.2637, 4.2637) * CHOOSE(CONTROL!$C$21, $C$9, 100%, $E$9)</f>
        <v>4.2637</v>
      </c>
      <c r="C46" s="10">
        <f>CHOOSE(CONTROL!$C$42, 4.269, 4.269) * CHOOSE(CONTROL!$C$21, $C$9, 100%, $E$9)</f>
        <v>4.2690000000000001</v>
      </c>
      <c r="D46" s="10">
        <f>CHOOSE(CONTROL!$C$42, 4.449, 4.449) * CHOOSE(CONTROL!$C$21, $C$9, 100%, $E$9)</f>
        <v>4.4489999999999998</v>
      </c>
      <c r="E46" s="10">
        <f>CHOOSE(CONTROL!$C$42, 4.478, 4.478) * CHOOSE(CONTROL!$C$21, $C$9, 100%, $E$9)</f>
        <v>4.4779999999999998</v>
      </c>
      <c r="F46" s="10">
        <f>CHOOSE(CONTROL!$C$42, 4.2075, 4.2075)*CHOOSE(CONTROL!$C$21, $C$9, 100%, $E$9)</f>
        <v>4.2074999999999996</v>
      </c>
      <c r="G46" s="10">
        <f>CHOOSE(CONTROL!$C$42, 4.2241, 4.2241)*CHOOSE(CONTROL!$C$21, $C$9, 100%, $E$9)</f>
        <v>4.2241</v>
      </c>
      <c r="H46" s="10">
        <f>CHOOSE(CONTROL!$C$42, 4.4681, 4.4681) * CHOOSE(CONTROL!$C$21, $C$9, 100%, $E$9)</f>
        <v>4.4680999999999997</v>
      </c>
      <c r="I46" s="10">
        <f>CHOOSE(CONTROL!$C$42, 4.2401, 4.2401)* CHOOSE(CONTROL!$C$21, $C$9, 100%, $E$9)</f>
        <v>4.2401</v>
      </c>
      <c r="J46" s="10">
        <f>CHOOSE(CONTROL!$C$42, 4.2001, 4.2001)* CHOOSE(CONTROL!$C$21, $C$9, 100%, $E$9)</f>
        <v>4.2000999999999999</v>
      </c>
      <c r="K46" s="10">
        <f>CHOOSE(CONTROL!$C$42, 4.2651, 4.2651) * CHOOSE(CONTROL!$C$21, $C$9, 100%, $E$9)</f>
        <v>4.2651000000000003</v>
      </c>
      <c r="L46" s="10">
        <f>CHOOSE(CONTROL!$C$42, 5.0551, 5.0551) * CHOOSE(CONTROL!$C$21, $C$9, 100%, $E$9)</f>
        <v>5.0551000000000004</v>
      </c>
      <c r="M46" s="10">
        <f>CHOOSE(CONTROL!$C$42, 4.1788, 4.1788) * CHOOSE(CONTROL!$C$21, $C$9, 100%, $E$9)</f>
        <v>4.1787999999999998</v>
      </c>
      <c r="N46" s="10">
        <f>CHOOSE(CONTROL!$C$42, 4.1951, 4.1951) * CHOOSE(CONTROL!$C$21, $C$9, 100%, $E$9)</f>
        <v>4.1951000000000001</v>
      </c>
      <c r="O46" s="10">
        <f>CHOOSE(CONTROL!$C$42, 4.4433, 4.4433) * CHOOSE(CONTROL!$C$21, $C$9, 100%, $E$9)</f>
        <v>4.4432999999999998</v>
      </c>
      <c r="P46" s="10">
        <f>CHOOSE(CONTROL!$C$42, 4.2183, 4.2183) * CHOOSE(CONTROL!$C$21, $C$9, 100%, $E$9)</f>
        <v>4.2183000000000002</v>
      </c>
      <c r="Q46" s="10">
        <f>CHOOSE(CONTROL!$C$42, 5.0386, 5.0386) * CHOOSE(CONTROL!$C$21, $C$9, 100%, $E$9)</f>
        <v>5.0385999999999997</v>
      </c>
      <c r="R46" s="10">
        <f>CHOOSE(CONTROL!$C$42, 5.6382, 5.6382) * CHOOSE(CONTROL!$C$21, $C$9, 100%, $E$9)</f>
        <v>5.6382000000000003</v>
      </c>
      <c r="S46" s="10">
        <f>CHOOSE(CONTROL!$C$42, 4.1448, 4.1448) * CHOOSE(CONTROL!$C$21, $C$9, 100%, $E$9)</f>
        <v>4.1448</v>
      </c>
      <c r="T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38">
        <f>(1000*CHOOSE(CONTROL!$C$42, 695, 695)*CHOOSE(CONTROL!$C$42, 0.5599, 0.5599)*CHOOSE(CONTROL!$C$42, 31, 31))/1000000</f>
        <v>12.063045499999998</v>
      </c>
      <c r="V46" s="38">
        <f>(1000*CHOOSE(CONTROL!$C$42, 580, 580)*CHOOSE(CONTROL!$C$42, 0.275, 0.275)*CHOOSE(CONTROL!$C$42, 31, 31))/1000000</f>
        <v>4.9444999999999997</v>
      </c>
      <c r="W46" s="38">
        <f>(1000*CHOOSE(CONTROL!$C$42, 0.1146, 0.1146)*CHOOSE(CONTROL!$C$42, 121.5, 121.5)*CHOOSE(CONTROL!$C$42, 31, 31))/1000000</f>
        <v>0.43164089999999994</v>
      </c>
      <c r="X46" s="38">
        <f>(31*0.1790888*245000/1000000)+(31*0.2374*100000/1000000)</f>
        <v>2.0961194359999999</v>
      </c>
      <c r="Y46" s="38"/>
      <c r="Z46" s="38">
        <f t="shared" si="0"/>
        <v>0.3</v>
      </c>
      <c r="AA46" s="10"/>
      <c r="AB46" s="39"/>
      <c r="AC46" s="33">
        <f>(B46*131.881+C46*277.167+D46*79.08+E46*125.872+F46*40+G46*185+H46*0+I46*100+J46*300)/(131.881+277.167+79.08+125.872+0+40+185+100+300)</f>
        <v>4.2734521216303474</v>
      </c>
      <c r="AD46" s="27">
        <f>(M46*'RAP TEMPLATE-GAS AVAILABILITY'!O45+N46*'RAP TEMPLATE-GAS AVAILABILITY'!P45+O46*'RAP TEMPLATE-GAS AVAILABILITY'!Q45+P46*'RAP TEMPLATE-GAS AVAILABILITY'!R45)/('RAP TEMPLATE-GAS AVAILABILITY'!O45+'RAP TEMPLATE-GAS AVAILABILITY'!P45+'RAP TEMPLATE-GAS AVAILABILITY'!Q45+'RAP TEMPLATE-GAS AVAILABILITY'!R45)</f>
        <v>4.2624482014388487</v>
      </c>
    </row>
    <row r="47" spans="1:30" ht="15" x14ac:dyDescent="0.2">
      <c r="A47" s="16">
        <v>42675</v>
      </c>
      <c r="B47" s="10">
        <f>CHOOSE(CONTROL!$C$42, 4.3252, 4.3252) * CHOOSE(CONTROL!$C$21, $C$9, 100%, $E$9)</f>
        <v>4.3251999999999997</v>
      </c>
      <c r="C47" s="10">
        <f>CHOOSE(CONTROL!$C$42, 4.3303, 4.3303) * CHOOSE(CONTROL!$C$21, $C$9, 100%, $E$9)</f>
        <v>4.3303000000000003</v>
      </c>
      <c r="D47" s="10">
        <f>CHOOSE(CONTROL!$C$42, 4.355, 4.355) * CHOOSE(CONTROL!$C$21, $C$9, 100%, $E$9)</f>
        <v>4.3550000000000004</v>
      </c>
      <c r="E47" s="10">
        <f>CHOOSE(CONTROL!$C$42, 4.3888, 4.3888) * CHOOSE(CONTROL!$C$21, $C$9, 100%, $E$9)</f>
        <v>4.3887999999999998</v>
      </c>
      <c r="F47" s="10">
        <f>CHOOSE(CONTROL!$C$42, 4.2909, 4.2909)*CHOOSE(CONTROL!$C$21, $C$9, 100%, $E$9)</f>
        <v>4.2908999999999997</v>
      </c>
      <c r="G47" s="10">
        <f>CHOOSE(CONTROL!$C$42, 4.3077, 4.3077)*CHOOSE(CONTROL!$C$21, $C$9, 100%, $E$9)</f>
        <v>4.3076999999999996</v>
      </c>
      <c r="H47" s="10">
        <f>CHOOSE(CONTROL!$C$42, 4.3777, 4.3777) * CHOOSE(CONTROL!$C$21, $C$9, 100%, $E$9)</f>
        <v>4.3776999999999999</v>
      </c>
      <c r="I47" s="10">
        <f>CHOOSE(CONTROL!$C$42, 4.3247, 4.3247)* CHOOSE(CONTROL!$C$21, $C$9, 100%, $E$9)</f>
        <v>4.3247</v>
      </c>
      <c r="J47" s="10">
        <f>CHOOSE(CONTROL!$C$42, 4.2835, 4.2835)* CHOOSE(CONTROL!$C$21, $C$9, 100%, $E$9)</f>
        <v>4.2835000000000001</v>
      </c>
      <c r="K47" s="10">
        <f>CHOOSE(CONTROL!$C$42, 4.3489, 4.3489) * CHOOSE(CONTROL!$C$21, $C$9, 100%, $E$9)</f>
        <v>4.3489000000000004</v>
      </c>
      <c r="L47" s="10">
        <f>CHOOSE(CONTROL!$C$42, 4.9647, 4.9647) * CHOOSE(CONTROL!$C$21, $C$9, 100%, $E$9)</f>
        <v>4.9646999999999997</v>
      </c>
      <c r="M47" s="10">
        <f>CHOOSE(CONTROL!$C$42, 4.2611, 4.2611) * CHOOSE(CONTROL!$C$21, $C$9, 100%, $E$9)</f>
        <v>4.2610999999999999</v>
      </c>
      <c r="N47" s="10">
        <f>CHOOSE(CONTROL!$C$42, 4.2777, 4.2777) * CHOOSE(CONTROL!$C$21, $C$9, 100%, $E$9)</f>
        <v>4.2777000000000003</v>
      </c>
      <c r="O47" s="10">
        <f>CHOOSE(CONTROL!$C$42, 4.3541, 4.3541) * CHOOSE(CONTROL!$C$21, $C$9, 100%, $E$9)</f>
        <v>4.3540999999999999</v>
      </c>
      <c r="P47" s="10">
        <f>CHOOSE(CONTROL!$C$42, 4.3019, 4.3019) * CHOOSE(CONTROL!$C$21, $C$9, 100%, $E$9)</f>
        <v>4.3018999999999998</v>
      </c>
      <c r="Q47" s="10">
        <f>CHOOSE(CONTROL!$C$42, 4.9494, 4.9494) * CHOOSE(CONTROL!$C$21, $C$9, 100%, $E$9)</f>
        <v>4.9493999999999998</v>
      </c>
      <c r="R47" s="10">
        <f>CHOOSE(CONTROL!$C$42, 5.5488, 5.5488) * CHOOSE(CONTROL!$C$21, $C$9, 100%, $E$9)</f>
        <v>5.5488</v>
      </c>
      <c r="S47" s="10">
        <f>CHOOSE(CONTROL!$C$42, 4.2048, 4.2048) * CHOOSE(CONTROL!$C$21, $C$9, 100%, $E$9)</f>
        <v>4.2047999999999996</v>
      </c>
      <c r="T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38">
        <f>(1000*CHOOSE(CONTROL!$C$42, 695, 695)*CHOOSE(CONTROL!$C$42, 0.5599, 0.5599)*CHOOSE(CONTROL!$C$42, 30, 30))/1000000</f>
        <v>11.673914999999997</v>
      </c>
      <c r="V47" s="38">
        <f>(1000*CHOOSE(CONTROL!$C$42, 580, 580)*CHOOSE(CONTROL!$C$42, 0.275, 0.275)*CHOOSE(CONTROL!$C$42, 30, 30))/1000000</f>
        <v>4.7850000000000001</v>
      </c>
      <c r="W47" s="38">
        <f>(1000*CHOOSE(CONTROL!$C$42, 0.1146, 0.1146)*CHOOSE(CONTROL!$C$42, 121.5, 121.5)*CHOOSE(CONTROL!$C$42, 30, 30))/1000000</f>
        <v>0.417717</v>
      </c>
      <c r="X47" s="38">
        <f>(30*0.1790888*100000/1000000)+(30*0.2374*100000/1000000)</f>
        <v>1.2494664</v>
      </c>
      <c r="Y47" s="38"/>
      <c r="Z47" s="38">
        <f t="shared" si="0"/>
        <v>0.3</v>
      </c>
      <c r="AA47" s="10"/>
      <c r="AB47" s="39"/>
      <c r="AC47" s="33">
        <f>(B47*122.58+C47*297.941+D47*89.177+E47*40.302+F47*40+G47*160+H47*0+I47*100+J47*300)/(122.58+297.941+89.177+40.302+0+40+160+100+300)</f>
        <v>4.3165114616521745</v>
      </c>
      <c r="AD47" s="27">
        <f>(M47*'RAP TEMPLATE-GAS AVAILABILITY'!O46+N47*'RAP TEMPLATE-GAS AVAILABILITY'!P46+O47*'RAP TEMPLATE-GAS AVAILABILITY'!Q46+P47*'RAP TEMPLATE-GAS AVAILABILITY'!R46)/('RAP TEMPLATE-GAS AVAILABILITY'!O46+'RAP TEMPLATE-GAS AVAILABILITY'!P46+'RAP TEMPLATE-GAS AVAILABILITY'!Q46+'RAP TEMPLATE-GAS AVAILABILITY'!R46)</f>
        <v>4.3100769784172668</v>
      </c>
    </row>
    <row r="48" spans="1:30" ht="15" x14ac:dyDescent="0.2">
      <c r="A48" s="16">
        <v>42705</v>
      </c>
      <c r="B48" s="10">
        <f>CHOOSE(CONTROL!$C$42, 4.4853, 4.4853) * CHOOSE(CONTROL!$C$21, $C$9, 100%, $E$9)</f>
        <v>4.4852999999999996</v>
      </c>
      <c r="C48" s="10">
        <f>CHOOSE(CONTROL!$C$42, 4.4904, 4.4904) * CHOOSE(CONTROL!$C$21, $C$9, 100%, $E$9)</f>
        <v>4.4904000000000002</v>
      </c>
      <c r="D48" s="10">
        <f>CHOOSE(CONTROL!$C$42, 4.5151, 4.5151) * CHOOSE(CONTROL!$C$21, $C$9, 100%, $E$9)</f>
        <v>4.5151000000000003</v>
      </c>
      <c r="E48" s="10">
        <f>CHOOSE(CONTROL!$C$42, 4.5489, 4.5489) * CHOOSE(CONTROL!$C$21, $C$9, 100%, $E$9)</f>
        <v>4.5488999999999997</v>
      </c>
      <c r="F48" s="10">
        <f>CHOOSE(CONTROL!$C$42, 4.4527, 4.4527)*CHOOSE(CONTROL!$C$21, $C$9, 100%, $E$9)</f>
        <v>4.4527000000000001</v>
      </c>
      <c r="G48" s="10">
        <f>CHOOSE(CONTROL!$C$42, 4.47, 4.47)*CHOOSE(CONTROL!$C$21, $C$9, 100%, $E$9)</f>
        <v>4.47</v>
      </c>
      <c r="H48" s="10">
        <f>CHOOSE(CONTROL!$C$42, 4.5378, 4.5378) * CHOOSE(CONTROL!$C$21, $C$9, 100%, $E$9)</f>
        <v>4.5377999999999998</v>
      </c>
      <c r="I48" s="10">
        <f>CHOOSE(CONTROL!$C$42, 4.4848, 4.4848)* CHOOSE(CONTROL!$C$21, $C$9, 100%, $E$9)</f>
        <v>4.4847999999999999</v>
      </c>
      <c r="J48" s="10">
        <f>CHOOSE(CONTROL!$C$42, 4.4453, 4.4453)* CHOOSE(CONTROL!$C$21, $C$9, 100%, $E$9)</f>
        <v>4.4452999999999996</v>
      </c>
      <c r="K48" s="10">
        <f>CHOOSE(CONTROL!$C$42, 4.5079, 4.5079) * CHOOSE(CONTROL!$C$21, $C$9, 100%, $E$9)</f>
        <v>4.5079000000000002</v>
      </c>
      <c r="L48" s="10">
        <f>CHOOSE(CONTROL!$C$42, 5.1248, 5.1248) * CHOOSE(CONTROL!$C$21, $C$9, 100%, $E$9)</f>
        <v>5.1247999999999996</v>
      </c>
      <c r="M48" s="10">
        <f>CHOOSE(CONTROL!$C$42, 4.4208, 4.4208) * CHOOSE(CONTROL!$C$21, $C$9, 100%, $E$9)</f>
        <v>4.4207999999999998</v>
      </c>
      <c r="N48" s="10">
        <f>CHOOSE(CONTROL!$C$42, 4.4379, 4.4379) * CHOOSE(CONTROL!$C$21, $C$9, 100%, $E$9)</f>
        <v>4.4379</v>
      </c>
      <c r="O48" s="10">
        <f>CHOOSE(CONTROL!$C$42, 4.5121, 4.5121) * CHOOSE(CONTROL!$C$21, $C$9, 100%, $E$9)</f>
        <v>4.5121000000000002</v>
      </c>
      <c r="P48" s="10">
        <f>CHOOSE(CONTROL!$C$42, 4.4599, 4.4599) * CHOOSE(CONTROL!$C$21, $C$9, 100%, $E$9)</f>
        <v>4.4599000000000002</v>
      </c>
      <c r="Q48" s="10">
        <f>CHOOSE(CONTROL!$C$42, 5.1074, 5.1074) * CHOOSE(CONTROL!$C$21, $C$9, 100%, $E$9)</f>
        <v>5.1074000000000002</v>
      </c>
      <c r="R48" s="10">
        <f>CHOOSE(CONTROL!$C$42, 5.7072, 5.7072) * CHOOSE(CONTROL!$C$21, $C$9, 100%, $E$9)</f>
        <v>5.7072000000000003</v>
      </c>
      <c r="S48" s="10">
        <f>CHOOSE(CONTROL!$C$42, 4.3598, 4.3598) * CHOOSE(CONTROL!$C$21, $C$9, 100%, $E$9)</f>
        <v>4.3597999999999999</v>
      </c>
      <c r="T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38">
        <f>(1000*CHOOSE(CONTROL!$C$42, 695, 695)*CHOOSE(CONTROL!$C$42, 0.5599, 0.5599)*CHOOSE(CONTROL!$C$42, 31, 31))/1000000</f>
        <v>12.063045499999998</v>
      </c>
      <c r="V48" s="38">
        <f>(1000*CHOOSE(CONTROL!$C$42, 580, 580)*CHOOSE(CONTROL!$C$42, 0.275, 0.275)*CHOOSE(CONTROL!$C$42, 31, 31))/1000000</f>
        <v>4.9444999999999997</v>
      </c>
      <c r="W48" s="38">
        <f>(1000*CHOOSE(CONTROL!$C$42, 0.1146, 0.1146)*CHOOSE(CONTROL!$C$42, 121.5, 121.5)*CHOOSE(CONTROL!$C$42, 31, 31))/1000000</f>
        <v>0.43164089999999994</v>
      </c>
      <c r="X48" s="38">
        <f>(31*0.1790888*100000/1000000)+(31*0.2374*100000/1000000)</f>
        <v>1.2911152800000001</v>
      </c>
      <c r="Y48" s="38"/>
      <c r="Z48" s="38">
        <f t="shared" si="0"/>
        <v>0.3</v>
      </c>
      <c r="AA48" s="10"/>
      <c r="AB48" s="39"/>
      <c r="AC48" s="33">
        <f>(B48*122.58+C48*297.941+D48*89.177+E48*40.302+F48*40+G48*160+H48*0+I48*100+J48*300)/(122.58+297.941+89.177+40.302+0+40+160+100+300)</f>
        <v>4.4774201573043477</v>
      </c>
      <c r="AD48" s="27">
        <f>(M48*'RAP TEMPLATE-GAS AVAILABILITY'!O47+N48*'RAP TEMPLATE-GAS AVAILABILITY'!P47+O48*'RAP TEMPLATE-GAS AVAILABILITY'!Q47+P48*'RAP TEMPLATE-GAS AVAILABILITY'!R47)/('RAP TEMPLATE-GAS AVAILABILITY'!O47+'RAP TEMPLATE-GAS AVAILABILITY'!P47+'RAP TEMPLATE-GAS AVAILABILITY'!Q47+'RAP TEMPLATE-GAS AVAILABILITY'!R47)</f>
        <v>4.4687906474820149</v>
      </c>
    </row>
    <row r="49" spans="1:30" ht="15" x14ac:dyDescent="0.2">
      <c r="A49" s="16">
        <v>42736</v>
      </c>
      <c r="B49" s="10">
        <f>CHOOSE(CONTROL!$C$42, 4.8424, 4.8424) * CHOOSE(CONTROL!$C$21, $C$9, 100%, $E$9)</f>
        <v>4.8423999999999996</v>
      </c>
      <c r="C49" s="10">
        <f>CHOOSE(CONTROL!$C$42, 4.8475, 4.8475) * CHOOSE(CONTROL!$C$21, $C$9, 100%, $E$9)</f>
        <v>4.8475000000000001</v>
      </c>
      <c r="D49" s="10">
        <f>CHOOSE(CONTROL!$C$42, 4.8825, 4.8825) * CHOOSE(CONTROL!$C$21, $C$9, 100%, $E$9)</f>
        <v>4.8825000000000003</v>
      </c>
      <c r="E49" s="10">
        <f>CHOOSE(CONTROL!$C$42, 4.9163, 4.9163) * CHOOSE(CONTROL!$C$21, $C$9, 100%, $E$9)</f>
        <v>4.9162999999999997</v>
      </c>
      <c r="F49" s="10">
        <f>CHOOSE(CONTROL!$C$42, 4.8236, 4.8236)*CHOOSE(CONTROL!$C$21, $C$9, 100%, $E$9)</f>
        <v>4.8235999999999999</v>
      </c>
      <c r="G49" s="10">
        <f>CHOOSE(CONTROL!$C$42, 4.8425, 4.8425)*CHOOSE(CONTROL!$C$21, $C$9, 100%, $E$9)</f>
        <v>4.8425000000000002</v>
      </c>
      <c r="H49" s="10">
        <f>CHOOSE(CONTROL!$C$42, 4.9052, 4.9052) * CHOOSE(CONTROL!$C$21, $C$9, 100%, $E$9)</f>
        <v>4.9051999999999998</v>
      </c>
      <c r="I49" s="10">
        <f>CHOOSE(CONTROL!$C$42, 4.8496, 4.8496)* CHOOSE(CONTROL!$C$21, $C$9, 100%, $E$9)</f>
        <v>4.8495999999999997</v>
      </c>
      <c r="J49" s="10">
        <f>CHOOSE(CONTROL!$C$42, 4.8162, 4.8162)* CHOOSE(CONTROL!$C$21, $C$9, 100%, $E$9)</f>
        <v>4.8162000000000003</v>
      </c>
      <c r="K49" s="10">
        <f>CHOOSE(CONTROL!$C$42, 4.8746, 4.8746) * CHOOSE(CONTROL!$C$21, $C$9, 100%, $E$9)</f>
        <v>4.8746</v>
      </c>
      <c r="L49" s="10">
        <f>CHOOSE(CONTROL!$C$42, 5.4922, 5.4922) * CHOOSE(CONTROL!$C$21, $C$9, 100%, $E$9)</f>
        <v>5.4922000000000004</v>
      </c>
      <c r="M49" s="10">
        <f>CHOOSE(CONTROL!$C$42, 4.7869, 4.7869) * CHOOSE(CONTROL!$C$21, $C$9, 100%, $E$9)</f>
        <v>4.7869000000000002</v>
      </c>
      <c r="N49" s="10">
        <f>CHOOSE(CONTROL!$C$42, 4.8056, 4.8056) * CHOOSE(CONTROL!$C$21, $C$9, 100%, $E$9)</f>
        <v>4.8056000000000001</v>
      </c>
      <c r="O49" s="10">
        <f>CHOOSE(CONTROL!$C$42, 4.8747, 4.8747) * CHOOSE(CONTROL!$C$21, $C$9, 100%, $E$9)</f>
        <v>4.8746999999999998</v>
      </c>
      <c r="P49" s="10">
        <f>CHOOSE(CONTROL!$C$42, 4.8199, 4.8199) * CHOOSE(CONTROL!$C$21, $C$9, 100%, $E$9)</f>
        <v>4.8198999999999996</v>
      </c>
      <c r="Q49" s="10">
        <f>CHOOSE(CONTROL!$C$42, 5.47, 5.47) * CHOOSE(CONTROL!$C$21, $C$9, 100%, $E$9)</f>
        <v>5.47</v>
      </c>
      <c r="R49" s="10">
        <f>CHOOSE(CONTROL!$C$42, 6.0707, 6.0707) * CHOOSE(CONTROL!$C$21, $C$9, 100%, $E$9)</f>
        <v>6.0707000000000004</v>
      </c>
      <c r="S49" s="10">
        <f>CHOOSE(CONTROL!$C$42, 4.7055, 4.7055) * CHOOSE(CONTROL!$C$21, $C$9, 100%, $E$9)</f>
        <v>4.7054999999999998</v>
      </c>
      <c r="T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38">
        <f>(1000*CHOOSE(CONTROL!$C$42, 695, 695)*CHOOSE(CONTROL!$C$42, 0.5599, 0.5599)*CHOOSE(CONTROL!$C$42, 31, 31))/1000000</f>
        <v>12.063045499999998</v>
      </c>
      <c r="V49" s="38">
        <f>(1000*CHOOSE(CONTROL!$C$42, 580, 580)*CHOOSE(CONTROL!$C$42, 0.275, 0.275)*CHOOSE(CONTROL!$C$42, 31, 31))/1000000</f>
        <v>4.9444999999999997</v>
      </c>
      <c r="W49" s="38">
        <f>(1000*CHOOSE(CONTROL!$C$42, 0.1146, 0.1146)*CHOOSE(CONTROL!$C$42, 121.5, 121.5)*CHOOSE(CONTROL!$C$42, 31, 31))/1000000</f>
        <v>0.43164089999999994</v>
      </c>
      <c r="X49" s="38">
        <f>(31*0.1790888*100000/1000000)+(31*0.2374*100000/1000000)</f>
        <v>1.2911152800000001</v>
      </c>
      <c r="Y49" s="38"/>
      <c r="Z49" s="38">
        <f t="shared" si="0"/>
        <v>0.3</v>
      </c>
      <c r="AA49" s="10"/>
      <c r="AB49" s="39"/>
      <c r="AC49" s="33">
        <f>(B49*122.58+C49*297.941+D49*89.177+E49*40.302+F49*40+G49*160+H49*0+I49*100+J49*300)/(122.58+297.941+89.177+40.302+0+40+160+100+300)</f>
        <v>4.8425720126956522</v>
      </c>
      <c r="AD49" s="27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4.8325187050359704</v>
      </c>
    </row>
    <row r="50" spans="1:30" ht="15" x14ac:dyDescent="0.2">
      <c r="A50" s="16">
        <v>42767</v>
      </c>
      <c r="B50" s="10">
        <f>CHOOSE(CONTROL!$C$42, 4.9289, 4.9289) * CHOOSE(CONTROL!$C$21, $C$9, 100%, $E$9)</f>
        <v>4.9288999999999996</v>
      </c>
      <c r="C50" s="10">
        <f>CHOOSE(CONTROL!$C$42, 4.934, 4.934) * CHOOSE(CONTROL!$C$21, $C$9, 100%, $E$9)</f>
        <v>4.9340000000000002</v>
      </c>
      <c r="D50" s="10">
        <f>CHOOSE(CONTROL!$C$42, 4.969, 4.969) * CHOOSE(CONTROL!$C$21, $C$9, 100%, $E$9)</f>
        <v>4.9690000000000003</v>
      </c>
      <c r="E50" s="10">
        <f>CHOOSE(CONTROL!$C$42, 5.0028, 5.0028) * CHOOSE(CONTROL!$C$21, $C$9, 100%, $E$9)</f>
        <v>5.0027999999999997</v>
      </c>
      <c r="F50" s="10">
        <f>CHOOSE(CONTROL!$C$42, 4.9096, 4.9096)*CHOOSE(CONTROL!$C$21, $C$9, 100%, $E$9)</f>
        <v>4.9096000000000002</v>
      </c>
      <c r="G50" s="10">
        <f>CHOOSE(CONTROL!$C$42, 4.9284, 4.9284)*CHOOSE(CONTROL!$C$21, $C$9, 100%, $E$9)</f>
        <v>4.9283999999999999</v>
      </c>
      <c r="H50" s="10">
        <f>CHOOSE(CONTROL!$C$42, 4.9916, 4.9916) * CHOOSE(CONTROL!$C$21, $C$9, 100%, $E$9)</f>
        <v>4.9916</v>
      </c>
      <c r="I50" s="10">
        <f>CHOOSE(CONTROL!$C$42, 4.9361, 4.9361)* CHOOSE(CONTROL!$C$21, $C$9, 100%, $E$9)</f>
        <v>4.9360999999999997</v>
      </c>
      <c r="J50" s="10">
        <f>CHOOSE(CONTROL!$C$42, 4.9022, 4.9022)* CHOOSE(CONTROL!$C$21, $C$9, 100%, $E$9)</f>
        <v>4.9021999999999997</v>
      </c>
      <c r="K50" s="10">
        <f>CHOOSE(CONTROL!$C$42, 4.9572, 4.9572) * CHOOSE(CONTROL!$C$21, $C$9, 100%, $E$9)</f>
        <v>4.9572000000000003</v>
      </c>
      <c r="L50" s="10">
        <f>CHOOSE(CONTROL!$C$42, 5.5786, 5.5786) * CHOOSE(CONTROL!$C$21, $C$9, 100%, $E$9)</f>
        <v>5.5785999999999998</v>
      </c>
      <c r="M50" s="10">
        <f>CHOOSE(CONTROL!$C$42, 4.8718, 4.8718) * CHOOSE(CONTROL!$C$21, $C$9, 100%, $E$9)</f>
        <v>4.8718000000000004</v>
      </c>
      <c r="N50" s="10">
        <f>CHOOSE(CONTROL!$C$42, 4.8903, 4.8903) * CHOOSE(CONTROL!$C$21, $C$9, 100%, $E$9)</f>
        <v>4.8902999999999999</v>
      </c>
      <c r="O50" s="10">
        <f>CHOOSE(CONTROL!$C$42, 4.9601, 4.9601) * CHOOSE(CONTROL!$C$21, $C$9, 100%, $E$9)</f>
        <v>4.9600999999999997</v>
      </c>
      <c r="P50" s="10">
        <f>CHOOSE(CONTROL!$C$42, 4.9053, 4.9053) * CHOOSE(CONTROL!$C$21, $C$9, 100%, $E$9)</f>
        <v>4.9053000000000004</v>
      </c>
      <c r="Q50" s="10">
        <f>CHOOSE(CONTROL!$C$42, 5.5554, 5.5554) * CHOOSE(CONTROL!$C$21, $C$9, 100%, $E$9)</f>
        <v>5.5553999999999997</v>
      </c>
      <c r="R50" s="10">
        <f>CHOOSE(CONTROL!$C$42, 6.1563, 6.1563) * CHOOSE(CONTROL!$C$21, $C$9, 100%, $E$9)</f>
        <v>6.1562999999999999</v>
      </c>
      <c r="S50" s="10">
        <f>CHOOSE(CONTROL!$C$42, 4.7893, 4.7893) * CHOOSE(CONTROL!$C$21, $C$9, 100%, $E$9)</f>
        <v>4.7892999999999999</v>
      </c>
      <c r="T5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" s="38">
        <f>(1000*CHOOSE(CONTROL!$C$42, 695, 695)*CHOOSE(CONTROL!$C$42, 0.5599, 0.5599)*CHOOSE(CONTROL!$C$42, 28, 28))/1000000</f>
        <v>10.895653999999999</v>
      </c>
      <c r="V50" s="38">
        <f>(1000*CHOOSE(CONTROL!$C$42, 580, 580)*CHOOSE(CONTROL!$C$42, 0.275, 0.275)*CHOOSE(CONTROL!$C$42, 28, 28))/1000000</f>
        <v>4.4660000000000002</v>
      </c>
      <c r="W50" s="38">
        <f>(1000*CHOOSE(CONTROL!$C$42, 0.1146, 0.1146)*CHOOSE(CONTROL!$C$42, 121.5, 121.5)*CHOOSE(CONTROL!$C$42, 28, 28))/1000000</f>
        <v>0.38986920000000003</v>
      </c>
      <c r="X50" s="38">
        <f>(28*0.1790888*100000/1000000)+(28*0.2374*100000/1000000)</f>
        <v>1.16616864</v>
      </c>
      <c r="Y50" s="38"/>
      <c r="Z50" s="38">
        <f t="shared" si="0"/>
        <v>0.3</v>
      </c>
      <c r="AA50" s="10"/>
      <c r="AB50" s="39"/>
      <c r="AC50" s="33">
        <f>(B50*122.58+C50*297.941+D50*89.177+E50*40.302+F50*40+G50*160+H50*0+I50*100+J50*300)/(122.58+297.941+89.177+40.302+0+40+160+100+300)</f>
        <v>4.9288407083478258</v>
      </c>
      <c r="AD50" s="27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4.9177057553956836</v>
      </c>
    </row>
    <row r="51" spans="1:30" ht="15" x14ac:dyDescent="0.2">
      <c r="A51" s="16">
        <v>42795</v>
      </c>
      <c r="B51" s="10">
        <f>CHOOSE(CONTROL!$C$42, 4.7885, 4.7885) * CHOOSE(CONTROL!$C$21, $C$9, 100%, $E$9)</f>
        <v>4.7885</v>
      </c>
      <c r="C51" s="10">
        <f>CHOOSE(CONTROL!$C$42, 4.7936, 4.7936) * CHOOSE(CONTROL!$C$21, $C$9, 100%, $E$9)</f>
        <v>4.7935999999999996</v>
      </c>
      <c r="D51" s="10">
        <f>CHOOSE(CONTROL!$C$42, 4.8286, 4.8286) * CHOOSE(CONTROL!$C$21, $C$9, 100%, $E$9)</f>
        <v>4.8285999999999998</v>
      </c>
      <c r="E51" s="10">
        <f>CHOOSE(CONTROL!$C$42, 4.8624, 4.8624) * CHOOSE(CONTROL!$C$21, $C$9, 100%, $E$9)</f>
        <v>4.8624000000000001</v>
      </c>
      <c r="F51" s="10">
        <f>CHOOSE(CONTROL!$C$42, 4.7678, 4.7678)*CHOOSE(CONTROL!$C$21, $C$9, 100%, $E$9)</f>
        <v>4.7678000000000003</v>
      </c>
      <c r="G51" s="10">
        <f>CHOOSE(CONTROL!$C$42, 4.7862, 4.7862)*CHOOSE(CONTROL!$C$21, $C$9, 100%, $E$9)</f>
        <v>4.7862</v>
      </c>
      <c r="H51" s="10">
        <f>CHOOSE(CONTROL!$C$42, 4.8513, 4.8513) * CHOOSE(CONTROL!$C$21, $C$9, 100%, $E$9)</f>
        <v>4.8513000000000002</v>
      </c>
      <c r="I51" s="10">
        <f>CHOOSE(CONTROL!$C$42, 4.7957, 4.7957)* CHOOSE(CONTROL!$C$21, $C$9, 100%, $E$9)</f>
        <v>4.7957000000000001</v>
      </c>
      <c r="J51" s="10">
        <f>CHOOSE(CONTROL!$C$42, 4.7604, 4.7604)* CHOOSE(CONTROL!$C$21, $C$9, 100%, $E$9)</f>
        <v>4.7603999999999997</v>
      </c>
      <c r="K51" s="10">
        <f>CHOOSE(CONTROL!$C$42, 4.8182, 4.8182) * CHOOSE(CONTROL!$C$21, $C$9, 100%, $E$9)</f>
        <v>4.8182</v>
      </c>
      <c r="L51" s="10">
        <f>CHOOSE(CONTROL!$C$42, 5.4383, 5.4383) * CHOOSE(CONTROL!$C$21, $C$9, 100%, $E$9)</f>
        <v>5.4382999999999999</v>
      </c>
      <c r="M51" s="10">
        <f>CHOOSE(CONTROL!$C$42, 4.7319, 4.7319) * CHOOSE(CONTROL!$C$21, $C$9, 100%, $E$9)</f>
        <v>4.7319000000000004</v>
      </c>
      <c r="N51" s="10">
        <f>CHOOSE(CONTROL!$C$42, 4.75, 4.75) * CHOOSE(CONTROL!$C$21, $C$9, 100%, $E$9)</f>
        <v>4.75</v>
      </c>
      <c r="O51" s="10">
        <f>CHOOSE(CONTROL!$C$42, 4.8215, 4.8215) * CHOOSE(CONTROL!$C$21, $C$9, 100%, $E$9)</f>
        <v>4.8215000000000003</v>
      </c>
      <c r="P51" s="10">
        <f>CHOOSE(CONTROL!$C$42, 4.7667, 4.7667) * CHOOSE(CONTROL!$C$21, $C$9, 100%, $E$9)</f>
        <v>4.7667000000000002</v>
      </c>
      <c r="Q51" s="10">
        <f>CHOOSE(CONTROL!$C$42, 5.4168, 5.4168) * CHOOSE(CONTROL!$C$21, $C$9, 100%, $E$9)</f>
        <v>5.4168000000000003</v>
      </c>
      <c r="R51" s="10">
        <f>CHOOSE(CONTROL!$C$42, 6.0173, 6.0173) * CHOOSE(CONTROL!$C$21, $C$9, 100%, $E$9)</f>
        <v>6.0172999999999996</v>
      </c>
      <c r="S51" s="10">
        <f>CHOOSE(CONTROL!$C$42, 4.6533, 4.6533) * CHOOSE(CONTROL!$C$21, $C$9, 100%, $E$9)</f>
        <v>4.6532999999999998</v>
      </c>
      <c r="T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38">
        <f>(1000*CHOOSE(CONTROL!$C$42, 695, 695)*CHOOSE(CONTROL!$C$42, 0.5599, 0.5599)*CHOOSE(CONTROL!$C$42, 31, 31))/1000000</f>
        <v>12.063045499999998</v>
      </c>
      <c r="V51" s="38">
        <f>(1000*CHOOSE(CONTROL!$C$42, 580, 580)*CHOOSE(CONTROL!$C$42, 0.275, 0.275)*CHOOSE(CONTROL!$C$42, 31, 31))/1000000</f>
        <v>4.9444999999999997</v>
      </c>
      <c r="W51" s="38">
        <f>(1000*CHOOSE(CONTROL!$C$42, 0.1146, 0.1146)*CHOOSE(CONTROL!$C$42, 121.5, 121.5)*CHOOSE(CONTROL!$C$42, 31, 31))/1000000</f>
        <v>0.43164089999999994</v>
      </c>
      <c r="X51" s="38">
        <f>(31*0.1790888*100000/1000000)+(31*0.2374*100000/1000000)</f>
        <v>1.2911152800000001</v>
      </c>
      <c r="Y51" s="38"/>
      <c r="Z51" s="38">
        <f t="shared" si="0"/>
        <v>0.3</v>
      </c>
      <c r="AA51" s="10"/>
      <c r="AB51" s="39"/>
      <c r="AC51" s="33">
        <f>(B51*122.58+C51*297.941+D51*89.177+E51*40.302+F51*40+G51*160+H51*0+I51*100+J51*300)/(122.58+297.941+89.177+40.302+0+40+160+100+300)</f>
        <v>4.7877763605217387</v>
      </c>
      <c r="AD51" s="27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4.7785589928057552</v>
      </c>
    </row>
    <row r="52" spans="1:30" ht="15" x14ac:dyDescent="0.2">
      <c r="A52" s="16">
        <v>42826</v>
      </c>
      <c r="B52" s="10">
        <f>CHOOSE(CONTROL!$C$42, 4.7748, 4.7748) * CHOOSE(CONTROL!$C$21, $C$9, 100%, $E$9)</f>
        <v>4.7747999999999999</v>
      </c>
      <c r="C52" s="10">
        <f>CHOOSE(CONTROL!$C$42, 4.7794, 4.7794) * CHOOSE(CONTROL!$C$21, $C$9, 100%, $E$9)</f>
        <v>4.7793999999999999</v>
      </c>
      <c r="D52" s="10">
        <f>CHOOSE(CONTROL!$C$42, 4.9576, 4.9576) * CHOOSE(CONTROL!$C$21, $C$9, 100%, $E$9)</f>
        <v>4.9576000000000002</v>
      </c>
      <c r="E52" s="10">
        <f>CHOOSE(CONTROL!$C$42, 4.9894, 4.9894) * CHOOSE(CONTROL!$C$21, $C$9, 100%, $E$9)</f>
        <v>4.9893999999999998</v>
      </c>
      <c r="F52" s="10">
        <f>CHOOSE(CONTROL!$C$42, 4.7183, 4.7183)*CHOOSE(CONTROL!$C$21, $C$9, 100%, $E$9)</f>
        <v>4.7183000000000002</v>
      </c>
      <c r="G52" s="10">
        <f>CHOOSE(CONTROL!$C$42, 4.7349, 4.7349)*CHOOSE(CONTROL!$C$21, $C$9, 100%, $E$9)</f>
        <v>4.7348999999999997</v>
      </c>
      <c r="H52" s="10">
        <f>CHOOSE(CONTROL!$C$42, 4.9789, 4.9789) * CHOOSE(CONTROL!$C$21, $C$9, 100%, $E$9)</f>
        <v>4.9789000000000003</v>
      </c>
      <c r="I52" s="10">
        <f>CHOOSE(CONTROL!$C$42, 4.7508, 4.7508)* CHOOSE(CONTROL!$C$21, $C$9, 100%, $E$9)</f>
        <v>4.7507999999999999</v>
      </c>
      <c r="J52" s="10">
        <f>CHOOSE(CONTROL!$C$42, 4.7109, 4.7109)* CHOOSE(CONTROL!$C$21, $C$9, 100%, $E$9)</f>
        <v>4.7108999999999996</v>
      </c>
      <c r="K52" s="10">
        <f>CHOOSE(CONTROL!$C$42, 4.76, 4.76) * CHOOSE(CONTROL!$C$21, $C$9, 100%, $E$9)</f>
        <v>4.76</v>
      </c>
      <c r="L52" s="10">
        <f>CHOOSE(CONTROL!$C$42, 5.5659, 5.5659) * CHOOSE(CONTROL!$C$21, $C$9, 100%, $E$9)</f>
        <v>5.5659000000000001</v>
      </c>
      <c r="M52" s="10">
        <f>CHOOSE(CONTROL!$C$42, 4.683, 4.683) * CHOOSE(CONTROL!$C$21, $C$9, 100%, $E$9)</f>
        <v>4.6829999999999998</v>
      </c>
      <c r="N52" s="10">
        <f>CHOOSE(CONTROL!$C$42, 4.6993, 4.6993) * CHOOSE(CONTROL!$C$21, $C$9, 100%, $E$9)</f>
        <v>4.6993</v>
      </c>
      <c r="O52" s="10">
        <f>CHOOSE(CONTROL!$C$42, 4.9475, 4.9475) * CHOOSE(CONTROL!$C$21, $C$9, 100%, $E$9)</f>
        <v>4.9474999999999998</v>
      </c>
      <c r="P52" s="10">
        <f>CHOOSE(CONTROL!$C$42, 4.7224, 4.7224) * CHOOSE(CONTROL!$C$21, $C$9, 100%, $E$9)</f>
        <v>4.7224000000000004</v>
      </c>
      <c r="Q52" s="10">
        <f>CHOOSE(CONTROL!$C$42, 5.5428, 5.5428) * CHOOSE(CONTROL!$C$21, $C$9, 100%, $E$9)</f>
        <v>5.5427999999999997</v>
      </c>
      <c r="R52" s="10">
        <f>CHOOSE(CONTROL!$C$42, 6.1436, 6.1436) * CHOOSE(CONTROL!$C$21, $C$9, 100%, $E$9)</f>
        <v>6.1436000000000002</v>
      </c>
      <c r="S52" s="10">
        <f>CHOOSE(CONTROL!$C$42, 4.6394, 4.6394) * CHOOSE(CONTROL!$C$21, $C$9, 100%, $E$9)</f>
        <v>4.6394000000000002</v>
      </c>
      <c r="T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38">
        <f>(1000*CHOOSE(CONTROL!$C$42, 695, 695)*CHOOSE(CONTROL!$C$42, 0.5599, 0.5599)*CHOOSE(CONTROL!$C$42, 30, 30))/1000000</f>
        <v>11.673914999999997</v>
      </c>
      <c r="V52" s="38">
        <f>(1000*CHOOSE(CONTROL!$C$42, 580, 580)*CHOOSE(CONTROL!$C$42, 0.275, 0.275)*CHOOSE(CONTROL!$C$42, 30, 30))/1000000</f>
        <v>4.7850000000000001</v>
      </c>
      <c r="W52" s="38">
        <f>(1000*CHOOSE(CONTROL!$C$42, 0.1146, 0.1146)*CHOOSE(CONTROL!$C$42, 121.5, 121.5)*CHOOSE(CONTROL!$C$42, 30, 30))/1000000</f>
        <v>0.417717</v>
      </c>
      <c r="X52" s="38">
        <f>(30*0.1790888*245000/1000000)+(30*0.2374*100000/1000000)</f>
        <v>2.0285026799999999</v>
      </c>
      <c r="Y52" s="38"/>
      <c r="Z52" s="38">
        <f t="shared" si="0"/>
        <v>0.3</v>
      </c>
      <c r="AA52" s="10"/>
      <c r="AB52" s="39"/>
      <c r="AC52" s="33">
        <f>(B52*141.293+C52*267.993+D52*115.016+E52*89.698+F52*40+G52*185+H52*0+I52*100+J52*300)/(141.293+267.993+115.016+89.698+0+40+185+100+300)</f>
        <v>4.7831094297013719</v>
      </c>
      <c r="AD52" s="27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4.7666338129496397</v>
      </c>
    </row>
    <row r="53" spans="1:30" ht="15" x14ac:dyDescent="0.2">
      <c r="A53" s="16">
        <v>42856</v>
      </c>
      <c r="B53" s="10">
        <f>CHOOSE(CONTROL!$C$42, 4.8189, 4.8189) * CHOOSE(CONTROL!$C$21, $C$9, 100%, $E$9)</f>
        <v>4.8189000000000002</v>
      </c>
      <c r="C53" s="10">
        <f>CHOOSE(CONTROL!$C$42, 4.8269, 4.8269) * CHOOSE(CONTROL!$C$21, $C$9, 100%, $E$9)</f>
        <v>4.8269000000000002</v>
      </c>
      <c r="D53" s="10">
        <f>CHOOSE(CONTROL!$C$42, 5.002, 5.002) * CHOOSE(CONTROL!$C$21, $C$9, 100%, $E$9)</f>
        <v>5.0019999999999998</v>
      </c>
      <c r="E53" s="10">
        <f>CHOOSE(CONTROL!$C$42, 5.0332, 5.0332) * CHOOSE(CONTROL!$C$21, $C$9, 100%, $E$9)</f>
        <v>5.0331999999999999</v>
      </c>
      <c r="F53" s="10">
        <f>CHOOSE(CONTROL!$C$42, 4.7606, 4.7606)*CHOOSE(CONTROL!$C$21, $C$9, 100%, $E$9)</f>
        <v>4.7606000000000002</v>
      </c>
      <c r="G53" s="10">
        <f>CHOOSE(CONTROL!$C$42, 4.7775, 4.7775)*CHOOSE(CONTROL!$C$21, $C$9, 100%, $E$9)</f>
        <v>4.7774999999999999</v>
      </c>
      <c r="H53" s="10">
        <f>CHOOSE(CONTROL!$C$42, 5.0215, 5.0215) * CHOOSE(CONTROL!$C$21, $C$9, 100%, $E$9)</f>
        <v>5.0214999999999996</v>
      </c>
      <c r="I53" s="10">
        <f>CHOOSE(CONTROL!$C$42, 4.7935, 4.7935)* CHOOSE(CONTROL!$C$21, $C$9, 100%, $E$9)</f>
        <v>4.7934999999999999</v>
      </c>
      <c r="J53" s="10">
        <f>CHOOSE(CONTROL!$C$42, 4.7532, 4.7532)* CHOOSE(CONTROL!$C$21, $C$9, 100%, $E$9)</f>
        <v>4.7531999999999996</v>
      </c>
      <c r="K53" s="10">
        <f>CHOOSE(CONTROL!$C$42, 4.8005, 4.8005) * CHOOSE(CONTROL!$C$21, $C$9, 100%, $E$9)</f>
        <v>4.8005000000000004</v>
      </c>
      <c r="L53" s="10">
        <f>CHOOSE(CONTROL!$C$42, 5.6085, 5.6085) * CHOOSE(CONTROL!$C$21, $C$9, 100%, $E$9)</f>
        <v>5.6085000000000003</v>
      </c>
      <c r="M53" s="10">
        <f>CHOOSE(CONTROL!$C$42, 4.7247, 4.7247) * CHOOSE(CONTROL!$C$21, $C$9, 100%, $E$9)</f>
        <v>4.7247000000000003</v>
      </c>
      <c r="N53" s="10">
        <f>CHOOSE(CONTROL!$C$42, 4.7414, 4.7414) * CHOOSE(CONTROL!$C$21, $C$9, 100%, $E$9)</f>
        <v>4.7413999999999996</v>
      </c>
      <c r="O53" s="10">
        <f>CHOOSE(CONTROL!$C$42, 4.9896, 4.9896) * CHOOSE(CONTROL!$C$21, $C$9, 100%, $E$9)</f>
        <v>4.9896000000000003</v>
      </c>
      <c r="P53" s="10">
        <f>CHOOSE(CONTROL!$C$42, 4.7646, 4.7646) * CHOOSE(CONTROL!$C$21, $C$9, 100%, $E$9)</f>
        <v>4.7645999999999997</v>
      </c>
      <c r="Q53" s="10">
        <f>CHOOSE(CONTROL!$C$42, 5.5849, 5.5849) * CHOOSE(CONTROL!$C$21, $C$9, 100%, $E$9)</f>
        <v>5.5849000000000002</v>
      </c>
      <c r="R53" s="10">
        <f>CHOOSE(CONTROL!$C$42, 6.1858, 6.1858) * CHOOSE(CONTROL!$C$21, $C$9, 100%, $E$9)</f>
        <v>6.1858000000000004</v>
      </c>
      <c r="S53" s="10">
        <f>CHOOSE(CONTROL!$C$42, 4.6807, 4.6807) * CHOOSE(CONTROL!$C$21, $C$9, 100%, $E$9)</f>
        <v>4.6806999999999999</v>
      </c>
      <c r="T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38">
        <f>(1000*CHOOSE(CONTROL!$C$42, 695, 695)*CHOOSE(CONTROL!$C$42, 0.5599, 0.5599)*CHOOSE(CONTROL!$C$42, 31, 31))/1000000</f>
        <v>12.063045499999998</v>
      </c>
      <c r="V53" s="38">
        <f>(1000*CHOOSE(CONTROL!$C$42, 580, 580)*CHOOSE(CONTROL!$C$42, 0.275, 0.275)*CHOOSE(CONTROL!$C$42, 31, 31))/1000000</f>
        <v>4.9444999999999997</v>
      </c>
      <c r="W53" s="38">
        <f>(1000*CHOOSE(CONTROL!$C$42, 0.1146, 0.1146)*CHOOSE(CONTROL!$C$42, 121.5, 121.5)*CHOOSE(CONTROL!$C$42, 31, 31))/1000000</f>
        <v>0.43164089999999994</v>
      </c>
      <c r="X53" s="38">
        <f>(31*0.1790888*245000/1000000)+(31*0.2374*100000/1000000)</f>
        <v>2.0961194359999999</v>
      </c>
      <c r="Y53" s="38">
        <f>(1000*400*CHOOSE(CONTROL!$C$42, 2.0223, 2.0223)*CHOOSE(CONTROL!$C$42, 31, 31))/1000000</f>
        <v>25.076519999999999</v>
      </c>
      <c r="Z53" s="38"/>
      <c r="AA53" s="10"/>
      <c r="AB53" s="39"/>
      <c r="AC53" s="33">
        <f>(B53*194.205+C53*267.466+D53*133.845+E53*53.484+F53*40+G53*185+H53*0+I53*100+J53*300)/(194.205+267.466+133.845+53.484+0+40+185+100+300)</f>
        <v>4.8235054699372064</v>
      </c>
      <c r="AD53" s="27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4.8086100719424465</v>
      </c>
    </row>
    <row r="54" spans="1:30" ht="15" x14ac:dyDescent="0.2">
      <c r="A54" s="16">
        <v>42887</v>
      </c>
      <c r="B54" s="10">
        <f>CHOOSE(CONTROL!$C$42, 4.956, 4.956) * CHOOSE(CONTROL!$C$21, $C$9, 100%, $E$9)</f>
        <v>4.9560000000000004</v>
      </c>
      <c r="C54" s="10">
        <f>CHOOSE(CONTROL!$C$42, 4.964, 4.964) * CHOOSE(CONTROL!$C$21, $C$9, 100%, $E$9)</f>
        <v>4.9640000000000004</v>
      </c>
      <c r="D54" s="10">
        <f>CHOOSE(CONTROL!$C$42, 5.1391, 5.1391) * CHOOSE(CONTROL!$C$21, $C$9, 100%, $E$9)</f>
        <v>5.1391</v>
      </c>
      <c r="E54" s="10">
        <f>CHOOSE(CONTROL!$C$42, 5.1703, 5.1703) * CHOOSE(CONTROL!$C$21, $C$9, 100%, $E$9)</f>
        <v>5.1703000000000001</v>
      </c>
      <c r="F54" s="10">
        <f>CHOOSE(CONTROL!$C$42, 4.8978, 4.8978)*CHOOSE(CONTROL!$C$21, $C$9, 100%, $E$9)</f>
        <v>4.8978000000000002</v>
      </c>
      <c r="G54" s="10">
        <f>CHOOSE(CONTROL!$C$42, 4.9148, 4.9148)*CHOOSE(CONTROL!$C$21, $C$9, 100%, $E$9)</f>
        <v>4.9147999999999996</v>
      </c>
      <c r="H54" s="10">
        <f>CHOOSE(CONTROL!$C$42, 5.1586, 5.1586) * CHOOSE(CONTROL!$C$21, $C$9, 100%, $E$9)</f>
        <v>5.1585999999999999</v>
      </c>
      <c r="I54" s="10">
        <f>CHOOSE(CONTROL!$C$42, 4.9306, 4.9306)* CHOOSE(CONTROL!$C$21, $C$9, 100%, $E$9)</f>
        <v>4.9306000000000001</v>
      </c>
      <c r="J54" s="10">
        <f>CHOOSE(CONTROL!$C$42, 4.8904, 4.8904)* CHOOSE(CONTROL!$C$21, $C$9, 100%, $E$9)</f>
        <v>4.8903999999999996</v>
      </c>
      <c r="K54" s="10">
        <f>CHOOSE(CONTROL!$C$42, 4.9337, 4.9337) * CHOOSE(CONTROL!$C$21, $C$9, 100%, $E$9)</f>
        <v>4.9337</v>
      </c>
      <c r="L54" s="10">
        <f>CHOOSE(CONTROL!$C$42, 5.7456, 5.7456) * CHOOSE(CONTROL!$C$21, $C$9, 100%, $E$9)</f>
        <v>5.7455999999999996</v>
      </c>
      <c r="M54" s="10">
        <f>CHOOSE(CONTROL!$C$42, 4.8602, 4.8602) * CHOOSE(CONTROL!$C$21, $C$9, 100%, $E$9)</f>
        <v>4.8601999999999999</v>
      </c>
      <c r="N54" s="10">
        <f>CHOOSE(CONTROL!$C$42, 4.8769, 4.8769) * CHOOSE(CONTROL!$C$21, $C$9, 100%, $E$9)</f>
        <v>4.8769</v>
      </c>
      <c r="O54" s="10">
        <f>CHOOSE(CONTROL!$C$42, 5.1249, 5.1249) * CHOOSE(CONTROL!$C$21, $C$9, 100%, $E$9)</f>
        <v>5.1249000000000002</v>
      </c>
      <c r="P54" s="10">
        <f>CHOOSE(CONTROL!$C$42, 4.8999, 4.8999) * CHOOSE(CONTROL!$C$21, $C$9, 100%, $E$9)</f>
        <v>4.8998999999999997</v>
      </c>
      <c r="Q54" s="10">
        <f>CHOOSE(CONTROL!$C$42, 5.7202, 5.7202) * CHOOSE(CONTROL!$C$21, $C$9, 100%, $E$9)</f>
        <v>5.7202000000000002</v>
      </c>
      <c r="R54" s="10">
        <f>CHOOSE(CONTROL!$C$42, 6.3215, 6.3215) * CHOOSE(CONTROL!$C$21, $C$9, 100%, $E$9)</f>
        <v>6.3215000000000003</v>
      </c>
      <c r="S54" s="10">
        <f>CHOOSE(CONTROL!$C$42, 4.8135, 4.8135) * CHOOSE(CONTROL!$C$21, $C$9, 100%, $E$9)</f>
        <v>4.8135000000000003</v>
      </c>
      <c r="T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38">
        <f>(1000*CHOOSE(CONTROL!$C$42, 695, 695)*CHOOSE(CONTROL!$C$42, 0.5599, 0.5599)*CHOOSE(CONTROL!$C$42, 30, 30))/1000000</f>
        <v>11.673914999999997</v>
      </c>
      <c r="V54" s="38">
        <f>(1000*CHOOSE(CONTROL!$C$42, 580, 580)*CHOOSE(CONTROL!$C$42, 0.275, 0.275)*CHOOSE(CONTROL!$C$42, 30, 30))/1000000</f>
        <v>4.7850000000000001</v>
      </c>
      <c r="W54" s="38">
        <f>(1000*CHOOSE(CONTROL!$C$42, 0.1146, 0.1146)*CHOOSE(CONTROL!$C$42, 121.5, 121.5)*CHOOSE(CONTROL!$C$42, 30, 30))/1000000</f>
        <v>0.417717</v>
      </c>
      <c r="X54" s="38">
        <f>(30*0.1790888*245000/1000000)+(30*0.2374*100000/1000000)</f>
        <v>2.0285026799999999</v>
      </c>
      <c r="Y54" s="38">
        <f>(1000*400*CHOOSE(CONTROL!$C$42, 2.0223, 2.0223)*CHOOSE(CONTROL!$C$42, 30, 30))/1000000</f>
        <v>24.267600000000002</v>
      </c>
      <c r="Z54" s="38"/>
      <c r="AA54" s="10"/>
      <c r="AB54" s="39"/>
      <c r="AC54" s="33">
        <f>(B54*194.205+C54*267.466+D54*133.845+E54*53.484+F54*40+G54*185+H54*0+I54*100+J54*300)/(194.205+267.466+133.845+53.484+0+40+185+100+300)</f>
        <v>4.9606611999215078</v>
      </c>
      <c r="AD54" s="27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4.9440251798561148</v>
      </c>
    </row>
    <row r="55" spans="1:30" ht="15" x14ac:dyDescent="0.2">
      <c r="A55" s="16">
        <v>42917</v>
      </c>
      <c r="B55" s="10">
        <f>CHOOSE(CONTROL!$C$42, 4.8606, 4.8606) * CHOOSE(CONTROL!$C$21, $C$9, 100%, $E$9)</f>
        <v>4.8605999999999998</v>
      </c>
      <c r="C55" s="10">
        <f>CHOOSE(CONTROL!$C$42, 4.8686, 4.8686) * CHOOSE(CONTROL!$C$21, $C$9, 100%, $E$9)</f>
        <v>4.8685999999999998</v>
      </c>
      <c r="D55" s="10">
        <f>CHOOSE(CONTROL!$C$42, 5.0437, 5.0437) * CHOOSE(CONTROL!$C$21, $C$9, 100%, $E$9)</f>
        <v>5.0437000000000003</v>
      </c>
      <c r="E55" s="10">
        <f>CHOOSE(CONTROL!$C$42, 5.075, 5.075) * CHOOSE(CONTROL!$C$21, $C$9, 100%, $E$9)</f>
        <v>5.0750000000000002</v>
      </c>
      <c r="F55" s="10">
        <f>CHOOSE(CONTROL!$C$42, 4.8028, 4.8028)*CHOOSE(CONTROL!$C$21, $C$9, 100%, $E$9)</f>
        <v>4.8028000000000004</v>
      </c>
      <c r="G55" s="10">
        <f>CHOOSE(CONTROL!$C$42, 4.8199, 4.8199)*CHOOSE(CONTROL!$C$21, $C$9, 100%, $E$9)</f>
        <v>4.8198999999999996</v>
      </c>
      <c r="H55" s="10">
        <f>CHOOSE(CONTROL!$C$42, 5.0633, 5.0633) * CHOOSE(CONTROL!$C$21, $C$9, 100%, $E$9)</f>
        <v>5.0632999999999999</v>
      </c>
      <c r="I55" s="10">
        <f>CHOOSE(CONTROL!$C$42, 4.8353, 4.8353)* CHOOSE(CONTROL!$C$21, $C$9, 100%, $E$9)</f>
        <v>4.8353000000000002</v>
      </c>
      <c r="J55" s="10">
        <f>CHOOSE(CONTROL!$C$42, 4.7954, 4.7954)* CHOOSE(CONTROL!$C$21, $C$9, 100%, $E$9)</f>
        <v>4.7953999999999999</v>
      </c>
      <c r="K55" s="10">
        <f>CHOOSE(CONTROL!$C$42, 4.8421, 4.8421) * CHOOSE(CONTROL!$C$21, $C$9, 100%, $E$9)</f>
        <v>4.8421000000000003</v>
      </c>
      <c r="L55" s="10">
        <f>CHOOSE(CONTROL!$C$42, 5.6503, 5.6503) * CHOOSE(CONTROL!$C$21, $C$9, 100%, $E$9)</f>
        <v>5.6502999999999997</v>
      </c>
      <c r="M55" s="10">
        <f>CHOOSE(CONTROL!$C$42, 4.7664, 4.7664) * CHOOSE(CONTROL!$C$21, $C$9, 100%, $E$9)</f>
        <v>4.7664</v>
      </c>
      <c r="N55" s="10">
        <f>CHOOSE(CONTROL!$C$42, 4.7832, 4.7832) * CHOOSE(CONTROL!$C$21, $C$9, 100%, $E$9)</f>
        <v>4.7831999999999999</v>
      </c>
      <c r="O55" s="10">
        <f>CHOOSE(CONTROL!$C$42, 5.0308, 5.0308) * CHOOSE(CONTROL!$C$21, $C$9, 100%, $E$9)</f>
        <v>5.0308000000000002</v>
      </c>
      <c r="P55" s="10">
        <f>CHOOSE(CONTROL!$C$42, 4.8058, 4.8058) * CHOOSE(CONTROL!$C$21, $C$9, 100%, $E$9)</f>
        <v>4.8057999999999996</v>
      </c>
      <c r="Q55" s="10">
        <f>CHOOSE(CONTROL!$C$42, 5.6261, 5.6261) * CHOOSE(CONTROL!$C$21, $C$9, 100%, $E$9)</f>
        <v>5.6261000000000001</v>
      </c>
      <c r="R55" s="10">
        <f>CHOOSE(CONTROL!$C$42, 6.2272, 6.2272) * CHOOSE(CONTROL!$C$21, $C$9, 100%, $E$9)</f>
        <v>6.2271999999999998</v>
      </c>
      <c r="S55" s="10">
        <f>CHOOSE(CONTROL!$C$42, 4.7211, 4.7211) * CHOOSE(CONTROL!$C$21, $C$9, 100%, $E$9)</f>
        <v>4.7210999999999999</v>
      </c>
      <c r="T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38">
        <f>(1000*CHOOSE(CONTROL!$C$42, 695, 695)*CHOOSE(CONTROL!$C$42, 0.5599, 0.5599)*CHOOSE(CONTROL!$C$42, 31, 31))/1000000</f>
        <v>12.063045499999998</v>
      </c>
      <c r="V55" s="38">
        <f>(1000*CHOOSE(CONTROL!$C$42, 580, 580)*CHOOSE(CONTROL!$C$42, 0.275, 0.275)*CHOOSE(CONTROL!$C$42, 31, 31))/1000000</f>
        <v>4.9444999999999997</v>
      </c>
      <c r="W55" s="38">
        <f>(1000*CHOOSE(CONTROL!$C$42, 0.1146, 0.1146)*CHOOSE(CONTROL!$C$42, 121.5, 121.5)*CHOOSE(CONTROL!$C$42, 31, 31))/1000000</f>
        <v>0.43164089999999994</v>
      </c>
      <c r="X55" s="38">
        <f>(31*0.1790888*245000/1000000)+(31*0.2374*100000/1000000)</f>
        <v>2.0961194359999999</v>
      </c>
      <c r="Y55" s="38">
        <f>(1000*400*CHOOSE(CONTROL!$C$42, 2.0223, 2.0223)*CHOOSE(CONTROL!$C$42, 31, 31))/1000000</f>
        <v>25.076519999999999</v>
      </c>
      <c r="Z55" s="38"/>
      <c r="AA55" s="10"/>
      <c r="AB55" s="39"/>
      <c r="AC55" s="33">
        <f>(B55*194.205+C55*267.466+D55*133.845+E55*53.484+F55*40+G55*185+H55*0+I55*100+J55*300)/(194.205+267.466+133.845+53.484+0+40+185+100+300)</f>
        <v>4.8654526036891674</v>
      </c>
      <c r="AD55" s="27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4.8501208633093524</v>
      </c>
    </row>
    <row r="56" spans="1:30" ht="15" x14ac:dyDescent="0.2">
      <c r="A56" s="16">
        <v>42948</v>
      </c>
      <c r="B56" s="10">
        <f>CHOOSE(CONTROL!$C$42, 4.6198, 4.6198) * CHOOSE(CONTROL!$C$21, $C$9, 100%, $E$9)</f>
        <v>4.6197999999999997</v>
      </c>
      <c r="C56" s="10">
        <f>CHOOSE(CONTROL!$C$42, 4.6278, 4.6278) * CHOOSE(CONTROL!$C$21, $C$9, 100%, $E$9)</f>
        <v>4.6277999999999997</v>
      </c>
      <c r="D56" s="10">
        <f>CHOOSE(CONTROL!$C$42, 4.803, 4.803) * CHOOSE(CONTROL!$C$21, $C$9, 100%, $E$9)</f>
        <v>4.8029999999999999</v>
      </c>
      <c r="E56" s="10">
        <f>CHOOSE(CONTROL!$C$42, 4.8342, 4.8342) * CHOOSE(CONTROL!$C$21, $C$9, 100%, $E$9)</f>
        <v>4.8342000000000001</v>
      </c>
      <c r="F56" s="10">
        <f>CHOOSE(CONTROL!$C$42, 4.5619, 4.5619)*CHOOSE(CONTROL!$C$21, $C$9, 100%, $E$9)</f>
        <v>4.5618999999999996</v>
      </c>
      <c r="G56" s="10">
        <f>CHOOSE(CONTROL!$C$42, 4.579, 4.579)*CHOOSE(CONTROL!$C$21, $C$9, 100%, $E$9)</f>
        <v>4.5789999999999997</v>
      </c>
      <c r="H56" s="10">
        <f>CHOOSE(CONTROL!$C$42, 4.8225, 4.8225) * CHOOSE(CONTROL!$C$21, $C$9, 100%, $E$9)</f>
        <v>4.8224999999999998</v>
      </c>
      <c r="I56" s="10">
        <f>CHOOSE(CONTROL!$C$42, 4.5945, 4.5945)* CHOOSE(CONTROL!$C$21, $C$9, 100%, $E$9)</f>
        <v>4.5945</v>
      </c>
      <c r="J56" s="10">
        <f>CHOOSE(CONTROL!$C$42, 4.5545, 4.5545)* CHOOSE(CONTROL!$C$21, $C$9, 100%, $E$9)</f>
        <v>4.5545</v>
      </c>
      <c r="K56" s="10">
        <f>CHOOSE(CONTROL!$C$42, 4.6086, 4.6086) * CHOOSE(CONTROL!$C$21, $C$9, 100%, $E$9)</f>
        <v>4.6086</v>
      </c>
      <c r="L56" s="10">
        <f>CHOOSE(CONTROL!$C$42, 5.4095, 5.4095) * CHOOSE(CONTROL!$C$21, $C$9, 100%, $E$9)</f>
        <v>5.4095000000000004</v>
      </c>
      <c r="M56" s="10">
        <f>CHOOSE(CONTROL!$C$42, 4.5286, 4.5286) * CHOOSE(CONTROL!$C$21, $C$9, 100%, $E$9)</f>
        <v>4.5286</v>
      </c>
      <c r="N56" s="10">
        <f>CHOOSE(CONTROL!$C$42, 4.5454, 4.5454) * CHOOSE(CONTROL!$C$21, $C$9, 100%, $E$9)</f>
        <v>4.5453999999999999</v>
      </c>
      <c r="O56" s="10">
        <f>CHOOSE(CONTROL!$C$42, 4.7931, 4.7931) * CHOOSE(CONTROL!$C$21, $C$9, 100%, $E$9)</f>
        <v>4.7930999999999999</v>
      </c>
      <c r="P56" s="10">
        <f>CHOOSE(CONTROL!$C$42, 4.5681, 4.5681) * CHOOSE(CONTROL!$C$21, $C$9, 100%, $E$9)</f>
        <v>4.5681000000000003</v>
      </c>
      <c r="Q56" s="10">
        <f>CHOOSE(CONTROL!$C$42, 5.3884, 5.3884) * CHOOSE(CONTROL!$C$21, $C$9, 100%, $E$9)</f>
        <v>5.3883999999999999</v>
      </c>
      <c r="R56" s="10">
        <f>CHOOSE(CONTROL!$C$42, 5.9889, 5.9889) * CHOOSE(CONTROL!$C$21, $C$9, 100%, $E$9)</f>
        <v>5.9889000000000001</v>
      </c>
      <c r="S56" s="10">
        <f>CHOOSE(CONTROL!$C$42, 4.488, 4.488) * CHOOSE(CONTROL!$C$21, $C$9, 100%, $E$9)</f>
        <v>4.4880000000000004</v>
      </c>
      <c r="T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38">
        <f>(1000*CHOOSE(CONTROL!$C$42, 695, 695)*CHOOSE(CONTROL!$C$42, 0.5599, 0.5599)*CHOOSE(CONTROL!$C$42, 31, 31))/1000000</f>
        <v>12.063045499999998</v>
      </c>
      <c r="V56" s="38">
        <f>(1000*CHOOSE(CONTROL!$C$42, 580, 580)*CHOOSE(CONTROL!$C$42, 0.275, 0.275)*CHOOSE(CONTROL!$C$42, 31, 31))/1000000</f>
        <v>4.9444999999999997</v>
      </c>
      <c r="W56" s="38">
        <f>(1000*CHOOSE(CONTROL!$C$42, 0.1146, 0.1146)*CHOOSE(CONTROL!$C$42, 121.5, 121.5)*CHOOSE(CONTROL!$C$42, 31, 31))/1000000</f>
        <v>0.43164089999999994</v>
      </c>
      <c r="X56" s="38">
        <f>(31*0.1790888*245000/1000000)+(31*0.2374*100000/1000000)</f>
        <v>2.0961194359999999</v>
      </c>
      <c r="Y56" s="38">
        <f>(1000*400*CHOOSE(CONTROL!$C$42, 2.0223, 2.0223)*CHOOSE(CONTROL!$C$42, 31, 31))/1000000</f>
        <v>25.076519999999999</v>
      </c>
      <c r="Z56" s="38"/>
      <c r="AA56" s="10"/>
      <c r="AB56" s="39"/>
      <c r="AC56" s="33">
        <f>(B56*194.205+C56*267.466+D56*133.845+E56*53.484+F56*40+G56*185+H56*0+I56*100+J56*300)/(194.205+267.466+133.845+53.484+0+40+185+100+300)</f>
        <v>4.6246219007849287</v>
      </c>
      <c r="AD56" s="27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4.612363309352518</v>
      </c>
    </row>
    <row r="57" spans="1:30" ht="15" x14ac:dyDescent="0.2">
      <c r="A57" s="16">
        <v>42979</v>
      </c>
      <c r="B57" s="10">
        <f>CHOOSE(CONTROL!$C$42, 4.3257, 4.3257) * CHOOSE(CONTROL!$C$21, $C$9, 100%, $E$9)</f>
        <v>4.3257000000000003</v>
      </c>
      <c r="C57" s="10">
        <f>CHOOSE(CONTROL!$C$42, 4.3337, 4.3337) * CHOOSE(CONTROL!$C$21, $C$9, 100%, $E$9)</f>
        <v>4.3337000000000003</v>
      </c>
      <c r="D57" s="10">
        <f>CHOOSE(CONTROL!$C$42, 4.5088, 4.5088) * CHOOSE(CONTROL!$C$21, $C$9, 100%, $E$9)</f>
        <v>4.5087999999999999</v>
      </c>
      <c r="E57" s="10">
        <f>CHOOSE(CONTROL!$C$42, 4.54, 4.54) * CHOOSE(CONTROL!$C$21, $C$9, 100%, $E$9)</f>
        <v>4.54</v>
      </c>
      <c r="F57" s="10">
        <f>CHOOSE(CONTROL!$C$42, 4.2674, 4.2674)*CHOOSE(CONTROL!$C$21, $C$9, 100%, $E$9)</f>
        <v>4.2674000000000003</v>
      </c>
      <c r="G57" s="10">
        <f>CHOOSE(CONTROL!$C$42, 4.2844, 4.2844)*CHOOSE(CONTROL!$C$21, $C$9, 100%, $E$9)</f>
        <v>4.2843999999999998</v>
      </c>
      <c r="H57" s="10">
        <f>CHOOSE(CONTROL!$C$42, 4.5283, 4.5283) * CHOOSE(CONTROL!$C$21, $C$9, 100%, $E$9)</f>
        <v>4.5282999999999998</v>
      </c>
      <c r="I57" s="10">
        <f>CHOOSE(CONTROL!$C$42, 4.3003, 4.3003)* CHOOSE(CONTROL!$C$21, $C$9, 100%, $E$9)</f>
        <v>4.3003</v>
      </c>
      <c r="J57" s="10">
        <f>CHOOSE(CONTROL!$C$42, 4.26, 4.26)* CHOOSE(CONTROL!$C$21, $C$9, 100%, $E$9)</f>
        <v>4.26</v>
      </c>
      <c r="K57" s="10">
        <f>CHOOSE(CONTROL!$C$42, 4.3229, 4.3229) * CHOOSE(CONTROL!$C$21, $C$9, 100%, $E$9)</f>
        <v>4.3228999999999997</v>
      </c>
      <c r="L57" s="10">
        <f>CHOOSE(CONTROL!$C$42, 5.1153, 5.1153) * CHOOSE(CONTROL!$C$21, $C$9, 100%, $E$9)</f>
        <v>5.1153000000000004</v>
      </c>
      <c r="M57" s="10">
        <f>CHOOSE(CONTROL!$C$42, 4.238, 4.238) * CHOOSE(CONTROL!$C$21, $C$9, 100%, $E$9)</f>
        <v>4.2380000000000004</v>
      </c>
      <c r="N57" s="10">
        <f>CHOOSE(CONTROL!$C$42, 4.2547, 4.2547) * CHOOSE(CONTROL!$C$21, $C$9, 100%, $E$9)</f>
        <v>4.2546999999999997</v>
      </c>
      <c r="O57" s="10">
        <f>CHOOSE(CONTROL!$C$42, 4.5028, 4.5028) * CHOOSE(CONTROL!$C$21, $C$9, 100%, $E$9)</f>
        <v>4.5027999999999997</v>
      </c>
      <c r="P57" s="10">
        <f>CHOOSE(CONTROL!$C$42, 4.2777, 4.2777) * CHOOSE(CONTROL!$C$21, $C$9, 100%, $E$9)</f>
        <v>4.2777000000000003</v>
      </c>
      <c r="Q57" s="10">
        <f>CHOOSE(CONTROL!$C$42, 5.0981, 5.0981) * CHOOSE(CONTROL!$C$21, $C$9, 100%, $E$9)</f>
        <v>5.0980999999999996</v>
      </c>
      <c r="R57" s="10">
        <f>CHOOSE(CONTROL!$C$42, 5.6978, 5.6978) * CHOOSE(CONTROL!$C$21, $C$9, 100%, $E$9)</f>
        <v>5.6978</v>
      </c>
      <c r="S57" s="10">
        <f>CHOOSE(CONTROL!$C$42, 4.2031, 4.2031) * CHOOSE(CONTROL!$C$21, $C$9, 100%, $E$9)</f>
        <v>4.2031000000000001</v>
      </c>
      <c r="T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38">
        <f>(1000*CHOOSE(CONTROL!$C$42, 695, 695)*CHOOSE(CONTROL!$C$42, 0.5599, 0.5599)*CHOOSE(CONTROL!$C$42, 30, 30))/1000000</f>
        <v>11.673914999999997</v>
      </c>
      <c r="V57" s="38">
        <f>(1000*CHOOSE(CONTROL!$C$42, 580, 580)*CHOOSE(CONTROL!$C$42, 0.275, 0.275)*CHOOSE(CONTROL!$C$42, 30, 30))/1000000</f>
        <v>4.7850000000000001</v>
      </c>
      <c r="W57" s="38">
        <f>(1000*CHOOSE(CONTROL!$C$42, 0.1146, 0.1146)*CHOOSE(CONTROL!$C$42, 121.5, 121.5)*CHOOSE(CONTROL!$C$42, 30, 30))/1000000</f>
        <v>0.417717</v>
      </c>
      <c r="X57" s="38">
        <f>(30*0.1790888*245000/1000000)+(30*0.2374*100000/1000000)</f>
        <v>2.0285026799999999</v>
      </c>
      <c r="Y57" s="38">
        <f>(1000*400*CHOOSE(CONTROL!$C$42, 2.0223, 2.0223)*CHOOSE(CONTROL!$C$42, 30, 30))/1000000</f>
        <v>24.267600000000002</v>
      </c>
      <c r="Z57" s="38"/>
      <c r="AA57" s="10"/>
      <c r="AB57" s="39"/>
      <c r="AC57" s="33">
        <f>(B57*194.205+C57*267.466+D57*133.845+E57*53.484+F57*40+G57*185+H57*0+I57*100+J57*300)/(194.205+267.466+133.845+53.484+0+40+185+100+300)</f>
        <v>4.330319991130299</v>
      </c>
      <c r="AD57" s="27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4.321853237410072</v>
      </c>
    </row>
    <row r="58" spans="1:30" ht="15" x14ac:dyDescent="0.2">
      <c r="A58" s="16">
        <v>43009</v>
      </c>
      <c r="B58" s="10">
        <f>CHOOSE(CONTROL!$C$42, 4.2354, 4.2354) * CHOOSE(CONTROL!$C$21, $C$9, 100%, $E$9)</f>
        <v>4.2354000000000003</v>
      </c>
      <c r="C58" s="10">
        <f>CHOOSE(CONTROL!$C$42, 4.2408, 4.2408) * CHOOSE(CONTROL!$C$21, $C$9, 100%, $E$9)</f>
        <v>4.2408000000000001</v>
      </c>
      <c r="D58" s="10">
        <f>CHOOSE(CONTROL!$C$42, 4.4208, 4.4208) * CHOOSE(CONTROL!$C$21, $C$9, 100%, $E$9)</f>
        <v>4.4207999999999998</v>
      </c>
      <c r="E58" s="10">
        <f>CHOOSE(CONTROL!$C$42, 4.4497, 4.4497) * CHOOSE(CONTROL!$C$21, $C$9, 100%, $E$9)</f>
        <v>4.4497</v>
      </c>
      <c r="F58" s="10">
        <f>CHOOSE(CONTROL!$C$42, 4.1792, 4.1792)*CHOOSE(CONTROL!$C$21, $C$9, 100%, $E$9)</f>
        <v>4.1791999999999998</v>
      </c>
      <c r="G58" s="10">
        <f>CHOOSE(CONTROL!$C$42, 4.1958, 4.1958)*CHOOSE(CONTROL!$C$21, $C$9, 100%, $E$9)</f>
        <v>4.1958000000000002</v>
      </c>
      <c r="H58" s="10">
        <f>CHOOSE(CONTROL!$C$42, 4.4398, 4.4398) * CHOOSE(CONTROL!$C$21, $C$9, 100%, $E$9)</f>
        <v>4.4398</v>
      </c>
      <c r="I58" s="10">
        <f>CHOOSE(CONTROL!$C$42, 4.2118, 4.2118)* CHOOSE(CONTROL!$C$21, $C$9, 100%, $E$9)</f>
        <v>4.2118000000000002</v>
      </c>
      <c r="J58" s="10">
        <f>CHOOSE(CONTROL!$C$42, 4.1718, 4.1718)* CHOOSE(CONTROL!$C$21, $C$9, 100%, $E$9)</f>
        <v>4.1718000000000002</v>
      </c>
      <c r="K58" s="10">
        <f>CHOOSE(CONTROL!$C$42, 4.2377, 4.2377) * CHOOSE(CONTROL!$C$21, $C$9, 100%, $E$9)</f>
        <v>4.2377000000000002</v>
      </c>
      <c r="L58" s="10">
        <f>CHOOSE(CONTROL!$C$42, 5.0268, 5.0268) * CHOOSE(CONTROL!$C$21, $C$9, 100%, $E$9)</f>
        <v>5.0267999999999997</v>
      </c>
      <c r="M58" s="10">
        <f>CHOOSE(CONTROL!$C$42, 4.1509, 4.1509) * CHOOSE(CONTROL!$C$21, $C$9, 100%, $E$9)</f>
        <v>4.1509</v>
      </c>
      <c r="N58" s="10">
        <f>CHOOSE(CONTROL!$C$42, 4.1672, 4.1672) * CHOOSE(CONTROL!$C$21, $C$9, 100%, $E$9)</f>
        <v>4.1672000000000002</v>
      </c>
      <c r="O58" s="10">
        <f>CHOOSE(CONTROL!$C$42, 4.4154, 4.4154) * CHOOSE(CONTROL!$C$21, $C$9, 100%, $E$9)</f>
        <v>4.4154</v>
      </c>
      <c r="P58" s="10">
        <f>CHOOSE(CONTROL!$C$42, 4.1904, 4.1904) * CHOOSE(CONTROL!$C$21, $C$9, 100%, $E$9)</f>
        <v>4.1904000000000003</v>
      </c>
      <c r="Q58" s="10">
        <f>CHOOSE(CONTROL!$C$42, 5.0107, 5.0107) * CHOOSE(CONTROL!$C$21, $C$9, 100%, $E$9)</f>
        <v>5.0106999999999999</v>
      </c>
      <c r="R58" s="10">
        <f>CHOOSE(CONTROL!$C$42, 5.6102, 5.6102) * CHOOSE(CONTROL!$C$21, $C$9, 100%, $E$9)</f>
        <v>5.6101999999999999</v>
      </c>
      <c r="S58" s="10">
        <f>CHOOSE(CONTROL!$C$42, 4.1174, 4.1174) * CHOOSE(CONTROL!$C$21, $C$9, 100%, $E$9)</f>
        <v>4.1173999999999999</v>
      </c>
      <c r="T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38">
        <f>(1000*CHOOSE(CONTROL!$C$42, 695, 695)*CHOOSE(CONTROL!$C$42, 0.5599, 0.5599)*CHOOSE(CONTROL!$C$42, 31, 31))/1000000</f>
        <v>12.063045499999998</v>
      </c>
      <c r="V58" s="38">
        <f>(1000*CHOOSE(CONTROL!$C$42, 580, 580)*CHOOSE(CONTROL!$C$42, 0.275, 0.275)*CHOOSE(CONTROL!$C$42, 31, 31))/1000000</f>
        <v>4.9444999999999997</v>
      </c>
      <c r="W58" s="38">
        <f>(1000*CHOOSE(CONTROL!$C$42, 0.1146, 0.1146)*CHOOSE(CONTROL!$C$42, 121.5, 121.5)*CHOOSE(CONTROL!$C$42, 31, 31))/1000000</f>
        <v>0.43164089999999994</v>
      </c>
      <c r="X58" s="38">
        <f>(31*0.1790888*245000/1000000)+(31*0.2374*100000/1000000)</f>
        <v>2.0961194359999999</v>
      </c>
      <c r="Y58" s="38">
        <f>(1000*400*CHOOSE(CONTROL!$C$42, 2.0223, 2.0223)*CHOOSE(CONTROL!$C$42, 31, 31))/1000000</f>
        <v>25.076519999999999</v>
      </c>
      <c r="Z58" s="38"/>
      <c r="AA58" s="10"/>
      <c r="AB58" s="39"/>
      <c r="AC58" s="33">
        <f>(B58*131.881+C58*277.167+D58*79.08+E58*125.872+F58*40+G58*185+H58*0+I58*100+J58*300)/(131.881+277.167+79.08+125.872+0+40+185+100+300)</f>
        <v>4.2451808744148511</v>
      </c>
      <c r="AD58" s="27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4.2345482014388489</v>
      </c>
    </row>
    <row r="59" spans="1:30" ht="15" x14ac:dyDescent="0.2">
      <c r="A59" s="16">
        <v>43040</v>
      </c>
      <c r="B59" s="10">
        <f>CHOOSE(CONTROL!$C$42, 4.347, 4.347) * CHOOSE(CONTROL!$C$21, $C$9, 100%, $E$9)</f>
        <v>4.3470000000000004</v>
      </c>
      <c r="C59" s="10">
        <f>CHOOSE(CONTROL!$C$42, 4.3521, 4.3521) * CHOOSE(CONTROL!$C$21, $C$9, 100%, $E$9)</f>
        <v>4.3521000000000001</v>
      </c>
      <c r="D59" s="10">
        <f>CHOOSE(CONTROL!$C$42, 4.3768, 4.3768) * CHOOSE(CONTROL!$C$21, $C$9, 100%, $E$9)</f>
        <v>4.3768000000000002</v>
      </c>
      <c r="E59" s="10">
        <f>CHOOSE(CONTROL!$C$42, 4.4106, 4.4106) * CHOOSE(CONTROL!$C$21, $C$9, 100%, $E$9)</f>
        <v>4.4105999999999996</v>
      </c>
      <c r="F59" s="10">
        <f>CHOOSE(CONTROL!$C$42, 4.3127, 4.3127)*CHOOSE(CONTROL!$C$21, $C$9, 100%, $E$9)</f>
        <v>4.3127000000000004</v>
      </c>
      <c r="G59" s="10">
        <f>CHOOSE(CONTROL!$C$42, 4.3295, 4.3295)*CHOOSE(CONTROL!$C$21, $C$9, 100%, $E$9)</f>
        <v>4.3295000000000003</v>
      </c>
      <c r="H59" s="10">
        <f>CHOOSE(CONTROL!$C$42, 4.3995, 4.3995) * CHOOSE(CONTROL!$C$21, $C$9, 100%, $E$9)</f>
        <v>4.3994999999999997</v>
      </c>
      <c r="I59" s="10">
        <f>CHOOSE(CONTROL!$C$42, 4.3465, 4.3465)* CHOOSE(CONTROL!$C$21, $C$9, 100%, $E$9)</f>
        <v>4.3464999999999998</v>
      </c>
      <c r="J59" s="10">
        <f>CHOOSE(CONTROL!$C$42, 4.3053, 4.3053)* CHOOSE(CONTROL!$C$21, $C$9, 100%, $E$9)</f>
        <v>4.3052999999999999</v>
      </c>
      <c r="K59" s="10">
        <f>CHOOSE(CONTROL!$C$42, 4.37, 4.37) * CHOOSE(CONTROL!$C$21, $C$9, 100%, $E$9)</f>
        <v>4.37</v>
      </c>
      <c r="L59" s="10">
        <f>CHOOSE(CONTROL!$C$42, 4.9865, 4.9865) * CHOOSE(CONTROL!$C$21, $C$9, 100%, $E$9)</f>
        <v>4.9865000000000004</v>
      </c>
      <c r="M59" s="10">
        <f>CHOOSE(CONTROL!$C$42, 4.2826, 4.2826) * CHOOSE(CONTROL!$C$21, $C$9, 100%, $E$9)</f>
        <v>4.2826000000000004</v>
      </c>
      <c r="N59" s="10">
        <f>CHOOSE(CONTROL!$C$42, 4.2992, 4.2992) * CHOOSE(CONTROL!$C$21, $C$9, 100%, $E$9)</f>
        <v>4.2991999999999999</v>
      </c>
      <c r="O59" s="10">
        <f>CHOOSE(CONTROL!$C$42, 4.3756, 4.3756) * CHOOSE(CONTROL!$C$21, $C$9, 100%, $E$9)</f>
        <v>4.3756000000000004</v>
      </c>
      <c r="P59" s="10">
        <f>CHOOSE(CONTROL!$C$42, 4.3234, 4.3234) * CHOOSE(CONTROL!$C$21, $C$9, 100%, $E$9)</f>
        <v>4.3234000000000004</v>
      </c>
      <c r="Q59" s="10">
        <f>CHOOSE(CONTROL!$C$42, 4.9709, 4.9709) * CHOOSE(CONTROL!$C$21, $C$9, 100%, $E$9)</f>
        <v>4.9709000000000003</v>
      </c>
      <c r="R59" s="10">
        <f>CHOOSE(CONTROL!$C$42, 5.5703, 5.5703) * CHOOSE(CONTROL!$C$21, $C$9, 100%, $E$9)</f>
        <v>5.5702999999999996</v>
      </c>
      <c r="S59" s="10">
        <f>CHOOSE(CONTROL!$C$42, 4.2259, 4.2259) * CHOOSE(CONTROL!$C$21, $C$9, 100%, $E$9)</f>
        <v>4.2259000000000002</v>
      </c>
      <c r="T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38">
        <f>(1000*CHOOSE(CONTROL!$C$42, 695, 695)*CHOOSE(CONTROL!$C$42, 0.5599, 0.5599)*CHOOSE(CONTROL!$C$42, 30, 30))/1000000</f>
        <v>11.673914999999997</v>
      </c>
      <c r="V59" s="38">
        <f>(1000*CHOOSE(CONTROL!$C$42, 580, 580)*CHOOSE(CONTROL!$C$42, 0.275, 0.275)*CHOOSE(CONTROL!$C$42, 30, 30))/1000000</f>
        <v>4.7850000000000001</v>
      </c>
      <c r="W59" s="38">
        <f>(1000*CHOOSE(CONTROL!$C$42, 0.1146, 0.1146)*CHOOSE(CONTROL!$C$42, 121.5, 121.5)*CHOOSE(CONTROL!$C$42, 30, 30))/1000000</f>
        <v>0.417717</v>
      </c>
      <c r="X59" s="38">
        <f>(30*0.1790888*100000/1000000)+(30*0.2374*100000/1000000)</f>
        <v>1.2494664</v>
      </c>
      <c r="Y59" s="38">
        <f>(1000*400*CHOOSE(CONTROL!$C$42, 2.0223, 2.0223)*CHOOSE(CONTROL!$C$42, 30, 30))/1000000</f>
        <v>24.267600000000002</v>
      </c>
      <c r="Z59" s="38"/>
      <c r="AA59" s="10"/>
      <c r="AB59" s="39"/>
      <c r="AC59" s="33">
        <f>(B59*122.58+C59*297.941+D59*89.177+E59*40.302+F59*40+G59*160+H59*0+I59*100+J59*300)/(122.58+297.941+89.177+40.302+0+40+160+100+300)</f>
        <v>4.3383114616521734</v>
      </c>
      <c r="AD59" s="27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4.3315769784172664</v>
      </c>
    </row>
    <row r="60" spans="1:30" ht="15" x14ac:dyDescent="0.2">
      <c r="A60" s="16">
        <v>43070</v>
      </c>
      <c r="B60" s="10">
        <f>CHOOSE(CONTROL!$C$42, 4.6445, 4.6445) * CHOOSE(CONTROL!$C$21, $C$9, 100%, $E$9)</f>
        <v>4.6444999999999999</v>
      </c>
      <c r="C60" s="10">
        <f>CHOOSE(CONTROL!$C$42, 4.6496, 4.6496) * CHOOSE(CONTROL!$C$21, $C$9, 100%, $E$9)</f>
        <v>4.6496000000000004</v>
      </c>
      <c r="D60" s="10">
        <f>CHOOSE(CONTROL!$C$42, 4.6743, 4.6743) * CHOOSE(CONTROL!$C$21, $C$9, 100%, $E$9)</f>
        <v>4.6742999999999997</v>
      </c>
      <c r="E60" s="10">
        <f>CHOOSE(CONTROL!$C$42, 4.7081, 4.7081) * CHOOSE(CONTROL!$C$21, $C$9, 100%, $E$9)</f>
        <v>4.7081</v>
      </c>
      <c r="F60" s="10">
        <f>CHOOSE(CONTROL!$C$42, 4.6119, 4.6119)*CHOOSE(CONTROL!$C$21, $C$9, 100%, $E$9)</f>
        <v>4.6119000000000003</v>
      </c>
      <c r="G60" s="10">
        <f>CHOOSE(CONTROL!$C$42, 4.6292, 4.6292)*CHOOSE(CONTROL!$C$21, $C$9, 100%, $E$9)</f>
        <v>4.6292</v>
      </c>
      <c r="H60" s="10">
        <f>CHOOSE(CONTROL!$C$42, 4.697, 4.697) * CHOOSE(CONTROL!$C$21, $C$9, 100%, $E$9)</f>
        <v>4.6970000000000001</v>
      </c>
      <c r="I60" s="10">
        <f>CHOOSE(CONTROL!$C$42, 4.644, 4.644)* CHOOSE(CONTROL!$C$21, $C$9, 100%, $E$9)</f>
        <v>4.6440000000000001</v>
      </c>
      <c r="J60" s="10">
        <f>CHOOSE(CONTROL!$C$42, 4.6045, 4.6045)* CHOOSE(CONTROL!$C$21, $C$9, 100%, $E$9)</f>
        <v>4.6044999999999998</v>
      </c>
      <c r="K60" s="10">
        <f>CHOOSE(CONTROL!$C$42, 4.6621, 4.6621) * CHOOSE(CONTROL!$C$21, $C$9, 100%, $E$9)</f>
        <v>4.6620999999999997</v>
      </c>
      <c r="L60" s="10">
        <f>CHOOSE(CONTROL!$C$42, 5.284, 5.284) * CHOOSE(CONTROL!$C$21, $C$9, 100%, $E$9)</f>
        <v>5.2839999999999998</v>
      </c>
      <c r="M60" s="10">
        <f>CHOOSE(CONTROL!$C$42, 4.578, 4.578) * CHOOSE(CONTROL!$C$21, $C$9, 100%, $E$9)</f>
        <v>4.5780000000000003</v>
      </c>
      <c r="N60" s="10">
        <f>CHOOSE(CONTROL!$C$42, 4.595, 4.595) * CHOOSE(CONTROL!$C$21, $C$9, 100%, $E$9)</f>
        <v>4.5949999999999998</v>
      </c>
      <c r="O60" s="10">
        <f>CHOOSE(CONTROL!$C$42, 4.6692, 4.6692) * CHOOSE(CONTROL!$C$21, $C$9, 100%, $E$9)</f>
        <v>4.6692</v>
      </c>
      <c r="P60" s="10">
        <f>CHOOSE(CONTROL!$C$42, 4.617, 4.617) * CHOOSE(CONTROL!$C$21, $C$9, 100%, $E$9)</f>
        <v>4.617</v>
      </c>
      <c r="Q60" s="10">
        <f>CHOOSE(CONTROL!$C$42, 5.2645, 5.2645) * CHOOSE(CONTROL!$C$21, $C$9, 100%, $E$9)</f>
        <v>5.2645</v>
      </c>
      <c r="R60" s="10">
        <f>CHOOSE(CONTROL!$C$42, 5.8647, 5.8647) * CHOOSE(CONTROL!$C$21, $C$9, 100%, $E$9)</f>
        <v>5.8647</v>
      </c>
      <c r="S60" s="10">
        <f>CHOOSE(CONTROL!$C$42, 4.5139, 4.5139) * CHOOSE(CONTROL!$C$21, $C$9, 100%, $E$9)</f>
        <v>4.5138999999999996</v>
      </c>
      <c r="T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38">
        <f>(1000*CHOOSE(CONTROL!$C$42, 695, 695)*CHOOSE(CONTROL!$C$42, 0.5599, 0.5599)*CHOOSE(CONTROL!$C$42, 31, 31))/1000000</f>
        <v>12.063045499999998</v>
      </c>
      <c r="V60" s="38">
        <f>(1000*CHOOSE(CONTROL!$C$42, 580, 580)*CHOOSE(CONTROL!$C$42, 0.275, 0.275)*CHOOSE(CONTROL!$C$42, 31, 31))/1000000</f>
        <v>4.9444999999999997</v>
      </c>
      <c r="W60" s="38">
        <f>(1000*CHOOSE(CONTROL!$C$42, 0.1146, 0.1146)*CHOOSE(CONTROL!$C$42, 121.5, 121.5)*CHOOSE(CONTROL!$C$42, 31, 31))/1000000</f>
        <v>0.43164089999999994</v>
      </c>
      <c r="X60" s="38">
        <f>(31*0.1790888*100000/1000000)+(31*0.2374*100000/1000000)</f>
        <v>1.2911152800000001</v>
      </c>
      <c r="Y60" s="38">
        <f>(1000*400*CHOOSE(CONTROL!$C$42, 2.0223, 2.0223)*CHOOSE(CONTROL!$C$42, 31, 31))/1000000</f>
        <v>25.076519999999999</v>
      </c>
      <c r="Z60" s="38"/>
      <c r="AA60" s="10"/>
      <c r="AB60" s="39"/>
      <c r="AC60" s="33">
        <f>(B60*122.58+C60*297.941+D60*89.177+E60*40.302+F60*40+G60*160+H60*0+I60*100+J60*300)/(122.58+297.941+89.177+40.302+0+40+160+100+300)</f>
        <v>4.636620157304348</v>
      </c>
      <c r="AD60" s="27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4.6259251798561154</v>
      </c>
    </row>
    <row r="61" spans="1:30" ht="15" x14ac:dyDescent="0.2">
      <c r="A61" s="16">
        <v>43101</v>
      </c>
      <c r="B61" s="10">
        <f>CHOOSE(CONTROL!$C$42, 5.0617, 5.0617) * CHOOSE(CONTROL!$C$21, $C$9, 100%, $E$9)</f>
        <v>5.0617000000000001</v>
      </c>
      <c r="C61" s="10">
        <f>CHOOSE(CONTROL!$C$42, 5.0668, 5.0668) * CHOOSE(CONTROL!$C$21, $C$9, 100%, $E$9)</f>
        <v>5.0667999999999997</v>
      </c>
      <c r="D61" s="10">
        <f>CHOOSE(CONTROL!$C$42, 5.1018, 5.1018) * CHOOSE(CONTROL!$C$21, $C$9, 100%, $E$9)</f>
        <v>5.1017999999999999</v>
      </c>
      <c r="E61" s="10">
        <f>CHOOSE(CONTROL!$C$42, 5.1357, 5.1357) * CHOOSE(CONTROL!$C$21, $C$9, 100%, $E$9)</f>
        <v>5.1356999999999999</v>
      </c>
      <c r="F61" s="10">
        <f>CHOOSE(CONTROL!$C$42, 5.043, 5.043)*CHOOSE(CONTROL!$C$21, $C$9, 100%, $E$9)</f>
        <v>5.0430000000000001</v>
      </c>
      <c r="G61" s="10">
        <f>CHOOSE(CONTROL!$C$42, 5.0619, 5.0619)*CHOOSE(CONTROL!$C$21, $C$9, 100%, $E$9)</f>
        <v>5.0618999999999996</v>
      </c>
      <c r="H61" s="10">
        <f>CHOOSE(CONTROL!$C$42, 5.1245, 5.1245) * CHOOSE(CONTROL!$C$21, $C$9, 100%, $E$9)</f>
        <v>5.1245000000000003</v>
      </c>
      <c r="I61" s="10">
        <f>CHOOSE(CONTROL!$C$42, 5.069, 5.069)* CHOOSE(CONTROL!$C$21, $C$9, 100%, $E$9)</f>
        <v>5.069</v>
      </c>
      <c r="J61" s="10">
        <f>CHOOSE(CONTROL!$C$42, 5.0356, 5.0356)* CHOOSE(CONTROL!$C$21, $C$9, 100%, $E$9)</f>
        <v>5.0355999999999996</v>
      </c>
      <c r="K61" s="10">
        <f>CHOOSE(CONTROL!$C$42, 5.0871, 5.0871) * CHOOSE(CONTROL!$C$21, $C$9, 100%, $E$9)</f>
        <v>5.0871000000000004</v>
      </c>
      <c r="L61" s="10">
        <f>CHOOSE(CONTROL!$C$42, 5.7115, 5.7115) * CHOOSE(CONTROL!$C$21, $C$9, 100%, $E$9)</f>
        <v>5.7115</v>
      </c>
      <c r="M61" s="10">
        <f>CHOOSE(CONTROL!$C$42, 5.0035, 5.0035) * CHOOSE(CONTROL!$C$21, $C$9, 100%, $E$9)</f>
        <v>5.0034999999999998</v>
      </c>
      <c r="N61" s="10">
        <f>CHOOSE(CONTROL!$C$42, 5.0221, 5.0221) * CHOOSE(CONTROL!$C$21, $C$9, 100%, $E$9)</f>
        <v>5.0221</v>
      </c>
      <c r="O61" s="10">
        <f>CHOOSE(CONTROL!$C$42, 5.0912, 5.0912) * CHOOSE(CONTROL!$C$21, $C$9, 100%, $E$9)</f>
        <v>5.0911999999999997</v>
      </c>
      <c r="P61" s="10">
        <f>CHOOSE(CONTROL!$C$42, 5.0365, 5.0365) * CHOOSE(CONTROL!$C$21, $C$9, 100%, $E$9)</f>
        <v>5.0365000000000002</v>
      </c>
      <c r="Q61" s="10">
        <f>CHOOSE(CONTROL!$C$42, 5.6865, 5.6865) * CHOOSE(CONTROL!$C$21, $C$9, 100%, $E$9)</f>
        <v>5.6864999999999997</v>
      </c>
      <c r="R61" s="10">
        <f>CHOOSE(CONTROL!$C$42, 6.2878, 6.2878) * CHOOSE(CONTROL!$C$21, $C$9, 100%, $E$9)</f>
        <v>6.2877999999999998</v>
      </c>
      <c r="S61" s="10">
        <f>CHOOSE(CONTROL!$C$42, 4.9179, 4.9179) * CHOOSE(CONTROL!$C$21, $C$9, 100%, $E$9)</f>
        <v>4.9179000000000004</v>
      </c>
      <c r="T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38">
        <f>(1000*CHOOSE(CONTROL!$C$42, 695, 695)*CHOOSE(CONTROL!$C$42, 0.5599, 0.5599)*CHOOSE(CONTROL!$C$42, 31, 31))/1000000</f>
        <v>12.063045499999998</v>
      </c>
      <c r="V61" s="38">
        <f>(1000*CHOOSE(CONTROL!$C$42, 500, 500)*CHOOSE(CONTROL!$C$42, 0.275, 0.275)*CHOOSE(CONTROL!$C$42, 31, 31))/1000000</f>
        <v>4.2625000000000002</v>
      </c>
      <c r="W61" s="38">
        <f>(1000*CHOOSE(CONTROL!$C$42, 0.1146, 0.1146)*CHOOSE(CONTROL!$C$42, 121.5, 121.5)*CHOOSE(CONTROL!$C$42, 31, 31))/1000000</f>
        <v>0.43164089999999994</v>
      </c>
      <c r="X61" s="38">
        <f>(31*0.1790888*100000/1000000)+(31*0.2374*100000/1000000)</f>
        <v>1.2911152800000001</v>
      </c>
      <c r="Y61" s="38">
        <f>(1000*400*CHOOSE(CONTROL!$C$42, 2.0082, 2.0082)*CHOOSE(CONTROL!$C$42, 31, 31))/1000000</f>
        <v>24.901679999999999</v>
      </c>
      <c r="Z61" s="38"/>
      <c r="AA61" s="10"/>
      <c r="AB61" s="39"/>
      <c r="AC61" s="33">
        <f>(B61*122.58+C61*297.941+D61*89.177+E61*40.302+F61*40+G61*160+H61*0+I61*100+J61*300)/(122.58+297.941+89.177+40.302+0+40+160+100+300)</f>
        <v>5.0619276911304345</v>
      </c>
      <c r="AD61" s="27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5.0490676258992808</v>
      </c>
    </row>
    <row r="62" spans="1:30" ht="15" x14ac:dyDescent="0.2">
      <c r="A62" s="16">
        <v>43132</v>
      </c>
      <c r="B62" s="10">
        <f>CHOOSE(CONTROL!$C$42, 5.1521, 5.1521) * CHOOSE(CONTROL!$C$21, $C$9, 100%, $E$9)</f>
        <v>5.1520999999999999</v>
      </c>
      <c r="C62" s="10">
        <f>CHOOSE(CONTROL!$C$42, 5.1572, 5.1572) * CHOOSE(CONTROL!$C$21, $C$9, 100%, $E$9)</f>
        <v>5.1571999999999996</v>
      </c>
      <c r="D62" s="10">
        <f>CHOOSE(CONTROL!$C$42, 5.1922, 5.1922) * CHOOSE(CONTROL!$C$21, $C$9, 100%, $E$9)</f>
        <v>5.1921999999999997</v>
      </c>
      <c r="E62" s="10">
        <f>CHOOSE(CONTROL!$C$42, 5.2261, 5.2261) * CHOOSE(CONTROL!$C$21, $C$9, 100%, $E$9)</f>
        <v>5.2260999999999997</v>
      </c>
      <c r="F62" s="10">
        <f>CHOOSE(CONTROL!$C$42, 5.1329, 5.1329)*CHOOSE(CONTROL!$C$21, $C$9, 100%, $E$9)</f>
        <v>5.1329000000000002</v>
      </c>
      <c r="G62" s="10">
        <f>CHOOSE(CONTROL!$C$42, 5.1516, 5.1516)*CHOOSE(CONTROL!$C$21, $C$9, 100%, $E$9)</f>
        <v>5.1516000000000002</v>
      </c>
      <c r="H62" s="10">
        <f>CHOOSE(CONTROL!$C$42, 5.2149, 5.2149) * CHOOSE(CONTROL!$C$21, $C$9, 100%, $E$9)</f>
        <v>5.2149000000000001</v>
      </c>
      <c r="I62" s="10">
        <f>CHOOSE(CONTROL!$C$42, 5.1594, 5.1594)* CHOOSE(CONTROL!$C$21, $C$9, 100%, $E$9)</f>
        <v>5.1593999999999998</v>
      </c>
      <c r="J62" s="10">
        <f>CHOOSE(CONTROL!$C$42, 5.1255, 5.1255)* CHOOSE(CONTROL!$C$21, $C$9, 100%, $E$9)</f>
        <v>5.1254999999999997</v>
      </c>
      <c r="K62" s="10">
        <f>CHOOSE(CONTROL!$C$42, 5.1735, 5.1735) * CHOOSE(CONTROL!$C$21, $C$9, 100%, $E$9)</f>
        <v>5.1734999999999998</v>
      </c>
      <c r="L62" s="10">
        <f>CHOOSE(CONTROL!$C$42, 5.8019, 5.8019) * CHOOSE(CONTROL!$C$21, $C$9, 100%, $E$9)</f>
        <v>5.8018999999999998</v>
      </c>
      <c r="M62" s="10">
        <f>CHOOSE(CONTROL!$C$42, 5.0922, 5.0922) * CHOOSE(CONTROL!$C$21, $C$9, 100%, $E$9)</f>
        <v>5.0922000000000001</v>
      </c>
      <c r="N62" s="10">
        <f>CHOOSE(CONTROL!$C$42, 5.1107, 5.1107) * CHOOSE(CONTROL!$C$21, $C$9, 100%, $E$9)</f>
        <v>5.1106999999999996</v>
      </c>
      <c r="O62" s="10">
        <f>CHOOSE(CONTROL!$C$42, 5.1805, 5.1805) * CHOOSE(CONTROL!$C$21, $C$9, 100%, $E$9)</f>
        <v>5.1805000000000003</v>
      </c>
      <c r="P62" s="10">
        <f>CHOOSE(CONTROL!$C$42, 5.1257, 5.1257) * CHOOSE(CONTROL!$C$21, $C$9, 100%, $E$9)</f>
        <v>5.1257000000000001</v>
      </c>
      <c r="Q62" s="10">
        <f>CHOOSE(CONTROL!$C$42, 5.7758, 5.7758) * CHOOSE(CONTROL!$C$21, $C$9, 100%, $E$9)</f>
        <v>5.7758000000000003</v>
      </c>
      <c r="R62" s="10">
        <f>CHOOSE(CONTROL!$C$42, 6.3772, 6.3772) * CHOOSE(CONTROL!$C$21, $C$9, 100%, $E$9)</f>
        <v>6.3772000000000002</v>
      </c>
      <c r="S62" s="10">
        <f>CHOOSE(CONTROL!$C$42, 5.0055, 5.0055) * CHOOSE(CONTROL!$C$21, $C$9, 100%, $E$9)</f>
        <v>5.0054999999999996</v>
      </c>
      <c r="T6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38">
        <f>(1000*CHOOSE(CONTROL!$C$42, 695, 695)*CHOOSE(CONTROL!$C$42, 0.5599, 0.5599)*CHOOSE(CONTROL!$C$42, 28, 28))/1000000</f>
        <v>10.895653999999999</v>
      </c>
      <c r="V62" s="38">
        <f>(1000*CHOOSE(CONTROL!$C$42, 500, 500)*CHOOSE(CONTROL!$C$42, 0.275, 0.275)*CHOOSE(CONTROL!$C$42, 28, 28))/1000000</f>
        <v>3.85</v>
      </c>
      <c r="W62" s="38">
        <f>(1000*CHOOSE(CONTROL!$C$42, 0.1146, 0.1146)*CHOOSE(CONTROL!$C$42, 121.5, 121.5)*CHOOSE(CONTROL!$C$42, 28, 28))/1000000</f>
        <v>0.38986920000000003</v>
      </c>
      <c r="X62" s="38">
        <f>(28*0.1790888*100000/1000000)+(28*0.2374*100000/1000000)</f>
        <v>1.16616864</v>
      </c>
      <c r="Y62" s="38">
        <f>(1000*400*CHOOSE(CONTROL!$C$42, 2.0082, 2.0082)*CHOOSE(CONTROL!$C$42, 28, 28))/1000000</f>
        <v>22.49184</v>
      </c>
      <c r="Z62" s="38"/>
      <c r="AA62" s="10"/>
      <c r="AB62" s="39"/>
      <c r="AC62" s="33">
        <f>(B62*122.58+C62*297.941+D62*89.177+E62*40.302+F62*40+G62*160+H62*0+I62*100+J62*300)/(122.58+297.941+89.177+40.302+0+40+160+100+300)</f>
        <v>5.1520824737391298</v>
      </c>
      <c r="AD62" s="27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5.1381057553956841</v>
      </c>
    </row>
    <row r="63" spans="1:30" ht="15" x14ac:dyDescent="0.2">
      <c r="A63" s="16">
        <v>43160</v>
      </c>
      <c r="B63" s="10">
        <f>CHOOSE(CONTROL!$C$42, 5.0054, 5.0054) * CHOOSE(CONTROL!$C$21, $C$9, 100%, $E$9)</f>
        <v>5.0053999999999998</v>
      </c>
      <c r="C63" s="10">
        <f>CHOOSE(CONTROL!$C$42, 5.0105, 5.0105) * CHOOSE(CONTROL!$C$21, $C$9, 100%, $E$9)</f>
        <v>5.0105000000000004</v>
      </c>
      <c r="D63" s="10">
        <f>CHOOSE(CONTROL!$C$42, 5.0455, 5.0455) * CHOOSE(CONTROL!$C$21, $C$9, 100%, $E$9)</f>
        <v>5.0454999999999997</v>
      </c>
      <c r="E63" s="10">
        <f>CHOOSE(CONTROL!$C$42, 5.0793, 5.0793) * CHOOSE(CONTROL!$C$21, $C$9, 100%, $E$9)</f>
        <v>5.0792999999999999</v>
      </c>
      <c r="F63" s="10">
        <f>CHOOSE(CONTROL!$C$42, 4.9848, 4.9848)*CHOOSE(CONTROL!$C$21, $C$9, 100%, $E$9)</f>
        <v>4.9847999999999999</v>
      </c>
      <c r="G63" s="10">
        <f>CHOOSE(CONTROL!$C$42, 5.0032, 5.0032)*CHOOSE(CONTROL!$C$21, $C$9, 100%, $E$9)</f>
        <v>5.0031999999999996</v>
      </c>
      <c r="H63" s="10">
        <f>CHOOSE(CONTROL!$C$42, 5.0682, 5.0682) * CHOOSE(CONTROL!$C$21, $C$9, 100%, $E$9)</f>
        <v>5.0682</v>
      </c>
      <c r="I63" s="10">
        <f>CHOOSE(CONTROL!$C$42, 5.0126, 5.0126)* CHOOSE(CONTROL!$C$21, $C$9, 100%, $E$9)</f>
        <v>5.0125999999999999</v>
      </c>
      <c r="J63" s="10">
        <f>CHOOSE(CONTROL!$C$42, 4.9774, 4.9774)* CHOOSE(CONTROL!$C$21, $C$9, 100%, $E$9)</f>
        <v>4.9774000000000003</v>
      </c>
      <c r="K63" s="10">
        <f>CHOOSE(CONTROL!$C$42, 5.0284, 5.0284) * CHOOSE(CONTROL!$C$21, $C$9, 100%, $E$9)</f>
        <v>5.0284000000000004</v>
      </c>
      <c r="L63" s="10">
        <f>CHOOSE(CONTROL!$C$42, 5.6552, 5.6552) * CHOOSE(CONTROL!$C$21, $C$9, 100%, $E$9)</f>
        <v>5.6551999999999998</v>
      </c>
      <c r="M63" s="10">
        <f>CHOOSE(CONTROL!$C$42, 4.946, 4.946) * CHOOSE(CONTROL!$C$21, $C$9, 100%, $E$9)</f>
        <v>4.9459999999999997</v>
      </c>
      <c r="N63" s="10">
        <f>CHOOSE(CONTROL!$C$42, 4.9641, 4.9641) * CHOOSE(CONTROL!$C$21, $C$9, 100%, $E$9)</f>
        <v>4.9641000000000002</v>
      </c>
      <c r="O63" s="10">
        <f>CHOOSE(CONTROL!$C$42, 5.0356, 5.0356) * CHOOSE(CONTROL!$C$21, $C$9, 100%, $E$9)</f>
        <v>5.0355999999999996</v>
      </c>
      <c r="P63" s="10">
        <f>CHOOSE(CONTROL!$C$42, 4.9809, 4.9809) * CHOOSE(CONTROL!$C$21, $C$9, 100%, $E$9)</f>
        <v>4.9809000000000001</v>
      </c>
      <c r="Q63" s="10">
        <f>CHOOSE(CONTROL!$C$42, 5.6309, 5.6309) * CHOOSE(CONTROL!$C$21, $C$9, 100%, $E$9)</f>
        <v>5.6308999999999996</v>
      </c>
      <c r="R63" s="10">
        <f>CHOOSE(CONTROL!$C$42, 6.232, 6.232) * CHOOSE(CONTROL!$C$21, $C$9, 100%, $E$9)</f>
        <v>6.2320000000000002</v>
      </c>
      <c r="S63" s="10">
        <f>CHOOSE(CONTROL!$C$42, 4.8634, 4.8634) * CHOOSE(CONTROL!$C$21, $C$9, 100%, $E$9)</f>
        <v>4.8634000000000004</v>
      </c>
      <c r="T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38">
        <f>(1000*CHOOSE(CONTROL!$C$42, 695, 695)*CHOOSE(CONTROL!$C$42, 0.5599, 0.5599)*CHOOSE(CONTROL!$C$42, 31, 31))/1000000</f>
        <v>12.063045499999998</v>
      </c>
      <c r="V63" s="38">
        <f>(1000*CHOOSE(CONTROL!$C$42, 500, 500)*CHOOSE(CONTROL!$C$42, 0.275, 0.275)*CHOOSE(CONTROL!$C$42, 31, 31))/1000000</f>
        <v>4.2625000000000002</v>
      </c>
      <c r="W63" s="38">
        <f>(1000*CHOOSE(CONTROL!$C$42, 0.1146, 0.1146)*CHOOSE(CONTROL!$C$42, 121.5, 121.5)*CHOOSE(CONTROL!$C$42, 31, 31))/1000000</f>
        <v>0.43164089999999994</v>
      </c>
      <c r="X63" s="38">
        <f>(31*0.1790888*100000/1000000)+(31*0.2374*100000/1000000)</f>
        <v>1.2911152800000001</v>
      </c>
      <c r="Y63" s="38">
        <f>(1000*400*CHOOSE(CONTROL!$C$42, 2.0082, 2.0082)*CHOOSE(CONTROL!$C$42, 31, 31))/1000000</f>
        <v>24.901679999999999</v>
      </c>
      <c r="Z63" s="38"/>
      <c r="AA63" s="10"/>
      <c r="AB63" s="39"/>
      <c r="AC63" s="33">
        <f>(B63*122.58+C63*297.941+D63*89.177+E63*40.302+F63*40+G63*160+H63*0+I63*100+J63*300)/(122.58+297.941+89.177+40.302+0+40+160+100+300)</f>
        <v>5.0047198387826084</v>
      </c>
      <c r="AD63" s="27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4.9926733812949644</v>
      </c>
    </row>
    <row r="64" spans="1:30" ht="15" x14ac:dyDescent="0.2">
      <c r="A64" s="16">
        <v>43191</v>
      </c>
      <c r="B64" s="10">
        <f>CHOOSE(CONTROL!$C$42, 4.9911, 4.9911) * CHOOSE(CONTROL!$C$21, $C$9, 100%, $E$9)</f>
        <v>4.9911000000000003</v>
      </c>
      <c r="C64" s="10">
        <f>CHOOSE(CONTROL!$C$42, 4.9957, 4.9957) * CHOOSE(CONTROL!$C$21, $C$9, 100%, $E$9)</f>
        <v>4.9957000000000003</v>
      </c>
      <c r="D64" s="10">
        <f>CHOOSE(CONTROL!$C$42, 5.1739, 5.1739) * CHOOSE(CONTROL!$C$21, $C$9, 100%, $E$9)</f>
        <v>5.1738999999999997</v>
      </c>
      <c r="E64" s="10">
        <f>CHOOSE(CONTROL!$C$42, 5.2057, 5.2057) * CHOOSE(CONTROL!$C$21, $C$9, 100%, $E$9)</f>
        <v>5.2057000000000002</v>
      </c>
      <c r="F64" s="10">
        <f>CHOOSE(CONTROL!$C$42, 4.9346, 4.9346)*CHOOSE(CONTROL!$C$21, $C$9, 100%, $E$9)</f>
        <v>4.9345999999999997</v>
      </c>
      <c r="G64" s="10">
        <f>CHOOSE(CONTROL!$C$42, 4.9512, 4.9512)*CHOOSE(CONTROL!$C$21, $C$9, 100%, $E$9)</f>
        <v>4.9512</v>
      </c>
      <c r="H64" s="10">
        <f>CHOOSE(CONTROL!$C$42, 5.1952, 5.1952) * CHOOSE(CONTROL!$C$21, $C$9, 100%, $E$9)</f>
        <v>5.1951999999999998</v>
      </c>
      <c r="I64" s="10">
        <f>CHOOSE(CONTROL!$C$42, 4.9671, 4.9671)* CHOOSE(CONTROL!$C$21, $C$9, 100%, $E$9)</f>
        <v>4.9671000000000003</v>
      </c>
      <c r="J64" s="10">
        <f>CHOOSE(CONTROL!$C$42, 4.9272, 4.9272)* CHOOSE(CONTROL!$C$21, $C$9, 100%, $E$9)</f>
        <v>4.9272</v>
      </c>
      <c r="K64" s="10">
        <f>CHOOSE(CONTROL!$C$42, 4.9696, 4.9696) * CHOOSE(CONTROL!$C$21, $C$9, 100%, $E$9)</f>
        <v>4.9695999999999998</v>
      </c>
      <c r="L64" s="10">
        <f>CHOOSE(CONTROL!$C$42, 5.7822, 5.7822) * CHOOSE(CONTROL!$C$21, $C$9, 100%, $E$9)</f>
        <v>5.7821999999999996</v>
      </c>
      <c r="M64" s="10">
        <f>CHOOSE(CONTROL!$C$42, 4.8964, 4.8964) * CHOOSE(CONTROL!$C$21, $C$9, 100%, $E$9)</f>
        <v>4.8963999999999999</v>
      </c>
      <c r="N64" s="10">
        <f>CHOOSE(CONTROL!$C$42, 4.9128, 4.9128) * CHOOSE(CONTROL!$C$21, $C$9, 100%, $E$9)</f>
        <v>4.9127999999999998</v>
      </c>
      <c r="O64" s="10">
        <f>CHOOSE(CONTROL!$C$42, 5.161, 5.161) * CHOOSE(CONTROL!$C$21, $C$9, 100%, $E$9)</f>
        <v>5.1609999999999996</v>
      </c>
      <c r="P64" s="10">
        <f>CHOOSE(CONTROL!$C$42, 4.9359, 4.9359) * CHOOSE(CONTROL!$C$21, $C$9, 100%, $E$9)</f>
        <v>4.9359000000000002</v>
      </c>
      <c r="Q64" s="10">
        <f>CHOOSE(CONTROL!$C$42, 5.7563, 5.7563) * CHOOSE(CONTROL!$C$21, $C$9, 100%, $E$9)</f>
        <v>5.7563000000000004</v>
      </c>
      <c r="R64" s="10">
        <f>CHOOSE(CONTROL!$C$42, 6.3576, 6.3576) * CHOOSE(CONTROL!$C$21, $C$9, 100%, $E$9)</f>
        <v>6.3575999999999997</v>
      </c>
      <c r="S64" s="10">
        <f>CHOOSE(CONTROL!$C$42, 4.8488, 4.8488) * CHOOSE(CONTROL!$C$21, $C$9, 100%, $E$9)</f>
        <v>4.8487999999999998</v>
      </c>
      <c r="T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38">
        <f>(1000*CHOOSE(CONTROL!$C$42, 695, 695)*CHOOSE(CONTROL!$C$42, 0.5599, 0.5599)*CHOOSE(CONTROL!$C$42, 30, 30))/1000000</f>
        <v>11.673914999999997</v>
      </c>
      <c r="V64" s="38">
        <f>(1000*CHOOSE(CONTROL!$C$42, 500, 500)*CHOOSE(CONTROL!$C$42, 0.275, 0.275)*CHOOSE(CONTROL!$C$42, 30, 30))/1000000</f>
        <v>4.125</v>
      </c>
      <c r="W64" s="38">
        <f>(1000*CHOOSE(CONTROL!$C$42, 0.1146, 0.1146)*CHOOSE(CONTROL!$C$42, 121.5, 121.5)*CHOOSE(CONTROL!$C$42, 30, 30))/1000000</f>
        <v>0.417717</v>
      </c>
      <c r="X64" s="38">
        <f>(30*0.1790888*245000/1000000)+(30*0.2374*100000/1000000)</f>
        <v>2.0285026799999999</v>
      </c>
      <c r="Y64" s="38">
        <f>(1000*400*CHOOSE(CONTROL!$C$42, 2.0082, 2.0082)*CHOOSE(CONTROL!$C$42, 30, 30))/1000000</f>
        <v>24.098400000000002</v>
      </c>
      <c r="Z64" s="38"/>
      <c r="AA64" s="10"/>
      <c r="AB64" s="39"/>
      <c r="AC64" s="33">
        <f>(B64*141.293+C64*267.993+D64*115.016+E64*89.698+F64*40+G64*185+H64*0+I64*100+J64*300)/(141.293+267.993+115.016+89.698+0+40+185+100+300)</f>
        <v>4.9994094297013723</v>
      </c>
      <c r="AD64" s="27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4.9800992805755397</v>
      </c>
    </row>
    <row r="65" spans="1:30" ht="15" x14ac:dyDescent="0.2">
      <c r="A65" s="16">
        <v>43221</v>
      </c>
      <c r="B65" s="10">
        <f>CHOOSE(CONTROL!$C$42, 5.0371, 5.0371) * CHOOSE(CONTROL!$C$21, $C$9, 100%, $E$9)</f>
        <v>5.0370999999999997</v>
      </c>
      <c r="C65" s="10">
        <f>CHOOSE(CONTROL!$C$42, 5.0451, 5.0451) * CHOOSE(CONTROL!$C$21, $C$9, 100%, $E$9)</f>
        <v>5.0450999999999997</v>
      </c>
      <c r="D65" s="10">
        <f>CHOOSE(CONTROL!$C$42, 5.2202, 5.2202) * CHOOSE(CONTROL!$C$21, $C$9, 100%, $E$9)</f>
        <v>5.2202000000000002</v>
      </c>
      <c r="E65" s="10">
        <f>CHOOSE(CONTROL!$C$42, 5.2514, 5.2514) * CHOOSE(CONTROL!$C$21, $C$9, 100%, $E$9)</f>
        <v>5.2514000000000003</v>
      </c>
      <c r="F65" s="10">
        <f>CHOOSE(CONTROL!$C$42, 4.9788, 4.9788)*CHOOSE(CONTROL!$C$21, $C$9, 100%, $E$9)</f>
        <v>4.9787999999999997</v>
      </c>
      <c r="G65" s="10">
        <f>CHOOSE(CONTROL!$C$42, 4.9957, 4.9957)*CHOOSE(CONTROL!$C$21, $C$9, 100%, $E$9)</f>
        <v>4.9957000000000003</v>
      </c>
      <c r="H65" s="10">
        <f>CHOOSE(CONTROL!$C$42, 5.2397, 5.2397) * CHOOSE(CONTROL!$C$21, $C$9, 100%, $E$9)</f>
        <v>5.2397</v>
      </c>
      <c r="I65" s="10">
        <f>CHOOSE(CONTROL!$C$42, 5.0117, 5.0117)* CHOOSE(CONTROL!$C$21, $C$9, 100%, $E$9)</f>
        <v>5.0117000000000003</v>
      </c>
      <c r="J65" s="10">
        <f>CHOOSE(CONTROL!$C$42, 4.9714, 4.9714)* CHOOSE(CONTROL!$C$21, $C$9, 100%, $E$9)</f>
        <v>4.9714</v>
      </c>
      <c r="K65" s="10">
        <f>CHOOSE(CONTROL!$C$42, 5.0119, 5.0119) * CHOOSE(CONTROL!$C$21, $C$9, 100%, $E$9)</f>
        <v>5.0118999999999998</v>
      </c>
      <c r="L65" s="10">
        <f>CHOOSE(CONTROL!$C$42, 5.8267, 5.8267) * CHOOSE(CONTROL!$C$21, $C$9, 100%, $E$9)</f>
        <v>5.8266999999999998</v>
      </c>
      <c r="M65" s="10">
        <f>CHOOSE(CONTROL!$C$42, 4.9401, 4.9401) * CHOOSE(CONTROL!$C$21, $C$9, 100%, $E$9)</f>
        <v>4.9401000000000002</v>
      </c>
      <c r="N65" s="10">
        <f>CHOOSE(CONTROL!$C$42, 4.9567, 4.9567) * CHOOSE(CONTROL!$C$21, $C$9, 100%, $E$9)</f>
        <v>4.9566999999999997</v>
      </c>
      <c r="O65" s="10">
        <f>CHOOSE(CONTROL!$C$42, 5.205, 5.205) * CHOOSE(CONTROL!$C$21, $C$9, 100%, $E$9)</f>
        <v>5.2050000000000001</v>
      </c>
      <c r="P65" s="10">
        <f>CHOOSE(CONTROL!$C$42, 4.9799, 4.9799) * CHOOSE(CONTROL!$C$21, $C$9, 100%, $E$9)</f>
        <v>4.9798999999999998</v>
      </c>
      <c r="Q65" s="10">
        <f>CHOOSE(CONTROL!$C$42, 5.8003, 5.8003) * CHOOSE(CONTROL!$C$21, $C$9, 100%, $E$9)</f>
        <v>5.8003</v>
      </c>
      <c r="R65" s="10">
        <f>CHOOSE(CONTROL!$C$42, 6.4018, 6.4018) * CHOOSE(CONTROL!$C$21, $C$9, 100%, $E$9)</f>
        <v>6.4017999999999997</v>
      </c>
      <c r="S65" s="10">
        <f>CHOOSE(CONTROL!$C$42, 4.892, 4.892) * CHOOSE(CONTROL!$C$21, $C$9, 100%, $E$9)</f>
        <v>4.8920000000000003</v>
      </c>
      <c r="T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38">
        <f>(1000*CHOOSE(CONTROL!$C$42, 695, 695)*CHOOSE(CONTROL!$C$42, 0.5599, 0.5599)*CHOOSE(CONTROL!$C$42, 31, 31))/1000000</f>
        <v>12.063045499999998</v>
      </c>
      <c r="V65" s="38">
        <f>(1000*CHOOSE(CONTROL!$C$42, 500, 500)*CHOOSE(CONTROL!$C$42, 0.275, 0.275)*CHOOSE(CONTROL!$C$42, 31, 31))/1000000</f>
        <v>4.2625000000000002</v>
      </c>
      <c r="W65" s="38">
        <f>(1000*CHOOSE(CONTROL!$C$42, 0.1146, 0.1146)*CHOOSE(CONTROL!$C$42, 121.5, 121.5)*CHOOSE(CONTROL!$C$42, 31, 31))/1000000</f>
        <v>0.43164089999999994</v>
      </c>
      <c r="X65" s="38">
        <f>(31*0.1790888*245000/1000000)+(31*0.2374*100000/1000000)</f>
        <v>2.0961194359999999</v>
      </c>
      <c r="Y65" s="38">
        <f>(1000*400*CHOOSE(CONTROL!$C$42, 2.0082, 2.0082)*CHOOSE(CONTROL!$C$42, 31, 31))/1000000</f>
        <v>24.901679999999999</v>
      </c>
      <c r="Z65" s="38"/>
      <c r="AA65" s="10"/>
      <c r="AB65" s="39"/>
      <c r="AC65" s="33">
        <f>(B65*194.205+C65*267.466+D65*133.845+E65*53.484+F65*40+G65*185+H65*0+I65*100+J65*300)/(194.205+267.466+133.845+53.484+0+40+185+100+300)</f>
        <v>5.0417054699372059</v>
      </c>
      <c r="AD65" s="27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5.023972661870503</v>
      </c>
    </row>
    <row r="66" spans="1:30" ht="15" x14ac:dyDescent="0.2">
      <c r="A66" s="16">
        <v>43252</v>
      </c>
      <c r="B66" s="10">
        <f>CHOOSE(CONTROL!$C$42, 5.1804, 5.1804) * CHOOSE(CONTROL!$C$21, $C$9, 100%, $E$9)</f>
        <v>5.1803999999999997</v>
      </c>
      <c r="C66" s="10">
        <f>CHOOSE(CONTROL!$C$42, 5.1883, 5.1883) * CHOOSE(CONTROL!$C$21, $C$9, 100%, $E$9)</f>
        <v>5.1882999999999999</v>
      </c>
      <c r="D66" s="10">
        <f>CHOOSE(CONTROL!$C$42, 5.3635, 5.3635) * CHOOSE(CONTROL!$C$21, $C$9, 100%, $E$9)</f>
        <v>5.3635000000000002</v>
      </c>
      <c r="E66" s="10">
        <f>CHOOSE(CONTROL!$C$42, 5.3947, 5.3947) * CHOOSE(CONTROL!$C$21, $C$9, 100%, $E$9)</f>
        <v>5.3947000000000003</v>
      </c>
      <c r="F66" s="10">
        <f>CHOOSE(CONTROL!$C$42, 5.1222, 5.1222)*CHOOSE(CONTROL!$C$21, $C$9, 100%, $E$9)</f>
        <v>5.1222000000000003</v>
      </c>
      <c r="G66" s="10">
        <f>CHOOSE(CONTROL!$C$42, 5.1392, 5.1392)*CHOOSE(CONTROL!$C$21, $C$9, 100%, $E$9)</f>
        <v>5.1391999999999998</v>
      </c>
      <c r="H66" s="10">
        <f>CHOOSE(CONTROL!$C$42, 5.383, 5.383) * CHOOSE(CONTROL!$C$21, $C$9, 100%, $E$9)</f>
        <v>5.383</v>
      </c>
      <c r="I66" s="10">
        <f>CHOOSE(CONTROL!$C$42, 5.155, 5.155)* CHOOSE(CONTROL!$C$21, $C$9, 100%, $E$9)</f>
        <v>5.1550000000000002</v>
      </c>
      <c r="J66" s="10">
        <f>CHOOSE(CONTROL!$C$42, 5.1148, 5.1148)* CHOOSE(CONTROL!$C$21, $C$9, 100%, $E$9)</f>
        <v>5.1147999999999998</v>
      </c>
      <c r="K66" s="10">
        <f>CHOOSE(CONTROL!$C$42, 5.1511, 5.1511) * CHOOSE(CONTROL!$C$21, $C$9, 100%, $E$9)</f>
        <v>5.1510999999999996</v>
      </c>
      <c r="L66" s="10">
        <f>CHOOSE(CONTROL!$C$42, 5.97, 5.97) * CHOOSE(CONTROL!$C$21, $C$9, 100%, $E$9)</f>
        <v>5.97</v>
      </c>
      <c r="M66" s="10">
        <f>CHOOSE(CONTROL!$C$42, 5.0817, 5.0817) * CHOOSE(CONTROL!$C$21, $C$9, 100%, $E$9)</f>
        <v>5.0816999999999997</v>
      </c>
      <c r="N66" s="10">
        <f>CHOOSE(CONTROL!$C$42, 5.0984, 5.0984) * CHOOSE(CONTROL!$C$21, $C$9, 100%, $E$9)</f>
        <v>5.0983999999999998</v>
      </c>
      <c r="O66" s="10">
        <f>CHOOSE(CONTROL!$C$42, 5.3464, 5.3464) * CHOOSE(CONTROL!$C$21, $C$9, 100%, $E$9)</f>
        <v>5.3464</v>
      </c>
      <c r="P66" s="10">
        <f>CHOOSE(CONTROL!$C$42, 5.1214, 5.1214) * CHOOSE(CONTROL!$C$21, $C$9, 100%, $E$9)</f>
        <v>5.1214000000000004</v>
      </c>
      <c r="Q66" s="10">
        <f>CHOOSE(CONTROL!$C$42, 5.9417, 5.9417) * CHOOSE(CONTROL!$C$21, $C$9, 100%, $E$9)</f>
        <v>5.9417</v>
      </c>
      <c r="R66" s="10">
        <f>CHOOSE(CONTROL!$C$42, 6.5435, 6.5435) * CHOOSE(CONTROL!$C$21, $C$9, 100%, $E$9)</f>
        <v>6.5434999999999999</v>
      </c>
      <c r="S66" s="10">
        <f>CHOOSE(CONTROL!$C$42, 5.0307, 5.0307) * CHOOSE(CONTROL!$C$21, $C$9, 100%, $E$9)</f>
        <v>5.0307000000000004</v>
      </c>
      <c r="T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38">
        <f>(1000*CHOOSE(CONTROL!$C$42, 695, 695)*CHOOSE(CONTROL!$C$42, 0.5599, 0.5599)*CHOOSE(CONTROL!$C$42, 30, 30))/1000000</f>
        <v>11.673914999999997</v>
      </c>
      <c r="V66" s="38">
        <f>(1000*CHOOSE(CONTROL!$C$42, 500, 500)*CHOOSE(CONTROL!$C$42, 0.275, 0.275)*CHOOSE(CONTROL!$C$42, 30, 30))/1000000</f>
        <v>4.125</v>
      </c>
      <c r="W66" s="38">
        <f>(1000*CHOOSE(CONTROL!$C$42, 0.1146, 0.1146)*CHOOSE(CONTROL!$C$42, 121.5, 121.5)*CHOOSE(CONTROL!$C$42, 30, 30))/1000000</f>
        <v>0.417717</v>
      </c>
      <c r="X66" s="38">
        <f>(30*0.1790888*245000/1000000)+(30*0.2374*100000/1000000)</f>
        <v>2.0285026799999999</v>
      </c>
      <c r="Y66" s="38">
        <f>(1000*400*CHOOSE(CONTROL!$C$42, 2.0082, 2.0082)*CHOOSE(CONTROL!$C$42, 30, 30))/1000000</f>
        <v>24.098400000000002</v>
      </c>
      <c r="Z66" s="38"/>
      <c r="AA66" s="10"/>
      <c r="AB66" s="39"/>
      <c r="AC66" s="33">
        <f>(B66*194.205+C66*267.466+D66*133.845+E66*53.484+F66*40+G66*185+H66*0+I66*100+J66*300)/(194.205+267.466+133.845+53.484+0+40+185+100+300)</f>
        <v>5.1850402057299849</v>
      </c>
      <c r="AD66" s="27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5.1655251798561146</v>
      </c>
    </row>
    <row r="67" spans="1:30" ht="15" x14ac:dyDescent="0.2">
      <c r="A67" s="16">
        <v>43282</v>
      </c>
      <c r="B67" s="10">
        <f>CHOOSE(CONTROL!$C$42, 5.0807, 5.0807) * CHOOSE(CONTROL!$C$21, $C$9, 100%, $E$9)</f>
        <v>5.0807000000000002</v>
      </c>
      <c r="C67" s="10">
        <f>CHOOSE(CONTROL!$C$42, 5.0887, 5.0887) * CHOOSE(CONTROL!$C$21, $C$9, 100%, $E$9)</f>
        <v>5.0887000000000002</v>
      </c>
      <c r="D67" s="10">
        <f>CHOOSE(CONTROL!$C$42, 5.2638, 5.2638) * CHOOSE(CONTROL!$C$21, $C$9, 100%, $E$9)</f>
        <v>5.2637999999999998</v>
      </c>
      <c r="E67" s="10">
        <f>CHOOSE(CONTROL!$C$42, 5.295, 5.295) * CHOOSE(CONTROL!$C$21, $C$9, 100%, $E$9)</f>
        <v>5.2949999999999999</v>
      </c>
      <c r="F67" s="10">
        <f>CHOOSE(CONTROL!$C$42, 5.0229, 5.0229)*CHOOSE(CONTROL!$C$21, $C$9, 100%, $E$9)</f>
        <v>5.0228999999999999</v>
      </c>
      <c r="G67" s="10">
        <f>CHOOSE(CONTROL!$C$42, 5.04, 5.04)*CHOOSE(CONTROL!$C$21, $C$9, 100%, $E$9)</f>
        <v>5.04</v>
      </c>
      <c r="H67" s="10">
        <f>CHOOSE(CONTROL!$C$42, 5.2834, 5.2834) * CHOOSE(CONTROL!$C$21, $C$9, 100%, $E$9)</f>
        <v>5.2834000000000003</v>
      </c>
      <c r="I67" s="10">
        <f>CHOOSE(CONTROL!$C$42, 5.0553, 5.0553)* CHOOSE(CONTROL!$C$21, $C$9, 100%, $E$9)</f>
        <v>5.0552999999999999</v>
      </c>
      <c r="J67" s="10">
        <f>CHOOSE(CONTROL!$C$42, 5.0155, 5.0155)* CHOOSE(CONTROL!$C$21, $C$9, 100%, $E$9)</f>
        <v>5.0155000000000003</v>
      </c>
      <c r="K67" s="10">
        <f>CHOOSE(CONTROL!$C$42, 5.0553, 5.0553) * CHOOSE(CONTROL!$C$21, $C$9, 100%, $E$9)</f>
        <v>5.0552999999999999</v>
      </c>
      <c r="L67" s="10">
        <f>CHOOSE(CONTROL!$C$42, 5.8704, 5.8704) * CHOOSE(CONTROL!$C$21, $C$9, 100%, $E$9)</f>
        <v>5.8704000000000001</v>
      </c>
      <c r="M67" s="10">
        <f>CHOOSE(CONTROL!$C$42, 4.9836, 4.9836) * CHOOSE(CONTROL!$C$21, $C$9, 100%, $E$9)</f>
        <v>4.9836</v>
      </c>
      <c r="N67" s="10">
        <f>CHOOSE(CONTROL!$C$42, 5.0005, 5.0005) * CHOOSE(CONTROL!$C$21, $C$9, 100%, $E$9)</f>
        <v>5.0004999999999997</v>
      </c>
      <c r="O67" s="10">
        <f>CHOOSE(CONTROL!$C$42, 5.248, 5.248) * CHOOSE(CONTROL!$C$21, $C$9, 100%, $E$9)</f>
        <v>5.2480000000000002</v>
      </c>
      <c r="P67" s="10">
        <f>CHOOSE(CONTROL!$C$42, 5.023, 5.023) * CHOOSE(CONTROL!$C$21, $C$9, 100%, $E$9)</f>
        <v>5.0229999999999997</v>
      </c>
      <c r="Q67" s="10">
        <f>CHOOSE(CONTROL!$C$42, 5.8433, 5.8433) * CHOOSE(CONTROL!$C$21, $C$9, 100%, $E$9)</f>
        <v>5.8433000000000002</v>
      </c>
      <c r="R67" s="10">
        <f>CHOOSE(CONTROL!$C$42, 6.4449, 6.4449) * CHOOSE(CONTROL!$C$21, $C$9, 100%, $E$9)</f>
        <v>6.4448999999999996</v>
      </c>
      <c r="S67" s="10">
        <f>CHOOSE(CONTROL!$C$42, 4.9342, 4.9342) * CHOOSE(CONTROL!$C$21, $C$9, 100%, $E$9)</f>
        <v>4.9341999999999997</v>
      </c>
      <c r="T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38">
        <f>(1000*CHOOSE(CONTROL!$C$42, 695, 695)*CHOOSE(CONTROL!$C$42, 0.5599, 0.5599)*CHOOSE(CONTROL!$C$42, 31, 31))/1000000</f>
        <v>12.063045499999998</v>
      </c>
      <c r="V67" s="38">
        <f>(1000*CHOOSE(CONTROL!$C$42, 500, 500)*CHOOSE(CONTROL!$C$42, 0.275, 0.275)*CHOOSE(CONTROL!$C$42, 31, 31))/1000000</f>
        <v>4.2625000000000002</v>
      </c>
      <c r="W67" s="38">
        <f>(1000*CHOOSE(CONTROL!$C$42, 0.1146, 0.1146)*CHOOSE(CONTROL!$C$42, 121.5, 121.5)*CHOOSE(CONTROL!$C$42, 31, 31))/1000000</f>
        <v>0.43164089999999994</v>
      </c>
      <c r="X67" s="38">
        <f>(31*0.1790888*245000/1000000)+(31*0.2374*100000/1000000)</f>
        <v>2.0961194359999999</v>
      </c>
      <c r="Y67" s="38">
        <f>(1000*400*CHOOSE(CONTROL!$C$42, 2.0082, 2.0082)*CHOOSE(CONTROL!$C$42, 31, 31))/1000000</f>
        <v>24.901679999999999</v>
      </c>
      <c r="Z67" s="38"/>
      <c r="AA67" s="10"/>
      <c r="AB67" s="39"/>
      <c r="AC67" s="33">
        <f>(B67*194.205+C67*267.466+D67*133.845+E67*53.484+F67*40+G67*185+H67*0+I67*100+J67*300)/(194.205+267.466+133.845+53.484+0+40+185+100+300)</f>
        <v>5.0855405562794349</v>
      </c>
      <c r="AD67" s="27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5.0673438848920869</v>
      </c>
    </row>
    <row r="68" spans="1:30" ht="15" x14ac:dyDescent="0.2">
      <c r="A68" s="16">
        <v>43313</v>
      </c>
      <c r="B68" s="10">
        <f>CHOOSE(CONTROL!$C$42, 4.8291, 4.8291) * CHOOSE(CONTROL!$C$21, $C$9, 100%, $E$9)</f>
        <v>4.8291000000000004</v>
      </c>
      <c r="C68" s="10">
        <f>CHOOSE(CONTROL!$C$42, 4.8371, 4.8371) * CHOOSE(CONTROL!$C$21, $C$9, 100%, $E$9)</f>
        <v>4.8371000000000004</v>
      </c>
      <c r="D68" s="10">
        <f>CHOOSE(CONTROL!$C$42, 5.0122, 5.0122) * CHOOSE(CONTROL!$C$21, $C$9, 100%, $E$9)</f>
        <v>5.0122</v>
      </c>
      <c r="E68" s="10">
        <f>CHOOSE(CONTROL!$C$42, 5.0434, 5.0434) * CHOOSE(CONTROL!$C$21, $C$9, 100%, $E$9)</f>
        <v>5.0434000000000001</v>
      </c>
      <c r="F68" s="10">
        <f>CHOOSE(CONTROL!$C$42, 4.7712, 4.7712)*CHOOSE(CONTROL!$C$21, $C$9, 100%, $E$9)</f>
        <v>4.7712000000000003</v>
      </c>
      <c r="G68" s="10">
        <f>CHOOSE(CONTROL!$C$42, 4.7882, 4.7882)*CHOOSE(CONTROL!$C$21, $C$9, 100%, $E$9)</f>
        <v>4.7881999999999998</v>
      </c>
      <c r="H68" s="10">
        <f>CHOOSE(CONTROL!$C$42, 5.0317, 5.0317) * CHOOSE(CONTROL!$C$21, $C$9, 100%, $E$9)</f>
        <v>5.0316999999999998</v>
      </c>
      <c r="I68" s="10">
        <f>CHOOSE(CONTROL!$C$42, 4.8037, 4.8037)* CHOOSE(CONTROL!$C$21, $C$9, 100%, $E$9)</f>
        <v>4.8037000000000001</v>
      </c>
      <c r="J68" s="10">
        <f>CHOOSE(CONTROL!$C$42, 4.7638, 4.7638)* CHOOSE(CONTROL!$C$21, $C$9, 100%, $E$9)</f>
        <v>4.7637999999999998</v>
      </c>
      <c r="K68" s="10">
        <f>CHOOSE(CONTROL!$C$42, 4.8113, 4.8113) * CHOOSE(CONTROL!$C$21, $C$9, 100%, $E$9)</f>
        <v>4.8113000000000001</v>
      </c>
      <c r="L68" s="10">
        <f>CHOOSE(CONTROL!$C$42, 5.6187, 5.6187) * CHOOSE(CONTROL!$C$21, $C$9, 100%, $E$9)</f>
        <v>5.6186999999999996</v>
      </c>
      <c r="M68" s="10">
        <f>CHOOSE(CONTROL!$C$42, 4.7351, 4.7351) * CHOOSE(CONTROL!$C$21, $C$9, 100%, $E$9)</f>
        <v>4.7351000000000001</v>
      </c>
      <c r="N68" s="10">
        <f>CHOOSE(CONTROL!$C$42, 4.7519, 4.7519) * CHOOSE(CONTROL!$C$21, $C$9, 100%, $E$9)</f>
        <v>4.7519</v>
      </c>
      <c r="O68" s="10">
        <f>CHOOSE(CONTROL!$C$42, 4.9996, 4.9996) * CHOOSE(CONTROL!$C$21, $C$9, 100%, $E$9)</f>
        <v>4.9996</v>
      </c>
      <c r="P68" s="10">
        <f>CHOOSE(CONTROL!$C$42, 4.7746, 4.7746) * CHOOSE(CONTROL!$C$21, $C$9, 100%, $E$9)</f>
        <v>4.7746000000000004</v>
      </c>
      <c r="Q68" s="10">
        <f>CHOOSE(CONTROL!$C$42, 5.5949, 5.5949) * CHOOSE(CONTROL!$C$21, $C$9, 100%, $E$9)</f>
        <v>5.5949</v>
      </c>
      <c r="R68" s="10">
        <f>CHOOSE(CONTROL!$C$42, 6.1959, 6.1959) * CHOOSE(CONTROL!$C$21, $C$9, 100%, $E$9)</f>
        <v>6.1959</v>
      </c>
      <c r="S68" s="10">
        <f>CHOOSE(CONTROL!$C$42, 4.6906, 4.6906) * CHOOSE(CONTROL!$C$21, $C$9, 100%, $E$9)</f>
        <v>4.6905999999999999</v>
      </c>
      <c r="T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38">
        <f>(1000*CHOOSE(CONTROL!$C$42, 695, 695)*CHOOSE(CONTROL!$C$42, 0.5599, 0.5599)*CHOOSE(CONTROL!$C$42, 31, 31))/1000000</f>
        <v>12.063045499999998</v>
      </c>
      <c r="V68" s="38">
        <f>(1000*CHOOSE(CONTROL!$C$42, 500, 500)*CHOOSE(CONTROL!$C$42, 0.275, 0.275)*CHOOSE(CONTROL!$C$42, 31, 31))/1000000</f>
        <v>4.2625000000000002</v>
      </c>
      <c r="W68" s="38">
        <f>(1000*CHOOSE(CONTROL!$C$42, 0.1146, 0.1146)*CHOOSE(CONTROL!$C$42, 121.5, 121.5)*CHOOSE(CONTROL!$C$42, 31, 31))/1000000</f>
        <v>0.43164089999999994</v>
      </c>
      <c r="X68" s="38">
        <f>(31*0.1790888*245000/1000000)+(31*0.2374*100000/1000000)</f>
        <v>2.0961194359999999</v>
      </c>
      <c r="Y68" s="38">
        <f>(1000*400*CHOOSE(CONTROL!$C$42, 2.0082, 2.0082)*CHOOSE(CONTROL!$C$42, 31, 31))/1000000</f>
        <v>24.901679999999999</v>
      </c>
      <c r="Z68" s="38"/>
      <c r="AA68" s="10"/>
      <c r="AB68" s="39"/>
      <c r="AC68" s="33">
        <f>(B68*194.205+C68*267.466+D68*133.845+E68*53.484+F68*40+G68*185+H68*0+I68*100+J68*300)/(194.205+267.466+133.845+53.484+0+40+185+100+300)</f>
        <v>4.8338848262951339</v>
      </c>
      <c r="AD68" s="27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4.8188633093525182</v>
      </c>
    </row>
    <row r="69" spans="1:30" ht="15" x14ac:dyDescent="0.2">
      <c r="A69" s="16">
        <v>43344</v>
      </c>
      <c r="B69" s="10">
        <f>CHOOSE(CONTROL!$C$42, 4.5216, 4.5216) * CHOOSE(CONTROL!$C$21, $C$9, 100%, $E$9)</f>
        <v>4.5216000000000003</v>
      </c>
      <c r="C69" s="10">
        <f>CHOOSE(CONTROL!$C$42, 4.5296, 4.5296) * CHOOSE(CONTROL!$C$21, $C$9, 100%, $E$9)</f>
        <v>4.5296000000000003</v>
      </c>
      <c r="D69" s="10">
        <f>CHOOSE(CONTROL!$C$42, 4.7047, 4.7047) * CHOOSE(CONTROL!$C$21, $C$9, 100%, $E$9)</f>
        <v>4.7046999999999999</v>
      </c>
      <c r="E69" s="10">
        <f>CHOOSE(CONTROL!$C$42, 4.7359, 4.7359) * CHOOSE(CONTROL!$C$21, $C$9, 100%, $E$9)</f>
        <v>4.7359</v>
      </c>
      <c r="F69" s="10">
        <f>CHOOSE(CONTROL!$C$42, 4.4634, 4.4634)*CHOOSE(CONTROL!$C$21, $C$9, 100%, $E$9)</f>
        <v>4.4634</v>
      </c>
      <c r="G69" s="10">
        <f>CHOOSE(CONTROL!$C$42, 4.4803, 4.4803)*CHOOSE(CONTROL!$C$21, $C$9, 100%, $E$9)</f>
        <v>4.4802999999999997</v>
      </c>
      <c r="H69" s="10">
        <f>CHOOSE(CONTROL!$C$42, 4.7243, 4.7243) * CHOOSE(CONTROL!$C$21, $C$9, 100%, $E$9)</f>
        <v>4.7243000000000004</v>
      </c>
      <c r="I69" s="10">
        <f>CHOOSE(CONTROL!$C$42, 4.4962, 4.4962)* CHOOSE(CONTROL!$C$21, $C$9, 100%, $E$9)</f>
        <v>4.4962</v>
      </c>
      <c r="J69" s="10">
        <f>CHOOSE(CONTROL!$C$42, 4.456, 4.456)* CHOOSE(CONTROL!$C$21, $C$9, 100%, $E$9)</f>
        <v>4.4560000000000004</v>
      </c>
      <c r="K69" s="10">
        <f>CHOOSE(CONTROL!$C$42, 4.5127, 4.5127) * CHOOSE(CONTROL!$C$21, $C$9, 100%, $E$9)</f>
        <v>4.5126999999999997</v>
      </c>
      <c r="L69" s="10">
        <f>CHOOSE(CONTROL!$C$42, 5.3113, 5.3113) * CHOOSE(CONTROL!$C$21, $C$9, 100%, $E$9)</f>
        <v>5.3113000000000001</v>
      </c>
      <c r="M69" s="10">
        <f>CHOOSE(CONTROL!$C$42, 4.4313, 4.4313) * CHOOSE(CONTROL!$C$21, $C$9, 100%, $E$9)</f>
        <v>4.4313000000000002</v>
      </c>
      <c r="N69" s="10">
        <f>CHOOSE(CONTROL!$C$42, 4.448, 4.448) * CHOOSE(CONTROL!$C$21, $C$9, 100%, $E$9)</f>
        <v>4.4480000000000004</v>
      </c>
      <c r="O69" s="10">
        <f>CHOOSE(CONTROL!$C$42, 4.6961, 4.6961) * CHOOSE(CONTROL!$C$21, $C$9, 100%, $E$9)</f>
        <v>4.6961000000000004</v>
      </c>
      <c r="P69" s="10">
        <f>CHOOSE(CONTROL!$C$42, 4.4711, 4.4711) * CHOOSE(CONTROL!$C$21, $C$9, 100%, $E$9)</f>
        <v>4.4710999999999999</v>
      </c>
      <c r="Q69" s="10">
        <f>CHOOSE(CONTROL!$C$42, 5.2914, 5.2914) * CHOOSE(CONTROL!$C$21, $C$9, 100%, $E$9)</f>
        <v>5.2914000000000003</v>
      </c>
      <c r="R69" s="10">
        <f>CHOOSE(CONTROL!$C$42, 5.8917, 5.8917) * CHOOSE(CONTROL!$C$21, $C$9, 100%, $E$9)</f>
        <v>5.8917000000000002</v>
      </c>
      <c r="S69" s="10">
        <f>CHOOSE(CONTROL!$C$42, 4.3928, 4.3928) * CHOOSE(CONTROL!$C$21, $C$9, 100%, $E$9)</f>
        <v>4.3928000000000003</v>
      </c>
      <c r="T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38">
        <f>(1000*CHOOSE(CONTROL!$C$42, 695, 695)*CHOOSE(CONTROL!$C$42, 0.5599, 0.5599)*CHOOSE(CONTROL!$C$42, 30, 30))/1000000</f>
        <v>11.673914999999997</v>
      </c>
      <c r="V69" s="38">
        <f>(1000*CHOOSE(CONTROL!$C$42, 500, 500)*CHOOSE(CONTROL!$C$42, 0.275, 0.275)*CHOOSE(CONTROL!$C$42, 30, 30))/1000000</f>
        <v>4.125</v>
      </c>
      <c r="W69" s="38">
        <f>(1000*CHOOSE(CONTROL!$C$42, 0.1146, 0.1146)*CHOOSE(CONTROL!$C$42, 121.5, 121.5)*CHOOSE(CONTROL!$C$42, 30, 30))/1000000</f>
        <v>0.417717</v>
      </c>
      <c r="X69" s="38">
        <f>(30*0.1790888*245000/1000000)+(30*0.2374*100000/1000000)</f>
        <v>2.0285026799999999</v>
      </c>
      <c r="Y69" s="38">
        <f>(1000*400*CHOOSE(CONTROL!$C$42, 2.0082, 2.0082)*CHOOSE(CONTROL!$C$42, 30, 30))/1000000</f>
        <v>24.098400000000002</v>
      </c>
      <c r="Z69" s="38"/>
      <c r="AA69" s="10"/>
      <c r="AB69" s="39"/>
      <c r="AC69" s="33">
        <f>(B69*194.205+C69*267.466+D69*133.845+E69*53.484+F69*40+G69*185+H69*0+I69*100+J69*300)/(194.205+267.466+133.845+53.484+0+40+185+100+300)</f>
        <v>4.5262466787284152</v>
      </c>
      <c r="AD69" s="27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4.5151676258992808</v>
      </c>
    </row>
    <row r="70" spans="1:30" ht="15" x14ac:dyDescent="0.2">
      <c r="A70" s="16">
        <v>43374</v>
      </c>
      <c r="B70" s="10">
        <f>CHOOSE(CONTROL!$C$42, 4.4274, 4.4274) * CHOOSE(CONTROL!$C$21, $C$9, 100%, $E$9)</f>
        <v>4.4273999999999996</v>
      </c>
      <c r="C70" s="10">
        <f>CHOOSE(CONTROL!$C$42, 4.4327, 4.4327) * CHOOSE(CONTROL!$C$21, $C$9, 100%, $E$9)</f>
        <v>4.4326999999999996</v>
      </c>
      <c r="D70" s="10">
        <f>CHOOSE(CONTROL!$C$42, 4.6127, 4.6127) * CHOOSE(CONTROL!$C$21, $C$9, 100%, $E$9)</f>
        <v>4.6127000000000002</v>
      </c>
      <c r="E70" s="10">
        <f>CHOOSE(CONTROL!$C$42, 4.6416, 4.6416) * CHOOSE(CONTROL!$C$21, $C$9, 100%, $E$9)</f>
        <v>4.6416000000000004</v>
      </c>
      <c r="F70" s="10">
        <f>CHOOSE(CONTROL!$C$42, 4.3712, 4.3712)*CHOOSE(CONTROL!$C$21, $C$9, 100%, $E$9)</f>
        <v>4.3712</v>
      </c>
      <c r="G70" s="10">
        <f>CHOOSE(CONTROL!$C$42, 4.3878, 4.3878)*CHOOSE(CONTROL!$C$21, $C$9, 100%, $E$9)</f>
        <v>4.3878000000000004</v>
      </c>
      <c r="H70" s="10">
        <f>CHOOSE(CONTROL!$C$42, 4.6318, 4.6318) * CHOOSE(CONTROL!$C$21, $C$9, 100%, $E$9)</f>
        <v>4.6318000000000001</v>
      </c>
      <c r="I70" s="10">
        <f>CHOOSE(CONTROL!$C$42, 4.4038, 4.4038)* CHOOSE(CONTROL!$C$21, $C$9, 100%, $E$9)</f>
        <v>4.4038000000000004</v>
      </c>
      <c r="J70" s="10">
        <f>CHOOSE(CONTROL!$C$42, 4.3638, 4.3638)* CHOOSE(CONTROL!$C$21, $C$9, 100%, $E$9)</f>
        <v>4.3638000000000003</v>
      </c>
      <c r="K70" s="10">
        <f>CHOOSE(CONTROL!$C$42, 4.4237, 4.4237) * CHOOSE(CONTROL!$C$21, $C$9, 100%, $E$9)</f>
        <v>4.4237000000000002</v>
      </c>
      <c r="L70" s="10">
        <f>CHOOSE(CONTROL!$C$42, 5.2188, 5.2188) * CHOOSE(CONTROL!$C$21, $C$9, 100%, $E$9)</f>
        <v>5.2187999999999999</v>
      </c>
      <c r="M70" s="10">
        <f>CHOOSE(CONTROL!$C$42, 4.3403, 4.3403) * CHOOSE(CONTROL!$C$21, $C$9, 100%, $E$9)</f>
        <v>4.3403</v>
      </c>
      <c r="N70" s="10">
        <f>CHOOSE(CONTROL!$C$42, 4.3567, 4.3567) * CHOOSE(CONTROL!$C$21, $C$9, 100%, $E$9)</f>
        <v>4.3567</v>
      </c>
      <c r="O70" s="10">
        <f>CHOOSE(CONTROL!$C$42, 4.6049, 4.6049) * CHOOSE(CONTROL!$C$21, $C$9, 100%, $E$9)</f>
        <v>4.6048999999999998</v>
      </c>
      <c r="P70" s="10">
        <f>CHOOSE(CONTROL!$C$42, 4.3798, 4.3798) * CHOOSE(CONTROL!$C$21, $C$9, 100%, $E$9)</f>
        <v>4.3798000000000004</v>
      </c>
      <c r="Q70" s="10">
        <f>CHOOSE(CONTROL!$C$42, 5.2002, 5.2002) * CHOOSE(CONTROL!$C$21, $C$9, 100%, $E$9)</f>
        <v>5.2001999999999997</v>
      </c>
      <c r="R70" s="10">
        <f>CHOOSE(CONTROL!$C$42, 5.8002, 5.8002) * CHOOSE(CONTROL!$C$21, $C$9, 100%, $E$9)</f>
        <v>5.8002000000000002</v>
      </c>
      <c r="S70" s="10">
        <f>CHOOSE(CONTROL!$C$42, 4.3033, 4.3033) * CHOOSE(CONTROL!$C$21, $C$9, 100%, $E$9)</f>
        <v>4.3033000000000001</v>
      </c>
      <c r="T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38">
        <f>(1000*CHOOSE(CONTROL!$C$42, 695, 695)*CHOOSE(CONTROL!$C$42, 0.5599, 0.5599)*CHOOSE(CONTROL!$C$42, 31, 31))/1000000</f>
        <v>12.063045499999998</v>
      </c>
      <c r="V70" s="38">
        <f>(1000*CHOOSE(CONTROL!$C$42, 500, 500)*CHOOSE(CONTROL!$C$42, 0.275, 0.275)*CHOOSE(CONTROL!$C$42, 31, 31))/1000000</f>
        <v>4.2625000000000002</v>
      </c>
      <c r="W70" s="38">
        <f>(1000*CHOOSE(CONTROL!$C$42, 0.1146, 0.1146)*CHOOSE(CONTROL!$C$42, 121.5, 121.5)*CHOOSE(CONTROL!$C$42, 31, 31))/1000000</f>
        <v>0.43164089999999994</v>
      </c>
      <c r="X70" s="38">
        <f>(31*0.1790888*245000/1000000)+(31*0.2374*100000/1000000)</f>
        <v>2.0961194359999999</v>
      </c>
      <c r="Y70" s="38">
        <f>(1000*400*CHOOSE(CONTROL!$C$42, 2.0082, 2.0082)*CHOOSE(CONTROL!$C$42, 31, 31))/1000000</f>
        <v>24.901679999999999</v>
      </c>
      <c r="Z70" s="38"/>
      <c r="AA70" s="10"/>
      <c r="AB70" s="39"/>
      <c r="AC70" s="33">
        <f>(B70*131.881+C70*277.167+D70*79.08+E70*125.872+F70*40+G70*185+H70*0+I70*100+J70*300)/(131.881+277.167+79.08+125.872+0+40+185+100+300)</f>
        <v>4.4371419624697328</v>
      </c>
      <c r="AD70" s="27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4.4239992805755399</v>
      </c>
    </row>
    <row r="71" spans="1:30" ht="15" x14ac:dyDescent="0.2">
      <c r="A71" s="16">
        <v>43405</v>
      </c>
      <c r="B71" s="10">
        <f>CHOOSE(CONTROL!$C$42, 4.544, 4.544) * CHOOSE(CONTROL!$C$21, $C$9, 100%, $E$9)</f>
        <v>4.5439999999999996</v>
      </c>
      <c r="C71" s="10">
        <f>CHOOSE(CONTROL!$C$42, 4.5491, 4.5491) * CHOOSE(CONTROL!$C$21, $C$9, 100%, $E$9)</f>
        <v>4.5491000000000001</v>
      </c>
      <c r="D71" s="10">
        <f>CHOOSE(CONTROL!$C$42, 4.5738, 4.5738) * CHOOSE(CONTROL!$C$21, $C$9, 100%, $E$9)</f>
        <v>4.5738000000000003</v>
      </c>
      <c r="E71" s="10">
        <f>CHOOSE(CONTROL!$C$42, 4.6076, 4.6076) * CHOOSE(CONTROL!$C$21, $C$9, 100%, $E$9)</f>
        <v>4.6075999999999997</v>
      </c>
      <c r="F71" s="10">
        <f>CHOOSE(CONTROL!$C$42, 4.5097, 4.5097)*CHOOSE(CONTROL!$C$21, $C$9, 100%, $E$9)</f>
        <v>4.5096999999999996</v>
      </c>
      <c r="G71" s="10">
        <f>CHOOSE(CONTROL!$C$42, 4.5265, 4.5265)*CHOOSE(CONTROL!$C$21, $C$9, 100%, $E$9)</f>
        <v>4.5265000000000004</v>
      </c>
      <c r="H71" s="10">
        <f>CHOOSE(CONTROL!$C$42, 4.5965, 4.5965) * CHOOSE(CONTROL!$C$21, $C$9, 100%, $E$9)</f>
        <v>4.5964999999999998</v>
      </c>
      <c r="I71" s="10">
        <f>CHOOSE(CONTROL!$C$42, 4.5435, 4.5435)* CHOOSE(CONTROL!$C$21, $C$9, 100%, $E$9)</f>
        <v>4.5434999999999999</v>
      </c>
      <c r="J71" s="10">
        <f>CHOOSE(CONTROL!$C$42, 4.5023, 4.5023)* CHOOSE(CONTROL!$C$21, $C$9, 100%, $E$9)</f>
        <v>4.5023</v>
      </c>
      <c r="K71" s="10">
        <f>CHOOSE(CONTROL!$C$42, 4.5609, 4.5609) * CHOOSE(CONTROL!$C$21, $C$9, 100%, $E$9)</f>
        <v>4.5609000000000002</v>
      </c>
      <c r="L71" s="10">
        <f>CHOOSE(CONTROL!$C$42, 5.1835, 5.1835) * CHOOSE(CONTROL!$C$21, $C$9, 100%, $E$9)</f>
        <v>5.1835000000000004</v>
      </c>
      <c r="M71" s="10">
        <f>CHOOSE(CONTROL!$C$42, 4.477, 4.477) * CHOOSE(CONTROL!$C$21, $C$9, 100%, $E$9)</f>
        <v>4.4770000000000003</v>
      </c>
      <c r="N71" s="10">
        <f>CHOOSE(CONTROL!$C$42, 4.4936, 4.4936) * CHOOSE(CONTROL!$C$21, $C$9, 100%, $E$9)</f>
        <v>4.4935999999999998</v>
      </c>
      <c r="O71" s="10">
        <f>CHOOSE(CONTROL!$C$42, 4.5701, 4.5701) * CHOOSE(CONTROL!$C$21, $C$9, 100%, $E$9)</f>
        <v>4.5701000000000001</v>
      </c>
      <c r="P71" s="10">
        <f>CHOOSE(CONTROL!$C$42, 4.5178, 4.5178) * CHOOSE(CONTROL!$C$21, $C$9, 100%, $E$9)</f>
        <v>4.5178000000000003</v>
      </c>
      <c r="Q71" s="10">
        <f>CHOOSE(CONTROL!$C$42, 5.1654, 5.1654) * CHOOSE(CONTROL!$C$21, $C$9, 100%, $E$9)</f>
        <v>5.1654</v>
      </c>
      <c r="R71" s="10">
        <f>CHOOSE(CONTROL!$C$42, 5.7653, 5.7653) * CHOOSE(CONTROL!$C$21, $C$9, 100%, $E$9)</f>
        <v>5.7652999999999999</v>
      </c>
      <c r="S71" s="10">
        <f>CHOOSE(CONTROL!$C$42, 4.4166, 4.4166) * CHOOSE(CONTROL!$C$21, $C$9, 100%, $E$9)</f>
        <v>4.4165999999999999</v>
      </c>
      <c r="T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38">
        <f>(1000*CHOOSE(CONTROL!$C$42, 695, 695)*CHOOSE(CONTROL!$C$42, 0.5599, 0.5599)*CHOOSE(CONTROL!$C$42, 30, 30))/1000000</f>
        <v>11.673914999999997</v>
      </c>
      <c r="V71" s="38">
        <f>(1000*CHOOSE(CONTROL!$C$42, 500, 500)*CHOOSE(CONTROL!$C$42, 0.275, 0.275)*CHOOSE(CONTROL!$C$42, 30, 30))/1000000</f>
        <v>4.125</v>
      </c>
      <c r="W71" s="38">
        <f>(1000*CHOOSE(CONTROL!$C$42, 0.1146, 0.1146)*CHOOSE(CONTROL!$C$42, 121.5, 121.5)*CHOOSE(CONTROL!$C$42, 30, 30))/1000000</f>
        <v>0.417717</v>
      </c>
      <c r="X71" s="38">
        <f>(30*0.1790888*100000/1000000)+(30*0.2374*100000/1000000)</f>
        <v>1.2494664</v>
      </c>
      <c r="Y71" s="38">
        <f>(1000*400*CHOOSE(CONTROL!$C$42, 2.0082, 2.0082)*CHOOSE(CONTROL!$C$42, 30, 30))/1000000</f>
        <v>24.098400000000002</v>
      </c>
      <c r="Z71" s="38"/>
      <c r="AA71" s="10"/>
      <c r="AB71" s="39"/>
      <c r="AC71" s="33">
        <f>(B71*122.58+C71*297.941+D71*89.177+E71*40.302+F71*40+G71*160+H71*0+I71*100+J71*300)/(122.58+297.941+89.177+40.302+0+40+160+100+300)</f>
        <v>4.5353114616521735</v>
      </c>
      <c r="AD71" s="27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4.5260223021582737</v>
      </c>
    </row>
    <row r="72" spans="1:30" ht="15" x14ac:dyDescent="0.2">
      <c r="A72" s="16">
        <v>43435</v>
      </c>
      <c r="B72" s="10">
        <f>CHOOSE(CONTROL!$C$42, 4.855, 4.855) * CHOOSE(CONTROL!$C$21, $C$9, 100%, $E$9)</f>
        <v>4.8550000000000004</v>
      </c>
      <c r="C72" s="10">
        <f>CHOOSE(CONTROL!$C$42, 4.8601, 4.8601) * CHOOSE(CONTROL!$C$21, $C$9, 100%, $E$9)</f>
        <v>4.8601000000000001</v>
      </c>
      <c r="D72" s="10">
        <f>CHOOSE(CONTROL!$C$42, 4.8847, 4.8847) * CHOOSE(CONTROL!$C$21, $C$9, 100%, $E$9)</f>
        <v>4.8846999999999996</v>
      </c>
      <c r="E72" s="10">
        <f>CHOOSE(CONTROL!$C$42, 4.9186, 4.9186) * CHOOSE(CONTROL!$C$21, $C$9, 100%, $E$9)</f>
        <v>4.9185999999999996</v>
      </c>
      <c r="F72" s="10">
        <f>CHOOSE(CONTROL!$C$42, 4.8224, 4.8224)*CHOOSE(CONTROL!$C$21, $C$9, 100%, $E$9)</f>
        <v>4.8224</v>
      </c>
      <c r="G72" s="10">
        <f>CHOOSE(CONTROL!$C$42, 4.8397, 4.8397)*CHOOSE(CONTROL!$C$21, $C$9, 100%, $E$9)</f>
        <v>4.8396999999999997</v>
      </c>
      <c r="H72" s="10">
        <f>CHOOSE(CONTROL!$C$42, 4.9074, 4.9074) * CHOOSE(CONTROL!$C$21, $C$9, 100%, $E$9)</f>
        <v>4.9074</v>
      </c>
      <c r="I72" s="10">
        <f>CHOOSE(CONTROL!$C$42, 4.8545, 4.8545)* CHOOSE(CONTROL!$C$21, $C$9, 100%, $E$9)</f>
        <v>4.8544999999999998</v>
      </c>
      <c r="J72" s="10">
        <f>CHOOSE(CONTROL!$C$42, 4.815, 4.815)* CHOOSE(CONTROL!$C$21, $C$9, 100%, $E$9)</f>
        <v>4.8150000000000004</v>
      </c>
      <c r="K72" s="10">
        <f>CHOOSE(CONTROL!$C$42, 4.866, 4.866) * CHOOSE(CONTROL!$C$21, $C$9, 100%, $E$9)</f>
        <v>4.8659999999999997</v>
      </c>
      <c r="L72" s="10">
        <f>CHOOSE(CONTROL!$C$42, 5.4944, 5.4944) * CHOOSE(CONTROL!$C$21, $C$9, 100%, $E$9)</f>
        <v>5.4943999999999997</v>
      </c>
      <c r="M72" s="10">
        <f>CHOOSE(CONTROL!$C$42, 4.7857, 4.7857) * CHOOSE(CONTROL!$C$21, $C$9, 100%, $E$9)</f>
        <v>4.7857000000000003</v>
      </c>
      <c r="N72" s="10">
        <f>CHOOSE(CONTROL!$C$42, 4.8028, 4.8028) * CHOOSE(CONTROL!$C$21, $C$9, 100%, $E$9)</f>
        <v>4.8028000000000004</v>
      </c>
      <c r="O72" s="10">
        <f>CHOOSE(CONTROL!$C$42, 4.877, 4.877) * CHOOSE(CONTROL!$C$21, $C$9, 100%, $E$9)</f>
        <v>4.8769999999999998</v>
      </c>
      <c r="P72" s="10">
        <f>CHOOSE(CONTROL!$C$42, 4.8247, 4.8247) * CHOOSE(CONTROL!$C$21, $C$9, 100%, $E$9)</f>
        <v>4.8247</v>
      </c>
      <c r="Q72" s="10">
        <f>CHOOSE(CONTROL!$C$42, 5.4723, 5.4723) * CHOOSE(CONTROL!$C$21, $C$9, 100%, $E$9)</f>
        <v>5.4722999999999997</v>
      </c>
      <c r="R72" s="10">
        <f>CHOOSE(CONTROL!$C$42, 6.0729, 6.0729) * CHOOSE(CONTROL!$C$21, $C$9, 100%, $E$9)</f>
        <v>6.0728999999999997</v>
      </c>
      <c r="S72" s="10">
        <f>CHOOSE(CONTROL!$C$42, 4.7177, 4.7177) * CHOOSE(CONTROL!$C$21, $C$9, 100%, $E$9)</f>
        <v>4.7176999999999998</v>
      </c>
      <c r="T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38">
        <f>(1000*CHOOSE(CONTROL!$C$42, 695, 695)*CHOOSE(CONTROL!$C$42, 0.5599, 0.5599)*CHOOSE(CONTROL!$C$42, 31, 31))/1000000</f>
        <v>12.063045499999998</v>
      </c>
      <c r="V72" s="38">
        <f>(1000*CHOOSE(CONTROL!$C$42, 500, 500)*CHOOSE(CONTROL!$C$42, 0.275, 0.275)*CHOOSE(CONTROL!$C$42, 31, 31))/1000000</f>
        <v>4.2625000000000002</v>
      </c>
      <c r="W72" s="38">
        <f>(1000*CHOOSE(CONTROL!$C$42, 0.1146, 0.1146)*CHOOSE(CONTROL!$C$42, 121.5, 121.5)*CHOOSE(CONTROL!$C$42, 31, 31))/1000000</f>
        <v>0.43164089999999994</v>
      </c>
      <c r="X72" s="38">
        <f>(31*0.1790888*100000/1000000)+(31*0.2374*100000/1000000)</f>
        <v>1.2911152800000001</v>
      </c>
      <c r="Y72" s="38">
        <f>(1000*400*CHOOSE(CONTROL!$C$42, 2.0082, 2.0082)*CHOOSE(CONTROL!$C$42, 31, 31))/1000000</f>
        <v>24.901679999999999</v>
      </c>
      <c r="Z72" s="38"/>
      <c r="AA72" s="10"/>
      <c r="AB72" s="39"/>
      <c r="AC72" s="33">
        <f>(B72*122.58+C72*297.941+D72*89.177+E72*40.302+F72*40+G72*160+H72*0+I72*100+J72*300)/(122.58+297.941+89.177+40.302+0+40+160+100+300)</f>
        <v>4.8471124027826082</v>
      </c>
      <c r="AD72" s="27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4.8336762589928055</v>
      </c>
    </row>
    <row r="73" spans="1:30" ht="15" x14ac:dyDescent="0.2">
      <c r="A73" s="16">
        <v>43466</v>
      </c>
      <c r="B73" s="10">
        <f>CHOOSE(CONTROL!$C$42, 5.6495, 5.6495) * CHOOSE(CONTROL!$C$21, $C$9, 100%, $E$9)</f>
        <v>5.6494999999999997</v>
      </c>
      <c r="C73" s="10">
        <f>CHOOSE(CONTROL!$C$42, 5.6546, 5.6546) * CHOOSE(CONTROL!$C$21, $C$9, 100%, $E$9)</f>
        <v>5.6546000000000003</v>
      </c>
      <c r="D73" s="10">
        <f>CHOOSE(CONTROL!$C$42, 5.6896, 5.6896) * CHOOSE(CONTROL!$C$21, $C$9, 100%, $E$9)</f>
        <v>5.6896000000000004</v>
      </c>
      <c r="E73" s="10">
        <f>CHOOSE(CONTROL!$C$42, 5.7234, 5.7234) * CHOOSE(CONTROL!$C$21, $C$9, 100%, $E$9)</f>
        <v>5.7233999999999998</v>
      </c>
      <c r="F73" s="10">
        <f>CHOOSE(CONTROL!$C$42, 5.6308, 5.6308)*CHOOSE(CONTROL!$C$21, $C$9, 100%, $E$9)</f>
        <v>5.6307999999999998</v>
      </c>
      <c r="G73" s="10">
        <f>CHOOSE(CONTROL!$C$42, 5.6497, 5.6497)*CHOOSE(CONTROL!$C$21, $C$9, 100%, $E$9)</f>
        <v>5.6497000000000002</v>
      </c>
      <c r="H73" s="10">
        <f>CHOOSE(CONTROL!$C$42, 5.7123, 5.7123) * CHOOSE(CONTROL!$C$21, $C$9, 100%, $E$9)</f>
        <v>5.7122999999999999</v>
      </c>
      <c r="I73" s="10">
        <f>CHOOSE(CONTROL!$C$42, 5.6568, 5.6568)* CHOOSE(CONTROL!$C$21, $C$9, 100%, $E$9)</f>
        <v>5.6567999999999996</v>
      </c>
      <c r="J73" s="10">
        <f>CHOOSE(CONTROL!$C$42, 5.6234, 5.6234)* CHOOSE(CONTROL!$C$21, $C$9, 100%, $E$9)</f>
        <v>5.6234000000000002</v>
      </c>
      <c r="K73" s="10">
        <f>CHOOSE(CONTROL!$C$42, 5.6565, 5.6565) * CHOOSE(CONTROL!$C$21, $C$9, 100%, $E$9)</f>
        <v>5.6565000000000003</v>
      </c>
      <c r="L73" s="10">
        <f>CHOOSE(CONTROL!$C$42, 6.2993, 6.2993) * CHOOSE(CONTROL!$C$21, $C$9, 100%, $E$9)</f>
        <v>6.2992999999999997</v>
      </c>
      <c r="M73" s="10">
        <f>CHOOSE(CONTROL!$C$42, 5.5837, 5.5837) * CHOOSE(CONTROL!$C$21, $C$9, 100%, $E$9)</f>
        <v>5.5837000000000003</v>
      </c>
      <c r="N73" s="10">
        <f>CHOOSE(CONTROL!$C$42, 5.6023, 5.6023) * CHOOSE(CONTROL!$C$21, $C$9, 100%, $E$9)</f>
        <v>5.6022999999999996</v>
      </c>
      <c r="O73" s="10">
        <f>CHOOSE(CONTROL!$C$42, 5.6714, 5.6714) * CHOOSE(CONTROL!$C$21, $C$9, 100%, $E$9)</f>
        <v>5.6714000000000002</v>
      </c>
      <c r="P73" s="10">
        <f>CHOOSE(CONTROL!$C$42, 5.6166, 5.6166) * CHOOSE(CONTROL!$C$21, $C$9, 100%, $E$9)</f>
        <v>5.6166</v>
      </c>
      <c r="Q73" s="10">
        <f>CHOOSE(CONTROL!$C$42, 6.2667, 6.2667) * CHOOSE(CONTROL!$C$21, $C$9, 100%, $E$9)</f>
        <v>6.2667000000000002</v>
      </c>
      <c r="R73" s="10">
        <f>CHOOSE(CONTROL!$C$42, 6.8694, 6.8694) * CHOOSE(CONTROL!$C$21, $C$9, 100%, $E$9)</f>
        <v>6.8693999999999997</v>
      </c>
      <c r="S73" s="10">
        <f>CHOOSE(CONTROL!$C$42, 5.4871, 5.4871) * CHOOSE(CONTROL!$C$21, $C$9, 100%, $E$9)</f>
        <v>5.4870999999999999</v>
      </c>
      <c r="T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38">
        <f>(1000*CHOOSE(CONTROL!$C$42, 695, 695)*CHOOSE(CONTROL!$C$42, 0.5599, 0.5599)*CHOOSE(CONTROL!$C$42, 31, 31))/1000000</f>
        <v>12.063045499999998</v>
      </c>
      <c r="V73" s="38">
        <f>(1000*CHOOSE(CONTROL!$C$42, 500, 500)*CHOOSE(CONTROL!$C$42, 0.275, 0.275)*CHOOSE(CONTROL!$C$42, 31, 31))/1000000</f>
        <v>4.2625000000000002</v>
      </c>
      <c r="W73" s="38">
        <f>(1000*CHOOSE(CONTROL!$C$42, 0.1146, 0.1146)*CHOOSE(CONTROL!$C$42, 121.5, 121.5)*CHOOSE(CONTROL!$C$42, 31, 31))/1000000</f>
        <v>0.43164089999999994</v>
      </c>
      <c r="X73" s="38">
        <f>(31*0.1790888*100000/1000000)+(31*0.2374*100000/1000000)</f>
        <v>1.2911152800000001</v>
      </c>
      <c r="Y73" s="38">
        <f>(1000*400*CHOOSE(CONTROL!$C$42, 1.988, 1.988)*CHOOSE(CONTROL!$C$42, 31, 31))/1000000</f>
        <v>24.651199999999999</v>
      </c>
      <c r="Z73" s="38"/>
      <c r="AA73" s="10"/>
      <c r="AB73" s="39"/>
      <c r="AC73" s="33">
        <f>(B73*122.58+C73*297.941+D73*89.177+E73*40.302+F73*40+G73*160+H73*0+I73*100+J73*300)/(122.58+297.941+89.177+40.302+0+40+160+100+300)</f>
        <v>5.6497241866086965</v>
      </c>
      <c r="AD73" s="27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5.6292532374100723</v>
      </c>
    </row>
    <row r="74" spans="1:30" ht="15" x14ac:dyDescent="0.2">
      <c r="A74" s="16">
        <v>43497</v>
      </c>
      <c r="B74" s="10">
        <f>CHOOSE(CONTROL!$C$42, 5.7504, 5.7504) * CHOOSE(CONTROL!$C$21, $C$9, 100%, $E$9)</f>
        <v>5.7504</v>
      </c>
      <c r="C74" s="10">
        <f>CHOOSE(CONTROL!$C$42, 5.7555, 5.7555) * CHOOSE(CONTROL!$C$21, $C$9, 100%, $E$9)</f>
        <v>5.7554999999999996</v>
      </c>
      <c r="D74" s="10">
        <f>CHOOSE(CONTROL!$C$42, 5.7905, 5.7905) * CHOOSE(CONTROL!$C$21, $C$9, 100%, $E$9)</f>
        <v>5.7904999999999998</v>
      </c>
      <c r="E74" s="10">
        <f>CHOOSE(CONTROL!$C$42, 5.8243, 5.8243) * CHOOSE(CONTROL!$C$21, $C$9, 100%, $E$9)</f>
        <v>5.8243</v>
      </c>
      <c r="F74" s="10">
        <f>CHOOSE(CONTROL!$C$42, 5.7311, 5.7311)*CHOOSE(CONTROL!$C$21, $C$9, 100%, $E$9)</f>
        <v>5.7310999999999996</v>
      </c>
      <c r="G74" s="10">
        <f>CHOOSE(CONTROL!$C$42, 5.7499, 5.7499)*CHOOSE(CONTROL!$C$21, $C$9, 100%, $E$9)</f>
        <v>5.7499000000000002</v>
      </c>
      <c r="H74" s="10">
        <f>CHOOSE(CONTROL!$C$42, 5.8132, 5.8132) * CHOOSE(CONTROL!$C$21, $C$9, 100%, $E$9)</f>
        <v>5.8132000000000001</v>
      </c>
      <c r="I74" s="10">
        <f>CHOOSE(CONTROL!$C$42, 5.7576, 5.7576)* CHOOSE(CONTROL!$C$21, $C$9, 100%, $E$9)</f>
        <v>5.7576000000000001</v>
      </c>
      <c r="J74" s="10">
        <f>CHOOSE(CONTROL!$C$42, 5.7237, 5.7237)* CHOOSE(CONTROL!$C$21, $C$9, 100%, $E$9)</f>
        <v>5.7237</v>
      </c>
      <c r="K74" s="10">
        <f>CHOOSE(CONTROL!$C$42, 5.7531, 5.7531) * CHOOSE(CONTROL!$C$21, $C$9, 100%, $E$9)</f>
        <v>5.7530999999999999</v>
      </c>
      <c r="L74" s="10">
        <f>CHOOSE(CONTROL!$C$42, 6.4002, 6.4002) * CHOOSE(CONTROL!$C$21, $C$9, 100%, $E$9)</f>
        <v>6.4001999999999999</v>
      </c>
      <c r="M74" s="10">
        <f>CHOOSE(CONTROL!$C$42, 5.6827, 5.6827) * CHOOSE(CONTROL!$C$21, $C$9, 100%, $E$9)</f>
        <v>5.6826999999999996</v>
      </c>
      <c r="N74" s="10">
        <f>CHOOSE(CONTROL!$C$42, 5.7012, 5.7012) * CHOOSE(CONTROL!$C$21, $C$9, 100%, $E$9)</f>
        <v>5.7012</v>
      </c>
      <c r="O74" s="10">
        <f>CHOOSE(CONTROL!$C$42, 5.771, 5.771) * CHOOSE(CONTROL!$C$21, $C$9, 100%, $E$9)</f>
        <v>5.7709999999999999</v>
      </c>
      <c r="P74" s="10">
        <f>CHOOSE(CONTROL!$C$42, 5.7162, 5.7162) * CHOOSE(CONTROL!$C$21, $C$9, 100%, $E$9)</f>
        <v>5.7161999999999997</v>
      </c>
      <c r="Q74" s="10">
        <f>CHOOSE(CONTROL!$C$42, 6.3663, 6.3663) * CHOOSE(CONTROL!$C$21, $C$9, 100%, $E$9)</f>
        <v>6.3662999999999998</v>
      </c>
      <c r="R74" s="10">
        <f>CHOOSE(CONTROL!$C$42, 6.9692, 6.9692) * CHOOSE(CONTROL!$C$21, $C$9, 100%, $E$9)</f>
        <v>6.9691999999999998</v>
      </c>
      <c r="S74" s="10">
        <f>CHOOSE(CONTROL!$C$42, 5.5848, 5.5848) * CHOOSE(CONTROL!$C$21, $C$9, 100%, $E$9)</f>
        <v>5.5848000000000004</v>
      </c>
      <c r="T7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38">
        <f>(1000*CHOOSE(CONTROL!$C$42, 695, 695)*CHOOSE(CONTROL!$C$42, 0.5599, 0.5599)*CHOOSE(CONTROL!$C$42, 28, 28))/1000000</f>
        <v>10.895653999999999</v>
      </c>
      <c r="V74" s="38">
        <f>(1000*CHOOSE(CONTROL!$C$42, 500, 500)*CHOOSE(CONTROL!$C$42, 0.275, 0.275)*CHOOSE(CONTROL!$C$42, 28, 28))/1000000</f>
        <v>3.85</v>
      </c>
      <c r="W74" s="38">
        <f>(1000*CHOOSE(CONTROL!$C$42, 0.1146, 0.1146)*CHOOSE(CONTROL!$C$42, 121.5, 121.5)*CHOOSE(CONTROL!$C$42, 28, 28))/1000000</f>
        <v>0.38986920000000003</v>
      </c>
      <c r="X74" s="38">
        <f>(28*0.1790888*100000/1000000)+(28*0.2374*100000/1000000)</f>
        <v>1.16616864</v>
      </c>
      <c r="Y74" s="38">
        <f>(1000*400*CHOOSE(CONTROL!$C$42, 1.988, 1.988)*CHOOSE(CONTROL!$C$42, 28, 28))/1000000</f>
        <v>22.265599999999999</v>
      </c>
      <c r="Z74" s="38"/>
      <c r="AA74" s="10"/>
      <c r="AB74" s="39"/>
      <c r="AC74" s="33">
        <f>(B74*122.58+C74*297.941+D74*89.177+E74*40.302+F74*40+G74*160+H74*0+I74*100+J74*300)/(122.58+297.941+89.177+40.302+0+40+160+100+300)</f>
        <v>5.7503407083478262</v>
      </c>
      <c r="AD74" s="27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5.7286057553956828</v>
      </c>
    </row>
    <row r="75" spans="1:30" ht="15" x14ac:dyDescent="0.2">
      <c r="A75" s="16">
        <v>43525</v>
      </c>
      <c r="B75" s="10">
        <f>CHOOSE(CONTROL!$C$42, 5.5867, 5.5867) * CHOOSE(CONTROL!$C$21, $C$9, 100%, $E$9)</f>
        <v>5.5867000000000004</v>
      </c>
      <c r="C75" s="10">
        <f>CHOOSE(CONTROL!$C$42, 5.5918, 5.5918) * CHOOSE(CONTROL!$C$21, $C$9, 100%, $E$9)</f>
        <v>5.5918000000000001</v>
      </c>
      <c r="D75" s="10">
        <f>CHOOSE(CONTROL!$C$42, 5.6268, 5.6268) * CHOOSE(CONTROL!$C$21, $C$9, 100%, $E$9)</f>
        <v>5.6268000000000002</v>
      </c>
      <c r="E75" s="10">
        <f>CHOOSE(CONTROL!$C$42, 5.6606, 5.6606) * CHOOSE(CONTROL!$C$21, $C$9, 100%, $E$9)</f>
        <v>5.6605999999999996</v>
      </c>
      <c r="F75" s="10">
        <f>CHOOSE(CONTROL!$C$42, 5.566, 5.566)*CHOOSE(CONTROL!$C$21, $C$9, 100%, $E$9)</f>
        <v>5.5659999999999998</v>
      </c>
      <c r="G75" s="10">
        <f>CHOOSE(CONTROL!$C$42, 5.5844, 5.5844)*CHOOSE(CONTROL!$C$21, $C$9, 100%, $E$9)</f>
        <v>5.5843999999999996</v>
      </c>
      <c r="H75" s="10">
        <f>CHOOSE(CONTROL!$C$42, 5.6495, 5.6495) * CHOOSE(CONTROL!$C$21, $C$9, 100%, $E$9)</f>
        <v>5.6494999999999997</v>
      </c>
      <c r="I75" s="10">
        <f>CHOOSE(CONTROL!$C$42, 5.5939, 5.5939)* CHOOSE(CONTROL!$C$21, $C$9, 100%, $E$9)</f>
        <v>5.5938999999999997</v>
      </c>
      <c r="J75" s="10">
        <f>CHOOSE(CONTROL!$C$42, 5.5586, 5.5586)* CHOOSE(CONTROL!$C$21, $C$9, 100%, $E$9)</f>
        <v>5.5586000000000002</v>
      </c>
      <c r="K75" s="10">
        <f>CHOOSE(CONTROL!$C$42, 5.5915, 5.5915) * CHOOSE(CONTROL!$C$21, $C$9, 100%, $E$9)</f>
        <v>5.5914999999999999</v>
      </c>
      <c r="L75" s="10">
        <f>CHOOSE(CONTROL!$C$42, 6.2365, 6.2365) * CHOOSE(CONTROL!$C$21, $C$9, 100%, $E$9)</f>
        <v>6.2365000000000004</v>
      </c>
      <c r="M75" s="10">
        <f>CHOOSE(CONTROL!$C$42, 5.5197, 5.5197) * CHOOSE(CONTROL!$C$21, $C$9, 100%, $E$9)</f>
        <v>5.5197000000000003</v>
      </c>
      <c r="N75" s="10">
        <f>CHOOSE(CONTROL!$C$42, 5.5379, 5.5379) * CHOOSE(CONTROL!$C$21, $C$9, 100%, $E$9)</f>
        <v>5.5378999999999996</v>
      </c>
      <c r="O75" s="10">
        <f>CHOOSE(CONTROL!$C$42, 5.6094, 5.6094) * CHOOSE(CONTROL!$C$21, $C$9, 100%, $E$9)</f>
        <v>5.6093999999999999</v>
      </c>
      <c r="P75" s="10">
        <f>CHOOSE(CONTROL!$C$42, 5.5546, 5.5546) * CHOOSE(CONTROL!$C$21, $C$9, 100%, $E$9)</f>
        <v>5.5545999999999998</v>
      </c>
      <c r="Q75" s="10">
        <f>CHOOSE(CONTROL!$C$42, 6.2047, 6.2047) * CHOOSE(CONTROL!$C$21, $C$9, 100%, $E$9)</f>
        <v>6.2046999999999999</v>
      </c>
      <c r="R75" s="10">
        <f>CHOOSE(CONTROL!$C$42, 6.8072, 6.8072) * CHOOSE(CONTROL!$C$21, $C$9, 100%, $E$9)</f>
        <v>6.8071999999999999</v>
      </c>
      <c r="S75" s="10">
        <f>CHOOSE(CONTROL!$C$42, 5.4262, 5.4262) * CHOOSE(CONTROL!$C$21, $C$9, 100%, $E$9)</f>
        <v>5.4261999999999997</v>
      </c>
      <c r="T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38">
        <f>(1000*CHOOSE(CONTROL!$C$42, 695, 695)*CHOOSE(CONTROL!$C$42, 0.5599, 0.5599)*CHOOSE(CONTROL!$C$42, 31, 31))/1000000</f>
        <v>12.063045499999998</v>
      </c>
      <c r="V75" s="38">
        <f>(1000*CHOOSE(CONTROL!$C$42, 500, 500)*CHOOSE(CONTROL!$C$42, 0.275, 0.275)*CHOOSE(CONTROL!$C$42, 31, 31))/1000000</f>
        <v>4.2625000000000002</v>
      </c>
      <c r="W75" s="38">
        <f>(1000*CHOOSE(CONTROL!$C$42, 0.1146, 0.1146)*CHOOSE(CONTROL!$C$42, 121.5, 121.5)*CHOOSE(CONTROL!$C$42, 31, 31))/1000000</f>
        <v>0.43164089999999994</v>
      </c>
      <c r="X75" s="38">
        <f>(31*0.1790888*100000/1000000)+(31*0.2374*100000/1000000)</f>
        <v>1.2911152800000001</v>
      </c>
      <c r="Y75" s="38">
        <f>(1000*400*CHOOSE(CONTROL!$C$42, 1.988, 1.988)*CHOOSE(CONTROL!$C$42, 31, 31))/1000000</f>
        <v>24.651199999999999</v>
      </c>
      <c r="Z75" s="38"/>
      <c r="AA75" s="10"/>
      <c r="AB75" s="39"/>
      <c r="AC75" s="33">
        <f>(B75*122.58+C75*297.941+D75*89.177+E75*40.302+F75*40+G75*160+H75*0+I75*100+J75*300)/(122.58+297.941+89.177+40.302+0+40+160+100+300)</f>
        <v>5.5859763605217392</v>
      </c>
      <c r="AD75" s="27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5.5664244604316551</v>
      </c>
    </row>
    <row r="76" spans="1:30" ht="15" x14ac:dyDescent="0.2">
      <c r="A76" s="16">
        <v>43556</v>
      </c>
      <c r="B76" s="10">
        <f>CHOOSE(CONTROL!$C$42, 5.5707, 5.5707) * CHOOSE(CONTROL!$C$21, $C$9, 100%, $E$9)</f>
        <v>5.5707000000000004</v>
      </c>
      <c r="C76" s="10">
        <f>CHOOSE(CONTROL!$C$42, 5.5752, 5.5752) * CHOOSE(CONTROL!$C$21, $C$9, 100%, $E$9)</f>
        <v>5.5751999999999997</v>
      </c>
      <c r="D76" s="10">
        <f>CHOOSE(CONTROL!$C$42, 5.7534, 5.7534) * CHOOSE(CONTROL!$C$21, $C$9, 100%, $E$9)</f>
        <v>5.7534000000000001</v>
      </c>
      <c r="E76" s="10">
        <f>CHOOSE(CONTROL!$C$42, 5.7852, 5.7852) * CHOOSE(CONTROL!$C$21, $C$9, 100%, $E$9)</f>
        <v>5.7851999999999997</v>
      </c>
      <c r="F76" s="10">
        <f>CHOOSE(CONTROL!$C$42, 5.5141, 5.5141)*CHOOSE(CONTROL!$C$21, $C$9, 100%, $E$9)</f>
        <v>5.5141</v>
      </c>
      <c r="G76" s="10">
        <f>CHOOSE(CONTROL!$C$42, 5.5307, 5.5307)*CHOOSE(CONTROL!$C$21, $C$9, 100%, $E$9)</f>
        <v>5.5307000000000004</v>
      </c>
      <c r="H76" s="10">
        <f>CHOOSE(CONTROL!$C$42, 5.7747, 5.7747) * CHOOSE(CONTROL!$C$21, $C$9, 100%, $E$9)</f>
        <v>5.7747000000000002</v>
      </c>
      <c r="I76" s="10">
        <f>CHOOSE(CONTROL!$C$42, 5.5467, 5.5467)* CHOOSE(CONTROL!$C$21, $C$9, 100%, $E$9)</f>
        <v>5.5467000000000004</v>
      </c>
      <c r="J76" s="10">
        <f>CHOOSE(CONTROL!$C$42, 5.5067, 5.5067)* CHOOSE(CONTROL!$C$21, $C$9, 100%, $E$9)</f>
        <v>5.5067000000000004</v>
      </c>
      <c r="K76" s="10">
        <f>CHOOSE(CONTROL!$C$42, 5.531, 5.531) * CHOOSE(CONTROL!$C$21, $C$9, 100%, $E$9)</f>
        <v>5.5309999999999997</v>
      </c>
      <c r="L76" s="10">
        <f>CHOOSE(CONTROL!$C$42, 6.3617, 6.3617) * CHOOSE(CONTROL!$C$21, $C$9, 100%, $E$9)</f>
        <v>6.3616999999999999</v>
      </c>
      <c r="M76" s="10">
        <f>CHOOSE(CONTROL!$C$42, 5.4685, 5.4685) * CHOOSE(CONTROL!$C$21, $C$9, 100%, $E$9)</f>
        <v>5.4684999999999997</v>
      </c>
      <c r="N76" s="10">
        <f>CHOOSE(CONTROL!$C$42, 5.4849, 5.4849) * CHOOSE(CONTROL!$C$21, $C$9, 100%, $E$9)</f>
        <v>5.4848999999999997</v>
      </c>
      <c r="O76" s="10">
        <f>CHOOSE(CONTROL!$C$42, 5.733, 5.733) * CHOOSE(CONTROL!$C$21, $C$9, 100%, $E$9)</f>
        <v>5.7329999999999997</v>
      </c>
      <c r="P76" s="10">
        <f>CHOOSE(CONTROL!$C$42, 5.508, 5.508) * CHOOSE(CONTROL!$C$21, $C$9, 100%, $E$9)</f>
        <v>5.508</v>
      </c>
      <c r="Q76" s="10">
        <f>CHOOSE(CONTROL!$C$42, 6.3283, 6.3283) * CHOOSE(CONTROL!$C$21, $C$9, 100%, $E$9)</f>
        <v>6.3282999999999996</v>
      </c>
      <c r="R76" s="10">
        <f>CHOOSE(CONTROL!$C$42, 6.9311, 6.9311) * CHOOSE(CONTROL!$C$21, $C$9, 100%, $E$9)</f>
        <v>6.9310999999999998</v>
      </c>
      <c r="S76" s="10">
        <f>CHOOSE(CONTROL!$C$42, 5.41, 5.41) * CHOOSE(CONTROL!$C$21, $C$9, 100%, $E$9)</f>
        <v>5.41</v>
      </c>
      <c r="T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38">
        <f>(1000*CHOOSE(CONTROL!$C$42, 695, 695)*CHOOSE(CONTROL!$C$42, 0.5599, 0.5599)*CHOOSE(CONTROL!$C$42, 30, 30))/1000000</f>
        <v>11.673914999999997</v>
      </c>
      <c r="V76" s="38">
        <f>(1000*CHOOSE(CONTROL!$C$42, 500, 500)*CHOOSE(CONTROL!$C$42, 0.275, 0.275)*CHOOSE(CONTROL!$C$42, 30, 30))/1000000</f>
        <v>4.125</v>
      </c>
      <c r="W76" s="38">
        <f>(1000*CHOOSE(CONTROL!$C$42, 0.1146, 0.1146)*CHOOSE(CONTROL!$C$42, 121.5, 121.5)*CHOOSE(CONTROL!$C$42, 30, 30))/1000000</f>
        <v>0.417717</v>
      </c>
      <c r="X76" s="38">
        <f>(30*0.1790888*245000/1000000)+(30*0.2374*100000/1000000)</f>
        <v>2.0285026799999999</v>
      </c>
      <c r="Y76" s="38">
        <f>(1000*400*CHOOSE(CONTROL!$C$42, 1.988, 1.988)*CHOOSE(CONTROL!$C$42, 30, 30))/1000000</f>
        <v>23.856000000000002</v>
      </c>
      <c r="Z76" s="38"/>
      <c r="AA76" s="10"/>
      <c r="AB76" s="39"/>
      <c r="AC76" s="33">
        <f>(B76*141.293+C76*267.993+D76*115.016+E76*89.698+F76*40+G76*185+H76*0+I76*100+J76*300)/(141.293+267.993+115.016+89.698+0+40+185+100+300)</f>
        <v>5.5789289045197741</v>
      </c>
      <c r="AD76" s="27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5.5521712230215829</v>
      </c>
    </row>
    <row r="77" spans="1:30" ht="15" x14ac:dyDescent="0.2">
      <c r="A77" s="16">
        <v>43586</v>
      </c>
      <c r="B77" s="10">
        <f>CHOOSE(CONTROL!$C$42, 5.6217, 5.6217) * CHOOSE(CONTROL!$C$21, $C$9, 100%, $E$9)</f>
        <v>5.6216999999999997</v>
      </c>
      <c r="C77" s="10">
        <f>CHOOSE(CONTROL!$C$42, 5.6297, 5.6297) * CHOOSE(CONTROL!$C$21, $C$9, 100%, $E$9)</f>
        <v>5.6296999999999997</v>
      </c>
      <c r="D77" s="10">
        <f>CHOOSE(CONTROL!$C$42, 5.8048, 5.8048) * CHOOSE(CONTROL!$C$21, $C$9, 100%, $E$9)</f>
        <v>5.8048000000000002</v>
      </c>
      <c r="E77" s="10">
        <f>CHOOSE(CONTROL!$C$42, 5.8361, 5.8361) * CHOOSE(CONTROL!$C$21, $C$9, 100%, $E$9)</f>
        <v>5.8361000000000001</v>
      </c>
      <c r="F77" s="10">
        <f>CHOOSE(CONTROL!$C$42, 5.5634, 5.5634)*CHOOSE(CONTROL!$C$21, $C$9, 100%, $E$9)</f>
        <v>5.5633999999999997</v>
      </c>
      <c r="G77" s="10">
        <f>CHOOSE(CONTROL!$C$42, 5.5803, 5.5803)*CHOOSE(CONTROL!$C$21, $C$9, 100%, $E$9)</f>
        <v>5.5803000000000003</v>
      </c>
      <c r="H77" s="10">
        <f>CHOOSE(CONTROL!$C$42, 5.8244, 5.8244) * CHOOSE(CONTROL!$C$21, $C$9, 100%, $E$9)</f>
        <v>5.8243999999999998</v>
      </c>
      <c r="I77" s="10">
        <f>CHOOSE(CONTROL!$C$42, 5.5964, 5.5964)* CHOOSE(CONTROL!$C$21, $C$9, 100%, $E$9)</f>
        <v>5.5964</v>
      </c>
      <c r="J77" s="10">
        <f>CHOOSE(CONTROL!$C$42, 5.556, 5.556)* CHOOSE(CONTROL!$C$21, $C$9, 100%, $E$9)</f>
        <v>5.556</v>
      </c>
      <c r="K77" s="10">
        <f>CHOOSE(CONTROL!$C$42, 5.5783, 5.5783) * CHOOSE(CONTROL!$C$21, $C$9, 100%, $E$9)</f>
        <v>5.5782999999999996</v>
      </c>
      <c r="L77" s="10">
        <f>CHOOSE(CONTROL!$C$42, 6.4114, 6.4114) * CHOOSE(CONTROL!$C$21, $C$9, 100%, $E$9)</f>
        <v>6.4114000000000004</v>
      </c>
      <c r="M77" s="10">
        <f>CHOOSE(CONTROL!$C$42, 5.5171, 5.5171) * CHOOSE(CONTROL!$C$21, $C$9, 100%, $E$9)</f>
        <v>5.5171000000000001</v>
      </c>
      <c r="N77" s="10">
        <f>CHOOSE(CONTROL!$C$42, 5.5338, 5.5338) * CHOOSE(CONTROL!$C$21, $C$9, 100%, $E$9)</f>
        <v>5.5338000000000003</v>
      </c>
      <c r="O77" s="10">
        <f>CHOOSE(CONTROL!$C$42, 5.782, 5.782) * CHOOSE(CONTROL!$C$21, $C$9, 100%, $E$9)</f>
        <v>5.782</v>
      </c>
      <c r="P77" s="10">
        <f>CHOOSE(CONTROL!$C$42, 5.557, 5.557) * CHOOSE(CONTROL!$C$21, $C$9, 100%, $E$9)</f>
        <v>5.5570000000000004</v>
      </c>
      <c r="Q77" s="10">
        <f>CHOOSE(CONTROL!$C$42, 6.3773, 6.3773) * CHOOSE(CONTROL!$C$21, $C$9, 100%, $E$9)</f>
        <v>6.3773</v>
      </c>
      <c r="R77" s="10">
        <f>CHOOSE(CONTROL!$C$42, 6.9803, 6.9803) * CHOOSE(CONTROL!$C$21, $C$9, 100%, $E$9)</f>
        <v>6.9802999999999997</v>
      </c>
      <c r="S77" s="10">
        <f>CHOOSE(CONTROL!$C$42, 5.4581, 5.4581) * CHOOSE(CONTROL!$C$21, $C$9, 100%, $E$9)</f>
        <v>5.4581</v>
      </c>
      <c r="T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38">
        <f>(1000*CHOOSE(CONTROL!$C$42, 695, 695)*CHOOSE(CONTROL!$C$42, 0.5599, 0.5599)*CHOOSE(CONTROL!$C$42, 31, 31))/1000000</f>
        <v>12.063045499999998</v>
      </c>
      <c r="V77" s="38">
        <f>(1000*CHOOSE(CONTROL!$C$42, 500, 500)*CHOOSE(CONTROL!$C$42, 0.275, 0.275)*CHOOSE(CONTROL!$C$42, 31, 31))/1000000</f>
        <v>4.2625000000000002</v>
      </c>
      <c r="W77" s="38">
        <f>(1000*CHOOSE(CONTROL!$C$42, 0.1146, 0.1146)*CHOOSE(CONTROL!$C$42, 121.5, 121.5)*CHOOSE(CONTROL!$C$42, 31, 31))/1000000</f>
        <v>0.43164089999999994</v>
      </c>
      <c r="X77" s="38">
        <f>(31*0.1790888*245000/1000000)+(31*0.2374*100000/1000000)</f>
        <v>2.0961194359999999</v>
      </c>
      <c r="Y77" s="38">
        <f>(1000*400*CHOOSE(CONTROL!$C$42, 1.988, 1.988)*CHOOSE(CONTROL!$C$42, 31, 31))/1000000</f>
        <v>24.651199999999999</v>
      </c>
      <c r="Z77" s="38"/>
      <c r="AA77" s="10"/>
      <c r="AB77" s="39"/>
      <c r="AC77" s="33">
        <f>(B77*194.205+C77*267.466+D77*133.845+E77*53.484+F77*40+G77*185+H77*0+I77*100+J77*300)/(194.205+267.466+133.845+53.484+0+40+185+100+300)</f>
        <v>5.6263175173469397</v>
      </c>
      <c r="AD77" s="27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5.6010100719424463</v>
      </c>
    </row>
    <row r="78" spans="1:30" ht="15" x14ac:dyDescent="0.2">
      <c r="A78" s="16">
        <v>43617</v>
      </c>
      <c r="B78" s="10">
        <f>CHOOSE(CONTROL!$C$42, 5.7816, 5.7816) * CHOOSE(CONTROL!$C$21, $C$9, 100%, $E$9)</f>
        <v>5.7816000000000001</v>
      </c>
      <c r="C78" s="10">
        <f>CHOOSE(CONTROL!$C$42, 5.7896, 5.7896) * CHOOSE(CONTROL!$C$21, $C$9, 100%, $E$9)</f>
        <v>5.7896000000000001</v>
      </c>
      <c r="D78" s="10">
        <f>CHOOSE(CONTROL!$C$42, 5.9647, 5.9647) * CHOOSE(CONTROL!$C$21, $C$9, 100%, $E$9)</f>
        <v>5.9646999999999997</v>
      </c>
      <c r="E78" s="10">
        <f>CHOOSE(CONTROL!$C$42, 5.9959, 5.9959) * CHOOSE(CONTROL!$C$21, $C$9, 100%, $E$9)</f>
        <v>5.9958999999999998</v>
      </c>
      <c r="F78" s="10">
        <f>CHOOSE(CONTROL!$C$42, 5.7235, 5.7235)*CHOOSE(CONTROL!$C$21, $C$9, 100%, $E$9)</f>
        <v>5.7234999999999996</v>
      </c>
      <c r="G78" s="10">
        <f>CHOOSE(CONTROL!$C$42, 5.7404, 5.7404)*CHOOSE(CONTROL!$C$21, $C$9, 100%, $E$9)</f>
        <v>5.7404000000000002</v>
      </c>
      <c r="H78" s="10">
        <f>CHOOSE(CONTROL!$C$42, 5.9842, 5.9842) * CHOOSE(CONTROL!$C$21, $C$9, 100%, $E$9)</f>
        <v>5.9842000000000004</v>
      </c>
      <c r="I78" s="10">
        <f>CHOOSE(CONTROL!$C$42, 5.7562, 5.7562)* CHOOSE(CONTROL!$C$21, $C$9, 100%, $E$9)</f>
        <v>5.7561999999999998</v>
      </c>
      <c r="J78" s="10">
        <f>CHOOSE(CONTROL!$C$42, 5.7161, 5.7161)* CHOOSE(CONTROL!$C$21, $C$9, 100%, $E$9)</f>
        <v>5.7161</v>
      </c>
      <c r="K78" s="10">
        <f>CHOOSE(CONTROL!$C$42, 5.7336, 5.7336) * CHOOSE(CONTROL!$C$21, $C$9, 100%, $E$9)</f>
        <v>5.7336</v>
      </c>
      <c r="L78" s="10">
        <f>CHOOSE(CONTROL!$C$42, 6.5712, 6.5712) * CHOOSE(CONTROL!$C$21, $C$9, 100%, $E$9)</f>
        <v>6.5712000000000002</v>
      </c>
      <c r="M78" s="10">
        <f>CHOOSE(CONTROL!$C$42, 5.6751, 5.6751) * CHOOSE(CONTROL!$C$21, $C$9, 100%, $E$9)</f>
        <v>5.6750999999999996</v>
      </c>
      <c r="N78" s="10">
        <f>CHOOSE(CONTROL!$C$42, 5.6918, 5.6918) * CHOOSE(CONTROL!$C$21, $C$9, 100%, $E$9)</f>
        <v>5.6917999999999997</v>
      </c>
      <c r="O78" s="10">
        <f>CHOOSE(CONTROL!$C$42, 5.9398, 5.9398) * CHOOSE(CONTROL!$C$21, $C$9, 100%, $E$9)</f>
        <v>5.9398</v>
      </c>
      <c r="P78" s="10">
        <f>CHOOSE(CONTROL!$C$42, 5.7148, 5.7148) * CHOOSE(CONTROL!$C$21, $C$9, 100%, $E$9)</f>
        <v>5.7148000000000003</v>
      </c>
      <c r="Q78" s="10">
        <f>CHOOSE(CONTROL!$C$42, 6.5351, 6.5351) * CHOOSE(CONTROL!$C$21, $C$9, 100%, $E$9)</f>
        <v>6.5350999999999999</v>
      </c>
      <c r="R78" s="10">
        <f>CHOOSE(CONTROL!$C$42, 7.1385, 7.1385) * CHOOSE(CONTROL!$C$21, $C$9, 100%, $E$9)</f>
        <v>7.1384999999999996</v>
      </c>
      <c r="S78" s="10">
        <f>CHOOSE(CONTROL!$C$42, 5.6129, 5.6129) * CHOOSE(CONTROL!$C$21, $C$9, 100%, $E$9)</f>
        <v>5.6128999999999998</v>
      </c>
      <c r="T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38">
        <f>(1000*CHOOSE(CONTROL!$C$42, 695, 695)*CHOOSE(CONTROL!$C$42, 0.5599, 0.5599)*CHOOSE(CONTROL!$C$42, 30, 30))/1000000</f>
        <v>11.673914999999997</v>
      </c>
      <c r="V78" s="38">
        <f>(1000*CHOOSE(CONTROL!$C$42, 500, 500)*CHOOSE(CONTROL!$C$42, 0.275, 0.275)*CHOOSE(CONTROL!$C$42, 30, 30))/1000000</f>
        <v>4.125</v>
      </c>
      <c r="W78" s="38">
        <f>(1000*CHOOSE(CONTROL!$C$42, 0.1146, 0.1146)*CHOOSE(CONTROL!$C$42, 121.5, 121.5)*CHOOSE(CONTROL!$C$42, 30, 30))/1000000</f>
        <v>0.417717</v>
      </c>
      <c r="X78" s="38">
        <f>(30*0.1790888*245000/1000000)+(30*0.2374*100000/1000000)</f>
        <v>2.0285026799999999</v>
      </c>
      <c r="Y78" s="38">
        <f>(1000*400*CHOOSE(CONTROL!$C$42, 1.988, 1.988)*CHOOSE(CONTROL!$C$42, 30, 30))/1000000</f>
        <v>23.856000000000002</v>
      </c>
      <c r="Z78" s="38"/>
      <c r="AA78" s="10"/>
      <c r="AB78" s="39"/>
      <c r="AC78" s="33">
        <f>(B78*194.205+C78*267.466+D78*133.845+E78*53.484+F78*40+G78*185+H78*0+I78*100+J78*300)/(194.205+267.466+133.845+53.484+0+40+185+100+300)</f>
        <v>5.7862878875196229</v>
      </c>
      <c r="AD78" s="27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5.7589251798561154</v>
      </c>
    </row>
    <row r="79" spans="1:30" ht="15" x14ac:dyDescent="0.2">
      <c r="A79" s="16">
        <v>43647</v>
      </c>
      <c r="B79" s="10">
        <f>CHOOSE(CONTROL!$C$42, 5.6704, 5.6704) * CHOOSE(CONTROL!$C$21, $C$9, 100%, $E$9)</f>
        <v>5.6703999999999999</v>
      </c>
      <c r="C79" s="10">
        <f>CHOOSE(CONTROL!$C$42, 5.6784, 5.6784) * CHOOSE(CONTROL!$C$21, $C$9, 100%, $E$9)</f>
        <v>5.6783999999999999</v>
      </c>
      <c r="D79" s="10">
        <f>CHOOSE(CONTROL!$C$42, 5.8535, 5.8535) * CHOOSE(CONTROL!$C$21, $C$9, 100%, $E$9)</f>
        <v>5.8535000000000004</v>
      </c>
      <c r="E79" s="10">
        <f>CHOOSE(CONTROL!$C$42, 5.8847, 5.8847) * CHOOSE(CONTROL!$C$21, $C$9, 100%, $E$9)</f>
        <v>5.8846999999999996</v>
      </c>
      <c r="F79" s="10">
        <f>CHOOSE(CONTROL!$C$42, 5.6126, 5.6126)*CHOOSE(CONTROL!$C$21, $C$9, 100%, $E$9)</f>
        <v>5.6125999999999996</v>
      </c>
      <c r="G79" s="10">
        <f>CHOOSE(CONTROL!$C$42, 5.6296, 5.6296)*CHOOSE(CONTROL!$C$21, $C$9, 100%, $E$9)</f>
        <v>5.6295999999999999</v>
      </c>
      <c r="H79" s="10">
        <f>CHOOSE(CONTROL!$C$42, 5.8731, 5.8731) * CHOOSE(CONTROL!$C$21, $C$9, 100%, $E$9)</f>
        <v>5.8731</v>
      </c>
      <c r="I79" s="10">
        <f>CHOOSE(CONTROL!$C$42, 5.645, 5.645)* CHOOSE(CONTROL!$C$21, $C$9, 100%, $E$9)</f>
        <v>5.6449999999999996</v>
      </c>
      <c r="J79" s="10">
        <f>CHOOSE(CONTROL!$C$42, 5.6052, 5.6052)* CHOOSE(CONTROL!$C$21, $C$9, 100%, $E$9)</f>
        <v>5.6052</v>
      </c>
      <c r="K79" s="10">
        <f>CHOOSE(CONTROL!$C$42, 5.6266, 5.6266) * CHOOSE(CONTROL!$C$21, $C$9, 100%, $E$9)</f>
        <v>5.6265999999999998</v>
      </c>
      <c r="L79" s="10">
        <f>CHOOSE(CONTROL!$C$42, 6.4601, 6.4601) * CHOOSE(CONTROL!$C$21, $C$9, 100%, $E$9)</f>
        <v>6.4600999999999997</v>
      </c>
      <c r="M79" s="10">
        <f>CHOOSE(CONTROL!$C$42, 5.5657, 5.5657) * CHOOSE(CONTROL!$C$21, $C$9, 100%, $E$9)</f>
        <v>5.5656999999999996</v>
      </c>
      <c r="N79" s="10">
        <f>CHOOSE(CONTROL!$C$42, 5.5825, 5.5825) * CHOOSE(CONTROL!$C$21, $C$9, 100%, $E$9)</f>
        <v>5.5824999999999996</v>
      </c>
      <c r="O79" s="10">
        <f>CHOOSE(CONTROL!$C$42, 5.8301, 5.8301) * CHOOSE(CONTROL!$C$21, $C$9, 100%, $E$9)</f>
        <v>5.8300999999999998</v>
      </c>
      <c r="P79" s="10">
        <f>CHOOSE(CONTROL!$C$42, 5.6051, 5.6051) * CHOOSE(CONTROL!$C$21, $C$9, 100%, $E$9)</f>
        <v>5.6051000000000002</v>
      </c>
      <c r="Q79" s="10">
        <f>CHOOSE(CONTROL!$C$42, 6.4254, 6.4254) * CHOOSE(CONTROL!$C$21, $C$9, 100%, $E$9)</f>
        <v>6.4253999999999998</v>
      </c>
      <c r="R79" s="10">
        <f>CHOOSE(CONTROL!$C$42, 7.0284, 7.0284) * CHOOSE(CONTROL!$C$21, $C$9, 100%, $E$9)</f>
        <v>7.0284000000000004</v>
      </c>
      <c r="S79" s="10">
        <f>CHOOSE(CONTROL!$C$42, 5.5052, 5.5052) * CHOOSE(CONTROL!$C$21, $C$9, 100%, $E$9)</f>
        <v>5.5052000000000003</v>
      </c>
      <c r="T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38">
        <f>(1000*CHOOSE(CONTROL!$C$42, 695, 695)*CHOOSE(CONTROL!$C$42, 0.5599, 0.5599)*CHOOSE(CONTROL!$C$42, 31, 31))/1000000</f>
        <v>12.063045499999998</v>
      </c>
      <c r="V79" s="38">
        <f>(1000*CHOOSE(CONTROL!$C$42, 500, 500)*CHOOSE(CONTROL!$C$42, 0.275, 0.275)*CHOOSE(CONTROL!$C$42, 31, 31))/1000000</f>
        <v>4.2625000000000002</v>
      </c>
      <c r="W79" s="38">
        <f>(1000*CHOOSE(CONTROL!$C$42, 0.1146, 0.1146)*CHOOSE(CONTROL!$C$42, 121.5, 121.5)*CHOOSE(CONTROL!$C$42, 31, 31))/1000000</f>
        <v>0.43164089999999994</v>
      </c>
      <c r="X79" s="38">
        <f>(31*0.1790888*245000/1000000)+(31*0.2374*100000/1000000)</f>
        <v>2.0961194359999999</v>
      </c>
      <c r="Y79" s="38">
        <f>(1000*400*CHOOSE(CONTROL!$C$42, 1.988, 1.988)*CHOOSE(CONTROL!$C$42, 31, 31))/1000000</f>
        <v>24.651199999999999</v>
      </c>
      <c r="Z79" s="38"/>
      <c r="AA79" s="10"/>
      <c r="AB79" s="39"/>
      <c r="AC79" s="33">
        <f>(B79*194.205+C79*267.466+D79*133.845+E79*53.484+F79*40+G79*185+H79*0+I79*100+J79*300)/(194.205+267.466+133.845+53.484+0+40+185+100+300)</f>
        <v>5.6752260350863413</v>
      </c>
      <c r="AD79" s="27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5.6494208633093521</v>
      </c>
    </row>
    <row r="80" spans="1:30" ht="15" x14ac:dyDescent="0.2">
      <c r="A80" s="16">
        <v>43678</v>
      </c>
      <c r="B80" s="10">
        <f>CHOOSE(CONTROL!$C$42, 5.3896, 5.3896) * CHOOSE(CONTROL!$C$21, $C$9, 100%, $E$9)</f>
        <v>5.3895999999999997</v>
      </c>
      <c r="C80" s="10">
        <f>CHOOSE(CONTROL!$C$42, 5.3976, 5.3976) * CHOOSE(CONTROL!$C$21, $C$9, 100%, $E$9)</f>
        <v>5.3975999999999997</v>
      </c>
      <c r="D80" s="10">
        <f>CHOOSE(CONTROL!$C$42, 5.5727, 5.5727) * CHOOSE(CONTROL!$C$21, $C$9, 100%, $E$9)</f>
        <v>5.5727000000000002</v>
      </c>
      <c r="E80" s="10">
        <f>CHOOSE(CONTROL!$C$42, 5.604, 5.604) * CHOOSE(CONTROL!$C$21, $C$9, 100%, $E$9)</f>
        <v>5.6040000000000001</v>
      </c>
      <c r="F80" s="10">
        <f>CHOOSE(CONTROL!$C$42, 5.3317, 5.3317)*CHOOSE(CONTROL!$C$21, $C$9, 100%, $E$9)</f>
        <v>5.3316999999999997</v>
      </c>
      <c r="G80" s="10">
        <f>CHOOSE(CONTROL!$C$42, 5.3487, 5.3487)*CHOOSE(CONTROL!$C$21, $C$9, 100%, $E$9)</f>
        <v>5.3487</v>
      </c>
      <c r="H80" s="10">
        <f>CHOOSE(CONTROL!$C$42, 5.5923, 5.5923) * CHOOSE(CONTROL!$C$21, $C$9, 100%, $E$9)</f>
        <v>5.5922999999999998</v>
      </c>
      <c r="I80" s="10">
        <f>CHOOSE(CONTROL!$C$42, 5.3643, 5.3643)* CHOOSE(CONTROL!$C$21, $C$9, 100%, $E$9)</f>
        <v>5.3643000000000001</v>
      </c>
      <c r="J80" s="10">
        <f>CHOOSE(CONTROL!$C$42, 5.3243, 5.3243)* CHOOSE(CONTROL!$C$21, $C$9, 100%, $E$9)</f>
        <v>5.3243</v>
      </c>
      <c r="K80" s="10">
        <f>CHOOSE(CONTROL!$C$42, 5.3544, 5.3544) * CHOOSE(CONTROL!$C$21, $C$9, 100%, $E$9)</f>
        <v>5.3544</v>
      </c>
      <c r="L80" s="10">
        <f>CHOOSE(CONTROL!$C$42, 6.1793, 6.1793) * CHOOSE(CONTROL!$C$21, $C$9, 100%, $E$9)</f>
        <v>6.1792999999999996</v>
      </c>
      <c r="M80" s="10">
        <f>CHOOSE(CONTROL!$C$42, 5.2885, 5.2885) * CHOOSE(CONTROL!$C$21, $C$9, 100%, $E$9)</f>
        <v>5.2885</v>
      </c>
      <c r="N80" s="10">
        <f>CHOOSE(CONTROL!$C$42, 5.3052, 5.3052) * CHOOSE(CONTROL!$C$21, $C$9, 100%, $E$9)</f>
        <v>5.3052000000000001</v>
      </c>
      <c r="O80" s="10">
        <f>CHOOSE(CONTROL!$C$42, 5.5529, 5.5529) * CHOOSE(CONTROL!$C$21, $C$9, 100%, $E$9)</f>
        <v>5.5529000000000002</v>
      </c>
      <c r="P80" s="10">
        <f>CHOOSE(CONTROL!$C$42, 5.3279, 5.3279) * CHOOSE(CONTROL!$C$21, $C$9, 100%, $E$9)</f>
        <v>5.3278999999999996</v>
      </c>
      <c r="Q80" s="10">
        <f>CHOOSE(CONTROL!$C$42, 6.1482, 6.1482) * CHOOSE(CONTROL!$C$21, $C$9, 100%, $E$9)</f>
        <v>6.1482000000000001</v>
      </c>
      <c r="R80" s="10">
        <f>CHOOSE(CONTROL!$C$42, 6.7506, 6.7506) * CHOOSE(CONTROL!$C$21, $C$9, 100%, $E$9)</f>
        <v>6.7506000000000004</v>
      </c>
      <c r="S80" s="10">
        <f>CHOOSE(CONTROL!$C$42, 5.2334, 5.2334) * CHOOSE(CONTROL!$C$21, $C$9, 100%, $E$9)</f>
        <v>5.2333999999999996</v>
      </c>
      <c r="T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38">
        <f>(1000*CHOOSE(CONTROL!$C$42, 695, 695)*CHOOSE(CONTROL!$C$42, 0.5599, 0.5599)*CHOOSE(CONTROL!$C$42, 31, 31))/1000000</f>
        <v>12.063045499999998</v>
      </c>
      <c r="V80" s="38">
        <f>(1000*CHOOSE(CONTROL!$C$42, 500, 500)*CHOOSE(CONTROL!$C$42, 0.275, 0.275)*CHOOSE(CONTROL!$C$42, 31, 31))/1000000</f>
        <v>4.2625000000000002</v>
      </c>
      <c r="W80" s="38">
        <f>(1000*CHOOSE(CONTROL!$C$42, 0.1146, 0.1146)*CHOOSE(CONTROL!$C$42, 121.5, 121.5)*CHOOSE(CONTROL!$C$42, 31, 31))/1000000</f>
        <v>0.43164089999999994</v>
      </c>
      <c r="X80" s="38">
        <f>(31*0.1790888*245000/1000000)+(31*0.2374*100000/1000000)</f>
        <v>2.0961194359999999</v>
      </c>
      <c r="Y80" s="38">
        <f>(1000*400*CHOOSE(CONTROL!$C$42, 1.988, 1.988)*CHOOSE(CONTROL!$C$42, 31, 31))/1000000</f>
        <v>24.651199999999999</v>
      </c>
      <c r="Z80" s="38"/>
      <c r="AA80" s="10"/>
      <c r="AB80" s="39"/>
      <c r="AC80" s="33">
        <f>(B80*194.205+C80*267.466+D80*133.845+E80*53.484+F80*40+G80*185+H80*0+I80*100+J80*300)/(194.205+267.466+133.845+53.484+0+40+185+100+300)</f>
        <v>5.3943968737048662</v>
      </c>
      <c r="AD80" s="27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5.3721978417266181</v>
      </c>
    </row>
    <row r="81" spans="1:30" ht="15" x14ac:dyDescent="0.2">
      <c r="A81" s="16">
        <v>43709</v>
      </c>
      <c r="B81" s="10">
        <f>CHOOSE(CONTROL!$C$42, 5.0466, 5.0466) * CHOOSE(CONTROL!$C$21, $C$9, 100%, $E$9)</f>
        <v>5.0465999999999998</v>
      </c>
      <c r="C81" s="10">
        <f>CHOOSE(CONTROL!$C$42, 5.0546, 5.0546) * CHOOSE(CONTROL!$C$21, $C$9, 100%, $E$9)</f>
        <v>5.0545999999999998</v>
      </c>
      <c r="D81" s="10">
        <f>CHOOSE(CONTROL!$C$42, 5.2297, 5.2297) * CHOOSE(CONTROL!$C$21, $C$9, 100%, $E$9)</f>
        <v>5.2297000000000002</v>
      </c>
      <c r="E81" s="10">
        <f>CHOOSE(CONTROL!$C$42, 5.2609, 5.2609) * CHOOSE(CONTROL!$C$21, $C$9, 100%, $E$9)</f>
        <v>5.2609000000000004</v>
      </c>
      <c r="F81" s="10">
        <f>CHOOSE(CONTROL!$C$42, 4.9884, 4.9884)*CHOOSE(CONTROL!$C$21, $C$9, 100%, $E$9)</f>
        <v>4.9884000000000004</v>
      </c>
      <c r="G81" s="10">
        <f>CHOOSE(CONTROL!$C$42, 5.0053, 5.0053)*CHOOSE(CONTROL!$C$21, $C$9, 100%, $E$9)</f>
        <v>5.0053000000000001</v>
      </c>
      <c r="H81" s="10">
        <f>CHOOSE(CONTROL!$C$42, 5.2492, 5.2492) * CHOOSE(CONTROL!$C$21, $C$9, 100%, $E$9)</f>
        <v>5.2492000000000001</v>
      </c>
      <c r="I81" s="10">
        <f>CHOOSE(CONTROL!$C$42, 5.0212, 5.0212)* CHOOSE(CONTROL!$C$21, $C$9, 100%, $E$9)</f>
        <v>5.0212000000000003</v>
      </c>
      <c r="J81" s="10">
        <f>CHOOSE(CONTROL!$C$42, 4.981, 4.981)* CHOOSE(CONTROL!$C$21, $C$9, 100%, $E$9)</f>
        <v>4.9809999999999999</v>
      </c>
      <c r="K81" s="10">
        <f>CHOOSE(CONTROL!$C$42, 5.0213, 5.0213) * CHOOSE(CONTROL!$C$21, $C$9, 100%, $E$9)</f>
        <v>5.0213000000000001</v>
      </c>
      <c r="L81" s="10">
        <f>CHOOSE(CONTROL!$C$42, 5.8362, 5.8362) * CHOOSE(CONTROL!$C$21, $C$9, 100%, $E$9)</f>
        <v>5.8361999999999998</v>
      </c>
      <c r="M81" s="10">
        <f>CHOOSE(CONTROL!$C$42, 4.9495, 4.9495) * CHOOSE(CONTROL!$C$21, $C$9, 100%, $E$9)</f>
        <v>4.9494999999999996</v>
      </c>
      <c r="N81" s="10">
        <f>CHOOSE(CONTROL!$C$42, 4.9662, 4.9662) * CHOOSE(CONTROL!$C$21, $C$9, 100%, $E$9)</f>
        <v>4.9661999999999997</v>
      </c>
      <c r="O81" s="10">
        <f>CHOOSE(CONTROL!$C$42, 5.2143, 5.2143) * CHOOSE(CONTROL!$C$21, $C$9, 100%, $E$9)</f>
        <v>5.2142999999999997</v>
      </c>
      <c r="P81" s="10">
        <f>CHOOSE(CONTROL!$C$42, 4.9893, 4.9893) * CHOOSE(CONTROL!$C$21, $C$9, 100%, $E$9)</f>
        <v>4.9893000000000001</v>
      </c>
      <c r="Q81" s="10">
        <f>CHOOSE(CONTROL!$C$42, 5.8096, 5.8096) * CHOOSE(CONTROL!$C$21, $C$9, 100%, $E$9)</f>
        <v>5.8095999999999997</v>
      </c>
      <c r="R81" s="10">
        <f>CHOOSE(CONTROL!$C$42, 6.4112, 6.4112) * CHOOSE(CONTROL!$C$21, $C$9, 100%, $E$9)</f>
        <v>6.4112</v>
      </c>
      <c r="S81" s="10">
        <f>CHOOSE(CONTROL!$C$42, 4.9012, 4.9012) * CHOOSE(CONTROL!$C$21, $C$9, 100%, $E$9)</f>
        <v>4.9012000000000002</v>
      </c>
      <c r="T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38">
        <f>(1000*CHOOSE(CONTROL!$C$42, 695, 695)*CHOOSE(CONTROL!$C$42, 0.5599, 0.5599)*CHOOSE(CONTROL!$C$42, 30, 30))/1000000</f>
        <v>11.673914999999997</v>
      </c>
      <c r="V81" s="38">
        <f>(1000*CHOOSE(CONTROL!$C$42, 500, 500)*CHOOSE(CONTROL!$C$42, 0.275, 0.275)*CHOOSE(CONTROL!$C$42, 30, 30))/1000000</f>
        <v>4.125</v>
      </c>
      <c r="W81" s="38">
        <f>(1000*CHOOSE(CONTROL!$C$42, 0.1146, 0.1146)*CHOOSE(CONTROL!$C$42, 121.5, 121.5)*CHOOSE(CONTROL!$C$42, 30, 30))/1000000</f>
        <v>0.417717</v>
      </c>
      <c r="X81" s="38">
        <f>(30*0.1790888*245000/1000000)+(30*0.2374*100000/1000000)</f>
        <v>2.0285026799999999</v>
      </c>
      <c r="Y81" s="38">
        <f>(1000*400*CHOOSE(CONTROL!$C$42, 1.988, 1.988)*CHOOSE(CONTROL!$C$42, 30, 30))/1000000</f>
        <v>23.856000000000002</v>
      </c>
      <c r="Z81" s="38"/>
      <c r="AA81" s="10"/>
      <c r="AB81" s="39"/>
      <c r="AC81" s="33">
        <f>(B81*194.205+C81*267.466+D81*133.845+E81*53.484+F81*40+G81*185+H81*0+I81*100+J81*300)/(194.205+267.466+133.845+53.484+0+40+185+100+300)</f>
        <v>5.0512466787284147</v>
      </c>
      <c r="AD81" s="27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5.0333676258992801</v>
      </c>
    </row>
    <row r="82" spans="1:30" ht="15" x14ac:dyDescent="0.2">
      <c r="A82" s="16">
        <v>43739</v>
      </c>
      <c r="B82" s="10">
        <f>CHOOSE(CONTROL!$C$42, 4.9417, 4.9417) * CHOOSE(CONTROL!$C$21, $C$9, 100%, $E$9)</f>
        <v>4.9417</v>
      </c>
      <c r="C82" s="10">
        <f>CHOOSE(CONTROL!$C$42, 4.9471, 4.9471) * CHOOSE(CONTROL!$C$21, $C$9, 100%, $E$9)</f>
        <v>4.9470999999999998</v>
      </c>
      <c r="D82" s="10">
        <f>CHOOSE(CONTROL!$C$42, 5.127, 5.127) * CHOOSE(CONTROL!$C$21, $C$9, 100%, $E$9)</f>
        <v>5.1269999999999998</v>
      </c>
      <c r="E82" s="10">
        <f>CHOOSE(CONTROL!$C$42, 5.156, 5.156) * CHOOSE(CONTROL!$C$21, $C$9, 100%, $E$9)</f>
        <v>5.1559999999999997</v>
      </c>
      <c r="F82" s="10">
        <f>CHOOSE(CONTROL!$C$42, 4.8855, 4.8855)*CHOOSE(CONTROL!$C$21, $C$9, 100%, $E$9)</f>
        <v>4.8855000000000004</v>
      </c>
      <c r="G82" s="10">
        <f>CHOOSE(CONTROL!$C$42, 4.9021, 4.9021)*CHOOSE(CONTROL!$C$21, $C$9, 100%, $E$9)</f>
        <v>4.9020999999999999</v>
      </c>
      <c r="H82" s="10">
        <f>CHOOSE(CONTROL!$C$42, 5.1461, 5.1461) * CHOOSE(CONTROL!$C$21, $C$9, 100%, $E$9)</f>
        <v>5.1460999999999997</v>
      </c>
      <c r="I82" s="10">
        <f>CHOOSE(CONTROL!$C$42, 4.9181, 4.9181)* CHOOSE(CONTROL!$C$21, $C$9, 100%, $E$9)</f>
        <v>4.9180999999999999</v>
      </c>
      <c r="J82" s="10">
        <f>CHOOSE(CONTROL!$C$42, 4.8781, 4.8781)* CHOOSE(CONTROL!$C$21, $C$9, 100%, $E$9)</f>
        <v>4.8780999999999999</v>
      </c>
      <c r="K82" s="10">
        <f>CHOOSE(CONTROL!$C$42, 4.922, 4.922) * CHOOSE(CONTROL!$C$21, $C$9, 100%, $E$9)</f>
        <v>4.9219999999999997</v>
      </c>
      <c r="L82" s="10">
        <f>CHOOSE(CONTROL!$C$42, 5.7331, 5.7331) * CHOOSE(CONTROL!$C$21, $C$9, 100%, $E$9)</f>
        <v>5.7331000000000003</v>
      </c>
      <c r="M82" s="10">
        <f>CHOOSE(CONTROL!$C$42, 4.848, 4.848) * CHOOSE(CONTROL!$C$21, $C$9, 100%, $E$9)</f>
        <v>4.8479999999999999</v>
      </c>
      <c r="N82" s="10">
        <f>CHOOSE(CONTROL!$C$42, 4.8644, 4.8644) * CHOOSE(CONTROL!$C$21, $C$9, 100%, $E$9)</f>
        <v>4.8643999999999998</v>
      </c>
      <c r="O82" s="10">
        <f>CHOOSE(CONTROL!$C$42, 5.1125, 5.1125) * CHOOSE(CONTROL!$C$21, $C$9, 100%, $E$9)</f>
        <v>5.1124999999999998</v>
      </c>
      <c r="P82" s="10">
        <f>CHOOSE(CONTROL!$C$42, 4.8875, 4.8875) * CHOOSE(CONTROL!$C$21, $C$9, 100%, $E$9)</f>
        <v>4.8875000000000002</v>
      </c>
      <c r="Q82" s="10">
        <f>CHOOSE(CONTROL!$C$42, 5.7078, 5.7078) * CHOOSE(CONTROL!$C$21, $C$9, 100%, $E$9)</f>
        <v>5.7077999999999998</v>
      </c>
      <c r="R82" s="10">
        <f>CHOOSE(CONTROL!$C$42, 6.3091, 6.3091) * CHOOSE(CONTROL!$C$21, $C$9, 100%, $E$9)</f>
        <v>6.3090999999999999</v>
      </c>
      <c r="S82" s="10">
        <f>CHOOSE(CONTROL!$C$42, 4.8013, 4.8013) * CHOOSE(CONTROL!$C$21, $C$9, 100%, $E$9)</f>
        <v>4.8013000000000003</v>
      </c>
      <c r="T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38">
        <f>(1000*CHOOSE(CONTROL!$C$42, 695, 695)*CHOOSE(CONTROL!$C$42, 0.5599, 0.5599)*CHOOSE(CONTROL!$C$42, 31, 31))/1000000</f>
        <v>12.063045499999998</v>
      </c>
      <c r="V82" s="38">
        <f>(1000*CHOOSE(CONTROL!$C$42, 500, 500)*CHOOSE(CONTROL!$C$42, 0.275, 0.275)*CHOOSE(CONTROL!$C$42, 31, 31))/1000000</f>
        <v>4.2625000000000002</v>
      </c>
      <c r="W82" s="38">
        <f>(1000*CHOOSE(CONTROL!$C$42, 0.1146, 0.1146)*CHOOSE(CONTROL!$C$42, 121.5, 121.5)*CHOOSE(CONTROL!$C$42, 31, 31))/1000000</f>
        <v>0.43164089999999994</v>
      </c>
      <c r="X82" s="38">
        <f>(31*0.1790888*245000/1000000)+(31*0.2374*100000/1000000)</f>
        <v>2.0961194359999999</v>
      </c>
      <c r="Y82" s="38">
        <f>(1000*400*CHOOSE(CONTROL!$C$42, 1.988, 1.988)*CHOOSE(CONTROL!$C$42, 31, 31))/1000000</f>
        <v>24.651199999999999</v>
      </c>
      <c r="Z82" s="38"/>
      <c r="AA82" s="10"/>
      <c r="AB82" s="39"/>
      <c r="AC82" s="33">
        <f>(B82*131.881+C82*277.167+D82*79.08+E82*125.872+F82*40+G82*185+H82*0+I82*100+J82*300)/(131.881+277.167+79.08+125.872+0+40+185+100+300)</f>
        <v>4.9514744918482654</v>
      </c>
      <c r="AD82" s="27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4.9316712230215831</v>
      </c>
    </row>
    <row r="83" spans="1:30" ht="15" x14ac:dyDescent="0.2">
      <c r="A83" s="16">
        <v>43770</v>
      </c>
      <c r="B83" s="10">
        <f>CHOOSE(CONTROL!$C$42, 5.0719, 5.0719) * CHOOSE(CONTROL!$C$21, $C$9, 100%, $E$9)</f>
        <v>5.0719000000000003</v>
      </c>
      <c r="C83" s="10">
        <f>CHOOSE(CONTROL!$C$42, 5.077, 5.077) * CHOOSE(CONTROL!$C$21, $C$9, 100%, $E$9)</f>
        <v>5.077</v>
      </c>
      <c r="D83" s="10">
        <f>CHOOSE(CONTROL!$C$42, 5.1017, 5.1017) * CHOOSE(CONTROL!$C$21, $C$9, 100%, $E$9)</f>
        <v>5.1017000000000001</v>
      </c>
      <c r="E83" s="10">
        <f>CHOOSE(CONTROL!$C$42, 5.1355, 5.1355) * CHOOSE(CONTROL!$C$21, $C$9, 100%, $E$9)</f>
        <v>5.1355000000000004</v>
      </c>
      <c r="F83" s="10">
        <f>CHOOSE(CONTROL!$C$42, 5.0375, 5.0375)*CHOOSE(CONTROL!$C$21, $C$9, 100%, $E$9)</f>
        <v>5.0374999999999996</v>
      </c>
      <c r="G83" s="10">
        <f>CHOOSE(CONTROL!$C$42, 5.0544, 5.0544)*CHOOSE(CONTROL!$C$21, $C$9, 100%, $E$9)</f>
        <v>5.0544000000000002</v>
      </c>
      <c r="H83" s="10">
        <f>CHOOSE(CONTROL!$C$42, 5.1244, 5.1244) * CHOOSE(CONTROL!$C$21, $C$9, 100%, $E$9)</f>
        <v>5.1243999999999996</v>
      </c>
      <c r="I83" s="10">
        <f>CHOOSE(CONTROL!$C$42, 5.0714, 5.0714)* CHOOSE(CONTROL!$C$21, $C$9, 100%, $E$9)</f>
        <v>5.0713999999999997</v>
      </c>
      <c r="J83" s="10">
        <f>CHOOSE(CONTROL!$C$42, 5.0301, 5.0301)* CHOOSE(CONTROL!$C$21, $C$9, 100%, $E$9)</f>
        <v>5.0301</v>
      </c>
      <c r="K83" s="10">
        <f>CHOOSE(CONTROL!$C$42, 5.0723, 5.0723) * CHOOSE(CONTROL!$C$21, $C$9, 100%, $E$9)</f>
        <v>5.0723000000000003</v>
      </c>
      <c r="L83" s="10">
        <f>CHOOSE(CONTROL!$C$42, 5.7114, 5.7114) * CHOOSE(CONTROL!$C$21, $C$9, 100%, $E$9)</f>
        <v>5.7114000000000003</v>
      </c>
      <c r="M83" s="10">
        <f>CHOOSE(CONTROL!$C$42, 4.9981, 4.9981) * CHOOSE(CONTROL!$C$21, $C$9, 100%, $E$9)</f>
        <v>4.9981</v>
      </c>
      <c r="N83" s="10">
        <f>CHOOSE(CONTROL!$C$42, 5.0147, 5.0147) * CHOOSE(CONTROL!$C$21, $C$9, 100%, $E$9)</f>
        <v>5.0147000000000004</v>
      </c>
      <c r="O83" s="10">
        <f>CHOOSE(CONTROL!$C$42, 5.0911, 5.0911) * CHOOSE(CONTROL!$C$21, $C$9, 100%, $E$9)</f>
        <v>5.0911</v>
      </c>
      <c r="P83" s="10">
        <f>CHOOSE(CONTROL!$C$42, 5.0389, 5.0389) * CHOOSE(CONTROL!$C$21, $C$9, 100%, $E$9)</f>
        <v>5.0388999999999999</v>
      </c>
      <c r="Q83" s="10">
        <f>CHOOSE(CONTROL!$C$42, 5.6864, 5.6864) * CHOOSE(CONTROL!$C$21, $C$9, 100%, $E$9)</f>
        <v>5.6863999999999999</v>
      </c>
      <c r="R83" s="10">
        <f>CHOOSE(CONTROL!$C$42, 6.2876, 6.2876) * CHOOSE(CONTROL!$C$21, $C$9, 100%, $E$9)</f>
        <v>6.2876000000000003</v>
      </c>
      <c r="S83" s="10">
        <f>CHOOSE(CONTROL!$C$42, 4.9278, 4.9278) * CHOOSE(CONTROL!$C$21, $C$9, 100%, $E$9)</f>
        <v>4.9278000000000004</v>
      </c>
      <c r="T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38">
        <f>(1000*CHOOSE(CONTROL!$C$42, 695, 695)*CHOOSE(CONTROL!$C$42, 0.5599, 0.5599)*CHOOSE(CONTROL!$C$42, 30, 30))/1000000</f>
        <v>11.673914999999997</v>
      </c>
      <c r="V83" s="38">
        <f>(1000*CHOOSE(CONTROL!$C$42, 500, 500)*CHOOSE(CONTROL!$C$42, 0.275, 0.275)*CHOOSE(CONTROL!$C$42, 30, 30))/1000000</f>
        <v>4.125</v>
      </c>
      <c r="W83" s="38">
        <f>(1000*CHOOSE(CONTROL!$C$42, 0.1146, 0.1146)*CHOOSE(CONTROL!$C$42, 121.5, 121.5)*CHOOSE(CONTROL!$C$42, 30, 30))/1000000</f>
        <v>0.417717</v>
      </c>
      <c r="X83" s="38">
        <f>(30*0.1790888*100000/1000000)+(30*0.2374*100000/1000000)</f>
        <v>1.2494664</v>
      </c>
      <c r="Y83" s="38">
        <f>(1000*400*CHOOSE(CONTROL!$C$42, 1.988, 1.988)*CHOOSE(CONTROL!$C$42, 30, 30))/1000000</f>
        <v>23.856000000000002</v>
      </c>
      <c r="Z83" s="38"/>
      <c r="AA83" s="10"/>
      <c r="AB83" s="39"/>
      <c r="AC83" s="33">
        <f>(B83*122.58+C83*297.941+D83*89.177+E83*40.302+F83*40+G83*160+H83*0+I83*100+J83*300)/(122.58+297.941+89.177+40.302+0+40+160+100+300)</f>
        <v>5.0631818964347826</v>
      </c>
      <c r="AD83" s="27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5.047076978417266</v>
      </c>
    </row>
    <row r="84" spans="1:30" ht="15" x14ac:dyDescent="0.2">
      <c r="A84" s="16">
        <v>43800</v>
      </c>
      <c r="B84" s="10">
        <f>CHOOSE(CONTROL!$C$42, 5.4188, 5.4188) * CHOOSE(CONTROL!$C$21, $C$9, 100%, $E$9)</f>
        <v>5.4188000000000001</v>
      </c>
      <c r="C84" s="10">
        <f>CHOOSE(CONTROL!$C$42, 5.4239, 5.4239) * CHOOSE(CONTROL!$C$21, $C$9, 100%, $E$9)</f>
        <v>5.4238999999999997</v>
      </c>
      <c r="D84" s="10">
        <f>CHOOSE(CONTROL!$C$42, 5.4486, 5.4486) * CHOOSE(CONTROL!$C$21, $C$9, 100%, $E$9)</f>
        <v>5.4485999999999999</v>
      </c>
      <c r="E84" s="10">
        <f>CHOOSE(CONTROL!$C$42, 5.4824, 5.4824) * CHOOSE(CONTROL!$C$21, $C$9, 100%, $E$9)</f>
        <v>5.4824000000000002</v>
      </c>
      <c r="F84" s="10">
        <f>CHOOSE(CONTROL!$C$42, 5.3862, 5.3862)*CHOOSE(CONTROL!$C$21, $C$9, 100%, $E$9)</f>
        <v>5.3861999999999997</v>
      </c>
      <c r="G84" s="10">
        <f>CHOOSE(CONTROL!$C$42, 5.4035, 5.4035)*CHOOSE(CONTROL!$C$21, $C$9, 100%, $E$9)</f>
        <v>5.4035000000000002</v>
      </c>
      <c r="H84" s="10">
        <f>CHOOSE(CONTROL!$C$42, 5.4713, 5.4713) * CHOOSE(CONTROL!$C$21, $C$9, 100%, $E$9)</f>
        <v>5.4713000000000003</v>
      </c>
      <c r="I84" s="10">
        <f>CHOOSE(CONTROL!$C$42, 5.4183, 5.4183)* CHOOSE(CONTROL!$C$21, $C$9, 100%, $E$9)</f>
        <v>5.4183000000000003</v>
      </c>
      <c r="J84" s="10">
        <f>CHOOSE(CONTROL!$C$42, 5.3788, 5.3788)* CHOOSE(CONTROL!$C$21, $C$9, 100%, $E$9)</f>
        <v>5.3788</v>
      </c>
      <c r="K84" s="10">
        <f>CHOOSE(CONTROL!$C$42, 5.4122, 5.4122) * CHOOSE(CONTROL!$C$21, $C$9, 100%, $E$9)</f>
        <v>5.4122000000000003</v>
      </c>
      <c r="L84" s="10">
        <f>CHOOSE(CONTROL!$C$42, 6.0583, 6.0583) * CHOOSE(CONTROL!$C$21, $C$9, 100%, $E$9)</f>
        <v>6.0583</v>
      </c>
      <c r="M84" s="10">
        <f>CHOOSE(CONTROL!$C$42, 5.3423, 5.3423) * CHOOSE(CONTROL!$C$21, $C$9, 100%, $E$9)</f>
        <v>5.3422999999999998</v>
      </c>
      <c r="N84" s="10">
        <f>CHOOSE(CONTROL!$C$42, 5.3593, 5.3593) * CHOOSE(CONTROL!$C$21, $C$9, 100%, $E$9)</f>
        <v>5.3593000000000002</v>
      </c>
      <c r="O84" s="10">
        <f>CHOOSE(CONTROL!$C$42, 5.4335, 5.4335) * CHOOSE(CONTROL!$C$21, $C$9, 100%, $E$9)</f>
        <v>5.4335000000000004</v>
      </c>
      <c r="P84" s="10">
        <f>CHOOSE(CONTROL!$C$42, 5.3813, 5.3813) * CHOOSE(CONTROL!$C$21, $C$9, 100%, $E$9)</f>
        <v>5.3813000000000004</v>
      </c>
      <c r="Q84" s="10">
        <f>CHOOSE(CONTROL!$C$42, 6.0288, 6.0288) * CHOOSE(CONTROL!$C$21, $C$9, 100%, $E$9)</f>
        <v>6.0288000000000004</v>
      </c>
      <c r="R84" s="10">
        <f>CHOOSE(CONTROL!$C$42, 6.6309, 6.6309) * CHOOSE(CONTROL!$C$21, $C$9, 100%, $E$9)</f>
        <v>6.6308999999999996</v>
      </c>
      <c r="S84" s="10">
        <f>CHOOSE(CONTROL!$C$42, 5.2637, 5.2637) * CHOOSE(CONTROL!$C$21, $C$9, 100%, $E$9)</f>
        <v>5.2637</v>
      </c>
      <c r="T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38">
        <f>(1000*CHOOSE(CONTROL!$C$42, 695, 695)*CHOOSE(CONTROL!$C$42, 0.5599, 0.5599)*CHOOSE(CONTROL!$C$42, 31, 31))/1000000</f>
        <v>12.063045499999998</v>
      </c>
      <c r="V84" s="38">
        <f>(1000*CHOOSE(CONTROL!$C$42, 500, 500)*CHOOSE(CONTROL!$C$42, 0.275, 0.275)*CHOOSE(CONTROL!$C$42, 31, 31))/1000000</f>
        <v>4.2625000000000002</v>
      </c>
      <c r="W84" s="38">
        <f>(1000*CHOOSE(CONTROL!$C$42, 0.1146, 0.1146)*CHOOSE(CONTROL!$C$42, 121.5, 121.5)*CHOOSE(CONTROL!$C$42, 31, 31))/1000000</f>
        <v>0.43164089999999994</v>
      </c>
      <c r="X84" s="38">
        <f>(31*0.1790888*100000/1000000)+(31*0.2374*100000/1000000)</f>
        <v>1.2911152800000001</v>
      </c>
      <c r="Y84" s="38">
        <f>(1000*400*CHOOSE(CONTROL!$C$42, 1.988, 1.988)*CHOOSE(CONTROL!$C$42, 31, 31))/1000000</f>
        <v>24.651199999999999</v>
      </c>
      <c r="Z84" s="38"/>
      <c r="AA84" s="10"/>
      <c r="AB84" s="39"/>
      <c r="AC84" s="33">
        <f>(B84*122.58+C84*297.941+D84*89.177+E84*40.302+F84*40+G84*160+H84*0+I84*100+J84*300)/(122.58+297.941+89.177+40.302+0+40+160+100+300)</f>
        <v>5.4109201573043473</v>
      </c>
      <c r="AD84" s="27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5.3902251798561158</v>
      </c>
    </row>
    <row r="85" spans="1:30" ht="15" x14ac:dyDescent="0.2">
      <c r="A85" s="16">
        <v>43831</v>
      </c>
      <c r="B85" s="10">
        <f>CHOOSE(CONTROL!$C$42, 5.8099, 5.8099) * CHOOSE(CONTROL!$C$21, $C$9, 100%, $E$9)</f>
        <v>5.8098999999999998</v>
      </c>
      <c r="C85" s="10">
        <f>CHOOSE(CONTROL!$C$42, 5.815, 5.815) * CHOOSE(CONTROL!$C$21, $C$9, 100%, $E$9)</f>
        <v>5.8150000000000004</v>
      </c>
      <c r="D85" s="10">
        <f>CHOOSE(CONTROL!$C$42, 5.85, 5.85) * CHOOSE(CONTROL!$C$21, $C$9, 100%, $E$9)</f>
        <v>5.85</v>
      </c>
      <c r="E85" s="10">
        <f>CHOOSE(CONTROL!$C$42, 5.8838, 5.8838) * CHOOSE(CONTROL!$C$21, $C$9, 100%, $E$9)</f>
        <v>5.8837999999999999</v>
      </c>
      <c r="F85" s="10">
        <f>CHOOSE(CONTROL!$C$42, 5.7912, 5.7912)*CHOOSE(CONTROL!$C$21, $C$9, 100%, $E$9)</f>
        <v>5.7911999999999999</v>
      </c>
      <c r="G85" s="10">
        <f>CHOOSE(CONTROL!$C$42, 5.8101, 5.8101)*CHOOSE(CONTROL!$C$21, $C$9, 100%, $E$9)</f>
        <v>5.8101000000000003</v>
      </c>
      <c r="H85" s="10">
        <f>CHOOSE(CONTROL!$C$42, 5.8727, 5.8727) * CHOOSE(CONTROL!$C$21, $C$9, 100%, $E$9)</f>
        <v>5.8727</v>
      </c>
      <c r="I85" s="10">
        <f>CHOOSE(CONTROL!$C$42, 5.8171, 5.8171)* CHOOSE(CONTROL!$C$21, $C$9, 100%, $E$9)</f>
        <v>5.8170999999999999</v>
      </c>
      <c r="J85" s="10">
        <f>CHOOSE(CONTROL!$C$42, 5.7838, 5.7838)* CHOOSE(CONTROL!$C$21, $C$9, 100%, $E$9)</f>
        <v>5.7838000000000003</v>
      </c>
      <c r="K85" s="10">
        <f>CHOOSE(CONTROL!$C$42, 5.8119, 5.8119) * CHOOSE(CONTROL!$C$21, $C$9, 100%, $E$9)</f>
        <v>5.8118999999999996</v>
      </c>
      <c r="L85" s="10">
        <f>CHOOSE(CONTROL!$C$42, 6.4597, 6.4597) * CHOOSE(CONTROL!$C$21, $C$9, 100%, $E$9)</f>
        <v>6.4596999999999998</v>
      </c>
      <c r="M85" s="10">
        <f>CHOOSE(CONTROL!$C$42, 5.7419, 5.7419) * CHOOSE(CONTROL!$C$21, $C$9, 100%, $E$9)</f>
        <v>5.7419000000000002</v>
      </c>
      <c r="N85" s="10">
        <f>CHOOSE(CONTROL!$C$42, 5.7606, 5.7606) * CHOOSE(CONTROL!$C$21, $C$9, 100%, $E$9)</f>
        <v>5.7606000000000002</v>
      </c>
      <c r="O85" s="10">
        <f>CHOOSE(CONTROL!$C$42, 5.8297, 5.8297) * CHOOSE(CONTROL!$C$21, $C$9, 100%, $E$9)</f>
        <v>5.8296999999999999</v>
      </c>
      <c r="P85" s="10">
        <f>CHOOSE(CONTROL!$C$42, 5.7749, 5.7749) * CHOOSE(CONTROL!$C$21, $C$9, 100%, $E$9)</f>
        <v>5.7748999999999997</v>
      </c>
      <c r="Q85" s="10">
        <f>CHOOSE(CONTROL!$C$42, 6.425, 6.425) * CHOOSE(CONTROL!$C$21, $C$9, 100%, $E$9)</f>
        <v>6.4249999999999998</v>
      </c>
      <c r="R85" s="10">
        <f>CHOOSE(CONTROL!$C$42, 7.0281, 7.0281) * CHOOSE(CONTROL!$C$21, $C$9, 100%, $E$9)</f>
        <v>7.0281000000000002</v>
      </c>
      <c r="S85" s="10">
        <f>CHOOSE(CONTROL!$C$42, 5.6424, 5.6424) * CHOOSE(CONTROL!$C$21, $C$9, 100%, $E$9)</f>
        <v>5.6424000000000003</v>
      </c>
      <c r="T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38">
        <f>(1000*CHOOSE(CONTROL!$C$42, 695, 695)*CHOOSE(CONTROL!$C$42, 0.5599, 0.5599)*CHOOSE(CONTROL!$C$42, 31, 31))/1000000</f>
        <v>12.063045499999998</v>
      </c>
      <c r="V85" s="38">
        <f>(1000*CHOOSE(CONTROL!$C$42, 500, 500)*CHOOSE(CONTROL!$C$42, 0.275, 0.275)*CHOOSE(CONTROL!$C$42, 31, 31))/1000000</f>
        <v>4.2625000000000002</v>
      </c>
      <c r="W85" s="38">
        <f>(1000*CHOOSE(CONTROL!$C$42, 0.1146, 0.1146)*CHOOSE(CONTROL!$C$42, 121.5, 121.5)*CHOOSE(CONTROL!$C$42, 31, 31))/1000000</f>
        <v>0.43164089999999994</v>
      </c>
      <c r="X85" s="38">
        <f>(31*0.1790888*100000/1000000)+(31*0.2374*100000/1000000)</f>
        <v>1.2911152800000001</v>
      </c>
      <c r="Y85" s="38">
        <f>(1000*400*CHOOSE(CONTROL!$C$42, 1.7863, 1.7863)*CHOOSE(CONTROL!$C$42, 31, 31))/1000000</f>
        <v>22.150120000000001</v>
      </c>
      <c r="Z85" s="38"/>
      <c r="AA85" s="10"/>
      <c r="AB85" s="39"/>
      <c r="AC85" s="33">
        <f>(B85*122.58+C85*297.941+D85*89.177+E85*40.302+F85*40+G85*160+H85*0+I85*100+J85*300)/(122.58+297.941+89.177+40.302+0+40+160+100+300)</f>
        <v>5.8101154909565214</v>
      </c>
      <c r="AD85" s="27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5.7875187050359713</v>
      </c>
    </row>
    <row r="86" spans="1:30" ht="15" x14ac:dyDescent="0.2">
      <c r="A86" s="16">
        <v>43862</v>
      </c>
      <c r="B86" s="10">
        <f>CHOOSE(CONTROL!$C$42, 5.9136, 5.9136) * CHOOSE(CONTROL!$C$21, $C$9, 100%, $E$9)</f>
        <v>5.9135999999999997</v>
      </c>
      <c r="C86" s="10">
        <f>CHOOSE(CONTROL!$C$42, 5.9187, 5.9187) * CHOOSE(CONTROL!$C$21, $C$9, 100%, $E$9)</f>
        <v>5.9187000000000003</v>
      </c>
      <c r="D86" s="10">
        <f>CHOOSE(CONTROL!$C$42, 5.9537, 5.9537) * CHOOSE(CONTROL!$C$21, $C$9, 100%, $E$9)</f>
        <v>5.9537000000000004</v>
      </c>
      <c r="E86" s="10">
        <f>CHOOSE(CONTROL!$C$42, 5.9875, 5.9875) * CHOOSE(CONTROL!$C$21, $C$9, 100%, $E$9)</f>
        <v>5.9874999999999998</v>
      </c>
      <c r="F86" s="10">
        <f>CHOOSE(CONTROL!$C$42, 5.8944, 5.8944)*CHOOSE(CONTROL!$C$21, $C$9, 100%, $E$9)</f>
        <v>5.8944000000000001</v>
      </c>
      <c r="G86" s="10">
        <f>CHOOSE(CONTROL!$C$42, 5.9131, 5.9131)*CHOOSE(CONTROL!$C$21, $C$9, 100%, $E$9)</f>
        <v>5.9131</v>
      </c>
      <c r="H86" s="10">
        <f>CHOOSE(CONTROL!$C$42, 5.9764, 5.9764) * CHOOSE(CONTROL!$C$21, $C$9, 100%, $E$9)</f>
        <v>5.9763999999999999</v>
      </c>
      <c r="I86" s="10">
        <f>CHOOSE(CONTROL!$C$42, 5.9208, 5.9208)* CHOOSE(CONTROL!$C$21, $C$9, 100%, $E$9)</f>
        <v>5.9207999999999998</v>
      </c>
      <c r="J86" s="10">
        <f>CHOOSE(CONTROL!$C$42, 5.887, 5.887)* CHOOSE(CONTROL!$C$21, $C$9, 100%, $E$9)</f>
        <v>5.8869999999999996</v>
      </c>
      <c r="K86" s="10">
        <f>CHOOSE(CONTROL!$C$42, 5.9112, 5.9112) * CHOOSE(CONTROL!$C$21, $C$9, 100%, $E$9)</f>
        <v>5.9112</v>
      </c>
      <c r="L86" s="10">
        <f>CHOOSE(CONTROL!$C$42, 6.5634, 6.5634) * CHOOSE(CONTROL!$C$21, $C$9, 100%, $E$9)</f>
        <v>6.5633999999999997</v>
      </c>
      <c r="M86" s="10">
        <f>CHOOSE(CONTROL!$C$42, 5.8438, 5.8438) * CHOOSE(CONTROL!$C$21, $C$9, 100%, $E$9)</f>
        <v>5.8437999999999999</v>
      </c>
      <c r="N86" s="10">
        <f>CHOOSE(CONTROL!$C$42, 5.8623, 5.8623) * CHOOSE(CONTROL!$C$21, $C$9, 100%, $E$9)</f>
        <v>5.8623000000000003</v>
      </c>
      <c r="O86" s="10">
        <f>CHOOSE(CONTROL!$C$42, 5.9321, 5.9321) * CHOOSE(CONTROL!$C$21, $C$9, 100%, $E$9)</f>
        <v>5.9321000000000002</v>
      </c>
      <c r="P86" s="10">
        <f>CHOOSE(CONTROL!$C$42, 5.8773, 5.8773) * CHOOSE(CONTROL!$C$21, $C$9, 100%, $E$9)</f>
        <v>5.8773</v>
      </c>
      <c r="Q86" s="10">
        <f>CHOOSE(CONTROL!$C$42, 6.5274, 6.5274) * CHOOSE(CONTROL!$C$21, $C$9, 100%, $E$9)</f>
        <v>6.5274000000000001</v>
      </c>
      <c r="R86" s="10">
        <f>CHOOSE(CONTROL!$C$42, 7.1307, 7.1307) * CHOOSE(CONTROL!$C$21, $C$9, 100%, $E$9)</f>
        <v>7.1307</v>
      </c>
      <c r="S86" s="10">
        <f>CHOOSE(CONTROL!$C$42, 5.7428, 5.7428) * CHOOSE(CONTROL!$C$21, $C$9, 100%, $E$9)</f>
        <v>5.7427999999999999</v>
      </c>
      <c r="T8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" s="38">
        <f>(1000*CHOOSE(CONTROL!$C$42, 695, 695)*CHOOSE(CONTROL!$C$42, 0.5599, 0.5599)*CHOOSE(CONTROL!$C$42, 29, 29))/1000000</f>
        <v>11.284784499999999</v>
      </c>
      <c r="V86" s="38">
        <f>(1000*CHOOSE(CONTROL!$C$42, 500, 500)*CHOOSE(CONTROL!$C$42, 0.275, 0.275)*CHOOSE(CONTROL!$C$42, 29, 29))/1000000</f>
        <v>3.9874999999999998</v>
      </c>
      <c r="W86" s="38">
        <f>(1000*CHOOSE(CONTROL!$C$42, 0.1146, 0.1146)*CHOOSE(CONTROL!$C$42, 121.5, 121.5)*CHOOSE(CONTROL!$C$42, 29, 29))/1000000</f>
        <v>0.40379309999999996</v>
      </c>
      <c r="X86" s="38">
        <f>(29*0.1790888*100000/1000000)+(29*0.2374*100000/1000000)</f>
        <v>1.2078175199999999</v>
      </c>
      <c r="Y86" s="38">
        <f>(1000*400*CHOOSE(CONTROL!$C$42, 1.7863, 1.7863)*CHOOSE(CONTROL!$C$42, 29, 29))/1000000</f>
        <v>20.721080000000001</v>
      </c>
      <c r="Z86" s="38"/>
      <c r="AA86" s="10"/>
      <c r="AB86" s="39"/>
      <c r="AC86" s="33">
        <f>(B86*122.58+C86*297.941+D86*89.177+E86*40.302+F86*40+G86*160+H86*0+I86*100+J86*300)/(122.58+297.941+89.177+40.302+0+40+160+100+300)</f>
        <v>5.9135702735652167</v>
      </c>
      <c r="AD86" s="27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5.8897057553956831</v>
      </c>
    </row>
    <row r="87" spans="1:30" ht="15" x14ac:dyDescent="0.2">
      <c r="A87" s="16">
        <v>43891</v>
      </c>
      <c r="B87" s="10">
        <f>CHOOSE(CONTROL!$C$42, 5.7452, 5.7452) * CHOOSE(CONTROL!$C$21, $C$9, 100%, $E$9)</f>
        <v>5.7451999999999996</v>
      </c>
      <c r="C87" s="10">
        <f>CHOOSE(CONTROL!$C$42, 5.7503, 5.7503) * CHOOSE(CONTROL!$C$21, $C$9, 100%, $E$9)</f>
        <v>5.7503000000000002</v>
      </c>
      <c r="D87" s="10">
        <f>CHOOSE(CONTROL!$C$42, 5.7854, 5.7854) * CHOOSE(CONTROL!$C$21, $C$9, 100%, $E$9)</f>
        <v>5.7854000000000001</v>
      </c>
      <c r="E87" s="10">
        <f>CHOOSE(CONTROL!$C$42, 5.8192, 5.8192) * CHOOSE(CONTROL!$C$21, $C$9, 100%, $E$9)</f>
        <v>5.8192000000000004</v>
      </c>
      <c r="F87" s="10">
        <f>CHOOSE(CONTROL!$C$42, 5.7246, 5.7246)*CHOOSE(CONTROL!$C$21, $C$9, 100%, $E$9)</f>
        <v>5.7245999999999997</v>
      </c>
      <c r="G87" s="10">
        <f>CHOOSE(CONTROL!$C$42, 5.743, 5.743)*CHOOSE(CONTROL!$C$21, $C$9, 100%, $E$9)</f>
        <v>5.7430000000000003</v>
      </c>
      <c r="H87" s="10">
        <f>CHOOSE(CONTROL!$C$42, 5.808, 5.808) * CHOOSE(CONTROL!$C$21, $C$9, 100%, $E$9)</f>
        <v>5.8079999999999998</v>
      </c>
      <c r="I87" s="10">
        <f>CHOOSE(CONTROL!$C$42, 5.7525, 5.7525)* CHOOSE(CONTROL!$C$21, $C$9, 100%, $E$9)</f>
        <v>5.7525000000000004</v>
      </c>
      <c r="J87" s="10">
        <f>CHOOSE(CONTROL!$C$42, 5.7172, 5.7172)* CHOOSE(CONTROL!$C$21, $C$9, 100%, $E$9)</f>
        <v>5.7172000000000001</v>
      </c>
      <c r="K87" s="10">
        <f>CHOOSE(CONTROL!$C$42, 5.7451, 5.7451) * CHOOSE(CONTROL!$C$21, $C$9, 100%, $E$9)</f>
        <v>5.7450999999999999</v>
      </c>
      <c r="L87" s="10">
        <f>CHOOSE(CONTROL!$C$42, 6.395, 6.395) * CHOOSE(CONTROL!$C$21, $C$9, 100%, $E$9)</f>
        <v>6.3949999999999996</v>
      </c>
      <c r="M87" s="10">
        <f>CHOOSE(CONTROL!$C$42, 5.6763, 5.6763) * CHOOSE(CONTROL!$C$21, $C$9, 100%, $E$9)</f>
        <v>5.6763000000000003</v>
      </c>
      <c r="N87" s="10">
        <f>CHOOSE(CONTROL!$C$42, 5.6944, 5.6944) * CHOOSE(CONTROL!$C$21, $C$9, 100%, $E$9)</f>
        <v>5.6943999999999999</v>
      </c>
      <c r="O87" s="10">
        <f>CHOOSE(CONTROL!$C$42, 5.7659, 5.7659) * CHOOSE(CONTROL!$C$21, $C$9, 100%, $E$9)</f>
        <v>5.7659000000000002</v>
      </c>
      <c r="P87" s="10">
        <f>CHOOSE(CONTROL!$C$42, 5.7111, 5.7111) * CHOOSE(CONTROL!$C$21, $C$9, 100%, $E$9)</f>
        <v>5.7111000000000001</v>
      </c>
      <c r="Q87" s="10">
        <f>CHOOSE(CONTROL!$C$42, 6.3612, 6.3612) * CHOOSE(CONTROL!$C$21, $C$9, 100%, $E$9)</f>
        <v>6.3612000000000002</v>
      </c>
      <c r="R87" s="10">
        <f>CHOOSE(CONTROL!$C$42, 6.9641, 6.9641) * CHOOSE(CONTROL!$C$21, $C$9, 100%, $E$9)</f>
        <v>6.9641000000000002</v>
      </c>
      <c r="S87" s="10">
        <f>CHOOSE(CONTROL!$C$42, 5.5798, 5.5798) * CHOOSE(CONTROL!$C$21, $C$9, 100%, $E$9)</f>
        <v>5.5797999999999996</v>
      </c>
      <c r="T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38">
        <f>(1000*CHOOSE(CONTROL!$C$42, 695, 695)*CHOOSE(CONTROL!$C$42, 0.5599, 0.5599)*CHOOSE(CONTROL!$C$42, 31, 31))/1000000</f>
        <v>12.063045499999998</v>
      </c>
      <c r="V87" s="38">
        <f>(1000*CHOOSE(CONTROL!$C$42, 500, 500)*CHOOSE(CONTROL!$C$42, 0.275, 0.275)*CHOOSE(CONTROL!$C$42, 31, 31))/1000000</f>
        <v>4.2625000000000002</v>
      </c>
      <c r="W87" s="38">
        <f>(1000*CHOOSE(CONTROL!$C$42, 0.1146, 0.1146)*CHOOSE(CONTROL!$C$42, 121.5, 121.5)*CHOOSE(CONTROL!$C$42, 31, 31))/1000000</f>
        <v>0.43164089999999994</v>
      </c>
      <c r="X87" s="38">
        <f>(31*0.1790888*100000/1000000)+(31*0.2374*100000/1000000)</f>
        <v>1.2911152800000001</v>
      </c>
      <c r="Y87" s="38">
        <f>(1000*400*CHOOSE(CONTROL!$C$42, 1.7863, 1.7863)*CHOOSE(CONTROL!$C$42, 31, 31))/1000000</f>
        <v>22.150120000000001</v>
      </c>
      <c r="Z87" s="38"/>
      <c r="AA87" s="10"/>
      <c r="AB87" s="39"/>
      <c r="AC87" s="33">
        <f>(B87*122.58+C87*297.941+D87*89.177+E87*40.302+F87*40+G87*160+H87*0+I87*100+J87*300)/(122.58+297.941+89.177+40.302+0+40+160+100+300)</f>
        <v>5.7445397934782614</v>
      </c>
      <c r="AD87" s="27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5.722958992805756</v>
      </c>
    </row>
    <row r="88" spans="1:30" ht="15" x14ac:dyDescent="0.2">
      <c r="A88" s="16">
        <v>43922</v>
      </c>
      <c r="B88" s="10">
        <f>CHOOSE(CONTROL!$C$42, 5.7288, 5.7288) * CHOOSE(CONTROL!$C$21, $C$9, 100%, $E$9)</f>
        <v>5.7287999999999997</v>
      </c>
      <c r="C88" s="10">
        <f>CHOOSE(CONTROL!$C$42, 5.7333, 5.7333) * CHOOSE(CONTROL!$C$21, $C$9, 100%, $E$9)</f>
        <v>5.7332999999999998</v>
      </c>
      <c r="D88" s="10">
        <f>CHOOSE(CONTROL!$C$42, 5.9115, 5.9115) * CHOOSE(CONTROL!$C$21, $C$9, 100%, $E$9)</f>
        <v>5.9115000000000002</v>
      </c>
      <c r="E88" s="10">
        <f>CHOOSE(CONTROL!$C$42, 5.9433, 5.9433) * CHOOSE(CONTROL!$C$21, $C$9, 100%, $E$9)</f>
        <v>5.9432999999999998</v>
      </c>
      <c r="F88" s="10">
        <f>CHOOSE(CONTROL!$C$42, 5.6722, 5.6722)*CHOOSE(CONTROL!$C$21, $C$9, 100%, $E$9)</f>
        <v>5.6722000000000001</v>
      </c>
      <c r="G88" s="10">
        <f>CHOOSE(CONTROL!$C$42, 5.6888, 5.6888)*CHOOSE(CONTROL!$C$21, $C$9, 100%, $E$9)</f>
        <v>5.6887999999999996</v>
      </c>
      <c r="H88" s="10">
        <f>CHOOSE(CONTROL!$C$42, 5.9328, 5.9328) * CHOOSE(CONTROL!$C$21, $C$9, 100%, $E$9)</f>
        <v>5.9328000000000003</v>
      </c>
      <c r="I88" s="10">
        <f>CHOOSE(CONTROL!$C$42, 5.7048, 5.7048)* CHOOSE(CONTROL!$C$21, $C$9, 100%, $E$9)</f>
        <v>5.7047999999999996</v>
      </c>
      <c r="J88" s="10">
        <f>CHOOSE(CONTROL!$C$42, 5.6648, 5.6648)* CHOOSE(CONTROL!$C$21, $C$9, 100%, $E$9)</f>
        <v>5.6647999999999996</v>
      </c>
      <c r="K88" s="10">
        <f>CHOOSE(CONTROL!$C$42, 5.6842, 5.6842) * CHOOSE(CONTROL!$C$21, $C$9, 100%, $E$9)</f>
        <v>5.6841999999999997</v>
      </c>
      <c r="L88" s="10">
        <f>CHOOSE(CONTROL!$C$42, 6.5198, 6.5198) * CHOOSE(CONTROL!$C$21, $C$9, 100%, $E$9)</f>
        <v>6.5198</v>
      </c>
      <c r="M88" s="10">
        <f>CHOOSE(CONTROL!$C$42, 5.6245, 5.6245) * CHOOSE(CONTROL!$C$21, $C$9, 100%, $E$9)</f>
        <v>5.6245000000000003</v>
      </c>
      <c r="N88" s="10">
        <f>CHOOSE(CONTROL!$C$42, 5.6409, 5.6409) * CHOOSE(CONTROL!$C$21, $C$9, 100%, $E$9)</f>
        <v>5.6409000000000002</v>
      </c>
      <c r="O88" s="10">
        <f>CHOOSE(CONTROL!$C$42, 5.889, 5.889) * CHOOSE(CONTROL!$C$21, $C$9, 100%, $E$9)</f>
        <v>5.8890000000000002</v>
      </c>
      <c r="P88" s="10">
        <f>CHOOSE(CONTROL!$C$42, 5.664, 5.664) * CHOOSE(CONTROL!$C$21, $C$9, 100%, $E$9)</f>
        <v>5.6639999999999997</v>
      </c>
      <c r="Q88" s="10">
        <f>CHOOSE(CONTROL!$C$42, 6.4843, 6.4843) * CHOOSE(CONTROL!$C$21, $C$9, 100%, $E$9)</f>
        <v>6.4843000000000002</v>
      </c>
      <c r="R88" s="10">
        <f>CHOOSE(CONTROL!$C$42, 7.0876, 7.0876) * CHOOSE(CONTROL!$C$21, $C$9, 100%, $E$9)</f>
        <v>7.0876000000000001</v>
      </c>
      <c r="S88" s="10">
        <f>CHOOSE(CONTROL!$C$42, 5.5631, 5.5631) * CHOOSE(CONTROL!$C$21, $C$9, 100%, $E$9)</f>
        <v>5.5631000000000004</v>
      </c>
      <c r="T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38">
        <f>(1000*CHOOSE(CONTROL!$C$42, 695, 695)*CHOOSE(CONTROL!$C$42, 0.5599, 0.5599)*CHOOSE(CONTROL!$C$42, 30, 30))/1000000</f>
        <v>11.673914999999997</v>
      </c>
      <c r="V88" s="38">
        <f>(1000*CHOOSE(CONTROL!$C$42, 500, 500)*CHOOSE(CONTROL!$C$42, 0.275, 0.275)*CHOOSE(CONTROL!$C$42, 30, 30))/1000000</f>
        <v>4.125</v>
      </c>
      <c r="W88" s="38">
        <f>(1000*CHOOSE(CONTROL!$C$42, 0.1146, 0.1146)*CHOOSE(CONTROL!$C$42, 121.5, 121.5)*CHOOSE(CONTROL!$C$42, 30, 30))/1000000</f>
        <v>0.417717</v>
      </c>
      <c r="X88" s="38">
        <f>(30*0.1790888*245000/1000000)+(30*0.2374*100000/1000000)</f>
        <v>2.0285026799999999</v>
      </c>
      <c r="Y88" s="38">
        <f>(1000*400*CHOOSE(CONTROL!$C$42, 1.7863, 1.7863)*CHOOSE(CONTROL!$C$42, 30, 30))/1000000</f>
        <v>21.435600000000001</v>
      </c>
      <c r="Z88" s="38"/>
      <c r="AA88" s="10"/>
      <c r="AB88" s="39"/>
      <c r="AC88" s="33">
        <f>(B88*141.293+C88*267.993+D88*115.016+E88*89.698+F88*40+G88*185+H88*0+I88*100+J88*300)/(141.293+267.993+115.016+89.698+0+40+185+100+300)</f>
        <v>5.7370289045197733</v>
      </c>
      <c r="AD88" s="27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5.7081712230215826</v>
      </c>
    </row>
    <row r="89" spans="1:30" ht="15" x14ac:dyDescent="0.2">
      <c r="A89" s="16">
        <v>43952</v>
      </c>
      <c r="B89" s="10">
        <f>CHOOSE(CONTROL!$C$42, 5.7812, 5.7812) * CHOOSE(CONTROL!$C$21, $C$9, 100%, $E$9)</f>
        <v>5.7812000000000001</v>
      </c>
      <c r="C89" s="10">
        <f>CHOOSE(CONTROL!$C$42, 5.7892, 5.7892) * CHOOSE(CONTROL!$C$21, $C$9, 100%, $E$9)</f>
        <v>5.7892000000000001</v>
      </c>
      <c r="D89" s="10">
        <f>CHOOSE(CONTROL!$C$42, 5.9643, 5.9643) * CHOOSE(CONTROL!$C$21, $C$9, 100%, $E$9)</f>
        <v>5.9642999999999997</v>
      </c>
      <c r="E89" s="10">
        <f>CHOOSE(CONTROL!$C$42, 5.9956, 5.9956) * CHOOSE(CONTROL!$C$21, $C$9, 100%, $E$9)</f>
        <v>5.9955999999999996</v>
      </c>
      <c r="F89" s="10">
        <f>CHOOSE(CONTROL!$C$42, 5.7229, 5.7229)*CHOOSE(CONTROL!$C$21, $C$9, 100%, $E$9)</f>
        <v>5.7229000000000001</v>
      </c>
      <c r="G89" s="10">
        <f>CHOOSE(CONTROL!$C$42, 5.7398, 5.7398)*CHOOSE(CONTROL!$C$21, $C$9, 100%, $E$9)</f>
        <v>5.7397999999999998</v>
      </c>
      <c r="H89" s="10">
        <f>CHOOSE(CONTROL!$C$42, 5.9839, 5.9839) * CHOOSE(CONTROL!$C$21, $C$9, 100%, $E$9)</f>
        <v>5.9839000000000002</v>
      </c>
      <c r="I89" s="10">
        <f>CHOOSE(CONTROL!$C$42, 5.7559, 5.7559)* CHOOSE(CONTROL!$C$21, $C$9, 100%, $E$9)</f>
        <v>5.7558999999999996</v>
      </c>
      <c r="J89" s="10">
        <f>CHOOSE(CONTROL!$C$42, 5.7155, 5.7155)* CHOOSE(CONTROL!$C$21, $C$9, 100%, $E$9)</f>
        <v>5.7154999999999996</v>
      </c>
      <c r="K89" s="10">
        <f>CHOOSE(CONTROL!$C$42, 5.7328, 5.7328) * CHOOSE(CONTROL!$C$21, $C$9, 100%, $E$9)</f>
        <v>5.7328000000000001</v>
      </c>
      <c r="L89" s="10">
        <f>CHOOSE(CONTROL!$C$42, 6.5709, 6.5709) * CHOOSE(CONTROL!$C$21, $C$9, 100%, $E$9)</f>
        <v>6.5709</v>
      </c>
      <c r="M89" s="10">
        <f>CHOOSE(CONTROL!$C$42, 5.6746, 5.6746) * CHOOSE(CONTROL!$C$21, $C$9, 100%, $E$9)</f>
        <v>5.6745999999999999</v>
      </c>
      <c r="N89" s="10">
        <f>CHOOSE(CONTROL!$C$42, 5.6912, 5.6912) * CHOOSE(CONTROL!$C$21, $C$9, 100%, $E$9)</f>
        <v>5.6912000000000003</v>
      </c>
      <c r="O89" s="10">
        <f>CHOOSE(CONTROL!$C$42, 5.9395, 5.9395) * CHOOSE(CONTROL!$C$21, $C$9, 100%, $E$9)</f>
        <v>5.9394999999999998</v>
      </c>
      <c r="P89" s="10">
        <f>CHOOSE(CONTROL!$C$42, 5.7145, 5.7145) * CHOOSE(CONTROL!$C$21, $C$9, 100%, $E$9)</f>
        <v>5.7145000000000001</v>
      </c>
      <c r="Q89" s="10">
        <f>CHOOSE(CONTROL!$C$42, 6.5348, 6.5348) * CHOOSE(CONTROL!$C$21, $C$9, 100%, $E$9)</f>
        <v>6.5347999999999997</v>
      </c>
      <c r="R89" s="10">
        <f>CHOOSE(CONTROL!$C$42, 7.1381, 7.1381) * CHOOSE(CONTROL!$C$21, $C$9, 100%, $E$9)</f>
        <v>7.1380999999999997</v>
      </c>
      <c r="S89" s="10">
        <f>CHOOSE(CONTROL!$C$42, 5.6125, 5.6125) * CHOOSE(CONTROL!$C$21, $C$9, 100%, $E$9)</f>
        <v>5.6124999999999998</v>
      </c>
      <c r="T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38">
        <f>(1000*CHOOSE(CONTROL!$C$42, 695, 695)*CHOOSE(CONTROL!$C$42, 0.5599, 0.5599)*CHOOSE(CONTROL!$C$42, 31, 31))/1000000</f>
        <v>12.063045499999998</v>
      </c>
      <c r="V89" s="38">
        <f>(1000*CHOOSE(CONTROL!$C$42, 500, 500)*CHOOSE(CONTROL!$C$42, 0.275, 0.275)*CHOOSE(CONTROL!$C$42, 31, 31))/1000000</f>
        <v>4.2625000000000002</v>
      </c>
      <c r="W89" s="38">
        <f>(1000*CHOOSE(CONTROL!$C$42, 0.1146, 0.1146)*CHOOSE(CONTROL!$C$42, 121.5, 121.5)*CHOOSE(CONTROL!$C$42, 31, 31))/1000000</f>
        <v>0.43164089999999994</v>
      </c>
      <c r="X89" s="38">
        <f>(31*0.1790888*245000/1000000)+(31*0.2374*100000/1000000)</f>
        <v>2.0961194359999999</v>
      </c>
      <c r="Y89" s="38">
        <f>(1000*600*CHOOSE(CONTROL!$C$42, 1.7863, 1.7863)*CHOOSE(CONTROL!$C$42, 31, 31))/1000000</f>
        <v>33.225180000000002</v>
      </c>
      <c r="Z89" s="38"/>
      <c r="AA89" s="10"/>
      <c r="AB89" s="39"/>
      <c r="AC89" s="33">
        <f>(B89*194.205+C89*267.466+D89*133.845+E89*53.484+F89*40+G89*185+H89*0+I89*100+J89*300)/(194.205+267.466+133.845+53.484+0+40+185+100+300)</f>
        <v>5.7858175173469384</v>
      </c>
      <c r="AD89" s="27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5.7584870503597125</v>
      </c>
    </row>
    <row r="90" spans="1:30" ht="15" x14ac:dyDescent="0.2">
      <c r="A90" s="16">
        <v>43983</v>
      </c>
      <c r="B90" s="10">
        <f>CHOOSE(CONTROL!$C$42, 5.9456, 5.9456) * CHOOSE(CONTROL!$C$21, $C$9, 100%, $E$9)</f>
        <v>5.9455999999999998</v>
      </c>
      <c r="C90" s="10">
        <f>CHOOSE(CONTROL!$C$42, 5.9536, 5.9536) * CHOOSE(CONTROL!$C$21, $C$9, 100%, $E$9)</f>
        <v>5.9535999999999998</v>
      </c>
      <c r="D90" s="10">
        <f>CHOOSE(CONTROL!$C$42, 6.1287, 6.1287) * CHOOSE(CONTROL!$C$21, $C$9, 100%, $E$9)</f>
        <v>6.1287000000000003</v>
      </c>
      <c r="E90" s="10">
        <f>CHOOSE(CONTROL!$C$42, 6.1599, 6.1599) * CHOOSE(CONTROL!$C$21, $C$9, 100%, $E$9)</f>
        <v>6.1599000000000004</v>
      </c>
      <c r="F90" s="10">
        <f>CHOOSE(CONTROL!$C$42, 5.8875, 5.8875)*CHOOSE(CONTROL!$C$21, $C$9, 100%, $E$9)</f>
        <v>5.8875000000000002</v>
      </c>
      <c r="G90" s="10">
        <f>CHOOSE(CONTROL!$C$42, 5.9044, 5.9044)*CHOOSE(CONTROL!$C$21, $C$9, 100%, $E$9)</f>
        <v>5.9043999999999999</v>
      </c>
      <c r="H90" s="10">
        <f>CHOOSE(CONTROL!$C$42, 6.1483, 6.1483) * CHOOSE(CONTROL!$C$21, $C$9, 100%, $E$9)</f>
        <v>6.1482999999999999</v>
      </c>
      <c r="I90" s="10">
        <f>CHOOSE(CONTROL!$C$42, 5.9203, 5.9203)* CHOOSE(CONTROL!$C$21, $C$9, 100%, $E$9)</f>
        <v>5.9203000000000001</v>
      </c>
      <c r="J90" s="10">
        <f>CHOOSE(CONTROL!$C$42, 5.8801, 5.8801)* CHOOSE(CONTROL!$C$21, $C$9, 100%, $E$9)</f>
        <v>5.8800999999999997</v>
      </c>
      <c r="K90" s="10">
        <f>CHOOSE(CONTROL!$C$42, 5.8925, 5.8925) * CHOOSE(CONTROL!$C$21, $C$9, 100%, $E$9)</f>
        <v>5.8925000000000001</v>
      </c>
      <c r="L90" s="10">
        <f>CHOOSE(CONTROL!$C$42, 6.7353, 6.7353) * CHOOSE(CONTROL!$C$21, $C$9, 100%, $E$9)</f>
        <v>6.7352999999999996</v>
      </c>
      <c r="M90" s="10">
        <f>CHOOSE(CONTROL!$C$42, 5.837, 5.837) * CHOOSE(CONTROL!$C$21, $C$9, 100%, $E$9)</f>
        <v>5.8369999999999997</v>
      </c>
      <c r="N90" s="10">
        <f>CHOOSE(CONTROL!$C$42, 5.8537, 5.8537) * CHOOSE(CONTROL!$C$21, $C$9, 100%, $E$9)</f>
        <v>5.8536999999999999</v>
      </c>
      <c r="O90" s="10">
        <f>CHOOSE(CONTROL!$C$42, 6.1017, 6.1017) * CHOOSE(CONTROL!$C$21, $C$9, 100%, $E$9)</f>
        <v>6.1017000000000001</v>
      </c>
      <c r="P90" s="10">
        <f>CHOOSE(CONTROL!$C$42, 5.8767, 5.8767) * CHOOSE(CONTROL!$C$21, $C$9, 100%, $E$9)</f>
        <v>5.8766999999999996</v>
      </c>
      <c r="Q90" s="10">
        <f>CHOOSE(CONTROL!$C$42, 6.697, 6.697) * CHOOSE(CONTROL!$C$21, $C$9, 100%, $E$9)</f>
        <v>6.6970000000000001</v>
      </c>
      <c r="R90" s="10">
        <f>CHOOSE(CONTROL!$C$42, 7.3008, 7.3008) * CHOOSE(CONTROL!$C$21, $C$9, 100%, $E$9)</f>
        <v>7.3007999999999997</v>
      </c>
      <c r="S90" s="10">
        <f>CHOOSE(CONTROL!$C$42, 5.7717, 5.7717) * CHOOSE(CONTROL!$C$21, $C$9, 100%, $E$9)</f>
        <v>5.7717000000000001</v>
      </c>
      <c r="T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38">
        <f>(1000*CHOOSE(CONTROL!$C$42, 695, 695)*CHOOSE(CONTROL!$C$42, 0.5599, 0.5599)*CHOOSE(CONTROL!$C$42, 30, 30))/1000000</f>
        <v>11.673914999999997</v>
      </c>
      <c r="V90" s="38">
        <f>(1000*CHOOSE(CONTROL!$C$42, 500, 500)*CHOOSE(CONTROL!$C$42, 0.275, 0.275)*CHOOSE(CONTROL!$C$42, 30, 30))/1000000</f>
        <v>4.125</v>
      </c>
      <c r="W90" s="38">
        <f>(1000*CHOOSE(CONTROL!$C$42, 0.1146, 0.1146)*CHOOSE(CONTROL!$C$42, 121.5, 121.5)*CHOOSE(CONTROL!$C$42, 30, 30))/1000000</f>
        <v>0.417717</v>
      </c>
      <c r="X90" s="38">
        <f>(30*0.1790888*245000/1000000)+(30*0.2374*100000/1000000)</f>
        <v>2.0285026799999999</v>
      </c>
      <c r="Y90" s="38">
        <f>(1000*600*CHOOSE(CONTROL!$C$42, 1.7863, 1.7863)*CHOOSE(CONTROL!$C$42, 30, 30))/1000000</f>
        <v>32.153399999999998</v>
      </c>
      <c r="Z90" s="38"/>
      <c r="AA90" s="10"/>
      <c r="AB90" s="39"/>
      <c r="AC90" s="33">
        <f>(B90*194.205+C90*267.466+D90*133.845+E90*53.484+F90*40+G90*185+H90*0+I90*100+J90*300)/(194.205+267.466+133.845+53.484+0+40+185+100+300)</f>
        <v>5.950295736813187</v>
      </c>
      <c r="AD90" s="27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5.9208251798561156</v>
      </c>
    </row>
    <row r="91" spans="1:30" ht="15" x14ac:dyDescent="0.2">
      <c r="A91" s="16">
        <v>44013</v>
      </c>
      <c r="B91" s="10">
        <f>CHOOSE(CONTROL!$C$42, 5.8313, 5.8313) * CHOOSE(CONTROL!$C$21, $C$9, 100%, $E$9)</f>
        <v>5.8312999999999997</v>
      </c>
      <c r="C91" s="10">
        <f>CHOOSE(CONTROL!$C$42, 5.8393, 5.8393) * CHOOSE(CONTROL!$C$21, $C$9, 100%, $E$9)</f>
        <v>5.8392999999999997</v>
      </c>
      <c r="D91" s="10">
        <f>CHOOSE(CONTROL!$C$42, 6.0144, 6.0144) * CHOOSE(CONTROL!$C$21, $C$9, 100%, $E$9)</f>
        <v>6.0144000000000002</v>
      </c>
      <c r="E91" s="10">
        <f>CHOOSE(CONTROL!$C$42, 6.0456, 6.0456) * CHOOSE(CONTROL!$C$21, $C$9, 100%, $E$9)</f>
        <v>6.0456000000000003</v>
      </c>
      <c r="F91" s="10">
        <f>CHOOSE(CONTROL!$C$42, 5.7735, 5.7735)*CHOOSE(CONTROL!$C$21, $C$9, 100%, $E$9)</f>
        <v>5.7735000000000003</v>
      </c>
      <c r="G91" s="10">
        <f>CHOOSE(CONTROL!$C$42, 5.7905, 5.7905)*CHOOSE(CONTROL!$C$21, $C$9, 100%, $E$9)</f>
        <v>5.7904999999999998</v>
      </c>
      <c r="H91" s="10">
        <f>CHOOSE(CONTROL!$C$42, 6.0339, 6.0339) * CHOOSE(CONTROL!$C$21, $C$9, 100%, $E$9)</f>
        <v>6.0339</v>
      </c>
      <c r="I91" s="10">
        <f>CHOOSE(CONTROL!$C$42, 5.8059, 5.8059)* CHOOSE(CONTROL!$C$21, $C$9, 100%, $E$9)</f>
        <v>5.8059000000000003</v>
      </c>
      <c r="J91" s="10">
        <f>CHOOSE(CONTROL!$C$42, 5.7661, 5.7661)* CHOOSE(CONTROL!$C$21, $C$9, 100%, $E$9)</f>
        <v>5.7660999999999998</v>
      </c>
      <c r="K91" s="10">
        <f>CHOOSE(CONTROL!$C$42, 5.7824, 5.7824) * CHOOSE(CONTROL!$C$21, $C$9, 100%, $E$9)</f>
        <v>5.7824</v>
      </c>
      <c r="L91" s="10">
        <f>CHOOSE(CONTROL!$C$42, 6.6209, 6.6209) * CHOOSE(CONTROL!$C$21, $C$9, 100%, $E$9)</f>
        <v>6.6208999999999998</v>
      </c>
      <c r="M91" s="10">
        <f>CHOOSE(CONTROL!$C$42, 5.7245, 5.7245) * CHOOSE(CONTROL!$C$21, $C$9, 100%, $E$9)</f>
        <v>5.7244999999999999</v>
      </c>
      <c r="N91" s="10">
        <f>CHOOSE(CONTROL!$C$42, 5.7413, 5.7413) * CHOOSE(CONTROL!$C$21, $C$9, 100%, $E$9)</f>
        <v>5.7412999999999998</v>
      </c>
      <c r="O91" s="10">
        <f>CHOOSE(CONTROL!$C$42, 5.9889, 5.9889) * CHOOSE(CONTROL!$C$21, $C$9, 100%, $E$9)</f>
        <v>5.9889000000000001</v>
      </c>
      <c r="P91" s="10">
        <f>CHOOSE(CONTROL!$C$42, 5.7639, 5.7639) * CHOOSE(CONTROL!$C$21, $C$9, 100%, $E$9)</f>
        <v>5.7638999999999996</v>
      </c>
      <c r="Q91" s="10">
        <f>CHOOSE(CONTROL!$C$42, 6.5842, 6.5842) * CHOOSE(CONTROL!$C$21, $C$9, 100%, $E$9)</f>
        <v>6.5842000000000001</v>
      </c>
      <c r="R91" s="10">
        <f>CHOOSE(CONTROL!$C$42, 7.1876, 7.1876) * CHOOSE(CONTROL!$C$21, $C$9, 100%, $E$9)</f>
        <v>7.1875999999999998</v>
      </c>
      <c r="S91" s="10">
        <f>CHOOSE(CONTROL!$C$42, 5.661, 5.661) * CHOOSE(CONTROL!$C$21, $C$9, 100%, $E$9)</f>
        <v>5.6609999999999996</v>
      </c>
      <c r="T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38">
        <f>(1000*CHOOSE(CONTROL!$C$42, 695, 695)*CHOOSE(CONTROL!$C$42, 0.5599, 0.5599)*CHOOSE(CONTROL!$C$42, 31, 31))/1000000</f>
        <v>12.063045499999998</v>
      </c>
      <c r="V91" s="38">
        <f>(1000*CHOOSE(CONTROL!$C$42, 500, 500)*CHOOSE(CONTROL!$C$42, 0.275, 0.275)*CHOOSE(CONTROL!$C$42, 31, 31))/1000000</f>
        <v>4.2625000000000002</v>
      </c>
      <c r="W91" s="38">
        <f>(1000*CHOOSE(CONTROL!$C$42, 0.1146, 0.1146)*CHOOSE(CONTROL!$C$42, 121.5, 121.5)*CHOOSE(CONTROL!$C$42, 31, 31))/1000000</f>
        <v>0.43164089999999994</v>
      </c>
      <c r="X91" s="38">
        <f>(31*0.1790888*245000/1000000)+(31*0.2374*100000/1000000)</f>
        <v>2.0961194359999999</v>
      </c>
      <c r="Y91" s="38">
        <f>(1000*600*CHOOSE(CONTROL!$C$42, 1.7863, 1.7863)*CHOOSE(CONTROL!$C$42, 31, 31))/1000000</f>
        <v>33.225180000000002</v>
      </c>
      <c r="Z91" s="38"/>
      <c r="AA91" s="10"/>
      <c r="AB91" s="39"/>
      <c r="AC91" s="33">
        <f>(B91*194.205+C91*267.466+D91*133.845+E91*53.484+F91*40+G91*185+H91*0+I91*100+J91*300)/(194.205+267.466+133.845+53.484+0+40+185+100+300)</f>
        <v>5.8361260350863429</v>
      </c>
      <c r="AD91" s="27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5.8082208633093515</v>
      </c>
    </row>
    <row r="92" spans="1:30" ht="15" x14ac:dyDescent="0.2">
      <c r="A92" s="16">
        <v>44044</v>
      </c>
      <c r="B92" s="10">
        <f>CHOOSE(CONTROL!$C$42, 5.5425, 5.5425) * CHOOSE(CONTROL!$C$21, $C$9, 100%, $E$9)</f>
        <v>5.5425000000000004</v>
      </c>
      <c r="C92" s="10">
        <f>CHOOSE(CONTROL!$C$42, 5.5505, 5.5505) * CHOOSE(CONTROL!$C$21, $C$9, 100%, $E$9)</f>
        <v>5.5505000000000004</v>
      </c>
      <c r="D92" s="10">
        <f>CHOOSE(CONTROL!$C$42, 5.7257, 5.7257) * CHOOSE(CONTROL!$C$21, $C$9, 100%, $E$9)</f>
        <v>5.7256999999999998</v>
      </c>
      <c r="E92" s="10">
        <f>CHOOSE(CONTROL!$C$42, 5.7569, 5.7569) * CHOOSE(CONTROL!$C$21, $C$9, 100%, $E$9)</f>
        <v>5.7568999999999999</v>
      </c>
      <c r="F92" s="10">
        <f>CHOOSE(CONTROL!$C$42, 5.4847, 5.4847)*CHOOSE(CONTROL!$C$21, $C$9, 100%, $E$9)</f>
        <v>5.4847000000000001</v>
      </c>
      <c r="G92" s="10">
        <f>CHOOSE(CONTROL!$C$42, 5.5017, 5.5017)*CHOOSE(CONTROL!$C$21, $C$9, 100%, $E$9)</f>
        <v>5.5016999999999996</v>
      </c>
      <c r="H92" s="10">
        <f>CHOOSE(CONTROL!$C$42, 5.7452, 5.7452) * CHOOSE(CONTROL!$C$21, $C$9, 100%, $E$9)</f>
        <v>5.7451999999999996</v>
      </c>
      <c r="I92" s="10">
        <f>CHOOSE(CONTROL!$C$42, 5.5172, 5.5172)* CHOOSE(CONTROL!$C$21, $C$9, 100%, $E$9)</f>
        <v>5.5171999999999999</v>
      </c>
      <c r="J92" s="10">
        <f>CHOOSE(CONTROL!$C$42, 5.4773, 5.4773)* CHOOSE(CONTROL!$C$21, $C$9, 100%, $E$9)</f>
        <v>5.4772999999999996</v>
      </c>
      <c r="K92" s="10">
        <f>CHOOSE(CONTROL!$C$42, 5.5025, 5.5025) * CHOOSE(CONTROL!$C$21, $C$9, 100%, $E$9)</f>
        <v>5.5025000000000004</v>
      </c>
      <c r="L92" s="10">
        <f>CHOOSE(CONTROL!$C$42, 6.3322, 6.3322) * CHOOSE(CONTROL!$C$21, $C$9, 100%, $E$9)</f>
        <v>6.3322000000000003</v>
      </c>
      <c r="M92" s="10">
        <f>CHOOSE(CONTROL!$C$42, 5.4394, 5.4394) * CHOOSE(CONTROL!$C$21, $C$9, 100%, $E$9)</f>
        <v>5.4394</v>
      </c>
      <c r="N92" s="10">
        <f>CHOOSE(CONTROL!$C$42, 5.4562, 5.4562) * CHOOSE(CONTROL!$C$21, $C$9, 100%, $E$9)</f>
        <v>5.4561999999999999</v>
      </c>
      <c r="O92" s="10">
        <f>CHOOSE(CONTROL!$C$42, 5.7039, 5.7039) * CHOOSE(CONTROL!$C$21, $C$9, 100%, $E$9)</f>
        <v>5.7039</v>
      </c>
      <c r="P92" s="10">
        <f>CHOOSE(CONTROL!$C$42, 5.4789, 5.4789) * CHOOSE(CONTROL!$C$21, $C$9, 100%, $E$9)</f>
        <v>5.4789000000000003</v>
      </c>
      <c r="Q92" s="10">
        <f>CHOOSE(CONTROL!$C$42, 6.2992, 6.2992) * CHOOSE(CONTROL!$C$21, $C$9, 100%, $E$9)</f>
        <v>6.2991999999999999</v>
      </c>
      <c r="R92" s="10">
        <f>CHOOSE(CONTROL!$C$42, 6.9019, 6.9019) * CHOOSE(CONTROL!$C$21, $C$9, 100%, $E$9)</f>
        <v>6.9019000000000004</v>
      </c>
      <c r="S92" s="10">
        <f>CHOOSE(CONTROL!$C$42, 5.3814, 5.3814) * CHOOSE(CONTROL!$C$21, $C$9, 100%, $E$9)</f>
        <v>5.3814000000000002</v>
      </c>
      <c r="T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38">
        <f>(1000*CHOOSE(CONTROL!$C$42, 695, 695)*CHOOSE(CONTROL!$C$42, 0.5599, 0.5599)*CHOOSE(CONTROL!$C$42, 31, 31))/1000000</f>
        <v>12.063045499999998</v>
      </c>
      <c r="V92" s="38">
        <f>(1000*CHOOSE(CONTROL!$C$42, 500, 500)*CHOOSE(CONTROL!$C$42, 0.275, 0.275)*CHOOSE(CONTROL!$C$42, 31, 31))/1000000</f>
        <v>4.2625000000000002</v>
      </c>
      <c r="W92" s="38">
        <f>(1000*CHOOSE(CONTROL!$C$42, 0.1146, 0.1146)*CHOOSE(CONTROL!$C$42, 121.5, 121.5)*CHOOSE(CONTROL!$C$42, 31, 31))/1000000</f>
        <v>0.43164089999999994</v>
      </c>
      <c r="X92" s="38">
        <f>(31*0.1790888*245000/1000000)+(31*0.2374*100000/1000000)</f>
        <v>2.0961194359999999</v>
      </c>
      <c r="Y92" s="38">
        <f>(1000*600*CHOOSE(CONTROL!$C$42, 1.7863, 1.7863)*CHOOSE(CONTROL!$C$42, 31, 31))/1000000</f>
        <v>33.225180000000002</v>
      </c>
      <c r="Z92" s="38"/>
      <c r="AA92" s="10"/>
      <c r="AB92" s="39"/>
      <c r="AC92" s="33">
        <f>(B92*194.205+C92*267.466+D92*133.845+E92*53.484+F92*40+G92*185+H92*0+I92*100+J92*300)/(194.205+267.466+133.845+53.484+0+40+185+100+300)</f>
        <v>5.5473485883830458</v>
      </c>
      <c r="AD92" s="27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5.5231633093525172</v>
      </c>
    </row>
    <row r="93" spans="1:30" ht="15" x14ac:dyDescent="0.2">
      <c r="A93" s="16">
        <v>44075</v>
      </c>
      <c r="B93" s="10">
        <f>CHOOSE(CONTROL!$C$42, 5.1898, 5.1898) * CHOOSE(CONTROL!$C$21, $C$9, 100%, $E$9)</f>
        <v>5.1898</v>
      </c>
      <c r="C93" s="10">
        <f>CHOOSE(CONTROL!$C$42, 5.1978, 5.1978) * CHOOSE(CONTROL!$C$21, $C$9, 100%, $E$9)</f>
        <v>5.1978</v>
      </c>
      <c r="D93" s="10">
        <f>CHOOSE(CONTROL!$C$42, 5.3729, 5.3729) * CHOOSE(CONTROL!$C$21, $C$9, 100%, $E$9)</f>
        <v>5.3728999999999996</v>
      </c>
      <c r="E93" s="10">
        <f>CHOOSE(CONTROL!$C$42, 5.4041, 5.4041) * CHOOSE(CONTROL!$C$21, $C$9, 100%, $E$9)</f>
        <v>5.4040999999999997</v>
      </c>
      <c r="F93" s="10">
        <f>CHOOSE(CONTROL!$C$42, 5.1316, 5.1316)*CHOOSE(CONTROL!$C$21, $C$9, 100%, $E$9)</f>
        <v>5.1315999999999997</v>
      </c>
      <c r="G93" s="10">
        <f>CHOOSE(CONTROL!$C$42, 5.1485, 5.1485)*CHOOSE(CONTROL!$C$21, $C$9, 100%, $E$9)</f>
        <v>5.1485000000000003</v>
      </c>
      <c r="H93" s="10">
        <f>CHOOSE(CONTROL!$C$42, 5.3925, 5.3925) * CHOOSE(CONTROL!$C$21, $C$9, 100%, $E$9)</f>
        <v>5.3925000000000001</v>
      </c>
      <c r="I93" s="10">
        <f>CHOOSE(CONTROL!$C$42, 5.1644, 5.1644)* CHOOSE(CONTROL!$C$21, $C$9, 100%, $E$9)</f>
        <v>5.1643999999999997</v>
      </c>
      <c r="J93" s="10">
        <f>CHOOSE(CONTROL!$C$42, 5.1242, 5.1242)* CHOOSE(CONTROL!$C$21, $C$9, 100%, $E$9)</f>
        <v>5.1242000000000001</v>
      </c>
      <c r="K93" s="10">
        <f>CHOOSE(CONTROL!$C$42, 5.1601, 5.1601) * CHOOSE(CONTROL!$C$21, $C$9, 100%, $E$9)</f>
        <v>5.1600999999999999</v>
      </c>
      <c r="L93" s="10">
        <f>CHOOSE(CONTROL!$C$42, 5.9795, 5.9795) * CHOOSE(CONTROL!$C$21, $C$9, 100%, $E$9)</f>
        <v>5.9794999999999998</v>
      </c>
      <c r="M93" s="10">
        <f>CHOOSE(CONTROL!$C$42, 5.0909, 5.0909) * CHOOSE(CONTROL!$C$21, $C$9, 100%, $E$9)</f>
        <v>5.0909000000000004</v>
      </c>
      <c r="N93" s="10">
        <f>CHOOSE(CONTROL!$C$42, 5.1076, 5.1076) * CHOOSE(CONTROL!$C$21, $C$9, 100%, $E$9)</f>
        <v>5.1075999999999997</v>
      </c>
      <c r="O93" s="10">
        <f>CHOOSE(CONTROL!$C$42, 5.3557, 5.3557) * CHOOSE(CONTROL!$C$21, $C$9, 100%, $E$9)</f>
        <v>5.3556999999999997</v>
      </c>
      <c r="P93" s="10">
        <f>CHOOSE(CONTROL!$C$42, 5.1307, 5.1307) * CHOOSE(CONTROL!$C$21, $C$9, 100%, $E$9)</f>
        <v>5.1307</v>
      </c>
      <c r="Q93" s="10">
        <f>CHOOSE(CONTROL!$C$42, 5.951, 5.951) * CHOOSE(CONTROL!$C$21, $C$9, 100%, $E$9)</f>
        <v>5.9509999999999996</v>
      </c>
      <c r="R93" s="10">
        <f>CHOOSE(CONTROL!$C$42, 6.5529, 6.5529) * CHOOSE(CONTROL!$C$21, $C$9, 100%, $E$9)</f>
        <v>6.5529000000000002</v>
      </c>
      <c r="S93" s="10">
        <f>CHOOSE(CONTROL!$C$42, 5.0399, 5.0399) * CHOOSE(CONTROL!$C$21, $C$9, 100%, $E$9)</f>
        <v>5.0399000000000003</v>
      </c>
      <c r="T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38">
        <f>(1000*CHOOSE(CONTROL!$C$42, 695, 695)*CHOOSE(CONTROL!$C$42, 0.5599, 0.5599)*CHOOSE(CONTROL!$C$42, 30, 30))/1000000</f>
        <v>11.673914999999997</v>
      </c>
      <c r="V93" s="38">
        <f>(1000*CHOOSE(CONTROL!$C$42, 500, 500)*CHOOSE(CONTROL!$C$42, 0.275, 0.275)*CHOOSE(CONTROL!$C$42, 30, 30))/1000000</f>
        <v>4.125</v>
      </c>
      <c r="W93" s="38">
        <f>(1000*CHOOSE(CONTROL!$C$42, 0.1146, 0.1146)*CHOOSE(CONTROL!$C$42, 121.5, 121.5)*CHOOSE(CONTROL!$C$42, 30, 30))/1000000</f>
        <v>0.417717</v>
      </c>
      <c r="X93" s="38">
        <f>(30*0.1790888*245000/1000000)+(30*0.2374*100000/1000000)</f>
        <v>2.0285026799999999</v>
      </c>
      <c r="Y93" s="38">
        <f>(1000*600*CHOOSE(CONTROL!$C$42, 1.7863, 1.7863)*CHOOSE(CONTROL!$C$42, 30, 30))/1000000</f>
        <v>32.153399999999998</v>
      </c>
      <c r="Z93" s="38"/>
      <c r="AA93" s="10"/>
      <c r="AB93" s="39"/>
      <c r="AC93" s="33">
        <f>(B93*194.205+C93*267.466+D93*133.845+E93*53.484+F93*40+G93*185+H93*0+I93*100+J93*300)/(194.205+267.466+133.845+53.484+0+40+185+100+300)</f>
        <v>5.1944466787284149</v>
      </c>
      <c r="AD93" s="27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5.174767625899281</v>
      </c>
    </row>
    <row r="94" spans="1:30" ht="15" x14ac:dyDescent="0.2">
      <c r="A94" s="16">
        <v>44105</v>
      </c>
      <c r="B94" s="10">
        <f>CHOOSE(CONTROL!$C$42, 5.082, 5.082) * CHOOSE(CONTROL!$C$21, $C$9, 100%, $E$9)</f>
        <v>5.0819999999999999</v>
      </c>
      <c r="C94" s="10">
        <f>CHOOSE(CONTROL!$C$42, 5.0874, 5.0874) * CHOOSE(CONTROL!$C$21, $C$9, 100%, $E$9)</f>
        <v>5.0873999999999997</v>
      </c>
      <c r="D94" s="10">
        <f>CHOOSE(CONTROL!$C$42, 5.2673, 5.2673) * CHOOSE(CONTROL!$C$21, $C$9, 100%, $E$9)</f>
        <v>5.2672999999999996</v>
      </c>
      <c r="E94" s="10">
        <f>CHOOSE(CONTROL!$C$42, 5.2963, 5.2963) * CHOOSE(CONTROL!$C$21, $C$9, 100%, $E$9)</f>
        <v>5.2962999999999996</v>
      </c>
      <c r="F94" s="10">
        <f>CHOOSE(CONTROL!$C$42, 5.0258, 5.0258)*CHOOSE(CONTROL!$C$21, $C$9, 100%, $E$9)</f>
        <v>5.0258000000000003</v>
      </c>
      <c r="G94" s="10">
        <f>CHOOSE(CONTROL!$C$42, 5.0424, 5.0424)*CHOOSE(CONTROL!$C$21, $C$9, 100%, $E$9)</f>
        <v>5.0423999999999998</v>
      </c>
      <c r="H94" s="10">
        <f>CHOOSE(CONTROL!$C$42, 5.2864, 5.2864) * CHOOSE(CONTROL!$C$21, $C$9, 100%, $E$9)</f>
        <v>5.2864000000000004</v>
      </c>
      <c r="I94" s="10">
        <f>CHOOSE(CONTROL!$C$42, 5.0584, 5.0584)* CHOOSE(CONTROL!$C$21, $C$9, 100%, $E$9)</f>
        <v>5.0583999999999998</v>
      </c>
      <c r="J94" s="10">
        <f>CHOOSE(CONTROL!$C$42, 5.0184, 5.0184)* CHOOSE(CONTROL!$C$21, $C$9, 100%, $E$9)</f>
        <v>5.0183999999999997</v>
      </c>
      <c r="K94" s="10">
        <f>CHOOSE(CONTROL!$C$42, 5.0579, 5.0579) * CHOOSE(CONTROL!$C$21, $C$9, 100%, $E$9)</f>
        <v>5.0579000000000001</v>
      </c>
      <c r="L94" s="10">
        <f>CHOOSE(CONTROL!$C$42, 5.8734, 5.8734) * CHOOSE(CONTROL!$C$21, $C$9, 100%, $E$9)</f>
        <v>5.8734000000000002</v>
      </c>
      <c r="M94" s="10">
        <f>CHOOSE(CONTROL!$C$42, 4.9865, 4.9865) * CHOOSE(CONTROL!$C$21, $C$9, 100%, $E$9)</f>
        <v>4.9865000000000004</v>
      </c>
      <c r="N94" s="10">
        <f>CHOOSE(CONTROL!$C$42, 5.0029, 5.0029) * CHOOSE(CONTROL!$C$21, $C$9, 100%, $E$9)</f>
        <v>5.0029000000000003</v>
      </c>
      <c r="O94" s="10">
        <f>CHOOSE(CONTROL!$C$42, 5.251, 5.251) * CHOOSE(CONTROL!$C$21, $C$9, 100%, $E$9)</f>
        <v>5.2510000000000003</v>
      </c>
      <c r="P94" s="10">
        <f>CHOOSE(CONTROL!$C$42, 5.026, 5.026) * CHOOSE(CONTROL!$C$21, $C$9, 100%, $E$9)</f>
        <v>5.0259999999999998</v>
      </c>
      <c r="Q94" s="10">
        <f>CHOOSE(CONTROL!$C$42, 5.8463, 5.8463) * CHOOSE(CONTROL!$C$21, $C$9, 100%, $E$9)</f>
        <v>5.8463000000000003</v>
      </c>
      <c r="R94" s="10">
        <f>CHOOSE(CONTROL!$C$42, 6.4479, 6.4479) * CHOOSE(CONTROL!$C$21, $C$9, 100%, $E$9)</f>
        <v>6.4478999999999997</v>
      </c>
      <c r="S94" s="10">
        <f>CHOOSE(CONTROL!$C$42, 4.9372, 4.9372) * CHOOSE(CONTROL!$C$21, $C$9, 100%, $E$9)</f>
        <v>4.9371999999999998</v>
      </c>
      <c r="T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38">
        <f>(1000*CHOOSE(CONTROL!$C$42, 695, 695)*CHOOSE(CONTROL!$C$42, 0.5599, 0.5599)*CHOOSE(CONTROL!$C$42, 31, 31))/1000000</f>
        <v>12.063045499999998</v>
      </c>
      <c r="V94" s="38">
        <f>(1000*CHOOSE(CONTROL!$C$42, 500, 500)*CHOOSE(CONTROL!$C$42, 0.275, 0.275)*CHOOSE(CONTROL!$C$42, 31, 31))/1000000</f>
        <v>4.2625000000000002</v>
      </c>
      <c r="W94" s="38">
        <f>(1000*CHOOSE(CONTROL!$C$42, 0.1146, 0.1146)*CHOOSE(CONTROL!$C$42, 121.5, 121.5)*CHOOSE(CONTROL!$C$42, 31, 31))/1000000</f>
        <v>0.43164089999999994</v>
      </c>
      <c r="X94" s="38">
        <f>(31*0.1790888*245000/1000000)+(31*0.2374*100000/1000000)</f>
        <v>2.0961194359999999</v>
      </c>
      <c r="Y94" s="38">
        <f>(1000*600*CHOOSE(CONTROL!$C$42, 1.7863, 1.7863)*CHOOSE(CONTROL!$C$42, 31, 31))/1000000</f>
        <v>33.225180000000002</v>
      </c>
      <c r="Z94" s="38"/>
      <c r="AA94" s="10"/>
      <c r="AB94" s="39"/>
      <c r="AC94" s="33">
        <f>(B94*131.881+C94*277.167+D94*79.08+E94*125.872+F94*40+G94*185+H94*0+I94*100+J94*300)/(131.881+277.167+79.08+125.872+0+40+185+100+300)</f>
        <v>5.0917744918482644</v>
      </c>
      <c r="AD94" s="27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5.0701712230215827</v>
      </c>
    </row>
    <row r="95" spans="1:30" ht="15" x14ac:dyDescent="0.2">
      <c r="A95" s="16">
        <v>44136</v>
      </c>
      <c r="B95" s="10">
        <f>CHOOSE(CONTROL!$C$42, 5.2159, 5.2159) * CHOOSE(CONTROL!$C$21, $C$9, 100%, $E$9)</f>
        <v>5.2159000000000004</v>
      </c>
      <c r="C95" s="10">
        <f>CHOOSE(CONTROL!$C$42, 5.221, 5.221) * CHOOSE(CONTROL!$C$21, $C$9, 100%, $E$9)</f>
        <v>5.2210000000000001</v>
      </c>
      <c r="D95" s="10">
        <f>CHOOSE(CONTROL!$C$42, 5.2457, 5.2457) * CHOOSE(CONTROL!$C$21, $C$9, 100%, $E$9)</f>
        <v>5.2457000000000003</v>
      </c>
      <c r="E95" s="10">
        <f>CHOOSE(CONTROL!$C$42, 5.2795, 5.2795) * CHOOSE(CONTROL!$C$21, $C$9, 100%, $E$9)</f>
        <v>5.2794999999999996</v>
      </c>
      <c r="F95" s="10">
        <f>CHOOSE(CONTROL!$C$42, 5.1816, 5.1816)*CHOOSE(CONTROL!$C$21, $C$9, 100%, $E$9)</f>
        <v>5.1816000000000004</v>
      </c>
      <c r="G95" s="10">
        <f>CHOOSE(CONTROL!$C$42, 5.1984, 5.1984)*CHOOSE(CONTROL!$C$21, $C$9, 100%, $E$9)</f>
        <v>5.1984000000000004</v>
      </c>
      <c r="H95" s="10">
        <f>CHOOSE(CONTROL!$C$42, 5.2684, 5.2684) * CHOOSE(CONTROL!$C$21, $C$9, 100%, $E$9)</f>
        <v>5.2683999999999997</v>
      </c>
      <c r="I95" s="10">
        <f>CHOOSE(CONTROL!$C$42, 5.2154, 5.2154)* CHOOSE(CONTROL!$C$21, $C$9, 100%, $E$9)</f>
        <v>5.2153999999999998</v>
      </c>
      <c r="J95" s="10">
        <f>CHOOSE(CONTROL!$C$42, 5.1742, 5.1742)* CHOOSE(CONTROL!$C$21, $C$9, 100%, $E$9)</f>
        <v>5.1741999999999999</v>
      </c>
      <c r="K95" s="10">
        <f>CHOOSE(CONTROL!$C$42, 5.2118, 5.2118) * CHOOSE(CONTROL!$C$21, $C$9, 100%, $E$9)</f>
        <v>5.2118000000000002</v>
      </c>
      <c r="L95" s="10">
        <f>CHOOSE(CONTROL!$C$42, 5.8554, 5.8554) * CHOOSE(CONTROL!$C$21, $C$9, 100%, $E$9)</f>
        <v>5.8554000000000004</v>
      </c>
      <c r="M95" s="10">
        <f>CHOOSE(CONTROL!$C$42, 5.1402, 5.1402) * CHOOSE(CONTROL!$C$21, $C$9, 100%, $E$9)</f>
        <v>5.1402000000000001</v>
      </c>
      <c r="N95" s="10">
        <f>CHOOSE(CONTROL!$C$42, 5.1568, 5.1568) * CHOOSE(CONTROL!$C$21, $C$9, 100%, $E$9)</f>
        <v>5.1567999999999996</v>
      </c>
      <c r="O95" s="10">
        <f>CHOOSE(CONTROL!$C$42, 5.2332, 5.2332) * CHOOSE(CONTROL!$C$21, $C$9, 100%, $E$9)</f>
        <v>5.2332000000000001</v>
      </c>
      <c r="P95" s="10">
        <f>CHOOSE(CONTROL!$C$42, 5.181, 5.181) * CHOOSE(CONTROL!$C$21, $C$9, 100%, $E$9)</f>
        <v>5.181</v>
      </c>
      <c r="Q95" s="10">
        <f>CHOOSE(CONTROL!$C$42, 5.8285, 5.8285) * CHOOSE(CONTROL!$C$21, $C$9, 100%, $E$9)</f>
        <v>5.8285</v>
      </c>
      <c r="R95" s="10">
        <f>CHOOSE(CONTROL!$C$42, 6.4301, 6.4301) * CHOOSE(CONTROL!$C$21, $C$9, 100%, $E$9)</f>
        <v>6.4301000000000004</v>
      </c>
      <c r="S95" s="10">
        <f>CHOOSE(CONTROL!$C$42, 5.0672, 5.0672) * CHOOSE(CONTROL!$C$21, $C$9, 100%, $E$9)</f>
        <v>5.0671999999999997</v>
      </c>
      <c r="T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38">
        <f>(1000*CHOOSE(CONTROL!$C$42, 695, 695)*CHOOSE(CONTROL!$C$42, 0.5599, 0.5599)*CHOOSE(CONTROL!$C$42, 30, 30))/1000000</f>
        <v>11.673914999999997</v>
      </c>
      <c r="V95" s="38">
        <f>(1000*CHOOSE(CONTROL!$C$42, 500, 500)*CHOOSE(CONTROL!$C$42, 0.275, 0.275)*CHOOSE(CONTROL!$C$42, 30, 30))/1000000</f>
        <v>4.125</v>
      </c>
      <c r="W95" s="38">
        <f>(1000*CHOOSE(CONTROL!$C$42, 0.1146, 0.1146)*CHOOSE(CONTROL!$C$42, 121.5, 121.5)*CHOOSE(CONTROL!$C$42, 30, 30))/1000000</f>
        <v>0.417717</v>
      </c>
      <c r="X95" s="38">
        <f>(30*0.1790888*100000/1000000)+(30*0.2374*100000/1000000)</f>
        <v>1.2494664</v>
      </c>
      <c r="Y95" s="38">
        <f>(1000*600*CHOOSE(CONTROL!$C$42, 1.7863, 1.7863)*CHOOSE(CONTROL!$C$42, 30, 30))/1000000</f>
        <v>32.153399999999998</v>
      </c>
      <c r="Z95" s="38"/>
      <c r="AA95" s="10"/>
      <c r="AB95" s="39"/>
      <c r="AC95" s="33">
        <f>(B95*122.58+C95*297.941+D95*89.177+E95*40.302+F95*40+G95*160+H95*0+I95*100+J95*300)/(122.58+297.941+89.177+40.302+0+40+160+100+300)</f>
        <v>5.2072114616521743</v>
      </c>
      <c r="AD95" s="27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5.1891769784172661</v>
      </c>
    </row>
    <row r="96" spans="1:30" ht="15" x14ac:dyDescent="0.2">
      <c r="A96" s="16">
        <v>44166</v>
      </c>
      <c r="B96" s="10">
        <f>CHOOSE(CONTROL!$C$42, 5.5726, 5.5726) * CHOOSE(CONTROL!$C$21, $C$9, 100%, $E$9)</f>
        <v>5.5726000000000004</v>
      </c>
      <c r="C96" s="10">
        <f>CHOOSE(CONTROL!$C$42, 5.5777, 5.5777) * CHOOSE(CONTROL!$C$21, $C$9, 100%, $E$9)</f>
        <v>5.5777000000000001</v>
      </c>
      <c r="D96" s="10">
        <f>CHOOSE(CONTROL!$C$42, 5.6024, 5.6024) * CHOOSE(CONTROL!$C$21, $C$9, 100%, $E$9)</f>
        <v>5.6024000000000003</v>
      </c>
      <c r="E96" s="10">
        <f>CHOOSE(CONTROL!$C$42, 5.6362, 5.6362) * CHOOSE(CONTROL!$C$21, $C$9, 100%, $E$9)</f>
        <v>5.6361999999999997</v>
      </c>
      <c r="F96" s="10">
        <f>CHOOSE(CONTROL!$C$42, 5.5401, 5.5401)*CHOOSE(CONTROL!$C$21, $C$9, 100%, $E$9)</f>
        <v>5.5400999999999998</v>
      </c>
      <c r="G96" s="10">
        <f>CHOOSE(CONTROL!$C$42, 5.5573, 5.5573)*CHOOSE(CONTROL!$C$21, $C$9, 100%, $E$9)</f>
        <v>5.5572999999999997</v>
      </c>
      <c r="H96" s="10">
        <f>CHOOSE(CONTROL!$C$42, 5.6251, 5.6251) * CHOOSE(CONTROL!$C$21, $C$9, 100%, $E$9)</f>
        <v>5.6250999999999998</v>
      </c>
      <c r="I96" s="10">
        <f>CHOOSE(CONTROL!$C$42, 5.5721, 5.5721)* CHOOSE(CONTROL!$C$21, $C$9, 100%, $E$9)</f>
        <v>5.5720999999999998</v>
      </c>
      <c r="J96" s="10">
        <f>CHOOSE(CONTROL!$C$42, 5.5327, 5.5327)* CHOOSE(CONTROL!$C$21, $C$9, 100%, $E$9)</f>
        <v>5.5327000000000002</v>
      </c>
      <c r="K96" s="10">
        <f>CHOOSE(CONTROL!$C$42, 5.5613, 5.5613) * CHOOSE(CONTROL!$C$21, $C$9, 100%, $E$9)</f>
        <v>5.5613000000000001</v>
      </c>
      <c r="L96" s="10">
        <f>CHOOSE(CONTROL!$C$42, 6.2121, 6.2121) * CHOOSE(CONTROL!$C$21, $C$9, 100%, $E$9)</f>
        <v>6.2121000000000004</v>
      </c>
      <c r="M96" s="10">
        <f>CHOOSE(CONTROL!$C$42, 5.4941, 5.4941) * CHOOSE(CONTROL!$C$21, $C$9, 100%, $E$9)</f>
        <v>5.4941000000000004</v>
      </c>
      <c r="N96" s="10">
        <f>CHOOSE(CONTROL!$C$42, 5.5112, 5.5112) * CHOOSE(CONTROL!$C$21, $C$9, 100%, $E$9)</f>
        <v>5.5111999999999997</v>
      </c>
      <c r="O96" s="10">
        <f>CHOOSE(CONTROL!$C$42, 5.5853, 5.5853) * CHOOSE(CONTROL!$C$21, $C$9, 100%, $E$9)</f>
        <v>5.5853000000000002</v>
      </c>
      <c r="P96" s="10">
        <f>CHOOSE(CONTROL!$C$42, 5.5331, 5.5331) * CHOOSE(CONTROL!$C$21, $C$9, 100%, $E$9)</f>
        <v>5.5331000000000001</v>
      </c>
      <c r="Q96" s="10">
        <f>CHOOSE(CONTROL!$C$42, 6.1806, 6.1806) * CHOOSE(CONTROL!$C$21, $C$9, 100%, $E$9)</f>
        <v>6.1806000000000001</v>
      </c>
      <c r="R96" s="10">
        <f>CHOOSE(CONTROL!$C$42, 6.7831, 6.7831) * CHOOSE(CONTROL!$C$21, $C$9, 100%, $E$9)</f>
        <v>6.7831000000000001</v>
      </c>
      <c r="S96" s="10">
        <f>CHOOSE(CONTROL!$C$42, 5.4127, 5.4127) * CHOOSE(CONTROL!$C$21, $C$9, 100%, $E$9)</f>
        <v>5.4127000000000001</v>
      </c>
      <c r="T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38">
        <f>(1000*CHOOSE(CONTROL!$C$42, 695, 695)*CHOOSE(CONTROL!$C$42, 0.5599, 0.5599)*CHOOSE(CONTROL!$C$42, 31, 31))/1000000</f>
        <v>12.063045499999998</v>
      </c>
      <c r="V96" s="38">
        <f>(1000*CHOOSE(CONTROL!$C$42, 500, 500)*CHOOSE(CONTROL!$C$42, 0.275, 0.275)*CHOOSE(CONTROL!$C$42, 31, 31))/1000000</f>
        <v>4.2625000000000002</v>
      </c>
      <c r="W96" s="38">
        <f>(1000*CHOOSE(CONTROL!$C$42, 0.1146, 0.1146)*CHOOSE(CONTROL!$C$42, 121.5, 121.5)*CHOOSE(CONTROL!$C$42, 31, 31))/1000000</f>
        <v>0.43164089999999994</v>
      </c>
      <c r="X96" s="38">
        <f>(31*0.1790888*100000/1000000)+(31*0.2374*100000/1000000)</f>
        <v>1.2911152800000001</v>
      </c>
      <c r="Y96" s="38">
        <f>(1000*600*CHOOSE(CONTROL!$C$42, 1.7863, 1.7863)*CHOOSE(CONTROL!$C$42, 31, 31))/1000000</f>
        <v>33.225180000000002</v>
      </c>
      <c r="Z96" s="38"/>
      <c r="AA96" s="10"/>
      <c r="AB96" s="39"/>
      <c r="AC96" s="33">
        <f>(B96*122.58+C96*297.941+D96*89.177+E96*40.302+F96*40+G96*160+H96*0+I96*100+J96*300)/(122.58+297.941+89.177+40.302+0+40+160+100+300)</f>
        <v>5.5647497225217393</v>
      </c>
      <c r="AD96" s="27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5.5420309352517982</v>
      </c>
    </row>
    <row r="97" spans="1:30" ht="15" x14ac:dyDescent="0.2">
      <c r="A97" s="16">
        <v>44197</v>
      </c>
      <c r="B97" s="10">
        <f>CHOOSE(CONTROL!$C$42, 6.0237, 6.0237) * CHOOSE(CONTROL!$C$21, $C$9, 100%, $E$9)</f>
        <v>6.0236999999999998</v>
      </c>
      <c r="C97" s="10">
        <f>CHOOSE(CONTROL!$C$42, 6.0288, 6.0288) * CHOOSE(CONTROL!$C$21, $C$9, 100%, $E$9)</f>
        <v>6.0288000000000004</v>
      </c>
      <c r="D97" s="10">
        <f>CHOOSE(CONTROL!$C$42, 6.0638, 6.0638) * CHOOSE(CONTROL!$C$21, $C$9, 100%, $E$9)</f>
        <v>6.0637999999999996</v>
      </c>
      <c r="E97" s="10">
        <f>CHOOSE(CONTROL!$C$42, 6.0976, 6.0976) * CHOOSE(CONTROL!$C$21, $C$9, 100%, $E$9)</f>
        <v>6.0975999999999999</v>
      </c>
      <c r="F97" s="10">
        <f>CHOOSE(CONTROL!$C$42, 6.005, 6.005)*CHOOSE(CONTROL!$C$21, $C$9, 100%, $E$9)</f>
        <v>6.0049999999999999</v>
      </c>
      <c r="G97" s="10">
        <f>CHOOSE(CONTROL!$C$42, 6.0239, 6.0239)*CHOOSE(CONTROL!$C$21, $C$9, 100%, $E$9)</f>
        <v>6.0239000000000003</v>
      </c>
      <c r="H97" s="10">
        <f>CHOOSE(CONTROL!$C$42, 6.0865, 6.0865) * CHOOSE(CONTROL!$C$21, $C$9, 100%, $E$9)</f>
        <v>6.0865</v>
      </c>
      <c r="I97" s="10">
        <f>CHOOSE(CONTROL!$C$42, 6.0309, 6.0309)* CHOOSE(CONTROL!$C$21, $C$9, 100%, $E$9)</f>
        <v>6.0308999999999999</v>
      </c>
      <c r="J97" s="10">
        <f>CHOOSE(CONTROL!$C$42, 5.9976, 5.9976)* CHOOSE(CONTROL!$C$21, $C$9, 100%, $E$9)</f>
        <v>5.9976000000000003</v>
      </c>
      <c r="K97" s="10">
        <f>CHOOSE(CONTROL!$C$42, 6.019, 6.019) * CHOOSE(CONTROL!$C$21, $C$9, 100%, $E$9)</f>
        <v>6.0190000000000001</v>
      </c>
      <c r="L97" s="10">
        <f>CHOOSE(CONTROL!$C$42, 6.6735, 6.6735) * CHOOSE(CONTROL!$C$21, $C$9, 100%, $E$9)</f>
        <v>6.6734999999999998</v>
      </c>
      <c r="M97" s="10">
        <f>CHOOSE(CONTROL!$C$42, 5.953, 5.953) * CHOOSE(CONTROL!$C$21, $C$9, 100%, $E$9)</f>
        <v>5.9530000000000003</v>
      </c>
      <c r="N97" s="10">
        <f>CHOOSE(CONTROL!$C$42, 5.9716, 5.9716) * CHOOSE(CONTROL!$C$21, $C$9, 100%, $E$9)</f>
        <v>5.9715999999999996</v>
      </c>
      <c r="O97" s="10">
        <f>CHOOSE(CONTROL!$C$42, 6.0407, 6.0407) * CHOOSE(CONTROL!$C$21, $C$9, 100%, $E$9)</f>
        <v>6.0407000000000002</v>
      </c>
      <c r="P97" s="10">
        <f>CHOOSE(CONTROL!$C$42, 5.986, 5.986) * CHOOSE(CONTROL!$C$21, $C$9, 100%, $E$9)</f>
        <v>5.9859999999999998</v>
      </c>
      <c r="Q97" s="10">
        <f>CHOOSE(CONTROL!$C$42, 6.636, 6.636) * CHOOSE(CONTROL!$C$21, $C$9, 100%, $E$9)</f>
        <v>6.6360000000000001</v>
      </c>
      <c r="R97" s="10">
        <f>CHOOSE(CONTROL!$C$42, 7.2396, 7.2396) * CHOOSE(CONTROL!$C$21, $C$9, 100%, $E$9)</f>
        <v>7.2396000000000003</v>
      </c>
      <c r="S97" s="10">
        <f>CHOOSE(CONTROL!$C$42, 5.8494, 5.8494) * CHOOSE(CONTROL!$C$21, $C$9, 100%, $E$9)</f>
        <v>5.8494000000000002</v>
      </c>
      <c r="T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38">
        <f>(1000*CHOOSE(CONTROL!$C$42, 695, 695)*CHOOSE(CONTROL!$C$42, 0.5599, 0.5599)*CHOOSE(CONTROL!$C$42, 31, 31))/1000000</f>
        <v>12.063045499999998</v>
      </c>
      <c r="V97" s="38">
        <f>(1000*CHOOSE(CONTROL!$C$42, 500, 500)*CHOOSE(CONTROL!$C$42, 0.275, 0.275)*CHOOSE(CONTROL!$C$42, 31, 31))/1000000</f>
        <v>4.2625000000000002</v>
      </c>
      <c r="W97" s="38">
        <f>(1000*CHOOSE(CONTROL!$C$42, 0.1146, 0.1146)*CHOOSE(CONTROL!$C$42, 121.5, 121.5)*CHOOSE(CONTROL!$C$42, 31, 31))/1000000</f>
        <v>0.43164089999999994</v>
      </c>
      <c r="X97" s="38">
        <f>(31*0.1790888*100000/1000000)+(31*0.2374*100000/1000000)</f>
        <v>1.2911152800000001</v>
      </c>
      <c r="Y97" s="38">
        <f>(1000*600*CHOOSE(CONTROL!$C$42, 1.7748, 1.7748)*CHOOSE(CONTROL!$C$42, 31, 31))/1000000</f>
        <v>33.011279999999999</v>
      </c>
      <c r="Z97" s="38"/>
      <c r="AA97" s="10"/>
      <c r="AB97" s="39"/>
      <c r="AC97" s="33">
        <f>(B97*122.58+C97*297.941+D97*89.177+E97*40.302+F97*40+G97*160+H97*0+I97*100+J97*300)/(122.58+297.941+89.177+40.302+0+40+160+100+300)</f>
        <v>6.0239154909565213</v>
      </c>
      <c r="AD97" s="27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5.9985676258992804</v>
      </c>
    </row>
    <row r="98" spans="1:30" ht="15" x14ac:dyDescent="0.2">
      <c r="A98" s="16">
        <v>44228</v>
      </c>
      <c r="B98" s="10">
        <f>CHOOSE(CONTROL!$C$42, 6.1312, 6.1312) * CHOOSE(CONTROL!$C$21, $C$9, 100%, $E$9)</f>
        <v>6.1311999999999998</v>
      </c>
      <c r="C98" s="10">
        <f>CHOOSE(CONTROL!$C$42, 6.1363, 6.1363) * CHOOSE(CONTROL!$C$21, $C$9, 100%, $E$9)</f>
        <v>6.1363000000000003</v>
      </c>
      <c r="D98" s="10">
        <f>CHOOSE(CONTROL!$C$42, 6.1713, 6.1713) * CHOOSE(CONTROL!$C$21, $C$9, 100%, $E$9)</f>
        <v>6.1712999999999996</v>
      </c>
      <c r="E98" s="10">
        <f>CHOOSE(CONTROL!$C$42, 6.2051, 6.2051) * CHOOSE(CONTROL!$C$21, $C$9, 100%, $E$9)</f>
        <v>6.2050999999999998</v>
      </c>
      <c r="F98" s="10">
        <f>CHOOSE(CONTROL!$C$42, 6.112, 6.112)*CHOOSE(CONTROL!$C$21, $C$9, 100%, $E$9)</f>
        <v>6.1120000000000001</v>
      </c>
      <c r="G98" s="10">
        <f>CHOOSE(CONTROL!$C$42, 6.1307, 6.1307)*CHOOSE(CONTROL!$C$21, $C$9, 100%, $E$9)</f>
        <v>6.1307</v>
      </c>
      <c r="H98" s="10">
        <f>CHOOSE(CONTROL!$C$42, 6.194, 6.194) * CHOOSE(CONTROL!$C$21, $C$9, 100%, $E$9)</f>
        <v>6.194</v>
      </c>
      <c r="I98" s="10">
        <f>CHOOSE(CONTROL!$C$42, 6.1385, 6.1385)* CHOOSE(CONTROL!$C$21, $C$9, 100%, $E$9)</f>
        <v>6.1384999999999996</v>
      </c>
      <c r="J98" s="10">
        <f>CHOOSE(CONTROL!$C$42, 6.1046, 6.1046)* CHOOSE(CONTROL!$C$21, $C$9, 100%, $E$9)</f>
        <v>6.1045999999999996</v>
      </c>
      <c r="K98" s="10">
        <f>CHOOSE(CONTROL!$C$42, 6.122, 6.122) * CHOOSE(CONTROL!$C$21, $C$9, 100%, $E$9)</f>
        <v>6.1219999999999999</v>
      </c>
      <c r="L98" s="10">
        <f>CHOOSE(CONTROL!$C$42, 6.781, 6.781) * CHOOSE(CONTROL!$C$21, $C$9, 100%, $E$9)</f>
        <v>6.7809999999999997</v>
      </c>
      <c r="M98" s="10">
        <f>CHOOSE(CONTROL!$C$42, 6.0586, 6.0586) * CHOOSE(CONTROL!$C$21, $C$9, 100%, $E$9)</f>
        <v>6.0586000000000002</v>
      </c>
      <c r="N98" s="10">
        <f>CHOOSE(CONTROL!$C$42, 6.0771, 6.0771) * CHOOSE(CONTROL!$C$21, $C$9, 100%, $E$9)</f>
        <v>6.0770999999999997</v>
      </c>
      <c r="O98" s="10">
        <f>CHOOSE(CONTROL!$C$42, 6.1469, 6.1469) * CHOOSE(CONTROL!$C$21, $C$9, 100%, $E$9)</f>
        <v>6.1468999999999996</v>
      </c>
      <c r="P98" s="10">
        <f>CHOOSE(CONTROL!$C$42, 6.0921, 6.0921) * CHOOSE(CONTROL!$C$21, $C$9, 100%, $E$9)</f>
        <v>6.0921000000000003</v>
      </c>
      <c r="Q98" s="10">
        <f>CHOOSE(CONTROL!$C$42, 6.7422, 6.7422) * CHOOSE(CONTROL!$C$21, $C$9, 100%, $E$9)</f>
        <v>6.7422000000000004</v>
      </c>
      <c r="R98" s="10">
        <f>CHOOSE(CONTROL!$C$42, 7.346, 7.346) * CHOOSE(CONTROL!$C$21, $C$9, 100%, $E$9)</f>
        <v>7.3460000000000001</v>
      </c>
      <c r="S98" s="10">
        <f>CHOOSE(CONTROL!$C$42, 5.9535, 5.9535) * CHOOSE(CONTROL!$C$21, $C$9, 100%, $E$9)</f>
        <v>5.9535</v>
      </c>
      <c r="T9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" s="38">
        <f>(1000*CHOOSE(CONTROL!$C$42, 695, 695)*CHOOSE(CONTROL!$C$42, 0.5599, 0.5599)*CHOOSE(CONTROL!$C$42, 28, 28))/1000000</f>
        <v>10.895653999999999</v>
      </c>
      <c r="V98" s="38">
        <f>(1000*CHOOSE(CONTROL!$C$42, 500, 500)*CHOOSE(CONTROL!$C$42, 0.275, 0.275)*CHOOSE(CONTROL!$C$42, 28, 28))/1000000</f>
        <v>3.85</v>
      </c>
      <c r="W98" s="38">
        <f>(1000*CHOOSE(CONTROL!$C$42, 0.1146, 0.1146)*CHOOSE(CONTROL!$C$42, 121.5, 121.5)*CHOOSE(CONTROL!$C$42, 28, 28))/1000000</f>
        <v>0.38986920000000003</v>
      </c>
      <c r="X98" s="38">
        <f>(28*0.1790888*100000/1000000)+(28*0.2374*100000/1000000)</f>
        <v>1.16616864</v>
      </c>
      <c r="Y98" s="38">
        <f>(1000*600*CHOOSE(CONTROL!$C$42, 1.7748, 1.7748)*CHOOSE(CONTROL!$C$42, 28, 28))/1000000</f>
        <v>29.81664</v>
      </c>
      <c r="Z98" s="38"/>
      <c r="AA98" s="10"/>
      <c r="AB98" s="39"/>
      <c r="AC98" s="33">
        <f>(B98*122.58+C98*297.941+D98*89.177+E98*40.302+F98*40+G98*160+H98*0+I98*100+J98*300)/(122.58+297.941+89.177+40.302+0+40+160+100+300)</f>
        <v>6.1311789692173919</v>
      </c>
      <c r="AD98" s="27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6.1045057553956825</v>
      </c>
    </row>
    <row r="99" spans="1:30" ht="15" x14ac:dyDescent="0.2">
      <c r="A99" s="16">
        <v>44256</v>
      </c>
      <c r="B99" s="10">
        <f>CHOOSE(CONTROL!$C$42, 5.9567, 5.9567) * CHOOSE(CONTROL!$C$21, $C$9, 100%, $E$9)</f>
        <v>5.9566999999999997</v>
      </c>
      <c r="C99" s="10">
        <f>CHOOSE(CONTROL!$C$42, 5.9618, 5.9618) * CHOOSE(CONTROL!$C$21, $C$9, 100%, $E$9)</f>
        <v>5.9618000000000002</v>
      </c>
      <c r="D99" s="10">
        <f>CHOOSE(CONTROL!$C$42, 5.9968, 5.9968) * CHOOSE(CONTROL!$C$21, $C$9, 100%, $E$9)</f>
        <v>5.9968000000000004</v>
      </c>
      <c r="E99" s="10">
        <f>CHOOSE(CONTROL!$C$42, 6.0306, 6.0306) * CHOOSE(CONTROL!$C$21, $C$9, 100%, $E$9)</f>
        <v>6.0305999999999997</v>
      </c>
      <c r="F99" s="10">
        <f>CHOOSE(CONTROL!$C$42, 5.9361, 5.9361)*CHOOSE(CONTROL!$C$21, $C$9, 100%, $E$9)</f>
        <v>5.9360999999999997</v>
      </c>
      <c r="G99" s="10">
        <f>CHOOSE(CONTROL!$C$42, 5.9544, 5.9544)*CHOOSE(CONTROL!$C$21, $C$9, 100%, $E$9)</f>
        <v>5.9543999999999997</v>
      </c>
      <c r="H99" s="10">
        <f>CHOOSE(CONTROL!$C$42, 6.0195, 6.0195) * CHOOSE(CONTROL!$C$21, $C$9, 100%, $E$9)</f>
        <v>6.0194999999999999</v>
      </c>
      <c r="I99" s="10">
        <f>CHOOSE(CONTROL!$C$42, 5.9639, 5.9639)* CHOOSE(CONTROL!$C$21, $C$9, 100%, $E$9)</f>
        <v>5.9638999999999998</v>
      </c>
      <c r="J99" s="10">
        <f>CHOOSE(CONTROL!$C$42, 5.9287, 5.9287)* CHOOSE(CONTROL!$C$21, $C$9, 100%, $E$9)</f>
        <v>5.9287000000000001</v>
      </c>
      <c r="K99" s="10">
        <f>CHOOSE(CONTROL!$C$42, 5.9499, 5.9499) * CHOOSE(CONTROL!$C$21, $C$9, 100%, $E$9)</f>
        <v>5.9499000000000004</v>
      </c>
      <c r="L99" s="10">
        <f>CHOOSE(CONTROL!$C$42, 6.6065, 6.6065) * CHOOSE(CONTROL!$C$21, $C$9, 100%, $E$9)</f>
        <v>6.6064999999999996</v>
      </c>
      <c r="M99" s="10">
        <f>CHOOSE(CONTROL!$C$42, 5.885, 5.885) * CHOOSE(CONTROL!$C$21, $C$9, 100%, $E$9)</f>
        <v>5.8849999999999998</v>
      </c>
      <c r="N99" s="10">
        <f>CHOOSE(CONTROL!$C$42, 5.9031, 5.9031) * CHOOSE(CONTROL!$C$21, $C$9, 100%, $E$9)</f>
        <v>5.9031000000000002</v>
      </c>
      <c r="O99" s="10">
        <f>CHOOSE(CONTROL!$C$42, 5.9746, 5.9746) * CHOOSE(CONTROL!$C$21, $C$9, 100%, $E$9)</f>
        <v>5.9745999999999997</v>
      </c>
      <c r="P99" s="10">
        <f>CHOOSE(CONTROL!$C$42, 5.9198, 5.9198) * CHOOSE(CONTROL!$C$21, $C$9, 100%, $E$9)</f>
        <v>5.9198000000000004</v>
      </c>
      <c r="Q99" s="10">
        <f>CHOOSE(CONTROL!$C$42, 6.5699, 6.5699) * CHOOSE(CONTROL!$C$21, $C$9, 100%, $E$9)</f>
        <v>6.5698999999999996</v>
      </c>
      <c r="R99" s="10">
        <f>CHOOSE(CONTROL!$C$42, 7.1733, 7.1733) * CHOOSE(CONTROL!$C$21, $C$9, 100%, $E$9)</f>
        <v>7.1733000000000002</v>
      </c>
      <c r="S99" s="10">
        <f>CHOOSE(CONTROL!$C$42, 5.7845, 5.7845) * CHOOSE(CONTROL!$C$21, $C$9, 100%, $E$9)</f>
        <v>5.7845000000000004</v>
      </c>
      <c r="T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38">
        <f>(1000*CHOOSE(CONTROL!$C$42, 695, 695)*CHOOSE(CONTROL!$C$42, 0.5599, 0.5599)*CHOOSE(CONTROL!$C$42, 31, 31))/1000000</f>
        <v>12.063045499999998</v>
      </c>
      <c r="V99" s="38">
        <f>(1000*CHOOSE(CONTROL!$C$42, 500, 500)*CHOOSE(CONTROL!$C$42, 0.275, 0.275)*CHOOSE(CONTROL!$C$42, 31, 31))/1000000</f>
        <v>4.2625000000000002</v>
      </c>
      <c r="W99" s="38">
        <f>(1000*CHOOSE(CONTROL!$C$42, 0.1146, 0.1146)*CHOOSE(CONTROL!$C$42, 121.5, 121.5)*CHOOSE(CONTROL!$C$42, 31, 31))/1000000</f>
        <v>0.43164089999999994</v>
      </c>
      <c r="X99" s="38">
        <f>(31*0.1790888*100000/1000000)+(31*0.2374*100000/1000000)</f>
        <v>1.2911152800000001</v>
      </c>
      <c r="Y99" s="38">
        <f>(1000*600*CHOOSE(CONTROL!$C$42, 1.7748, 1.7748)*CHOOSE(CONTROL!$C$42, 31, 31))/1000000</f>
        <v>33.011279999999999</v>
      </c>
      <c r="Z99" s="38"/>
      <c r="AA99" s="10"/>
      <c r="AB99" s="39"/>
      <c r="AC99" s="33">
        <f>(B99*122.58+C99*297.941+D99*89.177+E99*40.302+F99*40+G99*160+H99*0+I99*100+J99*300)/(122.58+297.941+89.177+40.302+0+40+160+100+300)</f>
        <v>5.9560059257391309</v>
      </c>
      <c r="AD99" s="27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5.9316589928057546</v>
      </c>
    </row>
    <row r="100" spans="1:30" ht="15" x14ac:dyDescent="0.2">
      <c r="A100" s="16">
        <v>44287</v>
      </c>
      <c r="B100" s="10">
        <f>CHOOSE(CONTROL!$C$42, 5.9396, 5.9396) * CHOOSE(CONTROL!$C$21, $C$9, 100%, $E$9)</f>
        <v>5.9396000000000004</v>
      </c>
      <c r="C100" s="10">
        <f>CHOOSE(CONTROL!$C$42, 5.9441, 5.9441) * CHOOSE(CONTROL!$C$21, $C$9, 100%, $E$9)</f>
        <v>5.9440999999999997</v>
      </c>
      <c r="D100" s="10">
        <f>CHOOSE(CONTROL!$C$42, 6.1223, 6.1223) * CHOOSE(CONTROL!$C$21, $C$9, 100%, $E$9)</f>
        <v>6.1223000000000001</v>
      </c>
      <c r="E100" s="10">
        <f>CHOOSE(CONTROL!$C$42, 6.1541, 6.1541) * CHOOSE(CONTROL!$C$21, $C$9, 100%, $E$9)</f>
        <v>6.1540999999999997</v>
      </c>
      <c r="F100" s="10">
        <f>CHOOSE(CONTROL!$C$42, 5.883, 5.883)*CHOOSE(CONTROL!$C$21, $C$9, 100%, $E$9)</f>
        <v>5.883</v>
      </c>
      <c r="G100" s="10">
        <f>CHOOSE(CONTROL!$C$42, 5.8996, 5.8996)*CHOOSE(CONTROL!$C$21, $C$9, 100%, $E$9)</f>
        <v>5.8996000000000004</v>
      </c>
      <c r="H100" s="10">
        <f>CHOOSE(CONTROL!$C$42, 6.1436, 6.1436) * CHOOSE(CONTROL!$C$21, $C$9, 100%, $E$9)</f>
        <v>6.1436000000000002</v>
      </c>
      <c r="I100" s="10">
        <f>CHOOSE(CONTROL!$C$42, 5.9156, 5.9156)* CHOOSE(CONTROL!$C$21, $C$9, 100%, $E$9)</f>
        <v>5.9156000000000004</v>
      </c>
      <c r="J100" s="10">
        <f>CHOOSE(CONTROL!$C$42, 5.8756, 5.8756)* CHOOSE(CONTROL!$C$21, $C$9, 100%, $E$9)</f>
        <v>5.8756000000000004</v>
      </c>
      <c r="K100" s="10">
        <f>CHOOSE(CONTROL!$C$42, 5.8884, 5.8884) * CHOOSE(CONTROL!$C$21, $C$9, 100%, $E$9)</f>
        <v>5.8883999999999999</v>
      </c>
      <c r="L100" s="10">
        <f>CHOOSE(CONTROL!$C$42, 6.7306, 6.7306) * CHOOSE(CONTROL!$C$21, $C$9, 100%, $E$9)</f>
        <v>6.7305999999999999</v>
      </c>
      <c r="M100" s="10">
        <f>CHOOSE(CONTROL!$C$42, 5.8326, 5.8326) * CHOOSE(CONTROL!$C$21, $C$9, 100%, $E$9)</f>
        <v>5.8326000000000002</v>
      </c>
      <c r="N100" s="10">
        <f>CHOOSE(CONTROL!$C$42, 5.849, 5.849) * CHOOSE(CONTROL!$C$21, $C$9, 100%, $E$9)</f>
        <v>5.8490000000000002</v>
      </c>
      <c r="O100" s="10">
        <f>CHOOSE(CONTROL!$C$42, 6.0971, 6.0971) * CHOOSE(CONTROL!$C$21, $C$9, 100%, $E$9)</f>
        <v>6.0971000000000002</v>
      </c>
      <c r="P100" s="10">
        <f>CHOOSE(CONTROL!$C$42, 5.8721, 5.8721) * CHOOSE(CONTROL!$C$21, $C$9, 100%, $E$9)</f>
        <v>5.8720999999999997</v>
      </c>
      <c r="Q100" s="10">
        <f>CHOOSE(CONTROL!$C$42, 6.6924, 6.6924) * CHOOSE(CONTROL!$C$21, $C$9, 100%, $E$9)</f>
        <v>6.6924000000000001</v>
      </c>
      <c r="R100" s="10">
        <f>CHOOSE(CONTROL!$C$42, 7.2961, 7.2961) * CHOOSE(CONTROL!$C$21, $C$9, 100%, $E$9)</f>
        <v>7.2961</v>
      </c>
      <c r="S100" s="10">
        <f>CHOOSE(CONTROL!$C$42, 5.7672, 5.7672) * CHOOSE(CONTROL!$C$21, $C$9, 100%, $E$9)</f>
        <v>5.7671999999999999</v>
      </c>
      <c r="T1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38">
        <f>(1000*CHOOSE(CONTROL!$C$42, 695, 695)*CHOOSE(CONTROL!$C$42, 0.5599, 0.5599)*CHOOSE(CONTROL!$C$42, 30, 30))/1000000</f>
        <v>11.673914999999997</v>
      </c>
      <c r="V100" s="38">
        <f>(1000*CHOOSE(CONTROL!$C$42, 500, 500)*CHOOSE(CONTROL!$C$42, 0.275, 0.275)*CHOOSE(CONTROL!$C$42, 30, 30))/1000000</f>
        <v>4.125</v>
      </c>
      <c r="W100" s="38">
        <f>(1000*CHOOSE(CONTROL!$C$42, 0.1146, 0.1146)*CHOOSE(CONTROL!$C$42, 121.5, 121.5)*CHOOSE(CONTROL!$C$42, 30, 30))/1000000</f>
        <v>0.417717</v>
      </c>
      <c r="X100" s="38">
        <f>(30*0.1790888*245000/1000000)+(30*0.2374*100000/1000000)</f>
        <v>2.0285026799999999</v>
      </c>
      <c r="Y100" s="38">
        <f>(1000*600*CHOOSE(CONTROL!$C$42, 1.7748, 1.7748)*CHOOSE(CONTROL!$C$42, 30, 30))/1000000</f>
        <v>31.946400000000001</v>
      </c>
      <c r="Z100" s="38"/>
      <c r="AA100" s="10"/>
      <c r="AB100" s="39"/>
      <c r="AC100" s="33">
        <f>(B100*141.293+C100*267.993+D100*115.016+E100*89.698+F100*40+G100*185+H100*0+I100*100+J100*300)/(141.293+267.993+115.016+89.698+0+40+185+100+300)</f>
        <v>5.947828904519775</v>
      </c>
      <c r="AD100" s="27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5.9162712230215826</v>
      </c>
    </row>
    <row r="101" spans="1:30" ht="15" x14ac:dyDescent="0.2">
      <c r="A101" s="16">
        <v>44317</v>
      </c>
      <c r="B101" s="10">
        <f>CHOOSE(CONTROL!$C$42, 5.9939, 5.9939) * CHOOSE(CONTROL!$C$21, $C$9, 100%, $E$9)</f>
        <v>5.9939</v>
      </c>
      <c r="C101" s="10">
        <f>CHOOSE(CONTROL!$C$42, 6.0019, 6.0019) * CHOOSE(CONTROL!$C$21, $C$9, 100%, $E$9)</f>
        <v>6.0019</v>
      </c>
      <c r="D101" s="10">
        <f>CHOOSE(CONTROL!$C$42, 6.177, 6.177) * CHOOSE(CONTROL!$C$21, $C$9, 100%, $E$9)</f>
        <v>6.1769999999999996</v>
      </c>
      <c r="E101" s="10">
        <f>CHOOSE(CONTROL!$C$42, 6.2082, 6.2082) * CHOOSE(CONTROL!$C$21, $C$9, 100%, $E$9)</f>
        <v>6.2081999999999997</v>
      </c>
      <c r="F101" s="10">
        <f>CHOOSE(CONTROL!$C$42, 5.9356, 5.9356)*CHOOSE(CONTROL!$C$21, $C$9, 100%, $E$9)</f>
        <v>5.9356</v>
      </c>
      <c r="G101" s="10">
        <f>CHOOSE(CONTROL!$C$42, 5.9525, 5.9525)*CHOOSE(CONTROL!$C$21, $C$9, 100%, $E$9)</f>
        <v>5.9524999999999997</v>
      </c>
      <c r="H101" s="10">
        <f>CHOOSE(CONTROL!$C$42, 6.1965, 6.1965) * CHOOSE(CONTROL!$C$21, $C$9, 100%, $E$9)</f>
        <v>6.1965000000000003</v>
      </c>
      <c r="I101" s="10">
        <f>CHOOSE(CONTROL!$C$42, 5.9685, 5.9685)* CHOOSE(CONTROL!$C$21, $C$9, 100%, $E$9)</f>
        <v>5.9684999999999997</v>
      </c>
      <c r="J101" s="10">
        <f>CHOOSE(CONTROL!$C$42, 5.9282, 5.9282)* CHOOSE(CONTROL!$C$21, $C$9, 100%, $E$9)</f>
        <v>5.9282000000000004</v>
      </c>
      <c r="K101" s="10">
        <f>CHOOSE(CONTROL!$C$42, 5.9388, 5.9388) * CHOOSE(CONTROL!$C$21, $C$9, 100%, $E$9)</f>
        <v>5.9387999999999996</v>
      </c>
      <c r="L101" s="10">
        <f>CHOOSE(CONTROL!$C$42, 6.7835, 6.7835) * CHOOSE(CONTROL!$C$21, $C$9, 100%, $E$9)</f>
        <v>6.7835000000000001</v>
      </c>
      <c r="M101" s="10">
        <f>CHOOSE(CONTROL!$C$42, 5.8845, 5.8845) * CHOOSE(CONTROL!$C$21, $C$9, 100%, $E$9)</f>
        <v>5.8845000000000001</v>
      </c>
      <c r="N101" s="10">
        <f>CHOOSE(CONTROL!$C$42, 5.9011, 5.9011) * CHOOSE(CONTROL!$C$21, $C$9, 100%, $E$9)</f>
        <v>5.9010999999999996</v>
      </c>
      <c r="O101" s="10">
        <f>CHOOSE(CONTROL!$C$42, 6.1494, 6.1494) * CHOOSE(CONTROL!$C$21, $C$9, 100%, $E$9)</f>
        <v>6.1494</v>
      </c>
      <c r="P101" s="10">
        <f>CHOOSE(CONTROL!$C$42, 5.9244, 5.9244) * CHOOSE(CONTROL!$C$21, $C$9, 100%, $E$9)</f>
        <v>5.9244000000000003</v>
      </c>
      <c r="Q101" s="10">
        <f>CHOOSE(CONTROL!$C$42, 6.7447, 6.7447) * CHOOSE(CONTROL!$C$21, $C$9, 100%, $E$9)</f>
        <v>6.7446999999999999</v>
      </c>
      <c r="R101" s="10">
        <f>CHOOSE(CONTROL!$C$42, 7.3485, 7.3485) * CHOOSE(CONTROL!$C$21, $C$9, 100%, $E$9)</f>
        <v>7.3484999999999996</v>
      </c>
      <c r="S101" s="10">
        <f>CHOOSE(CONTROL!$C$42, 5.8185, 5.8185) * CHOOSE(CONTROL!$C$21, $C$9, 100%, $E$9)</f>
        <v>5.8185000000000002</v>
      </c>
      <c r="T1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38">
        <f>(1000*CHOOSE(CONTROL!$C$42, 695, 695)*CHOOSE(CONTROL!$C$42, 0.5599, 0.5599)*CHOOSE(CONTROL!$C$42, 31, 31))/1000000</f>
        <v>12.063045499999998</v>
      </c>
      <c r="V101" s="38">
        <f>(1000*CHOOSE(CONTROL!$C$42, 500, 500)*CHOOSE(CONTROL!$C$42, 0.275, 0.275)*CHOOSE(CONTROL!$C$42, 31, 31))/1000000</f>
        <v>4.2625000000000002</v>
      </c>
      <c r="W101" s="38">
        <f>(1000*CHOOSE(CONTROL!$C$42, 0.1146, 0.1146)*CHOOSE(CONTROL!$C$42, 121.5, 121.5)*CHOOSE(CONTROL!$C$42, 31, 31))/1000000</f>
        <v>0.43164089999999994</v>
      </c>
      <c r="X101" s="38">
        <f>(31*0.1790888*245000/1000000)+(31*0.2374*100000/1000000)</f>
        <v>2.0961194359999999</v>
      </c>
      <c r="Y101" s="38">
        <f>(1000*600*CHOOSE(CONTROL!$C$42, 1.7748, 1.7748)*CHOOSE(CONTROL!$C$42, 31, 31))/1000000</f>
        <v>33.011279999999999</v>
      </c>
      <c r="Z101" s="38"/>
      <c r="AA101" s="10"/>
      <c r="AB101" s="39"/>
      <c r="AC101" s="33">
        <f>(B101*194.205+C101*267.466+D101*133.845+E101*53.484+F101*40+G101*185+H101*0+I101*100+J101*300)/(194.205+267.466+133.845+53.484+0+40+185+100+300)</f>
        <v>5.9985054699372062</v>
      </c>
      <c r="AD101" s="27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5.9683870503597127</v>
      </c>
    </row>
    <row r="102" spans="1:30" ht="15" x14ac:dyDescent="0.2">
      <c r="A102" s="16">
        <v>44348</v>
      </c>
      <c r="B102" s="10">
        <f>CHOOSE(CONTROL!$C$42, 6.1643, 6.1643) * CHOOSE(CONTROL!$C$21, $C$9, 100%, $E$9)</f>
        <v>6.1642999999999999</v>
      </c>
      <c r="C102" s="10">
        <f>CHOOSE(CONTROL!$C$42, 6.1723, 6.1723) * CHOOSE(CONTROL!$C$21, $C$9, 100%, $E$9)</f>
        <v>6.1722999999999999</v>
      </c>
      <c r="D102" s="10">
        <f>CHOOSE(CONTROL!$C$42, 6.3474, 6.3474) * CHOOSE(CONTROL!$C$21, $C$9, 100%, $E$9)</f>
        <v>6.3474000000000004</v>
      </c>
      <c r="E102" s="10">
        <f>CHOOSE(CONTROL!$C$42, 6.3786, 6.3786) * CHOOSE(CONTROL!$C$21, $C$9, 100%, $E$9)</f>
        <v>6.3785999999999996</v>
      </c>
      <c r="F102" s="10">
        <f>CHOOSE(CONTROL!$C$42, 6.1062, 6.1062)*CHOOSE(CONTROL!$C$21, $C$9, 100%, $E$9)</f>
        <v>6.1062000000000003</v>
      </c>
      <c r="G102" s="10">
        <f>CHOOSE(CONTROL!$C$42, 6.1231, 6.1231)*CHOOSE(CONTROL!$C$21, $C$9, 100%, $E$9)</f>
        <v>6.1231</v>
      </c>
      <c r="H102" s="10">
        <f>CHOOSE(CONTROL!$C$42, 6.367, 6.367) * CHOOSE(CONTROL!$C$21, $C$9, 100%, $E$9)</f>
        <v>6.367</v>
      </c>
      <c r="I102" s="10">
        <f>CHOOSE(CONTROL!$C$42, 6.1389, 6.1389)* CHOOSE(CONTROL!$C$21, $C$9, 100%, $E$9)</f>
        <v>6.1388999999999996</v>
      </c>
      <c r="J102" s="10">
        <f>CHOOSE(CONTROL!$C$42, 6.0988, 6.0988)* CHOOSE(CONTROL!$C$21, $C$9, 100%, $E$9)</f>
        <v>6.0987999999999998</v>
      </c>
      <c r="K102" s="10">
        <f>CHOOSE(CONTROL!$C$42, 6.1043, 6.1043) * CHOOSE(CONTROL!$C$21, $C$9, 100%, $E$9)</f>
        <v>6.1043000000000003</v>
      </c>
      <c r="L102" s="10">
        <f>CHOOSE(CONTROL!$C$42, 6.954, 6.954) * CHOOSE(CONTROL!$C$21, $C$9, 100%, $E$9)</f>
        <v>6.9539999999999997</v>
      </c>
      <c r="M102" s="10">
        <f>CHOOSE(CONTROL!$C$42, 6.0529, 6.0529) * CHOOSE(CONTROL!$C$21, $C$9, 100%, $E$9)</f>
        <v>6.0529000000000002</v>
      </c>
      <c r="N102" s="10">
        <f>CHOOSE(CONTROL!$C$42, 6.0696, 6.0696) * CHOOSE(CONTROL!$C$21, $C$9, 100%, $E$9)</f>
        <v>6.0696000000000003</v>
      </c>
      <c r="O102" s="10">
        <f>CHOOSE(CONTROL!$C$42, 6.3176, 6.3176) * CHOOSE(CONTROL!$C$21, $C$9, 100%, $E$9)</f>
        <v>6.3175999999999997</v>
      </c>
      <c r="P102" s="10">
        <f>CHOOSE(CONTROL!$C$42, 6.0926, 6.0926) * CHOOSE(CONTROL!$C$21, $C$9, 100%, $E$9)</f>
        <v>6.0926</v>
      </c>
      <c r="Q102" s="10">
        <f>CHOOSE(CONTROL!$C$42, 6.9129, 6.9129) * CHOOSE(CONTROL!$C$21, $C$9, 100%, $E$9)</f>
        <v>6.9128999999999996</v>
      </c>
      <c r="R102" s="10">
        <f>CHOOSE(CONTROL!$C$42, 7.5172, 7.5172) * CHOOSE(CONTROL!$C$21, $C$9, 100%, $E$9)</f>
        <v>7.5171999999999999</v>
      </c>
      <c r="S102" s="10">
        <f>CHOOSE(CONTROL!$C$42, 5.9835, 5.9835) * CHOOSE(CONTROL!$C$21, $C$9, 100%, $E$9)</f>
        <v>5.9835000000000003</v>
      </c>
      <c r="T1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38">
        <f>(1000*CHOOSE(CONTROL!$C$42, 695, 695)*CHOOSE(CONTROL!$C$42, 0.5599, 0.5599)*CHOOSE(CONTROL!$C$42, 30, 30))/1000000</f>
        <v>11.673914999999997</v>
      </c>
      <c r="V102" s="38">
        <f>(1000*CHOOSE(CONTROL!$C$42, 500, 500)*CHOOSE(CONTROL!$C$42, 0.275, 0.275)*CHOOSE(CONTROL!$C$42, 30, 30))/1000000</f>
        <v>4.125</v>
      </c>
      <c r="W102" s="38">
        <f>(1000*CHOOSE(CONTROL!$C$42, 0.1146, 0.1146)*CHOOSE(CONTROL!$C$42, 121.5, 121.5)*CHOOSE(CONTROL!$C$42, 30, 30))/1000000</f>
        <v>0.417717</v>
      </c>
      <c r="X102" s="38">
        <f>(30*0.1790888*245000/1000000)+(30*0.2374*100000/1000000)</f>
        <v>2.0285026799999999</v>
      </c>
      <c r="Y102" s="38">
        <f>(1000*600*CHOOSE(CONTROL!$C$42, 1.7748, 1.7748)*CHOOSE(CONTROL!$C$42, 30, 30))/1000000</f>
        <v>31.946400000000001</v>
      </c>
      <c r="Z102" s="38"/>
      <c r="AA102" s="10"/>
      <c r="AB102" s="39"/>
      <c r="AC102" s="33">
        <f>(B102*194.205+C102*267.466+D102*133.845+E102*53.484+F102*40+G102*185+H102*0+I102*100+J102*300)/(194.205+267.466+133.845+53.484+0+40+185+100+300)</f>
        <v>6.1689878875196236</v>
      </c>
      <c r="AD102" s="27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6.136725179856116</v>
      </c>
    </row>
    <row r="103" spans="1:30" ht="15" x14ac:dyDescent="0.2">
      <c r="A103" s="16">
        <v>44378</v>
      </c>
      <c r="B103" s="10">
        <f>CHOOSE(CONTROL!$C$42, 6.0458, 6.0458) * CHOOSE(CONTROL!$C$21, $C$9, 100%, $E$9)</f>
        <v>6.0457999999999998</v>
      </c>
      <c r="C103" s="10">
        <f>CHOOSE(CONTROL!$C$42, 6.0538, 6.0538) * CHOOSE(CONTROL!$C$21, $C$9, 100%, $E$9)</f>
        <v>6.0537999999999998</v>
      </c>
      <c r="D103" s="10">
        <f>CHOOSE(CONTROL!$C$42, 6.2289, 6.2289) * CHOOSE(CONTROL!$C$21, $C$9, 100%, $E$9)</f>
        <v>6.2289000000000003</v>
      </c>
      <c r="E103" s="10">
        <f>CHOOSE(CONTROL!$C$42, 6.2601, 6.2601) * CHOOSE(CONTROL!$C$21, $C$9, 100%, $E$9)</f>
        <v>6.2601000000000004</v>
      </c>
      <c r="F103" s="10">
        <f>CHOOSE(CONTROL!$C$42, 5.988, 5.988)*CHOOSE(CONTROL!$C$21, $C$9, 100%, $E$9)</f>
        <v>5.9880000000000004</v>
      </c>
      <c r="G103" s="10">
        <f>CHOOSE(CONTROL!$C$42, 6.005, 6.005)*CHOOSE(CONTROL!$C$21, $C$9, 100%, $E$9)</f>
        <v>6.0049999999999999</v>
      </c>
      <c r="H103" s="10">
        <f>CHOOSE(CONTROL!$C$42, 6.2484, 6.2484) * CHOOSE(CONTROL!$C$21, $C$9, 100%, $E$9)</f>
        <v>6.2484000000000002</v>
      </c>
      <c r="I103" s="10">
        <f>CHOOSE(CONTROL!$C$42, 6.0204, 6.0204)* CHOOSE(CONTROL!$C$21, $C$9, 100%, $E$9)</f>
        <v>6.0204000000000004</v>
      </c>
      <c r="J103" s="10">
        <f>CHOOSE(CONTROL!$C$42, 5.9806, 5.9806)* CHOOSE(CONTROL!$C$21, $C$9, 100%, $E$9)</f>
        <v>5.9805999999999999</v>
      </c>
      <c r="K103" s="10">
        <f>CHOOSE(CONTROL!$C$42, 5.9903, 5.9903) * CHOOSE(CONTROL!$C$21, $C$9, 100%, $E$9)</f>
        <v>5.9903000000000004</v>
      </c>
      <c r="L103" s="10">
        <f>CHOOSE(CONTROL!$C$42, 6.8354, 6.8354) * CHOOSE(CONTROL!$C$21, $C$9, 100%, $E$9)</f>
        <v>6.8353999999999999</v>
      </c>
      <c r="M103" s="10">
        <f>CHOOSE(CONTROL!$C$42, 5.9362, 5.9362) * CHOOSE(CONTROL!$C$21, $C$9, 100%, $E$9)</f>
        <v>5.9362000000000004</v>
      </c>
      <c r="N103" s="10">
        <f>CHOOSE(CONTROL!$C$42, 5.953, 5.953) * CHOOSE(CONTROL!$C$21, $C$9, 100%, $E$9)</f>
        <v>5.9530000000000003</v>
      </c>
      <c r="O103" s="10">
        <f>CHOOSE(CONTROL!$C$42, 6.2006, 6.2006) * CHOOSE(CONTROL!$C$21, $C$9, 100%, $E$9)</f>
        <v>6.2005999999999997</v>
      </c>
      <c r="P103" s="10">
        <f>CHOOSE(CONTROL!$C$42, 5.9756, 5.9756) * CHOOSE(CONTROL!$C$21, $C$9, 100%, $E$9)</f>
        <v>5.9756</v>
      </c>
      <c r="Q103" s="10">
        <f>CHOOSE(CONTROL!$C$42, 6.7959, 6.7959) * CHOOSE(CONTROL!$C$21, $C$9, 100%, $E$9)</f>
        <v>6.7958999999999996</v>
      </c>
      <c r="R103" s="10">
        <f>CHOOSE(CONTROL!$C$42, 7.3999, 7.3999) * CHOOSE(CONTROL!$C$21, $C$9, 100%, $E$9)</f>
        <v>7.3998999999999997</v>
      </c>
      <c r="S103" s="10">
        <f>CHOOSE(CONTROL!$C$42, 5.8687, 5.8687) * CHOOSE(CONTROL!$C$21, $C$9, 100%, $E$9)</f>
        <v>5.8686999999999996</v>
      </c>
      <c r="T1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38">
        <f>(1000*CHOOSE(CONTROL!$C$42, 695, 695)*CHOOSE(CONTROL!$C$42, 0.5599, 0.5599)*CHOOSE(CONTROL!$C$42, 31, 31))/1000000</f>
        <v>12.063045499999998</v>
      </c>
      <c r="V103" s="38">
        <f>(1000*CHOOSE(CONTROL!$C$42, 500, 500)*CHOOSE(CONTROL!$C$42, 0.275, 0.275)*CHOOSE(CONTROL!$C$42, 31, 31))/1000000</f>
        <v>4.2625000000000002</v>
      </c>
      <c r="W103" s="38">
        <f>(1000*CHOOSE(CONTROL!$C$42, 0.1146, 0.1146)*CHOOSE(CONTROL!$C$42, 121.5, 121.5)*CHOOSE(CONTROL!$C$42, 31, 31))/1000000</f>
        <v>0.43164089999999994</v>
      </c>
      <c r="X103" s="38">
        <f>(31*0.1790888*245000/1000000)+(31*0.2374*100000/1000000)</f>
        <v>2.0961194359999999</v>
      </c>
      <c r="Y103" s="38">
        <f>(1000*600*CHOOSE(CONTROL!$C$42, 1.7748, 1.7748)*CHOOSE(CONTROL!$C$42, 31, 31))/1000000</f>
        <v>33.011279999999999</v>
      </c>
      <c r="Z103" s="38"/>
      <c r="AA103" s="10"/>
      <c r="AB103" s="39"/>
      <c r="AC103" s="33">
        <f>(B103*194.205+C103*267.466+D103*133.845+E103*53.484+F103*40+G103*185+H103*0+I103*100+J103*300)/(194.205+267.466+133.845+53.484+0+40+185+100+300)</f>
        <v>6.050626035086343</v>
      </c>
      <c r="AD103" s="27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6.0199208633093519</v>
      </c>
    </row>
    <row r="104" spans="1:30" ht="15" x14ac:dyDescent="0.2">
      <c r="A104" s="16">
        <v>44409</v>
      </c>
      <c r="B104" s="10">
        <f>CHOOSE(CONTROL!$C$42, 5.7465, 5.7465) * CHOOSE(CONTROL!$C$21, $C$9, 100%, $E$9)</f>
        <v>5.7465000000000002</v>
      </c>
      <c r="C104" s="10">
        <f>CHOOSE(CONTROL!$C$42, 5.7545, 5.7545) * CHOOSE(CONTROL!$C$21, $C$9, 100%, $E$9)</f>
        <v>5.7545000000000002</v>
      </c>
      <c r="D104" s="10">
        <f>CHOOSE(CONTROL!$C$42, 5.9296, 5.9296) * CHOOSE(CONTROL!$C$21, $C$9, 100%, $E$9)</f>
        <v>5.9295999999999998</v>
      </c>
      <c r="E104" s="10">
        <f>CHOOSE(CONTROL!$C$42, 5.9608, 5.9608) * CHOOSE(CONTROL!$C$21, $C$9, 100%, $E$9)</f>
        <v>5.9607999999999999</v>
      </c>
      <c r="F104" s="10">
        <f>CHOOSE(CONTROL!$C$42, 5.6886, 5.6886)*CHOOSE(CONTROL!$C$21, $C$9, 100%, $E$9)</f>
        <v>5.6886000000000001</v>
      </c>
      <c r="G104" s="10">
        <f>CHOOSE(CONTROL!$C$42, 5.7056, 5.7056)*CHOOSE(CONTROL!$C$21, $C$9, 100%, $E$9)</f>
        <v>5.7055999999999996</v>
      </c>
      <c r="H104" s="10">
        <f>CHOOSE(CONTROL!$C$42, 5.9491, 5.9491) * CHOOSE(CONTROL!$C$21, $C$9, 100%, $E$9)</f>
        <v>5.9490999999999996</v>
      </c>
      <c r="I104" s="10">
        <f>CHOOSE(CONTROL!$C$42, 5.7211, 5.7211)* CHOOSE(CONTROL!$C$21, $C$9, 100%, $E$9)</f>
        <v>5.7210999999999999</v>
      </c>
      <c r="J104" s="10">
        <f>CHOOSE(CONTROL!$C$42, 5.6812, 5.6812)* CHOOSE(CONTROL!$C$21, $C$9, 100%, $E$9)</f>
        <v>5.6811999999999996</v>
      </c>
      <c r="K104" s="10">
        <f>CHOOSE(CONTROL!$C$42, 5.7, 5.7) * CHOOSE(CONTROL!$C$21, $C$9, 100%, $E$9)</f>
        <v>5.7</v>
      </c>
      <c r="L104" s="10">
        <f>CHOOSE(CONTROL!$C$42, 6.5361, 6.5361) * CHOOSE(CONTROL!$C$21, $C$9, 100%, $E$9)</f>
        <v>6.5361000000000002</v>
      </c>
      <c r="M104" s="10">
        <f>CHOOSE(CONTROL!$C$42, 5.6407, 5.6407) * CHOOSE(CONTROL!$C$21, $C$9, 100%, $E$9)</f>
        <v>5.6406999999999998</v>
      </c>
      <c r="N104" s="10">
        <f>CHOOSE(CONTROL!$C$42, 5.6575, 5.6575) * CHOOSE(CONTROL!$C$21, $C$9, 100%, $E$9)</f>
        <v>5.6574999999999998</v>
      </c>
      <c r="O104" s="10">
        <f>CHOOSE(CONTROL!$C$42, 5.9052, 5.9052) * CHOOSE(CONTROL!$C$21, $C$9, 100%, $E$9)</f>
        <v>5.9051999999999998</v>
      </c>
      <c r="P104" s="10">
        <f>CHOOSE(CONTROL!$C$42, 5.6801, 5.6801) * CHOOSE(CONTROL!$C$21, $C$9, 100%, $E$9)</f>
        <v>5.6801000000000004</v>
      </c>
      <c r="Q104" s="10">
        <f>CHOOSE(CONTROL!$C$42, 6.5005, 6.5005) * CHOOSE(CONTROL!$C$21, $C$9, 100%, $E$9)</f>
        <v>6.5004999999999997</v>
      </c>
      <c r="R104" s="10">
        <f>CHOOSE(CONTROL!$C$42, 7.1037, 7.1037) * CHOOSE(CONTROL!$C$21, $C$9, 100%, $E$9)</f>
        <v>7.1036999999999999</v>
      </c>
      <c r="S104" s="10">
        <f>CHOOSE(CONTROL!$C$42, 5.5789, 5.5789) * CHOOSE(CONTROL!$C$21, $C$9, 100%, $E$9)</f>
        <v>5.5789</v>
      </c>
      <c r="T1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38">
        <f>(1000*CHOOSE(CONTROL!$C$42, 695, 695)*CHOOSE(CONTROL!$C$42, 0.5599, 0.5599)*CHOOSE(CONTROL!$C$42, 31, 31))/1000000</f>
        <v>12.063045499999998</v>
      </c>
      <c r="V104" s="38">
        <f>(1000*CHOOSE(CONTROL!$C$42, 500, 500)*CHOOSE(CONTROL!$C$42, 0.275, 0.275)*CHOOSE(CONTROL!$C$42, 31, 31))/1000000</f>
        <v>4.2625000000000002</v>
      </c>
      <c r="W104" s="38">
        <f>(1000*CHOOSE(CONTROL!$C$42, 0.1146, 0.1146)*CHOOSE(CONTROL!$C$42, 121.5, 121.5)*CHOOSE(CONTROL!$C$42, 31, 31))/1000000</f>
        <v>0.43164089999999994</v>
      </c>
      <c r="X104" s="38">
        <f>(31*0.1790888*245000/1000000)+(31*0.2374*100000/1000000)</f>
        <v>2.0961194359999999</v>
      </c>
      <c r="Y104" s="38">
        <f>(1000*600*CHOOSE(CONTROL!$C$42, 1.7748, 1.7748)*CHOOSE(CONTROL!$C$42, 31, 31))/1000000</f>
        <v>33.011279999999999</v>
      </c>
      <c r="Z104" s="38"/>
      <c r="AA104" s="10"/>
      <c r="AB104" s="39"/>
      <c r="AC104" s="33">
        <f>(B104*194.205+C104*267.466+D104*133.845+E104*53.484+F104*40+G104*185+H104*0+I104*100+J104*300)/(194.205+267.466+133.845+53.484+0+40+185+100+300)</f>
        <v>5.7512848262951328</v>
      </c>
      <c r="AD104" s="27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5.7244489208633098</v>
      </c>
    </row>
    <row r="105" spans="1:30" ht="15" x14ac:dyDescent="0.2">
      <c r="A105" s="16">
        <v>44440</v>
      </c>
      <c r="B105" s="10">
        <f>CHOOSE(CONTROL!$C$42, 5.3807, 5.3807) * CHOOSE(CONTROL!$C$21, $C$9, 100%, $E$9)</f>
        <v>5.3807</v>
      </c>
      <c r="C105" s="10">
        <f>CHOOSE(CONTROL!$C$42, 5.3887, 5.3887) * CHOOSE(CONTROL!$C$21, $C$9, 100%, $E$9)</f>
        <v>5.3887</v>
      </c>
      <c r="D105" s="10">
        <f>CHOOSE(CONTROL!$C$42, 5.5639, 5.5639) * CHOOSE(CONTROL!$C$21, $C$9, 100%, $E$9)</f>
        <v>5.5639000000000003</v>
      </c>
      <c r="E105" s="10">
        <f>CHOOSE(CONTROL!$C$42, 5.5951, 5.5951) * CHOOSE(CONTROL!$C$21, $C$9, 100%, $E$9)</f>
        <v>5.5951000000000004</v>
      </c>
      <c r="F105" s="10">
        <f>CHOOSE(CONTROL!$C$42, 5.3225, 5.3225)*CHOOSE(CONTROL!$C$21, $C$9, 100%, $E$9)</f>
        <v>5.3224999999999998</v>
      </c>
      <c r="G105" s="10">
        <f>CHOOSE(CONTROL!$C$42, 5.3395, 5.3395)*CHOOSE(CONTROL!$C$21, $C$9, 100%, $E$9)</f>
        <v>5.3395000000000001</v>
      </c>
      <c r="H105" s="10">
        <f>CHOOSE(CONTROL!$C$42, 5.5834, 5.5834) * CHOOSE(CONTROL!$C$21, $C$9, 100%, $E$9)</f>
        <v>5.5834000000000001</v>
      </c>
      <c r="I105" s="10">
        <f>CHOOSE(CONTROL!$C$42, 5.3554, 5.3554)* CHOOSE(CONTROL!$C$21, $C$9, 100%, $E$9)</f>
        <v>5.3554000000000004</v>
      </c>
      <c r="J105" s="10">
        <f>CHOOSE(CONTROL!$C$42, 5.3151, 5.3151)* CHOOSE(CONTROL!$C$21, $C$9, 100%, $E$9)</f>
        <v>5.3151000000000002</v>
      </c>
      <c r="K105" s="10">
        <f>CHOOSE(CONTROL!$C$42, 5.3451, 5.3451) * CHOOSE(CONTROL!$C$21, $C$9, 100%, $E$9)</f>
        <v>5.3451000000000004</v>
      </c>
      <c r="L105" s="10">
        <f>CHOOSE(CONTROL!$C$42, 6.1704, 6.1704) * CHOOSE(CONTROL!$C$21, $C$9, 100%, $E$9)</f>
        <v>6.1703999999999999</v>
      </c>
      <c r="M105" s="10">
        <f>CHOOSE(CONTROL!$C$42, 5.2794, 5.2794) * CHOOSE(CONTROL!$C$21, $C$9, 100%, $E$9)</f>
        <v>5.2793999999999999</v>
      </c>
      <c r="N105" s="10">
        <f>CHOOSE(CONTROL!$C$42, 5.2961, 5.2961) * CHOOSE(CONTROL!$C$21, $C$9, 100%, $E$9)</f>
        <v>5.2961</v>
      </c>
      <c r="O105" s="10">
        <f>CHOOSE(CONTROL!$C$42, 5.5442, 5.5442) * CHOOSE(CONTROL!$C$21, $C$9, 100%, $E$9)</f>
        <v>5.5442</v>
      </c>
      <c r="P105" s="10">
        <f>CHOOSE(CONTROL!$C$42, 5.3192, 5.3192) * CHOOSE(CONTROL!$C$21, $C$9, 100%, $E$9)</f>
        <v>5.3192000000000004</v>
      </c>
      <c r="Q105" s="10">
        <f>CHOOSE(CONTROL!$C$42, 6.1395, 6.1395) * CHOOSE(CONTROL!$C$21, $C$9, 100%, $E$9)</f>
        <v>6.1395</v>
      </c>
      <c r="R105" s="10">
        <f>CHOOSE(CONTROL!$C$42, 6.7418, 6.7418) * CHOOSE(CONTROL!$C$21, $C$9, 100%, $E$9)</f>
        <v>6.7417999999999996</v>
      </c>
      <c r="S105" s="10">
        <f>CHOOSE(CONTROL!$C$42, 5.2248, 5.2248) * CHOOSE(CONTROL!$C$21, $C$9, 100%, $E$9)</f>
        <v>5.2248000000000001</v>
      </c>
      <c r="T1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38">
        <f>(1000*CHOOSE(CONTROL!$C$42, 695, 695)*CHOOSE(CONTROL!$C$42, 0.5599, 0.5599)*CHOOSE(CONTROL!$C$42, 30, 30))/1000000</f>
        <v>11.673914999999997</v>
      </c>
      <c r="V105" s="38">
        <f>(1000*CHOOSE(CONTROL!$C$42, 500, 500)*CHOOSE(CONTROL!$C$42, 0.275, 0.275)*CHOOSE(CONTROL!$C$42, 30, 30))/1000000</f>
        <v>4.125</v>
      </c>
      <c r="W105" s="38">
        <f>(1000*CHOOSE(CONTROL!$C$42, 0.1146, 0.1146)*CHOOSE(CONTROL!$C$42, 121.5, 121.5)*CHOOSE(CONTROL!$C$42, 30, 30))/1000000</f>
        <v>0.417717</v>
      </c>
      <c r="X105" s="38">
        <f>(30*0.1790888*245000/1000000)+(30*0.2374*100000/1000000)</f>
        <v>2.0285026799999999</v>
      </c>
      <c r="Y105" s="38">
        <f>(1000*600*CHOOSE(CONTROL!$C$42, 1.7748, 1.7748)*CHOOSE(CONTROL!$C$42, 30, 30))/1000000</f>
        <v>31.946400000000001</v>
      </c>
      <c r="Z105" s="38"/>
      <c r="AA105" s="10"/>
      <c r="AB105" s="39"/>
      <c r="AC105" s="33">
        <f>(B105*194.205+C105*267.466+D105*133.845+E105*53.484+F105*40+G105*185+H105*0+I105*100+J105*300)/(194.205+267.466+133.845+53.484+0+40+185+100+300)</f>
        <v>5.3853837532182105</v>
      </c>
      <c r="AD105" s="27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5.3632676258992795</v>
      </c>
    </row>
    <row r="106" spans="1:30" ht="15" x14ac:dyDescent="0.2">
      <c r="A106" s="16">
        <v>44470</v>
      </c>
      <c r="B106" s="10">
        <f>CHOOSE(CONTROL!$C$42, 5.2691, 5.2691) * CHOOSE(CONTROL!$C$21, $C$9, 100%, $E$9)</f>
        <v>5.2690999999999999</v>
      </c>
      <c r="C106" s="10">
        <f>CHOOSE(CONTROL!$C$42, 5.2744, 5.2744) * CHOOSE(CONTROL!$C$21, $C$9, 100%, $E$9)</f>
        <v>5.2744</v>
      </c>
      <c r="D106" s="10">
        <f>CHOOSE(CONTROL!$C$42, 5.4544, 5.4544) * CHOOSE(CONTROL!$C$21, $C$9, 100%, $E$9)</f>
        <v>5.4543999999999997</v>
      </c>
      <c r="E106" s="10">
        <f>CHOOSE(CONTROL!$C$42, 5.4834, 5.4834) * CHOOSE(CONTROL!$C$21, $C$9, 100%, $E$9)</f>
        <v>5.4833999999999996</v>
      </c>
      <c r="F106" s="10">
        <f>CHOOSE(CONTROL!$C$42, 5.2129, 5.2129)*CHOOSE(CONTROL!$C$21, $C$9, 100%, $E$9)</f>
        <v>5.2129000000000003</v>
      </c>
      <c r="G106" s="10">
        <f>CHOOSE(CONTROL!$C$42, 5.2295, 5.2295)*CHOOSE(CONTROL!$C$21, $C$9, 100%, $E$9)</f>
        <v>5.2294999999999998</v>
      </c>
      <c r="H106" s="10">
        <f>CHOOSE(CONTROL!$C$42, 5.4735, 5.4735) * CHOOSE(CONTROL!$C$21, $C$9, 100%, $E$9)</f>
        <v>5.4734999999999996</v>
      </c>
      <c r="I106" s="10">
        <f>CHOOSE(CONTROL!$C$42, 5.2455, 5.2455)* CHOOSE(CONTROL!$C$21, $C$9, 100%, $E$9)</f>
        <v>5.2454999999999998</v>
      </c>
      <c r="J106" s="10">
        <f>CHOOSE(CONTROL!$C$42, 5.2055, 5.2055)* CHOOSE(CONTROL!$C$21, $C$9, 100%, $E$9)</f>
        <v>5.2054999999999998</v>
      </c>
      <c r="K106" s="10">
        <f>CHOOSE(CONTROL!$C$42, 5.2391, 5.2391) * CHOOSE(CONTROL!$C$21, $C$9, 100%, $E$9)</f>
        <v>5.2390999999999996</v>
      </c>
      <c r="L106" s="10">
        <f>CHOOSE(CONTROL!$C$42, 6.0605, 6.0605) * CHOOSE(CONTROL!$C$21, $C$9, 100%, $E$9)</f>
        <v>6.0605000000000002</v>
      </c>
      <c r="M106" s="10">
        <f>CHOOSE(CONTROL!$C$42, 5.1711, 5.1711) * CHOOSE(CONTROL!$C$21, $C$9, 100%, $E$9)</f>
        <v>5.1711</v>
      </c>
      <c r="N106" s="10">
        <f>CHOOSE(CONTROL!$C$42, 5.1875, 5.1875) * CHOOSE(CONTROL!$C$21, $C$9, 100%, $E$9)</f>
        <v>5.1875</v>
      </c>
      <c r="O106" s="10">
        <f>CHOOSE(CONTROL!$C$42, 5.4357, 5.4357) * CHOOSE(CONTROL!$C$21, $C$9, 100%, $E$9)</f>
        <v>5.4356999999999998</v>
      </c>
      <c r="P106" s="10">
        <f>CHOOSE(CONTROL!$C$42, 5.2107, 5.2107) * CHOOSE(CONTROL!$C$21, $C$9, 100%, $E$9)</f>
        <v>5.2107000000000001</v>
      </c>
      <c r="Q106" s="10">
        <f>CHOOSE(CONTROL!$C$42, 6.031, 6.031) * CHOOSE(CONTROL!$C$21, $C$9, 100%, $E$9)</f>
        <v>6.0309999999999997</v>
      </c>
      <c r="R106" s="10">
        <f>CHOOSE(CONTROL!$C$42, 6.6331, 6.6331) * CHOOSE(CONTROL!$C$21, $C$9, 100%, $E$9)</f>
        <v>6.6330999999999998</v>
      </c>
      <c r="S106" s="10">
        <f>CHOOSE(CONTROL!$C$42, 5.1183, 5.1183) * CHOOSE(CONTROL!$C$21, $C$9, 100%, $E$9)</f>
        <v>5.1182999999999996</v>
      </c>
      <c r="T1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38">
        <f>(1000*CHOOSE(CONTROL!$C$42, 695, 695)*CHOOSE(CONTROL!$C$42, 0.5599, 0.5599)*CHOOSE(CONTROL!$C$42, 31, 31))/1000000</f>
        <v>12.063045499999998</v>
      </c>
      <c r="V106" s="38">
        <f>(1000*CHOOSE(CONTROL!$C$42, 500, 500)*CHOOSE(CONTROL!$C$42, 0.275, 0.275)*CHOOSE(CONTROL!$C$42, 31, 31))/1000000</f>
        <v>4.2625000000000002</v>
      </c>
      <c r="W106" s="38">
        <f>(1000*CHOOSE(CONTROL!$C$42, 0.1146, 0.1146)*CHOOSE(CONTROL!$C$42, 121.5, 121.5)*CHOOSE(CONTROL!$C$42, 31, 31))/1000000</f>
        <v>0.43164089999999994</v>
      </c>
      <c r="X106" s="38">
        <f>(31*0.1790888*245000/1000000)+(31*0.2374*100000/1000000)</f>
        <v>2.0961194359999999</v>
      </c>
      <c r="Y106" s="38">
        <f>(1000*600*CHOOSE(CONTROL!$C$42, 1.7748, 1.7748)*CHOOSE(CONTROL!$C$42, 31, 31))/1000000</f>
        <v>33.011279999999999</v>
      </c>
      <c r="Z106" s="38"/>
      <c r="AA106" s="10"/>
      <c r="AB106" s="39"/>
      <c r="AC106" s="33">
        <f>(B106*131.881+C106*277.167+D106*79.08+E106*125.872+F106*40+G106*185+H106*0+I106*100+J106*300)/(131.881+277.167+79.08+125.872+0+40+185+100+300)</f>
        <v>5.2788521216303472</v>
      </c>
      <c r="AD106" s="27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5.2548136690647489</v>
      </c>
    </row>
    <row r="107" spans="1:30" ht="15" x14ac:dyDescent="0.2">
      <c r="A107" s="16">
        <v>44501</v>
      </c>
      <c r="B107" s="10">
        <f>CHOOSE(CONTROL!$C$42, 5.4079, 5.4079) * CHOOSE(CONTROL!$C$21, $C$9, 100%, $E$9)</f>
        <v>5.4078999999999997</v>
      </c>
      <c r="C107" s="10">
        <f>CHOOSE(CONTROL!$C$42, 5.413, 5.413) * CHOOSE(CONTROL!$C$21, $C$9, 100%, $E$9)</f>
        <v>5.4130000000000003</v>
      </c>
      <c r="D107" s="10">
        <f>CHOOSE(CONTROL!$C$42, 5.4377, 5.4377) * CHOOSE(CONTROL!$C$21, $C$9, 100%, $E$9)</f>
        <v>5.4377000000000004</v>
      </c>
      <c r="E107" s="10">
        <f>CHOOSE(CONTROL!$C$42, 5.4715, 5.4715) * CHOOSE(CONTROL!$C$21, $C$9, 100%, $E$9)</f>
        <v>5.4714999999999998</v>
      </c>
      <c r="F107" s="10">
        <f>CHOOSE(CONTROL!$C$42, 5.3736, 5.3736)*CHOOSE(CONTROL!$C$21, $C$9, 100%, $E$9)</f>
        <v>5.3735999999999997</v>
      </c>
      <c r="G107" s="10">
        <f>CHOOSE(CONTROL!$C$42, 5.3904, 5.3904)*CHOOSE(CONTROL!$C$21, $C$9, 100%, $E$9)</f>
        <v>5.3903999999999996</v>
      </c>
      <c r="H107" s="10">
        <f>CHOOSE(CONTROL!$C$42, 5.4604, 5.4604) * CHOOSE(CONTROL!$C$21, $C$9, 100%, $E$9)</f>
        <v>5.4603999999999999</v>
      </c>
      <c r="I107" s="10">
        <f>CHOOSE(CONTROL!$C$42, 5.4074, 5.4074)* CHOOSE(CONTROL!$C$21, $C$9, 100%, $E$9)</f>
        <v>5.4074</v>
      </c>
      <c r="J107" s="10">
        <f>CHOOSE(CONTROL!$C$42, 5.3662, 5.3662)* CHOOSE(CONTROL!$C$21, $C$9, 100%, $E$9)</f>
        <v>5.3662000000000001</v>
      </c>
      <c r="K107" s="10">
        <f>CHOOSE(CONTROL!$C$42, 5.3978, 5.3978) * CHOOSE(CONTROL!$C$21, $C$9, 100%, $E$9)</f>
        <v>5.3978000000000002</v>
      </c>
      <c r="L107" s="10">
        <f>CHOOSE(CONTROL!$C$42, 6.0474, 6.0474) * CHOOSE(CONTROL!$C$21, $C$9, 100%, $E$9)</f>
        <v>6.0473999999999997</v>
      </c>
      <c r="M107" s="10">
        <f>CHOOSE(CONTROL!$C$42, 5.3297, 5.3297) * CHOOSE(CONTROL!$C$21, $C$9, 100%, $E$9)</f>
        <v>5.3296999999999999</v>
      </c>
      <c r="N107" s="10">
        <f>CHOOSE(CONTROL!$C$42, 5.3463, 5.3463) * CHOOSE(CONTROL!$C$21, $C$9, 100%, $E$9)</f>
        <v>5.3463000000000003</v>
      </c>
      <c r="O107" s="10">
        <f>CHOOSE(CONTROL!$C$42, 5.4228, 5.4228) * CHOOSE(CONTROL!$C$21, $C$9, 100%, $E$9)</f>
        <v>5.4227999999999996</v>
      </c>
      <c r="P107" s="10">
        <f>CHOOSE(CONTROL!$C$42, 5.3705, 5.3705) * CHOOSE(CONTROL!$C$21, $C$9, 100%, $E$9)</f>
        <v>5.3704999999999998</v>
      </c>
      <c r="Q107" s="10">
        <f>CHOOSE(CONTROL!$C$42, 6.0181, 6.0181) * CHOOSE(CONTROL!$C$21, $C$9, 100%, $E$9)</f>
        <v>6.0180999999999996</v>
      </c>
      <c r="R107" s="10">
        <f>CHOOSE(CONTROL!$C$42, 6.6201, 6.6201) * CHOOSE(CONTROL!$C$21, $C$9, 100%, $E$9)</f>
        <v>6.6200999999999999</v>
      </c>
      <c r="S107" s="10">
        <f>CHOOSE(CONTROL!$C$42, 5.2532, 5.2532) * CHOOSE(CONTROL!$C$21, $C$9, 100%, $E$9)</f>
        <v>5.2531999999999996</v>
      </c>
      <c r="T1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38">
        <f>(1000*CHOOSE(CONTROL!$C$42, 695, 695)*CHOOSE(CONTROL!$C$42, 0.5599, 0.5599)*CHOOSE(CONTROL!$C$42, 30, 30))/1000000</f>
        <v>11.673914999999997</v>
      </c>
      <c r="V107" s="38">
        <f>(1000*CHOOSE(CONTROL!$C$42, 500, 500)*CHOOSE(CONTROL!$C$42, 0.275, 0.275)*CHOOSE(CONTROL!$C$42, 30, 30))/1000000</f>
        <v>4.125</v>
      </c>
      <c r="W107" s="38">
        <f>(1000*CHOOSE(CONTROL!$C$42, 0.1146, 0.1146)*CHOOSE(CONTROL!$C$42, 121.5, 121.5)*CHOOSE(CONTROL!$C$42, 30, 30))/1000000</f>
        <v>0.417717</v>
      </c>
      <c r="X107" s="38">
        <f>(30*0.1790888*100000/1000000)+(30*0.2374*100000/1000000)</f>
        <v>1.2494664</v>
      </c>
      <c r="Y107" s="38">
        <f>(1000*600*CHOOSE(CONTROL!$C$42, 1.7748, 1.7748)*CHOOSE(CONTROL!$C$42, 30, 30))/1000000</f>
        <v>31.946400000000001</v>
      </c>
      <c r="Z107" s="38"/>
      <c r="AA107" s="10"/>
      <c r="AB107" s="39"/>
      <c r="AC107" s="33">
        <f>(B107*122.58+C107*297.941+D107*89.177+E107*40.302+F107*40+G107*160+H107*0+I107*100+J107*300)/(122.58+297.941+89.177+40.302+0+40+160+100+300)</f>
        <v>5.3992114616521736</v>
      </c>
      <c r="AD107" s="27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5.3787223021582724</v>
      </c>
    </row>
    <row r="108" spans="1:30" ht="15" x14ac:dyDescent="0.2">
      <c r="A108" s="16">
        <v>44531</v>
      </c>
      <c r="B108" s="10">
        <f>CHOOSE(CONTROL!$C$42, 5.7778, 5.7778) * CHOOSE(CONTROL!$C$21, $C$9, 100%, $E$9)</f>
        <v>5.7778</v>
      </c>
      <c r="C108" s="10">
        <f>CHOOSE(CONTROL!$C$42, 5.7828, 5.7828) * CHOOSE(CONTROL!$C$21, $C$9, 100%, $E$9)</f>
        <v>5.7827999999999999</v>
      </c>
      <c r="D108" s="10">
        <f>CHOOSE(CONTROL!$C$42, 5.8075, 5.8075) * CHOOSE(CONTROL!$C$21, $C$9, 100%, $E$9)</f>
        <v>5.8075000000000001</v>
      </c>
      <c r="E108" s="10">
        <f>CHOOSE(CONTROL!$C$42, 5.8413, 5.8413) * CHOOSE(CONTROL!$C$21, $C$9, 100%, $E$9)</f>
        <v>5.8413000000000004</v>
      </c>
      <c r="F108" s="10">
        <f>CHOOSE(CONTROL!$C$42, 5.7452, 5.7452)*CHOOSE(CONTROL!$C$21, $C$9, 100%, $E$9)</f>
        <v>5.7451999999999996</v>
      </c>
      <c r="G108" s="10">
        <f>CHOOSE(CONTROL!$C$42, 5.7624, 5.7624)*CHOOSE(CONTROL!$C$21, $C$9, 100%, $E$9)</f>
        <v>5.7624000000000004</v>
      </c>
      <c r="H108" s="10">
        <f>CHOOSE(CONTROL!$C$42, 5.8302, 5.8302) * CHOOSE(CONTROL!$C$21, $C$9, 100%, $E$9)</f>
        <v>5.8301999999999996</v>
      </c>
      <c r="I108" s="10">
        <f>CHOOSE(CONTROL!$C$42, 5.7772, 5.7772)* CHOOSE(CONTROL!$C$21, $C$9, 100%, $E$9)</f>
        <v>5.7771999999999997</v>
      </c>
      <c r="J108" s="10">
        <f>CHOOSE(CONTROL!$C$42, 5.7378, 5.7378)* CHOOSE(CONTROL!$C$21, $C$9, 100%, $E$9)</f>
        <v>5.7378</v>
      </c>
      <c r="K108" s="10">
        <f>CHOOSE(CONTROL!$C$42, 5.76, 5.76) * CHOOSE(CONTROL!$C$21, $C$9, 100%, $E$9)</f>
        <v>5.76</v>
      </c>
      <c r="L108" s="10">
        <f>CHOOSE(CONTROL!$C$42, 6.4172, 6.4172) * CHOOSE(CONTROL!$C$21, $C$9, 100%, $E$9)</f>
        <v>6.4172000000000002</v>
      </c>
      <c r="M108" s="10">
        <f>CHOOSE(CONTROL!$C$42, 5.6965, 5.6965) * CHOOSE(CONTROL!$C$21, $C$9, 100%, $E$9)</f>
        <v>5.6965000000000003</v>
      </c>
      <c r="N108" s="10">
        <f>CHOOSE(CONTROL!$C$42, 5.7136, 5.7136) * CHOOSE(CONTROL!$C$21, $C$9, 100%, $E$9)</f>
        <v>5.7135999999999996</v>
      </c>
      <c r="O108" s="10">
        <f>CHOOSE(CONTROL!$C$42, 5.7878, 5.7878) * CHOOSE(CONTROL!$C$21, $C$9, 100%, $E$9)</f>
        <v>5.7877999999999998</v>
      </c>
      <c r="P108" s="10">
        <f>CHOOSE(CONTROL!$C$42, 5.7356, 5.7356) * CHOOSE(CONTROL!$C$21, $C$9, 100%, $E$9)</f>
        <v>5.7355999999999998</v>
      </c>
      <c r="Q108" s="10">
        <f>CHOOSE(CONTROL!$C$42, 6.3831, 6.3831) * CHOOSE(CONTROL!$C$21, $C$9, 100%, $E$9)</f>
        <v>6.3830999999999998</v>
      </c>
      <c r="R108" s="10">
        <f>CHOOSE(CONTROL!$C$42, 6.9861, 6.9861) * CHOOSE(CONTROL!$C$21, $C$9, 100%, $E$9)</f>
        <v>6.9861000000000004</v>
      </c>
      <c r="S108" s="10">
        <f>CHOOSE(CONTROL!$C$42, 5.6113, 5.6113) * CHOOSE(CONTROL!$C$21, $C$9, 100%, $E$9)</f>
        <v>5.6113</v>
      </c>
      <c r="T1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38">
        <f>(1000*CHOOSE(CONTROL!$C$42, 695, 695)*CHOOSE(CONTROL!$C$42, 0.5599, 0.5599)*CHOOSE(CONTROL!$C$42, 31, 31))/1000000</f>
        <v>12.063045499999998</v>
      </c>
      <c r="V108" s="38">
        <f>(1000*CHOOSE(CONTROL!$C$42, 500, 500)*CHOOSE(CONTROL!$C$42, 0.275, 0.275)*CHOOSE(CONTROL!$C$42, 31, 31))/1000000</f>
        <v>4.2625000000000002</v>
      </c>
      <c r="W108" s="38">
        <f>(1000*CHOOSE(CONTROL!$C$42, 0.1146, 0.1146)*CHOOSE(CONTROL!$C$42, 121.5, 121.5)*CHOOSE(CONTROL!$C$42, 31, 31))/1000000</f>
        <v>0.43164089999999994</v>
      </c>
      <c r="X108" s="38">
        <f>(31*0.1790888*100000/1000000)+(31*0.2374*100000/1000000)</f>
        <v>1.2911152800000001</v>
      </c>
      <c r="Y108" s="38">
        <f>(1000*600*CHOOSE(CONTROL!$C$42, 1.7748, 1.7748)*CHOOSE(CONTROL!$C$42, 31, 31))/1000000</f>
        <v>33.011279999999999</v>
      </c>
      <c r="Z108" s="38"/>
      <c r="AA108" s="10"/>
      <c r="AB108" s="39"/>
      <c r="AC108" s="33">
        <f>(B108*122.58+C108*297.941+D108*89.177+E108*40.302+F108*40+G108*160+H108*0+I108*100+J108*300)/(122.58+297.941+89.177+40.302+0+40+160+100+300)</f>
        <v>5.7698603816521743</v>
      </c>
      <c r="AD108" s="27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5.7444906474820145</v>
      </c>
    </row>
    <row r="109" spans="1:30" ht="15" x14ac:dyDescent="0.2">
      <c r="A109" s="16">
        <v>44562</v>
      </c>
      <c r="B109" s="10">
        <f>CHOOSE(CONTROL!$C$42, 6.2375, 6.2375) * CHOOSE(CONTROL!$C$21, $C$9, 100%, $E$9)</f>
        <v>6.2374999999999998</v>
      </c>
      <c r="C109" s="10">
        <f>CHOOSE(CONTROL!$C$42, 6.2426, 6.2426) * CHOOSE(CONTROL!$C$21, $C$9, 100%, $E$9)</f>
        <v>6.2426000000000004</v>
      </c>
      <c r="D109" s="10">
        <f>CHOOSE(CONTROL!$C$42, 6.2776, 6.2776) * CHOOSE(CONTROL!$C$21, $C$9, 100%, $E$9)</f>
        <v>6.2775999999999996</v>
      </c>
      <c r="E109" s="10">
        <f>CHOOSE(CONTROL!$C$42, 6.3114, 6.3114) * CHOOSE(CONTROL!$C$21, $C$9, 100%, $E$9)</f>
        <v>6.3113999999999999</v>
      </c>
      <c r="F109" s="10">
        <f>CHOOSE(CONTROL!$C$42, 6.2188, 6.2188)*CHOOSE(CONTROL!$C$21, $C$9, 100%, $E$9)</f>
        <v>6.2187999999999999</v>
      </c>
      <c r="G109" s="10">
        <f>CHOOSE(CONTROL!$C$42, 6.2377, 6.2377)*CHOOSE(CONTROL!$C$21, $C$9, 100%, $E$9)</f>
        <v>6.2377000000000002</v>
      </c>
      <c r="H109" s="10">
        <f>CHOOSE(CONTROL!$C$42, 6.3003, 6.3003) * CHOOSE(CONTROL!$C$21, $C$9, 100%, $E$9)</f>
        <v>6.3003</v>
      </c>
      <c r="I109" s="10">
        <f>CHOOSE(CONTROL!$C$42, 6.2447, 6.2447)* CHOOSE(CONTROL!$C$21, $C$9, 100%, $E$9)</f>
        <v>6.2446999999999999</v>
      </c>
      <c r="J109" s="10">
        <f>CHOOSE(CONTROL!$C$42, 6.2114, 6.2114)* CHOOSE(CONTROL!$C$21, $C$9, 100%, $E$9)</f>
        <v>6.2114000000000003</v>
      </c>
      <c r="K109" s="10">
        <f>CHOOSE(CONTROL!$C$42, 6.2262, 6.2262) * CHOOSE(CONTROL!$C$21, $C$9, 100%, $E$9)</f>
        <v>6.2262000000000004</v>
      </c>
      <c r="L109" s="10">
        <f>CHOOSE(CONTROL!$C$42, 6.8873, 6.8873) * CHOOSE(CONTROL!$C$21, $C$9, 100%, $E$9)</f>
        <v>6.8872999999999998</v>
      </c>
      <c r="M109" s="10">
        <f>CHOOSE(CONTROL!$C$42, 6.164, 6.164) * CHOOSE(CONTROL!$C$21, $C$9, 100%, $E$9)</f>
        <v>6.1639999999999997</v>
      </c>
      <c r="N109" s="10">
        <f>CHOOSE(CONTROL!$C$42, 6.1827, 6.1827) * CHOOSE(CONTROL!$C$21, $C$9, 100%, $E$9)</f>
        <v>6.1826999999999996</v>
      </c>
      <c r="O109" s="10">
        <f>CHOOSE(CONTROL!$C$42, 6.2518, 6.2518) * CHOOSE(CONTROL!$C$21, $C$9, 100%, $E$9)</f>
        <v>6.2518000000000002</v>
      </c>
      <c r="P109" s="10">
        <f>CHOOSE(CONTROL!$C$42, 6.197, 6.197) * CHOOSE(CONTROL!$C$21, $C$9, 100%, $E$9)</f>
        <v>6.1970000000000001</v>
      </c>
      <c r="Q109" s="10">
        <f>CHOOSE(CONTROL!$C$42, 6.8471, 6.8471) * CHOOSE(CONTROL!$C$21, $C$9, 100%, $E$9)</f>
        <v>6.8471000000000002</v>
      </c>
      <c r="R109" s="10">
        <f>CHOOSE(CONTROL!$C$42, 7.4512, 7.4512) * CHOOSE(CONTROL!$C$21, $C$9, 100%, $E$9)</f>
        <v>7.4512</v>
      </c>
      <c r="S109" s="10">
        <f>CHOOSE(CONTROL!$C$42, 6.0564, 6.0564) * CHOOSE(CONTROL!$C$21, $C$9, 100%, $E$9)</f>
        <v>6.0564</v>
      </c>
      <c r="T1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38">
        <f>(1000*CHOOSE(CONTROL!$C$42, 695, 695)*CHOOSE(CONTROL!$C$42, 0.5599, 0.5599)*CHOOSE(CONTROL!$C$42, 31, 31))/1000000</f>
        <v>12.063045499999998</v>
      </c>
      <c r="V109" s="38">
        <f>(1000*CHOOSE(CONTROL!$C$42, 500, 500)*CHOOSE(CONTROL!$C$42, 0.275, 0.275)*CHOOSE(CONTROL!$C$42, 31, 31))/1000000</f>
        <v>4.2625000000000002</v>
      </c>
      <c r="W109" s="38">
        <f>(1000*CHOOSE(CONTROL!$C$42, 0.1146, 0.1146)*CHOOSE(CONTROL!$C$42, 121.5, 121.5)*CHOOSE(CONTROL!$C$42, 31, 31))/1000000</f>
        <v>0.43164089999999994</v>
      </c>
      <c r="X109" s="38">
        <f>(31*0.1790888*100000/1000000)+(31*0.2374*100000/1000000)</f>
        <v>1.2911152800000001</v>
      </c>
      <c r="Y109" s="38">
        <f>(1000*600*CHOOSE(CONTROL!$C$42, 1.7641, 1.7641)*CHOOSE(CONTROL!$C$42, 31, 31))/1000000</f>
        <v>32.812260000000002</v>
      </c>
      <c r="Z109" s="38"/>
      <c r="AA109" s="10"/>
      <c r="AB109" s="39"/>
      <c r="AC109" s="33">
        <f>(B109*122.58+C109*297.941+D109*89.177+E109*40.302+F109*40+G109*160+H109*0+I109*100+J109*300)/(122.58+297.941+89.177+40.302+0+40+160+100+300)</f>
        <v>6.2377154909565222</v>
      </c>
      <c r="AD109" s="27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6.2096187050359708</v>
      </c>
    </row>
    <row r="110" spans="1:30" ht="15" x14ac:dyDescent="0.2">
      <c r="A110" s="16">
        <v>44593</v>
      </c>
      <c r="B110" s="10">
        <f>CHOOSE(CONTROL!$C$42, 6.3488, 6.3488) * CHOOSE(CONTROL!$C$21, $C$9, 100%, $E$9)</f>
        <v>6.3487999999999998</v>
      </c>
      <c r="C110" s="10">
        <f>CHOOSE(CONTROL!$C$42, 6.3539, 6.3539) * CHOOSE(CONTROL!$C$21, $C$9, 100%, $E$9)</f>
        <v>6.3539000000000003</v>
      </c>
      <c r="D110" s="10">
        <f>CHOOSE(CONTROL!$C$42, 6.3889, 6.3889) * CHOOSE(CONTROL!$C$21, $C$9, 100%, $E$9)</f>
        <v>6.3888999999999996</v>
      </c>
      <c r="E110" s="10">
        <f>CHOOSE(CONTROL!$C$42, 6.4227, 6.4227) * CHOOSE(CONTROL!$C$21, $C$9, 100%, $E$9)</f>
        <v>6.4226999999999999</v>
      </c>
      <c r="F110" s="10">
        <f>CHOOSE(CONTROL!$C$42, 6.3296, 6.3296)*CHOOSE(CONTROL!$C$21, $C$9, 100%, $E$9)</f>
        <v>6.3296000000000001</v>
      </c>
      <c r="G110" s="10">
        <f>CHOOSE(CONTROL!$C$42, 6.3483, 6.3483)*CHOOSE(CONTROL!$C$21, $C$9, 100%, $E$9)</f>
        <v>6.3483000000000001</v>
      </c>
      <c r="H110" s="10">
        <f>CHOOSE(CONTROL!$C$42, 6.4116, 6.4116) * CHOOSE(CONTROL!$C$21, $C$9, 100%, $E$9)</f>
        <v>6.4116</v>
      </c>
      <c r="I110" s="10">
        <f>CHOOSE(CONTROL!$C$42, 6.3561, 6.3561)* CHOOSE(CONTROL!$C$21, $C$9, 100%, $E$9)</f>
        <v>6.3560999999999996</v>
      </c>
      <c r="J110" s="10">
        <f>CHOOSE(CONTROL!$C$42, 6.3222, 6.3222)* CHOOSE(CONTROL!$C$21, $C$9, 100%, $E$9)</f>
        <v>6.3221999999999996</v>
      </c>
      <c r="K110" s="10">
        <f>CHOOSE(CONTROL!$C$42, 6.3329, 6.3329) * CHOOSE(CONTROL!$C$21, $C$9, 100%, $E$9)</f>
        <v>6.3329000000000004</v>
      </c>
      <c r="L110" s="10">
        <f>CHOOSE(CONTROL!$C$42, 6.9986, 6.9986) * CHOOSE(CONTROL!$C$21, $C$9, 100%, $E$9)</f>
        <v>6.9985999999999997</v>
      </c>
      <c r="M110" s="10">
        <f>CHOOSE(CONTROL!$C$42, 6.2734, 6.2734) * CHOOSE(CONTROL!$C$21, $C$9, 100%, $E$9)</f>
        <v>6.2733999999999996</v>
      </c>
      <c r="N110" s="10">
        <f>CHOOSE(CONTROL!$C$42, 6.2919, 6.2919) * CHOOSE(CONTROL!$C$21, $C$9, 100%, $E$9)</f>
        <v>6.2919</v>
      </c>
      <c r="O110" s="10">
        <f>CHOOSE(CONTROL!$C$42, 6.3617, 6.3617) * CHOOSE(CONTROL!$C$21, $C$9, 100%, $E$9)</f>
        <v>6.3616999999999999</v>
      </c>
      <c r="P110" s="10">
        <f>CHOOSE(CONTROL!$C$42, 6.3069, 6.3069) * CHOOSE(CONTROL!$C$21, $C$9, 100%, $E$9)</f>
        <v>6.3068999999999997</v>
      </c>
      <c r="Q110" s="10">
        <f>CHOOSE(CONTROL!$C$42, 6.957, 6.957) * CHOOSE(CONTROL!$C$21, $C$9, 100%, $E$9)</f>
        <v>6.9569999999999999</v>
      </c>
      <c r="R110" s="10">
        <f>CHOOSE(CONTROL!$C$42, 7.5614, 7.5614) * CHOOSE(CONTROL!$C$21, $C$9, 100%, $E$9)</f>
        <v>7.5613999999999999</v>
      </c>
      <c r="S110" s="10">
        <f>CHOOSE(CONTROL!$C$42, 6.1642, 6.1642) * CHOOSE(CONTROL!$C$21, $C$9, 100%, $E$9)</f>
        <v>6.1642000000000001</v>
      </c>
      <c r="T11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38">
        <f>(1000*CHOOSE(CONTROL!$C$42, 695, 695)*CHOOSE(CONTROL!$C$42, 0.5599, 0.5599)*CHOOSE(CONTROL!$C$42, 28, 28))/1000000</f>
        <v>10.895653999999999</v>
      </c>
      <c r="V110" s="38">
        <f>(1000*CHOOSE(CONTROL!$C$42, 500, 500)*CHOOSE(CONTROL!$C$42, 0.275, 0.275)*CHOOSE(CONTROL!$C$42, 28, 28))/1000000</f>
        <v>3.85</v>
      </c>
      <c r="W110" s="38">
        <f>(1000*CHOOSE(CONTROL!$C$42, 0.1146, 0.1146)*CHOOSE(CONTROL!$C$42, 121.5, 121.5)*CHOOSE(CONTROL!$C$42, 28, 28))/1000000</f>
        <v>0.38986920000000003</v>
      </c>
      <c r="X110" s="38">
        <f>(28*0.1790888*100000/1000000)+(28*0.2374*100000/1000000)</f>
        <v>1.16616864</v>
      </c>
      <c r="Y110" s="38">
        <f>(1000*600*CHOOSE(CONTROL!$C$42, 1.7641, 1.7641)*CHOOSE(CONTROL!$C$42, 28, 28))/1000000</f>
        <v>29.636880000000001</v>
      </c>
      <c r="Z110" s="38"/>
      <c r="AA110" s="10"/>
      <c r="AB110" s="39"/>
      <c r="AC110" s="33">
        <f>(B110*122.58+C110*297.941+D110*89.177+E110*40.302+F110*40+G110*160+H110*0+I110*100+J110*300)/(122.58+297.941+89.177+40.302+0+40+160+100+300)</f>
        <v>6.348778969217391</v>
      </c>
      <c r="AD110" s="27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6.3193057553956828</v>
      </c>
    </row>
    <row r="111" spans="1:30" ht="15" x14ac:dyDescent="0.2">
      <c r="A111" s="16">
        <v>44621</v>
      </c>
      <c r="B111" s="10">
        <f>CHOOSE(CONTROL!$C$42, 6.1681, 6.1681) * CHOOSE(CONTROL!$C$21, $C$9, 100%, $E$9)</f>
        <v>6.1680999999999999</v>
      </c>
      <c r="C111" s="10">
        <f>CHOOSE(CONTROL!$C$42, 6.1732, 6.1732) * CHOOSE(CONTROL!$C$21, $C$9, 100%, $E$9)</f>
        <v>6.1731999999999996</v>
      </c>
      <c r="D111" s="10">
        <f>CHOOSE(CONTROL!$C$42, 6.2082, 6.2082) * CHOOSE(CONTROL!$C$21, $C$9, 100%, $E$9)</f>
        <v>6.2081999999999997</v>
      </c>
      <c r="E111" s="10">
        <f>CHOOSE(CONTROL!$C$42, 6.242, 6.242) * CHOOSE(CONTROL!$C$21, $C$9, 100%, $E$9)</f>
        <v>6.242</v>
      </c>
      <c r="F111" s="10">
        <f>CHOOSE(CONTROL!$C$42, 6.1475, 6.1475)*CHOOSE(CONTROL!$C$21, $C$9, 100%, $E$9)</f>
        <v>6.1475</v>
      </c>
      <c r="G111" s="10">
        <f>CHOOSE(CONTROL!$C$42, 6.1659, 6.1659)*CHOOSE(CONTROL!$C$21, $C$9, 100%, $E$9)</f>
        <v>6.1658999999999997</v>
      </c>
      <c r="H111" s="10">
        <f>CHOOSE(CONTROL!$C$42, 6.2309, 6.2309) * CHOOSE(CONTROL!$C$21, $C$9, 100%, $E$9)</f>
        <v>6.2309000000000001</v>
      </c>
      <c r="I111" s="10">
        <f>CHOOSE(CONTROL!$C$42, 6.1754, 6.1754)* CHOOSE(CONTROL!$C$21, $C$9, 100%, $E$9)</f>
        <v>6.1753999999999998</v>
      </c>
      <c r="J111" s="10">
        <f>CHOOSE(CONTROL!$C$42, 6.1401, 6.1401)* CHOOSE(CONTROL!$C$21, $C$9, 100%, $E$9)</f>
        <v>6.1401000000000003</v>
      </c>
      <c r="K111" s="10">
        <f>CHOOSE(CONTROL!$C$42, 6.1548, 6.1548) * CHOOSE(CONTROL!$C$21, $C$9, 100%, $E$9)</f>
        <v>6.1547999999999998</v>
      </c>
      <c r="L111" s="10">
        <f>CHOOSE(CONTROL!$C$42, 6.8179, 6.8179) * CHOOSE(CONTROL!$C$21, $C$9, 100%, $E$9)</f>
        <v>6.8178999999999998</v>
      </c>
      <c r="M111" s="10">
        <f>CHOOSE(CONTROL!$C$42, 6.0937, 6.0937) * CHOOSE(CONTROL!$C$21, $C$9, 100%, $E$9)</f>
        <v>6.0937000000000001</v>
      </c>
      <c r="N111" s="10">
        <f>CHOOSE(CONTROL!$C$42, 6.1118, 6.1118) * CHOOSE(CONTROL!$C$21, $C$9, 100%, $E$9)</f>
        <v>6.1117999999999997</v>
      </c>
      <c r="O111" s="10">
        <f>CHOOSE(CONTROL!$C$42, 6.1833, 6.1833) * CHOOSE(CONTROL!$C$21, $C$9, 100%, $E$9)</f>
        <v>6.1833</v>
      </c>
      <c r="P111" s="10">
        <f>CHOOSE(CONTROL!$C$42, 6.1285, 6.1285) * CHOOSE(CONTROL!$C$21, $C$9, 100%, $E$9)</f>
        <v>6.1284999999999998</v>
      </c>
      <c r="Q111" s="10">
        <f>CHOOSE(CONTROL!$C$42, 6.7786, 6.7786) * CHOOSE(CONTROL!$C$21, $C$9, 100%, $E$9)</f>
        <v>6.7786</v>
      </c>
      <c r="R111" s="10">
        <f>CHOOSE(CONTROL!$C$42, 7.3825, 7.3825) * CHOOSE(CONTROL!$C$21, $C$9, 100%, $E$9)</f>
        <v>7.3825000000000003</v>
      </c>
      <c r="S111" s="10">
        <f>CHOOSE(CONTROL!$C$42, 5.9892, 5.9892) * CHOOSE(CONTROL!$C$21, $C$9, 100%, $E$9)</f>
        <v>5.9892000000000003</v>
      </c>
      <c r="T1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38">
        <f>(1000*CHOOSE(CONTROL!$C$42, 695, 695)*CHOOSE(CONTROL!$C$42, 0.5599, 0.5599)*CHOOSE(CONTROL!$C$42, 31, 31))/1000000</f>
        <v>12.063045499999998</v>
      </c>
      <c r="V111" s="38">
        <f>(1000*CHOOSE(CONTROL!$C$42, 500, 500)*CHOOSE(CONTROL!$C$42, 0.275, 0.275)*CHOOSE(CONTROL!$C$42, 31, 31))/1000000</f>
        <v>4.2625000000000002</v>
      </c>
      <c r="W111" s="38">
        <f>(1000*CHOOSE(CONTROL!$C$42, 0.1146, 0.1146)*CHOOSE(CONTROL!$C$42, 121.5, 121.5)*CHOOSE(CONTROL!$C$42, 31, 31))/1000000</f>
        <v>0.43164089999999994</v>
      </c>
      <c r="X111" s="38">
        <f>(31*0.1790888*100000/1000000)+(31*0.2374*100000/1000000)</f>
        <v>1.2911152800000001</v>
      </c>
      <c r="Y111" s="38">
        <f>(1000*600*CHOOSE(CONTROL!$C$42, 1.7641, 1.7641)*CHOOSE(CONTROL!$C$42, 31, 31))/1000000</f>
        <v>32.812260000000002</v>
      </c>
      <c r="Z111" s="38"/>
      <c r="AA111" s="10"/>
      <c r="AB111" s="39"/>
      <c r="AC111" s="33">
        <f>(B111*122.58+C111*297.941+D111*89.177+E111*40.302+F111*40+G111*160+H111*0+I111*100+J111*300)/(122.58+297.941+89.177+40.302+0+40+160+100+300)</f>
        <v>6.1674285344347819</v>
      </c>
      <c r="AD111" s="27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6.1403589928057558</v>
      </c>
    </row>
    <row r="112" spans="1:30" ht="15" x14ac:dyDescent="0.2">
      <c r="A112" s="16">
        <v>44652</v>
      </c>
      <c r="B112" s="10">
        <f>CHOOSE(CONTROL!$C$42, 6.1504, 6.1504) * CHOOSE(CONTROL!$C$21, $C$9, 100%, $E$9)</f>
        <v>6.1504000000000003</v>
      </c>
      <c r="C112" s="10">
        <f>CHOOSE(CONTROL!$C$42, 6.1549, 6.1549) * CHOOSE(CONTROL!$C$21, $C$9, 100%, $E$9)</f>
        <v>6.1548999999999996</v>
      </c>
      <c r="D112" s="10">
        <f>CHOOSE(CONTROL!$C$42, 6.3331, 6.3331) * CHOOSE(CONTROL!$C$21, $C$9, 100%, $E$9)</f>
        <v>6.3331</v>
      </c>
      <c r="E112" s="10">
        <f>CHOOSE(CONTROL!$C$42, 6.3649, 6.3649) * CHOOSE(CONTROL!$C$21, $C$9, 100%, $E$9)</f>
        <v>6.3648999999999996</v>
      </c>
      <c r="F112" s="10">
        <f>CHOOSE(CONTROL!$C$42, 6.0938, 6.0938)*CHOOSE(CONTROL!$C$21, $C$9, 100%, $E$9)</f>
        <v>6.0937999999999999</v>
      </c>
      <c r="G112" s="10">
        <f>CHOOSE(CONTROL!$C$42, 6.1104, 6.1104)*CHOOSE(CONTROL!$C$21, $C$9, 100%, $E$9)</f>
        <v>6.1104000000000003</v>
      </c>
      <c r="H112" s="10">
        <f>CHOOSE(CONTROL!$C$42, 6.3544, 6.3544) * CHOOSE(CONTROL!$C$21, $C$9, 100%, $E$9)</f>
        <v>6.3544</v>
      </c>
      <c r="I112" s="10">
        <f>CHOOSE(CONTROL!$C$42, 6.1264, 6.1264)* CHOOSE(CONTROL!$C$21, $C$9, 100%, $E$9)</f>
        <v>6.1264000000000003</v>
      </c>
      <c r="J112" s="10">
        <f>CHOOSE(CONTROL!$C$42, 6.0864, 6.0864)* CHOOSE(CONTROL!$C$21, $C$9, 100%, $E$9)</f>
        <v>6.0864000000000003</v>
      </c>
      <c r="K112" s="10">
        <f>CHOOSE(CONTROL!$C$42, 6.0926, 6.0926) * CHOOSE(CONTROL!$C$21, $C$9, 100%, $E$9)</f>
        <v>6.0926</v>
      </c>
      <c r="L112" s="10">
        <f>CHOOSE(CONTROL!$C$42, 6.9414, 6.9414) * CHOOSE(CONTROL!$C$21, $C$9, 100%, $E$9)</f>
        <v>6.9413999999999998</v>
      </c>
      <c r="M112" s="10">
        <f>CHOOSE(CONTROL!$C$42, 6.0407, 6.0407) * CHOOSE(CONTROL!$C$21, $C$9, 100%, $E$9)</f>
        <v>6.0407000000000002</v>
      </c>
      <c r="N112" s="10">
        <f>CHOOSE(CONTROL!$C$42, 6.0571, 6.0571) * CHOOSE(CONTROL!$C$21, $C$9, 100%, $E$9)</f>
        <v>6.0571000000000002</v>
      </c>
      <c r="O112" s="10">
        <f>CHOOSE(CONTROL!$C$42, 6.3052, 6.3052) * CHOOSE(CONTROL!$C$21, $C$9, 100%, $E$9)</f>
        <v>6.3052000000000001</v>
      </c>
      <c r="P112" s="10">
        <f>CHOOSE(CONTROL!$C$42, 6.0802, 6.0802) * CHOOSE(CONTROL!$C$21, $C$9, 100%, $E$9)</f>
        <v>6.0801999999999996</v>
      </c>
      <c r="Q112" s="10">
        <f>CHOOSE(CONTROL!$C$42, 6.9005, 6.9005) * CHOOSE(CONTROL!$C$21, $C$9, 100%, $E$9)</f>
        <v>6.9005000000000001</v>
      </c>
      <c r="R112" s="10">
        <f>CHOOSE(CONTROL!$C$42, 7.5047, 7.5047) * CHOOSE(CONTROL!$C$21, $C$9, 100%, $E$9)</f>
        <v>7.5046999999999997</v>
      </c>
      <c r="S112" s="10">
        <f>CHOOSE(CONTROL!$C$42, 5.9713, 5.9713) * CHOOSE(CONTROL!$C$21, $C$9, 100%, $E$9)</f>
        <v>5.9713000000000003</v>
      </c>
      <c r="T1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38">
        <f>(1000*CHOOSE(CONTROL!$C$42, 695, 695)*CHOOSE(CONTROL!$C$42, 0.5599, 0.5599)*CHOOSE(CONTROL!$C$42, 30, 30))/1000000</f>
        <v>11.673914999999997</v>
      </c>
      <c r="V112" s="38">
        <f>(1000*CHOOSE(CONTROL!$C$42, 500, 500)*CHOOSE(CONTROL!$C$42, 0.275, 0.275)*CHOOSE(CONTROL!$C$42, 30, 30))/1000000</f>
        <v>4.125</v>
      </c>
      <c r="W112" s="38">
        <f>(1000*CHOOSE(CONTROL!$C$42, 0.1146, 0.1146)*CHOOSE(CONTROL!$C$42, 121.5, 121.5)*CHOOSE(CONTROL!$C$42, 30, 30))/1000000</f>
        <v>0.417717</v>
      </c>
      <c r="X112" s="38">
        <f>(30*0.1790888*245000/1000000)+(30*0.2374*100000/1000000)</f>
        <v>2.0285026799999999</v>
      </c>
      <c r="Y112" s="38">
        <f>(1000*600*CHOOSE(CONTROL!$C$42, 1.7641, 1.7641)*CHOOSE(CONTROL!$C$42, 30, 30))/1000000</f>
        <v>31.753799999999998</v>
      </c>
      <c r="Z112" s="38"/>
      <c r="AA112" s="10"/>
      <c r="AB112" s="39"/>
      <c r="AC112" s="33">
        <f>(B112*141.293+C112*267.993+D112*115.016+E112*89.698+F112*40+G112*185+H112*0+I112*100+J112*300)/(141.293+267.993+115.016+89.698+0+40+185+100+300)</f>
        <v>6.1586289045197748</v>
      </c>
      <c r="AD112" s="27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6.1243712230215825</v>
      </c>
    </row>
    <row r="113" spans="1:30" ht="15" x14ac:dyDescent="0.2">
      <c r="A113" s="16">
        <v>44682</v>
      </c>
      <c r="B113" s="10">
        <f>CHOOSE(CONTROL!$C$42, 6.2065, 6.2065) * CHOOSE(CONTROL!$C$21, $C$9, 100%, $E$9)</f>
        <v>6.2065000000000001</v>
      </c>
      <c r="C113" s="10">
        <f>CHOOSE(CONTROL!$C$42, 6.2145, 6.2145) * CHOOSE(CONTROL!$C$21, $C$9, 100%, $E$9)</f>
        <v>6.2145000000000001</v>
      </c>
      <c r="D113" s="10">
        <f>CHOOSE(CONTROL!$C$42, 6.3897, 6.3897) * CHOOSE(CONTROL!$C$21, $C$9, 100%, $E$9)</f>
        <v>6.3897000000000004</v>
      </c>
      <c r="E113" s="10">
        <f>CHOOSE(CONTROL!$C$42, 6.4209, 6.4209) * CHOOSE(CONTROL!$C$21, $C$9, 100%, $E$9)</f>
        <v>6.4208999999999996</v>
      </c>
      <c r="F113" s="10">
        <f>CHOOSE(CONTROL!$C$42, 6.1482, 6.1482)*CHOOSE(CONTROL!$C$21, $C$9, 100%, $E$9)</f>
        <v>6.1482000000000001</v>
      </c>
      <c r="G113" s="10">
        <f>CHOOSE(CONTROL!$C$42, 6.1651, 6.1651)*CHOOSE(CONTROL!$C$21, $C$9, 100%, $E$9)</f>
        <v>6.1650999999999998</v>
      </c>
      <c r="H113" s="10">
        <f>CHOOSE(CONTROL!$C$42, 6.4092, 6.4092) * CHOOSE(CONTROL!$C$21, $C$9, 100%, $E$9)</f>
        <v>6.4092000000000002</v>
      </c>
      <c r="I113" s="10">
        <f>CHOOSE(CONTROL!$C$42, 6.1812, 6.1812)* CHOOSE(CONTROL!$C$21, $C$9, 100%, $E$9)</f>
        <v>6.1811999999999996</v>
      </c>
      <c r="J113" s="10">
        <f>CHOOSE(CONTROL!$C$42, 6.1408, 6.1408)* CHOOSE(CONTROL!$C$21, $C$9, 100%, $E$9)</f>
        <v>6.1407999999999996</v>
      </c>
      <c r="K113" s="10">
        <f>CHOOSE(CONTROL!$C$42, 6.1449, 6.1449) * CHOOSE(CONTROL!$C$21, $C$9, 100%, $E$9)</f>
        <v>6.1448999999999998</v>
      </c>
      <c r="L113" s="10">
        <f>CHOOSE(CONTROL!$C$42, 6.9962, 6.9962) * CHOOSE(CONTROL!$C$21, $C$9, 100%, $E$9)</f>
        <v>6.9962</v>
      </c>
      <c r="M113" s="10">
        <f>CHOOSE(CONTROL!$C$42, 6.0944, 6.0944) * CHOOSE(CONTROL!$C$21, $C$9, 100%, $E$9)</f>
        <v>6.0944000000000003</v>
      </c>
      <c r="N113" s="10">
        <f>CHOOSE(CONTROL!$C$42, 6.1111, 6.1111) * CHOOSE(CONTROL!$C$21, $C$9, 100%, $E$9)</f>
        <v>6.1111000000000004</v>
      </c>
      <c r="O113" s="10">
        <f>CHOOSE(CONTROL!$C$42, 6.3593, 6.3593) * CHOOSE(CONTROL!$C$21, $C$9, 100%, $E$9)</f>
        <v>6.3593000000000002</v>
      </c>
      <c r="P113" s="10">
        <f>CHOOSE(CONTROL!$C$42, 6.1343, 6.1343) * CHOOSE(CONTROL!$C$21, $C$9, 100%, $E$9)</f>
        <v>6.1342999999999996</v>
      </c>
      <c r="Q113" s="10">
        <f>CHOOSE(CONTROL!$C$42, 6.9546, 6.9546) * CHOOSE(CONTROL!$C$21, $C$9, 100%, $E$9)</f>
        <v>6.9546000000000001</v>
      </c>
      <c r="R113" s="10">
        <f>CHOOSE(CONTROL!$C$42, 7.559, 7.559) * CHOOSE(CONTROL!$C$21, $C$9, 100%, $E$9)</f>
        <v>7.5590000000000002</v>
      </c>
      <c r="S113" s="10">
        <f>CHOOSE(CONTROL!$C$42, 6.0244, 6.0244) * CHOOSE(CONTROL!$C$21, $C$9, 100%, $E$9)</f>
        <v>6.0244</v>
      </c>
      <c r="T1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38">
        <f>(1000*CHOOSE(CONTROL!$C$42, 695, 695)*CHOOSE(CONTROL!$C$42, 0.5599, 0.5599)*CHOOSE(CONTROL!$C$42, 31, 31))/1000000</f>
        <v>12.063045499999998</v>
      </c>
      <c r="V113" s="38">
        <f>(1000*CHOOSE(CONTROL!$C$42, 500, 500)*CHOOSE(CONTROL!$C$42, 0.275, 0.275)*CHOOSE(CONTROL!$C$42, 31, 31))/1000000</f>
        <v>4.2625000000000002</v>
      </c>
      <c r="W113" s="38">
        <f>(1000*CHOOSE(CONTROL!$C$42, 0.1146, 0.1146)*CHOOSE(CONTROL!$C$42, 121.5, 121.5)*CHOOSE(CONTROL!$C$42, 31, 31))/1000000</f>
        <v>0.43164089999999994</v>
      </c>
      <c r="X113" s="38">
        <f>(31*0.1790888*245000/1000000)+(31*0.2374*100000/1000000)</f>
        <v>2.0961194359999999</v>
      </c>
      <c r="Y113" s="38">
        <f>(1000*600*CHOOSE(CONTROL!$C$42, 1.7641, 1.7641)*CHOOSE(CONTROL!$C$42, 31, 31))/1000000</f>
        <v>32.812260000000002</v>
      </c>
      <c r="Z113" s="38"/>
      <c r="AA113" s="10"/>
      <c r="AB113" s="39"/>
      <c r="AC113" s="33">
        <f>(B113*194.205+C113*267.466+D113*133.845+E113*53.484+F113*40+G113*185+H113*0+I113*100+J113*300)/(194.205+267.466+133.845+53.484+0+40+185+100+300)</f>
        <v>6.2111280232339086</v>
      </c>
      <c r="AD113" s="27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6.1783100719424464</v>
      </c>
    </row>
    <row r="114" spans="1:30" ht="15" x14ac:dyDescent="0.2">
      <c r="A114" s="16">
        <v>44713</v>
      </c>
      <c r="B114" s="10">
        <f>CHOOSE(CONTROL!$C$42, 6.383, 6.383) * CHOOSE(CONTROL!$C$21, $C$9, 100%, $E$9)</f>
        <v>6.383</v>
      </c>
      <c r="C114" s="10">
        <f>CHOOSE(CONTROL!$C$42, 6.391, 6.391) * CHOOSE(CONTROL!$C$21, $C$9, 100%, $E$9)</f>
        <v>6.391</v>
      </c>
      <c r="D114" s="10">
        <f>CHOOSE(CONTROL!$C$42, 6.5661, 6.5661) * CHOOSE(CONTROL!$C$21, $C$9, 100%, $E$9)</f>
        <v>6.5660999999999996</v>
      </c>
      <c r="E114" s="10">
        <f>CHOOSE(CONTROL!$C$42, 6.5973, 6.5973) * CHOOSE(CONTROL!$C$21, $C$9, 100%, $E$9)</f>
        <v>6.5972999999999997</v>
      </c>
      <c r="F114" s="10">
        <f>CHOOSE(CONTROL!$C$42, 6.3249, 6.3249)*CHOOSE(CONTROL!$C$21, $C$9, 100%, $E$9)</f>
        <v>6.3249000000000004</v>
      </c>
      <c r="G114" s="10">
        <f>CHOOSE(CONTROL!$C$42, 6.3418, 6.3418)*CHOOSE(CONTROL!$C$21, $C$9, 100%, $E$9)</f>
        <v>6.3418000000000001</v>
      </c>
      <c r="H114" s="10">
        <f>CHOOSE(CONTROL!$C$42, 6.5857, 6.5857) * CHOOSE(CONTROL!$C$21, $C$9, 100%, $E$9)</f>
        <v>6.5857000000000001</v>
      </c>
      <c r="I114" s="10">
        <f>CHOOSE(CONTROL!$C$42, 6.3576, 6.3576)* CHOOSE(CONTROL!$C$21, $C$9, 100%, $E$9)</f>
        <v>6.3575999999999997</v>
      </c>
      <c r="J114" s="10">
        <f>CHOOSE(CONTROL!$C$42, 6.3175, 6.3175)* CHOOSE(CONTROL!$C$21, $C$9, 100%, $E$9)</f>
        <v>6.3174999999999999</v>
      </c>
      <c r="K114" s="10">
        <f>CHOOSE(CONTROL!$C$42, 6.3162, 6.3162) * CHOOSE(CONTROL!$C$21, $C$9, 100%, $E$9)</f>
        <v>6.3162000000000003</v>
      </c>
      <c r="L114" s="10">
        <f>CHOOSE(CONTROL!$C$42, 7.1727, 7.1727) * CHOOSE(CONTROL!$C$21, $C$9, 100%, $E$9)</f>
        <v>7.1726999999999999</v>
      </c>
      <c r="M114" s="10">
        <f>CHOOSE(CONTROL!$C$42, 6.2687, 6.2687) * CHOOSE(CONTROL!$C$21, $C$9, 100%, $E$9)</f>
        <v>6.2686999999999999</v>
      </c>
      <c r="N114" s="10">
        <f>CHOOSE(CONTROL!$C$42, 6.2855, 6.2855) * CHOOSE(CONTROL!$C$21, $C$9, 100%, $E$9)</f>
        <v>6.2854999999999999</v>
      </c>
      <c r="O114" s="10">
        <f>CHOOSE(CONTROL!$C$42, 6.5335, 6.5335) * CHOOSE(CONTROL!$C$21, $C$9, 100%, $E$9)</f>
        <v>6.5335000000000001</v>
      </c>
      <c r="P114" s="10">
        <f>CHOOSE(CONTROL!$C$42, 6.3084, 6.3084) * CHOOSE(CONTROL!$C$21, $C$9, 100%, $E$9)</f>
        <v>6.3083999999999998</v>
      </c>
      <c r="Q114" s="10">
        <f>CHOOSE(CONTROL!$C$42, 7.1288, 7.1288) * CHOOSE(CONTROL!$C$21, $C$9, 100%, $E$9)</f>
        <v>7.1288</v>
      </c>
      <c r="R114" s="10">
        <f>CHOOSE(CONTROL!$C$42, 7.7336, 7.7336) * CHOOSE(CONTROL!$C$21, $C$9, 100%, $E$9)</f>
        <v>7.7336</v>
      </c>
      <c r="S114" s="10">
        <f>CHOOSE(CONTROL!$C$42, 6.1953, 6.1953) * CHOOSE(CONTROL!$C$21, $C$9, 100%, $E$9)</f>
        <v>6.1952999999999996</v>
      </c>
      <c r="T1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38">
        <f>(1000*CHOOSE(CONTROL!$C$42, 695, 695)*CHOOSE(CONTROL!$C$42, 0.5599, 0.5599)*CHOOSE(CONTROL!$C$42, 30, 30))/1000000</f>
        <v>11.673914999999997</v>
      </c>
      <c r="V114" s="38">
        <f>(1000*CHOOSE(CONTROL!$C$42, 500, 500)*CHOOSE(CONTROL!$C$42, 0.275, 0.275)*CHOOSE(CONTROL!$C$42, 30, 30))/1000000</f>
        <v>4.125</v>
      </c>
      <c r="W114" s="38">
        <f>(1000*CHOOSE(CONTROL!$C$42, 0.1146, 0.1146)*CHOOSE(CONTROL!$C$42, 121.5, 121.5)*CHOOSE(CONTROL!$C$42, 30, 30))/1000000</f>
        <v>0.417717</v>
      </c>
      <c r="X114" s="38">
        <f>(30*0.1790888*245000/1000000)+(30*0.2374*100000/1000000)</f>
        <v>2.0285026799999999</v>
      </c>
      <c r="Y114" s="38">
        <f>(1000*600*CHOOSE(CONTROL!$C$42, 1.7641, 1.7641)*CHOOSE(CONTROL!$C$42, 30, 30))/1000000</f>
        <v>31.753799999999998</v>
      </c>
      <c r="Z114" s="38"/>
      <c r="AA114" s="10"/>
      <c r="AB114" s="39"/>
      <c r="AC114" s="33">
        <f>(B114*194.205+C114*267.466+D114*133.845+E114*53.484+F114*40+G114*185+H114*0+I114*100+J114*300)/(194.205+267.466+133.845+53.484+0+40+185+100+300)</f>
        <v>6.3876878875196237</v>
      </c>
      <c r="AD114" s="27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6.3525762589928059</v>
      </c>
    </row>
    <row r="115" spans="1:30" ht="15" x14ac:dyDescent="0.2">
      <c r="A115" s="16">
        <v>44743</v>
      </c>
      <c r="B115" s="10">
        <f>CHOOSE(CONTROL!$C$42, 6.2603, 6.2603) * CHOOSE(CONTROL!$C$21, $C$9, 100%, $E$9)</f>
        <v>6.2603</v>
      </c>
      <c r="C115" s="10">
        <f>CHOOSE(CONTROL!$C$42, 6.2683, 6.2683) * CHOOSE(CONTROL!$C$21, $C$9, 100%, $E$9)</f>
        <v>6.2683</v>
      </c>
      <c r="D115" s="10">
        <f>CHOOSE(CONTROL!$C$42, 6.4434, 6.4434) * CHOOSE(CONTROL!$C$21, $C$9, 100%, $E$9)</f>
        <v>6.4433999999999996</v>
      </c>
      <c r="E115" s="10">
        <f>CHOOSE(CONTROL!$C$42, 6.4746, 6.4746) * CHOOSE(CONTROL!$C$21, $C$9, 100%, $E$9)</f>
        <v>6.4745999999999997</v>
      </c>
      <c r="F115" s="10">
        <f>CHOOSE(CONTROL!$C$42, 6.2025, 6.2025)*CHOOSE(CONTROL!$C$21, $C$9, 100%, $E$9)</f>
        <v>6.2024999999999997</v>
      </c>
      <c r="G115" s="10">
        <f>CHOOSE(CONTROL!$C$42, 6.2195, 6.2195)*CHOOSE(CONTROL!$C$21, $C$9, 100%, $E$9)</f>
        <v>6.2195</v>
      </c>
      <c r="H115" s="10">
        <f>CHOOSE(CONTROL!$C$42, 6.4629, 6.4629) * CHOOSE(CONTROL!$C$21, $C$9, 100%, $E$9)</f>
        <v>6.4629000000000003</v>
      </c>
      <c r="I115" s="10">
        <f>CHOOSE(CONTROL!$C$42, 6.2349, 6.2349)* CHOOSE(CONTROL!$C$21, $C$9, 100%, $E$9)</f>
        <v>6.2348999999999997</v>
      </c>
      <c r="J115" s="10">
        <f>CHOOSE(CONTROL!$C$42, 6.1951, 6.1951)* CHOOSE(CONTROL!$C$21, $C$9, 100%, $E$9)</f>
        <v>6.1951000000000001</v>
      </c>
      <c r="K115" s="10">
        <f>CHOOSE(CONTROL!$C$42, 6.1981, 6.1981) * CHOOSE(CONTROL!$C$21, $C$9, 100%, $E$9)</f>
        <v>6.1981000000000002</v>
      </c>
      <c r="L115" s="10">
        <f>CHOOSE(CONTROL!$C$42, 7.0499, 7.0499) * CHOOSE(CONTROL!$C$21, $C$9, 100%, $E$9)</f>
        <v>7.0499000000000001</v>
      </c>
      <c r="M115" s="10">
        <f>CHOOSE(CONTROL!$C$42, 6.1479, 6.1479) * CHOOSE(CONTROL!$C$21, $C$9, 100%, $E$9)</f>
        <v>6.1478999999999999</v>
      </c>
      <c r="N115" s="10">
        <f>CHOOSE(CONTROL!$C$42, 6.1648, 6.1648) * CHOOSE(CONTROL!$C$21, $C$9, 100%, $E$9)</f>
        <v>6.1647999999999996</v>
      </c>
      <c r="O115" s="10">
        <f>CHOOSE(CONTROL!$C$42, 6.4123, 6.4123) * CHOOSE(CONTROL!$C$21, $C$9, 100%, $E$9)</f>
        <v>6.4123000000000001</v>
      </c>
      <c r="P115" s="10">
        <f>CHOOSE(CONTROL!$C$42, 6.1873, 6.1873) * CHOOSE(CONTROL!$C$21, $C$9, 100%, $E$9)</f>
        <v>6.1872999999999996</v>
      </c>
      <c r="Q115" s="10">
        <f>CHOOSE(CONTROL!$C$42, 7.0076, 7.0076) * CHOOSE(CONTROL!$C$21, $C$9, 100%, $E$9)</f>
        <v>7.0076000000000001</v>
      </c>
      <c r="R115" s="10">
        <f>CHOOSE(CONTROL!$C$42, 7.6121, 7.6121) * CHOOSE(CONTROL!$C$21, $C$9, 100%, $E$9)</f>
        <v>7.6120999999999999</v>
      </c>
      <c r="S115" s="10">
        <f>CHOOSE(CONTROL!$C$42, 6.0764, 6.0764) * CHOOSE(CONTROL!$C$21, $C$9, 100%, $E$9)</f>
        <v>6.0763999999999996</v>
      </c>
      <c r="T1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38">
        <f>(1000*CHOOSE(CONTROL!$C$42, 695, 695)*CHOOSE(CONTROL!$C$42, 0.5599, 0.5599)*CHOOSE(CONTROL!$C$42, 31, 31))/1000000</f>
        <v>12.063045499999998</v>
      </c>
      <c r="V115" s="38">
        <f>(1000*CHOOSE(CONTROL!$C$42, 500, 500)*CHOOSE(CONTROL!$C$42, 0.275, 0.275)*CHOOSE(CONTROL!$C$42, 31, 31))/1000000</f>
        <v>4.2625000000000002</v>
      </c>
      <c r="W115" s="38">
        <f>(1000*CHOOSE(CONTROL!$C$42, 0.1146, 0.1146)*CHOOSE(CONTROL!$C$42, 121.5, 121.5)*CHOOSE(CONTROL!$C$42, 31, 31))/1000000</f>
        <v>0.43164089999999994</v>
      </c>
      <c r="X115" s="38">
        <f>(31*0.1790888*245000/1000000)+(31*0.2374*100000/1000000)</f>
        <v>2.0961194359999999</v>
      </c>
      <c r="Y115" s="38">
        <f>(1000*600*CHOOSE(CONTROL!$C$42, 1.7641, 1.7641)*CHOOSE(CONTROL!$C$42, 31, 31))/1000000</f>
        <v>32.812260000000002</v>
      </c>
      <c r="Z115" s="38"/>
      <c r="AA115" s="10"/>
      <c r="AB115" s="39"/>
      <c r="AC115" s="33">
        <f>(B115*194.205+C115*267.466+D115*133.845+E115*53.484+F115*40+G115*185+H115*0+I115*100+J115*300)/(194.205+267.466+133.845+53.484+0+40+185+100+300)</f>
        <v>6.2651260350863422</v>
      </c>
      <c r="AD115" s="27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6.2316438848920859</v>
      </c>
    </row>
    <row r="116" spans="1:30" ht="15" x14ac:dyDescent="0.2">
      <c r="A116" s="16">
        <v>44774</v>
      </c>
      <c r="B116" s="10">
        <f>CHOOSE(CONTROL!$C$42, 5.9504, 5.9504) * CHOOSE(CONTROL!$C$21, $C$9, 100%, $E$9)</f>
        <v>5.9504000000000001</v>
      </c>
      <c r="C116" s="10">
        <f>CHOOSE(CONTROL!$C$42, 5.9584, 5.9584) * CHOOSE(CONTROL!$C$21, $C$9, 100%, $E$9)</f>
        <v>5.9584000000000001</v>
      </c>
      <c r="D116" s="10">
        <f>CHOOSE(CONTROL!$C$42, 6.1335, 6.1335) * CHOOSE(CONTROL!$C$21, $C$9, 100%, $E$9)</f>
        <v>6.1334999999999997</v>
      </c>
      <c r="E116" s="10">
        <f>CHOOSE(CONTROL!$C$42, 6.1647, 6.1647) * CHOOSE(CONTROL!$C$21, $C$9, 100%, $E$9)</f>
        <v>6.1646999999999998</v>
      </c>
      <c r="F116" s="10">
        <f>CHOOSE(CONTROL!$C$42, 5.8925, 5.8925)*CHOOSE(CONTROL!$C$21, $C$9, 100%, $E$9)</f>
        <v>5.8925000000000001</v>
      </c>
      <c r="G116" s="10">
        <f>CHOOSE(CONTROL!$C$42, 5.9095, 5.9095)*CHOOSE(CONTROL!$C$21, $C$9, 100%, $E$9)</f>
        <v>5.9095000000000004</v>
      </c>
      <c r="H116" s="10">
        <f>CHOOSE(CONTROL!$C$42, 6.153, 6.153) * CHOOSE(CONTROL!$C$21, $C$9, 100%, $E$9)</f>
        <v>6.1529999999999996</v>
      </c>
      <c r="I116" s="10">
        <f>CHOOSE(CONTROL!$C$42, 5.925, 5.925)* CHOOSE(CONTROL!$C$21, $C$9, 100%, $E$9)</f>
        <v>5.9249999999999998</v>
      </c>
      <c r="J116" s="10">
        <f>CHOOSE(CONTROL!$C$42, 5.8851, 5.8851)* CHOOSE(CONTROL!$C$21, $C$9, 100%, $E$9)</f>
        <v>5.8851000000000004</v>
      </c>
      <c r="K116" s="10">
        <f>CHOOSE(CONTROL!$C$42, 5.8976, 5.8976) * CHOOSE(CONTROL!$C$21, $C$9, 100%, $E$9)</f>
        <v>5.8975999999999997</v>
      </c>
      <c r="L116" s="10">
        <f>CHOOSE(CONTROL!$C$42, 6.74, 6.74) * CHOOSE(CONTROL!$C$21, $C$9, 100%, $E$9)</f>
        <v>6.74</v>
      </c>
      <c r="M116" s="10">
        <f>CHOOSE(CONTROL!$C$42, 5.8419, 5.8419) * CHOOSE(CONTROL!$C$21, $C$9, 100%, $E$9)</f>
        <v>5.8418999999999999</v>
      </c>
      <c r="N116" s="10">
        <f>CHOOSE(CONTROL!$C$42, 5.8587, 5.8587) * CHOOSE(CONTROL!$C$21, $C$9, 100%, $E$9)</f>
        <v>5.8586999999999998</v>
      </c>
      <c r="O116" s="10">
        <f>CHOOSE(CONTROL!$C$42, 6.1064, 6.1064) * CHOOSE(CONTROL!$C$21, $C$9, 100%, $E$9)</f>
        <v>6.1063999999999998</v>
      </c>
      <c r="P116" s="10">
        <f>CHOOSE(CONTROL!$C$42, 5.8814, 5.8814) * CHOOSE(CONTROL!$C$21, $C$9, 100%, $E$9)</f>
        <v>5.8814000000000002</v>
      </c>
      <c r="Q116" s="10">
        <f>CHOOSE(CONTROL!$C$42, 6.7017, 6.7017) * CHOOSE(CONTROL!$C$21, $C$9, 100%, $E$9)</f>
        <v>6.7016999999999998</v>
      </c>
      <c r="R116" s="10">
        <f>CHOOSE(CONTROL!$C$42, 7.3055, 7.3055) * CHOOSE(CONTROL!$C$21, $C$9, 100%, $E$9)</f>
        <v>7.3055000000000003</v>
      </c>
      <c r="S116" s="10">
        <f>CHOOSE(CONTROL!$C$42, 5.7763, 5.7763) * CHOOSE(CONTROL!$C$21, $C$9, 100%, $E$9)</f>
        <v>5.7763</v>
      </c>
      <c r="T1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38">
        <f>(1000*CHOOSE(CONTROL!$C$42, 695, 695)*CHOOSE(CONTROL!$C$42, 0.5599, 0.5599)*CHOOSE(CONTROL!$C$42, 31, 31))/1000000</f>
        <v>12.063045499999998</v>
      </c>
      <c r="V116" s="38">
        <f>(1000*CHOOSE(CONTROL!$C$42, 500, 500)*CHOOSE(CONTROL!$C$42, 0.275, 0.275)*CHOOSE(CONTROL!$C$42, 31, 31))/1000000</f>
        <v>4.2625000000000002</v>
      </c>
      <c r="W116" s="38">
        <f>(1000*CHOOSE(CONTROL!$C$42, 0.1146, 0.1146)*CHOOSE(CONTROL!$C$42, 121.5, 121.5)*CHOOSE(CONTROL!$C$42, 31, 31))/1000000</f>
        <v>0.43164089999999994</v>
      </c>
      <c r="X116" s="38">
        <f>(31*0.1790888*245000/1000000)+(31*0.2374*100000/1000000)</f>
        <v>2.0961194359999999</v>
      </c>
      <c r="Y116" s="38">
        <f>(1000*600*CHOOSE(CONTROL!$C$42, 1.7641, 1.7641)*CHOOSE(CONTROL!$C$42, 31, 31))/1000000</f>
        <v>32.812260000000002</v>
      </c>
      <c r="Z116" s="38"/>
      <c r="AA116" s="10"/>
      <c r="AB116" s="39"/>
      <c r="AC116" s="33">
        <f>(B116*194.205+C116*267.466+D116*133.845+E116*53.484+F116*40+G116*185+H116*0+I116*100+J116*300)/(194.205+267.466+133.845+53.484+0+40+185+100+300)</f>
        <v>5.9551848262951337</v>
      </c>
      <c r="AD116" s="27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5.9256633093525179</v>
      </c>
    </row>
    <row r="117" spans="1:30" ht="15" x14ac:dyDescent="0.2">
      <c r="A117" s="16">
        <v>44805</v>
      </c>
      <c r="B117" s="10">
        <f>CHOOSE(CONTROL!$C$42, 5.5717, 5.5717) * CHOOSE(CONTROL!$C$21, $C$9, 100%, $E$9)</f>
        <v>5.5716999999999999</v>
      </c>
      <c r="C117" s="10">
        <f>CHOOSE(CONTROL!$C$42, 5.5797, 5.5797) * CHOOSE(CONTROL!$C$21, $C$9, 100%, $E$9)</f>
        <v>5.5796999999999999</v>
      </c>
      <c r="D117" s="10">
        <f>CHOOSE(CONTROL!$C$42, 5.7548, 5.7548) * CHOOSE(CONTROL!$C$21, $C$9, 100%, $E$9)</f>
        <v>5.7548000000000004</v>
      </c>
      <c r="E117" s="10">
        <f>CHOOSE(CONTROL!$C$42, 5.786, 5.786) * CHOOSE(CONTROL!$C$21, $C$9, 100%, $E$9)</f>
        <v>5.7859999999999996</v>
      </c>
      <c r="F117" s="10">
        <f>CHOOSE(CONTROL!$C$42, 5.5135, 5.5135)*CHOOSE(CONTROL!$C$21, $C$9, 100%, $E$9)</f>
        <v>5.5134999999999996</v>
      </c>
      <c r="G117" s="10">
        <f>CHOOSE(CONTROL!$C$42, 5.5304, 5.5304)*CHOOSE(CONTROL!$C$21, $C$9, 100%, $E$9)</f>
        <v>5.5304000000000002</v>
      </c>
      <c r="H117" s="10">
        <f>CHOOSE(CONTROL!$C$42, 5.7744, 5.7744) * CHOOSE(CONTROL!$C$21, $C$9, 100%, $E$9)</f>
        <v>5.7744</v>
      </c>
      <c r="I117" s="10">
        <f>CHOOSE(CONTROL!$C$42, 5.5464, 5.5464)* CHOOSE(CONTROL!$C$21, $C$9, 100%, $E$9)</f>
        <v>5.5464000000000002</v>
      </c>
      <c r="J117" s="10">
        <f>CHOOSE(CONTROL!$C$42, 5.5061, 5.5061)* CHOOSE(CONTROL!$C$21, $C$9, 100%, $E$9)</f>
        <v>5.5061</v>
      </c>
      <c r="K117" s="10">
        <f>CHOOSE(CONTROL!$C$42, 5.5301, 5.5301) * CHOOSE(CONTROL!$C$21, $C$9, 100%, $E$9)</f>
        <v>5.5301</v>
      </c>
      <c r="L117" s="10">
        <f>CHOOSE(CONTROL!$C$42, 6.3614, 6.3614) * CHOOSE(CONTROL!$C$21, $C$9, 100%, $E$9)</f>
        <v>6.3613999999999997</v>
      </c>
      <c r="M117" s="10">
        <f>CHOOSE(CONTROL!$C$42, 5.4679, 5.4679) * CHOOSE(CONTROL!$C$21, $C$9, 100%, $E$9)</f>
        <v>5.4679000000000002</v>
      </c>
      <c r="N117" s="10">
        <f>CHOOSE(CONTROL!$C$42, 5.4846, 5.4846) * CHOOSE(CONTROL!$C$21, $C$9, 100%, $E$9)</f>
        <v>5.4846000000000004</v>
      </c>
      <c r="O117" s="10">
        <f>CHOOSE(CONTROL!$C$42, 5.7327, 5.7327) * CHOOSE(CONTROL!$C$21, $C$9, 100%, $E$9)</f>
        <v>5.7327000000000004</v>
      </c>
      <c r="P117" s="10">
        <f>CHOOSE(CONTROL!$C$42, 5.5077, 5.5077) * CHOOSE(CONTROL!$C$21, $C$9, 100%, $E$9)</f>
        <v>5.5076999999999998</v>
      </c>
      <c r="Q117" s="10">
        <f>CHOOSE(CONTROL!$C$42, 6.328, 6.328) * CHOOSE(CONTROL!$C$21, $C$9, 100%, $E$9)</f>
        <v>6.3280000000000003</v>
      </c>
      <c r="R117" s="10">
        <f>CHOOSE(CONTROL!$C$42, 6.9308, 6.9308) * CHOOSE(CONTROL!$C$21, $C$9, 100%, $E$9)</f>
        <v>6.9307999999999996</v>
      </c>
      <c r="S117" s="10">
        <f>CHOOSE(CONTROL!$C$42, 5.4097, 5.4097) * CHOOSE(CONTROL!$C$21, $C$9, 100%, $E$9)</f>
        <v>5.4097</v>
      </c>
      <c r="T1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38">
        <f>(1000*CHOOSE(CONTROL!$C$42, 695, 695)*CHOOSE(CONTROL!$C$42, 0.5599, 0.5599)*CHOOSE(CONTROL!$C$42, 30, 30))/1000000</f>
        <v>11.673914999999997</v>
      </c>
      <c r="V117" s="38">
        <f>(1000*CHOOSE(CONTROL!$C$42, 500, 500)*CHOOSE(CONTROL!$C$42, 0.275, 0.275)*CHOOSE(CONTROL!$C$42, 30, 30))/1000000</f>
        <v>4.125</v>
      </c>
      <c r="W117" s="38">
        <f>(1000*CHOOSE(CONTROL!$C$42, 0.1146, 0.1146)*CHOOSE(CONTROL!$C$42, 121.5, 121.5)*CHOOSE(CONTROL!$C$42, 30, 30))/1000000</f>
        <v>0.417717</v>
      </c>
      <c r="X117" s="38">
        <f>(30*0.1790888*245000/1000000)+(30*0.2374*100000/1000000)</f>
        <v>2.0285026799999999</v>
      </c>
      <c r="Y117" s="38">
        <f>(1000*600*CHOOSE(CONTROL!$C$42, 1.7641, 1.7641)*CHOOSE(CONTROL!$C$42, 30, 30))/1000000</f>
        <v>31.753799999999998</v>
      </c>
      <c r="Z117" s="38"/>
      <c r="AA117" s="10"/>
      <c r="AB117" s="39"/>
      <c r="AC117" s="33">
        <f>(B117*194.205+C117*267.466+D117*133.845+E117*53.484+F117*40+G117*185+H117*0+I117*100+J117*300)/(194.205+267.466+133.845+53.484+0+40+185+100+300)</f>
        <v>5.5763545280219784</v>
      </c>
      <c r="AD117" s="27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5.5517676258992816</v>
      </c>
    </row>
    <row r="118" spans="1:30" ht="15" x14ac:dyDescent="0.2">
      <c r="A118" s="16">
        <v>44835</v>
      </c>
      <c r="B118" s="10">
        <f>CHOOSE(CONTROL!$C$42, 5.4562, 5.4562) * CHOOSE(CONTROL!$C$21, $C$9, 100%, $E$9)</f>
        <v>5.4561999999999999</v>
      </c>
      <c r="C118" s="10">
        <f>CHOOSE(CONTROL!$C$42, 5.4615, 5.4615) * CHOOSE(CONTROL!$C$21, $C$9, 100%, $E$9)</f>
        <v>5.4615</v>
      </c>
      <c r="D118" s="10">
        <f>CHOOSE(CONTROL!$C$42, 5.6415, 5.6415) * CHOOSE(CONTROL!$C$21, $C$9, 100%, $E$9)</f>
        <v>5.6414999999999997</v>
      </c>
      <c r="E118" s="10">
        <f>CHOOSE(CONTROL!$C$42, 5.6704, 5.6704) * CHOOSE(CONTROL!$C$21, $C$9, 100%, $E$9)</f>
        <v>5.6703999999999999</v>
      </c>
      <c r="F118" s="10">
        <f>CHOOSE(CONTROL!$C$42, 5.4, 5.4)*CHOOSE(CONTROL!$C$21, $C$9, 100%, $E$9)</f>
        <v>5.4</v>
      </c>
      <c r="G118" s="10">
        <f>CHOOSE(CONTROL!$C$42, 5.4166, 5.4166)*CHOOSE(CONTROL!$C$21, $C$9, 100%, $E$9)</f>
        <v>5.4165999999999999</v>
      </c>
      <c r="H118" s="10">
        <f>CHOOSE(CONTROL!$C$42, 5.6606, 5.6606) * CHOOSE(CONTROL!$C$21, $C$9, 100%, $E$9)</f>
        <v>5.6605999999999996</v>
      </c>
      <c r="I118" s="10">
        <f>CHOOSE(CONTROL!$C$42, 5.4325, 5.4325)* CHOOSE(CONTROL!$C$21, $C$9, 100%, $E$9)</f>
        <v>5.4325000000000001</v>
      </c>
      <c r="J118" s="10">
        <f>CHOOSE(CONTROL!$C$42, 5.3926, 5.3926)* CHOOSE(CONTROL!$C$21, $C$9, 100%, $E$9)</f>
        <v>5.3925999999999998</v>
      </c>
      <c r="K118" s="10">
        <f>CHOOSE(CONTROL!$C$42, 5.4204, 5.4204) * CHOOSE(CONTROL!$C$21, $C$9, 100%, $E$9)</f>
        <v>5.4203999999999999</v>
      </c>
      <c r="L118" s="10">
        <f>CHOOSE(CONTROL!$C$42, 6.2476, 6.2476) * CHOOSE(CONTROL!$C$21, $C$9, 100%, $E$9)</f>
        <v>6.2476000000000003</v>
      </c>
      <c r="M118" s="10">
        <f>CHOOSE(CONTROL!$C$42, 5.3558, 5.3558) * CHOOSE(CONTROL!$C$21, $C$9, 100%, $E$9)</f>
        <v>5.3558000000000003</v>
      </c>
      <c r="N118" s="10">
        <f>CHOOSE(CONTROL!$C$42, 5.3722, 5.3722) * CHOOSE(CONTROL!$C$21, $C$9, 100%, $E$9)</f>
        <v>5.3722000000000003</v>
      </c>
      <c r="O118" s="10">
        <f>CHOOSE(CONTROL!$C$42, 5.6203, 5.6203) * CHOOSE(CONTROL!$C$21, $C$9, 100%, $E$9)</f>
        <v>5.6203000000000003</v>
      </c>
      <c r="P118" s="10">
        <f>CHOOSE(CONTROL!$C$42, 5.3953, 5.3953) * CHOOSE(CONTROL!$C$21, $C$9, 100%, $E$9)</f>
        <v>5.3952999999999998</v>
      </c>
      <c r="Q118" s="10">
        <f>CHOOSE(CONTROL!$C$42, 6.2156, 6.2156) * CHOOSE(CONTROL!$C$21, $C$9, 100%, $E$9)</f>
        <v>6.2156000000000002</v>
      </c>
      <c r="R118" s="10">
        <f>CHOOSE(CONTROL!$C$42, 6.8182, 6.8182) * CHOOSE(CONTROL!$C$21, $C$9, 100%, $E$9)</f>
        <v>6.8182</v>
      </c>
      <c r="S118" s="10">
        <f>CHOOSE(CONTROL!$C$42, 5.2995, 5.2995) * CHOOSE(CONTROL!$C$21, $C$9, 100%, $E$9)</f>
        <v>5.2995000000000001</v>
      </c>
      <c r="T1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38">
        <f>(1000*CHOOSE(CONTROL!$C$42, 695, 695)*CHOOSE(CONTROL!$C$42, 0.5599, 0.5599)*CHOOSE(CONTROL!$C$42, 31, 31))/1000000</f>
        <v>12.063045499999998</v>
      </c>
      <c r="V118" s="38">
        <f>(1000*CHOOSE(CONTROL!$C$42, 500, 500)*CHOOSE(CONTROL!$C$42, 0.275, 0.275)*CHOOSE(CONTROL!$C$42, 31, 31))/1000000</f>
        <v>4.2625000000000002</v>
      </c>
      <c r="W118" s="38">
        <f>(1000*CHOOSE(CONTROL!$C$42, 0.1146, 0.1146)*CHOOSE(CONTROL!$C$42, 121.5, 121.5)*CHOOSE(CONTROL!$C$42, 31, 31))/1000000</f>
        <v>0.43164089999999994</v>
      </c>
      <c r="X118" s="38">
        <f>(31*0.1790888*245000/1000000)+(31*0.2374*100000/1000000)</f>
        <v>2.0961194359999999</v>
      </c>
      <c r="Y118" s="38">
        <f>(1000*600*CHOOSE(CONTROL!$C$42, 1.7641, 1.7641)*CHOOSE(CONTROL!$C$42, 31, 31))/1000000</f>
        <v>32.812260000000002</v>
      </c>
      <c r="Z118" s="38"/>
      <c r="AA118" s="10"/>
      <c r="AB118" s="39"/>
      <c r="AC118" s="33">
        <f>(B118*131.881+C118*277.167+D118*79.08+E118*125.872+F118*40+G118*185+H118*0+I118*100+J118*300)/(131.881+277.167+79.08+125.872+0+40+185+100+300)</f>
        <v>5.4659338914447133</v>
      </c>
      <c r="AD118" s="27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5.4394712230215827</v>
      </c>
    </row>
    <row r="119" spans="1:30" ht="15" x14ac:dyDescent="0.2">
      <c r="A119" s="16">
        <v>44866</v>
      </c>
      <c r="B119" s="10">
        <f>CHOOSE(CONTROL!$C$42, 5.5999, 5.5999) * CHOOSE(CONTROL!$C$21, $C$9, 100%, $E$9)</f>
        <v>5.5998999999999999</v>
      </c>
      <c r="C119" s="10">
        <f>CHOOSE(CONTROL!$C$42, 5.605, 5.605) * CHOOSE(CONTROL!$C$21, $C$9, 100%, $E$9)</f>
        <v>5.6050000000000004</v>
      </c>
      <c r="D119" s="10">
        <f>CHOOSE(CONTROL!$C$42, 5.6297, 5.6297) * CHOOSE(CONTROL!$C$21, $C$9, 100%, $E$9)</f>
        <v>5.6296999999999997</v>
      </c>
      <c r="E119" s="10">
        <f>CHOOSE(CONTROL!$C$42, 5.6635, 5.6635) * CHOOSE(CONTROL!$C$21, $C$9, 100%, $E$9)</f>
        <v>5.6635</v>
      </c>
      <c r="F119" s="10">
        <f>CHOOSE(CONTROL!$C$42, 5.5656, 5.5656)*CHOOSE(CONTROL!$C$21, $C$9, 100%, $E$9)</f>
        <v>5.5655999999999999</v>
      </c>
      <c r="G119" s="10">
        <f>CHOOSE(CONTROL!$C$42, 5.5824, 5.5824)*CHOOSE(CONTROL!$C$21, $C$9, 100%, $E$9)</f>
        <v>5.5823999999999998</v>
      </c>
      <c r="H119" s="10">
        <f>CHOOSE(CONTROL!$C$42, 5.6524, 5.6524) * CHOOSE(CONTROL!$C$21, $C$9, 100%, $E$9)</f>
        <v>5.6524000000000001</v>
      </c>
      <c r="I119" s="10">
        <f>CHOOSE(CONTROL!$C$42, 5.5994, 5.5994)* CHOOSE(CONTROL!$C$21, $C$9, 100%, $E$9)</f>
        <v>5.5994000000000002</v>
      </c>
      <c r="J119" s="10">
        <f>CHOOSE(CONTROL!$C$42, 5.5582, 5.5582)* CHOOSE(CONTROL!$C$21, $C$9, 100%, $E$9)</f>
        <v>5.5582000000000003</v>
      </c>
      <c r="K119" s="10">
        <f>CHOOSE(CONTROL!$C$42, 5.5838, 5.5838) * CHOOSE(CONTROL!$C$21, $C$9, 100%, $E$9)</f>
        <v>5.5838000000000001</v>
      </c>
      <c r="L119" s="10">
        <f>CHOOSE(CONTROL!$C$42, 6.2394, 6.2394) * CHOOSE(CONTROL!$C$21, $C$9, 100%, $E$9)</f>
        <v>6.2393999999999998</v>
      </c>
      <c r="M119" s="10">
        <f>CHOOSE(CONTROL!$C$42, 5.5193, 5.5193) * CHOOSE(CONTROL!$C$21, $C$9, 100%, $E$9)</f>
        <v>5.5193000000000003</v>
      </c>
      <c r="N119" s="10">
        <f>CHOOSE(CONTROL!$C$42, 5.5359, 5.5359) * CHOOSE(CONTROL!$C$21, $C$9, 100%, $E$9)</f>
        <v>5.5358999999999998</v>
      </c>
      <c r="O119" s="10">
        <f>CHOOSE(CONTROL!$C$42, 5.6123, 5.6123) * CHOOSE(CONTROL!$C$21, $C$9, 100%, $E$9)</f>
        <v>5.6123000000000003</v>
      </c>
      <c r="P119" s="10">
        <f>CHOOSE(CONTROL!$C$42, 5.56, 5.56) * CHOOSE(CONTROL!$C$21, $C$9, 100%, $E$9)</f>
        <v>5.56</v>
      </c>
      <c r="Q119" s="10">
        <f>CHOOSE(CONTROL!$C$42, 6.2076, 6.2076) * CHOOSE(CONTROL!$C$21, $C$9, 100%, $E$9)</f>
        <v>6.2076000000000002</v>
      </c>
      <c r="R119" s="10">
        <f>CHOOSE(CONTROL!$C$42, 6.8101, 6.8101) * CHOOSE(CONTROL!$C$21, $C$9, 100%, $E$9)</f>
        <v>6.8101000000000003</v>
      </c>
      <c r="S119" s="10">
        <f>CHOOSE(CONTROL!$C$42, 5.4391, 5.4391) * CHOOSE(CONTROL!$C$21, $C$9, 100%, $E$9)</f>
        <v>5.4390999999999998</v>
      </c>
      <c r="T1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38">
        <f>(1000*CHOOSE(CONTROL!$C$42, 695, 695)*CHOOSE(CONTROL!$C$42, 0.5599, 0.5599)*CHOOSE(CONTROL!$C$42, 30, 30))/1000000</f>
        <v>11.673914999999997</v>
      </c>
      <c r="V119" s="38">
        <f>(1000*CHOOSE(CONTROL!$C$42, 500, 500)*CHOOSE(CONTROL!$C$42, 0.275, 0.275)*CHOOSE(CONTROL!$C$42, 30, 30))/1000000</f>
        <v>4.125</v>
      </c>
      <c r="W119" s="38">
        <f>(1000*CHOOSE(CONTROL!$C$42, 0.1146, 0.1146)*CHOOSE(CONTROL!$C$42, 121.5, 121.5)*CHOOSE(CONTROL!$C$42, 30, 30))/1000000</f>
        <v>0.417717</v>
      </c>
      <c r="X119" s="38">
        <f>(30*0.1790888*100000/1000000)+(30*0.2374*100000/1000000)</f>
        <v>1.2494664</v>
      </c>
      <c r="Y119" s="38">
        <f>(1000*600*CHOOSE(CONTROL!$C$42, 1.7641, 1.7641)*CHOOSE(CONTROL!$C$42, 30, 30))/1000000</f>
        <v>31.753799999999998</v>
      </c>
      <c r="Z119" s="38"/>
      <c r="AA119" s="10"/>
      <c r="AB119" s="39"/>
      <c r="AC119" s="33">
        <f>(B119*122.58+C119*297.941+D119*89.177+E119*40.302+F119*40+G119*160+H119*0+I119*100+J119*300)/(122.58+297.941+89.177+40.302+0+40+160+100+300)</f>
        <v>5.5912114616521738</v>
      </c>
      <c r="AD119" s="27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5.5682625899280573</v>
      </c>
    </row>
    <row r="120" spans="1:30" ht="15" x14ac:dyDescent="0.2">
      <c r="A120" s="16">
        <v>44896</v>
      </c>
      <c r="B120" s="10">
        <f>CHOOSE(CONTROL!$C$42, 5.9829, 5.9829) * CHOOSE(CONTROL!$C$21, $C$9, 100%, $E$9)</f>
        <v>5.9828999999999999</v>
      </c>
      <c r="C120" s="10">
        <f>CHOOSE(CONTROL!$C$42, 5.988, 5.988) * CHOOSE(CONTROL!$C$21, $C$9, 100%, $E$9)</f>
        <v>5.9880000000000004</v>
      </c>
      <c r="D120" s="10">
        <f>CHOOSE(CONTROL!$C$42, 6.0126, 6.0126) * CHOOSE(CONTROL!$C$21, $C$9, 100%, $E$9)</f>
        <v>6.0125999999999999</v>
      </c>
      <c r="E120" s="10">
        <f>CHOOSE(CONTROL!$C$42, 6.0464, 6.0464) * CHOOSE(CONTROL!$C$21, $C$9, 100%, $E$9)</f>
        <v>6.0464000000000002</v>
      </c>
      <c r="F120" s="10">
        <f>CHOOSE(CONTROL!$C$42, 5.9503, 5.9503)*CHOOSE(CONTROL!$C$21, $C$9, 100%, $E$9)</f>
        <v>5.9503000000000004</v>
      </c>
      <c r="G120" s="10">
        <f>CHOOSE(CONTROL!$C$42, 5.9676, 5.9676)*CHOOSE(CONTROL!$C$21, $C$9, 100%, $E$9)</f>
        <v>5.9676</v>
      </c>
      <c r="H120" s="10">
        <f>CHOOSE(CONTROL!$C$42, 6.0353, 6.0353) * CHOOSE(CONTROL!$C$21, $C$9, 100%, $E$9)</f>
        <v>6.0353000000000003</v>
      </c>
      <c r="I120" s="10">
        <f>CHOOSE(CONTROL!$C$42, 5.9824, 5.9824)* CHOOSE(CONTROL!$C$21, $C$9, 100%, $E$9)</f>
        <v>5.9824000000000002</v>
      </c>
      <c r="J120" s="10">
        <f>CHOOSE(CONTROL!$C$42, 5.9429, 5.9429)* CHOOSE(CONTROL!$C$21, $C$9, 100%, $E$9)</f>
        <v>5.9428999999999998</v>
      </c>
      <c r="K120" s="10">
        <f>CHOOSE(CONTROL!$C$42, 5.9587, 5.9587) * CHOOSE(CONTROL!$C$21, $C$9, 100%, $E$9)</f>
        <v>5.9587000000000003</v>
      </c>
      <c r="L120" s="10">
        <f>CHOOSE(CONTROL!$C$42, 6.6223, 6.6223) * CHOOSE(CONTROL!$C$21, $C$9, 100%, $E$9)</f>
        <v>6.6223000000000001</v>
      </c>
      <c r="M120" s="10">
        <f>CHOOSE(CONTROL!$C$42, 5.899, 5.899) * CHOOSE(CONTROL!$C$21, $C$9, 100%, $E$9)</f>
        <v>5.899</v>
      </c>
      <c r="N120" s="10">
        <f>CHOOSE(CONTROL!$C$42, 5.916, 5.916) * CHOOSE(CONTROL!$C$21, $C$9, 100%, $E$9)</f>
        <v>5.9160000000000004</v>
      </c>
      <c r="O120" s="10">
        <f>CHOOSE(CONTROL!$C$42, 5.9902, 5.9902) * CHOOSE(CONTROL!$C$21, $C$9, 100%, $E$9)</f>
        <v>5.9901999999999997</v>
      </c>
      <c r="P120" s="10">
        <f>CHOOSE(CONTROL!$C$42, 5.938, 5.938) * CHOOSE(CONTROL!$C$21, $C$9, 100%, $E$9)</f>
        <v>5.9379999999999997</v>
      </c>
      <c r="Q120" s="10">
        <f>CHOOSE(CONTROL!$C$42, 6.5855, 6.5855) * CHOOSE(CONTROL!$C$21, $C$9, 100%, $E$9)</f>
        <v>6.5854999999999997</v>
      </c>
      <c r="R120" s="10">
        <f>CHOOSE(CONTROL!$C$42, 7.189, 7.189) * CHOOSE(CONTROL!$C$21, $C$9, 100%, $E$9)</f>
        <v>7.1890000000000001</v>
      </c>
      <c r="S120" s="10">
        <f>CHOOSE(CONTROL!$C$42, 5.8099, 5.8099) * CHOOSE(CONTROL!$C$21, $C$9, 100%, $E$9)</f>
        <v>5.8098999999999998</v>
      </c>
      <c r="T1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38">
        <f>(1000*CHOOSE(CONTROL!$C$42, 695, 695)*CHOOSE(CONTROL!$C$42, 0.5599, 0.5599)*CHOOSE(CONTROL!$C$42, 31, 31))/1000000</f>
        <v>12.063045499999998</v>
      </c>
      <c r="V120" s="38">
        <f>(1000*CHOOSE(CONTROL!$C$42, 500, 500)*CHOOSE(CONTROL!$C$42, 0.275, 0.275)*CHOOSE(CONTROL!$C$42, 31, 31))/1000000</f>
        <v>4.2625000000000002</v>
      </c>
      <c r="W120" s="38">
        <f>(1000*CHOOSE(CONTROL!$C$42, 0.1146, 0.1146)*CHOOSE(CONTROL!$C$42, 121.5, 121.5)*CHOOSE(CONTROL!$C$42, 31, 31))/1000000</f>
        <v>0.43164089999999994</v>
      </c>
      <c r="X120" s="38">
        <f>(31*0.1790888*100000/1000000)+(31*0.2374*100000/1000000)</f>
        <v>1.2911152800000001</v>
      </c>
      <c r="Y120" s="38">
        <f>(1000*600*CHOOSE(CONTROL!$C$42, 1.7641, 1.7641)*CHOOSE(CONTROL!$C$42, 31, 31))/1000000</f>
        <v>32.812260000000002</v>
      </c>
      <c r="Z120" s="38"/>
      <c r="AA120" s="10"/>
      <c r="AB120" s="39"/>
      <c r="AC120" s="33">
        <f>(B120*122.58+C120*297.941+D120*89.177+E120*40.302+F120*40+G120*160+H120*0+I120*100+J120*300)/(122.58+297.941+89.177+40.302+0+40+160+100+300)</f>
        <v>5.9750088982608691</v>
      </c>
      <c r="AD120" s="27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5.9469251798561151</v>
      </c>
    </row>
    <row r="121" spans="1:30" ht="15" x14ac:dyDescent="0.2">
      <c r="A121" s="16">
        <v>44927</v>
      </c>
      <c r="B121" s="10">
        <f>CHOOSE(CONTROL!$C$42, 6.4513, 6.4513) * CHOOSE(CONTROL!$C$21, $C$9, 100%, $E$9)</f>
        <v>6.4512999999999998</v>
      </c>
      <c r="C121" s="10">
        <f>CHOOSE(CONTROL!$C$42, 6.4564, 6.4564) * CHOOSE(CONTROL!$C$21, $C$9, 100%, $E$9)</f>
        <v>6.4564000000000004</v>
      </c>
      <c r="D121" s="10">
        <f>CHOOSE(CONTROL!$C$42, 6.4914, 6.4914) * CHOOSE(CONTROL!$C$21, $C$9, 100%, $E$9)</f>
        <v>6.4913999999999996</v>
      </c>
      <c r="E121" s="10">
        <f>CHOOSE(CONTROL!$C$42, 6.5252, 6.5252) * CHOOSE(CONTROL!$C$21, $C$9, 100%, $E$9)</f>
        <v>6.5251999999999999</v>
      </c>
      <c r="F121" s="10">
        <f>CHOOSE(CONTROL!$C$42, 6.4326, 6.4326)*CHOOSE(CONTROL!$C$21, $C$9, 100%, $E$9)</f>
        <v>6.4325999999999999</v>
      </c>
      <c r="G121" s="10">
        <f>CHOOSE(CONTROL!$C$42, 6.4515, 6.4515)*CHOOSE(CONTROL!$C$21, $C$9, 100%, $E$9)</f>
        <v>6.4515000000000002</v>
      </c>
      <c r="H121" s="10">
        <f>CHOOSE(CONTROL!$C$42, 6.5141, 6.5141) * CHOOSE(CONTROL!$C$21, $C$9, 100%, $E$9)</f>
        <v>6.5141</v>
      </c>
      <c r="I121" s="10">
        <f>CHOOSE(CONTROL!$C$42, 6.4586, 6.4586)* CHOOSE(CONTROL!$C$21, $C$9, 100%, $E$9)</f>
        <v>6.4585999999999997</v>
      </c>
      <c r="J121" s="10">
        <f>CHOOSE(CONTROL!$C$42, 6.4252, 6.4252)* CHOOSE(CONTROL!$C$21, $C$9, 100%, $E$9)</f>
        <v>6.4252000000000002</v>
      </c>
      <c r="K121" s="10">
        <f>CHOOSE(CONTROL!$C$42, 6.4333, 6.4333) * CHOOSE(CONTROL!$C$21, $C$9, 100%, $E$9)</f>
        <v>6.4333</v>
      </c>
      <c r="L121" s="10">
        <f>CHOOSE(CONTROL!$C$42, 7.1011, 7.1011) * CHOOSE(CONTROL!$C$21, $C$9, 100%, $E$9)</f>
        <v>7.1010999999999997</v>
      </c>
      <c r="M121" s="10">
        <f>CHOOSE(CONTROL!$C$42, 6.3751, 6.3751) * CHOOSE(CONTROL!$C$21, $C$9, 100%, $E$9)</f>
        <v>6.3750999999999998</v>
      </c>
      <c r="N121" s="10">
        <f>CHOOSE(CONTROL!$C$42, 6.3937, 6.3937) * CHOOSE(CONTROL!$C$21, $C$9, 100%, $E$9)</f>
        <v>6.3936999999999999</v>
      </c>
      <c r="O121" s="10">
        <f>CHOOSE(CONTROL!$C$42, 6.4628, 6.4628) * CHOOSE(CONTROL!$C$21, $C$9, 100%, $E$9)</f>
        <v>6.4627999999999997</v>
      </c>
      <c r="P121" s="10">
        <f>CHOOSE(CONTROL!$C$42, 6.408, 6.408) * CHOOSE(CONTROL!$C$21, $C$9, 100%, $E$9)</f>
        <v>6.4080000000000004</v>
      </c>
      <c r="Q121" s="10">
        <f>CHOOSE(CONTROL!$C$42, 7.0581, 7.0581) * CHOOSE(CONTROL!$C$21, $C$9, 100%, $E$9)</f>
        <v>7.0580999999999996</v>
      </c>
      <c r="R121" s="10">
        <f>CHOOSE(CONTROL!$C$42, 7.6628, 7.6628) * CHOOSE(CONTROL!$C$21, $C$9, 100%, $E$9)</f>
        <v>7.6627999999999998</v>
      </c>
      <c r="S121" s="10">
        <f>CHOOSE(CONTROL!$C$42, 6.2635, 6.2635) * CHOOSE(CONTROL!$C$21, $C$9, 100%, $E$9)</f>
        <v>6.2634999999999996</v>
      </c>
      <c r="T1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38">
        <f>(1000*CHOOSE(CONTROL!$C$42, 695, 695)*CHOOSE(CONTROL!$C$42, 0.5599, 0.5599)*CHOOSE(CONTROL!$C$42, 31, 31))/1000000</f>
        <v>12.063045499999998</v>
      </c>
      <c r="V121" s="38">
        <f>(1000*CHOOSE(CONTROL!$C$42, 500, 500)*CHOOSE(CONTROL!$C$42, 0.275, 0.275)*CHOOSE(CONTROL!$C$42, 31, 31))/1000000</f>
        <v>4.2625000000000002</v>
      </c>
      <c r="W121" s="38">
        <f>(1000*CHOOSE(CONTROL!$C$42, 0.1146, 0.1146)*CHOOSE(CONTROL!$C$42, 121.5, 121.5)*CHOOSE(CONTROL!$C$42, 31, 31))/1000000</f>
        <v>0.43164089999999994</v>
      </c>
      <c r="X121" s="38">
        <f>(31*0.1790888*100000/1000000)+(31*0.2374*100000/1000000)</f>
        <v>1.2911152800000001</v>
      </c>
      <c r="Y121" s="38">
        <f>(1000*600*CHOOSE(CONTROL!$C$42, 1.754, 1.754)*CHOOSE(CONTROL!$C$42, 31, 31))/1000000</f>
        <v>32.624400000000001</v>
      </c>
      <c r="Z121" s="38"/>
      <c r="AA121" s="10"/>
      <c r="AB121" s="39"/>
      <c r="AC121" s="33">
        <f>(B121*122.58+C121*297.941+D121*89.177+E121*40.302+F121*40+G121*160+H121*0+I121*100+J121*300)/(122.58+297.941+89.177+40.302+0+40+160+100+300)</f>
        <v>6.4515241866086956</v>
      </c>
      <c r="AD121" s="27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6.4206532374100727</v>
      </c>
    </row>
    <row r="122" spans="1:30" ht="15" x14ac:dyDescent="0.2">
      <c r="A122" s="16">
        <v>44958</v>
      </c>
      <c r="B122" s="10">
        <f>CHOOSE(CONTROL!$C$42, 6.5664, 6.5664) * CHOOSE(CONTROL!$C$21, $C$9, 100%, $E$9)</f>
        <v>6.5663999999999998</v>
      </c>
      <c r="C122" s="10">
        <f>CHOOSE(CONTROL!$C$42, 6.5715, 6.5715) * CHOOSE(CONTROL!$C$21, $C$9, 100%, $E$9)</f>
        <v>6.5715000000000003</v>
      </c>
      <c r="D122" s="10">
        <f>CHOOSE(CONTROL!$C$42, 6.6066, 6.6066) * CHOOSE(CONTROL!$C$21, $C$9, 100%, $E$9)</f>
        <v>6.6066000000000003</v>
      </c>
      <c r="E122" s="10">
        <f>CHOOSE(CONTROL!$C$42, 6.6404, 6.6404) * CHOOSE(CONTROL!$C$21, $C$9, 100%, $E$9)</f>
        <v>6.6403999999999996</v>
      </c>
      <c r="F122" s="10">
        <f>CHOOSE(CONTROL!$C$42, 6.5472, 6.5472)*CHOOSE(CONTROL!$C$21, $C$9, 100%, $E$9)</f>
        <v>6.5472000000000001</v>
      </c>
      <c r="G122" s="10">
        <f>CHOOSE(CONTROL!$C$42, 6.566, 6.566)*CHOOSE(CONTROL!$C$21, $C$9, 100%, $E$9)</f>
        <v>6.5659999999999998</v>
      </c>
      <c r="H122" s="10">
        <f>CHOOSE(CONTROL!$C$42, 6.6292, 6.6292) * CHOOSE(CONTROL!$C$21, $C$9, 100%, $E$9)</f>
        <v>6.6292</v>
      </c>
      <c r="I122" s="10">
        <f>CHOOSE(CONTROL!$C$42, 6.5737, 6.5737)* CHOOSE(CONTROL!$C$21, $C$9, 100%, $E$9)</f>
        <v>6.5736999999999997</v>
      </c>
      <c r="J122" s="10">
        <f>CHOOSE(CONTROL!$C$42, 6.5398, 6.5398)* CHOOSE(CONTROL!$C$21, $C$9, 100%, $E$9)</f>
        <v>6.5397999999999996</v>
      </c>
      <c r="K122" s="10">
        <f>CHOOSE(CONTROL!$C$42, 6.5437, 6.5437) * CHOOSE(CONTROL!$C$21, $C$9, 100%, $E$9)</f>
        <v>6.5437000000000003</v>
      </c>
      <c r="L122" s="10">
        <f>CHOOSE(CONTROL!$C$42, 7.2162, 7.2162) * CHOOSE(CONTROL!$C$21, $C$9, 100%, $E$9)</f>
        <v>7.2161999999999997</v>
      </c>
      <c r="M122" s="10">
        <f>CHOOSE(CONTROL!$C$42, 6.4882, 6.4882) * CHOOSE(CONTROL!$C$21, $C$9, 100%, $E$9)</f>
        <v>6.4882</v>
      </c>
      <c r="N122" s="10">
        <f>CHOOSE(CONTROL!$C$42, 6.5067, 6.5067) * CHOOSE(CONTROL!$C$21, $C$9, 100%, $E$9)</f>
        <v>6.5067000000000004</v>
      </c>
      <c r="O122" s="10">
        <f>CHOOSE(CONTROL!$C$42, 6.5765, 6.5765) * CHOOSE(CONTROL!$C$21, $C$9, 100%, $E$9)</f>
        <v>6.5765000000000002</v>
      </c>
      <c r="P122" s="10">
        <f>CHOOSE(CONTROL!$C$42, 6.5217, 6.5217) * CHOOSE(CONTROL!$C$21, $C$9, 100%, $E$9)</f>
        <v>6.5217000000000001</v>
      </c>
      <c r="Q122" s="10">
        <f>CHOOSE(CONTROL!$C$42, 7.1718, 7.1718) * CHOOSE(CONTROL!$C$21, $C$9, 100%, $E$9)</f>
        <v>7.1718000000000002</v>
      </c>
      <c r="R122" s="10">
        <f>CHOOSE(CONTROL!$C$42, 7.7767, 7.7767) * CHOOSE(CONTROL!$C$21, $C$9, 100%, $E$9)</f>
        <v>7.7766999999999999</v>
      </c>
      <c r="S122" s="10">
        <f>CHOOSE(CONTROL!$C$42, 6.3749, 6.3749) * CHOOSE(CONTROL!$C$21, $C$9, 100%, $E$9)</f>
        <v>6.3749000000000002</v>
      </c>
      <c r="T12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38">
        <f>(1000*CHOOSE(CONTROL!$C$42, 695, 695)*CHOOSE(CONTROL!$C$42, 0.5599, 0.5599)*CHOOSE(CONTROL!$C$42, 28, 28))/1000000</f>
        <v>10.895653999999999</v>
      </c>
      <c r="V122" s="38">
        <f>(1000*CHOOSE(CONTROL!$C$42, 500, 500)*CHOOSE(CONTROL!$C$42, 0.275, 0.275)*CHOOSE(CONTROL!$C$42, 28, 28))/1000000</f>
        <v>3.85</v>
      </c>
      <c r="W122" s="38">
        <f>(1000*CHOOSE(CONTROL!$C$42, 0.1146, 0.1146)*CHOOSE(CONTROL!$C$42, 121.5, 121.5)*CHOOSE(CONTROL!$C$42, 28, 28))/1000000</f>
        <v>0.38986920000000003</v>
      </c>
      <c r="X122" s="38">
        <f>(28*0.1790888*100000/1000000)+(28*0.2374*100000/1000000)</f>
        <v>1.16616864</v>
      </c>
      <c r="Y122" s="38">
        <f>(1000*600*CHOOSE(CONTROL!$C$42, 1.754, 1.754)*CHOOSE(CONTROL!$C$42, 28, 28))/1000000</f>
        <v>29.467199999999998</v>
      </c>
      <c r="Z122" s="38"/>
      <c r="AA122" s="10"/>
      <c r="AB122" s="39"/>
      <c r="AC122" s="33">
        <f>(B122*122.58+C122*297.941+D122*89.177+E122*40.302+F122*40+G122*160+H122*0+I122*100+J122*300)/(122.58+297.941+89.177+40.302+0+40+160+100+300)</f>
        <v>6.5664041413043472</v>
      </c>
      <c r="AD122" s="27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6.5341057553956832</v>
      </c>
    </row>
    <row r="123" spans="1:30" ht="15" x14ac:dyDescent="0.2">
      <c r="A123" s="16">
        <v>44986</v>
      </c>
      <c r="B123" s="10">
        <f>CHOOSE(CONTROL!$C$42, 6.3796, 6.3796) * CHOOSE(CONTROL!$C$21, $C$9, 100%, $E$9)</f>
        <v>6.3795999999999999</v>
      </c>
      <c r="C123" s="10">
        <f>CHOOSE(CONTROL!$C$42, 6.3847, 6.3847) * CHOOSE(CONTROL!$C$21, $C$9, 100%, $E$9)</f>
        <v>6.3846999999999996</v>
      </c>
      <c r="D123" s="10">
        <f>CHOOSE(CONTROL!$C$42, 6.4197, 6.4197) * CHOOSE(CONTROL!$C$21, $C$9, 100%, $E$9)</f>
        <v>6.4196999999999997</v>
      </c>
      <c r="E123" s="10">
        <f>CHOOSE(CONTROL!$C$42, 6.4535, 6.4535) * CHOOSE(CONTROL!$C$21, $C$9, 100%, $E$9)</f>
        <v>6.4535</v>
      </c>
      <c r="F123" s="10">
        <f>CHOOSE(CONTROL!$C$42, 6.3589, 6.3589)*CHOOSE(CONTROL!$C$21, $C$9, 100%, $E$9)</f>
        <v>6.3589000000000002</v>
      </c>
      <c r="G123" s="10">
        <f>CHOOSE(CONTROL!$C$42, 6.3773, 6.3773)*CHOOSE(CONTROL!$C$21, $C$9, 100%, $E$9)</f>
        <v>6.3773</v>
      </c>
      <c r="H123" s="10">
        <f>CHOOSE(CONTROL!$C$42, 6.4423, 6.4423) * CHOOSE(CONTROL!$C$21, $C$9, 100%, $E$9)</f>
        <v>6.4423000000000004</v>
      </c>
      <c r="I123" s="10">
        <f>CHOOSE(CONTROL!$C$42, 6.3868, 6.3868)* CHOOSE(CONTROL!$C$21, $C$9, 100%, $E$9)</f>
        <v>6.3868</v>
      </c>
      <c r="J123" s="10">
        <f>CHOOSE(CONTROL!$C$42, 6.3515, 6.3515)* CHOOSE(CONTROL!$C$21, $C$9, 100%, $E$9)</f>
        <v>6.3514999999999997</v>
      </c>
      <c r="K123" s="10">
        <f>CHOOSE(CONTROL!$C$42, 6.3596, 6.3596) * CHOOSE(CONTROL!$C$21, $C$9, 100%, $E$9)</f>
        <v>6.3596000000000004</v>
      </c>
      <c r="L123" s="10">
        <f>CHOOSE(CONTROL!$C$42, 7.0293, 7.0293) * CHOOSE(CONTROL!$C$21, $C$9, 100%, $E$9)</f>
        <v>7.0293000000000001</v>
      </c>
      <c r="M123" s="10">
        <f>CHOOSE(CONTROL!$C$42, 6.3024, 6.3024) * CHOOSE(CONTROL!$C$21, $C$9, 100%, $E$9)</f>
        <v>6.3023999999999996</v>
      </c>
      <c r="N123" s="10">
        <f>CHOOSE(CONTROL!$C$42, 6.3205, 6.3205) * CHOOSE(CONTROL!$C$21, $C$9, 100%, $E$9)</f>
        <v>6.3205</v>
      </c>
      <c r="O123" s="10">
        <f>CHOOSE(CONTROL!$C$42, 6.392, 6.392) * CHOOSE(CONTROL!$C$21, $C$9, 100%, $E$9)</f>
        <v>6.3920000000000003</v>
      </c>
      <c r="P123" s="10">
        <f>CHOOSE(CONTROL!$C$42, 6.3372, 6.3372) * CHOOSE(CONTROL!$C$21, $C$9, 100%, $E$9)</f>
        <v>6.3372000000000002</v>
      </c>
      <c r="Q123" s="10">
        <f>CHOOSE(CONTROL!$C$42, 6.9873, 6.9873) * CHOOSE(CONTROL!$C$21, $C$9, 100%, $E$9)</f>
        <v>6.9873000000000003</v>
      </c>
      <c r="R123" s="10">
        <f>CHOOSE(CONTROL!$C$42, 7.5918, 7.5918) * CHOOSE(CONTROL!$C$21, $C$9, 100%, $E$9)</f>
        <v>7.5918000000000001</v>
      </c>
      <c r="S123" s="10">
        <f>CHOOSE(CONTROL!$C$42, 6.194, 6.194) * CHOOSE(CONTROL!$C$21, $C$9, 100%, $E$9)</f>
        <v>6.194</v>
      </c>
      <c r="T1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38">
        <f>(1000*CHOOSE(CONTROL!$C$42, 695, 695)*CHOOSE(CONTROL!$C$42, 0.5599, 0.5599)*CHOOSE(CONTROL!$C$42, 31, 31))/1000000</f>
        <v>12.063045499999998</v>
      </c>
      <c r="V123" s="38">
        <f>(1000*CHOOSE(CONTROL!$C$42, 500, 500)*CHOOSE(CONTROL!$C$42, 0.275, 0.275)*CHOOSE(CONTROL!$C$42, 31, 31))/1000000</f>
        <v>4.2625000000000002</v>
      </c>
      <c r="W123" s="38">
        <f>(1000*CHOOSE(CONTROL!$C$42, 0.1146, 0.1146)*CHOOSE(CONTROL!$C$42, 121.5, 121.5)*CHOOSE(CONTROL!$C$42, 31, 31))/1000000</f>
        <v>0.43164089999999994</v>
      </c>
      <c r="X123" s="38">
        <f>(31*0.1790888*100000/1000000)+(31*0.2374*100000/1000000)</f>
        <v>1.2911152800000001</v>
      </c>
      <c r="Y123" s="38">
        <f>(1000*600*CHOOSE(CONTROL!$C$42, 1.754, 1.754)*CHOOSE(CONTROL!$C$42, 31, 31))/1000000</f>
        <v>32.624400000000001</v>
      </c>
      <c r="Z123" s="38"/>
      <c r="AA123" s="10"/>
      <c r="AB123" s="39"/>
      <c r="AC123" s="33">
        <f>(B123*122.58+C123*297.941+D123*89.177+E123*40.302+F123*40+G123*160+H123*0+I123*100+J123*300)/(122.58+297.941+89.177+40.302+0+40+160+100+300)</f>
        <v>6.3788763605217387</v>
      </c>
      <c r="AD123" s="27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6.3490589928057544</v>
      </c>
    </row>
    <row r="124" spans="1:30" ht="15" x14ac:dyDescent="0.2">
      <c r="A124" s="16">
        <v>45017</v>
      </c>
      <c r="B124" s="10">
        <f>CHOOSE(CONTROL!$C$42, 6.3612, 6.3612) * CHOOSE(CONTROL!$C$21, $C$9, 100%, $E$9)</f>
        <v>6.3612000000000002</v>
      </c>
      <c r="C124" s="10">
        <f>CHOOSE(CONTROL!$C$42, 6.3657, 6.3657) * CHOOSE(CONTROL!$C$21, $C$9, 100%, $E$9)</f>
        <v>6.3657000000000004</v>
      </c>
      <c r="D124" s="10">
        <f>CHOOSE(CONTROL!$C$42, 6.5439, 6.5439) * CHOOSE(CONTROL!$C$21, $C$9, 100%, $E$9)</f>
        <v>6.5438999999999998</v>
      </c>
      <c r="E124" s="10">
        <f>CHOOSE(CONTROL!$C$42, 6.5757, 6.5757) * CHOOSE(CONTROL!$C$21, $C$9, 100%, $E$9)</f>
        <v>6.5757000000000003</v>
      </c>
      <c r="F124" s="10">
        <f>CHOOSE(CONTROL!$C$42, 6.3046, 6.3046)*CHOOSE(CONTROL!$C$21, $C$9, 100%, $E$9)</f>
        <v>6.3045999999999998</v>
      </c>
      <c r="G124" s="10">
        <f>CHOOSE(CONTROL!$C$42, 6.3212, 6.3212)*CHOOSE(CONTROL!$C$21, $C$9, 100%, $E$9)</f>
        <v>6.3212000000000002</v>
      </c>
      <c r="H124" s="10">
        <f>CHOOSE(CONTROL!$C$42, 6.5652, 6.5652) * CHOOSE(CONTROL!$C$21, $C$9, 100%, $E$9)</f>
        <v>6.5651999999999999</v>
      </c>
      <c r="I124" s="10">
        <f>CHOOSE(CONTROL!$C$42, 6.3372, 6.3372)* CHOOSE(CONTROL!$C$21, $C$9, 100%, $E$9)</f>
        <v>6.3372000000000002</v>
      </c>
      <c r="J124" s="10">
        <f>CHOOSE(CONTROL!$C$42, 6.2972, 6.2972)* CHOOSE(CONTROL!$C$21, $C$9, 100%, $E$9)</f>
        <v>6.2972000000000001</v>
      </c>
      <c r="K124" s="10">
        <f>CHOOSE(CONTROL!$C$42, 6.2968, 6.2968) * CHOOSE(CONTROL!$C$21, $C$9, 100%, $E$9)</f>
        <v>6.2968000000000002</v>
      </c>
      <c r="L124" s="10">
        <f>CHOOSE(CONTROL!$C$42, 7.1522, 7.1522) * CHOOSE(CONTROL!$C$21, $C$9, 100%, $E$9)</f>
        <v>7.1521999999999997</v>
      </c>
      <c r="M124" s="10">
        <f>CHOOSE(CONTROL!$C$42, 6.2487, 6.2487) * CHOOSE(CONTROL!$C$21, $C$9, 100%, $E$9)</f>
        <v>6.2487000000000004</v>
      </c>
      <c r="N124" s="10">
        <f>CHOOSE(CONTROL!$C$42, 6.2651, 6.2651) * CHOOSE(CONTROL!$C$21, $C$9, 100%, $E$9)</f>
        <v>6.2651000000000003</v>
      </c>
      <c r="O124" s="10">
        <f>CHOOSE(CONTROL!$C$42, 6.5133, 6.5133) * CHOOSE(CONTROL!$C$21, $C$9, 100%, $E$9)</f>
        <v>6.5133000000000001</v>
      </c>
      <c r="P124" s="10">
        <f>CHOOSE(CONTROL!$C$42, 6.2882, 6.2882) * CHOOSE(CONTROL!$C$21, $C$9, 100%, $E$9)</f>
        <v>6.2881999999999998</v>
      </c>
      <c r="Q124" s="10">
        <f>CHOOSE(CONTROL!$C$42, 7.1086, 7.1086) * CHOOSE(CONTROL!$C$21, $C$9, 100%, $E$9)</f>
        <v>7.1086</v>
      </c>
      <c r="R124" s="10">
        <f>CHOOSE(CONTROL!$C$42, 7.7133, 7.7133) * CHOOSE(CONTROL!$C$21, $C$9, 100%, $E$9)</f>
        <v>7.7133000000000003</v>
      </c>
      <c r="S124" s="10">
        <f>CHOOSE(CONTROL!$C$42, 6.1754, 6.1754) * CHOOSE(CONTROL!$C$21, $C$9, 100%, $E$9)</f>
        <v>6.1753999999999998</v>
      </c>
      <c r="T1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38">
        <f>(1000*CHOOSE(CONTROL!$C$42, 695, 695)*CHOOSE(CONTROL!$C$42, 0.5599, 0.5599)*CHOOSE(CONTROL!$C$42, 30, 30))/1000000</f>
        <v>11.673914999999997</v>
      </c>
      <c r="V124" s="38">
        <f>(1000*CHOOSE(CONTROL!$C$42, 500, 500)*CHOOSE(CONTROL!$C$42, 0.275, 0.275)*CHOOSE(CONTROL!$C$42, 30, 30))/1000000</f>
        <v>4.125</v>
      </c>
      <c r="W124" s="38">
        <f>(1000*CHOOSE(CONTROL!$C$42, 0.1146, 0.1146)*CHOOSE(CONTROL!$C$42, 121.5, 121.5)*CHOOSE(CONTROL!$C$42, 30, 30))/1000000</f>
        <v>0.417717</v>
      </c>
      <c r="X124" s="38">
        <f>(30*0.1790888*245000/1000000)+(30*0.2374*100000/1000000)</f>
        <v>2.0285026799999999</v>
      </c>
      <c r="Y124" s="38">
        <f>(1000*600*CHOOSE(CONTROL!$C$42, 1.754, 1.754)*CHOOSE(CONTROL!$C$42, 30, 30))/1000000</f>
        <v>31.571999999999999</v>
      </c>
      <c r="Z124" s="38"/>
      <c r="AA124" s="10"/>
      <c r="AB124" s="39"/>
      <c r="AC124" s="33">
        <f>(B124*141.293+C124*267.993+D124*115.016+E124*89.698+F124*40+G124*185+H124*0+I124*100+J124*300)/(141.293+267.993+115.016+89.698+0+40+185+100+300)</f>
        <v>6.3694289045197738</v>
      </c>
      <c r="AD124" s="27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6.3323992805755394</v>
      </c>
    </row>
    <row r="125" spans="1:30" ht="15" x14ac:dyDescent="0.2">
      <c r="A125" s="16">
        <v>45047</v>
      </c>
      <c r="B125" s="10">
        <f>CHOOSE(CONTROL!$C$42, 6.4192, 6.4192) * CHOOSE(CONTROL!$C$21, $C$9, 100%, $E$9)</f>
        <v>6.4192</v>
      </c>
      <c r="C125" s="10">
        <f>CHOOSE(CONTROL!$C$42, 6.4272, 6.4272) * CHOOSE(CONTROL!$C$21, $C$9, 100%, $E$9)</f>
        <v>6.4272</v>
      </c>
      <c r="D125" s="10">
        <f>CHOOSE(CONTROL!$C$42, 6.6023, 6.6023) * CHOOSE(CONTROL!$C$21, $C$9, 100%, $E$9)</f>
        <v>6.6022999999999996</v>
      </c>
      <c r="E125" s="10">
        <f>CHOOSE(CONTROL!$C$42, 6.6335, 6.6335) * CHOOSE(CONTROL!$C$21, $C$9, 100%, $E$9)</f>
        <v>6.6334999999999997</v>
      </c>
      <c r="F125" s="10">
        <f>CHOOSE(CONTROL!$C$42, 6.3609, 6.3609)*CHOOSE(CONTROL!$C$21, $C$9, 100%, $E$9)</f>
        <v>6.3609</v>
      </c>
      <c r="G125" s="10">
        <f>CHOOSE(CONTROL!$C$42, 6.3778, 6.3778)*CHOOSE(CONTROL!$C$21, $C$9, 100%, $E$9)</f>
        <v>6.3777999999999997</v>
      </c>
      <c r="H125" s="10">
        <f>CHOOSE(CONTROL!$C$42, 6.6219, 6.6219) * CHOOSE(CONTROL!$C$21, $C$9, 100%, $E$9)</f>
        <v>6.6219000000000001</v>
      </c>
      <c r="I125" s="10">
        <f>CHOOSE(CONTROL!$C$42, 6.3939, 6.3939)* CHOOSE(CONTROL!$C$21, $C$9, 100%, $E$9)</f>
        <v>6.3939000000000004</v>
      </c>
      <c r="J125" s="10">
        <f>CHOOSE(CONTROL!$C$42, 6.3535, 6.3535)* CHOOSE(CONTROL!$C$21, $C$9, 100%, $E$9)</f>
        <v>6.3535000000000004</v>
      </c>
      <c r="K125" s="10">
        <f>CHOOSE(CONTROL!$C$42, 6.3509, 6.3509) * CHOOSE(CONTROL!$C$21, $C$9, 100%, $E$9)</f>
        <v>6.3509000000000002</v>
      </c>
      <c r="L125" s="10">
        <f>CHOOSE(CONTROL!$C$42, 7.2089, 7.2089) * CHOOSE(CONTROL!$C$21, $C$9, 100%, $E$9)</f>
        <v>7.2088999999999999</v>
      </c>
      <c r="M125" s="10">
        <f>CHOOSE(CONTROL!$C$42, 6.3043, 6.3043) * CHOOSE(CONTROL!$C$21, $C$9, 100%, $E$9)</f>
        <v>6.3042999999999996</v>
      </c>
      <c r="N125" s="10">
        <f>CHOOSE(CONTROL!$C$42, 6.321, 6.321) * CHOOSE(CONTROL!$C$21, $C$9, 100%, $E$9)</f>
        <v>6.3209999999999997</v>
      </c>
      <c r="O125" s="10">
        <f>CHOOSE(CONTROL!$C$42, 6.5692, 6.5692) * CHOOSE(CONTROL!$C$21, $C$9, 100%, $E$9)</f>
        <v>6.5692000000000004</v>
      </c>
      <c r="P125" s="10">
        <f>CHOOSE(CONTROL!$C$42, 6.3442, 6.3442) * CHOOSE(CONTROL!$C$21, $C$9, 100%, $E$9)</f>
        <v>6.3441999999999998</v>
      </c>
      <c r="Q125" s="10">
        <f>CHOOSE(CONTROL!$C$42, 7.1645, 7.1645) * CHOOSE(CONTROL!$C$21, $C$9, 100%, $E$9)</f>
        <v>7.1645000000000003</v>
      </c>
      <c r="R125" s="10">
        <f>CHOOSE(CONTROL!$C$42, 7.7694, 7.7694) * CHOOSE(CONTROL!$C$21, $C$9, 100%, $E$9)</f>
        <v>7.7694000000000001</v>
      </c>
      <c r="S125" s="10">
        <f>CHOOSE(CONTROL!$C$42, 6.2303, 6.2303) * CHOOSE(CONTROL!$C$21, $C$9, 100%, $E$9)</f>
        <v>6.2302999999999997</v>
      </c>
      <c r="T1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38">
        <f>(1000*CHOOSE(CONTROL!$C$42, 695, 695)*CHOOSE(CONTROL!$C$42, 0.5599, 0.5599)*CHOOSE(CONTROL!$C$42, 31, 31))/1000000</f>
        <v>12.063045499999998</v>
      </c>
      <c r="V125" s="38">
        <f>(1000*CHOOSE(CONTROL!$C$42, 500, 500)*CHOOSE(CONTROL!$C$42, 0.275, 0.275)*CHOOSE(CONTROL!$C$42, 31, 31))/1000000</f>
        <v>4.2625000000000002</v>
      </c>
      <c r="W125" s="38">
        <f>(1000*CHOOSE(CONTROL!$C$42, 0.1146, 0.1146)*CHOOSE(CONTROL!$C$42, 121.5, 121.5)*CHOOSE(CONTROL!$C$42, 31, 31))/1000000</f>
        <v>0.43164089999999994</v>
      </c>
      <c r="X125" s="38">
        <f>(31*0.1790888*245000/1000000)+(31*0.2374*100000/1000000)</f>
        <v>2.0961194359999999</v>
      </c>
      <c r="Y125" s="38">
        <f>(1000*600*CHOOSE(CONTROL!$C$42, 1.754, 1.754)*CHOOSE(CONTROL!$C$42, 31, 31))/1000000</f>
        <v>32.624400000000001</v>
      </c>
      <c r="Z125" s="38"/>
      <c r="AA125" s="10"/>
      <c r="AB125" s="39"/>
      <c r="AC125" s="33">
        <f>(B125*194.205+C125*267.466+D125*133.845+E125*53.484+F125*40+G125*185+H125*0+I125*100+J125*300)/(194.205+267.466+133.845+53.484+0+40+185+100+300)</f>
        <v>6.4238133192307698</v>
      </c>
      <c r="AD125" s="27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6.3882100719424457</v>
      </c>
    </row>
    <row r="126" spans="1:30" ht="15" x14ac:dyDescent="0.2">
      <c r="A126" s="16">
        <v>45078</v>
      </c>
      <c r="B126" s="10">
        <f>CHOOSE(CONTROL!$C$42, 6.6017, 6.6017) * CHOOSE(CONTROL!$C$21, $C$9, 100%, $E$9)</f>
        <v>6.6017000000000001</v>
      </c>
      <c r="C126" s="10">
        <f>CHOOSE(CONTROL!$C$42, 6.6097, 6.6097) * CHOOSE(CONTROL!$C$21, $C$9, 100%, $E$9)</f>
        <v>6.6097000000000001</v>
      </c>
      <c r="D126" s="10">
        <f>CHOOSE(CONTROL!$C$42, 6.7848, 6.7848) * CHOOSE(CONTROL!$C$21, $C$9, 100%, $E$9)</f>
        <v>6.7847999999999997</v>
      </c>
      <c r="E126" s="10">
        <f>CHOOSE(CONTROL!$C$42, 6.816, 6.816) * CHOOSE(CONTROL!$C$21, $C$9, 100%, $E$9)</f>
        <v>6.8159999999999998</v>
      </c>
      <c r="F126" s="10">
        <f>CHOOSE(CONTROL!$C$42, 6.5436, 6.5436)*CHOOSE(CONTROL!$C$21, $C$9, 100%, $E$9)</f>
        <v>6.5435999999999996</v>
      </c>
      <c r="G126" s="10">
        <f>CHOOSE(CONTROL!$C$42, 6.5605, 6.5605)*CHOOSE(CONTROL!$C$21, $C$9, 100%, $E$9)</f>
        <v>6.5605000000000002</v>
      </c>
      <c r="H126" s="10">
        <f>CHOOSE(CONTROL!$C$42, 6.8044, 6.8044) * CHOOSE(CONTROL!$C$21, $C$9, 100%, $E$9)</f>
        <v>6.8044000000000002</v>
      </c>
      <c r="I126" s="10">
        <f>CHOOSE(CONTROL!$C$42, 6.5763, 6.5763)* CHOOSE(CONTROL!$C$21, $C$9, 100%, $E$9)</f>
        <v>6.5762999999999998</v>
      </c>
      <c r="J126" s="10">
        <f>CHOOSE(CONTROL!$C$42, 6.5362, 6.5362)* CHOOSE(CONTROL!$C$21, $C$9, 100%, $E$9)</f>
        <v>6.5362</v>
      </c>
      <c r="K126" s="10">
        <f>CHOOSE(CONTROL!$C$42, 6.5281, 6.5281) * CHOOSE(CONTROL!$C$21, $C$9, 100%, $E$9)</f>
        <v>6.5281000000000002</v>
      </c>
      <c r="L126" s="10">
        <f>CHOOSE(CONTROL!$C$42, 7.3914, 7.3914) * CHOOSE(CONTROL!$C$21, $C$9, 100%, $E$9)</f>
        <v>7.3914</v>
      </c>
      <c r="M126" s="10">
        <f>CHOOSE(CONTROL!$C$42, 6.4846, 6.4846) * CHOOSE(CONTROL!$C$21, $C$9, 100%, $E$9)</f>
        <v>6.4846000000000004</v>
      </c>
      <c r="N126" s="10">
        <f>CHOOSE(CONTROL!$C$42, 6.5013, 6.5013) * CHOOSE(CONTROL!$C$21, $C$9, 100%, $E$9)</f>
        <v>6.5012999999999996</v>
      </c>
      <c r="O126" s="10">
        <f>CHOOSE(CONTROL!$C$42, 6.7493, 6.7493) * CHOOSE(CONTROL!$C$21, $C$9, 100%, $E$9)</f>
        <v>6.7492999999999999</v>
      </c>
      <c r="P126" s="10">
        <f>CHOOSE(CONTROL!$C$42, 6.5243, 6.5243) * CHOOSE(CONTROL!$C$21, $C$9, 100%, $E$9)</f>
        <v>6.5243000000000002</v>
      </c>
      <c r="Q126" s="10">
        <f>CHOOSE(CONTROL!$C$42, 7.3446, 7.3446) * CHOOSE(CONTROL!$C$21, $C$9, 100%, $E$9)</f>
        <v>7.3445999999999998</v>
      </c>
      <c r="R126" s="10">
        <f>CHOOSE(CONTROL!$C$42, 7.95, 7.95) * CHOOSE(CONTROL!$C$21, $C$9, 100%, $E$9)</f>
        <v>7.95</v>
      </c>
      <c r="S126" s="10">
        <f>CHOOSE(CONTROL!$C$42, 6.407, 6.407) * CHOOSE(CONTROL!$C$21, $C$9, 100%, $E$9)</f>
        <v>6.407</v>
      </c>
      <c r="T1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38">
        <f>(1000*CHOOSE(CONTROL!$C$42, 695, 695)*CHOOSE(CONTROL!$C$42, 0.5599, 0.5599)*CHOOSE(CONTROL!$C$42, 30, 30))/1000000</f>
        <v>11.673914999999997</v>
      </c>
      <c r="V126" s="38">
        <f>(1000*CHOOSE(CONTROL!$C$42, 500, 500)*CHOOSE(CONTROL!$C$42, 0.275, 0.275)*CHOOSE(CONTROL!$C$42, 30, 30))/1000000</f>
        <v>4.125</v>
      </c>
      <c r="W126" s="38">
        <f>(1000*CHOOSE(CONTROL!$C$42, 0.1146, 0.1146)*CHOOSE(CONTROL!$C$42, 121.5, 121.5)*CHOOSE(CONTROL!$C$42, 30, 30))/1000000</f>
        <v>0.417717</v>
      </c>
      <c r="X126" s="38">
        <f>(30*0.1790888*245000/1000000)+(30*0.2374*100000/1000000)</f>
        <v>2.0285026799999999</v>
      </c>
      <c r="Y126" s="38">
        <f>(1000*600*CHOOSE(CONTROL!$C$42, 1.754, 1.754)*CHOOSE(CONTROL!$C$42, 30, 30))/1000000</f>
        <v>31.571999999999999</v>
      </c>
      <c r="Z126" s="38"/>
      <c r="AA126" s="10"/>
      <c r="AB126" s="39"/>
      <c r="AC126" s="33">
        <f>(B126*194.205+C126*267.466+D126*133.845+E126*53.484+F126*40+G126*185+H126*0+I126*100+J126*300)/(194.205+267.466+133.845+53.484+0+40+185+100+300)</f>
        <v>6.606387887519622</v>
      </c>
      <c r="AD126" s="27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6.5684251798561144</v>
      </c>
    </row>
    <row r="127" spans="1:30" ht="15" x14ac:dyDescent="0.2">
      <c r="A127" s="16">
        <v>45108</v>
      </c>
      <c r="B127" s="10">
        <f>CHOOSE(CONTROL!$C$42, 6.4748, 6.4748) * CHOOSE(CONTROL!$C$21, $C$9, 100%, $E$9)</f>
        <v>6.4748000000000001</v>
      </c>
      <c r="C127" s="10">
        <f>CHOOSE(CONTROL!$C$42, 6.4828, 6.4828) * CHOOSE(CONTROL!$C$21, $C$9, 100%, $E$9)</f>
        <v>6.4828000000000001</v>
      </c>
      <c r="D127" s="10">
        <f>CHOOSE(CONTROL!$C$42, 6.6579, 6.6579) * CHOOSE(CONTROL!$C$21, $C$9, 100%, $E$9)</f>
        <v>6.6578999999999997</v>
      </c>
      <c r="E127" s="10">
        <f>CHOOSE(CONTROL!$C$42, 6.6891, 6.6891) * CHOOSE(CONTROL!$C$21, $C$9, 100%, $E$9)</f>
        <v>6.6890999999999998</v>
      </c>
      <c r="F127" s="10">
        <f>CHOOSE(CONTROL!$C$42, 6.417, 6.417)*CHOOSE(CONTROL!$C$21, $C$9, 100%, $E$9)</f>
        <v>6.4169999999999998</v>
      </c>
      <c r="G127" s="10">
        <f>CHOOSE(CONTROL!$C$42, 6.434, 6.434)*CHOOSE(CONTROL!$C$21, $C$9, 100%, $E$9)</f>
        <v>6.4340000000000002</v>
      </c>
      <c r="H127" s="10">
        <f>CHOOSE(CONTROL!$C$42, 6.6774, 6.6774) * CHOOSE(CONTROL!$C$21, $C$9, 100%, $E$9)</f>
        <v>6.6773999999999996</v>
      </c>
      <c r="I127" s="10">
        <f>CHOOSE(CONTROL!$C$42, 6.4494, 6.4494)* CHOOSE(CONTROL!$C$21, $C$9, 100%, $E$9)</f>
        <v>6.4493999999999998</v>
      </c>
      <c r="J127" s="10">
        <f>CHOOSE(CONTROL!$C$42, 6.4096, 6.4096)* CHOOSE(CONTROL!$C$21, $C$9, 100%, $E$9)</f>
        <v>6.4096000000000002</v>
      </c>
      <c r="K127" s="10">
        <f>CHOOSE(CONTROL!$C$42, 6.4059, 6.4059) * CHOOSE(CONTROL!$C$21, $C$9, 100%, $E$9)</f>
        <v>6.4058999999999999</v>
      </c>
      <c r="L127" s="10">
        <f>CHOOSE(CONTROL!$C$42, 7.2644, 7.2644) * CHOOSE(CONTROL!$C$21, $C$9, 100%, $E$9)</f>
        <v>7.2644000000000002</v>
      </c>
      <c r="M127" s="10">
        <f>CHOOSE(CONTROL!$C$42, 6.3597, 6.3597) * CHOOSE(CONTROL!$C$21, $C$9, 100%, $E$9)</f>
        <v>6.3597000000000001</v>
      </c>
      <c r="N127" s="10">
        <f>CHOOSE(CONTROL!$C$42, 6.3765, 6.3765) * CHOOSE(CONTROL!$C$21, $C$9, 100%, $E$9)</f>
        <v>6.3765000000000001</v>
      </c>
      <c r="O127" s="10">
        <f>CHOOSE(CONTROL!$C$42, 6.624, 6.624) * CHOOSE(CONTROL!$C$21, $C$9, 100%, $E$9)</f>
        <v>6.6239999999999997</v>
      </c>
      <c r="P127" s="10">
        <f>CHOOSE(CONTROL!$C$42, 6.399, 6.399) * CHOOSE(CONTROL!$C$21, $C$9, 100%, $E$9)</f>
        <v>6.399</v>
      </c>
      <c r="Q127" s="10">
        <f>CHOOSE(CONTROL!$C$42, 7.2193, 7.2193) * CHOOSE(CONTROL!$C$21, $C$9, 100%, $E$9)</f>
        <v>7.2192999999999996</v>
      </c>
      <c r="R127" s="10">
        <f>CHOOSE(CONTROL!$C$42, 7.8244, 7.8244) * CHOOSE(CONTROL!$C$21, $C$9, 100%, $E$9)</f>
        <v>7.8243999999999998</v>
      </c>
      <c r="S127" s="10">
        <f>CHOOSE(CONTROL!$C$42, 6.2841, 6.2841) * CHOOSE(CONTROL!$C$21, $C$9, 100%, $E$9)</f>
        <v>6.2840999999999996</v>
      </c>
      <c r="T1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38">
        <f>(1000*CHOOSE(CONTROL!$C$42, 695, 695)*CHOOSE(CONTROL!$C$42, 0.5599, 0.5599)*CHOOSE(CONTROL!$C$42, 31, 31))/1000000</f>
        <v>12.063045499999998</v>
      </c>
      <c r="V127" s="38">
        <f>(1000*CHOOSE(CONTROL!$C$42, 500, 500)*CHOOSE(CONTROL!$C$42, 0.275, 0.275)*CHOOSE(CONTROL!$C$42, 31, 31))/1000000</f>
        <v>4.2625000000000002</v>
      </c>
      <c r="W127" s="38">
        <f>(1000*CHOOSE(CONTROL!$C$42, 0.1146, 0.1146)*CHOOSE(CONTROL!$C$42, 121.5, 121.5)*CHOOSE(CONTROL!$C$42, 31, 31))/1000000</f>
        <v>0.43164089999999994</v>
      </c>
      <c r="X127" s="38">
        <f>(31*0.1790888*245000/1000000)+(31*0.2374*100000/1000000)</f>
        <v>2.0961194359999999</v>
      </c>
      <c r="Y127" s="38">
        <f>(1000*600*CHOOSE(CONTROL!$C$42, 1.754, 1.754)*CHOOSE(CONTROL!$C$42, 31, 31))/1000000</f>
        <v>32.624400000000001</v>
      </c>
      <c r="Z127" s="38"/>
      <c r="AA127" s="10"/>
      <c r="AB127" s="39"/>
      <c r="AC127" s="33">
        <f>(B127*194.205+C127*267.466+D127*133.845+E127*53.484+F127*40+G127*185+H127*0+I127*100+J127*300)/(194.205+267.466+133.845+53.484+0+40+185+100+300)</f>
        <v>6.4796260350863415</v>
      </c>
      <c r="AD127" s="27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6.443378417266187</v>
      </c>
    </row>
    <row r="128" spans="1:30" ht="15" x14ac:dyDescent="0.2">
      <c r="A128" s="16">
        <v>45139</v>
      </c>
      <c r="B128" s="10">
        <f>CHOOSE(CONTROL!$C$42, 6.1543, 6.1543) * CHOOSE(CONTROL!$C$21, $C$9, 100%, $E$9)</f>
        <v>6.1543000000000001</v>
      </c>
      <c r="C128" s="10">
        <f>CHOOSE(CONTROL!$C$42, 6.1623, 6.1623) * CHOOSE(CONTROL!$C$21, $C$9, 100%, $E$9)</f>
        <v>6.1623000000000001</v>
      </c>
      <c r="D128" s="10">
        <f>CHOOSE(CONTROL!$C$42, 6.3374, 6.3374) * CHOOSE(CONTROL!$C$21, $C$9, 100%, $E$9)</f>
        <v>6.3373999999999997</v>
      </c>
      <c r="E128" s="10">
        <f>CHOOSE(CONTROL!$C$42, 6.3686, 6.3686) * CHOOSE(CONTROL!$C$21, $C$9, 100%, $E$9)</f>
        <v>6.3685999999999998</v>
      </c>
      <c r="F128" s="10">
        <f>CHOOSE(CONTROL!$C$42, 6.0964, 6.0964)*CHOOSE(CONTROL!$C$21, $C$9, 100%, $E$9)</f>
        <v>6.0964</v>
      </c>
      <c r="G128" s="10">
        <f>CHOOSE(CONTROL!$C$42, 6.1134, 6.1134)*CHOOSE(CONTROL!$C$21, $C$9, 100%, $E$9)</f>
        <v>6.1134000000000004</v>
      </c>
      <c r="H128" s="10">
        <f>CHOOSE(CONTROL!$C$42, 6.3569, 6.3569) * CHOOSE(CONTROL!$C$21, $C$9, 100%, $E$9)</f>
        <v>6.3569000000000004</v>
      </c>
      <c r="I128" s="10">
        <f>CHOOSE(CONTROL!$C$42, 6.1289, 6.1289)* CHOOSE(CONTROL!$C$21, $C$9, 100%, $E$9)</f>
        <v>6.1288999999999998</v>
      </c>
      <c r="J128" s="10">
        <f>CHOOSE(CONTROL!$C$42, 6.089, 6.089)* CHOOSE(CONTROL!$C$21, $C$9, 100%, $E$9)</f>
        <v>6.0890000000000004</v>
      </c>
      <c r="K128" s="10">
        <f>CHOOSE(CONTROL!$C$42, 6.0951, 6.0951) * CHOOSE(CONTROL!$C$21, $C$9, 100%, $E$9)</f>
        <v>6.0951000000000004</v>
      </c>
      <c r="L128" s="10">
        <f>CHOOSE(CONTROL!$C$42, 6.9439, 6.9439) * CHOOSE(CONTROL!$C$21, $C$9, 100%, $E$9)</f>
        <v>6.9439000000000002</v>
      </c>
      <c r="M128" s="10">
        <f>CHOOSE(CONTROL!$C$42, 6.0432, 6.0432) * CHOOSE(CONTROL!$C$21, $C$9, 100%, $E$9)</f>
        <v>6.0431999999999997</v>
      </c>
      <c r="N128" s="10">
        <f>CHOOSE(CONTROL!$C$42, 6.06, 6.06) * CHOOSE(CONTROL!$C$21, $C$9, 100%, $E$9)</f>
        <v>6.06</v>
      </c>
      <c r="O128" s="10">
        <f>CHOOSE(CONTROL!$C$42, 6.3077, 6.3077) * CHOOSE(CONTROL!$C$21, $C$9, 100%, $E$9)</f>
        <v>6.3076999999999996</v>
      </c>
      <c r="P128" s="10">
        <f>CHOOSE(CONTROL!$C$42, 6.0827, 6.0827) * CHOOSE(CONTROL!$C$21, $C$9, 100%, $E$9)</f>
        <v>6.0827</v>
      </c>
      <c r="Q128" s="10">
        <f>CHOOSE(CONTROL!$C$42, 6.903, 6.903) * CHOOSE(CONTROL!$C$21, $C$9, 100%, $E$9)</f>
        <v>6.9029999999999996</v>
      </c>
      <c r="R128" s="10">
        <f>CHOOSE(CONTROL!$C$42, 7.5072, 7.5072) * CHOOSE(CONTROL!$C$21, $C$9, 100%, $E$9)</f>
        <v>7.5072000000000001</v>
      </c>
      <c r="S128" s="10">
        <f>CHOOSE(CONTROL!$C$42, 5.9738, 5.9738) * CHOOSE(CONTROL!$C$21, $C$9, 100%, $E$9)</f>
        <v>5.9737999999999998</v>
      </c>
      <c r="T1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38">
        <f>(1000*CHOOSE(CONTROL!$C$42, 695, 695)*CHOOSE(CONTROL!$C$42, 0.5599, 0.5599)*CHOOSE(CONTROL!$C$42, 31, 31))/1000000</f>
        <v>12.063045499999998</v>
      </c>
      <c r="V128" s="38">
        <f>(1000*CHOOSE(CONTROL!$C$42, 500, 500)*CHOOSE(CONTROL!$C$42, 0.275, 0.275)*CHOOSE(CONTROL!$C$42, 31, 31))/1000000</f>
        <v>4.2625000000000002</v>
      </c>
      <c r="W128" s="38">
        <f>(1000*CHOOSE(CONTROL!$C$42, 0.1146, 0.1146)*CHOOSE(CONTROL!$C$42, 121.5, 121.5)*CHOOSE(CONTROL!$C$42, 31, 31))/1000000</f>
        <v>0.43164089999999994</v>
      </c>
      <c r="X128" s="38">
        <f>(31*0.1790888*245000/1000000)+(31*0.2374*100000/1000000)</f>
        <v>2.0961194359999999</v>
      </c>
      <c r="Y128" s="38">
        <f>(1000*600*CHOOSE(CONTROL!$C$42, 1.754, 1.754)*CHOOSE(CONTROL!$C$42, 31, 31))/1000000</f>
        <v>32.624400000000001</v>
      </c>
      <c r="Z128" s="38"/>
      <c r="AA128" s="10"/>
      <c r="AB128" s="39"/>
      <c r="AC128" s="33">
        <f>(B128*194.205+C128*267.466+D128*133.845+E128*53.484+F128*40+G128*185+H128*0+I128*100+J128*300)/(194.205+267.466+133.845+53.484+0+40+185+100+300)</f>
        <v>6.1590848262951337</v>
      </c>
      <c r="AD128" s="27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6.1269633093525178</v>
      </c>
    </row>
    <row r="129" spans="1:30" ht="15" x14ac:dyDescent="0.2">
      <c r="A129" s="16">
        <v>45170</v>
      </c>
      <c r="B129" s="10">
        <f>CHOOSE(CONTROL!$C$42, 5.7627, 5.7627) * CHOOSE(CONTROL!$C$21, $C$9, 100%, $E$9)</f>
        <v>5.7626999999999997</v>
      </c>
      <c r="C129" s="10">
        <f>CHOOSE(CONTROL!$C$42, 5.7707, 5.7707) * CHOOSE(CONTROL!$C$21, $C$9, 100%, $E$9)</f>
        <v>5.7706999999999997</v>
      </c>
      <c r="D129" s="10">
        <f>CHOOSE(CONTROL!$C$42, 5.9458, 5.9458) * CHOOSE(CONTROL!$C$21, $C$9, 100%, $E$9)</f>
        <v>5.9458000000000002</v>
      </c>
      <c r="E129" s="10">
        <f>CHOOSE(CONTROL!$C$42, 5.977, 5.977) * CHOOSE(CONTROL!$C$21, $C$9, 100%, $E$9)</f>
        <v>5.9770000000000003</v>
      </c>
      <c r="F129" s="10">
        <f>CHOOSE(CONTROL!$C$42, 5.7045, 5.7045)*CHOOSE(CONTROL!$C$21, $C$9, 100%, $E$9)</f>
        <v>5.7045000000000003</v>
      </c>
      <c r="G129" s="10">
        <f>CHOOSE(CONTROL!$C$42, 5.7214, 5.7214)*CHOOSE(CONTROL!$C$21, $C$9, 100%, $E$9)</f>
        <v>5.7214</v>
      </c>
      <c r="H129" s="10">
        <f>CHOOSE(CONTROL!$C$42, 5.9653, 5.9653) * CHOOSE(CONTROL!$C$21, $C$9, 100%, $E$9)</f>
        <v>5.9653</v>
      </c>
      <c r="I129" s="10">
        <f>CHOOSE(CONTROL!$C$42, 5.7373, 5.7373)* CHOOSE(CONTROL!$C$21, $C$9, 100%, $E$9)</f>
        <v>5.7373000000000003</v>
      </c>
      <c r="J129" s="10">
        <f>CHOOSE(CONTROL!$C$42, 5.6971, 5.6971)* CHOOSE(CONTROL!$C$21, $C$9, 100%, $E$9)</f>
        <v>5.6970999999999998</v>
      </c>
      <c r="K129" s="10">
        <f>CHOOSE(CONTROL!$C$42, 5.7151, 5.7151) * CHOOSE(CONTROL!$C$21, $C$9, 100%, $E$9)</f>
        <v>5.7150999999999996</v>
      </c>
      <c r="L129" s="10">
        <f>CHOOSE(CONTROL!$C$42, 6.5523, 6.5523) * CHOOSE(CONTROL!$C$21, $C$9, 100%, $E$9)</f>
        <v>6.5522999999999998</v>
      </c>
      <c r="M129" s="10">
        <f>CHOOSE(CONTROL!$C$42, 5.6564, 5.6564) * CHOOSE(CONTROL!$C$21, $C$9, 100%, $E$9)</f>
        <v>5.6563999999999997</v>
      </c>
      <c r="N129" s="10">
        <f>CHOOSE(CONTROL!$C$42, 5.6731, 5.6731) * CHOOSE(CONTROL!$C$21, $C$9, 100%, $E$9)</f>
        <v>5.6730999999999998</v>
      </c>
      <c r="O129" s="10">
        <f>CHOOSE(CONTROL!$C$42, 5.9212, 5.9212) * CHOOSE(CONTROL!$C$21, $C$9, 100%, $E$9)</f>
        <v>5.9211999999999998</v>
      </c>
      <c r="P129" s="10">
        <f>CHOOSE(CONTROL!$C$42, 5.6961, 5.6961) * CHOOSE(CONTROL!$C$21, $C$9, 100%, $E$9)</f>
        <v>5.6961000000000004</v>
      </c>
      <c r="Q129" s="10">
        <f>CHOOSE(CONTROL!$C$42, 6.5165, 6.5165) * CHOOSE(CONTROL!$C$21, $C$9, 100%, $E$9)</f>
        <v>6.5164999999999997</v>
      </c>
      <c r="R129" s="10">
        <f>CHOOSE(CONTROL!$C$42, 7.1197, 7.1197) * CHOOSE(CONTROL!$C$21, $C$9, 100%, $E$9)</f>
        <v>7.1196999999999999</v>
      </c>
      <c r="S129" s="10">
        <f>CHOOSE(CONTROL!$C$42, 5.5946, 5.5946) * CHOOSE(CONTROL!$C$21, $C$9, 100%, $E$9)</f>
        <v>5.5945999999999998</v>
      </c>
      <c r="T1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38">
        <f>(1000*CHOOSE(CONTROL!$C$42, 695, 695)*CHOOSE(CONTROL!$C$42, 0.5599, 0.5599)*CHOOSE(CONTROL!$C$42, 30, 30))/1000000</f>
        <v>11.673914999999997</v>
      </c>
      <c r="V129" s="38">
        <f>(1000*CHOOSE(CONTROL!$C$42, 500, 500)*CHOOSE(CONTROL!$C$42, 0.275, 0.275)*CHOOSE(CONTROL!$C$42, 30, 30))/1000000</f>
        <v>4.125</v>
      </c>
      <c r="W129" s="38">
        <f>(1000*CHOOSE(CONTROL!$C$42, 0.1146, 0.1146)*CHOOSE(CONTROL!$C$42, 121.5, 121.5)*CHOOSE(CONTROL!$C$42, 30, 30))/1000000</f>
        <v>0.417717</v>
      </c>
      <c r="X129" s="38">
        <f>(30*0.1790888*245000/1000000)+(30*0.2374*100000/1000000)</f>
        <v>2.0285026799999999</v>
      </c>
      <c r="Y129" s="38">
        <f>(1000*600*CHOOSE(CONTROL!$C$42, 1.754, 1.754)*CHOOSE(CONTROL!$C$42, 30, 30))/1000000</f>
        <v>31.571999999999999</v>
      </c>
      <c r="Z129" s="38"/>
      <c r="AA129" s="10"/>
      <c r="AB129" s="39"/>
      <c r="AC129" s="33">
        <f>(B129*194.205+C129*267.466+D129*133.845+E129*53.484+F129*40+G129*185+H129*0+I129*100+J129*300)/(194.205+267.466+133.845+53.484+0+40+185+100+300)</f>
        <v>5.7673466787284138</v>
      </c>
      <c r="AD129" s="27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5.7402532374100721</v>
      </c>
    </row>
    <row r="130" spans="1:30" ht="15" x14ac:dyDescent="0.2">
      <c r="A130" s="16">
        <v>45200</v>
      </c>
      <c r="B130" s="10">
        <f>CHOOSE(CONTROL!$C$42, 5.6433, 5.6433) * CHOOSE(CONTROL!$C$21, $C$9, 100%, $E$9)</f>
        <v>5.6433</v>
      </c>
      <c r="C130" s="10">
        <f>CHOOSE(CONTROL!$C$42, 5.6486, 5.6486) * CHOOSE(CONTROL!$C$21, $C$9, 100%, $E$9)</f>
        <v>5.6486000000000001</v>
      </c>
      <c r="D130" s="10">
        <f>CHOOSE(CONTROL!$C$42, 5.8286, 5.8286) * CHOOSE(CONTROL!$C$21, $C$9, 100%, $E$9)</f>
        <v>5.8285999999999998</v>
      </c>
      <c r="E130" s="10">
        <f>CHOOSE(CONTROL!$C$42, 5.8575, 5.8575) * CHOOSE(CONTROL!$C$21, $C$9, 100%, $E$9)</f>
        <v>5.8574999999999999</v>
      </c>
      <c r="F130" s="10">
        <f>CHOOSE(CONTROL!$C$42, 5.587, 5.587)*CHOOSE(CONTROL!$C$21, $C$9, 100%, $E$9)</f>
        <v>5.5869999999999997</v>
      </c>
      <c r="G130" s="10">
        <f>CHOOSE(CONTROL!$C$42, 5.6036, 5.6036)*CHOOSE(CONTROL!$C$21, $C$9, 100%, $E$9)</f>
        <v>5.6036000000000001</v>
      </c>
      <c r="H130" s="10">
        <f>CHOOSE(CONTROL!$C$42, 5.8477, 5.8477) * CHOOSE(CONTROL!$C$21, $C$9, 100%, $E$9)</f>
        <v>5.8476999999999997</v>
      </c>
      <c r="I130" s="10">
        <f>CHOOSE(CONTROL!$C$42, 5.6196, 5.6196)* CHOOSE(CONTROL!$C$21, $C$9, 100%, $E$9)</f>
        <v>5.6196000000000002</v>
      </c>
      <c r="J130" s="10">
        <f>CHOOSE(CONTROL!$C$42, 5.5796, 5.5796)* CHOOSE(CONTROL!$C$21, $C$9, 100%, $E$9)</f>
        <v>5.5796000000000001</v>
      </c>
      <c r="K130" s="10">
        <f>CHOOSE(CONTROL!$C$42, 5.6016, 5.6016) * CHOOSE(CONTROL!$C$21, $C$9, 100%, $E$9)</f>
        <v>5.6016000000000004</v>
      </c>
      <c r="L130" s="10">
        <f>CHOOSE(CONTROL!$C$42, 6.4347, 6.4347) * CHOOSE(CONTROL!$C$21, $C$9, 100%, $E$9)</f>
        <v>6.4347000000000003</v>
      </c>
      <c r="M130" s="10">
        <f>CHOOSE(CONTROL!$C$42, 5.5405, 5.5405) * CHOOSE(CONTROL!$C$21, $C$9, 100%, $E$9)</f>
        <v>5.5404999999999998</v>
      </c>
      <c r="N130" s="10">
        <f>CHOOSE(CONTROL!$C$42, 5.5568, 5.5568) * CHOOSE(CONTROL!$C$21, $C$9, 100%, $E$9)</f>
        <v>5.5568</v>
      </c>
      <c r="O130" s="10">
        <f>CHOOSE(CONTROL!$C$42, 5.805, 5.805) * CHOOSE(CONTROL!$C$21, $C$9, 100%, $E$9)</f>
        <v>5.8049999999999997</v>
      </c>
      <c r="P130" s="10">
        <f>CHOOSE(CONTROL!$C$42, 5.58, 5.58) * CHOOSE(CONTROL!$C$21, $C$9, 100%, $E$9)</f>
        <v>5.58</v>
      </c>
      <c r="Q130" s="10">
        <f>CHOOSE(CONTROL!$C$42, 6.4003, 6.4003) * CHOOSE(CONTROL!$C$21, $C$9, 100%, $E$9)</f>
        <v>6.4002999999999997</v>
      </c>
      <c r="R130" s="10">
        <f>CHOOSE(CONTROL!$C$42, 7.0033, 7.0033) * CHOOSE(CONTROL!$C$21, $C$9, 100%, $E$9)</f>
        <v>7.0033000000000003</v>
      </c>
      <c r="S130" s="10">
        <f>CHOOSE(CONTROL!$C$42, 5.4806, 5.4806) * CHOOSE(CONTROL!$C$21, $C$9, 100%, $E$9)</f>
        <v>5.4805999999999999</v>
      </c>
      <c r="T1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38">
        <f>(1000*CHOOSE(CONTROL!$C$42, 695, 695)*CHOOSE(CONTROL!$C$42, 0.5599, 0.5599)*CHOOSE(CONTROL!$C$42, 31, 31))/1000000</f>
        <v>12.063045499999998</v>
      </c>
      <c r="V130" s="38">
        <f>(1000*CHOOSE(CONTROL!$C$42, 500, 500)*CHOOSE(CONTROL!$C$42, 0.275, 0.275)*CHOOSE(CONTROL!$C$42, 31, 31))/1000000</f>
        <v>4.2625000000000002</v>
      </c>
      <c r="W130" s="38">
        <f>(1000*CHOOSE(CONTROL!$C$42, 0.1146, 0.1146)*CHOOSE(CONTROL!$C$42, 121.5, 121.5)*CHOOSE(CONTROL!$C$42, 31, 31))/1000000</f>
        <v>0.43164089999999994</v>
      </c>
      <c r="X130" s="38">
        <f>(31*0.1790888*245000/1000000)+(31*0.2374*100000/1000000)</f>
        <v>2.0961194359999999</v>
      </c>
      <c r="Y130" s="38">
        <f>(1000*600*CHOOSE(CONTROL!$C$42, 1.754, 1.754)*CHOOSE(CONTROL!$C$42, 31, 31))/1000000</f>
        <v>32.624400000000001</v>
      </c>
      <c r="Z130" s="38"/>
      <c r="AA130" s="10"/>
      <c r="AB130" s="39"/>
      <c r="AC130" s="33">
        <f>(B130*131.881+C130*277.167+D130*79.08+E130*125.872+F130*40+G130*185+H130*0+I130*100+J130*300)/(131.881+277.167+79.08+125.872+0+40+185+100+300)</f>
        <v>5.6529915185633568</v>
      </c>
      <c r="AD130" s="27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5.6241482014388486</v>
      </c>
    </row>
    <row r="131" spans="1:30" ht="15" x14ac:dyDescent="0.2">
      <c r="A131" s="16">
        <v>45231</v>
      </c>
      <c r="B131" s="10">
        <f>CHOOSE(CONTROL!$C$42, 5.7919, 5.7919) * CHOOSE(CONTROL!$C$21, $C$9, 100%, $E$9)</f>
        <v>5.7919</v>
      </c>
      <c r="C131" s="10">
        <f>CHOOSE(CONTROL!$C$42, 5.797, 5.797) * CHOOSE(CONTROL!$C$21, $C$9, 100%, $E$9)</f>
        <v>5.7969999999999997</v>
      </c>
      <c r="D131" s="10">
        <f>CHOOSE(CONTROL!$C$42, 5.8217, 5.8217) * CHOOSE(CONTROL!$C$21, $C$9, 100%, $E$9)</f>
        <v>5.8216999999999999</v>
      </c>
      <c r="E131" s="10">
        <f>CHOOSE(CONTROL!$C$42, 5.8555, 5.8555) * CHOOSE(CONTROL!$C$21, $C$9, 100%, $E$9)</f>
        <v>5.8555000000000001</v>
      </c>
      <c r="F131" s="10">
        <f>CHOOSE(CONTROL!$C$42, 5.7576, 5.7576)*CHOOSE(CONTROL!$C$21, $C$9, 100%, $E$9)</f>
        <v>5.7576000000000001</v>
      </c>
      <c r="G131" s="10">
        <f>CHOOSE(CONTROL!$C$42, 5.7744, 5.7744)*CHOOSE(CONTROL!$C$21, $C$9, 100%, $E$9)</f>
        <v>5.7744</v>
      </c>
      <c r="H131" s="10">
        <f>CHOOSE(CONTROL!$C$42, 5.8444, 5.8444) * CHOOSE(CONTROL!$C$21, $C$9, 100%, $E$9)</f>
        <v>5.8444000000000003</v>
      </c>
      <c r="I131" s="10">
        <f>CHOOSE(CONTROL!$C$42, 5.7914, 5.7914)* CHOOSE(CONTROL!$C$21, $C$9, 100%, $E$9)</f>
        <v>5.7914000000000003</v>
      </c>
      <c r="J131" s="10">
        <f>CHOOSE(CONTROL!$C$42, 5.7502, 5.7502)* CHOOSE(CONTROL!$C$21, $C$9, 100%, $E$9)</f>
        <v>5.7502000000000004</v>
      </c>
      <c r="K131" s="10">
        <f>CHOOSE(CONTROL!$C$42, 5.7699, 5.7699) * CHOOSE(CONTROL!$C$21, $C$9, 100%, $E$9)</f>
        <v>5.7698999999999998</v>
      </c>
      <c r="L131" s="10">
        <f>CHOOSE(CONTROL!$C$42, 6.4314, 6.4314) * CHOOSE(CONTROL!$C$21, $C$9, 100%, $E$9)</f>
        <v>6.4314</v>
      </c>
      <c r="M131" s="10">
        <f>CHOOSE(CONTROL!$C$42, 5.7088, 5.7088) * CHOOSE(CONTROL!$C$21, $C$9, 100%, $E$9)</f>
        <v>5.7088000000000001</v>
      </c>
      <c r="N131" s="10">
        <f>CHOOSE(CONTROL!$C$42, 5.7254, 5.7254) * CHOOSE(CONTROL!$C$21, $C$9, 100%, $E$9)</f>
        <v>5.7253999999999996</v>
      </c>
      <c r="O131" s="10">
        <f>CHOOSE(CONTROL!$C$42, 5.8018, 5.8018) * CHOOSE(CONTROL!$C$21, $C$9, 100%, $E$9)</f>
        <v>5.8018000000000001</v>
      </c>
      <c r="P131" s="10">
        <f>CHOOSE(CONTROL!$C$42, 5.7496, 5.7496) * CHOOSE(CONTROL!$C$21, $C$9, 100%, $E$9)</f>
        <v>5.7496</v>
      </c>
      <c r="Q131" s="10">
        <f>CHOOSE(CONTROL!$C$42, 6.3971, 6.3971) * CHOOSE(CONTROL!$C$21, $C$9, 100%, $E$9)</f>
        <v>6.3971</v>
      </c>
      <c r="R131" s="10">
        <f>CHOOSE(CONTROL!$C$42, 7.0001, 7.0001) * CHOOSE(CONTROL!$C$21, $C$9, 100%, $E$9)</f>
        <v>7.0000999999999998</v>
      </c>
      <c r="S131" s="10">
        <f>CHOOSE(CONTROL!$C$42, 5.625, 5.625) * CHOOSE(CONTROL!$C$21, $C$9, 100%, $E$9)</f>
        <v>5.625</v>
      </c>
      <c r="T1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38">
        <f>(1000*CHOOSE(CONTROL!$C$42, 695, 695)*CHOOSE(CONTROL!$C$42, 0.5599, 0.5599)*CHOOSE(CONTROL!$C$42, 30, 30))/1000000</f>
        <v>11.673914999999997</v>
      </c>
      <c r="V131" s="38">
        <f>(1000*CHOOSE(CONTROL!$C$42, 500, 500)*CHOOSE(CONTROL!$C$42, 0.275, 0.275)*CHOOSE(CONTROL!$C$42, 30, 30))/1000000</f>
        <v>4.125</v>
      </c>
      <c r="W131" s="38">
        <f>(1000*CHOOSE(CONTROL!$C$42, 0.1146, 0.1146)*CHOOSE(CONTROL!$C$42, 121.5, 121.5)*CHOOSE(CONTROL!$C$42, 30, 30))/1000000</f>
        <v>0.417717</v>
      </c>
      <c r="X131" s="38">
        <f>(30*0.1790888*100000/1000000)+(30*0.2374*100000/1000000)</f>
        <v>1.2494664</v>
      </c>
      <c r="Y131" s="38">
        <f>(1000*600*CHOOSE(CONTROL!$C$42, 1.754, 1.754)*CHOOSE(CONTROL!$C$42, 30, 30))/1000000</f>
        <v>31.571999999999999</v>
      </c>
      <c r="Z131" s="38"/>
      <c r="AA131" s="10"/>
      <c r="AB131" s="39"/>
      <c r="AC131" s="33">
        <f>(B131*122.58+C131*297.941+D131*89.177+E131*40.302+F131*40+G131*160+H131*0+I131*100+J131*300)/(122.58+297.941+89.177+40.302+0+40+160+100+300)</f>
        <v>5.7832114616521748</v>
      </c>
      <c r="AD131" s="27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5.7577769784172661</v>
      </c>
    </row>
    <row r="132" spans="1:30" ht="15" x14ac:dyDescent="0.2">
      <c r="A132" s="16">
        <v>45261</v>
      </c>
      <c r="B132" s="10">
        <f>CHOOSE(CONTROL!$C$42, 6.188, 6.188) * CHOOSE(CONTROL!$C$21, $C$9, 100%, $E$9)</f>
        <v>6.1879999999999997</v>
      </c>
      <c r="C132" s="10">
        <f>CHOOSE(CONTROL!$C$42, 6.1931, 6.1931) * CHOOSE(CONTROL!$C$21, $C$9, 100%, $E$9)</f>
        <v>6.1931000000000003</v>
      </c>
      <c r="D132" s="10">
        <f>CHOOSE(CONTROL!$C$42, 6.2177, 6.2177) * CHOOSE(CONTROL!$C$21, $C$9, 100%, $E$9)</f>
        <v>6.2176999999999998</v>
      </c>
      <c r="E132" s="10">
        <f>CHOOSE(CONTROL!$C$42, 6.2515, 6.2515) * CHOOSE(CONTROL!$C$21, $C$9, 100%, $E$9)</f>
        <v>6.2515000000000001</v>
      </c>
      <c r="F132" s="10">
        <f>CHOOSE(CONTROL!$C$42, 6.1554, 6.1554)*CHOOSE(CONTROL!$C$21, $C$9, 100%, $E$9)</f>
        <v>6.1554000000000002</v>
      </c>
      <c r="G132" s="10">
        <f>CHOOSE(CONTROL!$C$42, 6.1727, 6.1727)*CHOOSE(CONTROL!$C$21, $C$9, 100%, $E$9)</f>
        <v>6.1726999999999999</v>
      </c>
      <c r="H132" s="10">
        <f>CHOOSE(CONTROL!$C$42, 6.2404, 6.2404) * CHOOSE(CONTROL!$C$21, $C$9, 100%, $E$9)</f>
        <v>6.2404000000000002</v>
      </c>
      <c r="I132" s="10">
        <f>CHOOSE(CONTROL!$C$42, 6.1875, 6.1875)* CHOOSE(CONTROL!$C$21, $C$9, 100%, $E$9)</f>
        <v>6.1875</v>
      </c>
      <c r="J132" s="10">
        <f>CHOOSE(CONTROL!$C$42, 6.148, 6.148)* CHOOSE(CONTROL!$C$21, $C$9, 100%, $E$9)</f>
        <v>6.1479999999999997</v>
      </c>
      <c r="K132" s="10">
        <f>CHOOSE(CONTROL!$C$42, 6.1574, 6.1574) * CHOOSE(CONTROL!$C$21, $C$9, 100%, $E$9)</f>
        <v>6.1574</v>
      </c>
      <c r="L132" s="10">
        <f>CHOOSE(CONTROL!$C$42, 6.8274, 6.8274) * CHOOSE(CONTROL!$C$21, $C$9, 100%, $E$9)</f>
        <v>6.8273999999999999</v>
      </c>
      <c r="M132" s="10">
        <f>CHOOSE(CONTROL!$C$42, 6.1014, 6.1014) * CHOOSE(CONTROL!$C$21, $C$9, 100%, $E$9)</f>
        <v>6.1013999999999999</v>
      </c>
      <c r="N132" s="10">
        <f>CHOOSE(CONTROL!$C$42, 6.1185, 6.1185) * CHOOSE(CONTROL!$C$21, $C$9, 100%, $E$9)</f>
        <v>6.1185</v>
      </c>
      <c r="O132" s="10">
        <f>CHOOSE(CONTROL!$C$42, 6.1927, 6.1927) * CHOOSE(CONTROL!$C$21, $C$9, 100%, $E$9)</f>
        <v>6.1927000000000003</v>
      </c>
      <c r="P132" s="10">
        <f>CHOOSE(CONTROL!$C$42, 6.1405, 6.1405) * CHOOSE(CONTROL!$C$21, $C$9, 100%, $E$9)</f>
        <v>6.1405000000000003</v>
      </c>
      <c r="Q132" s="10">
        <f>CHOOSE(CONTROL!$C$42, 6.788, 6.788) * CHOOSE(CONTROL!$C$21, $C$9, 100%, $E$9)</f>
        <v>6.7880000000000003</v>
      </c>
      <c r="R132" s="10">
        <f>CHOOSE(CONTROL!$C$42, 7.392, 7.392) * CHOOSE(CONTROL!$C$21, $C$9, 100%, $E$9)</f>
        <v>7.3920000000000003</v>
      </c>
      <c r="S132" s="10">
        <f>CHOOSE(CONTROL!$C$42, 6.0085, 6.0085) * CHOOSE(CONTROL!$C$21, $C$9, 100%, $E$9)</f>
        <v>6.0084999999999997</v>
      </c>
      <c r="T1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38">
        <f>(1000*CHOOSE(CONTROL!$C$42, 695, 695)*CHOOSE(CONTROL!$C$42, 0.5599, 0.5599)*CHOOSE(CONTROL!$C$42, 31, 31))/1000000</f>
        <v>12.063045499999998</v>
      </c>
      <c r="V132" s="38">
        <f>(1000*CHOOSE(CONTROL!$C$42, 500, 500)*CHOOSE(CONTROL!$C$42, 0.275, 0.275)*CHOOSE(CONTROL!$C$42, 31, 31))/1000000</f>
        <v>4.2625000000000002</v>
      </c>
      <c r="W132" s="38">
        <f>(1000*CHOOSE(CONTROL!$C$42, 0.1146, 0.1146)*CHOOSE(CONTROL!$C$42, 121.5, 121.5)*CHOOSE(CONTROL!$C$42, 31, 31))/1000000</f>
        <v>0.43164089999999994</v>
      </c>
      <c r="X132" s="38">
        <f>(31*0.1790888*100000/1000000)+(31*0.2374*100000/1000000)</f>
        <v>1.2911152800000001</v>
      </c>
      <c r="Y132" s="38">
        <f>(1000*600*CHOOSE(CONTROL!$C$42, 1.754, 1.754)*CHOOSE(CONTROL!$C$42, 31, 31))/1000000</f>
        <v>32.624400000000001</v>
      </c>
      <c r="Z132" s="38"/>
      <c r="AA132" s="10"/>
      <c r="AB132" s="39"/>
      <c r="AC132" s="33">
        <f>(B132*122.58+C132*297.941+D132*89.177+E132*40.302+F132*40+G132*160+H132*0+I132*100+J132*300)/(122.58+297.941+89.177+40.302+0+40+160+100+300)</f>
        <v>6.180108898260869</v>
      </c>
      <c r="AD132" s="27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6.1493906474820141</v>
      </c>
    </row>
    <row r="133" spans="1:30" ht="15" x14ac:dyDescent="0.2">
      <c r="A133" s="16">
        <v>45292</v>
      </c>
      <c r="B133" s="10">
        <f>CHOOSE(CONTROL!$C$42, 6.6651, 6.6651) * CHOOSE(CONTROL!$C$21, $C$9, 100%, $E$9)</f>
        <v>6.6650999999999998</v>
      </c>
      <c r="C133" s="10">
        <f>CHOOSE(CONTROL!$C$42, 6.6702, 6.6702) * CHOOSE(CONTROL!$C$21, $C$9, 100%, $E$9)</f>
        <v>6.6702000000000004</v>
      </c>
      <c r="D133" s="10">
        <f>CHOOSE(CONTROL!$C$42, 6.7052, 6.7052) * CHOOSE(CONTROL!$C$21, $C$9, 100%, $E$9)</f>
        <v>6.7051999999999996</v>
      </c>
      <c r="E133" s="10">
        <f>CHOOSE(CONTROL!$C$42, 6.739, 6.739) * CHOOSE(CONTROL!$C$21, $C$9, 100%, $E$9)</f>
        <v>6.7389999999999999</v>
      </c>
      <c r="F133" s="10">
        <f>CHOOSE(CONTROL!$C$42, 6.6464, 6.6464)*CHOOSE(CONTROL!$C$21, $C$9, 100%, $E$9)</f>
        <v>6.6463999999999999</v>
      </c>
      <c r="G133" s="10">
        <f>CHOOSE(CONTROL!$C$42, 6.6653, 6.6653)*CHOOSE(CONTROL!$C$21, $C$9, 100%, $E$9)</f>
        <v>6.6653000000000002</v>
      </c>
      <c r="H133" s="10">
        <f>CHOOSE(CONTROL!$C$42, 6.7279, 6.7279) * CHOOSE(CONTROL!$C$21, $C$9, 100%, $E$9)</f>
        <v>6.7279</v>
      </c>
      <c r="I133" s="10">
        <f>CHOOSE(CONTROL!$C$42, 6.6724, 6.6724)* CHOOSE(CONTROL!$C$21, $C$9, 100%, $E$9)</f>
        <v>6.6723999999999997</v>
      </c>
      <c r="J133" s="10">
        <f>CHOOSE(CONTROL!$C$42, 6.639, 6.639)* CHOOSE(CONTROL!$C$21, $C$9, 100%, $E$9)</f>
        <v>6.6390000000000002</v>
      </c>
      <c r="K133" s="10">
        <f>CHOOSE(CONTROL!$C$42, 6.6404, 6.6404) * CHOOSE(CONTROL!$C$21, $C$9, 100%, $E$9)</f>
        <v>6.6403999999999996</v>
      </c>
      <c r="L133" s="10">
        <f>CHOOSE(CONTROL!$C$42, 7.3149, 7.3149) * CHOOSE(CONTROL!$C$21, $C$9, 100%, $E$9)</f>
        <v>7.3148999999999997</v>
      </c>
      <c r="M133" s="10">
        <f>CHOOSE(CONTROL!$C$42, 6.5861, 6.5861) * CHOOSE(CONTROL!$C$21, $C$9, 100%, $E$9)</f>
        <v>6.5861000000000001</v>
      </c>
      <c r="N133" s="10">
        <f>CHOOSE(CONTROL!$C$42, 6.6048, 6.6048) * CHOOSE(CONTROL!$C$21, $C$9, 100%, $E$9)</f>
        <v>6.6048</v>
      </c>
      <c r="O133" s="10">
        <f>CHOOSE(CONTROL!$C$42, 6.6739, 6.6739) * CHOOSE(CONTROL!$C$21, $C$9, 100%, $E$9)</f>
        <v>6.6738999999999997</v>
      </c>
      <c r="P133" s="10">
        <f>CHOOSE(CONTROL!$C$42, 6.6191, 6.6191) * CHOOSE(CONTROL!$C$21, $C$9, 100%, $E$9)</f>
        <v>6.6191000000000004</v>
      </c>
      <c r="Q133" s="10">
        <f>CHOOSE(CONTROL!$C$42, 7.2692, 7.2692) * CHOOSE(CONTROL!$C$21, $C$9, 100%, $E$9)</f>
        <v>7.2691999999999997</v>
      </c>
      <c r="R133" s="10">
        <f>CHOOSE(CONTROL!$C$42, 7.8743, 7.8743) * CHOOSE(CONTROL!$C$21, $C$9, 100%, $E$9)</f>
        <v>7.8742999999999999</v>
      </c>
      <c r="S133" s="10">
        <f>CHOOSE(CONTROL!$C$42, 6.4705, 6.4705) * CHOOSE(CONTROL!$C$21, $C$9, 100%, $E$9)</f>
        <v>6.4705000000000004</v>
      </c>
      <c r="T1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38">
        <f>(1000*CHOOSE(CONTROL!$C$42, 695, 695)*CHOOSE(CONTROL!$C$42, 0.5599, 0.5599)*CHOOSE(CONTROL!$C$42, 31, 31))/1000000</f>
        <v>12.063045499999998</v>
      </c>
      <c r="V133" s="38">
        <f>(1000*CHOOSE(CONTROL!$C$42, 500, 500)*CHOOSE(CONTROL!$C$42, 0.275, 0.275)*CHOOSE(CONTROL!$C$42, 31, 31))/1000000</f>
        <v>4.2625000000000002</v>
      </c>
      <c r="W133" s="38">
        <f>(1000*CHOOSE(CONTROL!$C$42, 0.1146, 0.1146)*CHOOSE(CONTROL!$C$42, 121.5, 121.5)*CHOOSE(CONTROL!$C$42, 31, 31))/1000000</f>
        <v>0.43164089999999994</v>
      </c>
      <c r="X133" s="38">
        <f>(31*0.1790888*100000/1000000)+(31*0.2374*100000/1000000)</f>
        <v>1.2911152800000001</v>
      </c>
      <c r="Y133" s="38">
        <f>(1000*600*CHOOSE(CONTROL!$C$42, 1.7441, 1.7441)*CHOOSE(CONTROL!$C$42, 31, 31))/1000000</f>
        <v>32.440260000000002</v>
      </c>
      <c r="Z133" s="38"/>
      <c r="AA133" s="10"/>
      <c r="AB133" s="39"/>
      <c r="AC133" s="33">
        <f>(B133*122.58+C133*297.941+D133*89.177+E133*40.302+F133*40+G133*160+H133*0+I133*100+J133*300)/(122.58+297.941+89.177+40.302+0+40+160+100+300)</f>
        <v>6.6653241866086956</v>
      </c>
      <c r="AD133" s="27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6.6317187050359712</v>
      </c>
    </row>
    <row r="134" spans="1:30" ht="15" x14ac:dyDescent="0.2">
      <c r="A134" s="16">
        <v>45323</v>
      </c>
      <c r="B134" s="10">
        <f>CHOOSE(CONTROL!$C$42, 6.7841, 6.7841) * CHOOSE(CONTROL!$C$21, $C$9, 100%, $E$9)</f>
        <v>6.7840999999999996</v>
      </c>
      <c r="C134" s="10">
        <f>CHOOSE(CONTROL!$C$42, 6.7892, 6.7892) * CHOOSE(CONTROL!$C$21, $C$9, 100%, $E$9)</f>
        <v>6.7892000000000001</v>
      </c>
      <c r="D134" s="10">
        <f>CHOOSE(CONTROL!$C$42, 6.8242, 6.8242) * CHOOSE(CONTROL!$C$21, $C$9, 100%, $E$9)</f>
        <v>6.8242000000000003</v>
      </c>
      <c r="E134" s="10">
        <f>CHOOSE(CONTROL!$C$42, 6.858, 6.858) * CHOOSE(CONTROL!$C$21, $C$9, 100%, $E$9)</f>
        <v>6.8579999999999997</v>
      </c>
      <c r="F134" s="10">
        <f>CHOOSE(CONTROL!$C$42, 6.7648, 6.7648)*CHOOSE(CONTROL!$C$21, $C$9, 100%, $E$9)</f>
        <v>6.7648000000000001</v>
      </c>
      <c r="G134" s="10">
        <f>CHOOSE(CONTROL!$C$42, 6.7836, 6.7836)*CHOOSE(CONTROL!$C$21, $C$9, 100%, $E$9)</f>
        <v>6.7835999999999999</v>
      </c>
      <c r="H134" s="10">
        <f>CHOOSE(CONTROL!$C$42, 6.8469, 6.8469) * CHOOSE(CONTROL!$C$21, $C$9, 100%, $E$9)</f>
        <v>6.8468999999999998</v>
      </c>
      <c r="I134" s="10">
        <f>CHOOSE(CONTROL!$C$42, 6.7913, 6.7913)* CHOOSE(CONTROL!$C$21, $C$9, 100%, $E$9)</f>
        <v>6.7912999999999997</v>
      </c>
      <c r="J134" s="10">
        <f>CHOOSE(CONTROL!$C$42, 6.7574, 6.7574)* CHOOSE(CONTROL!$C$21, $C$9, 100%, $E$9)</f>
        <v>6.7573999999999996</v>
      </c>
      <c r="K134" s="10">
        <f>CHOOSE(CONTROL!$C$42, 6.7545, 6.7545) * CHOOSE(CONTROL!$C$21, $C$9, 100%, $E$9)</f>
        <v>6.7545000000000002</v>
      </c>
      <c r="L134" s="10">
        <f>CHOOSE(CONTROL!$C$42, 7.4339, 7.4339) * CHOOSE(CONTROL!$C$21, $C$9, 100%, $E$9)</f>
        <v>7.4339000000000004</v>
      </c>
      <c r="M134" s="10">
        <f>CHOOSE(CONTROL!$C$42, 6.703, 6.703) * CHOOSE(CONTROL!$C$21, $C$9, 100%, $E$9)</f>
        <v>6.7030000000000003</v>
      </c>
      <c r="N134" s="10">
        <f>CHOOSE(CONTROL!$C$42, 6.7215, 6.7215) * CHOOSE(CONTROL!$C$21, $C$9, 100%, $E$9)</f>
        <v>6.7214999999999998</v>
      </c>
      <c r="O134" s="10">
        <f>CHOOSE(CONTROL!$C$42, 6.7913, 6.7913) * CHOOSE(CONTROL!$C$21, $C$9, 100%, $E$9)</f>
        <v>6.7912999999999997</v>
      </c>
      <c r="P134" s="10">
        <f>CHOOSE(CONTROL!$C$42, 6.7365, 6.7365) * CHOOSE(CONTROL!$C$21, $C$9, 100%, $E$9)</f>
        <v>6.7365000000000004</v>
      </c>
      <c r="Q134" s="10">
        <f>CHOOSE(CONTROL!$C$42, 7.3866, 7.3866) * CHOOSE(CONTROL!$C$21, $C$9, 100%, $E$9)</f>
        <v>7.3865999999999996</v>
      </c>
      <c r="R134" s="10">
        <f>CHOOSE(CONTROL!$C$42, 7.992, 7.992) * CHOOSE(CONTROL!$C$21, $C$9, 100%, $E$9)</f>
        <v>7.992</v>
      </c>
      <c r="S134" s="10">
        <f>CHOOSE(CONTROL!$C$42, 6.5857, 6.5857) * CHOOSE(CONTROL!$C$21, $C$9, 100%, $E$9)</f>
        <v>6.5857000000000001</v>
      </c>
      <c r="T13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34" s="38">
        <f>(1000*CHOOSE(CONTROL!$C$42, 695, 695)*CHOOSE(CONTROL!$C$42, 0.5599, 0.5599)*CHOOSE(CONTROL!$C$42, 29, 29))/1000000</f>
        <v>11.284784499999999</v>
      </c>
      <c r="V134" s="38">
        <f>(1000*CHOOSE(CONTROL!$C$42, 500, 500)*CHOOSE(CONTROL!$C$42, 0.275, 0.275)*CHOOSE(CONTROL!$C$42, 29, 29))/1000000</f>
        <v>3.9874999999999998</v>
      </c>
      <c r="W134" s="38">
        <f>(1000*CHOOSE(CONTROL!$C$42, 0.1146, 0.1146)*CHOOSE(CONTROL!$C$42, 121.5, 121.5)*CHOOSE(CONTROL!$C$42, 29, 29))/1000000</f>
        <v>0.40379309999999996</v>
      </c>
      <c r="X134" s="38">
        <f>(29*0.1790888*100000/1000000)+(29*0.2374*100000/1000000)</f>
        <v>1.2078175199999999</v>
      </c>
      <c r="Y134" s="38">
        <f>(1000*600*CHOOSE(CONTROL!$C$42, 1.7441, 1.7441)*CHOOSE(CONTROL!$C$42, 29, 29))/1000000</f>
        <v>30.347339999999999</v>
      </c>
      <c r="Z134" s="38"/>
      <c r="AA134" s="10"/>
      <c r="AB134" s="39"/>
      <c r="AC134" s="33">
        <f>(B134*122.58+C134*297.941+D134*89.177+E134*40.302+F134*40+G134*160+H134*0+I134*100+J134*300)/(122.58+297.941+89.177+40.302+0+40+160+100+300)</f>
        <v>6.7840407083478267</v>
      </c>
      <c r="AD134" s="27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6.7489057553956826</v>
      </c>
    </row>
    <row r="135" spans="1:30" ht="15" x14ac:dyDescent="0.2">
      <c r="A135" s="16">
        <v>45352</v>
      </c>
      <c r="B135" s="10">
        <f>CHOOSE(CONTROL!$C$42, 6.591, 6.591) * CHOOSE(CONTROL!$C$21, $C$9, 100%, $E$9)</f>
        <v>6.5910000000000002</v>
      </c>
      <c r="C135" s="10">
        <f>CHOOSE(CONTROL!$C$42, 6.5961, 6.5961) * CHOOSE(CONTROL!$C$21, $C$9, 100%, $E$9)</f>
        <v>6.5960999999999999</v>
      </c>
      <c r="D135" s="10">
        <f>CHOOSE(CONTROL!$C$42, 6.6311, 6.6311) * CHOOSE(CONTROL!$C$21, $C$9, 100%, $E$9)</f>
        <v>6.6311</v>
      </c>
      <c r="E135" s="10">
        <f>CHOOSE(CONTROL!$C$42, 6.6649, 6.6649) * CHOOSE(CONTROL!$C$21, $C$9, 100%, $E$9)</f>
        <v>6.6649000000000003</v>
      </c>
      <c r="F135" s="10">
        <f>CHOOSE(CONTROL!$C$42, 6.5704, 6.5704)*CHOOSE(CONTROL!$C$21, $C$9, 100%, $E$9)</f>
        <v>6.5704000000000002</v>
      </c>
      <c r="G135" s="10">
        <f>CHOOSE(CONTROL!$C$42, 6.5887, 6.5887)*CHOOSE(CONTROL!$C$21, $C$9, 100%, $E$9)</f>
        <v>6.5887000000000002</v>
      </c>
      <c r="H135" s="10">
        <f>CHOOSE(CONTROL!$C$42, 6.6538, 6.6538) * CHOOSE(CONTROL!$C$21, $C$9, 100%, $E$9)</f>
        <v>6.6538000000000004</v>
      </c>
      <c r="I135" s="10">
        <f>CHOOSE(CONTROL!$C$42, 6.5982, 6.5982)* CHOOSE(CONTROL!$C$21, $C$9, 100%, $E$9)</f>
        <v>6.5982000000000003</v>
      </c>
      <c r="J135" s="10">
        <f>CHOOSE(CONTROL!$C$42, 6.563, 6.563)* CHOOSE(CONTROL!$C$21, $C$9, 100%, $E$9)</f>
        <v>6.5629999999999997</v>
      </c>
      <c r="K135" s="10">
        <f>CHOOSE(CONTROL!$C$42, 6.5645, 6.5645) * CHOOSE(CONTROL!$C$21, $C$9, 100%, $E$9)</f>
        <v>6.5644999999999998</v>
      </c>
      <c r="L135" s="10">
        <f>CHOOSE(CONTROL!$C$42, 7.2408, 7.2408) * CHOOSE(CONTROL!$C$21, $C$9, 100%, $E$9)</f>
        <v>7.2408000000000001</v>
      </c>
      <c r="M135" s="10">
        <f>CHOOSE(CONTROL!$C$42, 6.5111, 6.5111) * CHOOSE(CONTROL!$C$21, $C$9, 100%, $E$9)</f>
        <v>6.5110999999999999</v>
      </c>
      <c r="N135" s="10">
        <f>CHOOSE(CONTROL!$C$42, 6.5292, 6.5292) * CHOOSE(CONTROL!$C$21, $C$9, 100%, $E$9)</f>
        <v>6.5292000000000003</v>
      </c>
      <c r="O135" s="10">
        <f>CHOOSE(CONTROL!$C$42, 6.6007, 6.6007) * CHOOSE(CONTROL!$C$21, $C$9, 100%, $E$9)</f>
        <v>6.6006999999999998</v>
      </c>
      <c r="P135" s="10">
        <f>CHOOSE(CONTROL!$C$42, 6.5459, 6.5459) * CHOOSE(CONTROL!$C$21, $C$9, 100%, $E$9)</f>
        <v>6.5458999999999996</v>
      </c>
      <c r="Q135" s="10">
        <f>CHOOSE(CONTROL!$C$42, 7.196, 7.196) * CHOOSE(CONTROL!$C$21, $C$9, 100%, $E$9)</f>
        <v>7.1959999999999997</v>
      </c>
      <c r="R135" s="10">
        <f>CHOOSE(CONTROL!$C$42, 7.801, 7.801) * CHOOSE(CONTROL!$C$21, $C$9, 100%, $E$9)</f>
        <v>7.8010000000000002</v>
      </c>
      <c r="S135" s="10">
        <f>CHOOSE(CONTROL!$C$42, 6.3987, 6.3987) * CHOOSE(CONTROL!$C$21, $C$9, 100%, $E$9)</f>
        <v>6.3986999999999998</v>
      </c>
      <c r="T1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38">
        <f>(1000*CHOOSE(CONTROL!$C$42, 695, 695)*CHOOSE(CONTROL!$C$42, 0.5599, 0.5599)*CHOOSE(CONTROL!$C$42, 31, 31))/1000000</f>
        <v>12.063045499999998</v>
      </c>
      <c r="V135" s="38">
        <f>(1000*CHOOSE(CONTROL!$C$42, 500, 500)*CHOOSE(CONTROL!$C$42, 0.275, 0.275)*CHOOSE(CONTROL!$C$42, 31, 31))/1000000</f>
        <v>4.2625000000000002</v>
      </c>
      <c r="W135" s="38">
        <f>(1000*CHOOSE(CONTROL!$C$42, 0.1146, 0.1146)*CHOOSE(CONTROL!$C$42, 121.5, 121.5)*CHOOSE(CONTROL!$C$42, 31, 31))/1000000</f>
        <v>0.43164089999999994</v>
      </c>
      <c r="X135" s="38">
        <f>(31*0.1790888*100000/1000000)+(31*0.2374*100000/1000000)</f>
        <v>1.2911152800000001</v>
      </c>
      <c r="Y135" s="38">
        <f>(1000*600*CHOOSE(CONTROL!$C$42, 1.7441, 1.7441)*CHOOSE(CONTROL!$C$42, 31, 31))/1000000</f>
        <v>32.440260000000002</v>
      </c>
      <c r="Z135" s="38"/>
      <c r="AA135" s="10"/>
      <c r="AB135" s="39"/>
      <c r="AC135" s="33">
        <f>(B135*122.58+C135*297.941+D135*89.177+E135*40.302+F135*40+G135*160+H135*0+I135*100+J135*300)/(122.58+297.941+89.177+40.302+0+40+160+100+300)</f>
        <v>6.5903059257391297</v>
      </c>
      <c r="AD135" s="27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6.5577589928057556</v>
      </c>
    </row>
    <row r="136" spans="1:30" ht="15" x14ac:dyDescent="0.2">
      <c r="A136" s="16">
        <v>45383</v>
      </c>
      <c r="B136" s="10">
        <f>CHOOSE(CONTROL!$C$42, 6.572, 6.572) * CHOOSE(CONTROL!$C$21, $C$9, 100%, $E$9)</f>
        <v>6.5720000000000001</v>
      </c>
      <c r="C136" s="10">
        <f>CHOOSE(CONTROL!$C$42, 6.5765, 6.5765) * CHOOSE(CONTROL!$C$21, $C$9, 100%, $E$9)</f>
        <v>6.5765000000000002</v>
      </c>
      <c r="D136" s="10">
        <f>CHOOSE(CONTROL!$C$42, 6.7547, 6.7547) * CHOOSE(CONTROL!$C$21, $C$9, 100%, $E$9)</f>
        <v>6.7546999999999997</v>
      </c>
      <c r="E136" s="10">
        <f>CHOOSE(CONTROL!$C$42, 6.7865, 6.7865) * CHOOSE(CONTROL!$C$21, $C$9, 100%, $E$9)</f>
        <v>6.7865000000000002</v>
      </c>
      <c r="F136" s="10">
        <f>CHOOSE(CONTROL!$C$42, 6.5154, 6.5154)*CHOOSE(CONTROL!$C$21, $C$9, 100%, $E$9)</f>
        <v>6.5153999999999996</v>
      </c>
      <c r="G136" s="10">
        <f>CHOOSE(CONTROL!$C$42, 6.532, 6.532)*CHOOSE(CONTROL!$C$21, $C$9, 100%, $E$9)</f>
        <v>6.532</v>
      </c>
      <c r="H136" s="10">
        <f>CHOOSE(CONTROL!$C$42, 6.776, 6.776) * CHOOSE(CONTROL!$C$21, $C$9, 100%, $E$9)</f>
        <v>6.7759999999999998</v>
      </c>
      <c r="I136" s="10">
        <f>CHOOSE(CONTROL!$C$42, 6.548, 6.548)* CHOOSE(CONTROL!$C$21, $C$9, 100%, $E$9)</f>
        <v>6.548</v>
      </c>
      <c r="J136" s="10">
        <f>CHOOSE(CONTROL!$C$42, 6.508, 6.508)* CHOOSE(CONTROL!$C$21, $C$9, 100%, $E$9)</f>
        <v>6.508</v>
      </c>
      <c r="K136" s="10">
        <f>CHOOSE(CONTROL!$C$42, 6.5011, 6.5011) * CHOOSE(CONTROL!$C$21, $C$9, 100%, $E$9)</f>
        <v>6.5011000000000001</v>
      </c>
      <c r="L136" s="10">
        <f>CHOOSE(CONTROL!$C$42, 7.363, 7.363) * CHOOSE(CONTROL!$C$21, $C$9, 100%, $E$9)</f>
        <v>7.3630000000000004</v>
      </c>
      <c r="M136" s="10">
        <f>CHOOSE(CONTROL!$C$42, 6.4568, 6.4568) * CHOOSE(CONTROL!$C$21, $C$9, 100%, $E$9)</f>
        <v>6.4568000000000003</v>
      </c>
      <c r="N136" s="10">
        <f>CHOOSE(CONTROL!$C$42, 6.4732, 6.4732) * CHOOSE(CONTROL!$C$21, $C$9, 100%, $E$9)</f>
        <v>6.4732000000000003</v>
      </c>
      <c r="O136" s="10">
        <f>CHOOSE(CONTROL!$C$42, 6.7213, 6.7213) * CHOOSE(CONTROL!$C$21, $C$9, 100%, $E$9)</f>
        <v>6.7213000000000003</v>
      </c>
      <c r="P136" s="10">
        <f>CHOOSE(CONTROL!$C$42, 6.4963, 6.4963) * CHOOSE(CONTROL!$C$21, $C$9, 100%, $E$9)</f>
        <v>6.4962999999999997</v>
      </c>
      <c r="Q136" s="10">
        <f>CHOOSE(CONTROL!$C$42, 7.3166, 7.3166) * CHOOSE(CONTROL!$C$21, $C$9, 100%, $E$9)</f>
        <v>7.3166000000000002</v>
      </c>
      <c r="R136" s="10">
        <f>CHOOSE(CONTROL!$C$42, 7.9219, 7.9219) * CHOOSE(CONTROL!$C$21, $C$9, 100%, $E$9)</f>
        <v>7.9218999999999999</v>
      </c>
      <c r="S136" s="10">
        <f>CHOOSE(CONTROL!$C$42, 6.3796, 6.3796) * CHOOSE(CONTROL!$C$21, $C$9, 100%, $E$9)</f>
        <v>6.3795999999999999</v>
      </c>
      <c r="T1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38">
        <f>(1000*CHOOSE(CONTROL!$C$42, 695, 695)*CHOOSE(CONTROL!$C$42, 0.5599, 0.5599)*CHOOSE(CONTROL!$C$42, 30, 30))/1000000</f>
        <v>11.673914999999997</v>
      </c>
      <c r="V136" s="38">
        <f>(1000*CHOOSE(CONTROL!$C$42, 500, 500)*CHOOSE(CONTROL!$C$42, 0.275, 0.275)*CHOOSE(CONTROL!$C$42, 30, 30))/1000000</f>
        <v>4.125</v>
      </c>
      <c r="W136" s="38">
        <f>(1000*CHOOSE(CONTROL!$C$42, 0.1146, 0.1146)*CHOOSE(CONTROL!$C$42, 121.5, 121.5)*CHOOSE(CONTROL!$C$42, 30, 30))/1000000</f>
        <v>0.417717</v>
      </c>
      <c r="X136" s="38">
        <f>(30*0.1790888*245000/1000000)+(30*0.2374*100000/1000000)</f>
        <v>2.0285026799999999</v>
      </c>
      <c r="Y136" s="38">
        <f>(1000*600*CHOOSE(CONTROL!$C$42, 1.7441, 1.7441)*CHOOSE(CONTROL!$C$42, 30, 30))/1000000</f>
        <v>31.393799999999999</v>
      </c>
      <c r="Z136" s="38"/>
      <c r="AA136" s="10"/>
      <c r="AB136" s="39"/>
      <c r="AC136" s="33">
        <f>(B136*141.293+C136*267.993+D136*115.016+E136*89.698+F136*40+G136*185+H136*0+I136*100+J136*300)/(141.293+267.993+115.016+89.698+0+40+185+100+300)</f>
        <v>6.5802289045197737</v>
      </c>
      <c r="AD136" s="27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6.5404712230215836</v>
      </c>
    </row>
    <row r="137" spans="1:30" ht="15" x14ac:dyDescent="0.2">
      <c r="A137" s="16">
        <v>45413</v>
      </c>
      <c r="B137" s="10">
        <f>CHOOSE(CONTROL!$C$42, 6.6319, 6.6319) * CHOOSE(CONTROL!$C$21, $C$9, 100%, $E$9)</f>
        <v>6.6318999999999999</v>
      </c>
      <c r="C137" s="10">
        <f>CHOOSE(CONTROL!$C$42, 6.6399, 6.6399) * CHOOSE(CONTROL!$C$21, $C$9, 100%, $E$9)</f>
        <v>6.6398999999999999</v>
      </c>
      <c r="D137" s="10">
        <f>CHOOSE(CONTROL!$C$42, 6.815, 6.815) * CHOOSE(CONTROL!$C$21, $C$9, 100%, $E$9)</f>
        <v>6.8150000000000004</v>
      </c>
      <c r="E137" s="10">
        <f>CHOOSE(CONTROL!$C$42, 6.8462, 6.8462) * CHOOSE(CONTROL!$C$21, $C$9, 100%, $E$9)</f>
        <v>6.8461999999999996</v>
      </c>
      <c r="F137" s="10">
        <f>CHOOSE(CONTROL!$C$42, 6.5736, 6.5736)*CHOOSE(CONTROL!$C$21, $C$9, 100%, $E$9)</f>
        <v>6.5735999999999999</v>
      </c>
      <c r="G137" s="10">
        <f>CHOOSE(CONTROL!$C$42, 6.5904, 6.5904)*CHOOSE(CONTROL!$C$21, $C$9, 100%, $E$9)</f>
        <v>6.5903999999999998</v>
      </c>
      <c r="H137" s="10">
        <f>CHOOSE(CONTROL!$C$42, 6.8345, 6.8345) * CHOOSE(CONTROL!$C$21, $C$9, 100%, $E$9)</f>
        <v>6.8345000000000002</v>
      </c>
      <c r="I137" s="10">
        <f>CHOOSE(CONTROL!$C$42, 6.6065, 6.6065)* CHOOSE(CONTROL!$C$21, $C$9, 100%, $E$9)</f>
        <v>6.6064999999999996</v>
      </c>
      <c r="J137" s="10">
        <f>CHOOSE(CONTROL!$C$42, 6.5662, 6.5662)* CHOOSE(CONTROL!$C$21, $C$9, 100%, $E$9)</f>
        <v>6.5662000000000003</v>
      </c>
      <c r="K137" s="10">
        <f>CHOOSE(CONTROL!$C$42, 6.5569, 6.5569) * CHOOSE(CONTROL!$C$21, $C$9, 100%, $E$9)</f>
        <v>6.5568999999999997</v>
      </c>
      <c r="L137" s="10">
        <f>CHOOSE(CONTROL!$C$42, 7.4215, 7.4215) * CHOOSE(CONTROL!$C$21, $C$9, 100%, $E$9)</f>
        <v>7.4215</v>
      </c>
      <c r="M137" s="10">
        <f>CHOOSE(CONTROL!$C$42, 6.5142, 6.5142) * CHOOSE(CONTROL!$C$21, $C$9, 100%, $E$9)</f>
        <v>6.5141999999999998</v>
      </c>
      <c r="N137" s="10">
        <f>CHOOSE(CONTROL!$C$42, 6.5309, 6.5309) * CHOOSE(CONTROL!$C$21, $C$9, 100%, $E$9)</f>
        <v>6.5308999999999999</v>
      </c>
      <c r="O137" s="10">
        <f>CHOOSE(CONTROL!$C$42, 6.7791, 6.7791) * CHOOSE(CONTROL!$C$21, $C$9, 100%, $E$9)</f>
        <v>6.7790999999999997</v>
      </c>
      <c r="P137" s="10">
        <f>CHOOSE(CONTROL!$C$42, 6.5541, 6.5541) * CHOOSE(CONTROL!$C$21, $C$9, 100%, $E$9)</f>
        <v>6.5541</v>
      </c>
      <c r="Q137" s="10">
        <f>CHOOSE(CONTROL!$C$42, 7.3744, 7.3744) * CHOOSE(CONTROL!$C$21, $C$9, 100%, $E$9)</f>
        <v>7.3743999999999996</v>
      </c>
      <c r="R137" s="10">
        <f>CHOOSE(CONTROL!$C$42, 7.9798, 7.9798) * CHOOSE(CONTROL!$C$21, $C$9, 100%, $E$9)</f>
        <v>7.9798</v>
      </c>
      <c r="S137" s="10">
        <f>CHOOSE(CONTROL!$C$42, 6.4362, 6.4362) * CHOOSE(CONTROL!$C$21, $C$9, 100%, $E$9)</f>
        <v>6.4362000000000004</v>
      </c>
      <c r="T1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38">
        <f>(1000*CHOOSE(CONTROL!$C$42, 695, 695)*CHOOSE(CONTROL!$C$42, 0.5599, 0.5599)*CHOOSE(CONTROL!$C$42, 31, 31))/1000000</f>
        <v>12.063045499999998</v>
      </c>
      <c r="V137" s="38">
        <f>(1000*CHOOSE(CONTROL!$C$42, 500, 500)*CHOOSE(CONTROL!$C$42, 0.275, 0.275)*CHOOSE(CONTROL!$C$42, 31, 31))/1000000</f>
        <v>4.2625000000000002</v>
      </c>
      <c r="W137" s="38">
        <f>(1000*CHOOSE(CONTROL!$C$42, 0.1146, 0.1146)*CHOOSE(CONTROL!$C$42, 121.5, 121.5)*CHOOSE(CONTROL!$C$42, 31, 31))/1000000</f>
        <v>0.43164089999999994</v>
      </c>
      <c r="X137" s="38">
        <f>(31*0.1790888*245000/1000000)+(31*0.2374*100000/1000000)</f>
        <v>2.0961194359999999</v>
      </c>
      <c r="Y137" s="38">
        <f>(1000*600*CHOOSE(CONTROL!$C$42, 1.7441, 1.7441)*CHOOSE(CONTROL!$C$42, 31, 31))/1000000</f>
        <v>32.440260000000002</v>
      </c>
      <c r="Z137" s="38"/>
      <c r="AA137" s="10"/>
      <c r="AB137" s="39"/>
      <c r="AC137" s="33">
        <f>(B137*194.205+C137*267.466+D137*133.845+E137*53.484+F137*40+G137*185+H137*0+I137*100+J137*300)/(194.205+267.466+133.845+53.484+0+40+185+100+300)</f>
        <v>6.6364909487441137</v>
      </c>
      <c r="AD137" s="27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6.5981100719424459</v>
      </c>
    </row>
    <row r="138" spans="1:30" ht="15" x14ac:dyDescent="0.2">
      <c r="A138" s="16">
        <v>45444</v>
      </c>
      <c r="B138" s="10">
        <f>CHOOSE(CONTROL!$C$42, 6.8204, 6.8204) * CHOOSE(CONTROL!$C$21, $C$9, 100%, $E$9)</f>
        <v>6.8204000000000002</v>
      </c>
      <c r="C138" s="10">
        <f>CHOOSE(CONTROL!$C$42, 6.8284, 6.8284) * CHOOSE(CONTROL!$C$21, $C$9, 100%, $E$9)</f>
        <v>6.8284000000000002</v>
      </c>
      <c r="D138" s="10">
        <f>CHOOSE(CONTROL!$C$42, 7.0035, 7.0035) * CHOOSE(CONTROL!$C$21, $C$9, 100%, $E$9)</f>
        <v>7.0034999999999998</v>
      </c>
      <c r="E138" s="10">
        <f>CHOOSE(CONTROL!$C$42, 7.0347, 7.0347) * CHOOSE(CONTROL!$C$21, $C$9, 100%, $E$9)</f>
        <v>7.0347</v>
      </c>
      <c r="F138" s="10">
        <f>CHOOSE(CONTROL!$C$42, 6.7623, 6.7623)*CHOOSE(CONTROL!$C$21, $C$9, 100%, $E$9)</f>
        <v>6.7622999999999998</v>
      </c>
      <c r="G138" s="10">
        <f>CHOOSE(CONTROL!$C$42, 6.7792, 6.7792)*CHOOSE(CONTROL!$C$21, $C$9, 100%, $E$9)</f>
        <v>6.7792000000000003</v>
      </c>
      <c r="H138" s="10">
        <f>CHOOSE(CONTROL!$C$42, 7.0231, 7.0231) * CHOOSE(CONTROL!$C$21, $C$9, 100%, $E$9)</f>
        <v>7.0231000000000003</v>
      </c>
      <c r="I138" s="10">
        <f>CHOOSE(CONTROL!$C$42, 6.795, 6.795)* CHOOSE(CONTROL!$C$21, $C$9, 100%, $E$9)</f>
        <v>6.7949999999999999</v>
      </c>
      <c r="J138" s="10">
        <f>CHOOSE(CONTROL!$C$42, 6.7549, 6.7549)* CHOOSE(CONTROL!$C$21, $C$9, 100%, $E$9)</f>
        <v>6.7549000000000001</v>
      </c>
      <c r="K138" s="10">
        <f>CHOOSE(CONTROL!$C$42, 6.7399, 6.7399) * CHOOSE(CONTROL!$C$21, $C$9, 100%, $E$9)</f>
        <v>6.7398999999999996</v>
      </c>
      <c r="L138" s="10">
        <f>CHOOSE(CONTROL!$C$42, 7.6101, 7.6101) * CHOOSE(CONTROL!$C$21, $C$9, 100%, $E$9)</f>
        <v>7.6101000000000001</v>
      </c>
      <c r="M138" s="10">
        <f>CHOOSE(CONTROL!$C$42, 6.7005, 6.7005) * CHOOSE(CONTROL!$C$21, $C$9, 100%, $E$9)</f>
        <v>6.7004999999999999</v>
      </c>
      <c r="N138" s="10">
        <f>CHOOSE(CONTROL!$C$42, 6.7172, 6.7172) * CHOOSE(CONTROL!$C$21, $C$9, 100%, $E$9)</f>
        <v>6.7172000000000001</v>
      </c>
      <c r="O138" s="10">
        <f>CHOOSE(CONTROL!$C$42, 6.9652, 6.9652) * CHOOSE(CONTROL!$C$21, $C$9, 100%, $E$9)</f>
        <v>6.9652000000000003</v>
      </c>
      <c r="P138" s="10">
        <f>CHOOSE(CONTROL!$C$42, 6.7402, 6.7402) * CHOOSE(CONTROL!$C$21, $C$9, 100%, $E$9)</f>
        <v>6.7401999999999997</v>
      </c>
      <c r="Q138" s="10">
        <f>CHOOSE(CONTROL!$C$42, 7.5605, 7.5605) * CHOOSE(CONTROL!$C$21, $C$9, 100%, $E$9)</f>
        <v>7.5605000000000002</v>
      </c>
      <c r="R138" s="10">
        <f>CHOOSE(CONTROL!$C$42, 8.1664, 8.1664) * CHOOSE(CONTROL!$C$21, $C$9, 100%, $E$9)</f>
        <v>8.1663999999999994</v>
      </c>
      <c r="S138" s="10">
        <f>CHOOSE(CONTROL!$C$42, 6.6188, 6.6188) * CHOOSE(CONTROL!$C$21, $C$9, 100%, $E$9)</f>
        <v>6.6188000000000002</v>
      </c>
      <c r="T1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38">
        <f>(1000*CHOOSE(CONTROL!$C$42, 695, 695)*CHOOSE(CONTROL!$C$42, 0.5599, 0.5599)*CHOOSE(CONTROL!$C$42, 30, 30))/1000000</f>
        <v>11.673914999999997</v>
      </c>
      <c r="V138" s="38">
        <f>(1000*CHOOSE(CONTROL!$C$42, 500, 500)*CHOOSE(CONTROL!$C$42, 0.275, 0.275)*CHOOSE(CONTROL!$C$42, 30, 30))/1000000</f>
        <v>4.125</v>
      </c>
      <c r="W138" s="38">
        <f>(1000*CHOOSE(CONTROL!$C$42, 0.1146, 0.1146)*CHOOSE(CONTROL!$C$42, 121.5, 121.5)*CHOOSE(CONTROL!$C$42, 30, 30))/1000000</f>
        <v>0.417717</v>
      </c>
      <c r="X138" s="38">
        <f>(30*0.1790888*245000/1000000)+(30*0.2374*100000/1000000)</f>
        <v>2.0285026799999999</v>
      </c>
      <c r="Y138" s="38">
        <f>(1000*600*CHOOSE(CONTROL!$C$42, 1.7441, 1.7441)*CHOOSE(CONTROL!$C$42, 30, 30))/1000000</f>
        <v>31.393799999999999</v>
      </c>
      <c r="Z138" s="38"/>
      <c r="AA138" s="10"/>
      <c r="AB138" s="39"/>
      <c r="AC138" s="33">
        <f>(B138*194.205+C138*267.466+D138*133.845+E138*53.484+F138*40+G138*185+H138*0+I138*100+J138*300)/(194.205+267.466+133.845+53.484+0+40+185+100+300)</f>
        <v>6.825087887519623</v>
      </c>
      <c r="AD138" s="27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6.7843251798561148</v>
      </c>
    </row>
    <row r="139" spans="1:30" ht="15" x14ac:dyDescent="0.2">
      <c r="A139" s="16">
        <v>45474</v>
      </c>
      <c r="B139" s="10">
        <f>CHOOSE(CONTROL!$C$42, 6.6893, 6.6893) * CHOOSE(CONTROL!$C$21, $C$9, 100%, $E$9)</f>
        <v>6.6893000000000002</v>
      </c>
      <c r="C139" s="10">
        <f>CHOOSE(CONTROL!$C$42, 6.6973, 6.6973) * CHOOSE(CONTROL!$C$21, $C$9, 100%, $E$9)</f>
        <v>6.6973000000000003</v>
      </c>
      <c r="D139" s="10">
        <f>CHOOSE(CONTROL!$C$42, 6.8724, 6.8724) * CHOOSE(CONTROL!$C$21, $C$9, 100%, $E$9)</f>
        <v>6.8723999999999998</v>
      </c>
      <c r="E139" s="10">
        <f>CHOOSE(CONTROL!$C$42, 6.9036, 6.9036) * CHOOSE(CONTROL!$C$21, $C$9, 100%, $E$9)</f>
        <v>6.9036</v>
      </c>
      <c r="F139" s="10">
        <f>CHOOSE(CONTROL!$C$42, 6.6315, 6.6315)*CHOOSE(CONTROL!$C$21, $C$9, 100%, $E$9)</f>
        <v>6.6315</v>
      </c>
      <c r="G139" s="10">
        <f>CHOOSE(CONTROL!$C$42, 6.6485, 6.6485)*CHOOSE(CONTROL!$C$21, $C$9, 100%, $E$9)</f>
        <v>6.6485000000000003</v>
      </c>
      <c r="H139" s="10">
        <f>CHOOSE(CONTROL!$C$42, 6.8919, 6.8919) * CHOOSE(CONTROL!$C$21, $C$9, 100%, $E$9)</f>
        <v>6.8918999999999997</v>
      </c>
      <c r="I139" s="10">
        <f>CHOOSE(CONTROL!$C$42, 6.6639, 6.6639)* CHOOSE(CONTROL!$C$21, $C$9, 100%, $E$9)</f>
        <v>6.6638999999999999</v>
      </c>
      <c r="J139" s="10">
        <f>CHOOSE(CONTROL!$C$42, 6.6241, 6.6241)* CHOOSE(CONTROL!$C$21, $C$9, 100%, $E$9)</f>
        <v>6.6241000000000003</v>
      </c>
      <c r="K139" s="10">
        <f>CHOOSE(CONTROL!$C$42, 6.6137, 6.6137) * CHOOSE(CONTROL!$C$21, $C$9, 100%, $E$9)</f>
        <v>6.6136999999999997</v>
      </c>
      <c r="L139" s="10">
        <f>CHOOSE(CONTROL!$C$42, 7.4789, 7.4789) * CHOOSE(CONTROL!$C$21, $C$9, 100%, $E$9)</f>
        <v>7.4789000000000003</v>
      </c>
      <c r="M139" s="10">
        <f>CHOOSE(CONTROL!$C$42, 6.5714, 6.5714) * CHOOSE(CONTROL!$C$21, $C$9, 100%, $E$9)</f>
        <v>6.5713999999999997</v>
      </c>
      <c r="N139" s="10">
        <f>CHOOSE(CONTROL!$C$42, 6.5882, 6.5882) * CHOOSE(CONTROL!$C$21, $C$9, 100%, $E$9)</f>
        <v>6.5881999999999996</v>
      </c>
      <c r="O139" s="10">
        <f>CHOOSE(CONTROL!$C$42, 6.8358, 6.8358) * CHOOSE(CONTROL!$C$21, $C$9, 100%, $E$9)</f>
        <v>6.8357999999999999</v>
      </c>
      <c r="P139" s="10">
        <f>CHOOSE(CONTROL!$C$42, 6.6108, 6.6108) * CHOOSE(CONTROL!$C$21, $C$9, 100%, $E$9)</f>
        <v>6.6108000000000002</v>
      </c>
      <c r="Q139" s="10">
        <f>CHOOSE(CONTROL!$C$42, 7.4311, 7.4311) * CHOOSE(CONTROL!$C$21, $C$9, 100%, $E$9)</f>
        <v>7.4310999999999998</v>
      </c>
      <c r="R139" s="10">
        <f>CHOOSE(CONTROL!$C$42, 8.0366, 8.0366) * CHOOSE(CONTROL!$C$21, $C$9, 100%, $E$9)</f>
        <v>8.0366</v>
      </c>
      <c r="S139" s="10">
        <f>CHOOSE(CONTROL!$C$42, 6.4918, 6.4918) * CHOOSE(CONTROL!$C$21, $C$9, 100%, $E$9)</f>
        <v>6.4917999999999996</v>
      </c>
      <c r="T1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38">
        <f>(1000*CHOOSE(CONTROL!$C$42, 695, 695)*CHOOSE(CONTROL!$C$42, 0.5599, 0.5599)*CHOOSE(CONTROL!$C$42, 31, 31))/1000000</f>
        <v>12.063045499999998</v>
      </c>
      <c r="V139" s="38">
        <f>(1000*CHOOSE(CONTROL!$C$42, 500, 500)*CHOOSE(CONTROL!$C$42, 0.275, 0.275)*CHOOSE(CONTROL!$C$42, 31, 31))/1000000</f>
        <v>4.2625000000000002</v>
      </c>
      <c r="W139" s="38">
        <f>(1000*CHOOSE(CONTROL!$C$42, 0.1146, 0.1146)*CHOOSE(CONTROL!$C$42, 121.5, 121.5)*CHOOSE(CONTROL!$C$42, 31, 31))/1000000</f>
        <v>0.43164089999999994</v>
      </c>
      <c r="X139" s="38">
        <f>(31*0.1790888*245000/1000000)+(31*0.2374*100000/1000000)</f>
        <v>2.0961194359999999</v>
      </c>
      <c r="Y139" s="38">
        <f>(1000*600*CHOOSE(CONTROL!$C$42, 1.7441, 1.7441)*CHOOSE(CONTROL!$C$42, 31, 31))/1000000</f>
        <v>32.440260000000002</v>
      </c>
      <c r="Z139" s="38"/>
      <c r="AA139" s="10"/>
      <c r="AB139" s="39"/>
      <c r="AC139" s="33">
        <f>(B139*194.205+C139*267.466+D139*133.845+E139*53.484+F139*40+G139*185+H139*0+I139*100+J139*300)/(194.205+267.466+133.845+53.484+0+40+185+100+300)</f>
        <v>6.6941260350863425</v>
      </c>
      <c r="AD139" s="27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6.6551208633093513</v>
      </c>
    </row>
    <row r="140" spans="1:30" ht="15" x14ac:dyDescent="0.2">
      <c r="A140" s="16">
        <v>45505</v>
      </c>
      <c r="B140" s="10">
        <f>CHOOSE(CONTROL!$C$42, 6.3582, 6.3582) * CHOOSE(CONTROL!$C$21, $C$9, 100%, $E$9)</f>
        <v>6.3582000000000001</v>
      </c>
      <c r="C140" s="10">
        <f>CHOOSE(CONTROL!$C$42, 6.3662, 6.3662) * CHOOSE(CONTROL!$C$21, $C$9, 100%, $E$9)</f>
        <v>6.3662000000000001</v>
      </c>
      <c r="D140" s="10">
        <f>CHOOSE(CONTROL!$C$42, 6.5413, 6.5413) * CHOOSE(CONTROL!$C$21, $C$9, 100%, $E$9)</f>
        <v>6.5412999999999997</v>
      </c>
      <c r="E140" s="10">
        <f>CHOOSE(CONTROL!$C$42, 6.5725, 6.5725) * CHOOSE(CONTROL!$C$21, $C$9, 100%, $E$9)</f>
        <v>6.5724999999999998</v>
      </c>
      <c r="F140" s="10">
        <f>CHOOSE(CONTROL!$C$42, 6.3003, 6.3003)*CHOOSE(CONTROL!$C$21, $C$9, 100%, $E$9)</f>
        <v>6.3003</v>
      </c>
      <c r="G140" s="10">
        <f>CHOOSE(CONTROL!$C$42, 6.3173, 6.3173)*CHOOSE(CONTROL!$C$21, $C$9, 100%, $E$9)</f>
        <v>6.3173000000000004</v>
      </c>
      <c r="H140" s="10">
        <f>CHOOSE(CONTROL!$C$42, 6.5608, 6.5608) * CHOOSE(CONTROL!$C$21, $C$9, 100%, $E$9)</f>
        <v>6.5608000000000004</v>
      </c>
      <c r="I140" s="10">
        <f>CHOOSE(CONTROL!$C$42, 6.3328, 6.3328)* CHOOSE(CONTROL!$C$21, $C$9, 100%, $E$9)</f>
        <v>6.3327999999999998</v>
      </c>
      <c r="J140" s="10">
        <f>CHOOSE(CONTROL!$C$42, 6.2929, 6.2929)* CHOOSE(CONTROL!$C$21, $C$9, 100%, $E$9)</f>
        <v>6.2929000000000004</v>
      </c>
      <c r="K140" s="10">
        <f>CHOOSE(CONTROL!$C$42, 6.2927, 6.2927) * CHOOSE(CONTROL!$C$21, $C$9, 100%, $E$9)</f>
        <v>6.2927</v>
      </c>
      <c r="L140" s="10">
        <f>CHOOSE(CONTROL!$C$42, 7.1478, 7.1478) * CHOOSE(CONTROL!$C$21, $C$9, 100%, $E$9)</f>
        <v>7.1478000000000002</v>
      </c>
      <c r="M140" s="10">
        <f>CHOOSE(CONTROL!$C$42, 6.2445, 6.2445) * CHOOSE(CONTROL!$C$21, $C$9, 100%, $E$9)</f>
        <v>6.2445000000000004</v>
      </c>
      <c r="N140" s="10">
        <f>CHOOSE(CONTROL!$C$42, 6.2613, 6.2613) * CHOOSE(CONTROL!$C$21, $C$9, 100%, $E$9)</f>
        <v>6.2613000000000003</v>
      </c>
      <c r="O140" s="10">
        <f>CHOOSE(CONTROL!$C$42, 6.509, 6.509) * CHOOSE(CONTROL!$C$21, $C$9, 100%, $E$9)</f>
        <v>6.5090000000000003</v>
      </c>
      <c r="P140" s="10">
        <f>CHOOSE(CONTROL!$C$42, 6.2839, 6.2839) * CHOOSE(CONTROL!$C$21, $C$9, 100%, $E$9)</f>
        <v>6.2839</v>
      </c>
      <c r="Q140" s="10">
        <f>CHOOSE(CONTROL!$C$42, 7.1043, 7.1043) * CHOOSE(CONTROL!$C$21, $C$9, 100%, $E$9)</f>
        <v>7.1043000000000003</v>
      </c>
      <c r="R140" s="10">
        <f>CHOOSE(CONTROL!$C$42, 7.709, 7.709) * CHOOSE(CONTROL!$C$21, $C$9, 100%, $E$9)</f>
        <v>7.7089999999999996</v>
      </c>
      <c r="S140" s="10">
        <f>CHOOSE(CONTROL!$C$42, 6.1712, 6.1712) * CHOOSE(CONTROL!$C$21, $C$9, 100%, $E$9)</f>
        <v>6.1711999999999998</v>
      </c>
      <c r="T1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38">
        <f>(1000*CHOOSE(CONTROL!$C$42, 695, 695)*CHOOSE(CONTROL!$C$42, 0.5599, 0.5599)*CHOOSE(CONTROL!$C$42, 31, 31))/1000000</f>
        <v>12.063045499999998</v>
      </c>
      <c r="V140" s="38">
        <f>(1000*CHOOSE(CONTROL!$C$42, 500, 500)*CHOOSE(CONTROL!$C$42, 0.275, 0.275)*CHOOSE(CONTROL!$C$42, 31, 31))/1000000</f>
        <v>4.2625000000000002</v>
      </c>
      <c r="W140" s="38">
        <f>(1000*CHOOSE(CONTROL!$C$42, 0.1146, 0.1146)*CHOOSE(CONTROL!$C$42, 121.5, 121.5)*CHOOSE(CONTROL!$C$42, 31, 31))/1000000</f>
        <v>0.43164089999999994</v>
      </c>
      <c r="X140" s="38">
        <f>(31*0.1790888*245000/1000000)+(31*0.2374*100000/1000000)</f>
        <v>2.0961194359999999</v>
      </c>
      <c r="Y140" s="38">
        <f>(1000*600*CHOOSE(CONTROL!$C$42, 1.7441, 1.7441)*CHOOSE(CONTROL!$C$42, 31, 31))/1000000</f>
        <v>32.440260000000002</v>
      </c>
      <c r="Z140" s="38"/>
      <c r="AA140" s="10"/>
      <c r="AB140" s="39"/>
      <c r="AC140" s="33">
        <f>(B140*194.205+C140*267.466+D140*133.845+E140*53.484+F140*40+G140*185+H140*0+I140*100+J140*300)/(194.205+267.466+133.845+53.484+0+40+185+100+300)</f>
        <v>6.3629848262951327</v>
      </c>
      <c r="AD140" s="27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6.3282489208633104</v>
      </c>
    </row>
    <row r="141" spans="1:30" ht="15" x14ac:dyDescent="0.2">
      <c r="A141" s="16">
        <v>45536</v>
      </c>
      <c r="B141" s="10">
        <f>CHOOSE(CONTROL!$C$42, 5.9536, 5.9536) * CHOOSE(CONTROL!$C$21, $C$9, 100%, $E$9)</f>
        <v>5.9535999999999998</v>
      </c>
      <c r="C141" s="10">
        <f>CHOOSE(CONTROL!$C$42, 5.9616, 5.9616) * CHOOSE(CONTROL!$C$21, $C$9, 100%, $E$9)</f>
        <v>5.9615999999999998</v>
      </c>
      <c r="D141" s="10">
        <f>CHOOSE(CONTROL!$C$42, 6.1367, 6.1367) * CHOOSE(CONTROL!$C$21, $C$9, 100%, $E$9)</f>
        <v>6.1367000000000003</v>
      </c>
      <c r="E141" s="10">
        <f>CHOOSE(CONTROL!$C$42, 6.168, 6.168) * CHOOSE(CONTROL!$C$21, $C$9, 100%, $E$9)</f>
        <v>6.1680000000000001</v>
      </c>
      <c r="F141" s="10">
        <f>CHOOSE(CONTROL!$C$42, 5.8954, 5.8954)*CHOOSE(CONTROL!$C$21, $C$9, 100%, $E$9)</f>
        <v>5.8954000000000004</v>
      </c>
      <c r="G141" s="10">
        <f>CHOOSE(CONTROL!$C$42, 5.9123, 5.9123)*CHOOSE(CONTROL!$C$21, $C$9, 100%, $E$9)</f>
        <v>5.9123000000000001</v>
      </c>
      <c r="H141" s="10">
        <f>CHOOSE(CONTROL!$C$42, 6.1563, 6.1563) * CHOOSE(CONTROL!$C$21, $C$9, 100%, $E$9)</f>
        <v>6.1562999999999999</v>
      </c>
      <c r="I141" s="10">
        <f>CHOOSE(CONTROL!$C$42, 5.9283, 5.9283)* CHOOSE(CONTROL!$C$21, $C$9, 100%, $E$9)</f>
        <v>5.9283000000000001</v>
      </c>
      <c r="J141" s="10">
        <f>CHOOSE(CONTROL!$C$42, 5.888, 5.888)* CHOOSE(CONTROL!$C$21, $C$9, 100%, $E$9)</f>
        <v>5.8879999999999999</v>
      </c>
      <c r="K141" s="10">
        <f>CHOOSE(CONTROL!$C$42, 5.9001, 5.9001) * CHOOSE(CONTROL!$C$21, $C$9, 100%, $E$9)</f>
        <v>5.9001000000000001</v>
      </c>
      <c r="L141" s="10">
        <f>CHOOSE(CONTROL!$C$42, 6.7433, 6.7433) * CHOOSE(CONTROL!$C$21, $C$9, 100%, $E$9)</f>
        <v>6.7432999999999996</v>
      </c>
      <c r="M141" s="10">
        <f>CHOOSE(CONTROL!$C$42, 5.8448, 5.8448) * CHOOSE(CONTROL!$C$21, $C$9, 100%, $E$9)</f>
        <v>5.8448000000000002</v>
      </c>
      <c r="N141" s="10">
        <f>CHOOSE(CONTROL!$C$42, 5.8615, 5.8615) * CHOOSE(CONTROL!$C$21, $C$9, 100%, $E$9)</f>
        <v>5.8615000000000004</v>
      </c>
      <c r="O141" s="10">
        <f>CHOOSE(CONTROL!$C$42, 6.1096, 6.1096) * CHOOSE(CONTROL!$C$21, $C$9, 100%, $E$9)</f>
        <v>6.1096000000000004</v>
      </c>
      <c r="P141" s="10">
        <f>CHOOSE(CONTROL!$C$42, 5.8846, 5.8846) * CHOOSE(CONTROL!$C$21, $C$9, 100%, $E$9)</f>
        <v>5.8845999999999998</v>
      </c>
      <c r="Q141" s="10">
        <f>CHOOSE(CONTROL!$C$42, 6.7049, 6.7049) * CHOOSE(CONTROL!$C$21, $C$9, 100%, $E$9)</f>
        <v>6.7049000000000003</v>
      </c>
      <c r="R141" s="10">
        <f>CHOOSE(CONTROL!$C$42, 7.3087, 7.3087) * CHOOSE(CONTROL!$C$21, $C$9, 100%, $E$9)</f>
        <v>7.3087</v>
      </c>
      <c r="S141" s="10">
        <f>CHOOSE(CONTROL!$C$42, 5.7795, 5.7795) * CHOOSE(CONTROL!$C$21, $C$9, 100%, $E$9)</f>
        <v>5.7794999999999996</v>
      </c>
      <c r="T1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38">
        <f>(1000*CHOOSE(CONTROL!$C$42, 695, 695)*CHOOSE(CONTROL!$C$42, 0.5599, 0.5599)*CHOOSE(CONTROL!$C$42, 30, 30))/1000000</f>
        <v>11.673914999999997</v>
      </c>
      <c r="V141" s="38">
        <f>(1000*CHOOSE(CONTROL!$C$42, 500, 500)*CHOOSE(CONTROL!$C$42, 0.275, 0.275)*CHOOSE(CONTROL!$C$42, 30, 30))/1000000</f>
        <v>4.125</v>
      </c>
      <c r="W141" s="38">
        <f>(1000*CHOOSE(CONTROL!$C$42, 0.1146, 0.1146)*CHOOSE(CONTROL!$C$42, 121.5, 121.5)*CHOOSE(CONTROL!$C$42, 30, 30))/1000000</f>
        <v>0.417717</v>
      </c>
      <c r="X141" s="38">
        <f>(30*0.1790888*245000/1000000)+(30*0.2374*100000/1000000)</f>
        <v>2.0285026799999999</v>
      </c>
      <c r="Y141" s="38">
        <f>(1000*600*CHOOSE(CONTROL!$C$42, 1.7441, 1.7441)*CHOOSE(CONTROL!$C$42, 30, 30))/1000000</f>
        <v>31.393799999999999</v>
      </c>
      <c r="Z141" s="38"/>
      <c r="AA141" s="10"/>
      <c r="AB141" s="39"/>
      <c r="AC141" s="33">
        <f>(B141*194.205+C141*267.466+D141*133.845+E141*53.484+F141*40+G141*185+H141*0+I141*100+J141*300)/(194.205+267.466+133.845+53.484+0+40+185+100+300)</f>
        <v>5.9582587261381468</v>
      </c>
      <c r="AD141" s="27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5.9286676258992808</v>
      </c>
    </row>
    <row r="142" spans="1:30" ht="15" x14ac:dyDescent="0.2">
      <c r="A142" s="16">
        <v>45566</v>
      </c>
      <c r="B142" s="10">
        <f>CHOOSE(CONTROL!$C$42, 5.8303, 5.8303) * CHOOSE(CONTROL!$C$21, $C$9, 100%, $E$9)</f>
        <v>5.8303000000000003</v>
      </c>
      <c r="C142" s="10">
        <f>CHOOSE(CONTROL!$C$42, 5.8357, 5.8357) * CHOOSE(CONTROL!$C$21, $C$9, 100%, $E$9)</f>
        <v>5.8357000000000001</v>
      </c>
      <c r="D142" s="10">
        <f>CHOOSE(CONTROL!$C$42, 6.0157, 6.0157) * CHOOSE(CONTROL!$C$21, $C$9, 100%, $E$9)</f>
        <v>6.0156999999999998</v>
      </c>
      <c r="E142" s="10">
        <f>CHOOSE(CONTROL!$C$42, 6.0446, 6.0446) * CHOOSE(CONTROL!$C$21, $C$9, 100%, $E$9)</f>
        <v>6.0446</v>
      </c>
      <c r="F142" s="10">
        <f>CHOOSE(CONTROL!$C$42, 5.7741, 5.7741)*CHOOSE(CONTROL!$C$21, $C$9, 100%, $E$9)</f>
        <v>5.7740999999999998</v>
      </c>
      <c r="G142" s="10">
        <f>CHOOSE(CONTROL!$C$42, 5.7907, 5.7907)*CHOOSE(CONTROL!$C$21, $C$9, 100%, $E$9)</f>
        <v>5.7907000000000002</v>
      </c>
      <c r="H142" s="10">
        <f>CHOOSE(CONTROL!$C$42, 6.0347, 6.0347) * CHOOSE(CONTROL!$C$21, $C$9, 100%, $E$9)</f>
        <v>6.0347</v>
      </c>
      <c r="I142" s="10">
        <f>CHOOSE(CONTROL!$C$42, 5.8067, 5.8067)* CHOOSE(CONTROL!$C$21, $C$9, 100%, $E$9)</f>
        <v>5.8067000000000002</v>
      </c>
      <c r="J142" s="10">
        <f>CHOOSE(CONTROL!$C$42, 5.7667, 5.7667)* CHOOSE(CONTROL!$C$21, $C$9, 100%, $E$9)</f>
        <v>5.7667000000000002</v>
      </c>
      <c r="K142" s="10">
        <f>CHOOSE(CONTROL!$C$42, 5.7829, 5.7829) * CHOOSE(CONTROL!$C$21, $C$9, 100%, $E$9)</f>
        <v>5.7828999999999997</v>
      </c>
      <c r="L142" s="10">
        <f>CHOOSE(CONTROL!$C$42, 6.6217, 6.6217) * CHOOSE(CONTROL!$C$21, $C$9, 100%, $E$9)</f>
        <v>6.6216999999999997</v>
      </c>
      <c r="M142" s="10">
        <f>CHOOSE(CONTROL!$C$42, 5.7251, 5.7251) * CHOOSE(CONTROL!$C$21, $C$9, 100%, $E$9)</f>
        <v>5.7251000000000003</v>
      </c>
      <c r="N142" s="10">
        <f>CHOOSE(CONTROL!$C$42, 5.7415, 5.7415) * CHOOSE(CONTROL!$C$21, $C$9, 100%, $E$9)</f>
        <v>5.7415000000000003</v>
      </c>
      <c r="O142" s="10">
        <f>CHOOSE(CONTROL!$C$42, 5.9897, 5.9897) * CHOOSE(CONTROL!$C$21, $C$9, 100%, $E$9)</f>
        <v>5.9897</v>
      </c>
      <c r="P142" s="10">
        <f>CHOOSE(CONTROL!$C$42, 5.7646, 5.7646) * CHOOSE(CONTROL!$C$21, $C$9, 100%, $E$9)</f>
        <v>5.7645999999999997</v>
      </c>
      <c r="Q142" s="10">
        <f>CHOOSE(CONTROL!$C$42, 6.585, 6.585) * CHOOSE(CONTROL!$C$21, $C$9, 100%, $E$9)</f>
        <v>6.585</v>
      </c>
      <c r="R142" s="10">
        <f>CHOOSE(CONTROL!$C$42, 7.1884, 7.1884) * CHOOSE(CONTROL!$C$21, $C$9, 100%, $E$9)</f>
        <v>7.1883999999999997</v>
      </c>
      <c r="S142" s="10">
        <f>CHOOSE(CONTROL!$C$42, 5.6618, 5.6618) * CHOOSE(CONTROL!$C$21, $C$9, 100%, $E$9)</f>
        <v>5.6618000000000004</v>
      </c>
      <c r="T1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38">
        <f>(1000*CHOOSE(CONTROL!$C$42, 695, 695)*CHOOSE(CONTROL!$C$42, 0.5599, 0.5599)*CHOOSE(CONTROL!$C$42, 31, 31))/1000000</f>
        <v>12.063045499999998</v>
      </c>
      <c r="V142" s="38">
        <f>(1000*CHOOSE(CONTROL!$C$42, 500, 500)*CHOOSE(CONTROL!$C$42, 0.275, 0.275)*CHOOSE(CONTROL!$C$42, 31, 31))/1000000</f>
        <v>4.2625000000000002</v>
      </c>
      <c r="W142" s="38">
        <f>(1000*CHOOSE(CONTROL!$C$42, 0.1146, 0.1146)*CHOOSE(CONTROL!$C$42, 121.5, 121.5)*CHOOSE(CONTROL!$C$42, 31, 31))/1000000</f>
        <v>0.43164089999999994</v>
      </c>
      <c r="X142" s="38">
        <f>(31*0.1790888*245000/1000000)+(31*0.2374*100000/1000000)</f>
        <v>2.0961194359999999</v>
      </c>
      <c r="Y142" s="38">
        <f>(1000*600*CHOOSE(CONTROL!$C$42, 1.7441, 1.7441)*CHOOSE(CONTROL!$C$42, 31, 31))/1000000</f>
        <v>32.440260000000002</v>
      </c>
      <c r="Z142" s="38"/>
      <c r="AA142" s="10"/>
      <c r="AB142" s="39"/>
      <c r="AC142" s="33">
        <f>(B142*131.881+C142*277.167+D142*79.08+E142*125.872+F142*40+G142*185+H142*0+I142*100+J142*300)/(131.881+277.167+79.08+125.872+0+40+185+100+300)</f>
        <v>5.8400808744148502</v>
      </c>
      <c r="AD142" s="27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5.8087992805755402</v>
      </c>
    </row>
    <row r="143" spans="1:30" ht="15" x14ac:dyDescent="0.2">
      <c r="A143" s="16">
        <v>45597</v>
      </c>
      <c r="B143" s="10">
        <f>CHOOSE(CONTROL!$C$42, 5.984, 5.984) * CHOOSE(CONTROL!$C$21, $C$9, 100%, $E$9)</f>
        <v>5.984</v>
      </c>
      <c r="C143" s="10">
        <f>CHOOSE(CONTROL!$C$42, 5.9891, 5.9891) * CHOOSE(CONTROL!$C$21, $C$9, 100%, $E$9)</f>
        <v>5.9890999999999996</v>
      </c>
      <c r="D143" s="10">
        <f>CHOOSE(CONTROL!$C$42, 6.0137, 6.0137) * CHOOSE(CONTROL!$C$21, $C$9, 100%, $E$9)</f>
        <v>6.0137</v>
      </c>
      <c r="E143" s="10">
        <f>CHOOSE(CONTROL!$C$42, 6.0475, 6.0475) * CHOOSE(CONTROL!$C$21, $C$9, 100%, $E$9)</f>
        <v>6.0475000000000003</v>
      </c>
      <c r="F143" s="10">
        <f>CHOOSE(CONTROL!$C$42, 5.9496, 5.9496)*CHOOSE(CONTROL!$C$21, $C$9, 100%, $E$9)</f>
        <v>5.9496000000000002</v>
      </c>
      <c r="G143" s="10">
        <f>CHOOSE(CONTROL!$C$42, 5.9664, 5.9664)*CHOOSE(CONTROL!$C$21, $C$9, 100%, $E$9)</f>
        <v>5.9664000000000001</v>
      </c>
      <c r="H143" s="10">
        <f>CHOOSE(CONTROL!$C$42, 6.0364, 6.0364) * CHOOSE(CONTROL!$C$21, $C$9, 100%, $E$9)</f>
        <v>6.0364000000000004</v>
      </c>
      <c r="I143" s="10">
        <f>CHOOSE(CONTROL!$C$42, 5.9835, 5.9835)* CHOOSE(CONTROL!$C$21, $C$9, 100%, $E$9)</f>
        <v>5.9835000000000003</v>
      </c>
      <c r="J143" s="10">
        <f>CHOOSE(CONTROL!$C$42, 5.9422, 5.9422)* CHOOSE(CONTROL!$C$21, $C$9, 100%, $E$9)</f>
        <v>5.9421999999999997</v>
      </c>
      <c r="K143" s="10">
        <f>CHOOSE(CONTROL!$C$42, 5.9559, 5.9559) * CHOOSE(CONTROL!$C$21, $C$9, 100%, $E$9)</f>
        <v>5.9558999999999997</v>
      </c>
      <c r="L143" s="10">
        <f>CHOOSE(CONTROL!$C$42, 6.6234, 6.6234) * CHOOSE(CONTROL!$C$21, $C$9, 100%, $E$9)</f>
        <v>6.6234000000000002</v>
      </c>
      <c r="M143" s="10">
        <f>CHOOSE(CONTROL!$C$42, 5.8983, 5.8983) * CHOOSE(CONTROL!$C$21, $C$9, 100%, $E$9)</f>
        <v>5.8982999999999999</v>
      </c>
      <c r="N143" s="10">
        <f>CHOOSE(CONTROL!$C$42, 5.9149, 5.9149) * CHOOSE(CONTROL!$C$21, $C$9, 100%, $E$9)</f>
        <v>5.9149000000000003</v>
      </c>
      <c r="O143" s="10">
        <f>CHOOSE(CONTROL!$C$42, 5.9913, 5.9913) * CHOOSE(CONTROL!$C$21, $C$9, 100%, $E$9)</f>
        <v>5.9912999999999998</v>
      </c>
      <c r="P143" s="10">
        <f>CHOOSE(CONTROL!$C$42, 5.9391, 5.9391) * CHOOSE(CONTROL!$C$21, $C$9, 100%, $E$9)</f>
        <v>5.9390999999999998</v>
      </c>
      <c r="Q143" s="10">
        <f>CHOOSE(CONTROL!$C$42, 6.5866, 6.5866) * CHOOSE(CONTROL!$C$21, $C$9, 100%, $E$9)</f>
        <v>6.5865999999999998</v>
      </c>
      <c r="R143" s="10">
        <f>CHOOSE(CONTROL!$C$42, 7.1901, 7.1901) * CHOOSE(CONTROL!$C$21, $C$9, 100%, $E$9)</f>
        <v>7.1901000000000002</v>
      </c>
      <c r="S143" s="10">
        <f>CHOOSE(CONTROL!$C$42, 5.8109, 5.8109) * CHOOSE(CONTROL!$C$21, $C$9, 100%, $E$9)</f>
        <v>5.8109000000000002</v>
      </c>
      <c r="T1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38">
        <f>(1000*CHOOSE(CONTROL!$C$42, 695, 695)*CHOOSE(CONTROL!$C$42, 0.5599, 0.5599)*CHOOSE(CONTROL!$C$42, 30, 30))/1000000</f>
        <v>11.673914999999997</v>
      </c>
      <c r="V143" s="38">
        <f>(1000*CHOOSE(CONTROL!$C$42, 500, 500)*CHOOSE(CONTROL!$C$42, 0.275, 0.275)*CHOOSE(CONTROL!$C$42, 30, 30))/1000000</f>
        <v>4.125</v>
      </c>
      <c r="W143" s="38">
        <f>(1000*CHOOSE(CONTROL!$C$42, 0.1146, 0.1146)*CHOOSE(CONTROL!$C$42, 121.5, 121.5)*CHOOSE(CONTROL!$C$42, 30, 30))/1000000</f>
        <v>0.417717</v>
      </c>
      <c r="X143" s="38">
        <f>(30*0.1790888*100000/1000000)+(30*0.2374*100000/1000000)</f>
        <v>1.2494664</v>
      </c>
      <c r="Y143" s="38">
        <f>(1000*600*CHOOSE(CONTROL!$C$42, 1.7441, 1.7441)*CHOOSE(CONTROL!$C$42, 30, 30))/1000000</f>
        <v>31.393799999999999</v>
      </c>
      <c r="Z143" s="38"/>
      <c r="AA143" s="10"/>
      <c r="AB143" s="39"/>
      <c r="AC143" s="33">
        <f>(B143*122.58+C143*297.941+D143*89.177+E143*40.302+F143*40+G143*160+H143*0+I143*100+J143*300)/(122.58+297.941+89.177+40.302+0+40+160+100+300)</f>
        <v>5.9752567243478261</v>
      </c>
      <c r="AD143" s="27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5.9472769784172659</v>
      </c>
    </row>
    <row r="144" spans="1:30" ht="15" x14ac:dyDescent="0.2">
      <c r="A144" s="16">
        <v>45627</v>
      </c>
      <c r="B144" s="10">
        <f>CHOOSE(CONTROL!$C$42, 6.3931, 6.3931) * CHOOSE(CONTROL!$C$21, $C$9, 100%, $E$9)</f>
        <v>6.3930999999999996</v>
      </c>
      <c r="C144" s="10">
        <f>CHOOSE(CONTROL!$C$42, 6.3982, 6.3982) * CHOOSE(CONTROL!$C$21, $C$9, 100%, $E$9)</f>
        <v>6.3982000000000001</v>
      </c>
      <c r="D144" s="10">
        <f>CHOOSE(CONTROL!$C$42, 6.4228, 6.4228) * CHOOSE(CONTROL!$C$21, $C$9, 100%, $E$9)</f>
        <v>6.4227999999999996</v>
      </c>
      <c r="E144" s="10">
        <f>CHOOSE(CONTROL!$C$42, 6.4566, 6.4566) * CHOOSE(CONTROL!$C$21, $C$9, 100%, $E$9)</f>
        <v>6.4565999999999999</v>
      </c>
      <c r="F144" s="10">
        <f>CHOOSE(CONTROL!$C$42, 6.3605, 6.3605)*CHOOSE(CONTROL!$C$21, $C$9, 100%, $E$9)</f>
        <v>6.3605</v>
      </c>
      <c r="G144" s="10">
        <f>CHOOSE(CONTROL!$C$42, 6.3778, 6.3778)*CHOOSE(CONTROL!$C$21, $C$9, 100%, $E$9)</f>
        <v>6.3777999999999997</v>
      </c>
      <c r="H144" s="10">
        <f>CHOOSE(CONTROL!$C$42, 6.4455, 6.4455) * CHOOSE(CONTROL!$C$21, $C$9, 100%, $E$9)</f>
        <v>6.4455</v>
      </c>
      <c r="I144" s="10">
        <f>CHOOSE(CONTROL!$C$42, 6.3926, 6.3926)* CHOOSE(CONTROL!$C$21, $C$9, 100%, $E$9)</f>
        <v>6.3925999999999998</v>
      </c>
      <c r="J144" s="10">
        <f>CHOOSE(CONTROL!$C$42, 6.3531, 6.3531)* CHOOSE(CONTROL!$C$21, $C$9, 100%, $E$9)</f>
        <v>6.3531000000000004</v>
      </c>
      <c r="K144" s="10">
        <f>CHOOSE(CONTROL!$C$42, 6.3561, 6.3561) * CHOOSE(CONTROL!$C$21, $C$9, 100%, $E$9)</f>
        <v>6.3560999999999996</v>
      </c>
      <c r="L144" s="10">
        <f>CHOOSE(CONTROL!$C$42, 7.0325, 7.0325) * CHOOSE(CONTROL!$C$21, $C$9, 100%, $E$9)</f>
        <v>7.0324999999999998</v>
      </c>
      <c r="M144" s="10">
        <f>CHOOSE(CONTROL!$C$42, 6.3039, 6.3039) * CHOOSE(CONTROL!$C$21, $C$9, 100%, $E$9)</f>
        <v>6.3038999999999996</v>
      </c>
      <c r="N144" s="10">
        <f>CHOOSE(CONTROL!$C$42, 6.3209, 6.3209) * CHOOSE(CONTROL!$C$21, $C$9, 100%, $E$9)</f>
        <v>6.3209</v>
      </c>
      <c r="O144" s="10">
        <f>CHOOSE(CONTROL!$C$42, 6.3951, 6.3951) * CHOOSE(CONTROL!$C$21, $C$9, 100%, $E$9)</f>
        <v>6.3951000000000002</v>
      </c>
      <c r="P144" s="10">
        <f>CHOOSE(CONTROL!$C$42, 6.3429, 6.3429) * CHOOSE(CONTROL!$C$21, $C$9, 100%, $E$9)</f>
        <v>6.3429000000000002</v>
      </c>
      <c r="Q144" s="10">
        <f>CHOOSE(CONTROL!$C$42, 6.9904, 6.9904) * CHOOSE(CONTROL!$C$21, $C$9, 100%, $E$9)</f>
        <v>6.9904000000000002</v>
      </c>
      <c r="R144" s="10">
        <f>CHOOSE(CONTROL!$C$42, 7.5949, 7.5949) * CHOOSE(CONTROL!$C$21, $C$9, 100%, $E$9)</f>
        <v>7.5949</v>
      </c>
      <c r="S144" s="10">
        <f>CHOOSE(CONTROL!$C$42, 6.2071, 6.2071) * CHOOSE(CONTROL!$C$21, $C$9, 100%, $E$9)</f>
        <v>6.2070999999999996</v>
      </c>
      <c r="T1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38">
        <f>(1000*CHOOSE(CONTROL!$C$42, 695, 695)*CHOOSE(CONTROL!$C$42, 0.5599, 0.5599)*CHOOSE(CONTROL!$C$42, 31, 31))/1000000</f>
        <v>12.063045499999998</v>
      </c>
      <c r="V144" s="38">
        <f>(1000*CHOOSE(CONTROL!$C$42, 500, 500)*CHOOSE(CONTROL!$C$42, 0.275, 0.275)*CHOOSE(CONTROL!$C$42, 31, 31))/1000000</f>
        <v>4.2625000000000002</v>
      </c>
      <c r="W144" s="38">
        <f>(1000*CHOOSE(CONTROL!$C$42, 0.1146, 0.1146)*CHOOSE(CONTROL!$C$42, 121.5, 121.5)*CHOOSE(CONTROL!$C$42, 31, 31))/1000000</f>
        <v>0.43164089999999994</v>
      </c>
      <c r="X144" s="38">
        <f>(31*0.1790888*100000/1000000)+(31*0.2374*100000/1000000)</f>
        <v>1.2911152800000001</v>
      </c>
      <c r="Y144" s="38">
        <f>(1000*600*CHOOSE(CONTROL!$C$42, 1.7441, 1.7441)*CHOOSE(CONTROL!$C$42, 31, 31))/1000000</f>
        <v>32.440260000000002</v>
      </c>
      <c r="Z144" s="38"/>
      <c r="AA144" s="10"/>
      <c r="AB144" s="39"/>
      <c r="AC144" s="33">
        <f>(B144*122.58+C144*297.941+D144*89.177+E144*40.302+F144*40+G144*160+H144*0+I144*100+J144*300)/(122.58+297.941+89.177+40.302+0+40+160+100+300)</f>
        <v>6.3852088982608697</v>
      </c>
      <c r="AD144" s="27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6.3518251798561156</v>
      </c>
    </row>
    <row r="145" spans="1:30" ht="15" x14ac:dyDescent="0.2">
      <c r="A145" s="16">
        <v>45658</v>
      </c>
      <c r="B145" s="10">
        <f>CHOOSE(CONTROL!$C$42, 6.8255, 6.8255) * CHOOSE(CONTROL!$C$21, $C$9, 100%, $E$9)</f>
        <v>6.8254999999999999</v>
      </c>
      <c r="C145" s="10">
        <f>CHOOSE(CONTROL!$C$42, 6.8306, 6.8306) * CHOOSE(CONTROL!$C$21, $C$9, 100%, $E$9)</f>
        <v>6.8305999999999996</v>
      </c>
      <c r="D145" s="10">
        <f>CHOOSE(CONTROL!$C$42, 6.8656, 6.8656) * CHOOSE(CONTROL!$C$21, $C$9, 100%, $E$9)</f>
        <v>6.8655999999999997</v>
      </c>
      <c r="E145" s="10">
        <f>CHOOSE(CONTROL!$C$42, 6.8994, 6.8994) * CHOOSE(CONTROL!$C$21, $C$9, 100%, $E$9)</f>
        <v>6.8994</v>
      </c>
      <c r="F145" s="10">
        <f>CHOOSE(CONTROL!$C$42, 6.8068, 6.8068)*CHOOSE(CONTROL!$C$21, $C$9, 100%, $E$9)</f>
        <v>6.8068</v>
      </c>
      <c r="G145" s="10">
        <f>CHOOSE(CONTROL!$C$42, 6.8257, 6.8257)*CHOOSE(CONTROL!$C$21, $C$9, 100%, $E$9)</f>
        <v>6.8257000000000003</v>
      </c>
      <c r="H145" s="10">
        <f>CHOOSE(CONTROL!$C$42, 6.8883, 6.8883) * CHOOSE(CONTROL!$C$21, $C$9, 100%, $E$9)</f>
        <v>6.8883000000000001</v>
      </c>
      <c r="I145" s="10">
        <f>CHOOSE(CONTROL!$C$42, 6.8327, 6.8327)* CHOOSE(CONTROL!$C$21, $C$9, 100%, $E$9)</f>
        <v>6.8327</v>
      </c>
      <c r="J145" s="10">
        <f>CHOOSE(CONTROL!$C$42, 6.7994, 6.7994)* CHOOSE(CONTROL!$C$21, $C$9, 100%, $E$9)</f>
        <v>6.7994000000000003</v>
      </c>
      <c r="K145" s="10">
        <f>CHOOSE(CONTROL!$C$42, 6.7958, 6.7958) * CHOOSE(CONTROL!$C$21, $C$9, 100%, $E$9)</f>
        <v>6.7957999999999998</v>
      </c>
      <c r="L145" s="10">
        <f>CHOOSE(CONTROL!$C$42, 7.4753, 7.4753) * CHOOSE(CONTROL!$C$21, $C$9, 100%, $E$9)</f>
        <v>7.4752999999999998</v>
      </c>
      <c r="M145" s="10">
        <f>CHOOSE(CONTROL!$C$42, 6.7444, 6.7444) * CHOOSE(CONTROL!$C$21, $C$9, 100%, $E$9)</f>
        <v>6.7443999999999997</v>
      </c>
      <c r="N145" s="10">
        <f>CHOOSE(CONTROL!$C$42, 6.763, 6.763) * CHOOSE(CONTROL!$C$21, $C$9, 100%, $E$9)</f>
        <v>6.7629999999999999</v>
      </c>
      <c r="O145" s="10">
        <f>CHOOSE(CONTROL!$C$42, 6.8321, 6.8321) * CHOOSE(CONTROL!$C$21, $C$9, 100%, $E$9)</f>
        <v>6.8320999999999996</v>
      </c>
      <c r="P145" s="10">
        <f>CHOOSE(CONTROL!$C$42, 6.7774, 6.7774) * CHOOSE(CONTROL!$C$21, $C$9, 100%, $E$9)</f>
        <v>6.7774000000000001</v>
      </c>
      <c r="Q145" s="10">
        <f>CHOOSE(CONTROL!$C$42, 7.4274, 7.4274) * CHOOSE(CONTROL!$C$21, $C$9, 100%, $E$9)</f>
        <v>7.4273999999999996</v>
      </c>
      <c r="R145" s="10">
        <f>CHOOSE(CONTROL!$C$42, 8.033, 8.033) * CHOOSE(CONTROL!$C$21, $C$9, 100%, $E$9)</f>
        <v>8.0329999999999995</v>
      </c>
      <c r="S145" s="10">
        <f>CHOOSE(CONTROL!$C$42, 6.6258, 6.6258) * CHOOSE(CONTROL!$C$21, $C$9, 100%, $E$9)</f>
        <v>6.6257999999999999</v>
      </c>
      <c r="T1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38">
        <f>(1000*CHOOSE(CONTROL!$C$42, 695, 695)*CHOOSE(CONTROL!$C$42, 0.5599, 0.5599)*CHOOSE(CONTROL!$C$42, 31, 31))/1000000</f>
        <v>12.063045499999998</v>
      </c>
      <c r="V145" s="38">
        <f>(1000*CHOOSE(CONTROL!$C$42, 500, 500)*CHOOSE(CONTROL!$C$42, 0.275, 0.275)*CHOOSE(CONTROL!$C$42, 31, 31))/1000000</f>
        <v>4.2625000000000002</v>
      </c>
      <c r="W145" s="38">
        <f>(1000*CHOOSE(CONTROL!$C$42, 0.1146, 0.1146)*CHOOSE(CONTROL!$C$42, 121.5, 121.5)*CHOOSE(CONTROL!$C$42, 31, 31))/1000000</f>
        <v>0.43164089999999994</v>
      </c>
      <c r="X145" s="38">
        <f>(31*0.1790888*100000/1000000)+(31*0.2374*100000/1000000)</f>
        <v>1.2911152800000001</v>
      </c>
      <c r="Y145" s="38">
        <f>(1000*600*CHOOSE(CONTROL!$C$42, 1.7341, 1.7341)*CHOOSE(CONTROL!$C$42, 31, 31))/1000000</f>
        <v>32.254260000000002</v>
      </c>
      <c r="Z145" s="38"/>
      <c r="AA145" s="10"/>
      <c r="AB145" s="39"/>
      <c r="AC145" s="33">
        <f>(B145*122.58+C145*297.941+D145*89.177+E145*40.302+F145*40+G145*160+H145*0+I145*100+J145*300)/(122.58+297.941+89.177+40.302+0+40+160+100+300)</f>
        <v>6.8257154909565205</v>
      </c>
      <c r="AD145" s="27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6.7899676258992807</v>
      </c>
    </row>
    <row r="146" spans="1:30" ht="15" x14ac:dyDescent="0.2">
      <c r="A146" s="16">
        <v>45689</v>
      </c>
      <c r="B146" s="10">
        <f>CHOOSE(CONTROL!$C$42, 6.9473, 6.9473) * CHOOSE(CONTROL!$C$21, $C$9, 100%, $E$9)</f>
        <v>6.9473000000000003</v>
      </c>
      <c r="C146" s="10">
        <f>CHOOSE(CONTROL!$C$42, 6.9524, 6.9524) * CHOOSE(CONTROL!$C$21, $C$9, 100%, $E$9)</f>
        <v>6.9523999999999999</v>
      </c>
      <c r="D146" s="10">
        <f>CHOOSE(CONTROL!$C$42, 6.9874, 6.9874) * CHOOSE(CONTROL!$C$21, $C$9, 100%, $E$9)</f>
        <v>6.9874000000000001</v>
      </c>
      <c r="E146" s="10">
        <f>CHOOSE(CONTROL!$C$42, 7.0212, 7.0212) * CHOOSE(CONTROL!$C$21, $C$9, 100%, $E$9)</f>
        <v>7.0212000000000003</v>
      </c>
      <c r="F146" s="10">
        <f>CHOOSE(CONTROL!$C$42, 6.928, 6.928)*CHOOSE(CONTROL!$C$21, $C$9, 100%, $E$9)</f>
        <v>6.9279999999999999</v>
      </c>
      <c r="G146" s="10">
        <f>CHOOSE(CONTROL!$C$42, 6.9468, 6.9468)*CHOOSE(CONTROL!$C$21, $C$9, 100%, $E$9)</f>
        <v>6.9467999999999996</v>
      </c>
      <c r="H146" s="10">
        <f>CHOOSE(CONTROL!$C$42, 7.0101, 7.0101) * CHOOSE(CONTROL!$C$21, $C$9, 100%, $E$9)</f>
        <v>7.0101000000000004</v>
      </c>
      <c r="I146" s="10">
        <f>CHOOSE(CONTROL!$C$42, 6.9545, 6.9545)* CHOOSE(CONTROL!$C$21, $C$9, 100%, $E$9)</f>
        <v>6.9545000000000003</v>
      </c>
      <c r="J146" s="10">
        <f>CHOOSE(CONTROL!$C$42, 6.9206, 6.9206)* CHOOSE(CONTROL!$C$21, $C$9, 100%, $E$9)</f>
        <v>6.9206000000000003</v>
      </c>
      <c r="K146" s="10">
        <f>CHOOSE(CONTROL!$C$42, 6.9126, 6.9126) * CHOOSE(CONTROL!$C$21, $C$9, 100%, $E$9)</f>
        <v>6.9126000000000003</v>
      </c>
      <c r="L146" s="10">
        <f>CHOOSE(CONTROL!$C$42, 7.5971, 7.5971) * CHOOSE(CONTROL!$C$21, $C$9, 100%, $E$9)</f>
        <v>7.5971000000000002</v>
      </c>
      <c r="M146" s="10">
        <f>CHOOSE(CONTROL!$C$42, 6.8641, 6.8641) * CHOOSE(CONTROL!$C$21, $C$9, 100%, $E$9)</f>
        <v>6.8640999999999996</v>
      </c>
      <c r="N146" s="10">
        <f>CHOOSE(CONTROL!$C$42, 6.8826, 6.8826) * CHOOSE(CONTROL!$C$21, $C$9, 100%, $E$9)</f>
        <v>6.8826000000000001</v>
      </c>
      <c r="O146" s="10">
        <f>CHOOSE(CONTROL!$C$42, 6.9524, 6.9524) * CHOOSE(CONTROL!$C$21, $C$9, 100%, $E$9)</f>
        <v>6.9523999999999999</v>
      </c>
      <c r="P146" s="10">
        <f>CHOOSE(CONTROL!$C$42, 6.8976, 6.8976) * CHOOSE(CONTROL!$C$21, $C$9, 100%, $E$9)</f>
        <v>6.8975999999999997</v>
      </c>
      <c r="Q146" s="10">
        <f>CHOOSE(CONTROL!$C$42, 7.5477, 7.5477) * CHOOSE(CONTROL!$C$21, $C$9, 100%, $E$9)</f>
        <v>7.5476999999999999</v>
      </c>
      <c r="R146" s="10">
        <f>CHOOSE(CONTROL!$C$42, 8.1535, 8.1535) * CHOOSE(CONTROL!$C$21, $C$9, 100%, $E$9)</f>
        <v>8.1534999999999993</v>
      </c>
      <c r="S146" s="10">
        <f>CHOOSE(CONTROL!$C$42, 6.7437, 6.7437) * CHOOSE(CONTROL!$C$21, $C$9, 100%, $E$9)</f>
        <v>6.7436999999999996</v>
      </c>
      <c r="T14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46" s="38">
        <f>(1000*CHOOSE(CONTROL!$C$42, 695, 695)*CHOOSE(CONTROL!$C$42, 0.5599, 0.5599)*CHOOSE(CONTROL!$C$42, 28, 28))/1000000</f>
        <v>10.895653999999999</v>
      </c>
      <c r="V146" s="38">
        <f>(1000*CHOOSE(CONTROL!$C$42, 500, 500)*CHOOSE(CONTROL!$C$42, 0.275, 0.275)*CHOOSE(CONTROL!$C$42, 28, 28))/1000000</f>
        <v>3.85</v>
      </c>
      <c r="W146" s="38">
        <f>(1000*CHOOSE(CONTROL!$C$42, 0.1146, 0.1146)*CHOOSE(CONTROL!$C$42, 121.5, 121.5)*CHOOSE(CONTROL!$C$42, 28, 28))/1000000</f>
        <v>0.38986920000000003</v>
      </c>
      <c r="X146" s="38">
        <f>(28*0.1790888*100000/1000000)+(28*0.2374*100000/1000000)</f>
        <v>1.16616864</v>
      </c>
      <c r="Y146" s="38">
        <f>(1000*600*CHOOSE(CONTROL!$C$42, 1.7341, 1.7341)*CHOOSE(CONTROL!$C$42, 28, 28))/1000000</f>
        <v>29.13288</v>
      </c>
      <c r="Z146" s="38"/>
      <c r="AA146" s="10"/>
      <c r="AB146" s="39"/>
      <c r="AC146" s="33">
        <f>(B146*122.58+C146*297.941+D146*89.177+E146*40.302+F146*40+G146*160+H146*0+I146*100+J146*300)/(122.58+297.941+89.177+40.302+0+40+160+100+300)</f>
        <v>6.9472407083478265</v>
      </c>
      <c r="AD146" s="27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6.9100057553956828</v>
      </c>
    </row>
    <row r="147" spans="1:30" ht="15" x14ac:dyDescent="0.2">
      <c r="A147" s="16">
        <v>45717</v>
      </c>
      <c r="B147" s="10">
        <f>CHOOSE(CONTROL!$C$42, 6.7496, 6.7496) * CHOOSE(CONTROL!$C$21, $C$9, 100%, $E$9)</f>
        <v>6.7496</v>
      </c>
      <c r="C147" s="10">
        <f>CHOOSE(CONTROL!$C$42, 6.7547, 6.7547) * CHOOSE(CONTROL!$C$21, $C$9, 100%, $E$9)</f>
        <v>6.7546999999999997</v>
      </c>
      <c r="D147" s="10">
        <f>CHOOSE(CONTROL!$C$42, 6.7897, 6.7897) * CHOOSE(CONTROL!$C$21, $C$9, 100%, $E$9)</f>
        <v>6.7896999999999998</v>
      </c>
      <c r="E147" s="10">
        <f>CHOOSE(CONTROL!$C$42, 6.8235, 6.8235) * CHOOSE(CONTROL!$C$21, $C$9, 100%, $E$9)</f>
        <v>6.8235000000000001</v>
      </c>
      <c r="F147" s="10">
        <f>CHOOSE(CONTROL!$C$42, 6.7289, 6.7289)*CHOOSE(CONTROL!$C$21, $C$9, 100%, $E$9)</f>
        <v>6.7289000000000003</v>
      </c>
      <c r="G147" s="10">
        <f>CHOOSE(CONTROL!$C$42, 6.7473, 6.7473)*CHOOSE(CONTROL!$C$21, $C$9, 100%, $E$9)</f>
        <v>6.7473000000000001</v>
      </c>
      <c r="H147" s="10">
        <f>CHOOSE(CONTROL!$C$42, 6.8124, 6.8124) * CHOOSE(CONTROL!$C$21, $C$9, 100%, $E$9)</f>
        <v>6.8124000000000002</v>
      </c>
      <c r="I147" s="10">
        <f>CHOOSE(CONTROL!$C$42, 6.7568, 6.7568)* CHOOSE(CONTROL!$C$21, $C$9, 100%, $E$9)</f>
        <v>6.7568000000000001</v>
      </c>
      <c r="J147" s="10">
        <f>CHOOSE(CONTROL!$C$42, 6.7215, 6.7215)* CHOOSE(CONTROL!$C$21, $C$9, 100%, $E$9)</f>
        <v>6.7214999999999998</v>
      </c>
      <c r="K147" s="10">
        <f>CHOOSE(CONTROL!$C$42, 6.7181, 6.7181) * CHOOSE(CONTROL!$C$21, $C$9, 100%, $E$9)</f>
        <v>6.7180999999999997</v>
      </c>
      <c r="L147" s="10">
        <f>CHOOSE(CONTROL!$C$42, 7.3994, 7.3994) * CHOOSE(CONTROL!$C$21, $C$9, 100%, $E$9)</f>
        <v>7.3994</v>
      </c>
      <c r="M147" s="10">
        <f>CHOOSE(CONTROL!$C$42, 6.6676, 6.6676) * CHOOSE(CONTROL!$C$21, $C$9, 100%, $E$9)</f>
        <v>6.6676000000000002</v>
      </c>
      <c r="N147" s="10">
        <f>CHOOSE(CONTROL!$C$42, 6.6857, 6.6857) * CHOOSE(CONTROL!$C$21, $C$9, 100%, $E$9)</f>
        <v>6.6856999999999998</v>
      </c>
      <c r="O147" s="10">
        <f>CHOOSE(CONTROL!$C$42, 6.7572, 6.7572) * CHOOSE(CONTROL!$C$21, $C$9, 100%, $E$9)</f>
        <v>6.7572000000000001</v>
      </c>
      <c r="P147" s="10">
        <f>CHOOSE(CONTROL!$C$42, 6.7024, 6.7024) * CHOOSE(CONTROL!$C$21, $C$9, 100%, $E$9)</f>
        <v>6.7023999999999999</v>
      </c>
      <c r="Q147" s="10">
        <f>CHOOSE(CONTROL!$C$42, 7.3525, 7.3525) * CHOOSE(CONTROL!$C$21, $C$9, 100%, $E$9)</f>
        <v>7.3525</v>
      </c>
      <c r="R147" s="10">
        <f>CHOOSE(CONTROL!$C$42, 7.9579, 7.9579) * CHOOSE(CONTROL!$C$21, $C$9, 100%, $E$9)</f>
        <v>7.9579000000000004</v>
      </c>
      <c r="S147" s="10">
        <f>CHOOSE(CONTROL!$C$42, 6.5523, 6.5523) * CHOOSE(CONTROL!$C$21, $C$9, 100%, $E$9)</f>
        <v>6.5522999999999998</v>
      </c>
      <c r="T1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38">
        <f>(1000*CHOOSE(CONTROL!$C$42, 695, 695)*CHOOSE(CONTROL!$C$42, 0.5599, 0.5599)*CHOOSE(CONTROL!$C$42, 31, 31))/1000000</f>
        <v>12.063045499999998</v>
      </c>
      <c r="V147" s="38">
        <f>(1000*CHOOSE(CONTROL!$C$42, 500, 500)*CHOOSE(CONTROL!$C$42, 0.275, 0.275)*CHOOSE(CONTROL!$C$42, 31, 31))/1000000</f>
        <v>4.2625000000000002</v>
      </c>
      <c r="W147" s="38">
        <f>(1000*CHOOSE(CONTROL!$C$42, 0.1146, 0.1146)*CHOOSE(CONTROL!$C$42, 121.5, 121.5)*CHOOSE(CONTROL!$C$42, 31, 31))/1000000</f>
        <v>0.43164089999999994</v>
      </c>
      <c r="X147" s="38">
        <f>(31*0.1790888*100000/1000000)+(31*0.2374*100000/1000000)</f>
        <v>1.2911152800000001</v>
      </c>
      <c r="Y147" s="38">
        <f>(1000*600*CHOOSE(CONTROL!$C$42, 1.7341, 1.7341)*CHOOSE(CONTROL!$C$42, 31, 31))/1000000</f>
        <v>32.254260000000002</v>
      </c>
      <c r="Z147" s="38"/>
      <c r="AA147" s="10"/>
      <c r="AB147" s="39"/>
      <c r="AC147" s="33">
        <f>(B147*122.58+C147*297.941+D147*89.177+E147*40.302+F147*40+G147*160+H147*0+I147*100+J147*300)/(122.58+297.941+89.177+40.302+0+40+160+100+300)</f>
        <v>6.7488763605217388</v>
      </c>
      <c r="AD147" s="27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6.714258992805755</v>
      </c>
    </row>
    <row r="148" spans="1:30" ht="15" x14ac:dyDescent="0.2">
      <c r="A148" s="16">
        <v>45748</v>
      </c>
      <c r="B148" s="10">
        <f>CHOOSE(CONTROL!$C$42, 6.7301, 6.7301) * CHOOSE(CONTROL!$C$21, $C$9, 100%, $E$9)</f>
        <v>6.7301000000000002</v>
      </c>
      <c r="C148" s="10">
        <f>CHOOSE(CONTROL!$C$42, 6.7346, 6.7346) * CHOOSE(CONTROL!$C$21, $C$9, 100%, $E$9)</f>
        <v>6.7346000000000004</v>
      </c>
      <c r="D148" s="10">
        <f>CHOOSE(CONTROL!$C$42, 6.9128, 6.9128) * CHOOSE(CONTROL!$C$21, $C$9, 100%, $E$9)</f>
        <v>6.9127999999999998</v>
      </c>
      <c r="E148" s="10">
        <f>CHOOSE(CONTROL!$C$42, 6.9447, 6.9447) * CHOOSE(CONTROL!$C$21, $C$9, 100%, $E$9)</f>
        <v>6.9447000000000001</v>
      </c>
      <c r="F148" s="10">
        <f>CHOOSE(CONTROL!$C$42, 6.6735, 6.6735)*CHOOSE(CONTROL!$C$21, $C$9, 100%, $E$9)</f>
        <v>6.6734999999999998</v>
      </c>
      <c r="G148" s="10">
        <f>CHOOSE(CONTROL!$C$42, 6.6901, 6.6901)*CHOOSE(CONTROL!$C$21, $C$9, 100%, $E$9)</f>
        <v>6.6901000000000002</v>
      </c>
      <c r="H148" s="10">
        <f>CHOOSE(CONTROL!$C$42, 6.9341, 6.9341) * CHOOSE(CONTROL!$C$21, $C$9, 100%, $E$9)</f>
        <v>6.9340999999999999</v>
      </c>
      <c r="I148" s="10">
        <f>CHOOSE(CONTROL!$C$42, 6.7061, 6.7061)* CHOOSE(CONTROL!$C$21, $C$9, 100%, $E$9)</f>
        <v>6.7061000000000002</v>
      </c>
      <c r="J148" s="10">
        <f>CHOOSE(CONTROL!$C$42, 6.6661, 6.6661)* CHOOSE(CONTROL!$C$21, $C$9, 100%, $E$9)</f>
        <v>6.6661000000000001</v>
      </c>
      <c r="K148" s="10">
        <f>CHOOSE(CONTROL!$C$42, 6.6542, 6.6542) * CHOOSE(CONTROL!$C$21, $C$9, 100%, $E$9)</f>
        <v>6.6542000000000003</v>
      </c>
      <c r="L148" s="10">
        <f>CHOOSE(CONTROL!$C$42, 7.5211, 7.5211) * CHOOSE(CONTROL!$C$21, $C$9, 100%, $E$9)</f>
        <v>7.5210999999999997</v>
      </c>
      <c r="M148" s="10">
        <f>CHOOSE(CONTROL!$C$42, 6.6129, 6.6129) * CHOOSE(CONTROL!$C$21, $C$9, 100%, $E$9)</f>
        <v>6.6128999999999998</v>
      </c>
      <c r="N148" s="10">
        <f>CHOOSE(CONTROL!$C$42, 6.6293, 6.6293) * CHOOSE(CONTROL!$C$21, $C$9, 100%, $E$9)</f>
        <v>6.6292999999999997</v>
      </c>
      <c r="O148" s="10">
        <f>CHOOSE(CONTROL!$C$42, 6.8774, 6.8774) * CHOOSE(CONTROL!$C$21, $C$9, 100%, $E$9)</f>
        <v>6.8773999999999997</v>
      </c>
      <c r="P148" s="10">
        <f>CHOOSE(CONTROL!$C$42, 6.6524, 6.6524) * CHOOSE(CONTROL!$C$21, $C$9, 100%, $E$9)</f>
        <v>6.6524000000000001</v>
      </c>
      <c r="Q148" s="10">
        <f>CHOOSE(CONTROL!$C$42, 7.4727, 7.4727) * CHOOSE(CONTROL!$C$21, $C$9, 100%, $E$9)</f>
        <v>7.4726999999999997</v>
      </c>
      <c r="R148" s="10">
        <f>CHOOSE(CONTROL!$C$42, 8.0784, 8.0784) * CHOOSE(CONTROL!$C$21, $C$9, 100%, $E$9)</f>
        <v>8.0784000000000002</v>
      </c>
      <c r="S148" s="10">
        <f>CHOOSE(CONTROL!$C$42, 6.5326, 6.5326) * CHOOSE(CONTROL!$C$21, $C$9, 100%, $E$9)</f>
        <v>6.5326000000000004</v>
      </c>
      <c r="T1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38">
        <f>(1000*CHOOSE(CONTROL!$C$42, 695, 695)*CHOOSE(CONTROL!$C$42, 0.5599, 0.5599)*CHOOSE(CONTROL!$C$42, 30, 30))/1000000</f>
        <v>11.673914999999997</v>
      </c>
      <c r="V148" s="38">
        <f>(1000*CHOOSE(CONTROL!$C$42, 500, 500)*CHOOSE(CONTROL!$C$42, 0.275, 0.275)*CHOOSE(CONTROL!$C$42, 30, 30))/1000000</f>
        <v>4.125</v>
      </c>
      <c r="W148" s="38">
        <f>(1000*CHOOSE(CONTROL!$C$42, 0.1146, 0.1146)*CHOOSE(CONTROL!$C$42, 121.5, 121.5)*CHOOSE(CONTROL!$C$42, 30, 30))/1000000</f>
        <v>0.417717</v>
      </c>
      <c r="X148" s="38">
        <f>(30*0.1790888*245000/1000000)+(30*0.2374*100000/1000000)</f>
        <v>2.0285026799999999</v>
      </c>
      <c r="Y148" s="38">
        <f>(1000*600*CHOOSE(CONTROL!$C$42, 1.7341, 1.7341)*CHOOSE(CONTROL!$C$42, 30, 30))/1000000</f>
        <v>31.213799999999999</v>
      </c>
      <c r="Z148" s="38"/>
      <c r="AA148" s="10"/>
      <c r="AB148" s="39"/>
      <c r="AC148" s="33">
        <f>(B148*141.293+C148*267.993+D148*115.016+E148*89.698+F148*40+G148*185+H148*0+I148*100+J148*300)/(141.293+267.993+115.016+89.698+0+40+185+100+300)</f>
        <v>6.7383361440677954</v>
      </c>
      <c r="AD148" s="27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6.6965712230215813</v>
      </c>
    </row>
    <row r="149" spans="1:30" ht="15" x14ac:dyDescent="0.2">
      <c r="A149" s="16">
        <v>45778</v>
      </c>
      <c r="B149" s="10">
        <f>CHOOSE(CONTROL!$C$42, 6.7914, 6.7914) * CHOOSE(CONTROL!$C$21, $C$9, 100%, $E$9)</f>
        <v>6.7914000000000003</v>
      </c>
      <c r="C149" s="10">
        <f>CHOOSE(CONTROL!$C$42, 6.7994, 6.7994) * CHOOSE(CONTROL!$C$21, $C$9, 100%, $E$9)</f>
        <v>6.7994000000000003</v>
      </c>
      <c r="D149" s="10">
        <f>CHOOSE(CONTROL!$C$42, 6.9745, 6.9745) * CHOOSE(CONTROL!$C$21, $C$9, 100%, $E$9)</f>
        <v>6.9744999999999999</v>
      </c>
      <c r="E149" s="10">
        <f>CHOOSE(CONTROL!$C$42, 7.0057, 7.0057) * CHOOSE(CONTROL!$C$21, $C$9, 100%, $E$9)</f>
        <v>7.0057</v>
      </c>
      <c r="F149" s="10">
        <f>CHOOSE(CONTROL!$C$42, 6.7331, 6.7331)*CHOOSE(CONTROL!$C$21, $C$9, 100%, $E$9)</f>
        <v>6.7331000000000003</v>
      </c>
      <c r="G149" s="10">
        <f>CHOOSE(CONTROL!$C$42, 6.7499, 6.7499)*CHOOSE(CONTROL!$C$21, $C$9, 100%, $E$9)</f>
        <v>6.7499000000000002</v>
      </c>
      <c r="H149" s="10">
        <f>CHOOSE(CONTROL!$C$42, 6.994, 6.994) * CHOOSE(CONTROL!$C$21, $C$9, 100%, $E$9)</f>
        <v>6.9939999999999998</v>
      </c>
      <c r="I149" s="10">
        <f>CHOOSE(CONTROL!$C$42, 6.766, 6.766)* CHOOSE(CONTROL!$C$21, $C$9, 100%, $E$9)</f>
        <v>6.766</v>
      </c>
      <c r="J149" s="10">
        <f>CHOOSE(CONTROL!$C$42, 6.7257, 6.7257)* CHOOSE(CONTROL!$C$21, $C$9, 100%, $E$9)</f>
        <v>6.7256999999999998</v>
      </c>
      <c r="K149" s="10">
        <f>CHOOSE(CONTROL!$C$42, 6.7114, 6.7114) * CHOOSE(CONTROL!$C$21, $C$9, 100%, $E$9)</f>
        <v>6.7114000000000003</v>
      </c>
      <c r="L149" s="10">
        <f>CHOOSE(CONTROL!$C$42, 7.581, 7.581) * CHOOSE(CONTROL!$C$21, $C$9, 100%, $E$9)</f>
        <v>7.5810000000000004</v>
      </c>
      <c r="M149" s="10">
        <f>CHOOSE(CONTROL!$C$42, 6.6716, 6.6716) * CHOOSE(CONTROL!$C$21, $C$9, 100%, $E$9)</f>
        <v>6.6715999999999998</v>
      </c>
      <c r="N149" s="10">
        <f>CHOOSE(CONTROL!$C$42, 6.6883, 6.6883) * CHOOSE(CONTROL!$C$21, $C$9, 100%, $E$9)</f>
        <v>6.6882999999999999</v>
      </c>
      <c r="O149" s="10">
        <f>CHOOSE(CONTROL!$C$42, 6.9365, 6.9365) * CHOOSE(CONTROL!$C$21, $C$9, 100%, $E$9)</f>
        <v>6.9364999999999997</v>
      </c>
      <c r="P149" s="10">
        <f>CHOOSE(CONTROL!$C$42, 6.7115, 6.7115) * CHOOSE(CONTROL!$C$21, $C$9, 100%, $E$9)</f>
        <v>6.7115</v>
      </c>
      <c r="Q149" s="10">
        <f>CHOOSE(CONTROL!$C$42, 7.5318, 7.5318) * CHOOSE(CONTROL!$C$21, $C$9, 100%, $E$9)</f>
        <v>7.5317999999999996</v>
      </c>
      <c r="R149" s="10">
        <f>CHOOSE(CONTROL!$C$42, 8.1377, 8.1377) * CHOOSE(CONTROL!$C$21, $C$9, 100%, $E$9)</f>
        <v>8.1377000000000006</v>
      </c>
      <c r="S149" s="10">
        <f>CHOOSE(CONTROL!$C$42, 6.5907, 6.5907) * CHOOSE(CONTROL!$C$21, $C$9, 100%, $E$9)</f>
        <v>6.5907</v>
      </c>
      <c r="T1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38">
        <f>(1000*CHOOSE(CONTROL!$C$42, 695, 695)*CHOOSE(CONTROL!$C$42, 0.5599, 0.5599)*CHOOSE(CONTROL!$C$42, 31, 31))/1000000</f>
        <v>12.063045499999998</v>
      </c>
      <c r="V149" s="38">
        <f>(1000*CHOOSE(CONTROL!$C$42, 500, 500)*CHOOSE(CONTROL!$C$42, 0.275, 0.275)*CHOOSE(CONTROL!$C$42, 31, 31))/1000000</f>
        <v>4.2625000000000002</v>
      </c>
      <c r="W149" s="38">
        <f>(1000*CHOOSE(CONTROL!$C$42, 0.1146, 0.1146)*CHOOSE(CONTROL!$C$42, 121.5, 121.5)*CHOOSE(CONTROL!$C$42, 31, 31))/1000000</f>
        <v>0.43164089999999994</v>
      </c>
      <c r="X149" s="38">
        <f>(31*0.1790888*245000/1000000)+(31*0.2374*100000/1000000)</f>
        <v>2.0961194359999999</v>
      </c>
      <c r="Y149" s="38">
        <f>(1000*600*CHOOSE(CONTROL!$C$42, 1.7341, 1.7341)*CHOOSE(CONTROL!$C$42, 31, 31))/1000000</f>
        <v>32.254260000000002</v>
      </c>
      <c r="Z149" s="38"/>
      <c r="AA149" s="10"/>
      <c r="AB149" s="39"/>
      <c r="AC149" s="33">
        <f>(B149*194.205+C149*267.466+D149*133.845+E149*53.484+F149*40+G149*185+H149*0+I149*100+J149*300)/(194.205+267.466+133.845+53.484+0+40+185+100+300)</f>
        <v>6.7959909487441132</v>
      </c>
      <c r="AD149" s="27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6.7555100719424459</v>
      </c>
    </row>
    <row r="150" spans="1:30" ht="15" x14ac:dyDescent="0.2">
      <c r="A150" s="16">
        <v>45809</v>
      </c>
      <c r="B150" s="10">
        <f>CHOOSE(CONTROL!$C$42, 6.9844, 6.9844) * CHOOSE(CONTROL!$C$21, $C$9, 100%, $E$9)</f>
        <v>6.9843999999999999</v>
      </c>
      <c r="C150" s="10">
        <f>CHOOSE(CONTROL!$C$42, 6.9924, 6.9924) * CHOOSE(CONTROL!$C$21, $C$9, 100%, $E$9)</f>
        <v>6.9923999999999999</v>
      </c>
      <c r="D150" s="10">
        <f>CHOOSE(CONTROL!$C$42, 7.1675, 7.1675) * CHOOSE(CONTROL!$C$21, $C$9, 100%, $E$9)</f>
        <v>7.1675000000000004</v>
      </c>
      <c r="E150" s="10">
        <f>CHOOSE(CONTROL!$C$42, 7.1988, 7.1988) * CHOOSE(CONTROL!$C$21, $C$9, 100%, $E$9)</f>
        <v>7.1988000000000003</v>
      </c>
      <c r="F150" s="10">
        <f>CHOOSE(CONTROL!$C$42, 6.9263, 6.9263)*CHOOSE(CONTROL!$C$21, $C$9, 100%, $E$9)</f>
        <v>6.9263000000000003</v>
      </c>
      <c r="G150" s="10">
        <f>CHOOSE(CONTROL!$C$42, 6.9432, 6.9432)*CHOOSE(CONTROL!$C$21, $C$9, 100%, $E$9)</f>
        <v>6.9432</v>
      </c>
      <c r="H150" s="10">
        <f>CHOOSE(CONTROL!$C$42, 7.1871, 7.1871) * CHOOSE(CONTROL!$C$21, $C$9, 100%, $E$9)</f>
        <v>7.1871</v>
      </c>
      <c r="I150" s="10">
        <f>CHOOSE(CONTROL!$C$42, 6.9591, 6.9591)* CHOOSE(CONTROL!$C$21, $C$9, 100%, $E$9)</f>
        <v>6.9591000000000003</v>
      </c>
      <c r="J150" s="10">
        <f>CHOOSE(CONTROL!$C$42, 6.9189, 6.9189)* CHOOSE(CONTROL!$C$21, $C$9, 100%, $E$9)</f>
        <v>6.9188999999999998</v>
      </c>
      <c r="K150" s="10">
        <f>CHOOSE(CONTROL!$C$42, 6.8988, 6.8988) * CHOOSE(CONTROL!$C$21, $C$9, 100%, $E$9)</f>
        <v>6.8987999999999996</v>
      </c>
      <c r="L150" s="10">
        <f>CHOOSE(CONTROL!$C$42, 7.7741, 7.7741) * CHOOSE(CONTROL!$C$21, $C$9, 100%, $E$9)</f>
        <v>7.7740999999999998</v>
      </c>
      <c r="M150" s="10">
        <f>CHOOSE(CONTROL!$C$42, 6.8624, 6.8624) * CHOOSE(CONTROL!$C$21, $C$9, 100%, $E$9)</f>
        <v>6.8624000000000001</v>
      </c>
      <c r="N150" s="10">
        <f>CHOOSE(CONTROL!$C$42, 6.8791, 6.8791) * CHOOSE(CONTROL!$C$21, $C$9, 100%, $E$9)</f>
        <v>6.8791000000000002</v>
      </c>
      <c r="O150" s="10">
        <f>CHOOSE(CONTROL!$C$42, 7.1271, 7.1271) * CHOOSE(CONTROL!$C$21, $C$9, 100%, $E$9)</f>
        <v>7.1271000000000004</v>
      </c>
      <c r="P150" s="10">
        <f>CHOOSE(CONTROL!$C$42, 6.9021, 6.9021) * CHOOSE(CONTROL!$C$21, $C$9, 100%, $E$9)</f>
        <v>6.9020999999999999</v>
      </c>
      <c r="Q150" s="10">
        <f>CHOOSE(CONTROL!$C$42, 7.7224, 7.7224) * CHOOSE(CONTROL!$C$21, $C$9, 100%, $E$9)</f>
        <v>7.7224000000000004</v>
      </c>
      <c r="R150" s="10">
        <f>CHOOSE(CONTROL!$C$42, 8.3287, 8.3287) * CHOOSE(CONTROL!$C$21, $C$9, 100%, $E$9)</f>
        <v>8.3286999999999995</v>
      </c>
      <c r="S150" s="10">
        <f>CHOOSE(CONTROL!$C$42, 6.7776, 6.7776) * CHOOSE(CONTROL!$C$21, $C$9, 100%, $E$9)</f>
        <v>6.7775999999999996</v>
      </c>
      <c r="T1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38">
        <f>(1000*CHOOSE(CONTROL!$C$42, 695, 695)*CHOOSE(CONTROL!$C$42, 0.5599, 0.5599)*CHOOSE(CONTROL!$C$42, 30, 30))/1000000</f>
        <v>11.673914999999997</v>
      </c>
      <c r="V150" s="38">
        <f>(1000*CHOOSE(CONTROL!$C$42, 500, 500)*CHOOSE(CONTROL!$C$42, 0.275, 0.275)*CHOOSE(CONTROL!$C$42, 30, 30))/1000000</f>
        <v>4.125</v>
      </c>
      <c r="W150" s="38">
        <f>(1000*CHOOSE(CONTROL!$C$42, 0.1146, 0.1146)*CHOOSE(CONTROL!$C$42, 121.5, 121.5)*CHOOSE(CONTROL!$C$42, 30, 30))/1000000</f>
        <v>0.417717</v>
      </c>
      <c r="X150" s="38">
        <f>(30*0.1790888*245000/1000000)+(30*0.2374*100000/1000000)</f>
        <v>2.0285026799999999</v>
      </c>
      <c r="Y150" s="38">
        <f>(1000*600*CHOOSE(CONTROL!$C$42, 1.7341, 1.7341)*CHOOSE(CONTROL!$C$42, 30, 30))/1000000</f>
        <v>31.213799999999999</v>
      </c>
      <c r="Z150" s="38"/>
      <c r="AA150" s="10"/>
      <c r="AB150" s="39"/>
      <c r="AC150" s="33">
        <f>(B150*194.205+C150*267.466+D150*133.845+E150*53.484+F150*40+G150*185+H150*0+I150*100+J150*300)/(194.205+267.466+133.845+53.484+0+40+185+100+300)</f>
        <v>6.9890999349293566</v>
      </c>
      <c r="AD150" s="27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6.9462251798561159</v>
      </c>
    </row>
    <row r="151" spans="1:30" ht="15" x14ac:dyDescent="0.2">
      <c r="A151" s="16">
        <v>45839</v>
      </c>
      <c r="B151" s="10">
        <f>CHOOSE(CONTROL!$C$42, 6.8501, 6.8501) * CHOOSE(CONTROL!$C$21, $C$9, 100%, $E$9)</f>
        <v>6.8501000000000003</v>
      </c>
      <c r="C151" s="10">
        <f>CHOOSE(CONTROL!$C$42, 6.8581, 6.8581) * CHOOSE(CONTROL!$C$21, $C$9, 100%, $E$9)</f>
        <v>6.8581000000000003</v>
      </c>
      <c r="D151" s="10">
        <f>CHOOSE(CONTROL!$C$42, 7.0333, 7.0333) * CHOOSE(CONTROL!$C$21, $C$9, 100%, $E$9)</f>
        <v>7.0332999999999997</v>
      </c>
      <c r="E151" s="10">
        <f>CHOOSE(CONTROL!$C$42, 7.0645, 7.0645) * CHOOSE(CONTROL!$C$21, $C$9, 100%, $E$9)</f>
        <v>7.0644999999999998</v>
      </c>
      <c r="F151" s="10">
        <f>CHOOSE(CONTROL!$C$42, 6.7924, 6.7924)*CHOOSE(CONTROL!$C$21, $C$9, 100%, $E$9)</f>
        <v>6.7923999999999998</v>
      </c>
      <c r="G151" s="10">
        <f>CHOOSE(CONTROL!$C$42, 6.8094, 6.8094)*CHOOSE(CONTROL!$C$21, $C$9, 100%, $E$9)</f>
        <v>6.8094000000000001</v>
      </c>
      <c r="H151" s="10">
        <f>CHOOSE(CONTROL!$C$42, 7.0528, 7.0528) * CHOOSE(CONTROL!$C$21, $C$9, 100%, $E$9)</f>
        <v>7.0528000000000004</v>
      </c>
      <c r="I151" s="10">
        <f>CHOOSE(CONTROL!$C$42, 6.8248, 6.8248)* CHOOSE(CONTROL!$C$21, $C$9, 100%, $E$9)</f>
        <v>6.8247999999999998</v>
      </c>
      <c r="J151" s="10">
        <f>CHOOSE(CONTROL!$C$42, 6.785, 6.785)* CHOOSE(CONTROL!$C$21, $C$9, 100%, $E$9)</f>
        <v>6.7850000000000001</v>
      </c>
      <c r="K151" s="10">
        <f>CHOOSE(CONTROL!$C$42, 6.7695, 6.7695) * CHOOSE(CONTROL!$C$21, $C$9, 100%, $E$9)</f>
        <v>6.7694999999999999</v>
      </c>
      <c r="L151" s="10">
        <f>CHOOSE(CONTROL!$C$42, 7.6398, 7.6398) * CHOOSE(CONTROL!$C$21, $C$9, 100%, $E$9)</f>
        <v>7.6398000000000001</v>
      </c>
      <c r="M151" s="10">
        <f>CHOOSE(CONTROL!$C$42, 6.7302, 6.7302) * CHOOSE(CONTROL!$C$21, $C$9, 100%, $E$9)</f>
        <v>6.7302</v>
      </c>
      <c r="N151" s="10">
        <f>CHOOSE(CONTROL!$C$42, 6.747, 6.747) * CHOOSE(CONTROL!$C$21, $C$9, 100%, $E$9)</f>
        <v>6.7469999999999999</v>
      </c>
      <c r="O151" s="10">
        <f>CHOOSE(CONTROL!$C$42, 6.9946, 6.9946) * CHOOSE(CONTROL!$C$21, $C$9, 100%, $E$9)</f>
        <v>6.9946000000000002</v>
      </c>
      <c r="P151" s="10">
        <f>CHOOSE(CONTROL!$C$42, 6.7695, 6.7695) * CHOOSE(CONTROL!$C$21, $C$9, 100%, $E$9)</f>
        <v>6.7694999999999999</v>
      </c>
      <c r="Q151" s="10">
        <f>CHOOSE(CONTROL!$C$42, 7.5899, 7.5899) * CHOOSE(CONTROL!$C$21, $C$9, 100%, $E$9)</f>
        <v>7.5899000000000001</v>
      </c>
      <c r="R151" s="10">
        <f>CHOOSE(CONTROL!$C$42, 8.1958, 8.1958) * CHOOSE(CONTROL!$C$21, $C$9, 100%, $E$9)</f>
        <v>8.1958000000000002</v>
      </c>
      <c r="S151" s="10">
        <f>CHOOSE(CONTROL!$C$42, 6.6476, 6.6476) * CHOOSE(CONTROL!$C$21, $C$9, 100%, $E$9)</f>
        <v>6.6475999999999997</v>
      </c>
      <c r="T1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38">
        <f>(1000*CHOOSE(CONTROL!$C$42, 695, 695)*CHOOSE(CONTROL!$C$42, 0.5599, 0.5599)*CHOOSE(CONTROL!$C$42, 31, 31))/1000000</f>
        <v>12.063045499999998</v>
      </c>
      <c r="V151" s="38">
        <f>(1000*CHOOSE(CONTROL!$C$42, 500, 500)*CHOOSE(CONTROL!$C$42, 0.275, 0.275)*CHOOSE(CONTROL!$C$42, 31, 31))/1000000</f>
        <v>4.2625000000000002</v>
      </c>
      <c r="W151" s="38">
        <f>(1000*CHOOSE(CONTROL!$C$42, 0.1146, 0.1146)*CHOOSE(CONTROL!$C$42, 121.5, 121.5)*CHOOSE(CONTROL!$C$42, 31, 31))/1000000</f>
        <v>0.43164089999999994</v>
      </c>
      <c r="X151" s="38">
        <f>(31*0.1790888*245000/1000000)+(31*0.2374*100000/1000000)</f>
        <v>2.0961194359999999</v>
      </c>
      <c r="Y151" s="38">
        <f>(1000*600*CHOOSE(CONTROL!$C$42, 1.7341, 1.7341)*CHOOSE(CONTROL!$C$42, 31, 31))/1000000</f>
        <v>32.254260000000002</v>
      </c>
      <c r="Z151" s="38"/>
      <c r="AA151" s="10"/>
      <c r="AB151" s="39"/>
      <c r="AC151" s="33">
        <f>(B151*194.205+C151*267.466+D151*133.845+E151*53.484+F151*40+G151*185+H151*0+I151*100+J151*300)/(194.205+267.466+133.845+53.484+0+40+185+100+300)</f>
        <v>6.8549897971742535</v>
      </c>
      <c r="AD151" s="27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6.8139064748201434</v>
      </c>
    </row>
    <row r="152" spans="1:30" ht="15" x14ac:dyDescent="0.2">
      <c r="A152" s="16">
        <v>45870</v>
      </c>
      <c r="B152" s="10">
        <f>CHOOSE(CONTROL!$C$42, 6.5111, 6.5111) * CHOOSE(CONTROL!$C$21, $C$9, 100%, $E$9)</f>
        <v>6.5110999999999999</v>
      </c>
      <c r="C152" s="10">
        <f>CHOOSE(CONTROL!$C$42, 6.5191, 6.5191) * CHOOSE(CONTROL!$C$21, $C$9, 100%, $E$9)</f>
        <v>6.5190999999999999</v>
      </c>
      <c r="D152" s="10">
        <f>CHOOSE(CONTROL!$C$42, 6.6942, 6.6942) * CHOOSE(CONTROL!$C$21, $C$9, 100%, $E$9)</f>
        <v>6.6942000000000004</v>
      </c>
      <c r="E152" s="10">
        <f>CHOOSE(CONTROL!$C$42, 6.7254, 6.7254) * CHOOSE(CONTROL!$C$21, $C$9, 100%, $E$9)</f>
        <v>6.7253999999999996</v>
      </c>
      <c r="F152" s="10">
        <f>CHOOSE(CONTROL!$C$42, 6.4532, 6.4532)*CHOOSE(CONTROL!$C$21, $C$9, 100%, $E$9)</f>
        <v>6.4531999999999998</v>
      </c>
      <c r="G152" s="10">
        <f>CHOOSE(CONTROL!$C$42, 6.4702, 6.4702)*CHOOSE(CONTROL!$C$21, $C$9, 100%, $E$9)</f>
        <v>6.4702000000000002</v>
      </c>
      <c r="H152" s="10">
        <f>CHOOSE(CONTROL!$C$42, 6.7138, 6.7138) * CHOOSE(CONTROL!$C$21, $C$9, 100%, $E$9)</f>
        <v>6.7138</v>
      </c>
      <c r="I152" s="10">
        <f>CHOOSE(CONTROL!$C$42, 6.4857, 6.4857)* CHOOSE(CONTROL!$C$21, $C$9, 100%, $E$9)</f>
        <v>6.4856999999999996</v>
      </c>
      <c r="J152" s="10">
        <f>CHOOSE(CONTROL!$C$42, 6.4458, 6.4458)* CHOOSE(CONTROL!$C$21, $C$9, 100%, $E$9)</f>
        <v>6.4458000000000002</v>
      </c>
      <c r="K152" s="10">
        <f>CHOOSE(CONTROL!$C$42, 6.4408, 6.4408) * CHOOSE(CONTROL!$C$21, $C$9, 100%, $E$9)</f>
        <v>6.4408000000000003</v>
      </c>
      <c r="L152" s="10">
        <f>CHOOSE(CONTROL!$C$42, 7.3008, 7.3008) * CHOOSE(CONTROL!$C$21, $C$9, 100%, $E$9)</f>
        <v>7.3007999999999997</v>
      </c>
      <c r="M152" s="10">
        <f>CHOOSE(CONTROL!$C$42, 6.3954, 6.3954) * CHOOSE(CONTROL!$C$21, $C$9, 100%, $E$9)</f>
        <v>6.3954000000000004</v>
      </c>
      <c r="N152" s="10">
        <f>CHOOSE(CONTROL!$C$42, 6.4122, 6.4122) * CHOOSE(CONTROL!$C$21, $C$9, 100%, $E$9)</f>
        <v>6.4122000000000003</v>
      </c>
      <c r="O152" s="10">
        <f>CHOOSE(CONTROL!$C$42, 6.6599, 6.6599) * CHOOSE(CONTROL!$C$21, $C$9, 100%, $E$9)</f>
        <v>6.6599000000000004</v>
      </c>
      <c r="P152" s="10">
        <f>CHOOSE(CONTROL!$C$42, 6.4349, 6.4349) * CHOOSE(CONTROL!$C$21, $C$9, 100%, $E$9)</f>
        <v>6.4348999999999998</v>
      </c>
      <c r="Q152" s="10">
        <f>CHOOSE(CONTROL!$C$42, 7.2552, 7.2552) * CHOOSE(CONTROL!$C$21, $C$9, 100%, $E$9)</f>
        <v>7.2552000000000003</v>
      </c>
      <c r="R152" s="10">
        <f>CHOOSE(CONTROL!$C$42, 7.8603, 7.8603) * CHOOSE(CONTROL!$C$21, $C$9, 100%, $E$9)</f>
        <v>7.8602999999999996</v>
      </c>
      <c r="S152" s="10">
        <f>CHOOSE(CONTROL!$C$42, 6.3193, 6.3193) * CHOOSE(CONTROL!$C$21, $C$9, 100%, $E$9)</f>
        <v>6.3193000000000001</v>
      </c>
      <c r="T1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38">
        <f>(1000*CHOOSE(CONTROL!$C$42, 695, 695)*CHOOSE(CONTROL!$C$42, 0.5599, 0.5599)*CHOOSE(CONTROL!$C$42, 31, 31))/1000000</f>
        <v>12.063045499999998</v>
      </c>
      <c r="V152" s="38">
        <f>(1000*CHOOSE(CONTROL!$C$42, 500, 500)*CHOOSE(CONTROL!$C$42, 0.275, 0.275)*CHOOSE(CONTROL!$C$42, 31, 31))/1000000</f>
        <v>4.2625000000000002</v>
      </c>
      <c r="W152" s="38">
        <f>(1000*CHOOSE(CONTROL!$C$42, 0.1146, 0.1146)*CHOOSE(CONTROL!$C$42, 121.5, 121.5)*CHOOSE(CONTROL!$C$42, 31, 31))/1000000</f>
        <v>0.43164089999999994</v>
      </c>
      <c r="X152" s="38">
        <f>(31*0.1790888*245000/1000000)+(31*0.2374*100000/1000000)</f>
        <v>2.0961194359999999</v>
      </c>
      <c r="Y152" s="38">
        <f>(1000*600*CHOOSE(CONTROL!$C$42, 1.7341, 1.7341)*CHOOSE(CONTROL!$C$42, 31, 31))/1000000</f>
        <v>32.254260000000002</v>
      </c>
      <c r="Z152" s="38"/>
      <c r="AA152" s="10"/>
      <c r="AB152" s="39"/>
      <c r="AC152" s="33">
        <f>(B152*194.205+C152*267.466+D152*133.845+E152*53.484+F152*40+G152*185+H152*0+I152*100+J152*300)/(194.205+267.466+133.845+53.484+0+40+185+100+300)</f>
        <v>6.5158848262951343</v>
      </c>
      <c r="AD152" s="27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6.4791633093525185</v>
      </c>
    </row>
    <row r="153" spans="1:30" ht="15" x14ac:dyDescent="0.2">
      <c r="A153" s="16">
        <v>45901</v>
      </c>
      <c r="B153" s="10">
        <f>CHOOSE(CONTROL!$C$42, 6.0968, 6.0968) * CHOOSE(CONTROL!$C$21, $C$9, 100%, $E$9)</f>
        <v>6.0968</v>
      </c>
      <c r="C153" s="10">
        <f>CHOOSE(CONTROL!$C$42, 6.1048, 6.1048) * CHOOSE(CONTROL!$C$21, $C$9, 100%, $E$9)</f>
        <v>6.1048</v>
      </c>
      <c r="D153" s="10">
        <f>CHOOSE(CONTROL!$C$42, 6.28, 6.28) * CHOOSE(CONTROL!$C$21, $C$9, 100%, $E$9)</f>
        <v>6.28</v>
      </c>
      <c r="E153" s="10">
        <f>CHOOSE(CONTROL!$C$42, 6.3112, 6.3112) * CHOOSE(CONTROL!$C$21, $C$9, 100%, $E$9)</f>
        <v>6.3112000000000004</v>
      </c>
      <c r="F153" s="10">
        <f>CHOOSE(CONTROL!$C$42, 6.0386, 6.0386)*CHOOSE(CONTROL!$C$21, $C$9, 100%, $E$9)</f>
        <v>6.0385999999999997</v>
      </c>
      <c r="G153" s="10">
        <f>CHOOSE(CONTROL!$C$42, 6.0556, 6.0556)*CHOOSE(CONTROL!$C$21, $C$9, 100%, $E$9)</f>
        <v>6.0556000000000001</v>
      </c>
      <c r="H153" s="10">
        <f>CHOOSE(CONTROL!$C$42, 6.2995, 6.2995) * CHOOSE(CONTROL!$C$21, $C$9, 100%, $E$9)</f>
        <v>6.2995000000000001</v>
      </c>
      <c r="I153" s="10">
        <f>CHOOSE(CONTROL!$C$42, 6.0715, 6.0715)* CHOOSE(CONTROL!$C$21, $C$9, 100%, $E$9)</f>
        <v>6.0715000000000003</v>
      </c>
      <c r="J153" s="10">
        <f>CHOOSE(CONTROL!$C$42, 6.0312, 6.0312)* CHOOSE(CONTROL!$C$21, $C$9, 100%, $E$9)</f>
        <v>6.0312000000000001</v>
      </c>
      <c r="K153" s="10">
        <f>CHOOSE(CONTROL!$C$42, 6.0388, 6.0388) * CHOOSE(CONTROL!$C$21, $C$9, 100%, $E$9)</f>
        <v>6.0388000000000002</v>
      </c>
      <c r="L153" s="10">
        <f>CHOOSE(CONTROL!$C$42, 6.8865, 6.8865) * CHOOSE(CONTROL!$C$21, $C$9, 100%, $E$9)</f>
        <v>6.8864999999999998</v>
      </c>
      <c r="M153" s="10">
        <f>CHOOSE(CONTROL!$C$42, 5.9862, 5.9862) * CHOOSE(CONTROL!$C$21, $C$9, 100%, $E$9)</f>
        <v>5.9862000000000002</v>
      </c>
      <c r="N153" s="10">
        <f>CHOOSE(CONTROL!$C$42, 6.0029, 6.0029) * CHOOSE(CONTROL!$C$21, $C$9, 100%, $E$9)</f>
        <v>6.0029000000000003</v>
      </c>
      <c r="O153" s="10">
        <f>CHOOSE(CONTROL!$C$42, 6.251, 6.251) * CHOOSE(CONTROL!$C$21, $C$9, 100%, $E$9)</f>
        <v>6.2510000000000003</v>
      </c>
      <c r="P153" s="10">
        <f>CHOOSE(CONTROL!$C$42, 6.026, 6.026) * CHOOSE(CONTROL!$C$21, $C$9, 100%, $E$9)</f>
        <v>6.0259999999999998</v>
      </c>
      <c r="Q153" s="10">
        <f>CHOOSE(CONTROL!$C$42, 6.8463, 6.8463) * CHOOSE(CONTROL!$C$21, $C$9, 100%, $E$9)</f>
        <v>6.8463000000000003</v>
      </c>
      <c r="R153" s="10">
        <f>CHOOSE(CONTROL!$C$42, 7.4504, 7.4504) * CHOOSE(CONTROL!$C$21, $C$9, 100%, $E$9)</f>
        <v>7.4504000000000001</v>
      </c>
      <c r="S153" s="10">
        <f>CHOOSE(CONTROL!$C$42, 5.9182, 5.9182) * CHOOSE(CONTROL!$C$21, $C$9, 100%, $E$9)</f>
        <v>5.9181999999999997</v>
      </c>
      <c r="T1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38">
        <f>(1000*CHOOSE(CONTROL!$C$42, 695, 695)*CHOOSE(CONTROL!$C$42, 0.5599, 0.5599)*CHOOSE(CONTROL!$C$42, 30, 30))/1000000</f>
        <v>11.673914999999997</v>
      </c>
      <c r="V153" s="38">
        <f>(1000*CHOOSE(CONTROL!$C$42, 500, 500)*CHOOSE(CONTROL!$C$42, 0.275, 0.275)*CHOOSE(CONTROL!$C$42, 30, 30))/1000000</f>
        <v>4.125</v>
      </c>
      <c r="W153" s="38">
        <f>(1000*CHOOSE(CONTROL!$C$42, 0.1146, 0.1146)*CHOOSE(CONTROL!$C$42, 121.5, 121.5)*CHOOSE(CONTROL!$C$42, 30, 30))/1000000</f>
        <v>0.417717</v>
      </c>
      <c r="X153" s="38">
        <f>(30*0.1790888*245000/1000000)+(30*0.2374*100000/1000000)</f>
        <v>2.0285026799999999</v>
      </c>
      <c r="Y153" s="38">
        <f>(1000*600*CHOOSE(CONTROL!$C$42, 1.7341, 1.7341)*CHOOSE(CONTROL!$C$42, 30, 30))/1000000</f>
        <v>31.213799999999999</v>
      </c>
      <c r="Z153" s="38"/>
      <c r="AA153" s="10"/>
      <c r="AB153" s="39"/>
      <c r="AC153" s="33">
        <f>(B153*194.205+C153*267.466+D153*133.845+E153*53.484+F153*40+G153*185+H153*0+I153*100+J153*300)/(194.205+267.466+133.845+53.484+0+40+185+100+300)</f>
        <v>6.1014837532182105</v>
      </c>
      <c r="AD153" s="27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6.0700676258992807</v>
      </c>
    </row>
    <row r="154" spans="1:30" ht="15" x14ac:dyDescent="0.2">
      <c r="A154" s="16">
        <v>45931</v>
      </c>
      <c r="B154" s="10">
        <f>CHOOSE(CONTROL!$C$42, 5.9707, 5.9707) * CHOOSE(CONTROL!$C$21, $C$9, 100%, $E$9)</f>
        <v>5.9706999999999999</v>
      </c>
      <c r="C154" s="10">
        <f>CHOOSE(CONTROL!$C$42, 5.976, 5.976) * CHOOSE(CONTROL!$C$21, $C$9, 100%, $E$9)</f>
        <v>5.976</v>
      </c>
      <c r="D154" s="10">
        <f>CHOOSE(CONTROL!$C$42, 6.156, 6.156) * CHOOSE(CONTROL!$C$21, $C$9, 100%, $E$9)</f>
        <v>6.1559999999999997</v>
      </c>
      <c r="E154" s="10">
        <f>CHOOSE(CONTROL!$C$42, 6.1849, 6.1849) * CHOOSE(CONTROL!$C$21, $C$9, 100%, $E$9)</f>
        <v>6.1848999999999998</v>
      </c>
      <c r="F154" s="10">
        <f>CHOOSE(CONTROL!$C$42, 5.9144, 5.9144)*CHOOSE(CONTROL!$C$21, $C$9, 100%, $E$9)</f>
        <v>5.9143999999999997</v>
      </c>
      <c r="G154" s="10">
        <f>CHOOSE(CONTROL!$C$42, 5.931, 5.931)*CHOOSE(CONTROL!$C$21, $C$9, 100%, $E$9)</f>
        <v>5.931</v>
      </c>
      <c r="H154" s="10">
        <f>CHOOSE(CONTROL!$C$42, 6.175, 6.175) * CHOOSE(CONTROL!$C$21, $C$9, 100%, $E$9)</f>
        <v>6.1749999999999998</v>
      </c>
      <c r="I154" s="10">
        <f>CHOOSE(CONTROL!$C$42, 5.947, 5.947)* CHOOSE(CONTROL!$C$21, $C$9, 100%, $E$9)</f>
        <v>5.9470000000000001</v>
      </c>
      <c r="J154" s="10">
        <f>CHOOSE(CONTROL!$C$42, 5.907, 5.907)* CHOOSE(CONTROL!$C$21, $C$9, 100%, $E$9)</f>
        <v>5.907</v>
      </c>
      <c r="K154" s="10">
        <f>CHOOSE(CONTROL!$C$42, 5.9188, 5.9188) * CHOOSE(CONTROL!$C$21, $C$9, 100%, $E$9)</f>
        <v>5.9188000000000001</v>
      </c>
      <c r="L154" s="10">
        <f>CHOOSE(CONTROL!$C$42, 6.762, 6.762) * CHOOSE(CONTROL!$C$21, $C$9, 100%, $E$9)</f>
        <v>6.7619999999999996</v>
      </c>
      <c r="M154" s="10">
        <f>CHOOSE(CONTROL!$C$42, 5.8636, 5.8636) * CHOOSE(CONTROL!$C$21, $C$9, 100%, $E$9)</f>
        <v>5.8635999999999999</v>
      </c>
      <c r="N154" s="10">
        <f>CHOOSE(CONTROL!$C$42, 5.88, 5.88) * CHOOSE(CONTROL!$C$21, $C$9, 100%, $E$9)</f>
        <v>5.88</v>
      </c>
      <c r="O154" s="10">
        <f>CHOOSE(CONTROL!$C$42, 6.1282, 6.1282) * CHOOSE(CONTROL!$C$21, $C$9, 100%, $E$9)</f>
        <v>6.1281999999999996</v>
      </c>
      <c r="P154" s="10">
        <f>CHOOSE(CONTROL!$C$42, 5.9031, 5.9031) * CHOOSE(CONTROL!$C$21, $C$9, 100%, $E$9)</f>
        <v>5.9031000000000002</v>
      </c>
      <c r="Q154" s="10">
        <f>CHOOSE(CONTROL!$C$42, 6.7235, 6.7235) * CHOOSE(CONTROL!$C$21, $C$9, 100%, $E$9)</f>
        <v>6.7234999999999996</v>
      </c>
      <c r="R154" s="10">
        <f>CHOOSE(CONTROL!$C$42, 7.3273, 7.3273) * CHOOSE(CONTROL!$C$21, $C$9, 100%, $E$9)</f>
        <v>7.3273000000000001</v>
      </c>
      <c r="S154" s="10">
        <f>CHOOSE(CONTROL!$C$42, 5.7976, 5.7976) * CHOOSE(CONTROL!$C$21, $C$9, 100%, $E$9)</f>
        <v>5.7976000000000001</v>
      </c>
      <c r="T1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38">
        <f>(1000*CHOOSE(CONTROL!$C$42, 695, 695)*CHOOSE(CONTROL!$C$42, 0.5599, 0.5599)*CHOOSE(CONTROL!$C$42, 31, 31))/1000000</f>
        <v>12.063045499999998</v>
      </c>
      <c r="V154" s="38">
        <f>(1000*CHOOSE(CONTROL!$C$42, 500, 500)*CHOOSE(CONTROL!$C$42, 0.275, 0.275)*CHOOSE(CONTROL!$C$42, 31, 31))/1000000</f>
        <v>4.2625000000000002</v>
      </c>
      <c r="W154" s="38">
        <f>(1000*CHOOSE(CONTROL!$C$42, 0.1146, 0.1146)*CHOOSE(CONTROL!$C$42, 121.5, 121.5)*CHOOSE(CONTROL!$C$42, 31, 31))/1000000</f>
        <v>0.43164089999999994</v>
      </c>
      <c r="X154" s="38">
        <f>(31*0.1790888*245000/1000000)+(31*0.2374*100000/1000000)</f>
        <v>2.0961194359999999</v>
      </c>
      <c r="Y154" s="38">
        <f>(1000*600*CHOOSE(CONTROL!$C$42, 1.7341, 1.7341)*CHOOSE(CONTROL!$C$42, 31, 31))/1000000</f>
        <v>32.254260000000002</v>
      </c>
      <c r="Z154" s="38"/>
      <c r="AA154" s="10"/>
      <c r="AB154" s="39"/>
      <c r="AC154" s="33">
        <f>(B154*131.881+C154*277.167+D154*79.08+E154*125.872+F154*40+G154*185+H154*0+I154*100+J154*300)/(131.881+277.167+79.08+125.872+0+40+185+100+300)</f>
        <v>5.9803915185633576</v>
      </c>
      <c r="AD154" s="27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5.9472992805755407</v>
      </c>
    </row>
    <row r="155" spans="1:30" ht="15" x14ac:dyDescent="0.2">
      <c r="A155" s="16">
        <v>45962</v>
      </c>
      <c r="B155" s="10">
        <f>CHOOSE(CONTROL!$C$42, 6.128, 6.128) * CHOOSE(CONTROL!$C$21, $C$9, 100%, $E$9)</f>
        <v>6.1280000000000001</v>
      </c>
      <c r="C155" s="10">
        <f>CHOOSE(CONTROL!$C$42, 6.1331, 6.1331) * CHOOSE(CONTROL!$C$21, $C$9, 100%, $E$9)</f>
        <v>6.1330999999999998</v>
      </c>
      <c r="D155" s="10">
        <f>CHOOSE(CONTROL!$C$42, 6.1577, 6.1577) * CHOOSE(CONTROL!$C$21, $C$9, 100%, $E$9)</f>
        <v>6.1577000000000002</v>
      </c>
      <c r="E155" s="10">
        <f>CHOOSE(CONTROL!$C$42, 6.1916, 6.1916) * CHOOSE(CONTROL!$C$21, $C$9, 100%, $E$9)</f>
        <v>6.1916000000000002</v>
      </c>
      <c r="F155" s="10">
        <f>CHOOSE(CONTROL!$C$42, 6.0936, 6.0936)*CHOOSE(CONTROL!$C$21, $C$9, 100%, $E$9)</f>
        <v>6.0936000000000003</v>
      </c>
      <c r="G155" s="10">
        <f>CHOOSE(CONTROL!$C$42, 6.1104, 6.1104)*CHOOSE(CONTROL!$C$21, $C$9, 100%, $E$9)</f>
        <v>6.1104000000000003</v>
      </c>
      <c r="H155" s="10">
        <f>CHOOSE(CONTROL!$C$42, 6.1804, 6.1804) * CHOOSE(CONTROL!$C$21, $C$9, 100%, $E$9)</f>
        <v>6.1803999999999997</v>
      </c>
      <c r="I155" s="10">
        <f>CHOOSE(CONTROL!$C$42, 6.1275, 6.1275)* CHOOSE(CONTROL!$C$21, $C$9, 100%, $E$9)</f>
        <v>6.1275000000000004</v>
      </c>
      <c r="J155" s="10">
        <f>CHOOSE(CONTROL!$C$42, 6.0862, 6.0862)* CHOOSE(CONTROL!$C$21, $C$9, 100%, $E$9)</f>
        <v>6.0861999999999998</v>
      </c>
      <c r="K155" s="10">
        <f>CHOOSE(CONTROL!$C$42, 6.0954, 6.0954) * CHOOSE(CONTROL!$C$21, $C$9, 100%, $E$9)</f>
        <v>6.0953999999999997</v>
      </c>
      <c r="L155" s="10">
        <f>CHOOSE(CONTROL!$C$42, 6.7674, 6.7674) * CHOOSE(CONTROL!$C$21, $C$9, 100%, $E$9)</f>
        <v>6.7674000000000003</v>
      </c>
      <c r="M155" s="10">
        <f>CHOOSE(CONTROL!$C$42, 6.0405, 6.0405) * CHOOSE(CONTROL!$C$21, $C$9, 100%, $E$9)</f>
        <v>6.0404999999999998</v>
      </c>
      <c r="N155" s="10">
        <f>CHOOSE(CONTROL!$C$42, 6.0571, 6.0571) * CHOOSE(CONTROL!$C$21, $C$9, 100%, $E$9)</f>
        <v>6.0571000000000002</v>
      </c>
      <c r="O155" s="10">
        <f>CHOOSE(CONTROL!$C$42, 6.1335, 6.1335) * CHOOSE(CONTROL!$C$21, $C$9, 100%, $E$9)</f>
        <v>6.1334999999999997</v>
      </c>
      <c r="P155" s="10">
        <f>CHOOSE(CONTROL!$C$42, 6.0812, 6.0812) * CHOOSE(CONTROL!$C$21, $C$9, 100%, $E$9)</f>
        <v>6.0811999999999999</v>
      </c>
      <c r="Q155" s="10">
        <f>CHOOSE(CONTROL!$C$42, 6.7288, 6.7288) * CHOOSE(CONTROL!$C$21, $C$9, 100%, $E$9)</f>
        <v>6.7287999999999997</v>
      </c>
      <c r="R155" s="10">
        <f>CHOOSE(CONTROL!$C$42, 7.3326, 7.3326) * CHOOSE(CONTROL!$C$21, $C$9, 100%, $E$9)</f>
        <v>7.3326000000000002</v>
      </c>
      <c r="S155" s="10">
        <f>CHOOSE(CONTROL!$C$42, 5.9504, 5.9504) * CHOOSE(CONTROL!$C$21, $C$9, 100%, $E$9)</f>
        <v>5.9504000000000001</v>
      </c>
      <c r="T1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38">
        <f>(1000*CHOOSE(CONTROL!$C$42, 695, 695)*CHOOSE(CONTROL!$C$42, 0.5599, 0.5599)*CHOOSE(CONTROL!$C$42, 30, 30))/1000000</f>
        <v>11.673914999999997</v>
      </c>
      <c r="V155" s="38">
        <f>(1000*CHOOSE(CONTROL!$C$42, 500, 500)*CHOOSE(CONTROL!$C$42, 0.275, 0.275)*CHOOSE(CONTROL!$C$42, 30, 30))/1000000</f>
        <v>4.125</v>
      </c>
      <c r="W155" s="38">
        <f>(1000*CHOOSE(CONTROL!$C$42, 0.1146, 0.1146)*CHOOSE(CONTROL!$C$42, 121.5, 121.5)*CHOOSE(CONTROL!$C$42, 30, 30))/1000000</f>
        <v>0.417717</v>
      </c>
      <c r="X155" s="38">
        <f>(30*0.1790888*100000/1000000)+(30*0.2374*100000/1000000)</f>
        <v>1.2494664</v>
      </c>
      <c r="Y155" s="38">
        <f>(1000*600*CHOOSE(CONTROL!$C$42, 1.7341, 1.7341)*CHOOSE(CONTROL!$C$42, 30, 30))/1000000</f>
        <v>31.213799999999999</v>
      </c>
      <c r="Z155" s="38"/>
      <c r="AA155" s="10"/>
      <c r="AB155" s="39"/>
      <c r="AC155" s="33">
        <f>(B155*122.58+C155*297.941+D155*89.177+E155*40.302+F155*40+G155*160+H155*0+I155*100+J155*300)/(122.58+297.941+89.177+40.302+0+40+160+100+300)</f>
        <v>6.1192602288695648</v>
      </c>
      <c r="AD155" s="27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6.0894625899280568</v>
      </c>
    </row>
    <row r="156" spans="1:30" ht="15" x14ac:dyDescent="0.2">
      <c r="A156" s="16">
        <v>45992</v>
      </c>
      <c r="B156" s="10">
        <f>CHOOSE(CONTROL!$C$42, 6.5469, 6.5469) * CHOOSE(CONTROL!$C$21, $C$9, 100%, $E$9)</f>
        <v>6.5468999999999999</v>
      </c>
      <c r="C156" s="10">
        <f>CHOOSE(CONTROL!$C$42, 6.552, 6.552) * CHOOSE(CONTROL!$C$21, $C$9, 100%, $E$9)</f>
        <v>6.5519999999999996</v>
      </c>
      <c r="D156" s="10">
        <f>CHOOSE(CONTROL!$C$42, 6.5767, 6.5767) * CHOOSE(CONTROL!$C$21, $C$9, 100%, $E$9)</f>
        <v>6.5766999999999998</v>
      </c>
      <c r="E156" s="10">
        <f>CHOOSE(CONTROL!$C$42, 6.6105, 6.6105) * CHOOSE(CONTROL!$C$21, $C$9, 100%, $E$9)</f>
        <v>6.6105</v>
      </c>
      <c r="F156" s="10">
        <f>CHOOSE(CONTROL!$C$42, 6.5143, 6.5143)*CHOOSE(CONTROL!$C$21, $C$9, 100%, $E$9)</f>
        <v>6.5143000000000004</v>
      </c>
      <c r="G156" s="10">
        <f>CHOOSE(CONTROL!$C$42, 6.5316, 6.5316)*CHOOSE(CONTROL!$C$21, $C$9, 100%, $E$9)</f>
        <v>6.5316000000000001</v>
      </c>
      <c r="H156" s="10">
        <f>CHOOSE(CONTROL!$C$42, 6.5994, 6.5994) * CHOOSE(CONTROL!$C$21, $C$9, 100%, $E$9)</f>
        <v>6.5994000000000002</v>
      </c>
      <c r="I156" s="10">
        <f>CHOOSE(CONTROL!$C$42, 6.5464, 6.5464)* CHOOSE(CONTROL!$C$21, $C$9, 100%, $E$9)</f>
        <v>6.5464000000000002</v>
      </c>
      <c r="J156" s="10">
        <f>CHOOSE(CONTROL!$C$42, 6.5069, 6.5069)* CHOOSE(CONTROL!$C$21, $C$9, 100%, $E$9)</f>
        <v>6.5068999999999999</v>
      </c>
      <c r="K156" s="10">
        <f>CHOOSE(CONTROL!$C$42, 6.5051, 6.5051) * CHOOSE(CONTROL!$C$21, $C$9, 100%, $E$9)</f>
        <v>6.5050999999999997</v>
      </c>
      <c r="L156" s="10">
        <f>CHOOSE(CONTROL!$C$42, 7.1864, 7.1864) * CHOOSE(CONTROL!$C$21, $C$9, 100%, $E$9)</f>
        <v>7.1863999999999999</v>
      </c>
      <c r="M156" s="10">
        <f>CHOOSE(CONTROL!$C$42, 6.4557, 6.4557) * CHOOSE(CONTROL!$C$21, $C$9, 100%, $E$9)</f>
        <v>6.4557000000000002</v>
      </c>
      <c r="N156" s="10">
        <f>CHOOSE(CONTROL!$C$42, 6.4728, 6.4728) * CHOOSE(CONTROL!$C$21, $C$9, 100%, $E$9)</f>
        <v>6.4728000000000003</v>
      </c>
      <c r="O156" s="10">
        <f>CHOOSE(CONTROL!$C$42, 6.547, 6.547) * CHOOSE(CONTROL!$C$21, $C$9, 100%, $E$9)</f>
        <v>6.5469999999999997</v>
      </c>
      <c r="P156" s="10">
        <f>CHOOSE(CONTROL!$C$42, 6.4947, 6.4947) * CHOOSE(CONTROL!$C$21, $C$9, 100%, $E$9)</f>
        <v>6.4946999999999999</v>
      </c>
      <c r="Q156" s="10">
        <f>CHOOSE(CONTROL!$C$42, 7.1423, 7.1423) * CHOOSE(CONTROL!$C$21, $C$9, 100%, $E$9)</f>
        <v>7.1422999999999996</v>
      </c>
      <c r="R156" s="10">
        <f>CHOOSE(CONTROL!$C$42, 7.7471, 7.7471) * CHOOSE(CONTROL!$C$21, $C$9, 100%, $E$9)</f>
        <v>7.7470999999999997</v>
      </c>
      <c r="S156" s="10">
        <f>CHOOSE(CONTROL!$C$42, 6.356, 6.356) * CHOOSE(CONTROL!$C$21, $C$9, 100%, $E$9)</f>
        <v>6.3559999999999999</v>
      </c>
      <c r="T1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38">
        <f>(1000*CHOOSE(CONTROL!$C$42, 695, 695)*CHOOSE(CONTROL!$C$42, 0.5599, 0.5599)*CHOOSE(CONTROL!$C$42, 31, 31))/1000000</f>
        <v>12.063045499999998</v>
      </c>
      <c r="V156" s="38">
        <f>(1000*CHOOSE(CONTROL!$C$42, 500, 500)*CHOOSE(CONTROL!$C$42, 0.275, 0.275)*CHOOSE(CONTROL!$C$42, 31, 31))/1000000</f>
        <v>4.2625000000000002</v>
      </c>
      <c r="W156" s="38">
        <f>(1000*CHOOSE(CONTROL!$C$42, 0.1146, 0.1146)*CHOOSE(CONTROL!$C$42, 121.5, 121.5)*CHOOSE(CONTROL!$C$42, 31, 31))/1000000</f>
        <v>0.43164089999999994</v>
      </c>
      <c r="X156" s="38">
        <f>(31*0.1790888*100000/1000000)+(31*0.2374*100000/1000000)</f>
        <v>1.2911152800000001</v>
      </c>
      <c r="Y156" s="38">
        <f>(1000*600*CHOOSE(CONTROL!$C$42, 1.7341, 1.7341)*CHOOSE(CONTROL!$C$42, 31, 31))/1000000</f>
        <v>32.254260000000002</v>
      </c>
      <c r="Z156" s="38"/>
      <c r="AA156" s="10"/>
      <c r="AB156" s="39"/>
      <c r="AC156" s="33">
        <f>(B156*122.58+C156*297.941+D156*89.177+E156*40.302+F156*40+G156*160+H156*0+I156*100+J156*300)/(122.58+297.941+89.177+40.302+0+40+160+100+300)</f>
        <v>6.5390201573043472</v>
      </c>
      <c r="AD156" s="27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6.5036762589928063</v>
      </c>
    </row>
    <row r="157" spans="1:30" ht="15" x14ac:dyDescent="0.2">
      <c r="A157" s="16">
        <v>46023</v>
      </c>
      <c r="B157" s="10">
        <f>CHOOSE(CONTROL!$C$42, 7.0393, 7.0393) * CHOOSE(CONTROL!$C$21, $C$9, 100%, $E$9)</f>
        <v>7.0392999999999999</v>
      </c>
      <c r="C157" s="10">
        <f>CHOOSE(CONTROL!$C$42, 7.0444, 7.0444) * CHOOSE(CONTROL!$C$21, $C$9, 100%, $E$9)</f>
        <v>7.0444000000000004</v>
      </c>
      <c r="D157" s="10">
        <f>CHOOSE(CONTROL!$C$42, 7.0794, 7.0794) * CHOOSE(CONTROL!$C$21, $C$9, 100%, $E$9)</f>
        <v>7.0793999999999997</v>
      </c>
      <c r="E157" s="10">
        <f>CHOOSE(CONTROL!$C$42, 7.1132, 7.1132) * CHOOSE(CONTROL!$C$21, $C$9, 100%, $E$9)</f>
        <v>7.1132</v>
      </c>
      <c r="F157" s="10">
        <f>CHOOSE(CONTROL!$C$42, 7.0206, 7.0206)*CHOOSE(CONTROL!$C$21, $C$9, 100%, $E$9)</f>
        <v>7.0206</v>
      </c>
      <c r="G157" s="10">
        <f>CHOOSE(CONTROL!$C$42, 7.0395, 7.0395)*CHOOSE(CONTROL!$C$21, $C$9, 100%, $E$9)</f>
        <v>7.0395000000000003</v>
      </c>
      <c r="H157" s="10">
        <f>CHOOSE(CONTROL!$C$42, 7.1021, 7.1021) * CHOOSE(CONTROL!$C$21, $C$9, 100%, $E$9)</f>
        <v>7.1021000000000001</v>
      </c>
      <c r="I157" s="10">
        <f>CHOOSE(CONTROL!$C$42, 7.0465, 7.0465)* CHOOSE(CONTROL!$C$21, $C$9, 100%, $E$9)</f>
        <v>7.0465</v>
      </c>
      <c r="J157" s="10">
        <f>CHOOSE(CONTROL!$C$42, 7.0132, 7.0132)* CHOOSE(CONTROL!$C$21, $C$9, 100%, $E$9)</f>
        <v>7.0132000000000003</v>
      </c>
      <c r="K157" s="10">
        <f>CHOOSE(CONTROL!$C$42, 7.0029, 7.0029) * CHOOSE(CONTROL!$C$21, $C$9, 100%, $E$9)</f>
        <v>7.0029000000000003</v>
      </c>
      <c r="L157" s="10">
        <f>CHOOSE(CONTROL!$C$42, 7.6891, 7.6891) * CHOOSE(CONTROL!$C$21, $C$9, 100%, $E$9)</f>
        <v>7.6890999999999998</v>
      </c>
      <c r="M157" s="10">
        <f>CHOOSE(CONTROL!$C$42, 6.9554, 6.9554) * CHOOSE(CONTROL!$C$21, $C$9, 100%, $E$9)</f>
        <v>6.9554</v>
      </c>
      <c r="N157" s="10">
        <f>CHOOSE(CONTROL!$C$42, 6.9741, 6.9741) * CHOOSE(CONTROL!$C$21, $C$9, 100%, $E$9)</f>
        <v>6.9741</v>
      </c>
      <c r="O157" s="10">
        <f>CHOOSE(CONTROL!$C$42, 7.0432, 7.0432) * CHOOSE(CONTROL!$C$21, $C$9, 100%, $E$9)</f>
        <v>7.0431999999999997</v>
      </c>
      <c r="P157" s="10">
        <f>CHOOSE(CONTROL!$C$42, 6.9884, 6.9884) * CHOOSE(CONTROL!$C$21, $C$9, 100%, $E$9)</f>
        <v>6.9884000000000004</v>
      </c>
      <c r="Q157" s="10">
        <f>CHOOSE(CONTROL!$C$42, 7.6385, 7.6385) * CHOOSE(CONTROL!$C$21, $C$9, 100%, $E$9)</f>
        <v>7.6384999999999996</v>
      </c>
      <c r="R157" s="10">
        <f>CHOOSE(CONTROL!$C$42, 8.2446, 8.2446) * CHOOSE(CONTROL!$C$21, $C$9, 100%, $E$9)</f>
        <v>8.2446000000000002</v>
      </c>
      <c r="S157" s="10">
        <f>CHOOSE(CONTROL!$C$42, 6.8328, 6.8328) * CHOOSE(CONTROL!$C$21, $C$9, 100%, $E$9)</f>
        <v>6.8327999999999998</v>
      </c>
      <c r="T15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38">
        <f>(1000*CHOOSE(CONTROL!$C$42, 695, 695)*CHOOSE(CONTROL!$C$42, 0.5599, 0.5599)*CHOOSE(CONTROL!$C$42, 31, 31))/1000000</f>
        <v>12.063045499999998</v>
      </c>
      <c r="V157" s="38">
        <f>(1000*CHOOSE(CONTROL!$C$42, 500, 500)*CHOOSE(CONTROL!$C$42, 0.275, 0.275)*CHOOSE(CONTROL!$C$42, 31, 31))/1000000</f>
        <v>4.2625000000000002</v>
      </c>
      <c r="W157" s="38">
        <f>(1000*CHOOSE(CONTROL!$C$42, 0.1146, 0.1146)*CHOOSE(CONTROL!$C$42, 121.5, 121.5)*CHOOSE(CONTROL!$C$42, 31, 31))/1000000</f>
        <v>0.43164089999999994</v>
      </c>
      <c r="X157" s="38">
        <f>(31*0.1790888*100000/1000000)+(31*0.2374*100000/1000000)</f>
        <v>1.2911152800000001</v>
      </c>
      <c r="Y157" s="38">
        <f>(1000*600*CHOOSE(CONTROL!$C$42, 1.7242, 1.7242)*CHOOSE(CONTROL!$C$42, 31, 31))/1000000</f>
        <v>32.070120000000003</v>
      </c>
      <c r="Z157" s="38"/>
      <c r="AA157" s="10"/>
      <c r="AB157" s="39"/>
      <c r="AC157" s="33">
        <f>(B157*122.58+C157*297.941+D157*89.177+E157*40.302+F157*40+G157*160+H157*0+I157*100+J157*300)/(122.58+297.941+89.177+40.302+0+40+160+100+300)</f>
        <v>7.0395154909565214</v>
      </c>
      <c r="AD157" s="27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7.0010187050359711</v>
      </c>
    </row>
    <row r="158" spans="1:30" ht="15" x14ac:dyDescent="0.2">
      <c r="A158" s="16">
        <v>46054</v>
      </c>
      <c r="B158" s="10">
        <f>CHOOSE(CONTROL!$C$42, 7.1649, 7.1649) * CHOOSE(CONTROL!$C$21, $C$9, 100%, $E$9)</f>
        <v>7.1649000000000003</v>
      </c>
      <c r="C158" s="10">
        <f>CHOOSE(CONTROL!$C$42, 7.17, 7.17) * CHOOSE(CONTROL!$C$21, $C$9, 100%, $E$9)</f>
        <v>7.17</v>
      </c>
      <c r="D158" s="10">
        <f>CHOOSE(CONTROL!$C$42, 7.205, 7.205) * CHOOSE(CONTROL!$C$21, $C$9, 100%, $E$9)</f>
        <v>7.2050000000000001</v>
      </c>
      <c r="E158" s="10">
        <f>CHOOSE(CONTROL!$C$42, 7.2388, 7.2388) * CHOOSE(CONTROL!$C$21, $C$9, 100%, $E$9)</f>
        <v>7.2388000000000003</v>
      </c>
      <c r="F158" s="10">
        <f>CHOOSE(CONTROL!$C$42, 7.1456, 7.1456)*CHOOSE(CONTROL!$C$21, $C$9, 100%, $E$9)</f>
        <v>7.1456</v>
      </c>
      <c r="G158" s="10">
        <f>CHOOSE(CONTROL!$C$42, 7.1644, 7.1644)*CHOOSE(CONTROL!$C$21, $C$9, 100%, $E$9)</f>
        <v>7.1643999999999997</v>
      </c>
      <c r="H158" s="10">
        <f>CHOOSE(CONTROL!$C$42, 7.2277, 7.2277) * CHOOSE(CONTROL!$C$21, $C$9, 100%, $E$9)</f>
        <v>7.2276999999999996</v>
      </c>
      <c r="I158" s="10">
        <f>CHOOSE(CONTROL!$C$42, 7.1721, 7.1721)* CHOOSE(CONTROL!$C$21, $C$9, 100%, $E$9)</f>
        <v>7.1721000000000004</v>
      </c>
      <c r="J158" s="10">
        <f>CHOOSE(CONTROL!$C$42, 7.1382, 7.1382)* CHOOSE(CONTROL!$C$21, $C$9, 100%, $E$9)</f>
        <v>7.1382000000000003</v>
      </c>
      <c r="K158" s="10">
        <f>CHOOSE(CONTROL!$C$42, 7.1234, 7.1234) * CHOOSE(CONTROL!$C$21, $C$9, 100%, $E$9)</f>
        <v>7.1234000000000002</v>
      </c>
      <c r="L158" s="10">
        <f>CHOOSE(CONTROL!$C$42, 7.8147, 7.8147) * CHOOSE(CONTROL!$C$21, $C$9, 100%, $E$9)</f>
        <v>7.8147000000000002</v>
      </c>
      <c r="M158" s="10">
        <f>CHOOSE(CONTROL!$C$42, 7.0789, 7.0789) * CHOOSE(CONTROL!$C$21, $C$9, 100%, $E$9)</f>
        <v>7.0789</v>
      </c>
      <c r="N158" s="10">
        <f>CHOOSE(CONTROL!$C$42, 7.0974, 7.0974) * CHOOSE(CONTROL!$C$21, $C$9, 100%, $E$9)</f>
        <v>7.0974000000000004</v>
      </c>
      <c r="O158" s="10">
        <f>CHOOSE(CONTROL!$C$42, 7.1672, 7.1672) * CHOOSE(CONTROL!$C$21, $C$9, 100%, $E$9)</f>
        <v>7.1672000000000002</v>
      </c>
      <c r="P158" s="10">
        <f>CHOOSE(CONTROL!$C$42, 7.1124, 7.1124) * CHOOSE(CONTROL!$C$21, $C$9, 100%, $E$9)</f>
        <v>7.1124000000000001</v>
      </c>
      <c r="Q158" s="10">
        <f>CHOOSE(CONTROL!$C$42, 7.7625, 7.7625) * CHOOSE(CONTROL!$C$21, $C$9, 100%, $E$9)</f>
        <v>7.7625000000000002</v>
      </c>
      <c r="R158" s="10">
        <f>CHOOSE(CONTROL!$C$42, 8.3689, 8.3689) * CHOOSE(CONTROL!$C$21, $C$9, 100%, $E$9)</f>
        <v>8.3689</v>
      </c>
      <c r="S158" s="10">
        <f>CHOOSE(CONTROL!$C$42, 6.9544, 6.9544) * CHOOSE(CONTROL!$C$21, $C$9, 100%, $E$9)</f>
        <v>6.9543999999999997</v>
      </c>
      <c r="T15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38">
        <f>(1000*CHOOSE(CONTROL!$C$42, 695, 695)*CHOOSE(CONTROL!$C$42, 0.5599, 0.5599)*CHOOSE(CONTROL!$C$42, 28, 28))/1000000</f>
        <v>10.895653999999999</v>
      </c>
      <c r="V158" s="38">
        <f>(1000*CHOOSE(CONTROL!$C$42, 500, 500)*CHOOSE(CONTROL!$C$42, 0.275, 0.275)*CHOOSE(CONTROL!$C$42, 28, 28))/1000000</f>
        <v>3.85</v>
      </c>
      <c r="W158" s="38">
        <f>(1000*CHOOSE(CONTROL!$C$42, 0.1146, 0.1146)*CHOOSE(CONTROL!$C$42, 121.5, 121.5)*CHOOSE(CONTROL!$C$42, 28, 28))/1000000</f>
        <v>0.38986920000000003</v>
      </c>
      <c r="X158" s="38">
        <f>(28*0.1790888*100000/1000000)+(28*0.2374*100000/1000000)</f>
        <v>1.16616864</v>
      </c>
      <c r="Y158" s="38">
        <f>(1000*600*CHOOSE(CONTROL!$C$42, 1.7242, 1.7242)*CHOOSE(CONTROL!$C$42, 28, 28))/1000000</f>
        <v>28.966560000000001</v>
      </c>
      <c r="Z158" s="38"/>
      <c r="AA158" s="10"/>
      <c r="AB158" s="39"/>
      <c r="AC158" s="33">
        <f>(B158*122.58+C158*297.941+D158*89.177+E158*40.302+F158*40+G158*160+H158*0+I158*100+J158*300)/(122.58+297.941+89.177+40.302+0+40+160+100+300)</f>
        <v>7.1648407083478247</v>
      </c>
      <c r="AD158" s="27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7.1248057553956832</v>
      </c>
    </row>
    <row r="159" spans="1:30" ht="15" x14ac:dyDescent="0.2">
      <c r="A159" s="16">
        <v>46082</v>
      </c>
      <c r="B159" s="10">
        <f>CHOOSE(CONTROL!$C$42, 6.961, 6.961) * CHOOSE(CONTROL!$C$21, $C$9, 100%, $E$9)</f>
        <v>6.9610000000000003</v>
      </c>
      <c r="C159" s="10">
        <f>CHOOSE(CONTROL!$C$42, 6.9661, 6.9661) * CHOOSE(CONTROL!$C$21, $C$9, 100%, $E$9)</f>
        <v>6.9661</v>
      </c>
      <c r="D159" s="10">
        <f>CHOOSE(CONTROL!$C$42, 7.0011, 7.0011) * CHOOSE(CONTROL!$C$21, $C$9, 100%, $E$9)</f>
        <v>7.0011000000000001</v>
      </c>
      <c r="E159" s="10">
        <f>CHOOSE(CONTROL!$C$42, 7.0349, 7.0349) * CHOOSE(CONTROL!$C$21, $C$9, 100%, $E$9)</f>
        <v>7.0349000000000004</v>
      </c>
      <c r="F159" s="10">
        <f>CHOOSE(CONTROL!$C$42, 6.9404, 6.9404)*CHOOSE(CONTROL!$C$21, $C$9, 100%, $E$9)</f>
        <v>6.9404000000000003</v>
      </c>
      <c r="G159" s="10">
        <f>CHOOSE(CONTROL!$C$42, 6.9588, 6.9588)*CHOOSE(CONTROL!$C$21, $C$9, 100%, $E$9)</f>
        <v>6.9588000000000001</v>
      </c>
      <c r="H159" s="10">
        <f>CHOOSE(CONTROL!$C$42, 7.0238, 7.0238) * CHOOSE(CONTROL!$C$21, $C$9, 100%, $E$9)</f>
        <v>7.0237999999999996</v>
      </c>
      <c r="I159" s="10">
        <f>CHOOSE(CONTROL!$C$42, 6.9682, 6.9682)* CHOOSE(CONTROL!$C$21, $C$9, 100%, $E$9)</f>
        <v>6.9682000000000004</v>
      </c>
      <c r="J159" s="10">
        <f>CHOOSE(CONTROL!$C$42, 6.933, 6.933)* CHOOSE(CONTROL!$C$21, $C$9, 100%, $E$9)</f>
        <v>6.9329999999999998</v>
      </c>
      <c r="K159" s="10">
        <f>CHOOSE(CONTROL!$C$42, 6.9229, 6.9229) * CHOOSE(CONTROL!$C$21, $C$9, 100%, $E$9)</f>
        <v>6.9229000000000003</v>
      </c>
      <c r="L159" s="10">
        <f>CHOOSE(CONTROL!$C$42, 7.6108, 7.6108) * CHOOSE(CONTROL!$C$21, $C$9, 100%, $E$9)</f>
        <v>7.6108000000000002</v>
      </c>
      <c r="M159" s="10">
        <f>CHOOSE(CONTROL!$C$42, 6.8763, 6.8763) * CHOOSE(CONTROL!$C$21, $C$9, 100%, $E$9)</f>
        <v>6.8762999999999996</v>
      </c>
      <c r="N159" s="10">
        <f>CHOOSE(CONTROL!$C$42, 6.8944, 6.8944) * CHOOSE(CONTROL!$C$21, $C$9, 100%, $E$9)</f>
        <v>6.8944000000000001</v>
      </c>
      <c r="O159" s="10">
        <f>CHOOSE(CONTROL!$C$42, 6.9659, 6.9659) * CHOOSE(CONTROL!$C$21, $C$9, 100%, $E$9)</f>
        <v>6.9659000000000004</v>
      </c>
      <c r="P159" s="10">
        <f>CHOOSE(CONTROL!$C$42, 6.9111, 6.9111) * CHOOSE(CONTROL!$C$21, $C$9, 100%, $E$9)</f>
        <v>6.9111000000000002</v>
      </c>
      <c r="Q159" s="10">
        <f>CHOOSE(CONTROL!$C$42, 7.5612, 7.5612) * CHOOSE(CONTROL!$C$21, $C$9, 100%, $E$9)</f>
        <v>7.5612000000000004</v>
      </c>
      <c r="R159" s="10">
        <f>CHOOSE(CONTROL!$C$42, 8.1671, 8.1671) * CHOOSE(CONTROL!$C$21, $C$9, 100%, $E$9)</f>
        <v>8.1670999999999996</v>
      </c>
      <c r="S159" s="10">
        <f>CHOOSE(CONTROL!$C$42, 6.757, 6.757) * CHOOSE(CONTROL!$C$21, $C$9, 100%, $E$9)</f>
        <v>6.7569999999999997</v>
      </c>
      <c r="T15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38">
        <f>(1000*CHOOSE(CONTROL!$C$42, 695, 695)*CHOOSE(CONTROL!$C$42, 0.5599, 0.5599)*CHOOSE(CONTROL!$C$42, 31, 31))/1000000</f>
        <v>12.063045499999998</v>
      </c>
      <c r="V159" s="38">
        <f>(1000*CHOOSE(CONTROL!$C$42, 500, 500)*CHOOSE(CONTROL!$C$42, 0.275, 0.275)*CHOOSE(CONTROL!$C$42, 31, 31))/1000000</f>
        <v>4.2625000000000002</v>
      </c>
      <c r="W159" s="38">
        <f>(1000*CHOOSE(CONTROL!$C$42, 0.1146, 0.1146)*CHOOSE(CONTROL!$C$42, 121.5, 121.5)*CHOOSE(CONTROL!$C$42, 31, 31))/1000000</f>
        <v>0.43164089999999994</v>
      </c>
      <c r="X159" s="38">
        <f>(31*0.1790888*100000/1000000)+(31*0.2374*100000/1000000)</f>
        <v>1.2911152800000001</v>
      </c>
      <c r="Y159" s="38">
        <f>(1000*600*CHOOSE(CONTROL!$C$42, 1.7242, 1.7242)*CHOOSE(CONTROL!$C$42, 31, 31))/1000000</f>
        <v>32.070120000000003</v>
      </c>
      <c r="Z159" s="38"/>
      <c r="AA159" s="10"/>
      <c r="AB159" s="39"/>
      <c r="AC159" s="33">
        <f>(B159*122.58+C159*297.941+D159*89.177+E159*40.302+F159*40+G159*160+H159*0+I159*100+J159*300)/(122.58+297.941+89.177+40.302+0+40+160+100+300)</f>
        <v>6.9603198387826071</v>
      </c>
      <c r="AD159" s="27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6.9229589928057544</v>
      </c>
    </row>
    <row r="160" spans="1:30" ht="15" x14ac:dyDescent="0.2">
      <c r="A160" s="16">
        <v>46113</v>
      </c>
      <c r="B160" s="10">
        <f>CHOOSE(CONTROL!$C$42, 6.9409, 6.9409) * CHOOSE(CONTROL!$C$21, $C$9, 100%, $E$9)</f>
        <v>6.9409000000000001</v>
      </c>
      <c r="C160" s="10">
        <f>CHOOSE(CONTROL!$C$42, 6.9454, 6.9454) * CHOOSE(CONTROL!$C$21, $C$9, 100%, $E$9)</f>
        <v>6.9454000000000002</v>
      </c>
      <c r="D160" s="10">
        <f>CHOOSE(CONTROL!$C$42, 7.1236, 7.1236) * CHOOSE(CONTROL!$C$21, $C$9, 100%, $E$9)</f>
        <v>7.1235999999999997</v>
      </c>
      <c r="E160" s="10">
        <f>CHOOSE(CONTROL!$C$42, 7.1555, 7.1555) * CHOOSE(CONTROL!$C$21, $C$9, 100%, $E$9)</f>
        <v>7.1555</v>
      </c>
      <c r="F160" s="10">
        <f>CHOOSE(CONTROL!$C$42, 6.8843, 6.8843)*CHOOSE(CONTROL!$C$21, $C$9, 100%, $E$9)</f>
        <v>6.8842999999999996</v>
      </c>
      <c r="G160" s="10">
        <f>CHOOSE(CONTROL!$C$42, 6.9009, 6.9009)*CHOOSE(CONTROL!$C$21, $C$9, 100%, $E$9)</f>
        <v>6.9009</v>
      </c>
      <c r="H160" s="10">
        <f>CHOOSE(CONTROL!$C$42, 7.1449, 7.1449) * CHOOSE(CONTROL!$C$21, $C$9, 100%, $E$9)</f>
        <v>7.1448999999999998</v>
      </c>
      <c r="I160" s="10">
        <f>CHOOSE(CONTROL!$C$42, 6.9169, 6.9169)* CHOOSE(CONTROL!$C$21, $C$9, 100%, $E$9)</f>
        <v>6.9169</v>
      </c>
      <c r="J160" s="10">
        <f>CHOOSE(CONTROL!$C$42, 6.8769, 6.8769)* CHOOSE(CONTROL!$C$21, $C$9, 100%, $E$9)</f>
        <v>6.8769</v>
      </c>
      <c r="K160" s="10">
        <f>CHOOSE(CONTROL!$C$42, 6.8584, 6.8584) * CHOOSE(CONTROL!$C$21, $C$9, 100%, $E$9)</f>
        <v>6.8583999999999996</v>
      </c>
      <c r="L160" s="10">
        <f>CHOOSE(CONTROL!$C$42, 7.7319, 7.7319) * CHOOSE(CONTROL!$C$21, $C$9, 100%, $E$9)</f>
        <v>7.7319000000000004</v>
      </c>
      <c r="M160" s="10">
        <f>CHOOSE(CONTROL!$C$42, 6.821, 6.821) * CHOOSE(CONTROL!$C$21, $C$9, 100%, $E$9)</f>
        <v>6.8209999999999997</v>
      </c>
      <c r="N160" s="10">
        <f>CHOOSE(CONTROL!$C$42, 6.8373, 6.8373) * CHOOSE(CONTROL!$C$21, $C$9, 100%, $E$9)</f>
        <v>6.8372999999999999</v>
      </c>
      <c r="O160" s="10">
        <f>CHOOSE(CONTROL!$C$42, 7.0855, 7.0855) * CHOOSE(CONTROL!$C$21, $C$9, 100%, $E$9)</f>
        <v>7.0854999999999997</v>
      </c>
      <c r="P160" s="10">
        <f>CHOOSE(CONTROL!$C$42, 6.8604, 6.8604) * CHOOSE(CONTROL!$C$21, $C$9, 100%, $E$9)</f>
        <v>6.8604000000000003</v>
      </c>
      <c r="Q160" s="10">
        <f>CHOOSE(CONTROL!$C$42, 7.6808, 7.6808) * CHOOSE(CONTROL!$C$21, $C$9, 100%, $E$9)</f>
        <v>7.6807999999999996</v>
      </c>
      <c r="R160" s="10">
        <f>CHOOSE(CONTROL!$C$42, 8.287, 8.287) * CHOOSE(CONTROL!$C$21, $C$9, 100%, $E$9)</f>
        <v>8.2870000000000008</v>
      </c>
      <c r="S160" s="10">
        <f>CHOOSE(CONTROL!$C$42, 6.7368, 6.7368) * CHOOSE(CONTROL!$C$21, $C$9, 100%, $E$9)</f>
        <v>6.7367999999999997</v>
      </c>
      <c r="T16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38">
        <f>(1000*CHOOSE(CONTROL!$C$42, 695, 695)*CHOOSE(CONTROL!$C$42, 0.5599, 0.5599)*CHOOSE(CONTROL!$C$42, 30, 30))/1000000</f>
        <v>11.673914999999997</v>
      </c>
      <c r="V160" s="38">
        <f>(1000*CHOOSE(CONTROL!$C$42, 500, 500)*CHOOSE(CONTROL!$C$42, 0.275, 0.275)*CHOOSE(CONTROL!$C$42, 30, 30))/1000000</f>
        <v>4.125</v>
      </c>
      <c r="W160" s="38">
        <f>(1000*CHOOSE(CONTROL!$C$42, 0.1146, 0.1146)*CHOOSE(CONTROL!$C$42, 121.5, 121.5)*CHOOSE(CONTROL!$C$42, 30, 30))/1000000</f>
        <v>0.417717</v>
      </c>
      <c r="X160" s="38">
        <f>(30*0.1790888*245000/1000000)+(30*0.2374*100000/1000000)</f>
        <v>2.0285026799999999</v>
      </c>
      <c r="Y160" s="38">
        <f>(1000*600*CHOOSE(CONTROL!$C$42, 1.7242, 1.7242)*CHOOSE(CONTROL!$C$42, 30, 30))/1000000</f>
        <v>31.035599999999999</v>
      </c>
      <c r="Z160" s="38"/>
      <c r="AA160" s="10"/>
      <c r="AB160" s="39"/>
      <c r="AC160" s="33">
        <f>(B160*141.293+C160*267.993+D160*115.016+E160*89.698+F160*40+G160*185+H160*0+I160*100+J160*300)/(141.293+267.993+115.016+89.698+0+40+185+100+300)</f>
        <v>6.9491361440677979</v>
      </c>
      <c r="AD160" s="27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6.9046338129496396</v>
      </c>
    </row>
    <row r="161" spans="1:30" ht="15" x14ac:dyDescent="0.2">
      <c r="A161" s="16">
        <v>46143</v>
      </c>
      <c r="B161" s="10">
        <f>CHOOSE(CONTROL!$C$42, 7.004, 7.004) * CHOOSE(CONTROL!$C$21, $C$9, 100%, $E$9)</f>
        <v>7.0039999999999996</v>
      </c>
      <c r="C161" s="10">
        <f>CHOOSE(CONTROL!$C$42, 7.012, 7.012) * CHOOSE(CONTROL!$C$21, $C$9, 100%, $E$9)</f>
        <v>7.0119999999999996</v>
      </c>
      <c r="D161" s="10">
        <f>CHOOSE(CONTROL!$C$42, 7.1872, 7.1872) * CHOOSE(CONTROL!$C$21, $C$9, 100%, $E$9)</f>
        <v>7.1871999999999998</v>
      </c>
      <c r="E161" s="10">
        <f>CHOOSE(CONTROL!$C$42, 7.2184, 7.2184) * CHOOSE(CONTROL!$C$21, $C$9, 100%, $E$9)</f>
        <v>7.2183999999999999</v>
      </c>
      <c r="F161" s="10">
        <f>CHOOSE(CONTROL!$C$42, 6.9457, 6.9457)*CHOOSE(CONTROL!$C$21, $C$9, 100%, $E$9)</f>
        <v>6.9457000000000004</v>
      </c>
      <c r="G161" s="10">
        <f>CHOOSE(CONTROL!$C$42, 6.9626, 6.9626)*CHOOSE(CONTROL!$C$21, $C$9, 100%, $E$9)</f>
        <v>6.9626000000000001</v>
      </c>
      <c r="H161" s="10">
        <f>CHOOSE(CONTROL!$C$42, 7.2067, 7.2067) * CHOOSE(CONTROL!$C$21, $C$9, 100%, $E$9)</f>
        <v>7.2066999999999997</v>
      </c>
      <c r="I161" s="10">
        <f>CHOOSE(CONTROL!$C$42, 6.9787, 6.9787)* CHOOSE(CONTROL!$C$21, $C$9, 100%, $E$9)</f>
        <v>6.9786999999999999</v>
      </c>
      <c r="J161" s="10">
        <f>CHOOSE(CONTROL!$C$42, 6.9383, 6.9383)* CHOOSE(CONTROL!$C$21, $C$9, 100%, $E$9)</f>
        <v>6.9382999999999999</v>
      </c>
      <c r="K161" s="10">
        <f>CHOOSE(CONTROL!$C$42, 6.9174, 6.9174) * CHOOSE(CONTROL!$C$21, $C$9, 100%, $E$9)</f>
        <v>6.9173999999999998</v>
      </c>
      <c r="L161" s="10">
        <f>CHOOSE(CONTROL!$C$42, 7.7937, 7.7937) * CHOOSE(CONTROL!$C$21, $C$9, 100%, $E$9)</f>
        <v>7.7937000000000003</v>
      </c>
      <c r="M161" s="10">
        <f>CHOOSE(CONTROL!$C$42, 6.8816, 6.8816) * CHOOSE(CONTROL!$C$21, $C$9, 100%, $E$9)</f>
        <v>6.8815999999999997</v>
      </c>
      <c r="N161" s="10">
        <f>CHOOSE(CONTROL!$C$42, 6.8982, 6.8982) * CHOOSE(CONTROL!$C$21, $C$9, 100%, $E$9)</f>
        <v>6.8982000000000001</v>
      </c>
      <c r="O161" s="10">
        <f>CHOOSE(CONTROL!$C$42, 7.1465, 7.1465) * CHOOSE(CONTROL!$C$21, $C$9, 100%, $E$9)</f>
        <v>7.1464999999999996</v>
      </c>
      <c r="P161" s="10">
        <f>CHOOSE(CONTROL!$C$42, 6.9214, 6.9214) * CHOOSE(CONTROL!$C$21, $C$9, 100%, $E$9)</f>
        <v>6.9214000000000002</v>
      </c>
      <c r="Q161" s="10">
        <f>CHOOSE(CONTROL!$C$42, 7.7418, 7.7418) * CHOOSE(CONTROL!$C$21, $C$9, 100%, $E$9)</f>
        <v>7.7417999999999996</v>
      </c>
      <c r="R161" s="10">
        <f>CHOOSE(CONTROL!$C$42, 8.3481, 8.3481) * CHOOSE(CONTROL!$C$21, $C$9, 100%, $E$9)</f>
        <v>8.3481000000000005</v>
      </c>
      <c r="S161" s="10">
        <f>CHOOSE(CONTROL!$C$42, 6.7966, 6.7966) * CHOOSE(CONTROL!$C$21, $C$9, 100%, $E$9)</f>
        <v>6.7965999999999998</v>
      </c>
      <c r="T16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38">
        <f>(1000*CHOOSE(CONTROL!$C$42, 695, 695)*CHOOSE(CONTROL!$C$42, 0.5599, 0.5599)*CHOOSE(CONTROL!$C$42, 31, 31))/1000000</f>
        <v>12.063045499999998</v>
      </c>
      <c r="V161" s="38">
        <f>(1000*CHOOSE(CONTROL!$C$42, 500, 500)*CHOOSE(CONTROL!$C$42, 0.275, 0.275)*CHOOSE(CONTROL!$C$42, 31, 31))/1000000</f>
        <v>4.2625000000000002</v>
      </c>
      <c r="W161" s="38">
        <f>(1000*CHOOSE(CONTROL!$C$42, 0.1146, 0.1146)*CHOOSE(CONTROL!$C$42, 121.5, 121.5)*CHOOSE(CONTROL!$C$42, 31, 31))/1000000</f>
        <v>0.43164089999999994</v>
      </c>
      <c r="X161" s="38">
        <f>(31*0.1790888*245000/1000000)+(31*0.2374*100000/1000000)</f>
        <v>2.0961194359999999</v>
      </c>
      <c r="Y161" s="38">
        <f>(1000*600*CHOOSE(CONTROL!$C$42, 1.7242, 1.7242)*CHOOSE(CONTROL!$C$42, 31, 31))/1000000</f>
        <v>32.070120000000003</v>
      </c>
      <c r="Z161" s="38"/>
      <c r="AA161" s="10"/>
      <c r="AB161" s="39"/>
      <c r="AC161" s="33">
        <f>(B161*194.205+C161*267.466+D161*133.845+E161*53.484+F161*40+G161*185+H161*0+I161*100+J161*300)/(194.205+267.466+133.845+53.484+0+40+185+100+300)</f>
        <v>7.0086280232339098</v>
      </c>
      <c r="AD161" s="27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6.9654726618705034</v>
      </c>
    </row>
    <row r="162" spans="1:30" ht="15" x14ac:dyDescent="0.2">
      <c r="A162" s="16">
        <v>46174</v>
      </c>
      <c r="B162" s="10">
        <f>CHOOSE(CONTROL!$C$42, 7.2031, 7.2031) * CHOOSE(CONTROL!$C$21, $C$9, 100%, $E$9)</f>
        <v>7.2031000000000001</v>
      </c>
      <c r="C162" s="10">
        <f>CHOOSE(CONTROL!$C$42, 7.2111, 7.2111) * CHOOSE(CONTROL!$C$21, $C$9, 100%, $E$9)</f>
        <v>7.2111000000000001</v>
      </c>
      <c r="D162" s="10">
        <f>CHOOSE(CONTROL!$C$42, 7.3862, 7.3862) * CHOOSE(CONTROL!$C$21, $C$9, 100%, $E$9)</f>
        <v>7.3861999999999997</v>
      </c>
      <c r="E162" s="10">
        <f>CHOOSE(CONTROL!$C$42, 7.4174, 7.4174) * CHOOSE(CONTROL!$C$21, $C$9, 100%, $E$9)</f>
        <v>7.4173999999999998</v>
      </c>
      <c r="F162" s="10">
        <f>CHOOSE(CONTROL!$C$42, 7.145, 7.145)*CHOOSE(CONTROL!$C$21, $C$9, 100%, $E$9)</f>
        <v>7.1449999999999996</v>
      </c>
      <c r="G162" s="10">
        <f>CHOOSE(CONTROL!$C$42, 7.1619, 7.1619)*CHOOSE(CONTROL!$C$21, $C$9, 100%, $E$9)</f>
        <v>7.1619000000000002</v>
      </c>
      <c r="H162" s="10">
        <f>CHOOSE(CONTROL!$C$42, 7.4058, 7.4058) * CHOOSE(CONTROL!$C$21, $C$9, 100%, $E$9)</f>
        <v>7.4058000000000002</v>
      </c>
      <c r="I162" s="10">
        <f>CHOOSE(CONTROL!$C$42, 7.1778, 7.1778)* CHOOSE(CONTROL!$C$21, $C$9, 100%, $E$9)</f>
        <v>7.1778000000000004</v>
      </c>
      <c r="J162" s="10">
        <f>CHOOSE(CONTROL!$C$42, 7.1376, 7.1376)* CHOOSE(CONTROL!$C$21, $C$9, 100%, $E$9)</f>
        <v>7.1375999999999999</v>
      </c>
      <c r="K162" s="10">
        <f>CHOOSE(CONTROL!$C$42, 7.1107, 7.1107) * CHOOSE(CONTROL!$C$21, $C$9, 100%, $E$9)</f>
        <v>7.1106999999999996</v>
      </c>
      <c r="L162" s="10">
        <f>CHOOSE(CONTROL!$C$42, 7.9928, 7.9928) * CHOOSE(CONTROL!$C$21, $C$9, 100%, $E$9)</f>
        <v>7.9927999999999999</v>
      </c>
      <c r="M162" s="10">
        <f>CHOOSE(CONTROL!$C$42, 7.0782, 7.0782) * CHOOSE(CONTROL!$C$21, $C$9, 100%, $E$9)</f>
        <v>7.0781999999999998</v>
      </c>
      <c r="N162" s="10">
        <f>CHOOSE(CONTROL!$C$42, 7.095, 7.095) * CHOOSE(CONTROL!$C$21, $C$9, 100%, $E$9)</f>
        <v>7.0949999999999998</v>
      </c>
      <c r="O162" s="10">
        <f>CHOOSE(CONTROL!$C$42, 7.343, 7.343) * CHOOSE(CONTROL!$C$21, $C$9, 100%, $E$9)</f>
        <v>7.343</v>
      </c>
      <c r="P162" s="10">
        <f>CHOOSE(CONTROL!$C$42, 7.1179, 7.1179) * CHOOSE(CONTROL!$C$21, $C$9, 100%, $E$9)</f>
        <v>7.1178999999999997</v>
      </c>
      <c r="Q162" s="10">
        <f>CHOOSE(CONTROL!$C$42, 7.9383, 7.9383) * CHOOSE(CONTROL!$C$21, $C$9, 100%, $E$9)</f>
        <v>7.9382999999999999</v>
      </c>
      <c r="R162" s="10">
        <f>CHOOSE(CONTROL!$C$42, 8.5451, 8.5451) * CHOOSE(CONTROL!$C$21, $C$9, 100%, $E$9)</f>
        <v>8.5450999999999997</v>
      </c>
      <c r="S162" s="10">
        <f>CHOOSE(CONTROL!$C$42, 6.9894, 6.9894) * CHOOSE(CONTROL!$C$21, $C$9, 100%, $E$9)</f>
        <v>6.9893999999999998</v>
      </c>
      <c r="T16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38">
        <f>(1000*CHOOSE(CONTROL!$C$42, 695, 695)*CHOOSE(CONTROL!$C$42, 0.5599, 0.5599)*CHOOSE(CONTROL!$C$42, 30, 30))/1000000</f>
        <v>11.673914999999997</v>
      </c>
      <c r="V162" s="38">
        <f>(1000*CHOOSE(CONTROL!$C$42, 500, 500)*CHOOSE(CONTROL!$C$42, 0.275, 0.275)*CHOOSE(CONTROL!$C$42, 30, 30))/1000000</f>
        <v>4.125</v>
      </c>
      <c r="W162" s="38">
        <f>(1000*CHOOSE(CONTROL!$C$42, 0.1146, 0.1146)*CHOOSE(CONTROL!$C$42, 121.5, 121.5)*CHOOSE(CONTROL!$C$42, 30, 30))/1000000</f>
        <v>0.417717</v>
      </c>
      <c r="X162" s="38">
        <f>(30*0.1790888*245000/1000000)+(30*0.2374*100000/1000000)</f>
        <v>2.0285026799999999</v>
      </c>
      <c r="Y162" s="38">
        <f>(1000*600*CHOOSE(CONTROL!$C$42, 1.7242, 1.7242)*CHOOSE(CONTROL!$C$42, 30, 30))/1000000</f>
        <v>31.035599999999999</v>
      </c>
      <c r="Z162" s="38"/>
      <c r="AA162" s="10"/>
      <c r="AB162" s="39"/>
      <c r="AC162" s="33">
        <f>(B162*194.205+C162*267.466+D162*133.845+E162*53.484+F162*40+G162*185+H162*0+I162*100+J162*300)/(194.205+267.466+133.845+53.484+0+40+185+100+300)</f>
        <v>7.2077957368131864</v>
      </c>
      <c r="AD162" s="27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7.1620762589928058</v>
      </c>
    </row>
    <row r="163" spans="1:30" ht="15" x14ac:dyDescent="0.2">
      <c r="A163" s="16">
        <v>46204</v>
      </c>
      <c r="B163" s="10">
        <f>CHOOSE(CONTROL!$C$42, 7.0646, 7.0646) * CHOOSE(CONTROL!$C$21, $C$9, 100%, $E$9)</f>
        <v>7.0646000000000004</v>
      </c>
      <c r="C163" s="10">
        <f>CHOOSE(CONTROL!$C$42, 7.0726, 7.0726) * CHOOSE(CONTROL!$C$21, $C$9, 100%, $E$9)</f>
        <v>7.0726000000000004</v>
      </c>
      <c r="D163" s="10">
        <f>CHOOSE(CONTROL!$C$42, 7.2478, 7.2478) * CHOOSE(CONTROL!$C$21, $C$9, 100%, $E$9)</f>
        <v>7.2477999999999998</v>
      </c>
      <c r="E163" s="10">
        <f>CHOOSE(CONTROL!$C$42, 7.279, 7.279) * CHOOSE(CONTROL!$C$21, $C$9, 100%, $E$9)</f>
        <v>7.2789999999999999</v>
      </c>
      <c r="F163" s="10">
        <f>CHOOSE(CONTROL!$C$42, 7.0069, 7.0069)*CHOOSE(CONTROL!$C$21, $C$9, 100%, $E$9)</f>
        <v>7.0068999999999999</v>
      </c>
      <c r="G163" s="10">
        <f>CHOOSE(CONTROL!$C$42, 7.0239, 7.0239)*CHOOSE(CONTROL!$C$21, $C$9, 100%, $E$9)</f>
        <v>7.0239000000000003</v>
      </c>
      <c r="H163" s="10">
        <f>CHOOSE(CONTROL!$C$42, 7.2673, 7.2673) * CHOOSE(CONTROL!$C$21, $C$9, 100%, $E$9)</f>
        <v>7.2672999999999996</v>
      </c>
      <c r="I163" s="10">
        <f>CHOOSE(CONTROL!$C$42, 7.0393, 7.0393)* CHOOSE(CONTROL!$C$21, $C$9, 100%, $E$9)</f>
        <v>7.0392999999999999</v>
      </c>
      <c r="J163" s="10">
        <f>CHOOSE(CONTROL!$C$42, 6.9995, 6.9995)* CHOOSE(CONTROL!$C$21, $C$9, 100%, $E$9)</f>
        <v>6.9995000000000003</v>
      </c>
      <c r="K163" s="10">
        <f>CHOOSE(CONTROL!$C$42, 6.9773, 6.9773) * CHOOSE(CONTROL!$C$21, $C$9, 100%, $E$9)</f>
        <v>6.9772999999999996</v>
      </c>
      <c r="L163" s="10">
        <f>CHOOSE(CONTROL!$C$42, 7.8543, 7.8543) * CHOOSE(CONTROL!$C$21, $C$9, 100%, $E$9)</f>
        <v>7.8543000000000003</v>
      </c>
      <c r="M163" s="10">
        <f>CHOOSE(CONTROL!$C$42, 6.9419, 6.9419) * CHOOSE(CONTROL!$C$21, $C$9, 100%, $E$9)</f>
        <v>6.9419000000000004</v>
      </c>
      <c r="N163" s="10">
        <f>CHOOSE(CONTROL!$C$42, 6.9587, 6.9587) * CHOOSE(CONTROL!$C$21, $C$9, 100%, $E$9)</f>
        <v>6.9587000000000003</v>
      </c>
      <c r="O163" s="10">
        <f>CHOOSE(CONTROL!$C$42, 7.2063, 7.2063) * CHOOSE(CONTROL!$C$21, $C$9, 100%, $E$9)</f>
        <v>7.2062999999999997</v>
      </c>
      <c r="P163" s="10">
        <f>CHOOSE(CONTROL!$C$42, 6.9813, 6.9813) * CHOOSE(CONTROL!$C$21, $C$9, 100%, $E$9)</f>
        <v>6.9813000000000001</v>
      </c>
      <c r="Q163" s="10">
        <f>CHOOSE(CONTROL!$C$42, 7.8016, 7.8016) * CHOOSE(CONTROL!$C$21, $C$9, 100%, $E$9)</f>
        <v>7.8015999999999996</v>
      </c>
      <c r="R163" s="10">
        <f>CHOOSE(CONTROL!$C$42, 8.4081, 8.4081) * CHOOSE(CONTROL!$C$21, $C$9, 100%, $E$9)</f>
        <v>8.4080999999999992</v>
      </c>
      <c r="S163" s="10">
        <f>CHOOSE(CONTROL!$C$42, 6.8553, 6.8553) * CHOOSE(CONTROL!$C$21, $C$9, 100%, $E$9)</f>
        <v>6.8552999999999997</v>
      </c>
      <c r="T16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38">
        <f>(1000*CHOOSE(CONTROL!$C$42, 695, 695)*CHOOSE(CONTROL!$C$42, 0.5599, 0.5599)*CHOOSE(CONTROL!$C$42, 31, 31))/1000000</f>
        <v>12.063045499999998</v>
      </c>
      <c r="V163" s="38">
        <f>(1000*CHOOSE(CONTROL!$C$42, 500, 500)*CHOOSE(CONTROL!$C$42, 0.275, 0.275)*CHOOSE(CONTROL!$C$42, 31, 31))/1000000</f>
        <v>4.2625000000000002</v>
      </c>
      <c r="W163" s="38">
        <f>(1000*CHOOSE(CONTROL!$C$42, 0.1146, 0.1146)*CHOOSE(CONTROL!$C$42, 121.5, 121.5)*CHOOSE(CONTROL!$C$42, 31, 31))/1000000</f>
        <v>0.43164089999999994</v>
      </c>
      <c r="X163" s="38">
        <f>(31*0.1790888*245000/1000000)+(31*0.2374*100000/1000000)</f>
        <v>2.0961194359999999</v>
      </c>
      <c r="Y163" s="38">
        <f>(1000*600*CHOOSE(CONTROL!$C$42, 1.7242, 1.7242)*CHOOSE(CONTROL!$C$42, 31, 31))/1000000</f>
        <v>32.070120000000003</v>
      </c>
      <c r="Z163" s="38"/>
      <c r="AA163" s="10"/>
      <c r="AB163" s="39"/>
      <c r="AC163" s="33">
        <f>(B163*194.205+C163*267.466+D163*133.845+E163*53.484+F163*40+G163*185+H163*0+I163*100+J163*300)/(194.205+267.466+133.845+53.484+0+40+185+100+300)</f>
        <v>7.0694897971742545</v>
      </c>
      <c r="AD163" s="27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7.0256208633093538</v>
      </c>
    </row>
    <row r="164" spans="1:30" ht="15" x14ac:dyDescent="0.2">
      <c r="A164" s="16">
        <v>46235</v>
      </c>
      <c r="B164" s="10">
        <f>CHOOSE(CONTROL!$C$42, 6.715, 6.715) * CHOOSE(CONTROL!$C$21, $C$9, 100%, $E$9)</f>
        <v>6.7149999999999999</v>
      </c>
      <c r="C164" s="10">
        <f>CHOOSE(CONTROL!$C$42, 6.723, 6.723) * CHOOSE(CONTROL!$C$21, $C$9, 100%, $E$9)</f>
        <v>6.7229999999999999</v>
      </c>
      <c r="D164" s="10">
        <f>CHOOSE(CONTROL!$C$42, 6.8981, 6.8981) * CHOOSE(CONTROL!$C$21, $C$9, 100%, $E$9)</f>
        <v>6.8981000000000003</v>
      </c>
      <c r="E164" s="10">
        <f>CHOOSE(CONTROL!$C$42, 6.9293, 6.9293) * CHOOSE(CONTROL!$C$21, $C$9, 100%, $E$9)</f>
        <v>6.9292999999999996</v>
      </c>
      <c r="F164" s="10">
        <f>CHOOSE(CONTROL!$C$42, 6.6571, 6.6571)*CHOOSE(CONTROL!$C$21, $C$9, 100%, $E$9)</f>
        <v>6.6570999999999998</v>
      </c>
      <c r="G164" s="10">
        <f>CHOOSE(CONTROL!$C$42, 6.6741, 6.6741)*CHOOSE(CONTROL!$C$21, $C$9, 100%, $E$9)</f>
        <v>6.6741000000000001</v>
      </c>
      <c r="H164" s="10">
        <f>CHOOSE(CONTROL!$C$42, 6.9177, 6.9177) * CHOOSE(CONTROL!$C$21, $C$9, 100%, $E$9)</f>
        <v>6.9177</v>
      </c>
      <c r="I164" s="10">
        <f>CHOOSE(CONTROL!$C$42, 6.6897, 6.6897)* CHOOSE(CONTROL!$C$21, $C$9, 100%, $E$9)</f>
        <v>6.6897000000000002</v>
      </c>
      <c r="J164" s="10">
        <f>CHOOSE(CONTROL!$C$42, 6.6497, 6.6497)* CHOOSE(CONTROL!$C$21, $C$9, 100%, $E$9)</f>
        <v>6.6497000000000002</v>
      </c>
      <c r="K164" s="10">
        <f>CHOOSE(CONTROL!$C$42, 6.6384, 6.6384) * CHOOSE(CONTROL!$C$21, $C$9, 100%, $E$9)</f>
        <v>6.6383999999999999</v>
      </c>
      <c r="L164" s="10">
        <f>CHOOSE(CONTROL!$C$42, 7.5047, 7.5047) * CHOOSE(CONTROL!$C$21, $C$9, 100%, $E$9)</f>
        <v>7.5046999999999997</v>
      </c>
      <c r="M164" s="10">
        <f>CHOOSE(CONTROL!$C$42, 6.5967, 6.5967) * CHOOSE(CONTROL!$C$21, $C$9, 100%, $E$9)</f>
        <v>6.5967000000000002</v>
      </c>
      <c r="N164" s="10">
        <f>CHOOSE(CONTROL!$C$42, 6.6135, 6.6135) * CHOOSE(CONTROL!$C$21, $C$9, 100%, $E$9)</f>
        <v>6.6135000000000002</v>
      </c>
      <c r="O164" s="10">
        <f>CHOOSE(CONTROL!$C$42, 6.8612, 6.8612) * CHOOSE(CONTROL!$C$21, $C$9, 100%, $E$9)</f>
        <v>6.8612000000000002</v>
      </c>
      <c r="P164" s="10">
        <f>CHOOSE(CONTROL!$C$42, 6.6362, 6.6362) * CHOOSE(CONTROL!$C$21, $C$9, 100%, $E$9)</f>
        <v>6.6361999999999997</v>
      </c>
      <c r="Q164" s="10">
        <f>CHOOSE(CONTROL!$C$42, 7.4565, 7.4565) * CHOOSE(CONTROL!$C$21, $C$9, 100%, $E$9)</f>
        <v>7.4565000000000001</v>
      </c>
      <c r="R164" s="10">
        <f>CHOOSE(CONTROL!$C$42, 8.0621, 8.0621) * CHOOSE(CONTROL!$C$21, $C$9, 100%, $E$9)</f>
        <v>8.0620999999999992</v>
      </c>
      <c r="S164" s="10">
        <f>CHOOSE(CONTROL!$C$42, 6.5167, 6.5167) * CHOOSE(CONTROL!$C$21, $C$9, 100%, $E$9)</f>
        <v>6.5167000000000002</v>
      </c>
      <c r="T16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38">
        <f>(1000*CHOOSE(CONTROL!$C$42, 695, 695)*CHOOSE(CONTROL!$C$42, 0.5599, 0.5599)*CHOOSE(CONTROL!$C$42, 31, 31))/1000000</f>
        <v>12.063045499999998</v>
      </c>
      <c r="V164" s="38">
        <f>(1000*CHOOSE(CONTROL!$C$42, 500, 500)*CHOOSE(CONTROL!$C$42, 0.275, 0.275)*CHOOSE(CONTROL!$C$42, 31, 31))/1000000</f>
        <v>4.2625000000000002</v>
      </c>
      <c r="W164" s="38">
        <f>(1000*CHOOSE(CONTROL!$C$42, 0.1146, 0.1146)*CHOOSE(CONTROL!$C$42, 121.5, 121.5)*CHOOSE(CONTROL!$C$42, 31, 31))/1000000</f>
        <v>0.43164089999999994</v>
      </c>
      <c r="X164" s="38">
        <f>(31*0.1790888*245000/1000000)+(31*0.2374*100000/1000000)</f>
        <v>2.0961194359999999</v>
      </c>
      <c r="Y164" s="38">
        <f>(1000*600*CHOOSE(CONTROL!$C$42, 1.7242, 1.7242)*CHOOSE(CONTROL!$C$42, 31, 31))/1000000</f>
        <v>32.070120000000003</v>
      </c>
      <c r="Z164" s="38"/>
      <c r="AA164" s="10"/>
      <c r="AB164" s="39"/>
      <c r="AC164" s="33">
        <f>(B164*194.205+C164*267.466+D164*133.845+E164*53.484+F164*40+G164*185+H164*0+I164*100+J164*300)/(194.205+267.466+133.845+53.484+0+40+185+100+300)</f>
        <v>6.719792675588697</v>
      </c>
      <c r="AD164" s="27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6.6804633093525183</v>
      </c>
    </row>
    <row r="165" spans="1:30" ht="15" x14ac:dyDescent="0.2">
      <c r="A165" s="16">
        <v>46266</v>
      </c>
      <c r="B165" s="10">
        <f>CHOOSE(CONTROL!$C$42, 6.2878, 6.2878) * CHOOSE(CONTROL!$C$21, $C$9, 100%, $E$9)</f>
        <v>6.2877999999999998</v>
      </c>
      <c r="C165" s="10">
        <f>CHOOSE(CONTROL!$C$42, 6.2958, 6.2958) * CHOOSE(CONTROL!$C$21, $C$9, 100%, $E$9)</f>
        <v>6.2957999999999998</v>
      </c>
      <c r="D165" s="10">
        <f>CHOOSE(CONTROL!$C$42, 6.4709, 6.4709) * CHOOSE(CONTROL!$C$21, $C$9, 100%, $E$9)</f>
        <v>6.4709000000000003</v>
      </c>
      <c r="E165" s="10">
        <f>CHOOSE(CONTROL!$C$42, 6.5021, 6.5021) * CHOOSE(CONTROL!$C$21, $C$9, 100%, $E$9)</f>
        <v>6.5021000000000004</v>
      </c>
      <c r="F165" s="10">
        <f>CHOOSE(CONTROL!$C$42, 6.2296, 6.2296)*CHOOSE(CONTROL!$C$21, $C$9, 100%, $E$9)</f>
        <v>6.2295999999999996</v>
      </c>
      <c r="G165" s="10">
        <f>CHOOSE(CONTROL!$C$42, 6.2465, 6.2465)*CHOOSE(CONTROL!$C$21, $C$9, 100%, $E$9)</f>
        <v>6.2465000000000002</v>
      </c>
      <c r="H165" s="10">
        <f>CHOOSE(CONTROL!$C$42, 6.4905, 6.4905) * CHOOSE(CONTROL!$C$21, $C$9, 100%, $E$9)</f>
        <v>6.4904999999999999</v>
      </c>
      <c r="I165" s="10">
        <f>CHOOSE(CONTROL!$C$42, 6.2624, 6.2624)* CHOOSE(CONTROL!$C$21, $C$9, 100%, $E$9)</f>
        <v>6.2624000000000004</v>
      </c>
      <c r="J165" s="10">
        <f>CHOOSE(CONTROL!$C$42, 6.2222, 6.2222)* CHOOSE(CONTROL!$C$21, $C$9, 100%, $E$9)</f>
        <v>6.2222</v>
      </c>
      <c r="K165" s="10">
        <f>CHOOSE(CONTROL!$C$42, 6.2238, 6.2238) * CHOOSE(CONTROL!$C$21, $C$9, 100%, $E$9)</f>
        <v>6.2237999999999998</v>
      </c>
      <c r="L165" s="10">
        <f>CHOOSE(CONTROL!$C$42, 7.0775, 7.0775) * CHOOSE(CONTROL!$C$21, $C$9, 100%, $E$9)</f>
        <v>7.0774999999999997</v>
      </c>
      <c r="M165" s="10">
        <f>CHOOSE(CONTROL!$C$42, 6.1747, 6.1747) * CHOOSE(CONTROL!$C$21, $C$9, 100%, $E$9)</f>
        <v>6.1746999999999996</v>
      </c>
      <c r="N165" s="10">
        <f>CHOOSE(CONTROL!$C$42, 6.1914, 6.1914) * CHOOSE(CONTROL!$C$21, $C$9, 100%, $E$9)</f>
        <v>6.1913999999999998</v>
      </c>
      <c r="O165" s="10">
        <f>CHOOSE(CONTROL!$C$42, 6.4395, 6.4395) * CHOOSE(CONTROL!$C$21, $C$9, 100%, $E$9)</f>
        <v>6.4394999999999998</v>
      </c>
      <c r="P165" s="10">
        <f>CHOOSE(CONTROL!$C$42, 6.2145, 6.2145) * CHOOSE(CONTROL!$C$21, $C$9, 100%, $E$9)</f>
        <v>6.2145000000000001</v>
      </c>
      <c r="Q165" s="10">
        <f>CHOOSE(CONTROL!$C$42, 7.0348, 7.0348) * CHOOSE(CONTROL!$C$21, $C$9, 100%, $E$9)</f>
        <v>7.0347999999999997</v>
      </c>
      <c r="R165" s="10">
        <f>CHOOSE(CONTROL!$C$42, 7.6394, 7.6394) * CHOOSE(CONTROL!$C$21, $C$9, 100%, $E$9)</f>
        <v>7.6394000000000002</v>
      </c>
      <c r="S165" s="10">
        <f>CHOOSE(CONTROL!$C$42, 6.1031, 6.1031) * CHOOSE(CONTROL!$C$21, $C$9, 100%, $E$9)</f>
        <v>6.1031000000000004</v>
      </c>
      <c r="T16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38">
        <f>(1000*CHOOSE(CONTROL!$C$42, 695, 695)*CHOOSE(CONTROL!$C$42, 0.5599, 0.5599)*CHOOSE(CONTROL!$C$42, 30, 30))/1000000</f>
        <v>11.673914999999997</v>
      </c>
      <c r="V165" s="38">
        <f>(1000*CHOOSE(CONTROL!$C$42, 500, 500)*CHOOSE(CONTROL!$C$42, 0.275, 0.275)*CHOOSE(CONTROL!$C$42, 30, 30))/1000000</f>
        <v>4.125</v>
      </c>
      <c r="W165" s="38">
        <f>(1000*CHOOSE(CONTROL!$C$42, 0.1146, 0.1146)*CHOOSE(CONTROL!$C$42, 121.5, 121.5)*CHOOSE(CONTROL!$C$42, 30, 30))/1000000</f>
        <v>0.417717</v>
      </c>
      <c r="X165" s="38">
        <f>(30*0.1790888*245000/1000000)+(30*0.2374*100000/1000000)</f>
        <v>2.0285026799999999</v>
      </c>
      <c r="Y165" s="38">
        <f>(1000*600*CHOOSE(CONTROL!$C$42, 1.7242, 1.7242)*CHOOSE(CONTROL!$C$42, 30, 30))/1000000</f>
        <v>31.035599999999999</v>
      </c>
      <c r="Z165" s="38"/>
      <c r="AA165" s="10"/>
      <c r="AB165" s="39"/>
      <c r="AC165" s="33">
        <f>(B165*194.205+C165*267.466+D165*133.845+E165*53.484+F165*40+G165*185+H165*0+I165*100+J165*300)/(194.205+267.466+133.845+53.484+0+40+185+100+300)</f>
        <v>6.2924466787284139</v>
      </c>
      <c r="AD165" s="27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6.2585676258992802</v>
      </c>
    </row>
    <row r="166" spans="1:30" ht="15" x14ac:dyDescent="0.2">
      <c r="A166" s="16">
        <v>46296</v>
      </c>
      <c r="B166" s="10">
        <f>CHOOSE(CONTROL!$C$42, 6.1577, 6.1577) * CHOOSE(CONTROL!$C$21, $C$9, 100%, $E$9)</f>
        <v>6.1577000000000002</v>
      </c>
      <c r="C166" s="10">
        <f>CHOOSE(CONTROL!$C$42, 6.1631, 6.1631) * CHOOSE(CONTROL!$C$21, $C$9, 100%, $E$9)</f>
        <v>6.1631</v>
      </c>
      <c r="D166" s="10">
        <f>CHOOSE(CONTROL!$C$42, 6.3431, 6.3431) * CHOOSE(CONTROL!$C$21, $C$9, 100%, $E$9)</f>
        <v>6.3430999999999997</v>
      </c>
      <c r="E166" s="10">
        <f>CHOOSE(CONTROL!$C$42, 6.372, 6.372) * CHOOSE(CONTROL!$C$21, $C$9, 100%, $E$9)</f>
        <v>6.3719999999999999</v>
      </c>
      <c r="F166" s="10">
        <f>CHOOSE(CONTROL!$C$42, 6.1015, 6.1015)*CHOOSE(CONTROL!$C$21, $C$9, 100%, $E$9)</f>
        <v>6.1014999999999997</v>
      </c>
      <c r="G166" s="10">
        <f>CHOOSE(CONTROL!$C$42, 6.1181, 6.1181)*CHOOSE(CONTROL!$C$21, $C$9, 100%, $E$9)</f>
        <v>6.1181000000000001</v>
      </c>
      <c r="H166" s="10">
        <f>CHOOSE(CONTROL!$C$42, 6.3621, 6.3621) * CHOOSE(CONTROL!$C$21, $C$9, 100%, $E$9)</f>
        <v>6.3620999999999999</v>
      </c>
      <c r="I166" s="10">
        <f>CHOOSE(CONTROL!$C$42, 6.1341, 6.1341)* CHOOSE(CONTROL!$C$21, $C$9, 100%, $E$9)</f>
        <v>6.1341000000000001</v>
      </c>
      <c r="J166" s="10">
        <f>CHOOSE(CONTROL!$C$42, 6.0941, 6.0941)* CHOOSE(CONTROL!$C$21, $C$9, 100%, $E$9)</f>
        <v>6.0941000000000001</v>
      </c>
      <c r="K166" s="10">
        <f>CHOOSE(CONTROL!$C$42, 6.1, 6.1) * CHOOSE(CONTROL!$C$21, $C$9, 100%, $E$9)</f>
        <v>6.1</v>
      </c>
      <c r="L166" s="10">
        <f>CHOOSE(CONTROL!$C$42, 6.9491, 6.9491) * CHOOSE(CONTROL!$C$21, $C$9, 100%, $E$9)</f>
        <v>6.9490999999999996</v>
      </c>
      <c r="M166" s="10">
        <f>CHOOSE(CONTROL!$C$42, 6.0483, 6.0483) * CHOOSE(CONTROL!$C$21, $C$9, 100%, $E$9)</f>
        <v>6.0483000000000002</v>
      </c>
      <c r="N166" s="10">
        <f>CHOOSE(CONTROL!$C$42, 6.0647, 6.0647) * CHOOSE(CONTROL!$C$21, $C$9, 100%, $E$9)</f>
        <v>6.0647000000000002</v>
      </c>
      <c r="O166" s="10">
        <f>CHOOSE(CONTROL!$C$42, 6.3128, 6.3128) * CHOOSE(CONTROL!$C$21, $C$9, 100%, $E$9)</f>
        <v>6.3128000000000002</v>
      </c>
      <c r="P166" s="10">
        <f>CHOOSE(CONTROL!$C$42, 6.0878, 6.0878) * CHOOSE(CONTROL!$C$21, $C$9, 100%, $E$9)</f>
        <v>6.0877999999999997</v>
      </c>
      <c r="Q166" s="10">
        <f>CHOOSE(CONTROL!$C$42, 6.9081, 6.9081) * CHOOSE(CONTROL!$C$21, $C$9, 100%, $E$9)</f>
        <v>6.9081000000000001</v>
      </c>
      <c r="R166" s="10">
        <f>CHOOSE(CONTROL!$C$42, 7.5124, 7.5124) * CHOOSE(CONTROL!$C$21, $C$9, 100%, $E$9)</f>
        <v>7.5124000000000004</v>
      </c>
      <c r="S166" s="10">
        <f>CHOOSE(CONTROL!$C$42, 5.9788, 5.9788) * CHOOSE(CONTROL!$C$21, $C$9, 100%, $E$9)</f>
        <v>5.9787999999999997</v>
      </c>
      <c r="T16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38">
        <f>(1000*CHOOSE(CONTROL!$C$42, 695, 695)*CHOOSE(CONTROL!$C$42, 0.5599, 0.5599)*CHOOSE(CONTROL!$C$42, 31, 31))/1000000</f>
        <v>12.063045499999998</v>
      </c>
      <c r="V166" s="38">
        <f>(1000*CHOOSE(CONTROL!$C$42, 500, 500)*CHOOSE(CONTROL!$C$42, 0.275, 0.275)*CHOOSE(CONTROL!$C$42, 31, 31))/1000000</f>
        <v>4.2625000000000002</v>
      </c>
      <c r="W166" s="38">
        <f>(1000*CHOOSE(CONTROL!$C$42, 0.1146, 0.1146)*CHOOSE(CONTROL!$C$42, 121.5, 121.5)*CHOOSE(CONTROL!$C$42, 31, 31))/1000000</f>
        <v>0.43164089999999994</v>
      </c>
      <c r="X166" s="38">
        <f>(31*0.1790888*245000/1000000)+(31*0.2374*100000/1000000)</f>
        <v>2.0961194359999999</v>
      </c>
      <c r="Y166" s="38">
        <f>(1000*600*CHOOSE(CONTROL!$C$42, 1.7242, 1.7242)*CHOOSE(CONTROL!$C$42, 31, 31))/1000000</f>
        <v>32.070120000000003</v>
      </c>
      <c r="Z166" s="38"/>
      <c r="AA166" s="10"/>
      <c r="AB166" s="39"/>
      <c r="AC166" s="33">
        <f>(B166*131.881+C166*277.167+D166*79.08+E166*125.872+F166*40+G166*185+H166*0+I166*100+J166*300)/(131.881+277.167+79.08+125.872+0+40+185+100+300)</f>
        <v>6.167480874414851</v>
      </c>
      <c r="AD166" s="27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6.1319712230215835</v>
      </c>
    </row>
    <row r="167" spans="1:30" ht="15" x14ac:dyDescent="0.2">
      <c r="A167" s="16">
        <v>46327</v>
      </c>
      <c r="B167" s="10">
        <f>CHOOSE(CONTROL!$C$42, 6.32, 6.32) * CHOOSE(CONTROL!$C$21, $C$9, 100%, $E$9)</f>
        <v>6.32</v>
      </c>
      <c r="C167" s="10">
        <f>CHOOSE(CONTROL!$C$42, 6.3251, 6.3251) * CHOOSE(CONTROL!$C$21, $C$9, 100%, $E$9)</f>
        <v>6.3250999999999999</v>
      </c>
      <c r="D167" s="10">
        <f>CHOOSE(CONTROL!$C$42, 6.3498, 6.3498) * CHOOSE(CONTROL!$C$21, $C$9, 100%, $E$9)</f>
        <v>6.3498000000000001</v>
      </c>
      <c r="E167" s="10">
        <f>CHOOSE(CONTROL!$C$42, 6.3836, 6.3836) * CHOOSE(CONTROL!$C$21, $C$9, 100%, $E$9)</f>
        <v>6.3836000000000004</v>
      </c>
      <c r="F167" s="10">
        <f>CHOOSE(CONTROL!$C$42, 6.2856, 6.2856)*CHOOSE(CONTROL!$C$21, $C$9, 100%, $E$9)</f>
        <v>6.2855999999999996</v>
      </c>
      <c r="G167" s="10">
        <f>CHOOSE(CONTROL!$C$42, 6.3024, 6.3024)*CHOOSE(CONTROL!$C$21, $C$9, 100%, $E$9)</f>
        <v>6.3023999999999996</v>
      </c>
      <c r="H167" s="10">
        <f>CHOOSE(CONTROL!$C$42, 6.3724, 6.3724) * CHOOSE(CONTROL!$C$21, $C$9, 100%, $E$9)</f>
        <v>6.3723999999999998</v>
      </c>
      <c r="I167" s="10">
        <f>CHOOSE(CONTROL!$C$42, 6.3195, 6.3195)* CHOOSE(CONTROL!$C$21, $C$9, 100%, $E$9)</f>
        <v>6.3194999999999997</v>
      </c>
      <c r="J167" s="10">
        <f>CHOOSE(CONTROL!$C$42, 6.2782, 6.2782)* CHOOSE(CONTROL!$C$21, $C$9, 100%, $E$9)</f>
        <v>6.2782</v>
      </c>
      <c r="K167" s="10">
        <f>CHOOSE(CONTROL!$C$42, 6.2814, 6.2814) * CHOOSE(CONTROL!$C$21, $C$9, 100%, $E$9)</f>
        <v>6.2813999999999997</v>
      </c>
      <c r="L167" s="10">
        <f>CHOOSE(CONTROL!$C$42, 6.9594, 6.9594) * CHOOSE(CONTROL!$C$21, $C$9, 100%, $E$9)</f>
        <v>6.9593999999999996</v>
      </c>
      <c r="M167" s="10">
        <f>CHOOSE(CONTROL!$C$42, 6.23, 6.23) * CHOOSE(CONTROL!$C$21, $C$9, 100%, $E$9)</f>
        <v>6.23</v>
      </c>
      <c r="N167" s="10">
        <f>CHOOSE(CONTROL!$C$42, 6.2466, 6.2466) * CHOOSE(CONTROL!$C$21, $C$9, 100%, $E$9)</f>
        <v>6.2465999999999999</v>
      </c>
      <c r="O167" s="10">
        <f>CHOOSE(CONTROL!$C$42, 6.323, 6.323) * CHOOSE(CONTROL!$C$21, $C$9, 100%, $E$9)</f>
        <v>6.3230000000000004</v>
      </c>
      <c r="P167" s="10">
        <f>CHOOSE(CONTROL!$C$42, 6.2708, 6.2708) * CHOOSE(CONTROL!$C$21, $C$9, 100%, $E$9)</f>
        <v>6.2708000000000004</v>
      </c>
      <c r="Q167" s="10">
        <f>CHOOSE(CONTROL!$C$42, 6.9183, 6.9183) * CHOOSE(CONTROL!$C$21, $C$9, 100%, $E$9)</f>
        <v>6.9183000000000003</v>
      </c>
      <c r="R167" s="10">
        <f>CHOOSE(CONTROL!$C$42, 7.5226, 7.5226) * CHOOSE(CONTROL!$C$21, $C$9, 100%, $E$9)</f>
        <v>7.5225999999999997</v>
      </c>
      <c r="S167" s="10">
        <f>CHOOSE(CONTROL!$C$42, 6.1363, 6.1363) * CHOOSE(CONTROL!$C$21, $C$9, 100%, $E$9)</f>
        <v>6.1363000000000003</v>
      </c>
      <c r="T16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38">
        <f>(1000*CHOOSE(CONTROL!$C$42, 695, 695)*CHOOSE(CONTROL!$C$42, 0.5599, 0.5599)*CHOOSE(CONTROL!$C$42, 30, 30))/1000000</f>
        <v>11.673914999999997</v>
      </c>
      <c r="V167" s="38">
        <f>(1000*CHOOSE(CONTROL!$C$42, 500, 500)*CHOOSE(CONTROL!$C$42, 0.275, 0.275)*CHOOSE(CONTROL!$C$42, 30, 30))/1000000</f>
        <v>4.125</v>
      </c>
      <c r="W167" s="38">
        <f>(1000*CHOOSE(CONTROL!$C$42, 0.1146, 0.1146)*CHOOSE(CONTROL!$C$42, 121.5, 121.5)*CHOOSE(CONTROL!$C$42, 30, 30))/1000000</f>
        <v>0.417717</v>
      </c>
      <c r="X167" s="38">
        <f>(30*0.1790888*100000/1000000)+(30*0.2374*100000/1000000)</f>
        <v>1.2494664</v>
      </c>
      <c r="Y167" s="38">
        <f>(1000*600*CHOOSE(CONTROL!$C$42, 1.7242, 1.7242)*CHOOSE(CONTROL!$C$42, 30, 30))/1000000</f>
        <v>31.035599999999999</v>
      </c>
      <c r="Z167" s="38"/>
      <c r="AA167" s="10"/>
      <c r="AB167" s="39"/>
      <c r="AC167" s="33">
        <f>(B167*122.58+C167*297.941+D167*89.177+E167*40.302+F167*40+G167*160+H167*0+I167*100+J167*300)/(122.58+297.941+89.177+40.302+0+40+160+100+300)</f>
        <v>6.3112679833913035</v>
      </c>
      <c r="AD167" s="27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6.2789769784172664</v>
      </c>
    </row>
    <row r="168" spans="1:30" ht="15" x14ac:dyDescent="0.2">
      <c r="A168" s="16">
        <v>46357</v>
      </c>
      <c r="B168" s="10">
        <f>CHOOSE(CONTROL!$C$42, 6.752, 6.752) * CHOOSE(CONTROL!$C$21, $C$9, 100%, $E$9)</f>
        <v>6.7519999999999998</v>
      </c>
      <c r="C168" s="10">
        <f>CHOOSE(CONTROL!$C$42, 6.7571, 6.7571) * CHOOSE(CONTROL!$C$21, $C$9, 100%, $E$9)</f>
        <v>6.7571000000000003</v>
      </c>
      <c r="D168" s="10">
        <f>CHOOSE(CONTROL!$C$42, 6.7818, 6.7818) * CHOOSE(CONTROL!$C$21, $C$9, 100%, $E$9)</f>
        <v>6.7817999999999996</v>
      </c>
      <c r="E168" s="10">
        <f>CHOOSE(CONTROL!$C$42, 6.8156, 6.8156) * CHOOSE(CONTROL!$C$21, $C$9, 100%, $E$9)</f>
        <v>6.8155999999999999</v>
      </c>
      <c r="F168" s="10">
        <f>CHOOSE(CONTROL!$C$42, 6.7194, 6.7194)*CHOOSE(CONTROL!$C$21, $C$9, 100%, $E$9)</f>
        <v>6.7194000000000003</v>
      </c>
      <c r="G168" s="10">
        <f>CHOOSE(CONTROL!$C$42, 6.7367, 6.7367)*CHOOSE(CONTROL!$C$21, $C$9, 100%, $E$9)</f>
        <v>6.7366999999999999</v>
      </c>
      <c r="H168" s="10">
        <f>CHOOSE(CONTROL!$C$42, 6.8045, 6.8045) * CHOOSE(CONTROL!$C$21, $C$9, 100%, $E$9)</f>
        <v>6.8045</v>
      </c>
      <c r="I168" s="10">
        <f>CHOOSE(CONTROL!$C$42, 6.7515, 6.7515)* CHOOSE(CONTROL!$C$21, $C$9, 100%, $E$9)</f>
        <v>6.7515000000000001</v>
      </c>
      <c r="J168" s="10">
        <f>CHOOSE(CONTROL!$C$42, 6.712, 6.712)* CHOOSE(CONTROL!$C$21, $C$9, 100%, $E$9)</f>
        <v>6.7119999999999997</v>
      </c>
      <c r="K168" s="10">
        <f>CHOOSE(CONTROL!$C$42, 6.7038, 6.7038) * CHOOSE(CONTROL!$C$21, $C$9, 100%, $E$9)</f>
        <v>6.7038000000000002</v>
      </c>
      <c r="L168" s="10">
        <f>CHOOSE(CONTROL!$C$42, 7.3915, 7.3915) * CHOOSE(CONTROL!$C$21, $C$9, 100%, $E$9)</f>
        <v>7.3914999999999997</v>
      </c>
      <c r="M168" s="10">
        <f>CHOOSE(CONTROL!$C$42, 6.6582, 6.6582) * CHOOSE(CONTROL!$C$21, $C$9, 100%, $E$9)</f>
        <v>6.6581999999999999</v>
      </c>
      <c r="N168" s="10">
        <f>CHOOSE(CONTROL!$C$42, 6.6752, 6.6752) * CHOOSE(CONTROL!$C$21, $C$9, 100%, $E$9)</f>
        <v>6.6752000000000002</v>
      </c>
      <c r="O168" s="10">
        <f>CHOOSE(CONTROL!$C$42, 6.7494, 6.7494) * CHOOSE(CONTROL!$C$21, $C$9, 100%, $E$9)</f>
        <v>6.7493999999999996</v>
      </c>
      <c r="P168" s="10">
        <f>CHOOSE(CONTROL!$C$42, 6.6972, 6.6972) * CHOOSE(CONTROL!$C$21, $C$9, 100%, $E$9)</f>
        <v>6.6971999999999996</v>
      </c>
      <c r="Q168" s="10">
        <f>CHOOSE(CONTROL!$C$42, 7.3447, 7.3447) * CHOOSE(CONTROL!$C$21, $C$9, 100%, $E$9)</f>
        <v>7.3446999999999996</v>
      </c>
      <c r="R168" s="10">
        <f>CHOOSE(CONTROL!$C$42, 7.9501, 7.9501) * CHOOSE(CONTROL!$C$21, $C$9, 100%, $E$9)</f>
        <v>7.9500999999999999</v>
      </c>
      <c r="S168" s="10">
        <f>CHOOSE(CONTROL!$C$42, 6.5546, 6.5546) * CHOOSE(CONTROL!$C$21, $C$9, 100%, $E$9)</f>
        <v>6.5545999999999998</v>
      </c>
      <c r="T16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38">
        <f>(1000*CHOOSE(CONTROL!$C$42, 695, 695)*CHOOSE(CONTROL!$C$42, 0.5599, 0.5599)*CHOOSE(CONTROL!$C$42, 31, 31))/1000000</f>
        <v>12.063045499999998</v>
      </c>
      <c r="V168" s="38">
        <f>(1000*CHOOSE(CONTROL!$C$42, 500, 500)*CHOOSE(CONTROL!$C$42, 0.275, 0.275)*CHOOSE(CONTROL!$C$42, 31, 31))/1000000</f>
        <v>4.2625000000000002</v>
      </c>
      <c r="W168" s="38">
        <f>(1000*CHOOSE(CONTROL!$C$42, 0.1146, 0.1146)*CHOOSE(CONTROL!$C$42, 121.5, 121.5)*CHOOSE(CONTROL!$C$42, 31, 31))/1000000</f>
        <v>0.43164089999999994</v>
      </c>
      <c r="X168" s="38">
        <f>(31*0.1790888*100000/1000000)+(31*0.2374*100000/1000000)</f>
        <v>1.2911152800000001</v>
      </c>
      <c r="Y168" s="38">
        <f>(1000*600*CHOOSE(CONTROL!$C$42, 1.7242, 1.7242)*CHOOSE(CONTROL!$C$42, 31, 31))/1000000</f>
        <v>32.070120000000003</v>
      </c>
      <c r="Z168" s="38"/>
      <c r="AA168" s="10"/>
      <c r="AB168" s="39"/>
      <c r="AC168" s="33">
        <f>(B168*122.58+C168*297.941+D168*89.177+E168*40.302+F168*40+G168*160+H168*0+I168*100+J168*300)/(122.58+297.941+89.177+40.302+0+40+160+100+300)</f>
        <v>6.7441201573043479</v>
      </c>
      <c r="AD168" s="27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6.7061251798561141</v>
      </c>
    </row>
    <row r="169" spans="1:30" ht="15" x14ac:dyDescent="0.2">
      <c r="A169" s="16">
        <v>46388</v>
      </c>
      <c r="B169" s="10">
        <f>CHOOSE(CONTROL!$C$42, 7.3065, 7.3065) * CHOOSE(CONTROL!$C$21, $C$9, 100%, $E$9)</f>
        <v>7.3064999999999998</v>
      </c>
      <c r="C169" s="10">
        <f>CHOOSE(CONTROL!$C$42, 7.3116, 7.3116) * CHOOSE(CONTROL!$C$21, $C$9, 100%, $E$9)</f>
        <v>7.3116000000000003</v>
      </c>
      <c r="D169" s="10">
        <f>CHOOSE(CONTROL!$C$42, 7.3467, 7.3467) * CHOOSE(CONTROL!$C$21, $C$9, 100%, $E$9)</f>
        <v>7.3467000000000002</v>
      </c>
      <c r="E169" s="10">
        <f>CHOOSE(CONTROL!$C$42, 7.3805, 7.3805) * CHOOSE(CONTROL!$C$21, $C$9, 100%, $E$9)</f>
        <v>7.3804999999999996</v>
      </c>
      <c r="F169" s="10">
        <f>CHOOSE(CONTROL!$C$42, 7.2878, 7.2878)*CHOOSE(CONTROL!$C$21, $C$9, 100%, $E$9)</f>
        <v>7.2877999999999998</v>
      </c>
      <c r="G169" s="10">
        <f>CHOOSE(CONTROL!$C$42, 7.3067, 7.3067)*CHOOSE(CONTROL!$C$21, $C$9, 100%, $E$9)</f>
        <v>7.3067000000000002</v>
      </c>
      <c r="H169" s="10">
        <f>CHOOSE(CONTROL!$C$42, 7.3693, 7.3693) * CHOOSE(CONTROL!$C$21, $C$9, 100%, $E$9)</f>
        <v>7.3693</v>
      </c>
      <c r="I169" s="10">
        <f>CHOOSE(CONTROL!$C$42, 7.3138, 7.3138)* CHOOSE(CONTROL!$C$21, $C$9, 100%, $E$9)</f>
        <v>7.3137999999999996</v>
      </c>
      <c r="J169" s="10">
        <f>CHOOSE(CONTROL!$C$42, 7.2804, 7.2804)* CHOOSE(CONTROL!$C$21, $C$9, 100%, $E$9)</f>
        <v>7.2804000000000002</v>
      </c>
      <c r="K169" s="10">
        <f>CHOOSE(CONTROL!$C$42, 7.2618, 7.2618) * CHOOSE(CONTROL!$C$21, $C$9, 100%, $E$9)</f>
        <v>7.2618</v>
      </c>
      <c r="L169" s="10">
        <f>CHOOSE(CONTROL!$C$42, 7.9563, 7.9563) * CHOOSE(CONTROL!$C$21, $C$9, 100%, $E$9)</f>
        <v>7.9562999999999997</v>
      </c>
      <c r="M169" s="10">
        <f>CHOOSE(CONTROL!$C$42, 7.2192, 7.2192) * CHOOSE(CONTROL!$C$21, $C$9, 100%, $E$9)</f>
        <v>7.2191999999999998</v>
      </c>
      <c r="N169" s="10">
        <f>CHOOSE(CONTROL!$C$42, 7.2379, 7.2379) * CHOOSE(CONTROL!$C$21, $C$9, 100%, $E$9)</f>
        <v>7.2378999999999998</v>
      </c>
      <c r="O169" s="10">
        <f>CHOOSE(CONTROL!$C$42, 7.307, 7.307) * CHOOSE(CONTROL!$C$21, $C$9, 100%, $E$9)</f>
        <v>7.3070000000000004</v>
      </c>
      <c r="P169" s="10">
        <f>CHOOSE(CONTROL!$C$42, 7.2522, 7.2522) * CHOOSE(CONTROL!$C$21, $C$9, 100%, $E$9)</f>
        <v>7.2522000000000002</v>
      </c>
      <c r="Q169" s="10">
        <f>CHOOSE(CONTROL!$C$42, 7.9023, 7.9023) * CHOOSE(CONTROL!$C$21, $C$9, 100%, $E$9)</f>
        <v>7.9023000000000003</v>
      </c>
      <c r="R169" s="10">
        <f>CHOOSE(CONTROL!$C$42, 8.509, 8.509) * CHOOSE(CONTROL!$C$21, $C$9, 100%, $E$9)</f>
        <v>8.5090000000000003</v>
      </c>
      <c r="S169" s="10">
        <f>CHOOSE(CONTROL!$C$42, 7.0916, 7.0916) * CHOOSE(CONTROL!$C$21, $C$9, 100%, $E$9)</f>
        <v>7.0915999999999997</v>
      </c>
      <c r="T16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38">
        <f>(1000*CHOOSE(CONTROL!$C$42, 695, 695)*CHOOSE(CONTROL!$C$42, 0.5599, 0.5599)*CHOOSE(CONTROL!$C$42, 31, 31))/1000000</f>
        <v>12.063045499999998</v>
      </c>
      <c r="V169" s="38">
        <f>(1000*CHOOSE(CONTROL!$C$42, 500, 500)*CHOOSE(CONTROL!$C$42, 0.275, 0.275)*CHOOSE(CONTROL!$C$42, 31, 31))/1000000</f>
        <v>4.2625000000000002</v>
      </c>
      <c r="W169" s="38">
        <f>(1000*CHOOSE(CONTROL!$C$42, 0.1146, 0.1146)*CHOOSE(CONTROL!$C$42, 121.5, 121.5)*CHOOSE(CONTROL!$C$42, 31, 31))/1000000</f>
        <v>0.43164089999999994</v>
      </c>
      <c r="X169" s="38">
        <f>(31*0.1790888*100000/1000000)+(31*0.2374*100000/1000000)</f>
        <v>1.2911152800000001</v>
      </c>
      <c r="Y169" s="38">
        <f>(1000*600*CHOOSE(CONTROL!$C$42, 1.7143, 1.7143)*CHOOSE(CONTROL!$C$42, 31, 31))/1000000</f>
        <v>31.88598</v>
      </c>
      <c r="Z169" s="38"/>
      <c r="AA169" s="10"/>
      <c r="AB169" s="39"/>
      <c r="AC169" s="33">
        <f>(B169*122.58+C169*297.941+D169*89.177+E169*40.302+F169*40+G169*160+H169*0+I169*100+J169*300)/(122.58+297.941+89.177+40.302+0+40+160+100+300)</f>
        <v>7.3067354456521727</v>
      </c>
      <c r="AD169" s="27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7.2648187050359709</v>
      </c>
    </row>
    <row r="170" spans="1:30" ht="15" x14ac:dyDescent="0.2">
      <c r="A170" s="16">
        <v>46419</v>
      </c>
      <c r="B170" s="10">
        <f>CHOOSE(CONTROL!$C$42, 7.4369, 7.4369) * CHOOSE(CONTROL!$C$21, $C$9, 100%, $E$9)</f>
        <v>7.4368999999999996</v>
      </c>
      <c r="C170" s="10">
        <f>CHOOSE(CONTROL!$C$42, 7.442, 7.442) * CHOOSE(CONTROL!$C$21, $C$9, 100%, $E$9)</f>
        <v>7.4420000000000002</v>
      </c>
      <c r="D170" s="10">
        <f>CHOOSE(CONTROL!$C$42, 7.477, 7.477) * CHOOSE(CONTROL!$C$21, $C$9, 100%, $E$9)</f>
        <v>7.4770000000000003</v>
      </c>
      <c r="E170" s="10">
        <f>CHOOSE(CONTROL!$C$42, 7.5108, 7.5108) * CHOOSE(CONTROL!$C$21, $C$9, 100%, $E$9)</f>
        <v>7.5107999999999997</v>
      </c>
      <c r="F170" s="10">
        <f>CHOOSE(CONTROL!$C$42, 7.4177, 7.4177)*CHOOSE(CONTROL!$C$21, $C$9, 100%, $E$9)</f>
        <v>7.4177</v>
      </c>
      <c r="G170" s="10">
        <f>CHOOSE(CONTROL!$C$42, 7.4364, 7.4364)*CHOOSE(CONTROL!$C$21, $C$9, 100%, $E$9)</f>
        <v>7.4363999999999999</v>
      </c>
      <c r="H170" s="10">
        <f>CHOOSE(CONTROL!$C$42, 7.4997, 7.4997) * CHOOSE(CONTROL!$C$21, $C$9, 100%, $E$9)</f>
        <v>7.4996999999999998</v>
      </c>
      <c r="I170" s="10">
        <f>CHOOSE(CONTROL!$C$42, 7.4441, 7.4441)* CHOOSE(CONTROL!$C$21, $C$9, 100%, $E$9)</f>
        <v>7.4440999999999997</v>
      </c>
      <c r="J170" s="10">
        <f>CHOOSE(CONTROL!$C$42, 7.4103, 7.4103)* CHOOSE(CONTROL!$C$21, $C$9, 100%, $E$9)</f>
        <v>7.4103000000000003</v>
      </c>
      <c r="K170" s="10">
        <f>CHOOSE(CONTROL!$C$42, 7.387, 7.387) * CHOOSE(CONTROL!$C$21, $C$9, 100%, $E$9)</f>
        <v>7.3869999999999996</v>
      </c>
      <c r="L170" s="10">
        <f>CHOOSE(CONTROL!$C$42, 8.0867, 8.0867) * CHOOSE(CONTROL!$C$21, $C$9, 100%, $E$9)</f>
        <v>8.0867000000000004</v>
      </c>
      <c r="M170" s="10">
        <f>CHOOSE(CONTROL!$C$42, 7.3474, 7.3474) * CHOOSE(CONTROL!$C$21, $C$9, 100%, $E$9)</f>
        <v>7.3474000000000004</v>
      </c>
      <c r="N170" s="10">
        <f>CHOOSE(CONTROL!$C$42, 7.3659, 7.3659) * CHOOSE(CONTROL!$C$21, $C$9, 100%, $E$9)</f>
        <v>7.3658999999999999</v>
      </c>
      <c r="O170" s="10">
        <f>CHOOSE(CONTROL!$C$42, 7.4357, 7.4357) * CHOOSE(CONTROL!$C$21, $C$9, 100%, $E$9)</f>
        <v>7.4356999999999998</v>
      </c>
      <c r="P170" s="10">
        <f>CHOOSE(CONTROL!$C$42, 7.3809, 7.3809) * CHOOSE(CONTROL!$C$21, $C$9, 100%, $E$9)</f>
        <v>7.3808999999999996</v>
      </c>
      <c r="Q170" s="10">
        <f>CHOOSE(CONTROL!$C$42, 8.031, 8.031) * CHOOSE(CONTROL!$C$21, $C$9, 100%, $E$9)</f>
        <v>8.0310000000000006</v>
      </c>
      <c r="R170" s="10">
        <f>CHOOSE(CONTROL!$C$42, 8.638, 8.638) * CHOOSE(CONTROL!$C$21, $C$9, 100%, $E$9)</f>
        <v>8.6379999999999999</v>
      </c>
      <c r="S170" s="10">
        <f>CHOOSE(CONTROL!$C$42, 7.2178, 7.2178) * CHOOSE(CONTROL!$C$21, $C$9, 100%, $E$9)</f>
        <v>7.2178000000000004</v>
      </c>
      <c r="T17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38">
        <f>(1000*CHOOSE(CONTROL!$C$42, 695, 695)*CHOOSE(CONTROL!$C$42, 0.5599, 0.5599)*CHOOSE(CONTROL!$C$42, 28, 28))/1000000</f>
        <v>10.895653999999999</v>
      </c>
      <c r="V170" s="38">
        <f>(1000*CHOOSE(CONTROL!$C$42, 500, 500)*CHOOSE(CONTROL!$C$42, 0.275, 0.275)*CHOOSE(CONTROL!$C$42, 28, 28))/1000000</f>
        <v>3.85</v>
      </c>
      <c r="W170" s="38">
        <f>(1000*CHOOSE(CONTROL!$C$42, 0.1146, 0.1146)*CHOOSE(CONTROL!$C$42, 121.5, 121.5)*CHOOSE(CONTROL!$C$42, 28, 28))/1000000</f>
        <v>0.38986920000000003</v>
      </c>
      <c r="X170" s="38">
        <f>(28*0.1790888*100000/1000000)+(28*0.2374*100000/1000000)</f>
        <v>1.16616864</v>
      </c>
      <c r="Y170" s="38">
        <f>(1000*600*CHOOSE(CONTROL!$C$42, 1.7143, 1.7143)*CHOOSE(CONTROL!$C$42, 28, 28))/1000000</f>
        <v>28.800239999999999</v>
      </c>
      <c r="Z170" s="38"/>
      <c r="AA170" s="10"/>
      <c r="AB170" s="39"/>
      <c r="AC170" s="33">
        <f>(B170*122.58+C170*297.941+D170*89.177+E170*40.302+F170*40+G170*160+H170*0+I170*100+J170*300)/(122.58+297.941+89.177+40.302+0+40+160+100+300)</f>
        <v>7.4368702735652175</v>
      </c>
      <c r="AD170" s="27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7.3933057553956836</v>
      </c>
    </row>
    <row r="171" spans="1:30" ht="15" x14ac:dyDescent="0.2">
      <c r="A171" s="16">
        <v>46447</v>
      </c>
      <c r="B171" s="10">
        <f>CHOOSE(CONTROL!$C$42, 7.2253, 7.2253) * CHOOSE(CONTROL!$C$21, $C$9, 100%, $E$9)</f>
        <v>7.2252999999999998</v>
      </c>
      <c r="C171" s="10">
        <f>CHOOSE(CONTROL!$C$42, 7.2304, 7.2304) * CHOOSE(CONTROL!$C$21, $C$9, 100%, $E$9)</f>
        <v>7.2304000000000004</v>
      </c>
      <c r="D171" s="10">
        <f>CHOOSE(CONTROL!$C$42, 7.2654, 7.2654) * CHOOSE(CONTROL!$C$21, $C$9, 100%, $E$9)</f>
        <v>7.2653999999999996</v>
      </c>
      <c r="E171" s="10">
        <f>CHOOSE(CONTROL!$C$42, 7.2992, 7.2992) * CHOOSE(CONTROL!$C$21, $C$9, 100%, $E$9)</f>
        <v>7.2991999999999999</v>
      </c>
      <c r="F171" s="10">
        <f>CHOOSE(CONTROL!$C$42, 7.2047, 7.2047)*CHOOSE(CONTROL!$C$21, $C$9, 100%, $E$9)</f>
        <v>7.2046999999999999</v>
      </c>
      <c r="G171" s="10">
        <f>CHOOSE(CONTROL!$C$42, 7.2231, 7.2231)*CHOOSE(CONTROL!$C$21, $C$9, 100%, $E$9)</f>
        <v>7.2230999999999996</v>
      </c>
      <c r="H171" s="10">
        <f>CHOOSE(CONTROL!$C$42, 7.2881, 7.2881) * CHOOSE(CONTROL!$C$21, $C$9, 100%, $E$9)</f>
        <v>7.2881</v>
      </c>
      <c r="I171" s="10">
        <f>CHOOSE(CONTROL!$C$42, 7.2325, 7.2325)* CHOOSE(CONTROL!$C$21, $C$9, 100%, $E$9)</f>
        <v>7.2324999999999999</v>
      </c>
      <c r="J171" s="10">
        <f>CHOOSE(CONTROL!$C$42, 7.1973, 7.1973)* CHOOSE(CONTROL!$C$21, $C$9, 100%, $E$9)</f>
        <v>7.1973000000000003</v>
      </c>
      <c r="K171" s="10">
        <f>CHOOSE(CONTROL!$C$42, 7.179, 7.179) * CHOOSE(CONTROL!$C$21, $C$9, 100%, $E$9)</f>
        <v>7.1790000000000003</v>
      </c>
      <c r="L171" s="10">
        <f>CHOOSE(CONTROL!$C$42, 7.8751, 7.8751) * CHOOSE(CONTROL!$C$21, $C$9, 100%, $E$9)</f>
        <v>7.8750999999999998</v>
      </c>
      <c r="M171" s="10">
        <f>CHOOSE(CONTROL!$C$42, 7.1371, 7.1371) * CHOOSE(CONTROL!$C$21, $C$9, 100%, $E$9)</f>
        <v>7.1371000000000002</v>
      </c>
      <c r="N171" s="10">
        <f>CHOOSE(CONTROL!$C$42, 7.1553, 7.1553) * CHOOSE(CONTROL!$C$21, $C$9, 100%, $E$9)</f>
        <v>7.1553000000000004</v>
      </c>
      <c r="O171" s="10">
        <f>CHOOSE(CONTROL!$C$42, 7.2268, 7.2268) * CHOOSE(CONTROL!$C$21, $C$9, 100%, $E$9)</f>
        <v>7.2267999999999999</v>
      </c>
      <c r="P171" s="10">
        <f>CHOOSE(CONTROL!$C$42, 7.172, 7.172) * CHOOSE(CONTROL!$C$21, $C$9, 100%, $E$9)</f>
        <v>7.1719999999999997</v>
      </c>
      <c r="Q171" s="10">
        <f>CHOOSE(CONTROL!$C$42, 7.8221, 7.8221) * CHOOSE(CONTROL!$C$21, $C$9, 100%, $E$9)</f>
        <v>7.8220999999999998</v>
      </c>
      <c r="R171" s="10">
        <f>CHOOSE(CONTROL!$C$42, 8.4287, 8.4287) * CHOOSE(CONTROL!$C$21, $C$9, 100%, $E$9)</f>
        <v>8.4286999999999992</v>
      </c>
      <c r="S171" s="10">
        <f>CHOOSE(CONTROL!$C$42, 7.0129, 7.0129) * CHOOSE(CONTROL!$C$21, $C$9, 100%, $E$9)</f>
        <v>7.0129000000000001</v>
      </c>
      <c r="T17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38">
        <f>(1000*CHOOSE(CONTROL!$C$42, 695, 695)*CHOOSE(CONTROL!$C$42, 0.5599, 0.5599)*CHOOSE(CONTROL!$C$42, 31, 31))/1000000</f>
        <v>12.063045499999998</v>
      </c>
      <c r="V171" s="38">
        <f>(1000*CHOOSE(CONTROL!$C$42, 500, 500)*CHOOSE(CONTROL!$C$42, 0.275, 0.275)*CHOOSE(CONTROL!$C$42, 31, 31))/1000000</f>
        <v>4.2625000000000002</v>
      </c>
      <c r="W171" s="38">
        <f>(1000*CHOOSE(CONTROL!$C$42, 0.1146, 0.1146)*CHOOSE(CONTROL!$C$42, 121.5, 121.5)*CHOOSE(CONTROL!$C$42, 31, 31))/1000000</f>
        <v>0.43164089999999994</v>
      </c>
      <c r="X171" s="38">
        <f>(31*0.1790888*100000/1000000)+(31*0.2374*100000/1000000)</f>
        <v>1.2911152800000001</v>
      </c>
      <c r="Y171" s="38">
        <f>(1000*600*CHOOSE(CONTROL!$C$42, 1.7143, 1.7143)*CHOOSE(CONTROL!$C$42, 31, 31))/1000000</f>
        <v>31.88598</v>
      </c>
      <c r="Z171" s="38"/>
      <c r="AA171" s="10"/>
      <c r="AB171" s="39"/>
      <c r="AC171" s="33">
        <f>(B171*122.58+C171*297.941+D171*89.177+E171*40.302+F171*40+G171*160+H171*0+I171*100+J171*300)/(122.58+297.941+89.177+40.302+0+40+160+100+300)</f>
        <v>7.2246198387826084</v>
      </c>
      <c r="AD171" s="27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7.1838244604316541</v>
      </c>
    </row>
    <row r="172" spans="1:30" ht="15" x14ac:dyDescent="0.2">
      <c r="A172" s="16">
        <v>46478</v>
      </c>
      <c r="B172" s="10">
        <f>CHOOSE(CONTROL!$C$42, 7.2044, 7.2044) * CHOOSE(CONTROL!$C$21, $C$9, 100%, $E$9)</f>
        <v>7.2043999999999997</v>
      </c>
      <c r="C172" s="10">
        <f>CHOOSE(CONTROL!$C$42, 7.2089, 7.2089) * CHOOSE(CONTROL!$C$21, $C$9, 100%, $E$9)</f>
        <v>7.2088999999999999</v>
      </c>
      <c r="D172" s="10">
        <f>CHOOSE(CONTROL!$C$42, 7.3871, 7.3871) * CHOOSE(CONTROL!$C$21, $C$9, 100%, $E$9)</f>
        <v>7.3871000000000002</v>
      </c>
      <c r="E172" s="10">
        <f>CHOOSE(CONTROL!$C$42, 7.419, 7.419) * CHOOSE(CONTROL!$C$21, $C$9, 100%, $E$9)</f>
        <v>7.4189999999999996</v>
      </c>
      <c r="F172" s="10">
        <f>CHOOSE(CONTROL!$C$42, 7.1478, 7.1478)*CHOOSE(CONTROL!$C$21, $C$9, 100%, $E$9)</f>
        <v>7.1478000000000002</v>
      </c>
      <c r="G172" s="10">
        <f>CHOOSE(CONTROL!$C$42, 7.1644, 7.1644)*CHOOSE(CONTROL!$C$21, $C$9, 100%, $E$9)</f>
        <v>7.1643999999999997</v>
      </c>
      <c r="H172" s="10">
        <f>CHOOSE(CONTROL!$C$42, 7.4084, 7.4084) * CHOOSE(CONTROL!$C$21, $C$9, 100%, $E$9)</f>
        <v>7.4084000000000003</v>
      </c>
      <c r="I172" s="10">
        <f>CHOOSE(CONTROL!$C$42, 7.1804, 7.1804)* CHOOSE(CONTROL!$C$21, $C$9, 100%, $E$9)</f>
        <v>7.1803999999999997</v>
      </c>
      <c r="J172" s="10">
        <f>CHOOSE(CONTROL!$C$42, 7.1404, 7.1404)* CHOOSE(CONTROL!$C$21, $C$9, 100%, $E$9)</f>
        <v>7.1403999999999996</v>
      </c>
      <c r="K172" s="10">
        <f>CHOOSE(CONTROL!$C$42, 7.1137, 7.1137) * CHOOSE(CONTROL!$C$21, $C$9, 100%, $E$9)</f>
        <v>7.1136999999999997</v>
      </c>
      <c r="L172" s="10">
        <f>CHOOSE(CONTROL!$C$42, 7.9954, 7.9954) * CHOOSE(CONTROL!$C$21, $C$9, 100%, $E$9)</f>
        <v>7.9954000000000001</v>
      </c>
      <c r="M172" s="10">
        <f>CHOOSE(CONTROL!$C$42, 7.081, 7.081) * CHOOSE(CONTROL!$C$21, $C$9, 100%, $E$9)</f>
        <v>7.0810000000000004</v>
      </c>
      <c r="N172" s="10">
        <f>CHOOSE(CONTROL!$C$42, 7.0974, 7.0974) * CHOOSE(CONTROL!$C$21, $C$9, 100%, $E$9)</f>
        <v>7.0974000000000004</v>
      </c>
      <c r="O172" s="10">
        <f>CHOOSE(CONTROL!$C$42, 7.3456, 7.3456) * CHOOSE(CONTROL!$C$21, $C$9, 100%, $E$9)</f>
        <v>7.3456000000000001</v>
      </c>
      <c r="P172" s="10">
        <f>CHOOSE(CONTROL!$C$42, 7.1205, 7.1205) * CHOOSE(CONTROL!$C$21, $C$9, 100%, $E$9)</f>
        <v>7.1204999999999998</v>
      </c>
      <c r="Q172" s="10">
        <f>CHOOSE(CONTROL!$C$42, 7.9409, 7.9409) * CHOOSE(CONTROL!$C$21, $C$9, 100%, $E$9)</f>
        <v>7.9409000000000001</v>
      </c>
      <c r="R172" s="10">
        <f>CHOOSE(CONTROL!$C$42, 8.5477, 8.5477) * CHOOSE(CONTROL!$C$21, $C$9, 100%, $E$9)</f>
        <v>8.5477000000000007</v>
      </c>
      <c r="S172" s="10">
        <f>CHOOSE(CONTROL!$C$42, 6.9919, 6.9919) * CHOOSE(CONTROL!$C$21, $C$9, 100%, $E$9)</f>
        <v>6.9919000000000002</v>
      </c>
      <c r="T17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38">
        <f>(1000*CHOOSE(CONTROL!$C$42, 695, 695)*CHOOSE(CONTROL!$C$42, 0.5599, 0.5599)*CHOOSE(CONTROL!$C$42, 30, 30))/1000000</f>
        <v>11.673914999999997</v>
      </c>
      <c r="V172" s="38">
        <f>(1000*CHOOSE(CONTROL!$C$42, 500, 500)*CHOOSE(CONTROL!$C$42, 0.275, 0.275)*CHOOSE(CONTROL!$C$42, 30, 30))/1000000</f>
        <v>4.125</v>
      </c>
      <c r="W172" s="38">
        <f>(1000*CHOOSE(CONTROL!$C$42, 0.1146, 0.1146)*CHOOSE(CONTROL!$C$42, 121.5, 121.5)*CHOOSE(CONTROL!$C$42, 30, 30))/1000000</f>
        <v>0.417717</v>
      </c>
      <c r="X172" s="38">
        <f>(30*0.1790888*245000/1000000)+(30*0.2374*100000/1000000)</f>
        <v>2.0285026799999999</v>
      </c>
      <c r="Y172" s="38">
        <f>(1000*600*CHOOSE(CONTROL!$C$42, 1.7143, 1.7143)*CHOOSE(CONTROL!$C$42, 30, 30))/1000000</f>
        <v>30.857399999999998</v>
      </c>
      <c r="Z172" s="38"/>
      <c r="AA172" s="10"/>
      <c r="AB172" s="39"/>
      <c r="AC172" s="33">
        <f>(B172*141.293+C172*267.993+D172*115.016+E172*89.698+F172*40+G172*185+H172*0+I172*100+J172*300)/(141.293+267.993+115.016+89.698+0+40+185+100+300)</f>
        <v>7.2126361440677966</v>
      </c>
      <c r="AD172" s="27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7.1646992805755403</v>
      </c>
    </row>
    <row r="173" spans="1:30" ht="15" x14ac:dyDescent="0.2">
      <c r="A173" s="16">
        <v>46508</v>
      </c>
      <c r="B173" s="10">
        <f>CHOOSE(CONTROL!$C$42, 7.2699, 7.2699) * CHOOSE(CONTROL!$C$21, $C$9, 100%, $E$9)</f>
        <v>7.2698999999999998</v>
      </c>
      <c r="C173" s="10">
        <f>CHOOSE(CONTROL!$C$42, 7.2779, 7.2779) * CHOOSE(CONTROL!$C$21, $C$9, 100%, $E$9)</f>
        <v>7.2778999999999998</v>
      </c>
      <c r="D173" s="10">
        <f>CHOOSE(CONTROL!$C$42, 7.453, 7.453) * CHOOSE(CONTROL!$C$21, $C$9, 100%, $E$9)</f>
        <v>7.4530000000000003</v>
      </c>
      <c r="E173" s="10">
        <f>CHOOSE(CONTROL!$C$42, 7.4842, 7.4842) * CHOOSE(CONTROL!$C$21, $C$9, 100%, $E$9)</f>
        <v>7.4842000000000004</v>
      </c>
      <c r="F173" s="10">
        <f>CHOOSE(CONTROL!$C$42, 7.2115, 7.2115)*CHOOSE(CONTROL!$C$21, $C$9, 100%, $E$9)</f>
        <v>7.2115</v>
      </c>
      <c r="G173" s="10">
        <f>CHOOSE(CONTROL!$C$42, 7.2284, 7.2284)*CHOOSE(CONTROL!$C$21, $C$9, 100%, $E$9)</f>
        <v>7.2283999999999997</v>
      </c>
      <c r="H173" s="10">
        <f>CHOOSE(CONTROL!$C$42, 7.4725, 7.4725) * CHOOSE(CONTROL!$C$21, $C$9, 100%, $E$9)</f>
        <v>7.4725000000000001</v>
      </c>
      <c r="I173" s="10">
        <f>CHOOSE(CONTROL!$C$42, 7.2445, 7.2445)* CHOOSE(CONTROL!$C$21, $C$9, 100%, $E$9)</f>
        <v>7.2445000000000004</v>
      </c>
      <c r="J173" s="10">
        <f>CHOOSE(CONTROL!$C$42, 7.2041, 7.2041)* CHOOSE(CONTROL!$C$21, $C$9, 100%, $E$9)</f>
        <v>7.2041000000000004</v>
      </c>
      <c r="K173" s="10">
        <f>CHOOSE(CONTROL!$C$42, 7.175, 7.175) * CHOOSE(CONTROL!$C$21, $C$9, 100%, $E$9)</f>
        <v>7.1749999999999998</v>
      </c>
      <c r="L173" s="10">
        <f>CHOOSE(CONTROL!$C$42, 8.0595, 8.0595) * CHOOSE(CONTROL!$C$21, $C$9, 100%, $E$9)</f>
        <v>8.0594999999999999</v>
      </c>
      <c r="M173" s="10">
        <f>CHOOSE(CONTROL!$C$42, 7.1439, 7.1439) * CHOOSE(CONTROL!$C$21, $C$9, 100%, $E$9)</f>
        <v>7.1439000000000004</v>
      </c>
      <c r="N173" s="10">
        <f>CHOOSE(CONTROL!$C$42, 7.1606, 7.1606) * CHOOSE(CONTROL!$C$21, $C$9, 100%, $E$9)</f>
        <v>7.1605999999999996</v>
      </c>
      <c r="O173" s="10">
        <f>CHOOSE(CONTROL!$C$42, 7.4088, 7.4088) * CHOOSE(CONTROL!$C$21, $C$9, 100%, $E$9)</f>
        <v>7.4088000000000003</v>
      </c>
      <c r="P173" s="10">
        <f>CHOOSE(CONTROL!$C$42, 7.1838, 7.1838) * CHOOSE(CONTROL!$C$21, $C$9, 100%, $E$9)</f>
        <v>7.1837999999999997</v>
      </c>
      <c r="Q173" s="10">
        <f>CHOOSE(CONTROL!$C$42, 8.0041, 8.0041) * CHOOSE(CONTROL!$C$21, $C$9, 100%, $E$9)</f>
        <v>8.0040999999999993</v>
      </c>
      <c r="R173" s="10">
        <f>CHOOSE(CONTROL!$C$42, 8.6112, 8.6112) * CHOOSE(CONTROL!$C$21, $C$9, 100%, $E$9)</f>
        <v>8.6112000000000002</v>
      </c>
      <c r="S173" s="10">
        <f>CHOOSE(CONTROL!$C$42, 7.054, 7.054) * CHOOSE(CONTROL!$C$21, $C$9, 100%, $E$9)</f>
        <v>7.0540000000000003</v>
      </c>
      <c r="T17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38">
        <f>(1000*CHOOSE(CONTROL!$C$42, 695, 695)*CHOOSE(CONTROL!$C$42, 0.5599, 0.5599)*CHOOSE(CONTROL!$C$42, 31, 31))/1000000</f>
        <v>12.063045499999998</v>
      </c>
      <c r="V173" s="38">
        <f>(1000*CHOOSE(CONTROL!$C$42, 500, 500)*CHOOSE(CONTROL!$C$42, 0.275, 0.275)*CHOOSE(CONTROL!$C$42, 31, 31))/1000000</f>
        <v>4.2625000000000002</v>
      </c>
      <c r="W173" s="38">
        <f>(1000*CHOOSE(CONTROL!$C$42, 0.1146, 0.1146)*CHOOSE(CONTROL!$C$42, 121.5, 121.5)*CHOOSE(CONTROL!$C$42, 31, 31))/1000000</f>
        <v>0.43164089999999994</v>
      </c>
      <c r="X173" s="38">
        <f>(31*0.1790888*245000/1000000)+(31*0.2374*100000/1000000)</f>
        <v>2.0961194359999999</v>
      </c>
      <c r="Y173" s="38">
        <f>(1000*600*CHOOSE(CONTROL!$C$42, 1.7143, 1.7143)*CHOOSE(CONTROL!$C$42, 31, 31))/1000000</f>
        <v>31.88598</v>
      </c>
      <c r="Z173" s="38"/>
      <c r="AA173" s="10"/>
      <c r="AB173" s="39"/>
      <c r="AC173" s="33">
        <f>(B173*194.205+C173*267.466+D173*133.845+E173*53.484+F173*40+G173*185+H173*0+I173*100+J173*300)/(194.205+267.466+133.845+53.484+0+40+185+100+300)</f>
        <v>7.2744642611459964</v>
      </c>
      <c r="AD173" s="27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7.2278100719424465</v>
      </c>
    </row>
    <row r="174" spans="1:30" ht="15" x14ac:dyDescent="0.2">
      <c r="A174" s="16">
        <v>46539</v>
      </c>
      <c r="B174" s="10">
        <f>CHOOSE(CONTROL!$C$42, 7.4765, 7.4765) * CHOOSE(CONTROL!$C$21, $C$9, 100%, $E$9)</f>
        <v>7.4764999999999997</v>
      </c>
      <c r="C174" s="10">
        <f>CHOOSE(CONTROL!$C$42, 7.4845, 7.4845) * CHOOSE(CONTROL!$C$21, $C$9, 100%, $E$9)</f>
        <v>7.4844999999999997</v>
      </c>
      <c r="D174" s="10">
        <f>CHOOSE(CONTROL!$C$42, 7.6596, 7.6596) * CHOOSE(CONTROL!$C$21, $C$9, 100%, $E$9)</f>
        <v>7.6596000000000002</v>
      </c>
      <c r="E174" s="10">
        <f>CHOOSE(CONTROL!$C$42, 7.6908, 7.6908) * CHOOSE(CONTROL!$C$21, $C$9, 100%, $E$9)</f>
        <v>7.6908000000000003</v>
      </c>
      <c r="F174" s="10">
        <f>CHOOSE(CONTROL!$C$42, 7.4183, 7.4183)*CHOOSE(CONTROL!$C$21, $C$9, 100%, $E$9)</f>
        <v>7.4183000000000003</v>
      </c>
      <c r="G174" s="10">
        <f>CHOOSE(CONTROL!$C$42, 7.4353, 7.4353)*CHOOSE(CONTROL!$C$21, $C$9, 100%, $E$9)</f>
        <v>7.4352999999999998</v>
      </c>
      <c r="H174" s="10">
        <f>CHOOSE(CONTROL!$C$42, 7.6791, 7.6791) * CHOOSE(CONTROL!$C$21, $C$9, 100%, $E$9)</f>
        <v>7.6791</v>
      </c>
      <c r="I174" s="10">
        <f>CHOOSE(CONTROL!$C$42, 7.4511, 7.4511)* CHOOSE(CONTROL!$C$21, $C$9, 100%, $E$9)</f>
        <v>7.4511000000000003</v>
      </c>
      <c r="J174" s="10">
        <f>CHOOSE(CONTROL!$C$42, 7.4109, 7.4109)* CHOOSE(CONTROL!$C$21, $C$9, 100%, $E$9)</f>
        <v>7.4108999999999998</v>
      </c>
      <c r="K174" s="10">
        <f>CHOOSE(CONTROL!$C$42, 7.3755, 7.3755) * CHOOSE(CONTROL!$C$21, $C$9, 100%, $E$9)</f>
        <v>7.3754999999999997</v>
      </c>
      <c r="L174" s="10">
        <f>CHOOSE(CONTROL!$C$42, 8.2661, 8.2661) * CHOOSE(CONTROL!$C$21, $C$9, 100%, $E$9)</f>
        <v>8.2660999999999998</v>
      </c>
      <c r="M174" s="10">
        <f>CHOOSE(CONTROL!$C$42, 7.3481, 7.3481) * CHOOSE(CONTROL!$C$21, $C$9, 100%, $E$9)</f>
        <v>7.3480999999999996</v>
      </c>
      <c r="N174" s="10">
        <f>CHOOSE(CONTROL!$C$42, 7.3648, 7.3648) * CHOOSE(CONTROL!$C$21, $C$9, 100%, $E$9)</f>
        <v>7.3647999999999998</v>
      </c>
      <c r="O174" s="10">
        <f>CHOOSE(CONTROL!$C$42, 7.6128, 7.6128) * CHOOSE(CONTROL!$C$21, $C$9, 100%, $E$9)</f>
        <v>7.6128</v>
      </c>
      <c r="P174" s="10">
        <f>CHOOSE(CONTROL!$C$42, 7.3878, 7.3878) * CHOOSE(CONTROL!$C$21, $C$9, 100%, $E$9)</f>
        <v>7.3878000000000004</v>
      </c>
      <c r="Q174" s="10">
        <f>CHOOSE(CONTROL!$C$42, 8.2081, 8.2081) * CHOOSE(CONTROL!$C$21, $C$9, 100%, $E$9)</f>
        <v>8.2081</v>
      </c>
      <c r="R174" s="10">
        <f>CHOOSE(CONTROL!$C$42, 8.8156, 8.8156) * CHOOSE(CONTROL!$C$21, $C$9, 100%, $E$9)</f>
        <v>8.8155999999999999</v>
      </c>
      <c r="S174" s="10">
        <f>CHOOSE(CONTROL!$C$42, 7.2541, 7.2541) * CHOOSE(CONTROL!$C$21, $C$9, 100%, $E$9)</f>
        <v>7.2541000000000002</v>
      </c>
      <c r="T17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38">
        <f>(1000*CHOOSE(CONTROL!$C$42, 695, 695)*CHOOSE(CONTROL!$C$42, 0.5599, 0.5599)*CHOOSE(CONTROL!$C$42, 30, 30))/1000000</f>
        <v>11.673914999999997</v>
      </c>
      <c r="V174" s="38">
        <f>(1000*CHOOSE(CONTROL!$C$42, 500, 500)*CHOOSE(CONTROL!$C$42, 0.275, 0.275)*CHOOSE(CONTROL!$C$42, 30, 30))/1000000</f>
        <v>4.125</v>
      </c>
      <c r="W174" s="38">
        <f>(1000*CHOOSE(CONTROL!$C$42, 0.1146, 0.1146)*CHOOSE(CONTROL!$C$42, 121.5, 121.5)*CHOOSE(CONTROL!$C$42, 30, 30))/1000000</f>
        <v>0.417717</v>
      </c>
      <c r="X174" s="38">
        <f>(30*0.1790888*245000/1000000)+(30*0.2374*100000/1000000)</f>
        <v>2.0285026799999999</v>
      </c>
      <c r="Y174" s="38">
        <f>(1000*600*CHOOSE(CONTROL!$C$42, 1.7143, 1.7143)*CHOOSE(CONTROL!$C$42, 30, 30))/1000000</f>
        <v>30.857399999999998</v>
      </c>
      <c r="Z174" s="38"/>
      <c r="AA174" s="10"/>
      <c r="AB174" s="39"/>
      <c r="AC174" s="33">
        <f>(B174*194.205+C174*267.466+D174*133.845+E174*53.484+F174*40+G174*185+H174*0+I174*100+J174*300)/(194.205+267.466+133.845+53.484+0+40+185+100+300)</f>
        <v>7.4811611999215071</v>
      </c>
      <c r="AD174" s="27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7.4319251798561137</v>
      </c>
    </row>
    <row r="175" spans="1:30" ht="15" x14ac:dyDescent="0.2">
      <c r="A175" s="16">
        <v>46569</v>
      </c>
      <c r="B175" s="10">
        <f>CHOOSE(CONTROL!$C$42, 7.3328, 7.3328) * CHOOSE(CONTROL!$C$21, $C$9, 100%, $E$9)</f>
        <v>7.3327999999999998</v>
      </c>
      <c r="C175" s="10">
        <f>CHOOSE(CONTROL!$C$42, 7.3408, 7.3408) * CHOOSE(CONTROL!$C$21, $C$9, 100%, $E$9)</f>
        <v>7.3407999999999998</v>
      </c>
      <c r="D175" s="10">
        <f>CHOOSE(CONTROL!$C$42, 7.5159, 7.5159) * CHOOSE(CONTROL!$C$21, $C$9, 100%, $E$9)</f>
        <v>7.5159000000000002</v>
      </c>
      <c r="E175" s="10">
        <f>CHOOSE(CONTROL!$C$42, 7.5471, 7.5471) * CHOOSE(CONTROL!$C$21, $C$9, 100%, $E$9)</f>
        <v>7.5471000000000004</v>
      </c>
      <c r="F175" s="10">
        <f>CHOOSE(CONTROL!$C$42, 7.275, 7.275)*CHOOSE(CONTROL!$C$21, $C$9, 100%, $E$9)</f>
        <v>7.2750000000000004</v>
      </c>
      <c r="G175" s="10">
        <f>CHOOSE(CONTROL!$C$42, 7.292, 7.292)*CHOOSE(CONTROL!$C$21, $C$9, 100%, $E$9)</f>
        <v>7.2919999999999998</v>
      </c>
      <c r="H175" s="10">
        <f>CHOOSE(CONTROL!$C$42, 7.5354, 7.5354) * CHOOSE(CONTROL!$C$21, $C$9, 100%, $E$9)</f>
        <v>7.5354000000000001</v>
      </c>
      <c r="I175" s="10">
        <f>CHOOSE(CONTROL!$C$42, 7.3074, 7.3074)* CHOOSE(CONTROL!$C$21, $C$9, 100%, $E$9)</f>
        <v>7.3074000000000003</v>
      </c>
      <c r="J175" s="10">
        <f>CHOOSE(CONTROL!$C$42, 7.2676, 7.2676)* CHOOSE(CONTROL!$C$21, $C$9, 100%, $E$9)</f>
        <v>7.2675999999999998</v>
      </c>
      <c r="K175" s="10">
        <f>CHOOSE(CONTROL!$C$42, 7.2371, 7.2371) * CHOOSE(CONTROL!$C$21, $C$9, 100%, $E$9)</f>
        <v>7.2370999999999999</v>
      </c>
      <c r="L175" s="10">
        <f>CHOOSE(CONTROL!$C$42, 8.1224, 8.1224) * CHOOSE(CONTROL!$C$21, $C$9, 100%, $E$9)</f>
        <v>8.1224000000000007</v>
      </c>
      <c r="M175" s="10">
        <f>CHOOSE(CONTROL!$C$42, 7.2066, 7.2066) * CHOOSE(CONTROL!$C$21, $C$9, 100%, $E$9)</f>
        <v>7.2065999999999999</v>
      </c>
      <c r="N175" s="10">
        <f>CHOOSE(CONTROL!$C$42, 7.2234, 7.2234) * CHOOSE(CONTROL!$C$21, $C$9, 100%, $E$9)</f>
        <v>7.2233999999999998</v>
      </c>
      <c r="O175" s="10">
        <f>CHOOSE(CONTROL!$C$42, 7.4709, 7.4709) * CHOOSE(CONTROL!$C$21, $C$9, 100%, $E$9)</f>
        <v>7.4709000000000003</v>
      </c>
      <c r="P175" s="10">
        <f>CHOOSE(CONTROL!$C$42, 7.2459, 7.2459) * CHOOSE(CONTROL!$C$21, $C$9, 100%, $E$9)</f>
        <v>7.2458999999999998</v>
      </c>
      <c r="Q175" s="10">
        <f>CHOOSE(CONTROL!$C$42, 8.0662, 8.0662) * CHOOSE(CONTROL!$C$21, $C$9, 100%, $E$9)</f>
        <v>8.0662000000000003</v>
      </c>
      <c r="R175" s="10">
        <f>CHOOSE(CONTROL!$C$42, 8.6734, 8.6734) * CHOOSE(CONTROL!$C$21, $C$9, 100%, $E$9)</f>
        <v>8.6734000000000009</v>
      </c>
      <c r="S175" s="10">
        <f>CHOOSE(CONTROL!$C$42, 7.1149, 7.1149) * CHOOSE(CONTROL!$C$21, $C$9, 100%, $E$9)</f>
        <v>7.1148999999999996</v>
      </c>
      <c r="T17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38">
        <f>(1000*CHOOSE(CONTROL!$C$42, 695, 695)*CHOOSE(CONTROL!$C$42, 0.5599, 0.5599)*CHOOSE(CONTROL!$C$42, 31, 31))/1000000</f>
        <v>12.063045499999998</v>
      </c>
      <c r="V175" s="38">
        <f>(1000*CHOOSE(CONTROL!$C$42, 500, 500)*CHOOSE(CONTROL!$C$42, 0.275, 0.275)*CHOOSE(CONTROL!$C$42, 31, 31))/1000000</f>
        <v>4.2625000000000002</v>
      </c>
      <c r="W175" s="38">
        <f>(1000*CHOOSE(CONTROL!$C$42, 0.1146, 0.1146)*CHOOSE(CONTROL!$C$42, 121.5, 121.5)*CHOOSE(CONTROL!$C$42, 31, 31))/1000000</f>
        <v>0.43164089999999994</v>
      </c>
      <c r="X175" s="38">
        <f>(31*0.1790888*245000/1000000)+(31*0.2374*100000/1000000)</f>
        <v>2.0961194359999999</v>
      </c>
      <c r="Y175" s="38">
        <f>(1000*600*CHOOSE(CONTROL!$C$42, 1.7143, 1.7143)*CHOOSE(CONTROL!$C$42, 31, 31))/1000000</f>
        <v>31.88598</v>
      </c>
      <c r="Z175" s="38"/>
      <c r="AA175" s="10"/>
      <c r="AB175" s="39"/>
      <c r="AC175" s="33">
        <f>(B175*194.205+C175*267.466+D175*133.845+E175*53.484+F175*40+G175*185+H175*0+I175*100+J175*300)/(194.205+267.466+133.845+53.484+0+40+185+100+300)</f>
        <v>7.337626035086342</v>
      </c>
      <c r="AD175" s="27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7.2902784172661876</v>
      </c>
    </row>
    <row r="176" spans="1:30" ht="15" x14ac:dyDescent="0.2">
      <c r="A176" s="16">
        <v>46600</v>
      </c>
      <c r="B176" s="10">
        <f>CHOOSE(CONTROL!$C$42, 6.9699, 6.9699) * CHOOSE(CONTROL!$C$21, $C$9, 100%, $E$9)</f>
        <v>6.9699</v>
      </c>
      <c r="C176" s="10">
        <f>CHOOSE(CONTROL!$C$42, 6.9779, 6.9779) * CHOOSE(CONTROL!$C$21, $C$9, 100%, $E$9)</f>
        <v>6.9779</v>
      </c>
      <c r="D176" s="10">
        <f>CHOOSE(CONTROL!$C$42, 7.153, 7.153) * CHOOSE(CONTROL!$C$21, $C$9, 100%, $E$9)</f>
        <v>7.1529999999999996</v>
      </c>
      <c r="E176" s="10">
        <f>CHOOSE(CONTROL!$C$42, 7.1842, 7.1842) * CHOOSE(CONTROL!$C$21, $C$9, 100%, $E$9)</f>
        <v>7.1841999999999997</v>
      </c>
      <c r="F176" s="10">
        <f>CHOOSE(CONTROL!$C$42, 6.912, 6.912)*CHOOSE(CONTROL!$C$21, $C$9, 100%, $E$9)</f>
        <v>6.9119999999999999</v>
      </c>
      <c r="G176" s="10">
        <f>CHOOSE(CONTROL!$C$42, 6.929, 6.929)*CHOOSE(CONTROL!$C$21, $C$9, 100%, $E$9)</f>
        <v>6.9290000000000003</v>
      </c>
      <c r="H176" s="10">
        <f>CHOOSE(CONTROL!$C$42, 7.1726, 7.1726) * CHOOSE(CONTROL!$C$21, $C$9, 100%, $E$9)</f>
        <v>7.1726000000000001</v>
      </c>
      <c r="I176" s="10">
        <f>CHOOSE(CONTROL!$C$42, 6.9445, 6.9445)* CHOOSE(CONTROL!$C$21, $C$9, 100%, $E$9)</f>
        <v>6.9444999999999997</v>
      </c>
      <c r="J176" s="10">
        <f>CHOOSE(CONTROL!$C$42, 6.9046, 6.9046)* CHOOSE(CONTROL!$C$21, $C$9, 100%, $E$9)</f>
        <v>6.9046000000000003</v>
      </c>
      <c r="K176" s="10">
        <f>CHOOSE(CONTROL!$C$42, 6.8853, 6.8853) * CHOOSE(CONTROL!$C$21, $C$9, 100%, $E$9)</f>
        <v>6.8853</v>
      </c>
      <c r="L176" s="10">
        <f>CHOOSE(CONTROL!$C$42, 7.7596, 7.7596) * CHOOSE(CONTROL!$C$21, $C$9, 100%, $E$9)</f>
        <v>7.7595999999999998</v>
      </c>
      <c r="M176" s="10">
        <f>CHOOSE(CONTROL!$C$42, 6.8483, 6.8483) * CHOOSE(CONTROL!$C$21, $C$9, 100%, $E$9)</f>
        <v>6.8483000000000001</v>
      </c>
      <c r="N176" s="10">
        <f>CHOOSE(CONTROL!$C$42, 6.865, 6.865) * CHOOSE(CONTROL!$C$21, $C$9, 100%, $E$9)</f>
        <v>6.8650000000000002</v>
      </c>
      <c r="O176" s="10">
        <f>CHOOSE(CONTROL!$C$42, 7.1128, 7.1128) * CHOOSE(CONTROL!$C$21, $C$9, 100%, $E$9)</f>
        <v>7.1128</v>
      </c>
      <c r="P176" s="10">
        <f>CHOOSE(CONTROL!$C$42, 6.8877, 6.8877) * CHOOSE(CONTROL!$C$21, $C$9, 100%, $E$9)</f>
        <v>6.8876999999999997</v>
      </c>
      <c r="Q176" s="10">
        <f>CHOOSE(CONTROL!$C$42, 7.7081, 7.7081) * CHOOSE(CONTROL!$C$21, $C$9, 100%, $E$9)</f>
        <v>7.7081</v>
      </c>
      <c r="R176" s="10">
        <f>CHOOSE(CONTROL!$C$42, 8.3143, 8.3143) * CHOOSE(CONTROL!$C$21, $C$9, 100%, $E$9)</f>
        <v>8.3142999999999994</v>
      </c>
      <c r="S176" s="10">
        <f>CHOOSE(CONTROL!$C$42, 6.7635, 6.7635) * CHOOSE(CONTROL!$C$21, $C$9, 100%, $E$9)</f>
        <v>6.7634999999999996</v>
      </c>
      <c r="T17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38">
        <f>(1000*CHOOSE(CONTROL!$C$42, 695, 695)*CHOOSE(CONTROL!$C$42, 0.5599, 0.5599)*CHOOSE(CONTROL!$C$42, 31, 31))/1000000</f>
        <v>12.063045499999998</v>
      </c>
      <c r="V176" s="38">
        <f>(1000*CHOOSE(CONTROL!$C$42, 500, 500)*CHOOSE(CONTROL!$C$42, 0.275, 0.275)*CHOOSE(CONTROL!$C$42, 31, 31))/1000000</f>
        <v>4.2625000000000002</v>
      </c>
      <c r="W176" s="38">
        <f>(1000*CHOOSE(CONTROL!$C$42, 0.1146, 0.1146)*CHOOSE(CONTROL!$C$42, 121.5, 121.5)*CHOOSE(CONTROL!$C$42, 31, 31))/1000000</f>
        <v>0.43164089999999994</v>
      </c>
      <c r="X176" s="38">
        <f>(31*0.1790888*245000/1000000)+(31*0.2374*100000/1000000)</f>
        <v>2.0961194359999999</v>
      </c>
      <c r="Y176" s="38">
        <f>(1000*600*CHOOSE(CONTROL!$C$42, 1.7143, 1.7143)*CHOOSE(CONTROL!$C$42, 31, 31))/1000000</f>
        <v>31.88598</v>
      </c>
      <c r="Z176" s="38"/>
      <c r="AA176" s="10"/>
      <c r="AB176" s="39"/>
      <c r="AC176" s="33">
        <f>(B176*194.205+C176*267.466+D176*133.845+E176*53.484+F176*40+G176*185+H176*0+I176*100+J176*300)/(194.205+267.466+133.845+53.484+0+40+185+100+300)</f>
        <v>6.9746848262951335</v>
      </c>
      <c r="AD176" s="27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6.9320258992805757</v>
      </c>
    </row>
    <row r="177" spans="1:30" ht="15" x14ac:dyDescent="0.2">
      <c r="A177" s="16">
        <v>46631</v>
      </c>
      <c r="B177" s="10">
        <f>CHOOSE(CONTROL!$C$42, 6.5265, 6.5265) * CHOOSE(CONTROL!$C$21, $C$9, 100%, $E$9)</f>
        <v>6.5265000000000004</v>
      </c>
      <c r="C177" s="10">
        <f>CHOOSE(CONTROL!$C$42, 6.5345, 6.5345) * CHOOSE(CONTROL!$C$21, $C$9, 100%, $E$9)</f>
        <v>6.5345000000000004</v>
      </c>
      <c r="D177" s="10">
        <f>CHOOSE(CONTROL!$C$42, 6.7096, 6.7096) * CHOOSE(CONTROL!$C$21, $C$9, 100%, $E$9)</f>
        <v>6.7096</v>
      </c>
      <c r="E177" s="10">
        <f>CHOOSE(CONTROL!$C$42, 6.7408, 6.7408) * CHOOSE(CONTROL!$C$21, $C$9, 100%, $E$9)</f>
        <v>6.7408000000000001</v>
      </c>
      <c r="F177" s="10">
        <f>CHOOSE(CONTROL!$C$42, 6.4683, 6.4683)*CHOOSE(CONTROL!$C$21, $C$9, 100%, $E$9)</f>
        <v>6.4683000000000002</v>
      </c>
      <c r="G177" s="10">
        <f>CHOOSE(CONTROL!$C$42, 6.4852, 6.4852)*CHOOSE(CONTROL!$C$21, $C$9, 100%, $E$9)</f>
        <v>6.4851999999999999</v>
      </c>
      <c r="H177" s="10">
        <f>CHOOSE(CONTROL!$C$42, 6.7292, 6.7292) * CHOOSE(CONTROL!$C$21, $C$9, 100%, $E$9)</f>
        <v>6.7291999999999996</v>
      </c>
      <c r="I177" s="10">
        <f>CHOOSE(CONTROL!$C$42, 6.5011, 6.5011)* CHOOSE(CONTROL!$C$21, $C$9, 100%, $E$9)</f>
        <v>6.5011000000000001</v>
      </c>
      <c r="J177" s="10">
        <f>CHOOSE(CONTROL!$C$42, 6.4609, 6.4609)* CHOOSE(CONTROL!$C$21, $C$9, 100%, $E$9)</f>
        <v>6.4608999999999996</v>
      </c>
      <c r="K177" s="10">
        <f>CHOOSE(CONTROL!$C$42, 6.4551, 6.4551) * CHOOSE(CONTROL!$C$21, $C$9, 100%, $E$9)</f>
        <v>6.4550999999999998</v>
      </c>
      <c r="L177" s="10">
        <f>CHOOSE(CONTROL!$C$42, 7.3162, 7.3162) * CHOOSE(CONTROL!$C$21, $C$9, 100%, $E$9)</f>
        <v>7.3162000000000003</v>
      </c>
      <c r="M177" s="10">
        <f>CHOOSE(CONTROL!$C$42, 6.4103, 6.4103) * CHOOSE(CONTROL!$C$21, $C$9, 100%, $E$9)</f>
        <v>6.4103000000000003</v>
      </c>
      <c r="N177" s="10">
        <f>CHOOSE(CONTROL!$C$42, 6.427, 6.427) * CHOOSE(CONTROL!$C$21, $C$9, 100%, $E$9)</f>
        <v>6.4269999999999996</v>
      </c>
      <c r="O177" s="10">
        <f>CHOOSE(CONTROL!$C$42, 6.6751, 6.6751) * CHOOSE(CONTROL!$C$21, $C$9, 100%, $E$9)</f>
        <v>6.6750999999999996</v>
      </c>
      <c r="P177" s="10">
        <f>CHOOSE(CONTROL!$C$42, 6.4501, 6.4501) * CHOOSE(CONTROL!$C$21, $C$9, 100%, $E$9)</f>
        <v>6.4500999999999999</v>
      </c>
      <c r="Q177" s="10">
        <f>CHOOSE(CONTROL!$C$42, 7.2704, 7.2704) * CHOOSE(CONTROL!$C$21, $C$9, 100%, $E$9)</f>
        <v>7.2704000000000004</v>
      </c>
      <c r="R177" s="10">
        <f>CHOOSE(CONTROL!$C$42, 7.8756, 7.8756) * CHOOSE(CONTROL!$C$21, $C$9, 100%, $E$9)</f>
        <v>7.8756000000000004</v>
      </c>
      <c r="S177" s="10">
        <f>CHOOSE(CONTROL!$C$42, 6.3342, 6.3342) * CHOOSE(CONTROL!$C$21, $C$9, 100%, $E$9)</f>
        <v>6.3342000000000001</v>
      </c>
      <c r="T17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38">
        <f>(1000*CHOOSE(CONTROL!$C$42, 695, 695)*CHOOSE(CONTROL!$C$42, 0.5599, 0.5599)*CHOOSE(CONTROL!$C$42, 30, 30))/1000000</f>
        <v>11.673914999999997</v>
      </c>
      <c r="V177" s="38">
        <f>(1000*CHOOSE(CONTROL!$C$42, 500, 500)*CHOOSE(CONTROL!$C$42, 0.275, 0.275)*CHOOSE(CONTROL!$C$42, 30, 30))/1000000</f>
        <v>4.125</v>
      </c>
      <c r="W177" s="38">
        <f>(1000*CHOOSE(CONTROL!$C$42, 0.1146, 0.1146)*CHOOSE(CONTROL!$C$42, 121.5, 121.5)*CHOOSE(CONTROL!$C$42, 30, 30))/1000000</f>
        <v>0.417717</v>
      </c>
      <c r="X177" s="38">
        <f>(30*0.1790888*245000/1000000)+(30*0.2374*100000/1000000)</f>
        <v>2.0285026799999999</v>
      </c>
      <c r="Y177" s="38">
        <f>(1000*600*CHOOSE(CONTROL!$C$42, 1.7143, 1.7143)*CHOOSE(CONTROL!$C$42, 30, 30))/1000000</f>
        <v>30.857399999999998</v>
      </c>
      <c r="Z177" s="38"/>
      <c r="AA177" s="10"/>
      <c r="AB177" s="39"/>
      <c r="AC177" s="33">
        <f>(B177*194.205+C177*267.466+D177*133.845+E177*53.484+F177*40+G177*185+H177*0+I177*100+J177*300)/(194.205+267.466+133.845+53.484+0+40+185+100+300)</f>
        <v>6.5311466787284136</v>
      </c>
      <c r="AD177" s="27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6.4941676258992809</v>
      </c>
    </row>
    <row r="178" spans="1:30" ht="15" x14ac:dyDescent="0.2">
      <c r="A178" s="16">
        <v>46661</v>
      </c>
      <c r="B178" s="10">
        <f>CHOOSE(CONTROL!$C$42, 6.3916, 6.3916) * CHOOSE(CONTROL!$C$21, $C$9, 100%, $E$9)</f>
        <v>6.3916000000000004</v>
      </c>
      <c r="C178" s="10">
        <f>CHOOSE(CONTROL!$C$42, 6.3969, 6.3969) * CHOOSE(CONTROL!$C$21, $C$9, 100%, $E$9)</f>
        <v>6.3968999999999996</v>
      </c>
      <c r="D178" s="10">
        <f>CHOOSE(CONTROL!$C$42, 6.5769, 6.5769) * CHOOSE(CONTROL!$C$21, $C$9, 100%, $E$9)</f>
        <v>6.5769000000000002</v>
      </c>
      <c r="E178" s="10">
        <f>CHOOSE(CONTROL!$C$42, 6.6059, 6.6059) * CHOOSE(CONTROL!$C$21, $C$9, 100%, $E$9)</f>
        <v>6.6059000000000001</v>
      </c>
      <c r="F178" s="10">
        <f>CHOOSE(CONTROL!$C$42, 6.3354, 6.3354)*CHOOSE(CONTROL!$C$21, $C$9, 100%, $E$9)</f>
        <v>6.3353999999999999</v>
      </c>
      <c r="G178" s="10">
        <f>CHOOSE(CONTROL!$C$42, 6.352, 6.352)*CHOOSE(CONTROL!$C$21, $C$9, 100%, $E$9)</f>
        <v>6.3520000000000003</v>
      </c>
      <c r="H178" s="10">
        <f>CHOOSE(CONTROL!$C$42, 6.596, 6.596) * CHOOSE(CONTROL!$C$21, $C$9, 100%, $E$9)</f>
        <v>6.5960000000000001</v>
      </c>
      <c r="I178" s="10">
        <f>CHOOSE(CONTROL!$C$42, 6.368, 6.368)* CHOOSE(CONTROL!$C$21, $C$9, 100%, $E$9)</f>
        <v>6.3680000000000003</v>
      </c>
      <c r="J178" s="10">
        <f>CHOOSE(CONTROL!$C$42, 6.328, 6.328)* CHOOSE(CONTROL!$C$21, $C$9, 100%, $E$9)</f>
        <v>6.3280000000000003</v>
      </c>
      <c r="K178" s="10">
        <f>CHOOSE(CONTROL!$C$42, 6.3266, 6.3266) * CHOOSE(CONTROL!$C$21, $C$9, 100%, $E$9)</f>
        <v>6.3266</v>
      </c>
      <c r="L178" s="10">
        <f>CHOOSE(CONTROL!$C$42, 7.183, 7.183) * CHOOSE(CONTROL!$C$21, $C$9, 100%, $E$9)</f>
        <v>7.1829999999999998</v>
      </c>
      <c r="M178" s="10">
        <f>CHOOSE(CONTROL!$C$42, 6.2791, 6.2791) * CHOOSE(CONTROL!$C$21, $C$9, 100%, $E$9)</f>
        <v>6.2790999999999997</v>
      </c>
      <c r="N178" s="10">
        <f>CHOOSE(CONTROL!$C$42, 6.2955, 6.2955) * CHOOSE(CONTROL!$C$21, $C$9, 100%, $E$9)</f>
        <v>6.2954999999999997</v>
      </c>
      <c r="O178" s="10">
        <f>CHOOSE(CONTROL!$C$42, 6.5436, 6.5436) * CHOOSE(CONTROL!$C$21, $C$9, 100%, $E$9)</f>
        <v>6.5435999999999996</v>
      </c>
      <c r="P178" s="10">
        <f>CHOOSE(CONTROL!$C$42, 6.3186, 6.3186) * CHOOSE(CONTROL!$C$21, $C$9, 100%, $E$9)</f>
        <v>6.3186</v>
      </c>
      <c r="Q178" s="10">
        <f>CHOOSE(CONTROL!$C$42, 7.1389, 7.1389) * CHOOSE(CONTROL!$C$21, $C$9, 100%, $E$9)</f>
        <v>7.1388999999999996</v>
      </c>
      <c r="R178" s="10">
        <f>CHOOSE(CONTROL!$C$42, 7.7438, 7.7438) * CHOOSE(CONTROL!$C$21, $C$9, 100%, $E$9)</f>
        <v>7.7438000000000002</v>
      </c>
      <c r="S178" s="10">
        <f>CHOOSE(CONTROL!$C$42, 6.2052, 6.2052) * CHOOSE(CONTROL!$C$21, $C$9, 100%, $E$9)</f>
        <v>6.2051999999999996</v>
      </c>
      <c r="T17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38">
        <f>(1000*CHOOSE(CONTROL!$C$42, 695, 695)*CHOOSE(CONTROL!$C$42, 0.5599, 0.5599)*CHOOSE(CONTROL!$C$42, 31, 31))/1000000</f>
        <v>12.063045499999998</v>
      </c>
      <c r="V178" s="38">
        <f>(1000*CHOOSE(CONTROL!$C$42, 500, 500)*CHOOSE(CONTROL!$C$42, 0.275, 0.275)*CHOOSE(CONTROL!$C$42, 31, 31))/1000000</f>
        <v>4.2625000000000002</v>
      </c>
      <c r="W178" s="38">
        <f>(1000*CHOOSE(CONTROL!$C$42, 0.1146, 0.1146)*CHOOSE(CONTROL!$C$42, 121.5, 121.5)*CHOOSE(CONTROL!$C$42, 31, 31))/1000000</f>
        <v>0.43164089999999994</v>
      </c>
      <c r="X178" s="38">
        <f>(31*0.1790888*245000/1000000)+(31*0.2374*100000/1000000)</f>
        <v>2.0961194359999999</v>
      </c>
      <c r="Y178" s="38">
        <f>(1000*600*CHOOSE(CONTROL!$C$42, 1.7143, 1.7143)*CHOOSE(CONTROL!$C$42, 31, 31))/1000000</f>
        <v>31.88598</v>
      </c>
      <c r="Z178" s="38"/>
      <c r="AA178" s="10"/>
      <c r="AB178" s="39"/>
      <c r="AC178" s="33">
        <f>(B178*131.881+C178*277.167+D178*79.08+E178*125.872+F178*40+G178*185+H178*0+I178*100+J178*300)/(131.881+277.167+79.08+125.872+0+40+185+100+300)</f>
        <v>6.4013521216303459</v>
      </c>
      <c r="AD178" s="27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6.3627712230215829</v>
      </c>
    </row>
    <row r="179" spans="1:30" ht="15" x14ac:dyDescent="0.2">
      <c r="A179" s="16">
        <v>46692</v>
      </c>
      <c r="B179" s="10">
        <f>CHOOSE(CONTROL!$C$42, 6.56, 6.56) * CHOOSE(CONTROL!$C$21, $C$9, 100%, $E$9)</f>
        <v>6.56</v>
      </c>
      <c r="C179" s="10">
        <f>CHOOSE(CONTROL!$C$42, 6.5651, 6.5651) * CHOOSE(CONTROL!$C$21, $C$9, 100%, $E$9)</f>
        <v>6.5651000000000002</v>
      </c>
      <c r="D179" s="10">
        <f>CHOOSE(CONTROL!$C$42, 6.5898, 6.5898) * CHOOSE(CONTROL!$C$21, $C$9, 100%, $E$9)</f>
        <v>6.5898000000000003</v>
      </c>
      <c r="E179" s="10">
        <f>CHOOSE(CONTROL!$C$42, 6.6236, 6.6236) * CHOOSE(CONTROL!$C$21, $C$9, 100%, $E$9)</f>
        <v>6.6235999999999997</v>
      </c>
      <c r="F179" s="10">
        <f>CHOOSE(CONTROL!$C$42, 6.5256, 6.5256)*CHOOSE(CONTROL!$C$21, $C$9, 100%, $E$9)</f>
        <v>6.5255999999999998</v>
      </c>
      <c r="G179" s="10">
        <f>CHOOSE(CONTROL!$C$42, 6.5424, 6.5424)*CHOOSE(CONTROL!$C$21, $C$9, 100%, $E$9)</f>
        <v>6.5423999999999998</v>
      </c>
      <c r="H179" s="10">
        <f>CHOOSE(CONTROL!$C$42, 6.6125, 6.6125) * CHOOSE(CONTROL!$C$21, $C$9, 100%, $E$9)</f>
        <v>6.6124999999999998</v>
      </c>
      <c r="I179" s="10">
        <f>CHOOSE(CONTROL!$C$42, 6.5595, 6.5595)* CHOOSE(CONTROL!$C$21, $C$9, 100%, $E$9)</f>
        <v>6.5594999999999999</v>
      </c>
      <c r="J179" s="10">
        <f>CHOOSE(CONTROL!$C$42, 6.5182, 6.5182)* CHOOSE(CONTROL!$C$21, $C$9, 100%, $E$9)</f>
        <v>6.5182000000000002</v>
      </c>
      <c r="K179" s="10">
        <f>CHOOSE(CONTROL!$C$42, 6.5139, 6.5139) * CHOOSE(CONTROL!$C$21, $C$9, 100%, $E$9)</f>
        <v>6.5138999999999996</v>
      </c>
      <c r="L179" s="10">
        <f>CHOOSE(CONTROL!$C$42, 7.1995, 7.1995) * CHOOSE(CONTROL!$C$21, $C$9, 100%, $E$9)</f>
        <v>7.1994999999999996</v>
      </c>
      <c r="M179" s="10">
        <f>CHOOSE(CONTROL!$C$42, 6.4669, 6.4669) * CHOOSE(CONTROL!$C$21, $C$9, 100%, $E$9)</f>
        <v>6.4668999999999999</v>
      </c>
      <c r="N179" s="10">
        <f>CHOOSE(CONTROL!$C$42, 6.4835, 6.4835) * CHOOSE(CONTROL!$C$21, $C$9, 100%, $E$9)</f>
        <v>6.4835000000000003</v>
      </c>
      <c r="O179" s="10">
        <f>CHOOSE(CONTROL!$C$42, 6.5599, 6.5599) * CHOOSE(CONTROL!$C$21, $C$9, 100%, $E$9)</f>
        <v>6.5598999999999998</v>
      </c>
      <c r="P179" s="10">
        <f>CHOOSE(CONTROL!$C$42, 6.5077, 6.5077) * CHOOSE(CONTROL!$C$21, $C$9, 100%, $E$9)</f>
        <v>6.5076999999999998</v>
      </c>
      <c r="Q179" s="10">
        <f>CHOOSE(CONTROL!$C$42, 7.1552, 7.1552) * CHOOSE(CONTROL!$C$21, $C$9, 100%, $E$9)</f>
        <v>7.1551999999999998</v>
      </c>
      <c r="R179" s="10">
        <f>CHOOSE(CONTROL!$C$42, 7.7601, 7.7601) * CHOOSE(CONTROL!$C$21, $C$9, 100%, $E$9)</f>
        <v>7.7601000000000004</v>
      </c>
      <c r="S179" s="10">
        <f>CHOOSE(CONTROL!$C$42, 6.3687, 6.3687) * CHOOSE(CONTROL!$C$21, $C$9, 100%, $E$9)</f>
        <v>6.3686999999999996</v>
      </c>
      <c r="T17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38">
        <f>(1000*CHOOSE(CONTROL!$C$42, 695, 695)*CHOOSE(CONTROL!$C$42, 0.5599, 0.5599)*CHOOSE(CONTROL!$C$42, 30, 30))/1000000</f>
        <v>11.673914999999997</v>
      </c>
      <c r="V179" s="38">
        <f>(1000*CHOOSE(CONTROL!$C$42, 500, 500)*CHOOSE(CONTROL!$C$42, 0.275, 0.275)*CHOOSE(CONTROL!$C$42, 30, 30))/1000000</f>
        <v>4.125</v>
      </c>
      <c r="W179" s="38">
        <f>(1000*CHOOSE(CONTROL!$C$42, 0.1146, 0.1146)*CHOOSE(CONTROL!$C$42, 121.5, 121.5)*CHOOSE(CONTROL!$C$42, 30, 30))/1000000</f>
        <v>0.417717</v>
      </c>
      <c r="X179" s="38">
        <f>(30*0.1790888*100000/1000000)+(30*0.2374*100000/1000000)</f>
        <v>1.2494664</v>
      </c>
      <c r="Y179" s="38">
        <f>(1000*600*CHOOSE(CONTROL!$C$42, 1.7143, 1.7143)*CHOOSE(CONTROL!$C$42, 30, 30))/1000000</f>
        <v>30.857399999999998</v>
      </c>
      <c r="Z179" s="38"/>
      <c r="AA179" s="10"/>
      <c r="AB179" s="39"/>
      <c r="AC179" s="33">
        <f>(B179*122.58+C179*297.941+D179*89.177+E179*40.302+F179*40+G179*160+H179*0+I179*100+J179*300)/(122.58+297.941+89.177+40.302+0+40+160+100+300)</f>
        <v>6.5512679833913037</v>
      </c>
      <c r="AD179" s="27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6.5158769784172659</v>
      </c>
    </row>
    <row r="180" spans="1:30" ht="15" x14ac:dyDescent="0.2">
      <c r="A180" s="16">
        <v>46722</v>
      </c>
      <c r="B180" s="10">
        <f>CHOOSE(CONTROL!$C$42, 7.0084, 7.0084) * CHOOSE(CONTROL!$C$21, $C$9, 100%, $E$9)</f>
        <v>7.0084</v>
      </c>
      <c r="C180" s="10">
        <f>CHOOSE(CONTROL!$C$42, 7.0135, 7.0135) * CHOOSE(CONTROL!$C$21, $C$9, 100%, $E$9)</f>
        <v>7.0134999999999996</v>
      </c>
      <c r="D180" s="10">
        <f>CHOOSE(CONTROL!$C$42, 7.0381, 7.0381) * CHOOSE(CONTROL!$C$21, $C$9, 100%, $E$9)</f>
        <v>7.0381</v>
      </c>
      <c r="E180" s="10">
        <f>CHOOSE(CONTROL!$C$42, 7.072, 7.072) * CHOOSE(CONTROL!$C$21, $C$9, 100%, $E$9)</f>
        <v>7.0720000000000001</v>
      </c>
      <c r="F180" s="10">
        <f>CHOOSE(CONTROL!$C$42, 6.9758, 6.9758)*CHOOSE(CONTROL!$C$21, $C$9, 100%, $E$9)</f>
        <v>6.9757999999999996</v>
      </c>
      <c r="G180" s="10">
        <f>CHOOSE(CONTROL!$C$42, 6.9931, 6.9931)*CHOOSE(CONTROL!$C$21, $C$9, 100%, $E$9)</f>
        <v>6.9931000000000001</v>
      </c>
      <c r="H180" s="10">
        <f>CHOOSE(CONTROL!$C$42, 7.0608, 7.0608) * CHOOSE(CONTROL!$C$21, $C$9, 100%, $E$9)</f>
        <v>7.0608000000000004</v>
      </c>
      <c r="I180" s="10">
        <f>CHOOSE(CONTROL!$C$42, 7.0079, 7.0079)* CHOOSE(CONTROL!$C$21, $C$9, 100%, $E$9)</f>
        <v>7.0079000000000002</v>
      </c>
      <c r="J180" s="10">
        <f>CHOOSE(CONTROL!$C$42, 6.9684, 6.9684)* CHOOSE(CONTROL!$C$21, $C$9, 100%, $E$9)</f>
        <v>6.9683999999999999</v>
      </c>
      <c r="K180" s="10">
        <f>CHOOSE(CONTROL!$C$42, 6.9522, 6.9522) * CHOOSE(CONTROL!$C$21, $C$9, 100%, $E$9)</f>
        <v>6.9522000000000004</v>
      </c>
      <c r="L180" s="10">
        <f>CHOOSE(CONTROL!$C$42, 7.6478, 7.6478) * CHOOSE(CONTROL!$C$21, $C$9, 100%, $E$9)</f>
        <v>7.6478000000000002</v>
      </c>
      <c r="M180" s="10">
        <f>CHOOSE(CONTROL!$C$42, 6.9112, 6.9112) * CHOOSE(CONTROL!$C$21, $C$9, 100%, $E$9)</f>
        <v>6.9112</v>
      </c>
      <c r="N180" s="10">
        <f>CHOOSE(CONTROL!$C$42, 6.9283, 6.9283) * CHOOSE(CONTROL!$C$21, $C$9, 100%, $E$9)</f>
        <v>6.9283000000000001</v>
      </c>
      <c r="O180" s="10">
        <f>CHOOSE(CONTROL!$C$42, 7.0025, 7.0025) * CHOOSE(CONTROL!$C$21, $C$9, 100%, $E$9)</f>
        <v>7.0025000000000004</v>
      </c>
      <c r="P180" s="10">
        <f>CHOOSE(CONTROL!$C$42, 6.9502, 6.9502) * CHOOSE(CONTROL!$C$21, $C$9, 100%, $E$9)</f>
        <v>6.9501999999999997</v>
      </c>
      <c r="Q180" s="10">
        <f>CHOOSE(CONTROL!$C$42, 7.5978, 7.5978) * CHOOSE(CONTROL!$C$21, $C$9, 100%, $E$9)</f>
        <v>7.5978000000000003</v>
      </c>
      <c r="R180" s="10">
        <f>CHOOSE(CONTROL!$C$42, 8.2038, 8.2038) * CHOOSE(CONTROL!$C$21, $C$9, 100%, $E$9)</f>
        <v>8.2037999999999993</v>
      </c>
      <c r="S180" s="10">
        <f>CHOOSE(CONTROL!$C$42, 6.8029, 6.8029) * CHOOSE(CONTROL!$C$21, $C$9, 100%, $E$9)</f>
        <v>6.8029000000000002</v>
      </c>
      <c r="T18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38">
        <f>(1000*CHOOSE(CONTROL!$C$42, 695, 695)*CHOOSE(CONTROL!$C$42, 0.5599, 0.5599)*CHOOSE(CONTROL!$C$42, 31, 31))/1000000</f>
        <v>12.063045499999998</v>
      </c>
      <c r="V180" s="38">
        <f>(1000*CHOOSE(CONTROL!$C$42, 500, 500)*CHOOSE(CONTROL!$C$42, 0.275, 0.275)*CHOOSE(CONTROL!$C$42, 31, 31))/1000000</f>
        <v>4.2625000000000002</v>
      </c>
      <c r="W180" s="38">
        <f>(1000*CHOOSE(CONTROL!$C$42, 0.1146, 0.1146)*CHOOSE(CONTROL!$C$42, 121.5, 121.5)*CHOOSE(CONTROL!$C$42, 31, 31))/1000000</f>
        <v>0.43164089999999994</v>
      </c>
      <c r="X180" s="38">
        <f>(31*0.1790888*100000/1000000)+(31*0.2374*100000/1000000)</f>
        <v>1.2911152800000001</v>
      </c>
      <c r="Y180" s="38">
        <f>(1000*600*CHOOSE(CONTROL!$C$42, 1.7143, 1.7143)*CHOOSE(CONTROL!$C$42, 31, 31))/1000000</f>
        <v>31.88598</v>
      </c>
      <c r="Z180" s="38"/>
      <c r="AA180" s="10"/>
      <c r="AB180" s="39"/>
      <c r="AC180" s="33">
        <f>(B180*122.58+C180*297.941+D180*89.177+E180*40.302+F180*40+G180*160+H180*0+I180*100+J180*300)/(122.58+297.941+89.177+40.302+0+40+160+100+300)</f>
        <v>7.0005124027826087</v>
      </c>
      <c r="AD180" s="27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6.9591762589928061</v>
      </c>
    </row>
    <row r="181" spans="1:30" ht="15" x14ac:dyDescent="0.2">
      <c r="A181" s="16">
        <v>46753</v>
      </c>
      <c r="B181" s="10">
        <f>CHOOSE(CONTROL!$C$42, 7.5738, 7.5738) * CHOOSE(CONTROL!$C$21, $C$9, 100%, $E$9)</f>
        <v>7.5738000000000003</v>
      </c>
      <c r="C181" s="10">
        <f>CHOOSE(CONTROL!$C$42, 7.5789, 7.5789) * CHOOSE(CONTROL!$C$21, $C$9, 100%, $E$9)</f>
        <v>7.5789</v>
      </c>
      <c r="D181" s="10">
        <f>CHOOSE(CONTROL!$C$42, 7.6139, 7.6139) * CHOOSE(CONTROL!$C$21, $C$9, 100%, $E$9)</f>
        <v>7.6139000000000001</v>
      </c>
      <c r="E181" s="10">
        <f>CHOOSE(CONTROL!$C$42, 7.6477, 7.6477) * CHOOSE(CONTROL!$C$21, $C$9, 100%, $E$9)</f>
        <v>7.6477000000000004</v>
      </c>
      <c r="F181" s="10">
        <f>CHOOSE(CONTROL!$C$42, 7.5551, 7.5551)*CHOOSE(CONTROL!$C$21, $C$9, 100%, $E$9)</f>
        <v>7.5551000000000004</v>
      </c>
      <c r="G181" s="10">
        <f>CHOOSE(CONTROL!$C$42, 7.574, 7.574)*CHOOSE(CONTROL!$C$21, $C$9, 100%, $E$9)</f>
        <v>7.5739999999999998</v>
      </c>
      <c r="H181" s="10">
        <f>CHOOSE(CONTROL!$C$42, 7.6366, 7.6366) * CHOOSE(CONTROL!$C$21, $C$9, 100%, $E$9)</f>
        <v>7.6365999999999996</v>
      </c>
      <c r="I181" s="10">
        <f>CHOOSE(CONTROL!$C$42, 7.581, 7.581)* CHOOSE(CONTROL!$C$21, $C$9, 100%, $E$9)</f>
        <v>7.5810000000000004</v>
      </c>
      <c r="J181" s="10">
        <f>CHOOSE(CONTROL!$C$42, 7.5477, 7.5477)* CHOOSE(CONTROL!$C$21, $C$9, 100%, $E$9)</f>
        <v>7.5476999999999999</v>
      </c>
      <c r="K181" s="10">
        <f>CHOOSE(CONTROL!$C$42, 7.5207, 7.5207) * CHOOSE(CONTROL!$C$21, $C$9, 100%, $E$9)</f>
        <v>7.5206999999999997</v>
      </c>
      <c r="L181" s="10">
        <f>CHOOSE(CONTROL!$C$42, 8.2236, 8.2236) * CHOOSE(CONTROL!$C$21, $C$9, 100%, $E$9)</f>
        <v>8.2235999999999994</v>
      </c>
      <c r="M181" s="10">
        <f>CHOOSE(CONTROL!$C$42, 7.483, 7.483) * CHOOSE(CONTROL!$C$21, $C$9, 100%, $E$9)</f>
        <v>7.4829999999999997</v>
      </c>
      <c r="N181" s="10">
        <f>CHOOSE(CONTROL!$C$42, 7.5017, 7.5017) * CHOOSE(CONTROL!$C$21, $C$9, 100%, $E$9)</f>
        <v>7.5016999999999996</v>
      </c>
      <c r="O181" s="10">
        <f>CHOOSE(CONTROL!$C$42, 7.5708, 7.5708) * CHOOSE(CONTROL!$C$21, $C$9, 100%, $E$9)</f>
        <v>7.5708000000000002</v>
      </c>
      <c r="P181" s="10">
        <f>CHOOSE(CONTROL!$C$42, 7.516, 7.516) * CHOOSE(CONTROL!$C$21, $C$9, 100%, $E$9)</f>
        <v>7.516</v>
      </c>
      <c r="Q181" s="10">
        <f>CHOOSE(CONTROL!$C$42, 8.1661, 8.1661) * CHOOSE(CONTROL!$C$21, $C$9, 100%, $E$9)</f>
        <v>8.1661000000000001</v>
      </c>
      <c r="R181" s="10">
        <f>CHOOSE(CONTROL!$C$42, 8.7735, 8.7735) * CHOOSE(CONTROL!$C$21, $C$9, 100%, $E$9)</f>
        <v>8.7735000000000003</v>
      </c>
      <c r="S181" s="10">
        <f>CHOOSE(CONTROL!$C$42, 7.3504, 7.3504) * CHOOSE(CONTROL!$C$21, $C$9, 100%, $E$9)</f>
        <v>7.3503999999999996</v>
      </c>
      <c r="T18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38">
        <f>(1000*CHOOSE(CONTROL!$C$42, 695, 695)*CHOOSE(CONTROL!$C$42, 0.5599, 0.5599)*CHOOSE(CONTROL!$C$42, 31, 31))/1000000</f>
        <v>12.063045499999998</v>
      </c>
      <c r="V181" s="38">
        <f>(1000*CHOOSE(CONTROL!$C$42, 500, 500)*CHOOSE(CONTROL!$C$42, 0.275, 0.275)*CHOOSE(CONTROL!$C$42, 31, 31))/1000000</f>
        <v>4.2625000000000002</v>
      </c>
      <c r="W181" s="38">
        <f>(1000*CHOOSE(CONTROL!$C$42, 0.1146, 0.1146)*CHOOSE(CONTROL!$C$42, 121.5, 121.5)*CHOOSE(CONTROL!$C$42, 31, 31))/1000000</f>
        <v>0.43164089999999994</v>
      </c>
      <c r="X181" s="38">
        <f>(31*0.1790888*100000/1000000)+(31*0.2374*100000/1000000)</f>
        <v>1.2911152800000001</v>
      </c>
      <c r="Y181" s="38">
        <f>(1000*600*CHOOSE(CONTROL!$C$42, 1.7044, 1.7044)*CHOOSE(CONTROL!$C$42, 31, 31))/1000000</f>
        <v>31.701840000000001</v>
      </c>
      <c r="Z181" s="38"/>
      <c r="AA181" s="10"/>
      <c r="AB181" s="39"/>
      <c r="AC181" s="33">
        <f>(B181*122.58+C181*297.941+D181*89.177+E181*40.302+F181*40+G181*160+H181*0+I181*100+J181*300)/(122.58+297.941+89.177+40.302+0+40+160+100+300)</f>
        <v>7.5740154909565218</v>
      </c>
      <c r="AD181" s="27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7.5286187050359716</v>
      </c>
    </row>
    <row r="182" spans="1:30" ht="15" x14ac:dyDescent="0.2">
      <c r="A182" s="16">
        <v>46784</v>
      </c>
      <c r="B182" s="10">
        <f>CHOOSE(CONTROL!$C$42, 7.7089, 7.7089) * CHOOSE(CONTROL!$C$21, $C$9, 100%, $E$9)</f>
        <v>7.7088999999999999</v>
      </c>
      <c r="C182" s="10">
        <f>CHOOSE(CONTROL!$C$42, 7.714, 7.714) * CHOOSE(CONTROL!$C$21, $C$9, 100%, $E$9)</f>
        <v>7.7140000000000004</v>
      </c>
      <c r="D182" s="10">
        <f>CHOOSE(CONTROL!$C$42, 7.749, 7.749) * CHOOSE(CONTROL!$C$21, $C$9, 100%, $E$9)</f>
        <v>7.7489999999999997</v>
      </c>
      <c r="E182" s="10">
        <f>CHOOSE(CONTROL!$C$42, 7.7828, 7.7828) * CHOOSE(CONTROL!$C$21, $C$9, 100%, $E$9)</f>
        <v>7.7827999999999999</v>
      </c>
      <c r="F182" s="10">
        <f>CHOOSE(CONTROL!$C$42, 7.6897, 7.6897)*CHOOSE(CONTROL!$C$21, $C$9, 100%, $E$9)</f>
        <v>7.6897000000000002</v>
      </c>
      <c r="G182" s="10">
        <f>CHOOSE(CONTROL!$C$42, 7.7084, 7.7084)*CHOOSE(CONTROL!$C$21, $C$9, 100%, $E$9)</f>
        <v>7.7084000000000001</v>
      </c>
      <c r="H182" s="10">
        <f>CHOOSE(CONTROL!$C$42, 7.7717, 7.7717) * CHOOSE(CONTROL!$C$21, $C$9, 100%, $E$9)</f>
        <v>7.7717000000000001</v>
      </c>
      <c r="I182" s="10">
        <f>CHOOSE(CONTROL!$C$42, 7.7162, 7.7162)* CHOOSE(CONTROL!$C$21, $C$9, 100%, $E$9)</f>
        <v>7.7161999999999997</v>
      </c>
      <c r="J182" s="10">
        <f>CHOOSE(CONTROL!$C$42, 7.6823, 7.6823)* CHOOSE(CONTROL!$C$21, $C$9, 100%, $E$9)</f>
        <v>7.6822999999999997</v>
      </c>
      <c r="K182" s="10">
        <f>CHOOSE(CONTROL!$C$42, 7.6505, 7.6505) * CHOOSE(CONTROL!$C$21, $C$9, 100%, $E$9)</f>
        <v>7.6505000000000001</v>
      </c>
      <c r="L182" s="10">
        <f>CHOOSE(CONTROL!$C$42, 8.3587, 8.3587) * CHOOSE(CONTROL!$C$21, $C$9, 100%, $E$9)</f>
        <v>8.3587000000000007</v>
      </c>
      <c r="M182" s="10">
        <f>CHOOSE(CONTROL!$C$42, 7.6159, 7.6159) * CHOOSE(CONTROL!$C$21, $C$9, 100%, $E$9)</f>
        <v>7.6158999999999999</v>
      </c>
      <c r="N182" s="10">
        <f>CHOOSE(CONTROL!$C$42, 7.6344, 7.6344) * CHOOSE(CONTROL!$C$21, $C$9, 100%, $E$9)</f>
        <v>7.6344000000000003</v>
      </c>
      <c r="O182" s="10">
        <f>CHOOSE(CONTROL!$C$42, 7.7042, 7.7042) * CHOOSE(CONTROL!$C$21, $C$9, 100%, $E$9)</f>
        <v>7.7042000000000002</v>
      </c>
      <c r="P182" s="10">
        <f>CHOOSE(CONTROL!$C$42, 7.6494, 7.6494) * CHOOSE(CONTROL!$C$21, $C$9, 100%, $E$9)</f>
        <v>7.6494</v>
      </c>
      <c r="Q182" s="10">
        <f>CHOOSE(CONTROL!$C$42, 8.2995, 8.2995) * CHOOSE(CONTROL!$C$21, $C$9, 100%, $E$9)</f>
        <v>8.2995000000000001</v>
      </c>
      <c r="R182" s="10">
        <f>CHOOSE(CONTROL!$C$42, 8.9072, 8.9072) * CHOOSE(CONTROL!$C$21, $C$9, 100%, $E$9)</f>
        <v>8.9071999999999996</v>
      </c>
      <c r="S182" s="10">
        <f>CHOOSE(CONTROL!$C$42, 7.4812, 7.4812) * CHOOSE(CONTROL!$C$21, $C$9, 100%, $E$9)</f>
        <v>7.4812000000000003</v>
      </c>
      <c r="T18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82" s="38">
        <f>(1000*CHOOSE(CONTROL!$C$42, 695, 695)*CHOOSE(CONTROL!$C$42, 0.5599, 0.5599)*CHOOSE(CONTROL!$C$42, 29, 29))/1000000</f>
        <v>11.284784499999999</v>
      </c>
      <c r="V182" s="38">
        <f>(1000*CHOOSE(CONTROL!$C$42, 500, 500)*CHOOSE(CONTROL!$C$42, 0.275, 0.275)*CHOOSE(CONTROL!$C$42, 29, 29))/1000000</f>
        <v>3.9874999999999998</v>
      </c>
      <c r="W182" s="38">
        <f>(1000*CHOOSE(CONTROL!$C$42, 0.1146, 0.1146)*CHOOSE(CONTROL!$C$42, 121.5, 121.5)*CHOOSE(CONTROL!$C$42, 29, 29))/1000000</f>
        <v>0.40379309999999996</v>
      </c>
      <c r="X182" s="38">
        <f>(29*0.1790888*100000/1000000)+(29*0.2374*100000/1000000)</f>
        <v>1.2078175199999999</v>
      </c>
      <c r="Y182" s="38">
        <f>(1000*600*CHOOSE(CONTROL!$C$42, 1.7044, 1.7044)*CHOOSE(CONTROL!$C$42, 29, 29))/1000000</f>
        <v>29.656559999999999</v>
      </c>
      <c r="Z182" s="38"/>
      <c r="AA182" s="10"/>
      <c r="AB182" s="39"/>
      <c r="AC182" s="33">
        <f>(B182*122.58+C182*297.941+D182*89.177+E182*40.302+F182*40+G182*160+H182*0+I182*100+J182*300)/(122.58+297.941+89.177+40.302+0+40+160+100+300)</f>
        <v>7.7088789692173902</v>
      </c>
      <c r="AD182" s="27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7.6618057553956831</v>
      </c>
    </row>
    <row r="183" spans="1:30" ht="15" x14ac:dyDescent="0.2">
      <c r="A183" s="16">
        <v>46813</v>
      </c>
      <c r="B183" s="10">
        <f>CHOOSE(CONTROL!$C$42, 7.4896, 7.4896) * CHOOSE(CONTROL!$C$21, $C$9, 100%, $E$9)</f>
        <v>7.4896000000000003</v>
      </c>
      <c r="C183" s="10">
        <f>CHOOSE(CONTROL!$C$42, 7.4947, 7.4947) * CHOOSE(CONTROL!$C$21, $C$9, 100%, $E$9)</f>
        <v>7.4946999999999999</v>
      </c>
      <c r="D183" s="10">
        <f>CHOOSE(CONTROL!$C$42, 7.5297, 7.5297) * CHOOSE(CONTROL!$C$21, $C$9, 100%, $E$9)</f>
        <v>7.5297000000000001</v>
      </c>
      <c r="E183" s="10">
        <f>CHOOSE(CONTROL!$C$42, 7.5635, 7.5635) * CHOOSE(CONTROL!$C$21, $C$9, 100%, $E$9)</f>
        <v>7.5635000000000003</v>
      </c>
      <c r="F183" s="10">
        <f>CHOOSE(CONTROL!$C$42, 7.469, 7.469)*CHOOSE(CONTROL!$C$21, $C$9, 100%, $E$9)</f>
        <v>7.4690000000000003</v>
      </c>
      <c r="G183" s="10">
        <f>CHOOSE(CONTROL!$C$42, 7.4874, 7.4874)*CHOOSE(CONTROL!$C$21, $C$9, 100%, $E$9)</f>
        <v>7.4874000000000001</v>
      </c>
      <c r="H183" s="10">
        <f>CHOOSE(CONTROL!$C$42, 7.5524, 7.5524) * CHOOSE(CONTROL!$C$21, $C$9, 100%, $E$9)</f>
        <v>7.5523999999999996</v>
      </c>
      <c r="I183" s="10">
        <f>CHOOSE(CONTROL!$C$42, 7.4968, 7.4968)* CHOOSE(CONTROL!$C$21, $C$9, 100%, $E$9)</f>
        <v>7.4968000000000004</v>
      </c>
      <c r="J183" s="10">
        <f>CHOOSE(CONTROL!$C$42, 7.4616, 7.4616)* CHOOSE(CONTROL!$C$21, $C$9, 100%, $E$9)</f>
        <v>7.4615999999999998</v>
      </c>
      <c r="K183" s="10">
        <f>CHOOSE(CONTROL!$C$42, 7.435, 7.435) * CHOOSE(CONTROL!$C$21, $C$9, 100%, $E$9)</f>
        <v>7.4349999999999996</v>
      </c>
      <c r="L183" s="10">
        <f>CHOOSE(CONTROL!$C$42, 8.1394, 8.1394) * CHOOSE(CONTROL!$C$21, $C$9, 100%, $E$9)</f>
        <v>8.1394000000000002</v>
      </c>
      <c r="M183" s="10">
        <f>CHOOSE(CONTROL!$C$42, 7.398, 7.398) * CHOOSE(CONTROL!$C$21, $C$9, 100%, $E$9)</f>
        <v>7.3979999999999997</v>
      </c>
      <c r="N183" s="10">
        <f>CHOOSE(CONTROL!$C$42, 7.4162, 7.4162) * CHOOSE(CONTROL!$C$21, $C$9, 100%, $E$9)</f>
        <v>7.4161999999999999</v>
      </c>
      <c r="O183" s="10">
        <f>CHOOSE(CONTROL!$C$42, 7.4877, 7.4877) * CHOOSE(CONTROL!$C$21, $C$9, 100%, $E$9)</f>
        <v>7.4877000000000002</v>
      </c>
      <c r="P183" s="10">
        <f>CHOOSE(CONTROL!$C$42, 7.4329, 7.4329) * CHOOSE(CONTROL!$C$21, $C$9, 100%, $E$9)</f>
        <v>7.4329000000000001</v>
      </c>
      <c r="Q183" s="10">
        <f>CHOOSE(CONTROL!$C$42, 8.083, 8.083) * CHOOSE(CONTROL!$C$21, $C$9, 100%, $E$9)</f>
        <v>8.0830000000000002</v>
      </c>
      <c r="R183" s="10">
        <f>CHOOSE(CONTROL!$C$42, 8.6902, 8.6902) * CHOOSE(CONTROL!$C$21, $C$9, 100%, $E$9)</f>
        <v>8.6902000000000008</v>
      </c>
      <c r="S183" s="10">
        <f>CHOOSE(CONTROL!$C$42, 7.2688, 7.2688) * CHOOSE(CONTROL!$C$21, $C$9, 100%, $E$9)</f>
        <v>7.2687999999999997</v>
      </c>
      <c r="T18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38">
        <f>(1000*CHOOSE(CONTROL!$C$42, 695, 695)*CHOOSE(CONTROL!$C$42, 0.5599, 0.5599)*CHOOSE(CONTROL!$C$42, 31, 31))/1000000</f>
        <v>12.063045499999998</v>
      </c>
      <c r="V183" s="38">
        <f>(1000*CHOOSE(CONTROL!$C$42, 500, 500)*CHOOSE(CONTROL!$C$42, 0.275, 0.275)*CHOOSE(CONTROL!$C$42, 31, 31))/1000000</f>
        <v>4.2625000000000002</v>
      </c>
      <c r="W183" s="38">
        <f>(1000*CHOOSE(CONTROL!$C$42, 0.1146, 0.1146)*CHOOSE(CONTROL!$C$42, 121.5, 121.5)*CHOOSE(CONTROL!$C$42, 31, 31))/1000000</f>
        <v>0.43164089999999994</v>
      </c>
      <c r="X183" s="38">
        <f>(31*0.1790888*100000/1000000)+(31*0.2374*100000/1000000)</f>
        <v>1.2911152800000001</v>
      </c>
      <c r="Y183" s="38">
        <f>(1000*600*CHOOSE(CONTROL!$C$42, 1.7044, 1.7044)*CHOOSE(CONTROL!$C$42, 31, 31))/1000000</f>
        <v>31.701840000000001</v>
      </c>
      <c r="Z183" s="38"/>
      <c r="AA183" s="10"/>
      <c r="AB183" s="39"/>
      <c r="AC183" s="33">
        <f>(B183*122.58+C183*297.941+D183*89.177+E183*40.302+F183*40+G183*160+H183*0+I183*100+J183*300)/(122.58+297.941+89.177+40.302+0+40+160+100+300)</f>
        <v>7.4889198387826088</v>
      </c>
      <c r="AD183" s="27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7.4447244604316545</v>
      </c>
    </row>
    <row r="184" spans="1:30" ht="15" x14ac:dyDescent="0.2">
      <c r="A184" s="16">
        <v>46844</v>
      </c>
      <c r="B184" s="10">
        <f>CHOOSE(CONTROL!$C$42, 7.4679, 7.4679) * CHOOSE(CONTROL!$C$21, $C$9, 100%, $E$9)</f>
        <v>7.4679000000000002</v>
      </c>
      <c r="C184" s="10">
        <f>CHOOSE(CONTROL!$C$42, 7.4724, 7.4724) * CHOOSE(CONTROL!$C$21, $C$9, 100%, $E$9)</f>
        <v>7.4724000000000004</v>
      </c>
      <c r="D184" s="10">
        <f>CHOOSE(CONTROL!$C$42, 7.6506, 7.6506) * CHOOSE(CONTROL!$C$21, $C$9, 100%, $E$9)</f>
        <v>7.6505999999999998</v>
      </c>
      <c r="E184" s="10">
        <f>CHOOSE(CONTROL!$C$42, 7.6825, 7.6825) * CHOOSE(CONTROL!$C$21, $C$9, 100%, $E$9)</f>
        <v>7.6825000000000001</v>
      </c>
      <c r="F184" s="10">
        <f>CHOOSE(CONTROL!$C$42, 7.4113, 7.4113)*CHOOSE(CONTROL!$C$21, $C$9, 100%, $E$9)</f>
        <v>7.4112999999999998</v>
      </c>
      <c r="G184" s="10">
        <f>CHOOSE(CONTROL!$C$42, 7.4279, 7.4279)*CHOOSE(CONTROL!$C$21, $C$9, 100%, $E$9)</f>
        <v>7.4279000000000002</v>
      </c>
      <c r="H184" s="10">
        <f>CHOOSE(CONTROL!$C$42, 7.6719, 7.6719) * CHOOSE(CONTROL!$C$21, $C$9, 100%, $E$9)</f>
        <v>7.6718999999999999</v>
      </c>
      <c r="I184" s="10">
        <f>CHOOSE(CONTROL!$C$42, 7.4439, 7.4439)* CHOOSE(CONTROL!$C$21, $C$9, 100%, $E$9)</f>
        <v>7.4439000000000002</v>
      </c>
      <c r="J184" s="10">
        <f>CHOOSE(CONTROL!$C$42, 7.4039, 7.4039)* CHOOSE(CONTROL!$C$21, $C$9, 100%, $E$9)</f>
        <v>7.4039000000000001</v>
      </c>
      <c r="K184" s="10">
        <f>CHOOSE(CONTROL!$C$42, 7.369, 7.369) * CHOOSE(CONTROL!$C$21, $C$9, 100%, $E$9)</f>
        <v>7.3689999999999998</v>
      </c>
      <c r="L184" s="10">
        <f>CHOOSE(CONTROL!$C$42, 8.2589, 8.2589) * CHOOSE(CONTROL!$C$21, $C$9, 100%, $E$9)</f>
        <v>8.2589000000000006</v>
      </c>
      <c r="M184" s="10">
        <f>CHOOSE(CONTROL!$C$42, 7.3411, 7.3411) * CHOOSE(CONTROL!$C$21, $C$9, 100%, $E$9)</f>
        <v>7.3411</v>
      </c>
      <c r="N184" s="10">
        <f>CHOOSE(CONTROL!$C$42, 7.3575, 7.3575) * CHOOSE(CONTROL!$C$21, $C$9, 100%, $E$9)</f>
        <v>7.3574999999999999</v>
      </c>
      <c r="O184" s="10">
        <f>CHOOSE(CONTROL!$C$42, 7.6056, 7.6056) * CHOOSE(CONTROL!$C$21, $C$9, 100%, $E$9)</f>
        <v>7.6055999999999999</v>
      </c>
      <c r="P184" s="10">
        <f>CHOOSE(CONTROL!$C$42, 7.3806, 7.3806) * CHOOSE(CONTROL!$C$21, $C$9, 100%, $E$9)</f>
        <v>7.3806000000000003</v>
      </c>
      <c r="Q184" s="10">
        <f>CHOOSE(CONTROL!$C$42, 8.2009, 8.2009) * CHOOSE(CONTROL!$C$21, $C$9, 100%, $E$9)</f>
        <v>8.2009000000000007</v>
      </c>
      <c r="R184" s="10">
        <f>CHOOSE(CONTROL!$C$42, 8.8085, 8.8085) * CHOOSE(CONTROL!$C$21, $C$9, 100%, $E$9)</f>
        <v>8.8085000000000004</v>
      </c>
      <c r="S184" s="10">
        <f>CHOOSE(CONTROL!$C$42, 7.2471, 7.2471) * CHOOSE(CONTROL!$C$21, $C$9, 100%, $E$9)</f>
        <v>7.2470999999999997</v>
      </c>
      <c r="T18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38">
        <f>(1000*CHOOSE(CONTROL!$C$42, 695, 695)*CHOOSE(CONTROL!$C$42, 0.5599, 0.5599)*CHOOSE(CONTROL!$C$42, 30, 30))/1000000</f>
        <v>11.673914999999997</v>
      </c>
      <c r="V184" s="38">
        <f>(1000*CHOOSE(CONTROL!$C$42, 500, 500)*CHOOSE(CONTROL!$C$42, 0.275, 0.275)*CHOOSE(CONTROL!$C$42, 30, 30))/1000000</f>
        <v>4.125</v>
      </c>
      <c r="W184" s="38">
        <f>(1000*CHOOSE(CONTROL!$C$42, 0.1146, 0.1146)*CHOOSE(CONTROL!$C$42, 121.5, 121.5)*CHOOSE(CONTROL!$C$42, 30, 30))/1000000</f>
        <v>0.417717</v>
      </c>
      <c r="X184" s="38">
        <f>(30*0.1790888*245000/1000000)+(30*0.2374*100000/1000000)</f>
        <v>2.0285026799999999</v>
      </c>
      <c r="Y184" s="38">
        <f>(1000*600*CHOOSE(CONTROL!$C$42, 1.7044, 1.7044)*CHOOSE(CONTROL!$C$42, 30, 30))/1000000</f>
        <v>30.679200000000002</v>
      </c>
      <c r="Z184" s="38"/>
      <c r="AA184" s="10"/>
      <c r="AB184" s="39"/>
      <c r="AC184" s="33">
        <f>(B184*141.293+C184*267.993+D184*115.016+E184*89.698+F184*40+G184*185+H184*0+I184*100+J184*300)/(141.293+267.993+115.016+89.698+0+40+185+100+300)</f>
        <v>7.4761361440677971</v>
      </c>
      <c r="AD184" s="27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7.4247712230215832</v>
      </c>
    </row>
    <row r="185" spans="1:30" ht="15" x14ac:dyDescent="0.2">
      <c r="A185" s="16">
        <v>46874</v>
      </c>
      <c r="B185" s="10">
        <f>CHOOSE(CONTROL!$C$42, 7.5357, 7.5357) * CHOOSE(CONTROL!$C$21, $C$9, 100%, $E$9)</f>
        <v>7.5357000000000003</v>
      </c>
      <c r="C185" s="10">
        <f>CHOOSE(CONTROL!$C$42, 7.5437, 7.5437) * CHOOSE(CONTROL!$C$21, $C$9, 100%, $E$9)</f>
        <v>7.5437000000000003</v>
      </c>
      <c r="D185" s="10">
        <f>CHOOSE(CONTROL!$C$42, 7.7188, 7.7188) * CHOOSE(CONTROL!$C$21, $C$9, 100%, $E$9)</f>
        <v>7.7187999999999999</v>
      </c>
      <c r="E185" s="10">
        <f>CHOOSE(CONTROL!$C$42, 7.75, 7.75) * CHOOSE(CONTROL!$C$21, $C$9, 100%, $E$9)</f>
        <v>7.75</v>
      </c>
      <c r="F185" s="10">
        <f>CHOOSE(CONTROL!$C$42, 7.4774, 7.4774)*CHOOSE(CONTROL!$C$21, $C$9, 100%, $E$9)</f>
        <v>7.4774000000000003</v>
      </c>
      <c r="G185" s="10">
        <f>CHOOSE(CONTROL!$C$42, 7.4943, 7.4943)*CHOOSE(CONTROL!$C$21, $C$9, 100%, $E$9)</f>
        <v>7.4943</v>
      </c>
      <c r="H185" s="10">
        <f>CHOOSE(CONTROL!$C$42, 7.7384, 7.7384) * CHOOSE(CONTROL!$C$21, $C$9, 100%, $E$9)</f>
        <v>7.7384000000000004</v>
      </c>
      <c r="I185" s="10">
        <f>CHOOSE(CONTROL!$C$42, 7.5103, 7.5103)* CHOOSE(CONTROL!$C$21, $C$9, 100%, $E$9)</f>
        <v>7.5103</v>
      </c>
      <c r="J185" s="10">
        <f>CHOOSE(CONTROL!$C$42, 7.47, 7.47)* CHOOSE(CONTROL!$C$21, $C$9, 100%, $E$9)</f>
        <v>7.47</v>
      </c>
      <c r="K185" s="10">
        <f>CHOOSE(CONTROL!$C$42, 7.4325, 7.4325) * CHOOSE(CONTROL!$C$21, $C$9, 100%, $E$9)</f>
        <v>7.4325000000000001</v>
      </c>
      <c r="L185" s="10">
        <f>CHOOSE(CONTROL!$C$42, 8.3254, 8.3254) * CHOOSE(CONTROL!$C$21, $C$9, 100%, $E$9)</f>
        <v>8.3254000000000001</v>
      </c>
      <c r="M185" s="10">
        <f>CHOOSE(CONTROL!$C$42, 7.4063, 7.4063) * CHOOSE(CONTROL!$C$21, $C$9, 100%, $E$9)</f>
        <v>7.4062999999999999</v>
      </c>
      <c r="N185" s="10">
        <f>CHOOSE(CONTROL!$C$42, 7.423, 7.423) * CHOOSE(CONTROL!$C$21, $C$9, 100%, $E$9)</f>
        <v>7.423</v>
      </c>
      <c r="O185" s="10">
        <f>CHOOSE(CONTROL!$C$42, 7.6712, 7.6712) * CHOOSE(CONTROL!$C$21, $C$9, 100%, $E$9)</f>
        <v>7.6711999999999998</v>
      </c>
      <c r="P185" s="10">
        <f>CHOOSE(CONTROL!$C$42, 7.4462, 7.4462) * CHOOSE(CONTROL!$C$21, $C$9, 100%, $E$9)</f>
        <v>7.4462000000000002</v>
      </c>
      <c r="Q185" s="10">
        <f>CHOOSE(CONTROL!$C$42, 8.2665, 8.2665) * CHOOSE(CONTROL!$C$21, $C$9, 100%, $E$9)</f>
        <v>8.2665000000000006</v>
      </c>
      <c r="R185" s="10">
        <f>CHOOSE(CONTROL!$C$42, 8.8742, 8.8742) * CHOOSE(CONTROL!$C$21, $C$9, 100%, $E$9)</f>
        <v>8.8742000000000001</v>
      </c>
      <c r="S185" s="10">
        <f>CHOOSE(CONTROL!$C$42, 7.3114, 7.3114) * CHOOSE(CONTROL!$C$21, $C$9, 100%, $E$9)</f>
        <v>7.3113999999999999</v>
      </c>
      <c r="T18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38">
        <f>(1000*CHOOSE(CONTROL!$C$42, 695, 695)*CHOOSE(CONTROL!$C$42, 0.5599, 0.5599)*CHOOSE(CONTROL!$C$42, 31, 31))/1000000</f>
        <v>12.063045499999998</v>
      </c>
      <c r="V185" s="38">
        <f>(1000*CHOOSE(CONTROL!$C$42, 500, 500)*CHOOSE(CONTROL!$C$42, 0.275, 0.275)*CHOOSE(CONTROL!$C$42, 31, 31))/1000000</f>
        <v>4.2625000000000002</v>
      </c>
      <c r="W185" s="38">
        <f>(1000*CHOOSE(CONTROL!$C$42, 0.1146, 0.1146)*CHOOSE(CONTROL!$C$42, 121.5, 121.5)*CHOOSE(CONTROL!$C$42, 31, 31))/1000000</f>
        <v>0.43164089999999994</v>
      </c>
      <c r="X185" s="38">
        <f>(31*0.1790888*245000/1000000)+(31*0.2374*100000/1000000)</f>
        <v>2.0961194359999999</v>
      </c>
      <c r="Y185" s="38">
        <f>(1000*600*CHOOSE(CONTROL!$C$42, 1.7044, 1.7044)*CHOOSE(CONTROL!$C$42, 31, 31))/1000000</f>
        <v>31.701840000000001</v>
      </c>
      <c r="Z185" s="38"/>
      <c r="AA185" s="10"/>
      <c r="AB185" s="39"/>
      <c r="AC185" s="33">
        <f>(B185*194.205+C185*267.466+D185*133.845+E185*53.484+F185*40+G185*185+H185*0+I185*100+J185*300)/(194.205+267.466+133.845+53.484+0+40+185+100+300)</f>
        <v>7.5403054699372047</v>
      </c>
      <c r="AD185" s="27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7.490210071942446</v>
      </c>
    </row>
    <row r="186" spans="1:30" ht="15" x14ac:dyDescent="0.2">
      <c r="A186" s="16">
        <v>46905</v>
      </c>
      <c r="B186" s="10">
        <f>CHOOSE(CONTROL!$C$42, 7.7498, 7.7498) * CHOOSE(CONTROL!$C$21, $C$9, 100%, $E$9)</f>
        <v>7.7497999999999996</v>
      </c>
      <c r="C186" s="10">
        <f>CHOOSE(CONTROL!$C$42, 7.7578, 7.7578) * CHOOSE(CONTROL!$C$21, $C$9, 100%, $E$9)</f>
        <v>7.7577999999999996</v>
      </c>
      <c r="D186" s="10">
        <f>CHOOSE(CONTROL!$C$42, 7.933, 7.933) * CHOOSE(CONTROL!$C$21, $C$9, 100%, $E$9)</f>
        <v>7.9329999999999998</v>
      </c>
      <c r="E186" s="10">
        <f>CHOOSE(CONTROL!$C$42, 7.9642, 7.9642) * CHOOSE(CONTROL!$C$21, $C$9, 100%, $E$9)</f>
        <v>7.9641999999999999</v>
      </c>
      <c r="F186" s="10">
        <f>CHOOSE(CONTROL!$C$42, 7.6917, 7.6917)*CHOOSE(CONTROL!$C$21, $C$9, 100%, $E$9)</f>
        <v>7.6917</v>
      </c>
      <c r="G186" s="10">
        <f>CHOOSE(CONTROL!$C$42, 7.7087, 7.7087)*CHOOSE(CONTROL!$C$21, $C$9, 100%, $E$9)</f>
        <v>7.7087000000000003</v>
      </c>
      <c r="H186" s="10">
        <f>CHOOSE(CONTROL!$C$42, 7.9525, 7.9525) * CHOOSE(CONTROL!$C$21, $C$9, 100%, $E$9)</f>
        <v>7.9524999999999997</v>
      </c>
      <c r="I186" s="10">
        <f>CHOOSE(CONTROL!$C$42, 7.7245, 7.7245)* CHOOSE(CONTROL!$C$21, $C$9, 100%, $E$9)</f>
        <v>7.7244999999999999</v>
      </c>
      <c r="J186" s="10">
        <f>CHOOSE(CONTROL!$C$42, 7.6843, 7.6843)* CHOOSE(CONTROL!$C$21, $C$9, 100%, $E$9)</f>
        <v>7.6843000000000004</v>
      </c>
      <c r="K186" s="10">
        <f>CHOOSE(CONTROL!$C$42, 7.6404, 7.6404) * CHOOSE(CONTROL!$C$21, $C$9, 100%, $E$9)</f>
        <v>7.6403999999999996</v>
      </c>
      <c r="L186" s="10">
        <f>CHOOSE(CONTROL!$C$42, 8.5395, 8.5395) * CHOOSE(CONTROL!$C$21, $C$9, 100%, $E$9)</f>
        <v>8.5395000000000003</v>
      </c>
      <c r="M186" s="10">
        <f>CHOOSE(CONTROL!$C$42, 7.6179, 7.6179) * CHOOSE(CONTROL!$C$21, $C$9, 100%, $E$9)</f>
        <v>7.6178999999999997</v>
      </c>
      <c r="N186" s="10">
        <f>CHOOSE(CONTROL!$C$42, 7.6346, 7.6346) * CHOOSE(CONTROL!$C$21, $C$9, 100%, $E$9)</f>
        <v>7.6345999999999998</v>
      </c>
      <c r="O186" s="10">
        <f>CHOOSE(CONTROL!$C$42, 7.8826, 7.8826) * CHOOSE(CONTROL!$C$21, $C$9, 100%, $E$9)</f>
        <v>7.8826000000000001</v>
      </c>
      <c r="P186" s="10">
        <f>CHOOSE(CONTROL!$C$42, 7.6576, 7.6576) * CHOOSE(CONTROL!$C$21, $C$9, 100%, $E$9)</f>
        <v>7.6576000000000004</v>
      </c>
      <c r="Q186" s="10">
        <f>CHOOSE(CONTROL!$C$42, 8.4779, 8.4779) * CHOOSE(CONTROL!$C$21, $C$9, 100%, $E$9)</f>
        <v>8.4779</v>
      </c>
      <c r="R186" s="10">
        <f>CHOOSE(CONTROL!$C$42, 9.0861, 9.0861) * CHOOSE(CONTROL!$C$21, $C$9, 100%, $E$9)</f>
        <v>9.0861000000000001</v>
      </c>
      <c r="S186" s="10">
        <f>CHOOSE(CONTROL!$C$42, 7.5188, 7.5188) * CHOOSE(CONTROL!$C$21, $C$9, 100%, $E$9)</f>
        <v>7.5187999999999997</v>
      </c>
      <c r="T18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38">
        <f>(1000*CHOOSE(CONTROL!$C$42, 695, 695)*CHOOSE(CONTROL!$C$42, 0.5599, 0.5599)*CHOOSE(CONTROL!$C$42, 30, 30))/1000000</f>
        <v>11.673914999999997</v>
      </c>
      <c r="V186" s="38">
        <f>(1000*CHOOSE(CONTROL!$C$42, 500, 500)*CHOOSE(CONTROL!$C$42, 0.275, 0.275)*CHOOSE(CONTROL!$C$42, 30, 30))/1000000</f>
        <v>4.125</v>
      </c>
      <c r="W186" s="38">
        <f>(1000*CHOOSE(CONTROL!$C$42, 0.1146, 0.1146)*CHOOSE(CONTROL!$C$42, 121.5, 121.5)*CHOOSE(CONTROL!$C$42, 30, 30))/1000000</f>
        <v>0.417717</v>
      </c>
      <c r="X186" s="38">
        <f>(30*0.1790888*245000/1000000)+(30*0.2374*100000/1000000)</f>
        <v>2.0285026799999999</v>
      </c>
      <c r="Y186" s="38">
        <f>(1000*600*CHOOSE(CONTROL!$C$42, 1.7044, 1.7044)*CHOOSE(CONTROL!$C$42, 30, 30))/1000000</f>
        <v>30.679200000000002</v>
      </c>
      <c r="Z186" s="38"/>
      <c r="AA186" s="10"/>
      <c r="AB186" s="39"/>
      <c r="AC186" s="33">
        <f>(B186*194.205+C186*267.466+D186*133.845+E186*53.484+F186*40+G186*185+H186*0+I186*100+J186*300)/(194.205+267.466+133.845+53.484+0+40+185+100+300)</f>
        <v>7.7545249620094197</v>
      </c>
      <c r="AD186" s="27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7.7017251798561155</v>
      </c>
    </row>
    <row r="187" spans="1:30" ht="15" x14ac:dyDescent="0.2">
      <c r="A187" s="16">
        <v>46935</v>
      </c>
      <c r="B187" s="10">
        <f>CHOOSE(CONTROL!$C$42, 7.6009, 7.6009) * CHOOSE(CONTROL!$C$21, $C$9, 100%, $E$9)</f>
        <v>7.6009000000000002</v>
      </c>
      <c r="C187" s="10">
        <f>CHOOSE(CONTROL!$C$42, 7.6089, 7.6089) * CHOOSE(CONTROL!$C$21, $C$9, 100%, $E$9)</f>
        <v>7.6089000000000002</v>
      </c>
      <c r="D187" s="10">
        <f>CHOOSE(CONTROL!$C$42, 7.784, 7.784) * CHOOSE(CONTROL!$C$21, $C$9, 100%, $E$9)</f>
        <v>7.7839999999999998</v>
      </c>
      <c r="E187" s="10">
        <f>CHOOSE(CONTROL!$C$42, 7.8152, 7.8152) * CHOOSE(CONTROL!$C$21, $C$9, 100%, $E$9)</f>
        <v>7.8151999999999999</v>
      </c>
      <c r="F187" s="10">
        <f>CHOOSE(CONTROL!$C$42, 7.5431, 7.5431)*CHOOSE(CONTROL!$C$21, $C$9, 100%, $E$9)</f>
        <v>7.5430999999999999</v>
      </c>
      <c r="G187" s="10">
        <f>CHOOSE(CONTROL!$C$42, 7.5601, 7.5601)*CHOOSE(CONTROL!$C$21, $C$9, 100%, $E$9)</f>
        <v>7.5601000000000003</v>
      </c>
      <c r="H187" s="10">
        <f>CHOOSE(CONTROL!$C$42, 7.8036, 7.8036) * CHOOSE(CONTROL!$C$21, $C$9, 100%, $E$9)</f>
        <v>7.8036000000000003</v>
      </c>
      <c r="I187" s="10">
        <f>CHOOSE(CONTROL!$C$42, 7.5755, 7.5755)* CHOOSE(CONTROL!$C$21, $C$9, 100%, $E$9)</f>
        <v>7.5754999999999999</v>
      </c>
      <c r="J187" s="10">
        <f>CHOOSE(CONTROL!$C$42, 7.5357, 7.5357)* CHOOSE(CONTROL!$C$21, $C$9, 100%, $E$9)</f>
        <v>7.5357000000000003</v>
      </c>
      <c r="K187" s="10">
        <f>CHOOSE(CONTROL!$C$42, 7.4968, 7.4968) * CHOOSE(CONTROL!$C$21, $C$9, 100%, $E$9)</f>
        <v>7.4968000000000004</v>
      </c>
      <c r="L187" s="10">
        <f>CHOOSE(CONTROL!$C$42, 8.3906, 8.3906) * CHOOSE(CONTROL!$C$21, $C$9, 100%, $E$9)</f>
        <v>8.3905999999999992</v>
      </c>
      <c r="M187" s="10">
        <f>CHOOSE(CONTROL!$C$42, 7.4712, 7.4712) * CHOOSE(CONTROL!$C$21, $C$9, 100%, $E$9)</f>
        <v>7.4711999999999996</v>
      </c>
      <c r="N187" s="10">
        <f>CHOOSE(CONTROL!$C$42, 7.488, 7.488) * CHOOSE(CONTROL!$C$21, $C$9, 100%, $E$9)</f>
        <v>7.4880000000000004</v>
      </c>
      <c r="O187" s="10">
        <f>CHOOSE(CONTROL!$C$42, 7.7356, 7.7356) * CHOOSE(CONTROL!$C$21, $C$9, 100%, $E$9)</f>
        <v>7.7355999999999998</v>
      </c>
      <c r="P187" s="10">
        <f>CHOOSE(CONTROL!$C$42, 7.5106, 7.5106) * CHOOSE(CONTROL!$C$21, $C$9, 100%, $E$9)</f>
        <v>7.5106000000000002</v>
      </c>
      <c r="Q187" s="10">
        <f>CHOOSE(CONTROL!$C$42, 8.3309, 8.3309) * CHOOSE(CONTROL!$C$21, $C$9, 100%, $E$9)</f>
        <v>8.3308999999999997</v>
      </c>
      <c r="R187" s="10">
        <f>CHOOSE(CONTROL!$C$42, 8.9387, 8.9387) * CHOOSE(CONTROL!$C$21, $C$9, 100%, $E$9)</f>
        <v>8.9387000000000008</v>
      </c>
      <c r="S187" s="10">
        <f>CHOOSE(CONTROL!$C$42, 7.3745, 7.3745) * CHOOSE(CONTROL!$C$21, $C$9, 100%, $E$9)</f>
        <v>7.3745000000000003</v>
      </c>
      <c r="T18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38">
        <f>(1000*CHOOSE(CONTROL!$C$42, 695, 695)*CHOOSE(CONTROL!$C$42, 0.5599, 0.5599)*CHOOSE(CONTROL!$C$42, 31, 31))/1000000</f>
        <v>12.063045499999998</v>
      </c>
      <c r="V187" s="38">
        <f>(1000*CHOOSE(CONTROL!$C$42, 500, 500)*CHOOSE(CONTROL!$C$42, 0.275, 0.275)*CHOOSE(CONTROL!$C$42, 31, 31))/1000000</f>
        <v>4.2625000000000002</v>
      </c>
      <c r="W187" s="38">
        <f>(1000*CHOOSE(CONTROL!$C$42, 0.1146, 0.1146)*CHOOSE(CONTROL!$C$42, 121.5, 121.5)*CHOOSE(CONTROL!$C$42, 31, 31))/1000000</f>
        <v>0.43164089999999994</v>
      </c>
      <c r="X187" s="38">
        <f>(31*0.1790888*245000/1000000)+(31*0.2374*100000/1000000)</f>
        <v>2.0961194359999999</v>
      </c>
      <c r="Y187" s="38">
        <f>(1000*600*CHOOSE(CONTROL!$C$42, 1.7044, 1.7044)*CHOOSE(CONTROL!$C$42, 31, 31))/1000000</f>
        <v>31.701840000000001</v>
      </c>
      <c r="Z187" s="38"/>
      <c r="AA187" s="10"/>
      <c r="AB187" s="39"/>
      <c r="AC187" s="33">
        <f>(B187*194.205+C187*267.466+D187*133.845+E187*53.484+F187*40+G187*185+H187*0+I187*100+J187*300)/(194.205+267.466+133.845+53.484+0+40+185+100+300)</f>
        <v>7.6057260350863434</v>
      </c>
      <c r="AD187" s="27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7.5549208633093539</v>
      </c>
    </row>
    <row r="188" spans="1:30" ht="15" x14ac:dyDescent="0.2">
      <c r="A188" s="16">
        <v>46966</v>
      </c>
      <c r="B188" s="10">
        <f>CHOOSE(CONTROL!$C$42, 7.2248, 7.2248) * CHOOSE(CONTROL!$C$21, $C$9, 100%, $E$9)</f>
        <v>7.2248000000000001</v>
      </c>
      <c r="C188" s="10">
        <f>CHOOSE(CONTROL!$C$42, 7.2328, 7.2328) * CHOOSE(CONTROL!$C$21, $C$9, 100%, $E$9)</f>
        <v>7.2328000000000001</v>
      </c>
      <c r="D188" s="10">
        <f>CHOOSE(CONTROL!$C$42, 7.4079, 7.4079) * CHOOSE(CONTROL!$C$21, $C$9, 100%, $E$9)</f>
        <v>7.4078999999999997</v>
      </c>
      <c r="E188" s="10">
        <f>CHOOSE(CONTROL!$C$42, 7.4391, 7.4391) * CHOOSE(CONTROL!$C$21, $C$9, 100%, $E$9)</f>
        <v>7.4390999999999998</v>
      </c>
      <c r="F188" s="10">
        <f>CHOOSE(CONTROL!$C$42, 7.1669, 7.1669)*CHOOSE(CONTROL!$C$21, $C$9, 100%, $E$9)</f>
        <v>7.1669</v>
      </c>
      <c r="G188" s="10">
        <f>CHOOSE(CONTROL!$C$42, 7.1839, 7.1839)*CHOOSE(CONTROL!$C$21, $C$9, 100%, $E$9)</f>
        <v>7.1839000000000004</v>
      </c>
      <c r="H188" s="10">
        <f>CHOOSE(CONTROL!$C$42, 7.4274, 7.4274) * CHOOSE(CONTROL!$C$21, $C$9, 100%, $E$9)</f>
        <v>7.4273999999999996</v>
      </c>
      <c r="I188" s="10">
        <f>CHOOSE(CONTROL!$C$42, 7.1994, 7.1994)* CHOOSE(CONTROL!$C$21, $C$9, 100%, $E$9)</f>
        <v>7.1993999999999998</v>
      </c>
      <c r="J188" s="10">
        <f>CHOOSE(CONTROL!$C$42, 7.1595, 7.1595)* CHOOSE(CONTROL!$C$21, $C$9, 100%, $E$9)</f>
        <v>7.1595000000000004</v>
      </c>
      <c r="K188" s="10">
        <f>CHOOSE(CONTROL!$C$42, 7.1322, 7.1322) * CHOOSE(CONTROL!$C$21, $C$9, 100%, $E$9)</f>
        <v>7.1322000000000001</v>
      </c>
      <c r="L188" s="10">
        <f>CHOOSE(CONTROL!$C$42, 8.0144, 8.0144) * CHOOSE(CONTROL!$C$21, $C$9, 100%, $E$9)</f>
        <v>8.0144000000000002</v>
      </c>
      <c r="M188" s="10">
        <f>CHOOSE(CONTROL!$C$42, 7.0998, 7.0998) * CHOOSE(CONTROL!$C$21, $C$9, 100%, $E$9)</f>
        <v>7.0998000000000001</v>
      </c>
      <c r="N188" s="10">
        <f>CHOOSE(CONTROL!$C$42, 7.1166, 7.1166) * CHOOSE(CONTROL!$C$21, $C$9, 100%, $E$9)</f>
        <v>7.1166</v>
      </c>
      <c r="O188" s="10">
        <f>CHOOSE(CONTROL!$C$42, 7.3643, 7.3643) * CHOOSE(CONTROL!$C$21, $C$9, 100%, $E$9)</f>
        <v>7.3643000000000001</v>
      </c>
      <c r="P188" s="10">
        <f>CHOOSE(CONTROL!$C$42, 7.1393, 7.1393) * CHOOSE(CONTROL!$C$21, $C$9, 100%, $E$9)</f>
        <v>7.1393000000000004</v>
      </c>
      <c r="Q188" s="10">
        <f>CHOOSE(CONTROL!$C$42, 7.9596, 7.9596) * CHOOSE(CONTROL!$C$21, $C$9, 100%, $E$9)</f>
        <v>7.9596</v>
      </c>
      <c r="R188" s="10">
        <f>CHOOSE(CONTROL!$C$42, 8.5665, 8.5665) * CHOOSE(CONTROL!$C$21, $C$9, 100%, $E$9)</f>
        <v>8.5664999999999996</v>
      </c>
      <c r="S188" s="10">
        <f>CHOOSE(CONTROL!$C$42, 7.0103, 7.0103) * CHOOSE(CONTROL!$C$21, $C$9, 100%, $E$9)</f>
        <v>7.0103</v>
      </c>
      <c r="T18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38">
        <f>(1000*CHOOSE(CONTROL!$C$42, 695, 695)*CHOOSE(CONTROL!$C$42, 0.5599, 0.5599)*CHOOSE(CONTROL!$C$42, 31, 31))/1000000</f>
        <v>12.063045499999998</v>
      </c>
      <c r="V188" s="38">
        <f>(1000*CHOOSE(CONTROL!$C$42, 500, 500)*CHOOSE(CONTROL!$C$42, 0.275, 0.275)*CHOOSE(CONTROL!$C$42, 31, 31))/1000000</f>
        <v>4.2625000000000002</v>
      </c>
      <c r="W188" s="38">
        <f>(1000*CHOOSE(CONTROL!$C$42, 0.1146, 0.1146)*CHOOSE(CONTROL!$C$42, 121.5, 121.5)*CHOOSE(CONTROL!$C$42, 31, 31))/1000000</f>
        <v>0.43164089999999994</v>
      </c>
      <c r="X188" s="38">
        <f>(31*0.1790888*245000/1000000)+(31*0.2374*100000/1000000)</f>
        <v>2.0961194359999999</v>
      </c>
      <c r="Y188" s="38">
        <f>(1000*600*CHOOSE(CONTROL!$C$42, 1.7044, 1.7044)*CHOOSE(CONTROL!$C$42, 31, 31))/1000000</f>
        <v>31.701840000000001</v>
      </c>
      <c r="Z188" s="38"/>
      <c r="AA188" s="10"/>
      <c r="AB188" s="39"/>
      <c r="AC188" s="33">
        <f>(B188*194.205+C188*267.466+D188*133.845+E188*53.484+F188*40+G188*185+H188*0+I188*100+J188*300)/(194.205+267.466+133.845+53.484+0+40+185+100+300)</f>
        <v>7.2295848262951345</v>
      </c>
      <c r="AD188" s="27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7.1835633093525191</v>
      </c>
    </row>
    <row r="189" spans="1:30" ht="15" x14ac:dyDescent="0.2">
      <c r="A189" s="16">
        <v>46997</v>
      </c>
      <c r="B189" s="10">
        <f>CHOOSE(CONTROL!$C$42, 6.7652, 6.7652) * CHOOSE(CONTROL!$C$21, $C$9, 100%, $E$9)</f>
        <v>6.7652000000000001</v>
      </c>
      <c r="C189" s="10">
        <f>CHOOSE(CONTROL!$C$42, 6.7732, 6.7732) * CHOOSE(CONTROL!$C$21, $C$9, 100%, $E$9)</f>
        <v>6.7732000000000001</v>
      </c>
      <c r="D189" s="10">
        <f>CHOOSE(CONTROL!$C$42, 6.9483, 6.9483) * CHOOSE(CONTROL!$C$21, $C$9, 100%, $E$9)</f>
        <v>6.9482999999999997</v>
      </c>
      <c r="E189" s="10">
        <f>CHOOSE(CONTROL!$C$42, 6.9795, 6.9795) * CHOOSE(CONTROL!$C$21, $C$9, 100%, $E$9)</f>
        <v>6.9794999999999998</v>
      </c>
      <c r="F189" s="10">
        <f>CHOOSE(CONTROL!$C$42, 6.707, 6.707)*CHOOSE(CONTROL!$C$21, $C$9, 100%, $E$9)</f>
        <v>6.7069999999999999</v>
      </c>
      <c r="G189" s="10">
        <f>CHOOSE(CONTROL!$C$42, 6.7239, 6.7239)*CHOOSE(CONTROL!$C$21, $C$9, 100%, $E$9)</f>
        <v>6.7239000000000004</v>
      </c>
      <c r="H189" s="10">
        <f>CHOOSE(CONTROL!$C$42, 6.9679, 6.9679) * CHOOSE(CONTROL!$C$21, $C$9, 100%, $E$9)</f>
        <v>6.9679000000000002</v>
      </c>
      <c r="I189" s="10">
        <f>CHOOSE(CONTROL!$C$42, 6.7398, 6.7398)* CHOOSE(CONTROL!$C$21, $C$9, 100%, $E$9)</f>
        <v>6.7397999999999998</v>
      </c>
      <c r="J189" s="10">
        <f>CHOOSE(CONTROL!$C$42, 6.6996, 6.6996)* CHOOSE(CONTROL!$C$21, $C$9, 100%, $E$9)</f>
        <v>6.6996000000000002</v>
      </c>
      <c r="K189" s="10">
        <f>CHOOSE(CONTROL!$C$42, 6.6863, 6.6863) * CHOOSE(CONTROL!$C$21, $C$9, 100%, $E$9)</f>
        <v>6.6863000000000001</v>
      </c>
      <c r="L189" s="10">
        <f>CHOOSE(CONTROL!$C$42, 7.5549, 7.5549) * CHOOSE(CONTROL!$C$21, $C$9, 100%, $E$9)</f>
        <v>7.5548999999999999</v>
      </c>
      <c r="M189" s="10">
        <f>CHOOSE(CONTROL!$C$42, 6.6459, 6.6459) * CHOOSE(CONTROL!$C$21, $C$9, 100%, $E$9)</f>
        <v>6.6459000000000001</v>
      </c>
      <c r="N189" s="10">
        <f>CHOOSE(CONTROL!$C$42, 6.6626, 6.6626) * CHOOSE(CONTROL!$C$21, $C$9, 100%, $E$9)</f>
        <v>6.6626000000000003</v>
      </c>
      <c r="O189" s="10">
        <f>CHOOSE(CONTROL!$C$42, 6.9107, 6.9107) * CHOOSE(CONTROL!$C$21, $C$9, 100%, $E$9)</f>
        <v>6.9107000000000003</v>
      </c>
      <c r="P189" s="10">
        <f>CHOOSE(CONTROL!$C$42, 6.6857, 6.6857) * CHOOSE(CONTROL!$C$21, $C$9, 100%, $E$9)</f>
        <v>6.6856999999999998</v>
      </c>
      <c r="Q189" s="10">
        <f>CHOOSE(CONTROL!$C$42, 7.506, 7.506) * CHOOSE(CONTROL!$C$21, $C$9, 100%, $E$9)</f>
        <v>7.5060000000000002</v>
      </c>
      <c r="R189" s="10">
        <f>CHOOSE(CONTROL!$C$42, 8.1118, 8.1118) * CHOOSE(CONTROL!$C$21, $C$9, 100%, $E$9)</f>
        <v>8.1118000000000006</v>
      </c>
      <c r="S189" s="10">
        <f>CHOOSE(CONTROL!$C$42, 6.5653, 6.5653) * CHOOSE(CONTROL!$C$21, $C$9, 100%, $E$9)</f>
        <v>6.5652999999999997</v>
      </c>
      <c r="T18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38">
        <f>(1000*CHOOSE(CONTROL!$C$42, 695, 695)*CHOOSE(CONTROL!$C$42, 0.5599, 0.5599)*CHOOSE(CONTROL!$C$42, 30, 30))/1000000</f>
        <v>11.673914999999997</v>
      </c>
      <c r="V189" s="38">
        <f>(1000*CHOOSE(CONTROL!$C$42, 500, 500)*CHOOSE(CONTROL!$C$42, 0.275, 0.275)*CHOOSE(CONTROL!$C$42, 30, 30))/1000000</f>
        <v>4.125</v>
      </c>
      <c r="W189" s="38">
        <f>(1000*CHOOSE(CONTROL!$C$42, 0.1146, 0.1146)*CHOOSE(CONTROL!$C$42, 121.5, 121.5)*CHOOSE(CONTROL!$C$42, 30, 30))/1000000</f>
        <v>0.417717</v>
      </c>
      <c r="X189" s="38">
        <f>(30*0.1790888*245000/1000000)+(30*0.2374*100000/1000000)</f>
        <v>2.0285026799999999</v>
      </c>
      <c r="Y189" s="38">
        <f>(1000*600*CHOOSE(CONTROL!$C$42, 1.7044, 1.7044)*CHOOSE(CONTROL!$C$42, 30, 30))/1000000</f>
        <v>30.679200000000002</v>
      </c>
      <c r="Z189" s="38"/>
      <c r="AA189" s="10"/>
      <c r="AB189" s="39"/>
      <c r="AC189" s="33">
        <f>(B189*194.205+C189*267.466+D189*133.845+E189*53.484+F189*40+G189*185+H189*0+I189*100+J189*300)/(194.205+267.466+133.845+53.484+0+40+185+100+300)</f>
        <v>6.7698466787284159</v>
      </c>
      <c r="AD189" s="27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6.7297676258992807</v>
      </c>
    </row>
    <row r="190" spans="1:30" ht="15" x14ac:dyDescent="0.2">
      <c r="A190" s="16">
        <v>47027</v>
      </c>
      <c r="B190" s="10">
        <f>CHOOSE(CONTROL!$C$42, 6.6254, 6.6254) * CHOOSE(CONTROL!$C$21, $C$9, 100%, $E$9)</f>
        <v>6.6254</v>
      </c>
      <c r="C190" s="10">
        <f>CHOOSE(CONTROL!$C$42, 6.6308, 6.6308) * CHOOSE(CONTROL!$C$21, $C$9, 100%, $E$9)</f>
        <v>6.6307999999999998</v>
      </c>
      <c r="D190" s="10">
        <f>CHOOSE(CONTROL!$C$42, 6.8108, 6.8108) * CHOOSE(CONTROL!$C$21, $C$9, 100%, $E$9)</f>
        <v>6.8108000000000004</v>
      </c>
      <c r="E190" s="10">
        <f>CHOOSE(CONTROL!$C$42, 6.8397, 6.8397) * CHOOSE(CONTROL!$C$21, $C$9, 100%, $E$9)</f>
        <v>6.8396999999999997</v>
      </c>
      <c r="F190" s="10">
        <f>CHOOSE(CONTROL!$C$42, 6.5692, 6.5692)*CHOOSE(CONTROL!$C$21, $C$9, 100%, $E$9)</f>
        <v>6.5692000000000004</v>
      </c>
      <c r="G190" s="10">
        <f>CHOOSE(CONTROL!$C$42, 6.5858, 6.5858)*CHOOSE(CONTROL!$C$21, $C$9, 100%, $E$9)</f>
        <v>6.5857999999999999</v>
      </c>
      <c r="H190" s="10">
        <f>CHOOSE(CONTROL!$C$42, 6.8298, 6.8298) * CHOOSE(CONTROL!$C$21, $C$9, 100%, $E$9)</f>
        <v>6.8297999999999996</v>
      </c>
      <c r="I190" s="10">
        <f>CHOOSE(CONTROL!$C$42, 6.6018, 6.6018)* CHOOSE(CONTROL!$C$21, $C$9, 100%, $E$9)</f>
        <v>6.6017999999999999</v>
      </c>
      <c r="J190" s="10">
        <f>CHOOSE(CONTROL!$C$42, 6.5618, 6.5618)* CHOOSE(CONTROL!$C$21, $C$9, 100%, $E$9)</f>
        <v>6.5617999999999999</v>
      </c>
      <c r="K190" s="10">
        <f>CHOOSE(CONTROL!$C$42, 6.5531, 6.5531) * CHOOSE(CONTROL!$C$21, $C$9, 100%, $E$9)</f>
        <v>6.5530999999999997</v>
      </c>
      <c r="L190" s="10">
        <f>CHOOSE(CONTROL!$C$42, 7.4168, 7.4168) * CHOOSE(CONTROL!$C$21, $C$9, 100%, $E$9)</f>
        <v>7.4168000000000003</v>
      </c>
      <c r="M190" s="10">
        <f>CHOOSE(CONTROL!$C$42, 6.5099, 6.5099) * CHOOSE(CONTROL!$C$21, $C$9, 100%, $E$9)</f>
        <v>6.5099</v>
      </c>
      <c r="N190" s="10">
        <f>CHOOSE(CONTROL!$C$42, 6.5263, 6.5263) * CHOOSE(CONTROL!$C$21, $C$9, 100%, $E$9)</f>
        <v>6.5263</v>
      </c>
      <c r="O190" s="10">
        <f>CHOOSE(CONTROL!$C$42, 6.7745, 6.7745) * CHOOSE(CONTROL!$C$21, $C$9, 100%, $E$9)</f>
        <v>6.7744999999999997</v>
      </c>
      <c r="P190" s="10">
        <f>CHOOSE(CONTROL!$C$42, 6.5494, 6.5494) * CHOOSE(CONTROL!$C$21, $C$9, 100%, $E$9)</f>
        <v>6.5494000000000003</v>
      </c>
      <c r="Q190" s="10">
        <f>CHOOSE(CONTROL!$C$42, 7.3698, 7.3698) * CHOOSE(CONTROL!$C$21, $C$9, 100%, $E$9)</f>
        <v>7.3697999999999997</v>
      </c>
      <c r="R190" s="10">
        <f>CHOOSE(CONTROL!$C$42, 7.9752, 7.9752) * CHOOSE(CONTROL!$C$21, $C$9, 100%, $E$9)</f>
        <v>7.9752000000000001</v>
      </c>
      <c r="S190" s="10">
        <f>CHOOSE(CONTROL!$C$42, 6.4317, 6.4317) * CHOOSE(CONTROL!$C$21, $C$9, 100%, $E$9)</f>
        <v>6.4317000000000002</v>
      </c>
      <c r="T19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38">
        <f>(1000*CHOOSE(CONTROL!$C$42, 695, 695)*CHOOSE(CONTROL!$C$42, 0.5599, 0.5599)*CHOOSE(CONTROL!$C$42, 31, 31))/1000000</f>
        <v>12.063045499999998</v>
      </c>
      <c r="V190" s="38">
        <f>(1000*CHOOSE(CONTROL!$C$42, 500, 500)*CHOOSE(CONTROL!$C$42, 0.275, 0.275)*CHOOSE(CONTROL!$C$42, 31, 31))/1000000</f>
        <v>4.2625000000000002</v>
      </c>
      <c r="W190" s="38">
        <f>(1000*CHOOSE(CONTROL!$C$42, 0.1146, 0.1146)*CHOOSE(CONTROL!$C$42, 121.5, 121.5)*CHOOSE(CONTROL!$C$42, 31, 31))/1000000</f>
        <v>0.43164089999999994</v>
      </c>
      <c r="X190" s="38">
        <f>(31*0.1790888*245000/1000000)+(31*0.2374*100000/1000000)</f>
        <v>2.0961194359999999</v>
      </c>
      <c r="Y190" s="38">
        <f>(1000*600*CHOOSE(CONTROL!$C$42, 1.7044, 1.7044)*CHOOSE(CONTROL!$C$42, 31, 31))/1000000</f>
        <v>31.701840000000001</v>
      </c>
      <c r="Z190" s="38"/>
      <c r="AA190" s="10"/>
      <c r="AB190" s="39"/>
      <c r="AC190" s="33">
        <f>(B190*131.881+C190*277.167+D190*79.08+E190*125.872+F190*40+G190*185+H190*0+I190*100+J190*300)/(131.881+277.167+79.08+125.872+0+40+185+100+300)</f>
        <v>6.6351808744148499</v>
      </c>
      <c r="AD190" s="27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6.593599280575539</v>
      </c>
    </row>
    <row r="191" spans="1:30" ht="15" x14ac:dyDescent="0.2">
      <c r="A191" s="16">
        <v>47058</v>
      </c>
      <c r="B191" s="10">
        <f>CHOOSE(CONTROL!$C$42, 6.8, 6.8) * CHOOSE(CONTROL!$C$21, $C$9, 100%, $E$9)</f>
        <v>6.8</v>
      </c>
      <c r="C191" s="10">
        <f>CHOOSE(CONTROL!$C$42, 6.8051, 6.8051) * CHOOSE(CONTROL!$C$21, $C$9, 100%, $E$9)</f>
        <v>6.8051000000000004</v>
      </c>
      <c r="D191" s="10">
        <f>CHOOSE(CONTROL!$C$42, 6.8298, 6.8298) * CHOOSE(CONTROL!$C$21, $C$9, 100%, $E$9)</f>
        <v>6.8297999999999996</v>
      </c>
      <c r="E191" s="10">
        <f>CHOOSE(CONTROL!$C$42, 6.8636, 6.8636) * CHOOSE(CONTROL!$C$21, $C$9, 100%, $E$9)</f>
        <v>6.8635999999999999</v>
      </c>
      <c r="F191" s="10">
        <f>CHOOSE(CONTROL!$C$42, 6.7656, 6.7656)*CHOOSE(CONTROL!$C$21, $C$9, 100%, $E$9)</f>
        <v>6.7656000000000001</v>
      </c>
      <c r="G191" s="10">
        <f>CHOOSE(CONTROL!$C$42, 6.7825, 6.7825)*CHOOSE(CONTROL!$C$21, $C$9, 100%, $E$9)</f>
        <v>6.7824999999999998</v>
      </c>
      <c r="H191" s="10">
        <f>CHOOSE(CONTROL!$C$42, 6.8525, 6.8525) * CHOOSE(CONTROL!$C$21, $C$9, 100%, $E$9)</f>
        <v>6.8525</v>
      </c>
      <c r="I191" s="10">
        <f>CHOOSE(CONTROL!$C$42, 6.7995, 6.7995)* CHOOSE(CONTROL!$C$21, $C$9, 100%, $E$9)</f>
        <v>6.7995000000000001</v>
      </c>
      <c r="J191" s="10">
        <f>CHOOSE(CONTROL!$C$42, 6.7582, 6.7582)* CHOOSE(CONTROL!$C$21, $C$9, 100%, $E$9)</f>
        <v>6.7582000000000004</v>
      </c>
      <c r="K191" s="10">
        <f>CHOOSE(CONTROL!$C$42, 6.7465, 6.7465) * CHOOSE(CONTROL!$C$21, $C$9, 100%, $E$9)</f>
        <v>6.7465000000000002</v>
      </c>
      <c r="L191" s="10">
        <f>CHOOSE(CONTROL!$C$42, 7.4395, 7.4395) * CHOOSE(CONTROL!$C$21, $C$9, 100%, $E$9)</f>
        <v>7.4394999999999998</v>
      </c>
      <c r="M191" s="10">
        <f>CHOOSE(CONTROL!$C$42, 6.7038, 6.7038) * CHOOSE(CONTROL!$C$21, $C$9, 100%, $E$9)</f>
        <v>6.7038000000000002</v>
      </c>
      <c r="N191" s="10">
        <f>CHOOSE(CONTROL!$C$42, 6.7204, 6.7204) * CHOOSE(CONTROL!$C$21, $C$9, 100%, $E$9)</f>
        <v>6.7203999999999997</v>
      </c>
      <c r="O191" s="10">
        <f>CHOOSE(CONTROL!$C$42, 6.7968, 6.7968) * CHOOSE(CONTROL!$C$21, $C$9, 100%, $E$9)</f>
        <v>6.7968000000000002</v>
      </c>
      <c r="P191" s="10">
        <f>CHOOSE(CONTROL!$C$42, 6.7446, 6.7446) * CHOOSE(CONTROL!$C$21, $C$9, 100%, $E$9)</f>
        <v>6.7446000000000002</v>
      </c>
      <c r="Q191" s="10">
        <f>CHOOSE(CONTROL!$C$42, 7.3921, 7.3921) * CHOOSE(CONTROL!$C$21, $C$9, 100%, $E$9)</f>
        <v>7.3921000000000001</v>
      </c>
      <c r="R191" s="10">
        <f>CHOOSE(CONTROL!$C$42, 7.9976, 7.9976) * CHOOSE(CONTROL!$C$21, $C$9, 100%, $E$9)</f>
        <v>7.9976000000000003</v>
      </c>
      <c r="S191" s="10">
        <f>CHOOSE(CONTROL!$C$42, 6.6011, 6.6011) * CHOOSE(CONTROL!$C$21, $C$9, 100%, $E$9)</f>
        <v>6.6010999999999997</v>
      </c>
      <c r="T19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38">
        <f>(1000*CHOOSE(CONTROL!$C$42, 695, 695)*CHOOSE(CONTROL!$C$42, 0.5599, 0.5599)*CHOOSE(CONTROL!$C$42, 30, 30))/1000000</f>
        <v>11.673914999999997</v>
      </c>
      <c r="V191" s="38">
        <f>(1000*CHOOSE(CONTROL!$C$42, 500, 500)*CHOOSE(CONTROL!$C$42, 0.275, 0.275)*CHOOSE(CONTROL!$C$42, 30, 30))/1000000</f>
        <v>4.125</v>
      </c>
      <c r="W191" s="38">
        <f>(1000*CHOOSE(CONTROL!$C$42, 0.1146, 0.1146)*CHOOSE(CONTROL!$C$42, 121.5, 121.5)*CHOOSE(CONTROL!$C$42, 30, 30))/1000000</f>
        <v>0.417717</v>
      </c>
      <c r="X191" s="38">
        <f>(30*0.1790888*100000/1000000)+(30*0.2374*100000/1000000)</f>
        <v>1.2494664</v>
      </c>
      <c r="Y191" s="38">
        <f>(1000*600*CHOOSE(CONTROL!$C$42, 1.7044, 1.7044)*CHOOSE(CONTROL!$C$42, 30, 30))/1000000</f>
        <v>30.679200000000002</v>
      </c>
      <c r="Z191" s="38"/>
      <c r="AA191" s="10"/>
      <c r="AB191" s="39"/>
      <c r="AC191" s="33">
        <f>(B191*122.58+C191*297.941+D191*89.177+E191*40.302+F191*40+G191*160+H191*0+I191*100+J191*300)/(122.58+297.941+89.177+40.302+0+40+160+100+300)</f>
        <v>6.7912818964347821</v>
      </c>
      <c r="AD191" s="27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6.7527769784172662</v>
      </c>
    </row>
    <row r="192" spans="1:30" ht="15" x14ac:dyDescent="0.2">
      <c r="A192" s="16">
        <v>47088</v>
      </c>
      <c r="B192" s="10">
        <f>CHOOSE(CONTROL!$C$42, 7.2647, 7.2647) * CHOOSE(CONTROL!$C$21, $C$9, 100%, $E$9)</f>
        <v>7.2647000000000004</v>
      </c>
      <c r="C192" s="10">
        <f>CHOOSE(CONTROL!$C$42, 7.2698, 7.2698) * CHOOSE(CONTROL!$C$21, $C$9, 100%, $E$9)</f>
        <v>7.2698</v>
      </c>
      <c r="D192" s="10">
        <f>CHOOSE(CONTROL!$C$42, 7.2945, 7.2945) * CHOOSE(CONTROL!$C$21, $C$9, 100%, $E$9)</f>
        <v>7.2945000000000002</v>
      </c>
      <c r="E192" s="10">
        <f>CHOOSE(CONTROL!$C$42, 7.3283, 7.3283) * CHOOSE(CONTROL!$C$21, $C$9, 100%, $E$9)</f>
        <v>7.3282999999999996</v>
      </c>
      <c r="F192" s="10">
        <f>CHOOSE(CONTROL!$C$42, 7.2322, 7.2322)*CHOOSE(CONTROL!$C$21, $C$9, 100%, $E$9)</f>
        <v>7.2321999999999997</v>
      </c>
      <c r="G192" s="10">
        <f>CHOOSE(CONTROL!$C$42, 7.2494, 7.2494)*CHOOSE(CONTROL!$C$21, $C$9, 100%, $E$9)</f>
        <v>7.2493999999999996</v>
      </c>
      <c r="H192" s="10">
        <f>CHOOSE(CONTROL!$C$42, 7.3172, 7.3172) * CHOOSE(CONTROL!$C$21, $C$9, 100%, $E$9)</f>
        <v>7.3171999999999997</v>
      </c>
      <c r="I192" s="10">
        <f>CHOOSE(CONTROL!$C$42, 7.2642, 7.2642)* CHOOSE(CONTROL!$C$21, $C$9, 100%, $E$9)</f>
        <v>7.2641999999999998</v>
      </c>
      <c r="J192" s="10">
        <f>CHOOSE(CONTROL!$C$42, 7.2248, 7.2248)* CHOOSE(CONTROL!$C$21, $C$9, 100%, $E$9)</f>
        <v>7.2248000000000001</v>
      </c>
      <c r="K192" s="10">
        <f>CHOOSE(CONTROL!$C$42, 7.2005, 7.2005) * CHOOSE(CONTROL!$C$21, $C$9, 100%, $E$9)</f>
        <v>7.2004999999999999</v>
      </c>
      <c r="L192" s="10">
        <f>CHOOSE(CONTROL!$C$42, 7.9042, 7.9042) * CHOOSE(CONTROL!$C$21, $C$9, 100%, $E$9)</f>
        <v>7.9042000000000003</v>
      </c>
      <c r="M192" s="10">
        <f>CHOOSE(CONTROL!$C$42, 7.1643, 7.1643) * CHOOSE(CONTROL!$C$21, $C$9, 100%, $E$9)</f>
        <v>7.1642999999999999</v>
      </c>
      <c r="N192" s="10">
        <f>CHOOSE(CONTROL!$C$42, 7.1813, 7.1813) * CHOOSE(CONTROL!$C$21, $C$9, 100%, $E$9)</f>
        <v>7.1813000000000002</v>
      </c>
      <c r="O192" s="10">
        <f>CHOOSE(CONTROL!$C$42, 7.2555, 7.2555) * CHOOSE(CONTROL!$C$21, $C$9, 100%, $E$9)</f>
        <v>7.2554999999999996</v>
      </c>
      <c r="P192" s="10">
        <f>CHOOSE(CONTROL!$C$42, 7.2033, 7.2033) * CHOOSE(CONTROL!$C$21, $C$9, 100%, $E$9)</f>
        <v>7.2032999999999996</v>
      </c>
      <c r="Q192" s="10">
        <f>CHOOSE(CONTROL!$C$42, 7.8508, 7.8508) * CHOOSE(CONTROL!$C$21, $C$9, 100%, $E$9)</f>
        <v>7.8507999999999996</v>
      </c>
      <c r="R192" s="10">
        <f>CHOOSE(CONTROL!$C$42, 8.4575, 8.4575) * CHOOSE(CONTROL!$C$21, $C$9, 100%, $E$9)</f>
        <v>8.4574999999999996</v>
      </c>
      <c r="S192" s="10">
        <f>CHOOSE(CONTROL!$C$42, 7.0511, 7.0511) * CHOOSE(CONTROL!$C$21, $C$9, 100%, $E$9)</f>
        <v>7.0510999999999999</v>
      </c>
      <c r="T19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38">
        <f>(1000*CHOOSE(CONTROL!$C$42, 695, 695)*CHOOSE(CONTROL!$C$42, 0.5599, 0.5599)*CHOOSE(CONTROL!$C$42, 31, 31))/1000000</f>
        <v>12.063045499999998</v>
      </c>
      <c r="V192" s="38">
        <f>(1000*CHOOSE(CONTROL!$C$42, 500, 500)*CHOOSE(CONTROL!$C$42, 0.275, 0.275)*CHOOSE(CONTROL!$C$42, 31, 31))/1000000</f>
        <v>4.2625000000000002</v>
      </c>
      <c r="W192" s="38">
        <f>(1000*CHOOSE(CONTROL!$C$42, 0.1146, 0.1146)*CHOOSE(CONTROL!$C$42, 121.5, 121.5)*CHOOSE(CONTROL!$C$42, 31, 31))/1000000</f>
        <v>0.43164089999999994</v>
      </c>
      <c r="X192" s="38">
        <f>(31*0.1790888*100000/1000000)+(31*0.2374*100000/1000000)</f>
        <v>1.2911152800000001</v>
      </c>
      <c r="Y192" s="38">
        <f>(1000*600*CHOOSE(CONTROL!$C$42, 1.7044, 1.7044)*CHOOSE(CONTROL!$C$42, 31, 31))/1000000</f>
        <v>31.701840000000001</v>
      </c>
      <c r="Z192" s="38"/>
      <c r="AA192" s="10"/>
      <c r="AB192" s="39"/>
      <c r="AC192" s="33">
        <f>(B192*122.58+C192*297.941+D192*89.177+E192*40.302+F192*40+G192*160+H192*0+I192*100+J192*300)/(122.58+297.941+89.177+40.302+0+40+160+100+300)</f>
        <v>7.2568497225217401</v>
      </c>
      <c r="AD192" s="27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7.212225179856115</v>
      </c>
    </row>
    <row r="193" spans="1:30" ht="15" x14ac:dyDescent="0.2">
      <c r="A193" s="16">
        <v>47119</v>
      </c>
      <c r="B193" s="10">
        <f>CHOOSE(CONTROL!$C$42, 7.8945, 7.8945) * CHOOSE(CONTROL!$C$21, $C$9, 100%, $E$9)</f>
        <v>7.8944999999999999</v>
      </c>
      <c r="C193" s="10">
        <f>CHOOSE(CONTROL!$C$42, 7.8996, 7.8996) * CHOOSE(CONTROL!$C$21, $C$9, 100%, $E$9)</f>
        <v>7.8996000000000004</v>
      </c>
      <c r="D193" s="10">
        <f>CHOOSE(CONTROL!$C$42, 7.9346, 7.9346) * CHOOSE(CONTROL!$C$21, $C$9, 100%, $E$9)</f>
        <v>7.9345999999999997</v>
      </c>
      <c r="E193" s="10">
        <f>CHOOSE(CONTROL!$C$42, 7.9684, 7.9684) * CHOOSE(CONTROL!$C$21, $C$9, 100%, $E$9)</f>
        <v>7.9683999999999999</v>
      </c>
      <c r="F193" s="10">
        <f>CHOOSE(CONTROL!$C$42, 7.8758, 7.8758)*CHOOSE(CONTROL!$C$21, $C$9, 100%, $E$9)</f>
        <v>7.8757999999999999</v>
      </c>
      <c r="G193" s="10">
        <f>CHOOSE(CONTROL!$C$42, 7.8947, 7.8947)*CHOOSE(CONTROL!$C$21, $C$9, 100%, $E$9)</f>
        <v>7.8947000000000003</v>
      </c>
      <c r="H193" s="10">
        <f>CHOOSE(CONTROL!$C$42, 7.9573, 7.9573) * CHOOSE(CONTROL!$C$21, $C$9, 100%, $E$9)</f>
        <v>7.9573</v>
      </c>
      <c r="I193" s="10">
        <f>CHOOSE(CONTROL!$C$42, 7.9018, 7.9018)* CHOOSE(CONTROL!$C$21, $C$9, 100%, $E$9)</f>
        <v>7.9017999999999997</v>
      </c>
      <c r="J193" s="10">
        <f>CHOOSE(CONTROL!$C$42, 7.8684, 7.8684)* CHOOSE(CONTROL!$C$21, $C$9, 100%, $E$9)</f>
        <v>7.8684000000000003</v>
      </c>
      <c r="K193" s="10">
        <f>CHOOSE(CONTROL!$C$42, 7.8314, 7.8314) * CHOOSE(CONTROL!$C$21, $C$9, 100%, $E$9)</f>
        <v>7.8314000000000004</v>
      </c>
      <c r="L193" s="10">
        <f>CHOOSE(CONTROL!$C$42, 8.5443, 8.5443) * CHOOSE(CONTROL!$C$21, $C$9, 100%, $E$9)</f>
        <v>8.5442999999999998</v>
      </c>
      <c r="M193" s="10">
        <f>CHOOSE(CONTROL!$C$42, 7.7996, 7.7996) * CHOOSE(CONTROL!$C$21, $C$9, 100%, $E$9)</f>
        <v>7.7995999999999999</v>
      </c>
      <c r="N193" s="10">
        <f>CHOOSE(CONTROL!$C$42, 7.8182, 7.8182) * CHOOSE(CONTROL!$C$21, $C$9, 100%, $E$9)</f>
        <v>7.8182</v>
      </c>
      <c r="O193" s="10">
        <f>CHOOSE(CONTROL!$C$42, 7.8874, 7.8874) * CHOOSE(CONTROL!$C$21, $C$9, 100%, $E$9)</f>
        <v>7.8874000000000004</v>
      </c>
      <c r="P193" s="10">
        <f>CHOOSE(CONTROL!$C$42, 7.8326, 7.8326) * CHOOSE(CONTROL!$C$21, $C$9, 100%, $E$9)</f>
        <v>7.8326000000000002</v>
      </c>
      <c r="Q193" s="10">
        <f>CHOOSE(CONTROL!$C$42, 8.4827, 8.4827) * CHOOSE(CONTROL!$C$21, $C$9, 100%, $E$9)</f>
        <v>8.4826999999999995</v>
      </c>
      <c r="R193" s="10">
        <f>CHOOSE(CONTROL!$C$42, 9.0909, 9.0909) * CHOOSE(CONTROL!$C$21, $C$9, 100%, $E$9)</f>
        <v>9.0908999999999995</v>
      </c>
      <c r="S193" s="10">
        <f>CHOOSE(CONTROL!$C$42, 7.6609, 7.6609) * CHOOSE(CONTROL!$C$21, $C$9, 100%, $E$9)</f>
        <v>7.6608999999999998</v>
      </c>
      <c r="T19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38">
        <f>(1000*CHOOSE(CONTROL!$C$42, 695, 695)*CHOOSE(CONTROL!$C$42, 0.5599, 0.5599)*CHOOSE(CONTROL!$C$42, 31, 31))/1000000</f>
        <v>12.063045499999998</v>
      </c>
      <c r="V193" s="38">
        <f>(1000*CHOOSE(CONTROL!$C$42, 500, 500)*CHOOSE(CONTROL!$C$42, 0.275, 0.275)*CHOOSE(CONTROL!$C$42, 31, 31))/1000000</f>
        <v>4.2625000000000002</v>
      </c>
      <c r="W193" s="38">
        <f>(1000*CHOOSE(CONTROL!$C$42, 0.1146, 0.1146)*CHOOSE(CONTROL!$C$42, 121.5, 121.5)*CHOOSE(CONTROL!$C$42, 31, 31))/1000000</f>
        <v>0.43164089999999994</v>
      </c>
      <c r="X193" s="38">
        <f>(31*0.1790888*100000/1000000)+(31*0.2374*100000/1000000)</f>
        <v>1.2911152800000001</v>
      </c>
      <c r="Y193" s="38">
        <f>(1000*600*CHOOSE(CONTROL!$C$42, 1.6945, 1.6945)*CHOOSE(CONTROL!$C$42, 31, 31))/1000000</f>
        <v>31.517699999999998</v>
      </c>
      <c r="Z193" s="38"/>
      <c r="AA193" s="10"/>
      <c r="AB193" s="39"/>
      <c r="AC193" s="33">
        <f>(B193*122.58+C193*297.941+D193*89.177+E193*40.302+F193*40+G193*160+H193*0+I193*100+J193*300)/(122.58+297.941+89.177+40.302+0+40+160+100+300)</f>
        <v>7.8947241866086966</v>
      </c>
      <c r="AD193" s="27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7.8452129496402891</v>
      </c>
    </row>
    <row r="194" spans="1:30" ht="15" x14ac:dyDescent="0.2">
      <c r="A194" s="16">
        <v>47150</v>
      </c>
      <c r="B194" s="10">
        <f>CHOOSE(CONTROL!$C$42, 8.0353, 8.0353) * CHOOSE(CONTROL!$C$21, $C$9, 100%, $E$9)</f>
        <v>8.0352999999999994</v>
      </c>
      <c r="C194" s="10">
        <f>CHOOSE(CONTROL!$C$42, 8.0404, 8.0404) * CHOOSE(CONTROL!$C$21, $C$9, 100%, $E$9)</f>
        <v>8.0404</v>
      </c>
      <c r="D194" s="10">
        <f>CHOOSE(CONTROL!$C$42, 8.0755, 8.0755) * CHOOSE(CONTROL!$C$21, $C$9, 100%, $E$9)</f>
        <v>8.0754999999999999</v>
      </c>
      <c r="E194" s="10">
        <f>CHOOSE(CONTROL!$C$42, 8.1093, 8.1093) * CHOOSE(CONTROL!$C$21, $C$9, 100%, $E$9)</f>
        <v>8.1092999999999993</v>
      </c>
      <c r="F194" s="10">
        <f>CHOOSE(CONTROL!$C$42, 8.0161, 8.0161)*CHOOSE(CONTROL!$C$21, $C$9, 100%, $E$9)</f>
        <v>8.0160999999999998</v>
      </c>
      <c r="G194" s="10">
        <f>CHOOSE(CONTROL!$C$42, 8.0348, 8.0348)*CHOOSE(CONTROL!$C$21, $C$9, 100%, $E$9)</f>
        <v>8.0348000000000006</v>
      </c>
      <c r="H194" s="10">
        <f>CHOOSE(CONTROL!$C$42, 8.0981, 8.0981) * CHOOSE(CONTROL!$C$21, $C$9, 100%, $E$9)</f>
        <v>8.0981000000000005</v>
      </c>
      <c r="I194" s="10">
        <f>CHOOSE(CONTROL!$C$42, 8.0426, 8.0426)* CHOOSE(CONTROL!$C$21, $C$9, 100%, $E$9)</f>
        <v>8.0426000000000002</v>
      </c>
      <c r="J194" s="10">
        <f>CHOOSE(CONTROL!$C$42, 8.0087, 8.0087)* CHOOSE(CONTROL!$C$21, $C$9, 100%, $E$9)</f>
        <v>8.0086999999999993</v>
      </c>
      <c r="K194" s="10">
        <f>CHOOSE(CONTROL!$C$42, 7.9667, 7.9667) * CHOOSE(CONTROL!$C$21, $C$9, 100%, $E$9)</f>
        <v>7.9667000000000003</v>
      </c>
      <c r="L194" s="10">
        <f>CHOOSE(CONTROL!$C$42, 8.6851, 8.6851) * CHOOSE(CONTROL!$C$21, $C$9, 100%, $E$9)</f>
        <v>8.6851000000000003</v>
      </c>
      <c r="M194" s="10">
        <f>CHOOSE(CONTROL!$C$42, 7.9381, 7.9381) * CHOOSE(CONTROL!$C$21, $C$9, 100%, $E$9)</f>
        <v>7.9381000000000004</v>
      </c>
      <c r="N194" s="10">
        <f>CHOOSE(CONTROL!$C$42, 7.9566, 7.9566) * CHOOSE(CONTROL!$C$21, $C$9, 100%, $E$9)</f>
        <v>7.9565999999999999</v>
      </c>
      <c r="O194" s="10">
        <f>CHOOSE(CONTROL!$C$42, 8.0264, 8.0264) * CHOOSE(CONTROL!$C$21, $C$9, 100%, $E$9)</f>
        <v>8.0264000000000006</v>
      </c>
      <c r="P194" s="10">
        <f>CHOOSE(CONTROL!$C$42, 7.9716, 7.9716) * CHOOSE(CONTROL!$C$21, $C$9, 100%, $E$9)</f>
        <v>7.9715999999999996</v>
      </c>
      <c r="Q194" s="10">
        <f>CHOOSE(CONTROL!$C$42, 8.6217, 8.6217) * CHOOSE(CONTROL!$C$21, $C$9, 100%, $E$9)</f>
        <v>8.6217000000000006</v>
      </c>
      <c r="R194" s="10">
        <f>CHOOSE(CONTROL!$C$42, 9.2302, 9.2302) * CHOOSE(CONTROL!$C$21, $C$9, 100%, $E$9)</f>
        <v>9.2302</v>
      </c>
      <c r="S194" s="10">
        <f>CHOOSE(CONTROL!$C$42, 7.7973, 7.7973) * CHOOSE(CONTROL!$C$21, $C$9, 100%, $E$9)</f>
        <v>7.7972999999999999</v>
      </c>
      <c r="T19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94" s="38">
        <f>(1000*CHOOSE(CONTROL!$C$42, 695, 695)*CHOOSE(CONTROL!$C$42, 0.5599, 0.5599)*CHOOSE(CONTROL!$C$42, 28, 28))/1000000</f>
        <v>10.895653999999999</v>
      </c>
      <c r="V194" s="38">
        <f>(1000*CHOOSE(CONTROL!$C$42, 500, 500)*CHOOSE(CONTROL!$C$42, 0.275, 0.275)*CHOOSE(CONTROL!$C$42, 28, 28))/1000000</f>
        <v>3.85</v>
      </c>
      <c r="W194" s="38">
        <f>(1000*CHOOSE(CONTROL!$C$42, 0.1146, 0.1146)*CHOOSE(CONTROL!$C$42, 121.5, 121.5)*CHOOSE(CONTROL!$C$42, 28, 28))/1000000</f>
        <v>0.38986920000000003</v>
      </c>
      <c r="X194" s="38">
        <f>(28*0.1790888*100000/1000000)+(28*0.2374*100000/1000000)</f>
        <v>1.16616864</v>
      </c>
      <c r="Y194" s="38">
        <f>(1000*600*CHOOSE(CONTROL!$C$42, 1.6945, 1.6945)*CHOOSE(CONTROL!$C$42, 28, 28))/1000000</f>
        <v>28.467599999999997</v>
      </c>
      <c r="Z194" s="38"/>
      <c r="AA194" s="10"/>
      <c r="AB194" s="39"/>
      <c r="AC194" s="33">
        <f>(B194*122.58+C194*297.941+D194*89.177+E194*40.302+F194*40+G194*160+H194*0+I194*100+J194*300)/(122.58+297.941+89.177+40.302+0+40+160+100+300)</f>
        <v>8.0352902282608696</v>
      </c>
      <c r="AD194" s="27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7.9840057553956836</v>
      </c>
    </row>
    <row r="195" spans="1:30" ht="15" x14ac:dyDescent="0.2">
      <c r="A195" s="16">
        <v>47178</v>
      </c>
      <c r="B195" s="10">
        <f>CHOOSE(CONTROL!$C$42, 7.8067, 7.8067) * CHOOSE(CONTROL!$C$21, $C$9, 100%, $E$9)</f>
        <v>7.8067000000000002</v>
      </c>
      <c r="C195" s="10">
        <f>CHOOSE(CONTROL!$C$42, 7.8118, 7.8118) * CHOOSE(CONTROL!$C$21, $C$9, 100%, $E$9)</f>
        <v>7.8117999999999999</v>
      </c>
      <c r="D195" s="10">
        <f>CHOOSE(CONTROL!$C$42, 7.8469, 7.8469) * CHOOSE(CONTROL!$C$21, $C$9, 100%, $E$9)</f>
        <v>7.8468999999999998</v>
      </c>
      <c r="E195" s="10">
        <f>CHOOSE(CONTROL!$C$42, 7.8807, 7.8807) * CHOOSE(CONTROL!$C$21, $C$9, 100%, $E$9)</f>
        <v>7.8807</v>
      </c>
      <c r="F195" s="10">
        <f>CHOOSE(CONTROL!$C$42, 7.7861, 7.7861)*CHOOSE(CONTROL!$C$21, $C$9, 100%, $E$9)</f>
        <v>7.7861000000000002</v>
      </c>
      <c r="G195" s="10">
        <f>CHOOSE(CONTROL!$C$42, 7.8045, 7.8045)*CHOOSE(CONTROL!$C$21, $C$9, 100%, $E$9)</f>
        <v>7.8045</v>
      </c>
      <c r="H195" s="10">
        <f>CHOOSE(CONTROL!$C$42, 7.8695, 7.8695) * CHOOSE(CONTROL!$C$21, $C$9, 100%, $E$9)</f>
        <v>7.8695000000000004</v>
      </c>
      <c r="I195" s="10">
        <f>CHOOSE(CONTROL!$C$42, 7.814, 7.814)* CHOOSE(CONTROL!$C$21, $C$9, 100%, $E$9)</f>
        <v>7.8140000000000001</v>
      </c>
      <c r="J195" s="10">
        <f>CHOOSE(CONTROL!$C$42, 7.7787, 7.7787)* CHOOSE(CONTROL!$C$21, $C$9, 100%, $E$9)</f>
        <v>7.7786999999999997</v>
      </c>
      <c r="K195" s="10">
        <f>CHOOSE(CONTROL!$C$42, 7.7423, 7.7423) * CHOOSE(CONTROL!$C$21, $C$9, 100%, $E$9)</f>
        <v>7.7423000000000002</v>
      </c>
      <c r="L195" s="10">
        <f>CHOOSE(CONTROL!$C$42, 8.4565, 8.4565) * CHOOSE(CONTROL!$C$21, $C$9, 100%, $E$9)</f>
        <v>8.4565000000000001</v>
      </c>
      <c r="M195" s="10">
        <f>CHOOSE(CONTROL!$C$42, 7.7111, 7.7111) * CHOOSE(CONTROL!$C$21, $C$9, 100%, $E$9)</f>
        <v>7.7111000000000001</v>
      </c>
      <c r="N195" s="10">
        <f>CHOOSE(CONTROL!$C$42, 7.7292, 7.7292) * CHOOSE(CONTROL!$C$21, $C$9, 100%, $E$9)</f>
        <v>7.7291999999999996</v>
      </c>
      <c r="O195" s="10">
        <f>CHOOSE(CONTROL!$C$42, 7.8007, 7.8007) * CHOOSE(CONTROL!$C$21, $C$9, 100%, $E$9)</f>
        <v>7.8007</v>
      </c>
      <c r="P195" s="10">
        <f>CHOOSE(CONTROL!$C$42, 7.7459, 7.7459) * CHOOSE(CONTROL!$C$21, $C$9, 100%, $E$9)</f>
        <v>7.7458999999999998</v>
      </c>
      <c r="Q195" s="10">
        <f>CHOOSE(CONTROL!$C$42, 8.396, 8.396) * CHOOSE(CONTROL!$C$21, $C$9, 100%, $E$9)</f>
        <v>8.3960000000000008</v>
      </c>
      <c r="R195" s="10">
        <f>CHOOSE(CONTROL!$C$42, 9.004, 9.004) * CHOOSE(CONTROL!$C$21, $C$9, 100%, $E$9)</f>
        <v>9.0039999999999996</v>
      </c>
      <c r="S195" s="10">
        <f>CHOOSE(CONTROL!$C$42, 7.5759, 7.5759) * CHOOSE(CONTROL!$C$21, $C$9, 100%, $E$9)</f>
        <v>7.5758999999999999</v>
      </c>
      <c r="T19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38">
        <f>(1000*CHOOSE(CONTROL!$C$42, 695, 695)*CHOOSE(CONTROL!$C$42, 0.5599, 0.5599)*CHOOSE(CONTROL!$C$42, 31, 31))/1000000</f>
        <v>12.063045499999998</v>
      </c>
      <c r="V195" s="38">
        <f>(1000*CHOOSE(CONTROL!$C$42, 500, 500)*CHOOSE(CONTROL!$C$42, 0.275, 0.275)*CHOOSE(CONTROL!$C$42, 31, 31))/1000000</f>
        <v>4.2625000000000002</v>
      </c>
      <c r="W195" s="38">
        <f>(1000*CHOOSE(CONTROL!$C$42, 0.1146, 0.1146)*CHOOSE(CONTROL!$C$42, 121.5, 121.5)*CHOOSE(CONTROL!$C$42, 31, 31))/1000000</f>
        <v>0.43164089999999994</v>
      </c>
      <c r="X195" s="38">
        <f>(31*0.1790888*100000/1000000)+(31*0.2374*100000/1000000)</f>
        <v>1.2911152800000001</v>
      </c>
      <c r="Y195" s="38">
        <f>(1000*600*CHOOSE(CONTROL!$C$42, 1.6945, 1.6945)*CHOOSE(CONTROL!$C$42, 31, 31))/1000000</f>
        <v>31.517699999999998</v>
      </c>
      <c r="Z195" s="38"/>
      <c r="AA195" s="10"/>
      <c r="AB195" s="39"/>
      <c r="AC195" s="33">
        <f>(B195*122.58+C195*297.941+D195*89.177+E195*40.302+F195*40+G195*160+H195*0+I195*100+J195*300)/(122.58+297.941+89.177+40.302+0+40+160+100+300)</f>
        <v>7.8060397934782602</v>
      </c>
      <c r="AD195" s="27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7.7577589928057549</v>
      </c>
    </row>
    <row r="196" spans="1:30" ht="15" x14ac:dyDescent="0.2">
      <c r="A196" s="16">
        <v>47209</v>
      </c>
      <c r="B196" s="10">
        <f>CHOOSE(CONTROL!$C$42, 7.7841, 7.7841) * CHOOSE(CONTROL!$C$21, $C$9, 100%, $E$9)</f>
        <v>7.7840999999999996</v>
      </c>
      <c r="C196" s="10">
        <f>CHOOSE(CONTROL!$C$42, 7.7886, 7.7886) * CHOOSE(CONTROL!$C$21, $C$9, 100%, $E$9)</f>
        <v>7.7885999999999997</v>
      </c>
      <c r="D196" s="10">
        <f>CHOOSE(CONTROL!$C$42, 7.9668, 7.9668) * CHOOSE(CONTROL!$C$21, $C$9, 100%, $E$9)</f>
        <v>7.9668000000000001</v>
      </c>
      <c r="E196" s="10">
        <f>CHOOSE(CONTROL!$C$42, 7.9987, 7.9987) * CHOOSE(CONTROL!$C$21, $C$9, 100%, $E$9)</f>
        <v>7.9987000000000004</v>
      </c>
      <c r="F196" s="10">
        <f>CHOOSE(CONTROL!$C$42, 7.7275, 7.7275)*CHOOSE(CONTROL!$C$21, $C$9, 100%, $E$9)</f>
        <v>7.7275</v>
      </c>
      <c r="G196" s="10">
        <f>CHOOSE(CONTROL!$C$42, 7.7441, 7.7441)*CHOOSE(CONTROL!$C$21, $C$9, 100%, $E$9)</f>
        <v>7.7441000000000004</v>
      </c>
      <c r="H196" s="10">
        <f>CHOOSE(CONTROL!$C$42, 7.9881, 7.9881) * CHOOSE(CONTROL!$C$21, $C$9, 100%, $E$9)</f>
        <v>7.9881000000000002</v>
      </c>
      <c r="I196" s="10">
        <f>CHOOSE(CONTROL!$C$42, 7.7601, 7.7601)* CHOOSE(CONTROL!$C$21, $C$9, 100%, $E$9)</f>
        <v>7.7601000000000004</v>
      </c>
      <c r="J196" s="10">
        <f>CHOOSE(CONTROL!$C$42, 7.7201, 7.7201)* CHOOSE(CONTROL!$C$21, $C$9, 100%, $E$9)</f>
        <v>7.7201000000000004</v>
      </c>
      <c r="K196" s="10">
        <f>CHOOSE(CONTROL!$C$42, 7.6753, 7.6753) * CHOOSE(CONTROL!$C$21, $C$9, 100%, $E$9)</f>
        <v>7.6753</v>
      </c>
      <c r="L196" s="10">
        <f>CHOOSE(CONTROL!$C$42, 8.5751, 8.5751) * CHOOSE(CONTROL!$C$21, $C$9, 100%, $E$9)</f>
        <v>8.5751000000000008</v>
      </c>
      <c r="M196" s="10">
        <f>CHOOSE(CONTROL!$C$42, 7.6532, 7.6532) * CHOOSE(CONTROL!$C$21, $C$9, 100%, $E$9)</f>
        <v>7.6532</v>
      </c>
      <c r="N196" s="10">
        <f>CHOOSE(CONTROL!$C$42, 7.6696, 7.6696) * CHOOSE(CONTROL!$C$21, $C$9, 100%, $E$9)</f>
        <v>7.6696</v>
      </c>
      <c r="O196" s="10">
        <f>CHOOSE(CONTROL!$C$42, 7.9178, 7.9178) * CHOOSE(CONTROL!$C$21, $C$9, 100%, $E$9)</f>
        <v>7.9177999999999997</v>
      </c>
      <c r="P196" s="10">
        <f>CHOOSE(CONTROL!$C$42, 7.6927, 7.6927) * CHOOSE(CONTROL!$C$21, $C$9, 100%, $E$9)</f>
        <v>7.6927000000000003</v>
      </c>
      <c r="Q196" s="10">
        <f>CHOOSE(CONTROL!$C$42, 8.5131, 8.5131) * CHOOSE(CONTROL!$C$21, $C$9, 100%, $E$9)</f>
        <v>8.5130999999999997</v>
      </c>
      <c r="R196" s="10">
        <f>CHOOSE(CONTROL!$C$42, 9.1213, 9.1213) * CHOOSE(CONTROL!$C$21, $C$9, 100%, $E$9)</f>
        <v>9.1212999999999997</v>
      </c>
      <c r="S196" s="10">
        <f>CHOOSE(CONTROL!$C$42, 7.5532, 7.5532) * CHOOSE(CONTROL!$C$21, $C$9, 100%, $E$9)</f>
        <v>7.5532000000000004</v>
      </c>
      <c r="T19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38">
        <f>(1000*CHOOSE(CONTROL!$C$42, 695, 695)*CHOOSE(CONTROL!$C$42, 0.5599, 0.5599)*CHOOSE(CONTROL!$C$42, 30, 30))/1000000</f>
        <v>11.673914999999997</v>
      </c>
      <c r="V196" s="38">
        <f>(1000*CHOOSE(CONTROL!$C$42, 500, 500)*CHOOSE(CONTROL!$C$42, 0.275, 0.275)*CHOOSE(CONTROL!$C$42, 30, 30))/1000000</f>
        <v>4.125</v>
      </c>
      <c r="W196" s="38">
        <f>(1000*CHOOSE(CONTROL!$C$42, 0.1146, 0.1146)*CHOOSE(CONTROL!$C$42, 121.5, 121.5)*CHOOSE(CONTROL!$C$42, 30, 30))/1000000</f>
        <v>0.417717</v>
      </c>
      <c r="X196" s="38">
        <f>(30*0.1790888*245000/1000000)+(30*0.2374*100000/1000000)</f>
        <v>2.0285026799999999</v>
      </c>
      <c r="Y196" s="38">
        <f>(1000*600*CHOOSE(CONTROL!$C$42, 1.6945, 1.6945)*CHOOSE(CONTROL!$C$42, 30, 30))/1000000</f>
        <v>30.500999999999998</v>
      </c>
      <c r="Z196" s="38"/>
      <c r="AA196" s="10"/>
      <c r="AB196" s="39"/>
      <c r="AC196" s="33">
        <f>(B196*141.293+C196*267.993+D196*115.016+E196*89.698+F196*40+G196*185+H196*0+I196*100+J196*300)/(141.293+267.993+115.016+89.698+0+40+185+100+300)</f>
        <v>7.7923361440677974</v>
      </c>
      <c r="AD196" s="27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7.7368992805755399</v>
      </c>
    </row>
    <row r="197" spans="1:30" ht="15" x14ac:dyDescent="0.2">
      <c r="A197" s="16">
        <v>47239</v>
      </c>
      <c r="B197" s="10">
        <f>CHOOSE(CONTROL!$C$42, 7.8547, 7.8547) * CHOOSE(CONTROL!$C$21, $C$9, 100%, $E$9)</f>
        <v>7.8547000000000002</v>
      </c>
      <c r="C197" s="10">
        <f>CHOOSE(CONTROL!$C$42, 7.8627, 7.8627) * CHOOSE(CONTROL!$C$21, $C$9, 100%, $E$9)</f>
        <v>7.8627000000000002</v>
      </c>
      <c r="D197" s="10">
        <f>CHOOSE(CONTROL!$C$42, 8.0378, 8.0378) * CHOOSE(CONTROL!$C$21, $C$9, 100%, $E$9)</f>
        <v>8.0378000000000007</v>
      </c>
      <c r="E197" s="10">
        <f>CHOOSE(CONTROL!$C$42, 8.069, 8.069) * CHOOSE(CONTROL!$C$21, $C$9, 100%, $E$9)</f>
        <v>8.0690000000000008</v>
      </c>
      <c r="F197" s="10">
        <f>CHOOSE(CONTROL!$C$42, 7.7964, 7.7964)*CHOOSE(CONTROL!$C$21, $C$9, 100%, $E$9)</f>
        <v>7.7964000000000002</v>
      </c>
      <c r="G197" s="10">
        <f>CHOOSE(CONTROL!$C$42, 7.8133, 7.8133)*CHOOSE(CONTROL!$C$21, $C$9, 100%, $E$9)</f>
        <v>7.8132999999999999</v>
      </c>
      <c r="H197" s="10">
        <f>CHOOSE(CONTROL!$C$42, 8.0574, 8.0574) * CHOOSE(CONTROL!$C$21, $C$9, 100%, $E$9)</f>
        <v>8.0573999999999995</v>
      </c>
      <c r="I197" s="10">
        <f>CHOOSE(CONTROL!$C$42, 7.8293, 7.8293)* CHOOSE(CONTROL!$C$21, $C$9, 100%, $E$9)</f>
        <v>7.8292999999999999</v>
      </c>
      <c r="J197" s="10">
        <f>CHOOSE(CONTROL!$C$42, 7.789, 7.789)* CHOOSE(CONTROL!$C$21, $C$9, 100%, $E$9)</f>
        <v>7.7889999999999997</v>
      </c>
      <c r="K197" s="10">
        <f>CHOOSE(CONTROL!$C$42, 7.7415, 7.7415) * CHOOSE(CONTROL!$C$21, $C$9, 100%, $E$9)</f>
        <v>7.7415000000000003</v>
      </c>
      <c r="L197" s="10">
        <f>CHOOSE(CONTROL!$C$42, 8.6444, 8.6444) * CHOOSE(CONTROL!$C$21, $C$9, 100%, $E$9)</f>
        <v>8.6443999999999992</v>
      </c>
      <c r="M197" s="10">
        <f>CHOOSE(CONTROL!$C$42, 7.7212, 7.7212) * CHOOSE(CONTROL!$C$21, $C$9, 100%, $E$9)</f>
        <v>7.7211999999999996</v>
      </c>
      <c r="N197" s="10">
        <f>CHOOSE(CONTROL!$C$42, 7.7379, 7.7379) * CHOOSE(CONTROL!$C$21, $C$9, 100%, $E$9)</f>
        <v>7.7378999999999998</v>
      </c>
      <c r="O197" s="10">
        <f>CHOOSE(CONTROL!$C$42, 7.9861, 7.9861) * CHOOSE(CONTROL!$C$21, $C$9, 100%, $E$9)</f>
        <v>7.9861000000000004</v>
      </c>
      <c r="P197" s="10">
        <f>CHOOSE(CONTROL!$C$42, 7.7611, 7.7611) * CHOOSE(CONTROL!$C$21, $C$9, 100%, $E$9)</f>
        <v>7.7610999999999999</v>
      </c>
      <c r="Q197" s="10">
        <f>CHOOSE(CONTROL!$C$42, 8.5814, 8.5814) * CHOOSE(CONTROL!$C$21, $C$9, 100%, $E$9)</f>
        <v>8.5814000000000004</v>
      </c>
      <c r="R197" s="10">
        <f>CHOOSE(CONTROL!$C$42, 9.1899, 9.1899) * CHOOSE(CONTROL!$C$21, $C$9, 100%, $E$9)</f>
        <v>9.1898999999999997</v>
      </c>
      <c r="S197" s="10">
        <f>CHOOSE(CONTROL!$C$42, 7.6203, 7.6203) * CHOOSE(CONTROL!$C$21, $C$9, 100%, $E$9)</f>
        <v>7.6203000000000003</v>
      </c>
      <c r="T19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38">
        <f>(1000*CHOOSE(CONTROL!$C$42, 695, 695)*CHOOSE(CONTROL!$C$42, 0.5599, 0.5599)*CHOOSE(CONTROL!$C$42, 31, 31))/1000000</f>
        <v>12.063045499999998</v>
      </c>
      <c r="V197" s="38">
        <f>(1000*CHOOSE(CONTROL!$C$42, 500, 500)*CHOOSE(CONTROL!$C$42, 0.275, 0.275)*CHOOSE(CONTROL!$C$42, 31, 31))/1000000</f>
        <v>4.2625000000000002</v>
      </c>
      <c r="W197" s="38">
        <f>(1000*CHOOSE(CONTROL!$C$42, 0.1146, 0.1146)*CHOOSE(CONTROL!$C$42, 121.5, 121.5)*CHOOSE(CONTROL!$C$42, 31, 31))/1000000</f>
        <v>0.43164089999999994</v>
      </c>
      <c r="X197" s="38">
        <f>(31*0.1790888*245000/1000000)+(31*0.2374*100000/1000000)</f>
        <v>2.0961194359999999</v>
      </c>
      <c r="Y197" s="38">
        <f>(1000*600*CHOOSE(CONTROL!$C$42, 1.6945, 1.6945)*CHOOSE(CONTROL!$C$42, 31, 31))/1000000</f>
        <v>31.517699999999998</v>
      </c>
      <c r="Z197" s="38"/>
      <c r="AA197" s="10"/>
      <c r="AB197" s="39"/>
      <c r="AC197" s="33">
        <f>(B197*194.205+C197*267.466+D197*133.845+E197*53.484+F197*40+G197*185+H197*0+I197*100+J197*300)/(194.205+267.466+133.845+53.484+0+40+185+100+300)</f>
        <v>7.8593054699372065</v>
      </c>
      <c r="AD197" s="27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7.8051100719424458</v>
      </c>
    </row>
    <row r="198" spans="1:30" ht="15" x14ac:dyDescent="0.2">
      <c r="A198" s="16">
        <v>47270</v>
      </c>
      <c r="B198" s="10">
        <f>CHOOSE(CONTROL!$C$42, 8.0779, 8.0779) * CHOOSE(CONTROL!$C$21, $C$9, 100%, $E$9)</f>
        <v>8.0778999999999996</v>
      </c>
      <c r="C198" s="10">
        <f>CHOOSE(CONTROL!$C$42, 8.0859, 8.0859) * CHOOSE(CONTROL!$C$21, $C$9, 100%, $E$9)</f>
        <v>8.0859000000000005</v>
      </c>
      <c r="D198" s="10">
        <f>CHOOSE(CONTROL!$C$42, 8.261, 8.261) * CHOOSE(CONTROL!$C$21, $C$9, 100%, $E$9)</f>
        <v>8.2609999999999992</v>
      </c>
      <c r="E198" s="10">
        <f>CHOOSE(CONTROL!$C$42, 8.2922, 8.2922) * CHOOSE(CONTROL!$C$21, $C$9, 100%, $E$9)</f>
        <v>8.2921999999999993</v>
      </c>
      <c r="F198" s="10">
        <f>CHOOSE(CONTROL!$C$42, 8.0198, 8.0198)*CHOOSE(CONTROL!$C$21, $C$9, 100%, $E$9)</f>
        <v>8.0198</v>
      </c>
      <c r="G198" s="10">
        <f>CHOOSE(CONTROL!$C$42, 8.0367, 8.0367)*CHOOSE(CONTROL!$C$21, $C$9, 100%, $E$9)</f>
        <v>8.0366999999999997</v>
      </c>
      <c r="H198" s="10">
        <f>CHOOSE(CONTROL!$C$42, 8.2806, 8.2806) * CHOOSE(CONTROL!$C$21, $C$9, 100%, $E$9)</f>
        <v>8.2805999999999997</v>
      </c>
      <c r="I198" s="10">
        <f>CHOOSE(CONTROL!$C$42, 8.0525, 8.0525)* CHOOSE(CONTROL!$C$21, $C$9, 100%, $E$9)</f>
        <v>8.0525000000000002</v>
      </c>
      <c r="J198" s="10">
        <f>CHOOSE(CONTROL!$C$42, 8.0124, 8.0124)* CHOOSE(CONTROL!$C$21, $C$9, 100%, $E$9)</f>
        <v>8.0123999999999995</v>
      </c>
      <c r="K198" s="10">
        <f>CHOOSE(CONTROL!$C$42, 7.9582, 7.9582) * CHOOSE(CONTROL!$C$21, $C$9, 100%, $E$9)</f>
        <v>7.9581999999999997</v>
      </c>
      <c r="L198" s="10">
        <f>CHOOSE(CONTROL!$C$42, 8.8676, 8.8676) * CHOOSE(CONTROL!$C$21, $C$9, 100%, $E$9)</f>
        <v>8.8675999999999995</v>
      </c>
      <c r="M198" s="10">
        <f>CHOOSE(CONTROL!$C$42, 7.9417, 7.9417) * CHOOSE(CONTROL!$C$21, $C$9, 100%, $E$9)</f>
        <v>7.9417</v>
      </c>
      <c r="N198" s="10">
        <f>CHOOSE(CONTROL!$C$42, 7.9584, 7.9584) * CHOOSE(CONTROL!$C$21, $C$9, 100%, $E$9)</f>
        <v>7.9584000000000001</v>
      </c>
      <c r="O198" s="10">
        <f>CHOOSE(CONTROL!$C$42, 8.2064, 8.2064) * CHOOSE(CONTROL!$C$21, $C$9, 100%, $E$9)</f>
        <v>8.2064000000000004</v>
      </c>
      <c r="P198" s="10">
        <f>CHOOSE(CONTROL!$C$42, 7.9814, 7.9814) * CHOOSE(CONTROL!$C$21, $C$9, 100%, $E$9)</f>
        <v>7.9813999999999998</v>
      </c>
      <c r="Q198" s="10">
        <f>CHOOSE(CONTROL!$C$42, 8.8017, 8.8017) * CHOOSE(CONTROL!$C$21, $C$9, 100%, $E$9)</f>
        <v>8.8017000000000003</v>
      </c>
      <c r="R198" s="10">
        <f>CHOOSE(CONTROL!$C$42, 9.4107, 9.4107) * CHOOSE(CONTROL!$C$21, $C$9, 100%, $E$9)</f>
        <v>9.4107000000000003</v>
      </c>
      <c r="S198" s="10">
        <f>CHOOSE(CONTROL!$C$42, 7.8364, 7.8364) * CHOOSE(CONTROL!$C$21, $C$9, 100%, $E$9)</f>
        <v>7.8364000000000003</v>
      </c>
      <c r="T19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38">
        <f>(1000*CHOOSE(CONTROL!$C$42, 695, 695)*CHOOSE(CONTROL!$C$42, 0.5599, 0.5599)*CHOOSE(CONTROL!$C$42, 30, 30))/1000000</f>
        <v>11.673914999999997</v>
      </c>
      <c r="V198" s="38">
        <f>(1000*CHOOSE(CONTROL!$C$42, 500, 500)*CHOOSE(CONTROL!$C$42, 0.275, 0.275)*CHOOSE(CONTROL!$C$42, 30, 30))/1000000</f>
        <v>4.125</v>
      </c>
      <c r="W198" s="38">
        <f>(1000*CHOOSE(CONTROL!$C$42, 0.1146, 0.1146)*CHOOSE(CONTROL!$C$42, 121.5, 121.5)*CHOOSE(CONTROL!$C$42, 30, 30))/1000000</f>
        <v>0.417717</v>
      </c>
      <c r="X198" s="38">
        <f>(30*0.1790888*245000/1000000)+(30*0.2374*100000/1000000)</f>
        <v>2.0285026799999999</v>
      </c>
      <c r="Y198" s="38">
        <f>(1000*600*CHOOSE(CONTROL!$C$42, 1.6945, 1.6945)*CHOOSE(CONTROL!$C$42, 30, 30))/1000000</f>
        <v>30.500999999999998</v>
      </c>
      <c r="Z198" s="38"/>
      <c r="AA198" s="10"/>
      <c r="AB198" s="39"/>
      <c r="AC198" s="33">
        <f>(B198*194.205+C198*267.466+D198*133.845+E198*53.484+F198*40+G198*185+H198*0+I198*100+J198*300)/(194.205+267.466+133.845+53.484+0+40+185+100+300)</f>
        <v>8.0825878875196242</v>
      </c>
      <c r="AD198" s="27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8.0255251798561158</v>
      </c>
    </row>
    <row r="199" spans="1:30" ht="15" x14ac:dyDescent="0.2">
      <c r="A199" s="16">
        <v>47300</v>
      </c>
      <c r="B199" s="10">
        <f>CHOOSE(CONTROL!$C$42, 7.9227, 7.9227) * CHOOSE(CONTROL!$C$21, $C$9, 100%, $E$9)</f>
        <v>7.9226999999999999</v>
      </c>
      <c r="C199" s="10">
        <f>CHOOSE(CONTROL!$C$42, 7.9306, 7.9306) * CHOOSE(CONTROL!$C$21, $C$9, 100%, $E$9)</f>
        <v>7.9306000000000001</v>
      </c>
      <c r="D199" s="10">
        <f>CHOOSE(CONTROL!$C$42, 8.1058, 8.1058) * CHOOSE(CONTROL!$C$21, $C$9, 100%, $E$9)</f>
        <v>8.1058000000000003</v>
      </c>
      <c r="E199" s="10">
        <f>CHOOSE(CONTROL!$C$42, 8.137, 8.137) * CHOOSE(CONTROL!$C$21, $C$9, 100%, $E$9)</f>
        <v>8.1370000000000005</v>
      </c>
      <c r="F199" s="10">
        <f>CHOOSE(CONTROL!$C$42, 7.8649, 7.8649)*CHOOSE(CONTROL!$C$21, $C$9, 100%, $E$9)</f>
        <v>7.8648999999999996</v>
      </c>
      <c r="G199" s="10">
        <f>CHOOSE(CONTROL!$C$42, 7.8819, 7.8819)*CHOOSE(CONTROL!$C$21, $C$9, 100%, $E$9)</f>
        <v>7.8818999999999999</v>
      </c>
      <c r="H199" s="10">
        <f>CHOOSE(CONTROL!$C$42, 8.1253, 8.1253) * CHOOSE(CONTROL!$C$21, $C$9, 100%, $E$9)</f>
        <v>8.1252999999999993</v>
      </c>
      <c r="I199" s="10">
        <f>CHOOSE(CONTROL!$C$42, 7.8973, 7.8973)* CHOOSE(CONTROL!$C$21, $C$9, 100%, $E$9)</f>
        <v>7.8973000000000004</v>
      </c>
      <c r="J199" s="10">
        <f>CHOOSE(CONTROL!$C$42, 7.8575, 7.8575)* CHOOSE(CONTROL!$C$21, $C$9, 100%, $E$9)</f>
        <v>7.8574999999999999</v>
      </c>
      <c r="K199" s="10">
        <f>CHOOSE(CONTROL!$C$42, 7.8085, 7.8085) * CHOOSE(CONTROL!$C$21, $C$9, 100%, $E$9)</f>
        <v>7.8085000000000004</v>
      </c>
      <c r="L199" s="10">
        <f>CHOOSE(CONTROL!$C$42, 8.7123, 8.7123) * CHOOSE(CONTROL!$C$21, $C$9, 100%, $E$9)</f>
        <v>8.7123000000000008</v>
      </c>
      <c r="M199" s="10">
        <f>CHOOSE(CONTROL!$C$42, 7.7888, 7.7888) * CHOOSE(CONTROL!$C$21, $C$9, 100%, $E$9)</f>
        <v>7.7888000000000002</v>
      </c>
      <c r="N199" s="10">
        <f>CHOOSE(CONTROL!$C$42, 7.8056, 7.8056) * CHOOSE(CONTROL!$C$21, $C$9, 100%, $E$9)</f>
        <v>7.8056000000000001</v>
      </c>
      <c r="O199" s="10">
        <f>CHOOSE(CONTROL!$C$42, 8.0532, 8.0532) * CHOOSE(CONTROL!$C$21, $C$9, 100%, $E$9)</f>
        <v>8.0532000000000004</v>
      </c>
      <c r="P199" s="10">
        <f>CHOOSE(CONTROL!$C$42, 7.8282, 7.8282) * CHOOSE(CONTROL!$C$21, $C$9, 100%, $E$9)</f>
        <v>7.8281999999999998</v>
      </c>
      <c r="Q199" s="10">
        <f>CHOOSE(CONTROL!$C$42, 8.6485, 8.6485) * CHOOSE(CONTROL!$C$21, $C$9, 100%, $E$9)</f>
        <v>8.6485000000000003</v>
      </c>
      <c r="R199" s="10">
        <f>CHOOSE(CONTROL!$C$42, 9.2571, 9.2571) * CHOOSE(CONTROL!$C$21, $C$9, 100%, $E$9)</f>
        <v>9.2570999999999994</v>
      </c>
      <c r="S199" s="10">
        <f>CHOOSE(CONTROL!$C$42, 7.6861, 7.6861) * CHOOSE(CONTROL!$C$21, $C$9, 100%, $E$9)</f>
        <v>7.6860999999999997</v>
      </c>
      <c r="T19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38">
        <f>(1000*CHOOSE(CONTROL!$C$42, 695, 695)*CHOOSE(CONTROL!$C$42, 0.5599, 0.5599)*CHOOSE(CONTROL!$C$42, 31, 31))/1000000</f>
        <v>12.063045499999998</v>
      </c>
      <c r="V199" s="38">
        <f>(1000*CHOOSE(CONTROL!$C$42, 500, 500)*CHOOSE(CONTROL!$C$42, 0.275, 0.275)*CHOOSE(CONTROL!$C$42, 31, 31))/1000000</f>
        <v>4.2625000000000002</v>
      </c>
      <c r="W199" s="38">
        <f>(1000*CHOOSE(CONTROL!$C$42, 0.1146, 0.1146)*CHOOSE(CONTROL!$C$42, 121.5, 121.5)*CHOOSE(CONTROL!$C$42, 31, 31))/1000000</f>
        <v>0.43164089999999994</v>
      </c>
      <c r="X199" s="38">
        <f>(31*0.1790888*245000/1000000)+(31*0.2374*100000/1000000)</f>
        <v>2.0961194359999999</v>
      </c>
      <c r="Y199" s="38">
        <f>(1000*600*CHOOSE(CONTROL!$C$42, 1.6945, 1.6945)*CHOOSE(CONTROL!$C$42, 31, 31))/1000000</f>
        <v>31.517699999999998</v>
      </c>
      <c r="Z199" s="38"/>
      <c r="AA199" s="10"/>
      <c r="AB199" s="39"/>
      <c r="AC199" s="33">
        <f>(B199*194.205+C199*267.466+D199*133.845+E199*53.484+F199*40+G199*185+H199*0+I199*100+J199*300)/(194.205+267.466+133.845+53.484+0+40+185+100+300)</f>
        <v>7.9275050408948191</v>
      </c>
      <c r="AD199" s="27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7.8725208633093526</v>
      </c>
    </row>
    <row r="200" spans="1:30" ht="15" x14ac:dyDescent="0.2">
      <c r="A200" s="16">
        <v>47331</v>
      </c>
      <c r="B200" s="10">
        <f>CHOOSE(CONTROL!$C$42, 7.5306, 7.5306) * CHOOSE(CONTROL!$C$21, $C$9, 100%, $E$9)</f>
        <v>7.5305999999999997</v>
      </c>
      <c r="C200" s="10">
        <f>CHOOSE(CONTROL!$C$42, 7.5386, 7.5386) * CHOOSE(CONTROL!$C$21, $C$9, 100%, $E$9)</f>
        <v>7.5385999999999997</v>
      </c>
      <c r="D200" s="10">
        <f>CHOOSE(CONTROL!$C$42, 7.7137, 7.7137) * CHOOSE(CONTROL!$C$21, $C$9, 100%, $E$9)</f>
        <v>7.7137000000000002</v>
      </c>
      <c r="E200" s="10">
        <f>CHOOSE(CONTROL!$C$42, 7.745, 7.745) * CHOOSE(CONTROL!$C$21, $C$9, 100%, $E$9)</f>
        <v>7.7450000000000001</v>
      </c>
      <c r="F200" s="10">
        <f>CHOOSE(CONTROL!$C$42, 7.4727, 7.4727)*CHOOSE(CONTROL!$C$21, $C$9, 100%, $E$9)</f>
        <v>7.4726999999999997</v>
      </c>
      <c r="G200" s="10">
        <f>CHOOSE(CONTROL!$C$42, 7.4897, 7.4897)*CHOOSE(CONTROL!$C$21, $C$9, 100%, $E$9)</f>
        <v>7.4897</v>
      </c>
      <c r="H200" s="10">
        <f>CHOOSE(CONTROL!$C$42, 7.7333, 7.7333) * CHOOSE(CONTROL!$C$21, $C$9, 100%, $E$9)</f>
        <v>7.7332999999999998</v>
      </c>
      <c r="I200" s="10">
        <f>CHOOSE(CONTROL!$C$42, 7.5053, 7.5053)* CHOOSE(CONTROL!$C$21, $C$9, 100%, $E$9)</f>
        <v>7.5053000000000001</v>
      </c>
      <c r="J200" s="10">
        <f>CHOOSE(CONTROL!$C$42, 7.4653, 7.4653)* CHOOSE(CONTROL!$C$21, $C$9, 100%, $E$9)</f>
        <v>7.4653</v>
      </c>
      <c r="K200" s="10">
        <f>CHOOSE(CONTROL!$C$42, 7.4285, 7.4285) * CHOOSE(CONTROL!$C$21, $C$9, 100%, $E$9)</f>
        <v>7.4284999999999997</v>
      </c>
      <c r="L200" s="10">
        <f>CHOOSE(CONTROL!$C$42, 8.3203, 8.3203) * CHOOSE(CONTROL!$C$21, $C$9, 100%, $E$9)</f>
        <v>8.3202999999999996</v>
      </c>
      <c r="M200" s="10">
        <f>CHOOSE(CONTROL!$C$42, 7.4017, 7.4017) * CHOOSE(CONTROL!$C$21, $C$9, 100%, $E$9)</f>
        <v>7.4016999999999999</v>
      </c>
      <c r="N200" s="10">
        <f>CHOOSE(CONTROL!$C$42, 7.4185, 7.4185) * CHOOSE(CONTROL!$C$21, $C$9, 100%, $E$9)</f>
        <v>7.4184999999999999</v>
      </c>
      <c r="O200" s="10">
        <f>CHOOSE(CONTROL!$C$42, 7.6662, 7.6662) * CHOOSE(CONTROL!$C$21, $C$9, 100%, $E$9)</f>
        <v>7.6661999999999999</v>
      </c>
      <c r="P200" s="10">
        <f>CHOOSE(CONTROL!$C$42, 7.4412, 7.4412) * CHOOSE(CONTROL!$C$21, $C$9, 100%, $E$9)</f>
        <v>7.4412000000000003</v>
      </c>
      <c r="Q200" s="10">
        <f>CHOOSE(CONTROL!$C$42, 8.2615, 8.2615) * CHOOSE(CONTROL!$C$21, $C$9, 100%, $E$9)</f>
        <v>8.2614999999999998</v>
      </c>
      <c r="R200" s="10">
        <f>CHOOSE(CONTROL!$C$42, 8.8692, 8.8692) * CHOOSE(CONTROL!$C$21, $C$9, 100%, $E$9)</f>
        <v>8.8691999999999993</v>
      </c>
      <c r="S200" s="10">
        <f>CHOOSE(CONTROL!$C$42, 7.3065, 7.3065) * CHOOSE(CONTROL!$C$21, $C$9, 100%, $E$9)</f>
        <v>7.3064999999999998</v>
      </c>
      <c r="T20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38">
        <f>(1000*CHOOSE(CONTROL!$C$42, 695, 695)*CHOOSE(CONTROL!$C$42, 0.5599, 0.5599)*CHOOSE(CONTROL!$C$42, 31, 31))/1000000</f>
        <v>12.063045499999998</v>
      </c>
      <c r="V200" s="38">
        <f>(1000*CHOOSE(CONTROL!$C$42, 500, 500)*CHOOSE(CONTROL!$C$42, 0.275, 0.275)*CHOOSE(CONTROL!$C$42, 31, 31))/1000000</f>
        <v>4.2625000000000002</v>
      </c>
      <c r="W200" s="38">
        <f>(1000*CHOOSE(CONTROL!$C$42, 0.1146, 0.1146)*CHOOSE(CONTROL!$C$42, 121.5, 121.5)*CHOOSE(CONTROL!$C$42, 31, 31))/1000000</f>
        <v>0.43164089999999994</v>
      </c>
      <c r="X200" s="38">
        <f>(31*0.1790888*245000/1000000)+(31*0.2374*100000/1000000)</f>
        <v>2.0961194359999999</v>
      </c>
      <c r="Y200" s="38">
        <f>(1000*600*CHOOSE(CONTROL!$C$42, 1.6945, 1.6945)*CHOOSE(CONTROL!$C$42, 31, 31))/1000000</f>
        <v>31.517699999999998</v>
      </c>
      <c r="Z200" s="38"/>
      <c r="AA200" s="10"/>
      <c r="AB200" s="39"/>
      <c r="AC200" s="33">
        <f>(B200*194.205+C200*267.466+D200*133.845+E200*53.484+F200*40+G200*185+H200*0+I200*100+J200*300)/(194.205+267.466+133.845+53.484+0+40+185+100+300)</f>
        <v>7.5353968737048662</v>
      </c>
      <c r="AD200" s="27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7.485463309352518</v>
      </c>
    </row>
    <row r="201" spans="1:30" ht="15" x14ac:dyDescent="0.2">
      <c r="A201" s="16">
        <v>47362</v>
      </c>
      <c r="B201" s="10">
        <f>CHOOSE(CONTROL!$C$42, 7.0516, 7.0516) * CHOOSE(CONTROL!$C$21, $C$9, 100%, $E$9)</f>
        <v>7.0515999999999996</v>
      </c>
      <c r="C201" s="10">
        <f>CHOOSE(CONTROL!$C$42, 7.0596, 7.0596) * CHOOSE(CONTROL!$C$21, $C$9, 100%, $E$9)</f>
        <v>7.0595999999999997</v>
      </c>
      <c r="D201" s="10">
        <f>CHOOSE(CONTROL!$C$42, 7.2348, 7.2348) * CHOOSE(CONTROL!$C$21, $C$9, 100%, $E$9)</f>
        <v>7.2347999999999999</v>
      </c>
      <c r="E201" s="10">
        <f>CHOOSE(CONTROL!$C$42, 7.266, 7.266) * CHOOSE(CONTROL!$C$21, $C$9, 100%, $E$9)</f>
        <v>7.266</v>
      </c>
      <c r="F201" s="10">
        <f>CHOOSE(CONTROL!$C$42, 6.9934, 6.9934)*CHOOSE(CONTROL!$C$21, $C$9, 100%, $E$9)</f>
        <v>6.9934000000000003</v>
      </c>
      <c r="G201" s="10">
        <f>CHOOSE(CONTROL!$C$42, 7.0104, 7.0104)*CHOOSE(CONTROL!$C$21, $C$9, 100%, $E$9)</f>
        <v>7.0103999999999997</v>
      </c>
      <c r="H201" s="10">
        <f>CHOOSE(CONTROL!$C$42, 7.2543, 7.2543) * CHOOSE(CONTROL!$C$21, $C$9, 100%, $E$9)</f>
        <v>7.2542999999999997</v>
      </c>
      <c r="I201" s="10">
        <f>CHOOSE(CONTROL!$C$42, 7.0263, 7.0263)* CHOOSE(CONTROL!$C$21, $C$9, 100%, $E$9)</f>
        <v>7.0263</v>
      </c>
      <c r="J201" s="10">
        <f>CHOOSE(CONTROL!$C$42, 6.986, 6.986)* CHOOSE(CONTROL!$C$21, $C$9, 100%, $E$9)</f>
        <v>6.9859999999999998</v>
      </c>
      <c r="K201" s="10">
        <f>CHOOSE(CONTROL!$C$42, 6.9638, 6.9638) * CHOOSE(CONTROL!$C$21, $C$9, 100%, $E$9)</f>
        <v>6.9638</v>
      </c>
      <c r="L201" s="10">
        <f>CHOOSE(CONTROL!$C$42, 7.8413, 7.8413) * CHOOSE(CONTROL!$C$21, $C$9, 100%, $E$9)</f>
        <v>7.8413000000000004</v>
      </c>
      <c r="M201" s="10">
        <f>CHOOSE(CONTROL!$C$42, 6.9286, 6.9286) * CHOOSE(CONTROL!$C$21, $C$9, 100%, $E$9)</f>
        <v>6.9286000000000003</v>
      </c>
      <c r="N201" s="10">
        <f>CHOOSE(CONTROL!$C$42, 6.9453, 6.9453) * CHOOSE(CONTROL!$C$21, $C$9, 100%, $E$9)</f>
        <v>6.9452999999999996</v>
      </c>
      <c r="O201" s="10">
        <f>CHOOSE(CONTROL!$C$42, 7.1934, 7.1934) * CHOOSE(CONTROL!$C$21, $C$9, 100%, $E$9)</f>
        <v>7.1933999999999996</v>
      </c>
      <c r="P201" s="10">
        <f>CHOOSE(CONTROL!$C$42, 6.9684, 6.9684) * CHOOSE(CONTROL!$C$21, $C$9, 100%, $E$9)</f>
        <v>6.9683999999999999</v>
      </c>
      <c r="Q201" s="10">
        <f>CHOOSE(CONTROL!$C$42, 7.7887, 7.7887) * CHOOSE(CONTROL!$C$21, $C$9, 100%, $E$9)</f>
        <v>7.7887000000000004</v>
      </c>
      <c r="R201" s="10">
        <f>CHOOSE(CONTROL!$C$42, 8.3952, 8.3952) * CHOOSE(CONTROL!$C$21, $C$9, 100%, $E$9)</f>
        <v>8.3952000000000009</v>
      </c>
      <c r="S201" s="10">
        <f>CHOOSE(CONTROL!$C$42, 6.8427, 6.8427) * CHOOSE(CONTROL!$C$21, $C$9, 100%, $E$9)</f>
        <v>6.8426999999999998</v>
      </c>
      <c r="T20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38">
        <f>(1000*CHOOSE(CONTROL!$C$42, 695, 695)*CHOOSE(CONTROL!$C$42, 0.5599, 0.5599)*CHOOSE(CONTROL!$C$42, 30, 30))/1000000</f>
        <v>11.673914999999997</v>
      </c>
      <c r="V201" s="38">
        <f>(1000*CHOOSE(CONTROL!$C$42, 500, 500)*CHOOSE(CONTROL!$C$42, 0.275, 0.275)*CHOOSE(CONTROL!$C$42, 30, 30))/1000000</f>
        <v>4.125</v>
      </c>
      <c r="W201" s="38">
        <f>(1000*CHOOSE(CONTROL!$C$42, 0.1146, 0.1146)*CHOOSE(CONTROL!$C$42, 121.5, 121.5)*CHOOSE(CONTROL!$C$42, 30, 30))/1000000</f>
        <v>0.417717</v>
      </c>
      <c r="X201" s="38">
        <f>(30*0.1790888*245000/1000000)+(30*0.2374*100000/1000000)</f>
        <v>2.0285026799999999</v>
      </c>
      <c r="Y201" s="38">
        <f>(1000*600*CHOOSE(CONTROL!$C$42, 1.6945, 1.6945)*CHOOSE(CONTROL!$C$42, 30, 30))/1000000</f>
        <v>30.500999999999998</v>
      </c>
      <c r="Z201" s="38"/>
      <c r="AA201" s="10"/>
      <c r="AB201" s="39"/>
      <c r="AC201" s="33">
        <f>(B201*194.205+C201*267.466+D201*133.845+E201*53.484+F201*40+G201*185+H201*0+I201*100+J201*300)/(194.205+267.466+133.845+53.484+0+40+185+100+300)</f>
        <v>7.0562837532182101</v>
      </c>
      <c r="AD201" s="27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7.0124676258992809</v>
      </c>
    </row>
    <row r="202" spans="1:30" ht="15" x14ac:dyDescent="0.2">
      <c r="A202" s="16">
        <v>47392</v>
      </c>
      <c r="B202" s="10">
        <f>CHOOSE(CONTROL!$C$42, 6.9061, 6.9061) * CHOOSE(CONTROL!$C$21, $C$9, 100%, $E$9)</f>
        <v>6.9061000000000003</v>
      </c>
      <c r="C202" s="10">
        <f>CHOOSE(CONTROL!$C$42, 6.9114, 6.9114) * CHOOSE(CONTROL!$C$21, $C$9, 100%, $E$9)</f>
        <v>6.9114000000000004</v>
      </c>
      <c r="D202" s="10">
        <f>CHOOSE(CONTROL!$C$42, 7.0914, 7.0914) * CHOOSE(CONTROL!$C$21, $C$9, 100%, $E$9)</f>
        <v>7.0914000000000001</v>
      </c>
      <c r="E202" s="10">
        <f>CHOOSE(CONTROL!$C$42, 7.1203, 7.1203) * CHOOSE(CONTROL!$C$21, $C$9, 100%, $E$9)</f>
        <v>7.1203000000000003</v>
      </c>
      <c r="F202" s="10">
        <f>CHOOSE(CONTROL!$C$42, 6.8498, 6.8498)*CHOOSE(CONTROL!$C$21, $C$9, 100%, $E$9)</f>
        <v>6.8498000000000001</v>
      </c>
      <c r="G202" s="10">
        <f>CHOOSE(CONTROL!$C$42, 6.8664, 6.8664)*CHOOSE(CONTROL!$C$21, $C$9, 100%, $E$9)</f>
        <v>6.8663999999999996</v>
      </c>
      <c r="H202" s="10">
        <f>CHOOSE(CONTROL!$C$42, 7.1105, 7.1105) * CHOOSE(CONTROL!$C$21, $C$9, 100%, $E$9)</f>
        <v>7.1105</v>
      </c>
      <c r="I202" s="10">
        <f>CHOOSE(CONTROL!$C$42, 6.8824, 6.8824)* CHOOSE(CONTROL!$C$21, $C$9, 100%, $E$9)</f>
        <v>6.8823999999999996</v>
      </c>
      <c r="J202" s="10">
        <f>CHOOSE(CONTROL!$C$42, 6.8424, 6.8424)* CHOOSE(CONTROL!$C$21, $C$9, 100%, $E$9)</f>
        <v>6.8423999999999996</v>
      </c>
      <c r="K202" s="10">
        <f>CHOOSE(CONTROL!$C$42, 6.825, 6.825) * CHOOSE(CONTROL!$C$21, $C$9, 100%, $E$9)</f>
        <v>6.8250000000000002</v>
      </c>
      <c r="L202" s="10">
        <f>CHOOSE(CONTROL!$C$42, 7.6975, 7.6975) * CHOOSE(CONTROL!$C$21, $C$9, 100%, $E$9)</f>
        <v>7.6974999999999998</v>
      </c>
      <c r="M202" s="10">
        <f>CHOOSE(CONTROL!$C$42, 6.7869, 6.7869) * CHOOSE(CONTROL!$C$21, $C$9, 100%, $E$9)</f>
        <v>6.7869000000000002</v>
      </c>
      <c r="N202" s="10">
        <f>CHOOSE(CONTROL!$C$42, 6.8033, 6.8033) * CHOOSE(CONTROL!$C$21, $C$9, 100%, $E$9)</f>
        <v>6.8033000000000001</v>
      </c>
      <c r="O202" s="10">
        <f>CHOOSE(CONTROL!$C$42, 7.0515, 7.0515) * CHOOSE(CONTROL!$C$21, $C$9, 100%, $E$9)</f>
        <v>7.0514999999999999</v>
      </c>
      <c r="P202" s="10">
        <f>CHOOSE(CONTROL!$C$42, 6.8264, 6.8264) * CHOOSE(CONTROL!$C$21, $C$9, 100%, $E$9)</f>
        <v>6.8263999999999996</v>
      </c>
      <c r="Q202" s="10">
        <f>CHOOSE(CONTROL!$C$42, 7.6468, 7.6468) * CHOOSE(CONTROL!$C$21, $C$9, 100%, $E$9)</f>
        <v>7.6467999999999998</v>
      </c>
      <c r="R202" s="10">
        <f>CHOOSE(CONTROL!$C$42, 8.2529, 8.2529) * CHOOSE(CONTROL!$C$21, $C$9, 100%, $E$9)</f>
        <v>8.2529000000000003</v>
      </c>
      <c r="S202" s="10">
        <f>CHOOSE(CONTROL!$C$42, 6.7034, 6.7034) * CHOOSE(CONTROL!$C$21, $C$9, 100%, $E$9)</f>
        <v>6.7034000000000002</v>
      </c>
      <c r="T20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38">
        <f>(1000*CHOOSE(CONTROL!$C$42, 695, 695)*CHOOSE(CONTROL!$C$42, 0.5599, 0.5599)*CHOOSE(CONTROL!$C$42, 31, 31))/1000000</f>
        <v>12.063045499999998</v>
      </c>
      <c r="V202" s="38">
        <f>(1000*CHOOSE(CONTROL!$C$42, 500, 500)*CHOOSE(CONTROL!$C$42, 0.275, 0.275)*CHOOSE(CONTROL!$C$42, 31, 31))/1000000</f>
        <v>4.2625000000000002</v>
      </c>
      <c r="W202" s="38">
        <f>(1000*CHOOSE(CONTROL!$C$42, 0.1146, 0.1146)*CHOOSE(CONTROL!$C$42, 121.5, 121.5)*CHOOSE(CONTROL!$C$42, 31, 31))/1000000</f>
        <v>0.43164089999999994</v>
      </c>
      <c r="X202" s="38">
        <f>(31*0.1790888*245000/1000000)+(31*0.2374*100000/1000000)</f>
        <v>2.0961194359999999</v>
      </c>
      <c r="Y202" s="38">
        <f>(1000*600*CHOOSE(CONTROL!$C$42, 1.6945, 1.6945)*CHOOSE(CONTROL!$C$42, 31, 31))/1000000</f>
        <v>31.517699999999998</v>
      </c>
      <c r="Z202" s="38"/>
      <c r="AA202" s="10"/>
      <c r="AB202" s="39"/>
      <c r="AC202" s="33">
        <f>(B202*131.881+C202*277.167+D202*79.08+E202*125.872+F202*40+G202*185+H202*0+I202*100+J202*300)/(131.881+277.167+79.08+125.872+0+40+185+100+300)</f>
        <v>6.9157915185633581</v>
      </c>
      <c r="AD202" s="27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6.8705992805755391</v>
      </c>
    </row>
    <row r="203" spans="1:30" ht="15" x14ac:dyDescent="0.2">
      <c r="A203" s="16">
        <v>47423</v>
      </c>
      <c r="B203" s="10">
        <f>CHOOSE(CONTROL!$C$42, 7.088, 7.088) * CHOOSE(CONTROL!$C$21, $C$9, 100%, $E$9)</f>
        <v>7.0880000000000001</v>
      </c>
      <c r="C203" s="10">
        <f>CHOOSE(CONTROL!$C$42, 7.0931, 7.0931) * CHOOSE(CONTROL!$C$21, $C$9, 100%, $E$9)</f>
        <v>7.0930999999999997</v>
      </c>
      <c r="D203" s="10">
        <f>CHOOSE(CONTROL!$C$42, 7.1178, 7.1178) * CHOOSE(CONTROL!$C$21, $C$9, 100%, $E$9)</f>
        <v>7.1177999999999999</v>
      </c>
      <c r="E203" s="10">
        <f>CHOOSE(CONTROL!$C$42, 7.1516, 7.1516) * CHOOSE(CONTROL!$C$21, $C$9, 100%, $E$9)</f>
        <v>7.1516000000000002</v>
      </c>
      <c r="F203" s="10">
        <f>CHOOSE(CONTROL!$C$42, 7.0537, 7.0537)*CHOOSE(CONTROL!$C$21, $C$9, 100%, $E$9)</f>
        <v>7.0537000000000001</v>
      </c>
      <c r="G203" s="10">
        <f>CHOOSE(CONTROL!$C$42, 7.0705, 7.0705)*CHOOSE(CONTROL!$C$21, $C$9, 100%, $E$9)</f>
        <v>7.0705</v>
      </c>
      <c r="H203" s="10">
        <f>CHOOSE(CONTROL!$C$42, 7.1405, 7.1405) * CHOOSE(CONTROL!$C$21, $C$9, 100%, $E$9)</f>
        <v>7.1405000000000003</v>
      </c>
      <c r="I203" s="10">
        <f>CHOOSE(CONTROL!$C$42, 7.0875, 7.0875)* CHOOSE(CONTROL!$C$21, $C$9, 100%, $E$9)</f>
        <v>7.0875000000000004</v>
      </c>
      <c r="J203" s="10">
        <f>CHOOSE(CONTROL!$C$42, 7.0463, 7.0463)* CHOOSE(CONTROL!$C$21, $C$9, 100%, $E$9)</f>
        <v>7.0462999999999996</v>
      </c>
      <c r="K203" s="10">
        <f>CHOOSE(CONTROL!$C$42, 7.0255, 7.0255) * CHOOSE(CONTROL!$C$21, $C$9, 100%, $E$9)</f>
        <v>7.0255000000000001</v>
      </c>
      <c r="L203" s="10">
        <f>CHOOSE(CONTROL!$C$42, 7.7275, 7.7275) * CHOOSE(CONTROL!$C$21, $C$9, 100%, $E$9)</f>
        <v>7.7275</v>
      </c>
      <c r="M203" s="10">
        <f>CHOOSE(CONTROL!$C$42, 6.9881, 6.9881) * CHOOSE(CONTROL!$C$21, $C$9, 100%, $E$9)</f>
        <v>6.9881000000000002</v>
      </c>
      <c r="N203" s="10">
        <f>CHOOSE(CONTROL!$C$42, 7.0047, 7.0047) * CHOOSE(CONTROL!$C$21, $C$9, 100%, $E$9)</f>
        <v>7.0046999999999997</v>
      </c>
      <c r="O203" s="10">
        <f>CHOOSE(CONTROL!$C$42, 7.0811, 7.0811) * CHOOSE(CONTROL!$C$21, $C$9, 100%, $E$9)</f>
        <v>7.0811000000000002</v>
      </c>
      <c r="P203" s="10">
        <f>CHOOSE(CONTROL!$C$42, 7.0289, 7.0289) * CHOOSE(CONTROL!$C$21, $C$9, 100%, $E$9)</f>
        <v>7.0289000000000001</v>
      </c>
      <c r="Q203" s="10">
        <f>CHOOSE(CONTROL!$C$42, 7.6764, 7.6764) * CHOOSE(CONTROL!$C$21, $C$9, 100%, $E$9)</f>
        <v>7.6764000000000001</v>
      </c>
      <c r="R203" s="10">
        <f>CHOOSE(CONTROL!$C$42, 8.2826, 8.2826) * CHOOSE(CONTROL!$C$21, $C$9, 100%, $E$9)</f>
        <v>8.2826000000000004</v>
      </c>
      <c r="S203" s="10">
        <f>CHOOSE(CONTROL!$C$42, 6.88, 6.88) * CHOOSE(CONTROL!$C$21, $C$9, 100%, $E$9)</f>
        <v>6.88</v>
      </c>
      <c r="T20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38">
        <f>(1000*CHOOSE(CONTROL!$C$42, 695, 695)*CHOOSE(CONTROL!$C$42, 0.5599, 0.5599)*CHOOSE(CONTROL!$C$42, 30, 30))/1000000</f>
        <v>11.673914999999997</v>
      </c>
      <c r="V203" s="38">
        <f>(1000*CHOOSE(CONTROL!$C$42, 500, 500)*CHOOSE(CONTROL!$C$42, 0.275, 0.275)*CHOOSE(CONTROL!$C$42, 30, 30))/1000000</f>
        <v>4.125</v>
      </c>
      <c r="W203" s="38">
        <f>(1000*CHOOSE(CONTROL!$C$42, 0.1146, 0.1146)*CHOOSE(CONTROL!$C$42, 121.5, 121.5)*CHOOSE(CONTROL!$C$42, 30, 30))/1000000</f>
        <v>0.417717</v>
      </c>
      <c r="X203" s="38">
        <f>(30*0.1790888*100000/1000000)+(30*0.2374*100000/1000000)</f>
        <v>1.2494664</v>
      </c>
      <c r="Y203" s="38">
        <f>(1000*600*CHOOSE(CONTROL!$C$42, 1.6945, 1.6945)*CHOOSE(CONTROL!$C$42, 30, 30))/1000000</f>
        <v>30.500999999999998</v>
      </c>
      <c r="Z203" s="38"/>
      <c r="AA203" s="10"/>
      <c r="AB203" s="39"/>
      <c r="AC203" s="33">
        <f>(B203*122.58+C203*297.941+D203*89.177+E203*40.302+F203*40+G203*160+H203*0+I203*100+J203*300)/(122.58+297.941+89.177+40.302+0+40+160+100+300)</f>
        <v>7.0793114616521731</v>
      </c>
      <c r="AD203" s="27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7.0370769784172662</v>
      </c>
    </row>
    <row r="204" spans="1:30" ht="15" x14ac:dyDescent="0.2">
      <c r="A204" s="16">
        <v>47453</v>
      </c>
      <c r="B204" s="10">
        <f>CHOOSE(CONTROL!$C$42, 7.5724, 7.5724) * CHOOSE(CONTROL!$C$21, $C$9, 100%, $E$9)</f>
        <v>7.5724</v>
      </c>
      <c r="C204" s="10">
        <f>CHOOSE(CONTROL!$C$42, 7.5775, 7.5775) * CHOOSE(CONTROL!$C$21, $C$9, 100%, $E$9)</f>
        <v>7.5774999999999997</v>
      </c>
      <c r="D204" s="10">
        <f>CHOOSE(CONTROL!$C$42, 7.6022, 7.6022) * CHOOSE(CONTROL!$C$21, $C$9, 100%, $E$9)</f>
        <v>7.6021999999999998</v>
      </c>
      <c r="E204" s="10">
        <f>CHOOSE(CONTROL!$C$42, 7.636, 7.636) * CHOOSE(CONTROL!$C$21, $C$9, 100%, $E$9)</f>
        <v>7.6360000000000001</v>
      </c>
      <c r="F204" s="10">
        <f>CHOOSE(CONTROL!$C$42, 7.5398, 7.5398)*CHOOSE(CONTROL!$C$21, $C$9, 100%, $E$9)</f>
        <v>7.5397999999999996</v>
      </c>
      <c r="G204" s="10">
        <f>CHOOSE(CONTROL!$C$42, 7.5571, 7.5571)*CHOOSE(CONTROL!$C$21, $C$9, 100%, $E$9)</f>
        <v>7.5571000000000002</v>
      </c>
      <c r="H204" s="10">
        <f>CHOOSE(CONTROL!$C$42, 7.6249, 7.6249) * CHOOSE(CONTROL!$C$21, $C$9, 100%, $E$9)</f>
        <v>7.6249000000000002</v>
      </c>
      <c r="I204" s="10">
        <f>CHOOSE(CONTROL!$C$42, 7.5719, 7.5719)* CHOOSE(CONTROL!$C$21, $C$9, 100%, $E$9)</f>
        <v>7.5719000000000003</v>
      </c>
      <c r="J204" s="10">
        <f>CHOOSE(CONTROL!$C$42, 7.5324, 7.5324)* CHOOSE(CONTROL!$C$21, $C$9, 100%, $E$9)</f>
        <v>7.5324</v>
      </c>
      <c r="K204" s="10">
        <f>CHOOSE(CONTROL!$C$42, 7.4986, 7.4986) * CHOOSE(CONTROL!$C$21, $C$9, 100%, $E$9)</f>
        <v>7.4985999999999997</v>
      </c>
      <c r="L204" s="10">
        <f>CHOOSE(CONTROL!$C$42, 8.2119, 8.2119) * CHOOSE(CONTROL!$C$21, $C$9, 100%, $E$9)</f>
        <v>8.2119</v>
      </c>
      <c r="M204" s="10">
        <f>CHOOSE(CONTROL!$C$42, 7.468, 7.468) * CHOOSE(CONTROL!$C$21, $C$9, 100%, $E$9)</f>
        <v>7.468</v>
      </c>
      <c r="N204" s="10">
        <f>CHOOSE(CONTROL!$C$42, 7.485, 7.485) * CHOOSE(CONTROL!$C$21, $C$9, 100%, $E$9)</f>
        <v>7.4850000000000003</v>
      </c>
      <c r="O204" s="10">
        <f>CHOOSE(CONTROL!$C$42, 7.5592, 7.5592) * CHOOSE(CONTROL!$C$21, $C$9, 100%, $E$9)</f>
        <v>7.5591999999999997</v>
      </c>
      <c r="P204" s="10">
        <f>CHOOSE(CONTROL!$C$42, 7.507, 7.507) * CHOOSE(CONTROL!$C$21, $C$9, 100%, $E$9)</f>
        <v>7.5069999999999997</v>
      </c>
      <c r="Q204" s="10">
        <f>CHOOSE(CONTROL!$C$42, 8.1545, 8.1545) * CHOOSE(CONTROL!$C$21, $C$9, 100%, $E$9)</f>
        <v>8.1545000000000005</v>
      </c>
      <c r="R204" s="10">
        <f>CHOOSE(CONTROL!$C$42, 8.7619, 8.7619) * CHOOSE(CONTROL!$C$21, $C$9, 100%, $E$9)</f>
        <v>8.7619000000000007</v>
      </c>
      <c r="S204" s="10">
        <f>CHOOSE(CONTROL!$C$42, 7.349, 7.349) * CHOOSE(CONTROL!$C$21, $C$9, 100%, $E$9)</f>
        <v>7.3490000000000002</v>
      </c>
      <c r="T20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38">
        <f>(1000*CHOOSE(CONTROL!$C$42, 695, 695)*CHOOSE(CONTROL!$C$42, 0.5599, 0.5599)*CHOOSE(CONTROL!$C$42, 31, 31))/1000000</f>
        <v>12.063045499999998</v>
      </c>
      <c r="V204" s="38">
        <f>(1000*CHOOSE(CONTROL!$C$42, 500, 500)*CHOOSE(CONTROL!$C$42, 0.275, 0.275)*CHOOSE(CONTROL!$C$42, 31, 31))/1000000</f>
        <v>4.2625000000000002</v>
      </c>
      <c r="W204" s="38">
        <f>(1000*CHOOSE(CONTROL!$C$42, 0.1146, 0.1146)*CHOOSE(CONTROL!$C$42, 121.5, 121.5)*CHOOSE(CONTROL!$C$42, 31, 31))/1000000</f>
        <v>0.43164089999999994</v>
      </c>
      <c r="X204" s="38">
        <f>(31*0.1790888*100000/1000000)+(31*0.2374*100000/1000000)</f>
        <v>1.2911152800000001</v>
      </c>
      <c r="Y204" s="38">
        <f>(1000*600*CHOOSE(CONTROL!$C$42, 1.6945, 1.6945)*CHOOSE(CONTROL!$C$42, 31, 31))/1000000</f>
        <v>31.517699999999998</v>
      </c>
      <c r="Z204" s="38"/>
      <c r="AA204" s="10"/>
      <c r="AB204" s="39"/>
      <c r="AC204" s="33">
        <f>(B204*122.58+C204*297.941+D204*89.177+E204*40.302+F204*40+G204*160+H204*0+I204*100+J204*300)/(122.58+297.941+89.177+40.302+0+40+160+100+300)</f>
        <v>7.5645201573043472</v>
      </c>
      <c r="AD204" s="27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7.5159251798561142</v>
      </c>
    </row>
    <row r="205" spans="1:30" ht="15" x14ac:dyDescent="0.2">
      <c r="A205" s="16">
        <v>47484</v>
      </c>
      <c r="B205" s="10">
        <f>CHOOSE(CONTROL!$C$42, 8.2152, 8.2152) * CHOOSE(CONTROL!$C$21, $C$9, 100%, $E$9)</f>
        <v>8.2151999999999994</v>
      </c>
      <c r="C205" s="10">
        <f>CHOOSE(CONTROL!$C$42, 8.2203, 8.2203) * CHOOSE(CONTROL!$C$21, $C$9, 100%, $E$9)</f>
        <v>8.2202999999999999</v>
      </c>
      <c r="D205" s="10">
        <f>CHOOSE(CONTROL!$C$42, 8.2553, 8.2553) * CHOOSE(CONTROL!$C$21, $C$9, 100%, $E$9)</f>
        <v>8.2553000000000001</v>
      </c>
      <c r="E205" s="10">
        <f>CHOOSE(CONTROL!$C$42, 8.2891, 8.2891) * CHOOSE(CONTROL!$C$21, $C$9, 100%, $E$9)</f>
        <v>8.2890999999999995</v>
      </c>
      <c r="F205" s="10">
        <f>CHOOSE(CONTROL!$C$42, 8.1965, 8.1965)*CHOOSE(CONTROL!$C$21, $C$9, 100%, $E$9)</f>
        <v>8.1965000000000003</v>
      </c>
      <c r="G205" s="10">
        <f>CHOOSE(CONTROL!$C$42, 8.2154, 8.2154)*CHOOSE(CONTROL!$C$21, $C$9, 100%, $E$9)</f>
        <v>8.2154000000000007</v>
      </c>
      <c r="H205" s="10">
        <f>CHOOSE(CONTROL!$C$42, 8.278, 8.278) * CHOOSE(CONTROL!$C$21, $C$9, 100%, $E$9)</f>
        <v>8.2780000000000005</v>
      </c>
      <c r="I205" s="10">
        <f>CHOOSE(CONTROL!$C$42, 8.2225, 8.2225)* CHOOSE(CONTROL!$C$21, $C$9, 100%, $E$9)</f>
        <v>8.2225000000000001</v>
      </c>
      <c r="J205" s="10">
        <f>CHOOSE(CONTROL!$C$42, 8.1891, 8.1891)* CHOOSE(CONTROL!$C$21, $C$9, 100%, $E$9)</f>
        <v>8.1890999999999998</v>
      </c>
      <c r="K205" s="10">
        <f>CHOOSE(CONTROL!$C$42, 8.1421, 8.1421) * CHOOSE(CONTROL!$C$21, $C$9, 100%, $E$9)</f>
        <v>8.1420999999999992</v>
      </c>
      <c r="L205" s="10">
        <f>CHOOSE(CONTROL!$C$42, 8.865, 8.865) * CHOOSE(CONTROL!$C$21, $C$9, 100%, $E$9)</f>
        <v>8.8650000000000002</v>
      </c>
      <c r="M205" s="10">
        <f>CHOOSE(CONTROL!$C$42, 8.1161, 8.1161) * CHOOSE(CONTROL!$C$21, $C$9, 100%, $E$9)</f>
        <v>8.1160999999999994</v>
      </c>
      <c r="N205" s="10">
        <f>CHOOSE(CONTROL!$C$42, 8.1348, 8.1348) * CHOOSE(CONTROL!$C$21, $C$9, 100%, $E$9)</f>
        <v>8.1348000000000003</v>
      </c>
      <c r="O205" s="10">
        <f>CHOOSE(CONTROL!$C$42, 8.2039, 8.2039) * CHOOSE(CONTROL!$C$21, $C$9, 100%, $E$9)</f>
        <v>8.2039000000000009</v>
      </c>
      <c r="P205" s="10">
        <f>CHOOSE(CONTROL!$C$42, 8.1491, 8.1491) * CHOOSE(CONTROL!$C$21, $C$9, 100%, $E$9)</f>
        <v>8.1491000000000007</v>
      </c>
      <c r="Q205" s="10">
        <f>CHOOSE(CONTROL!$C$42, 8.7992, 8.7992) * CHOOSE(CONTROL!$C$21, $C$9, 100%, $E$9)</f>
        <v>8.7992000000000008</v>
      </c>
      <c r="R205" s="10">
        <f>CHOOSE(CONTROL!$C$42, 9.4082, 9.4082) * CHOOSE(CONTROL!$C$21, $C$9, 100%, $E$9)</f>
        <v>9.4082000000000008</v>
      </c>
      <c r="S205" s="10">
        <f>CHOOSE(CONTROL!$C$42, 7.9715, 7.9715) * CHOOSE(CONTROL!$C$21, $C$9, 100%, $E$9)</f>
        <v>7.9714999999999998</v>
      </c>
      <c r="T20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38">
        <f>(1000*CHOOSE(CONTROL!$C$42, 695, 695)*CHOOSE(CONTROL!$C$42, 0.5599, 0.5599)*CHOOSE(CONTROL!$C$42, 31, 31))/1000000</f>
        <v>12.063045499999998</v>
      </c>
      <c r="V205" s="38">
        <f>(1000*CHOOSE(CONTROL!$C$42, 500, 500)*CHOOSE(CONTROL!$C$42, 0.275, 0.275)*CHOOSE(CONTROL!$C$42, 31, 31))/1000000</f>
        <v>4.2625000000000002</v>
      </c>
      <c r="W205" s="38">
        <f>(1000*CHOOSE(CONTROL!$C$42, 0.1146, 0.1146)*CHOOSE(CONTROL!$C$42, 121.5, 121.5)*CHOOSE(CONTROL!$C$42, 31, 31))/1000000</f>
        <v>0.43164089999999994</v>
      </c>
      <c r="X205" s="38">
        <f>(31*0.1790888*100000/1000000)+(31*0.2374*100000/1000000)</f>
        <v>1.2911152800000001</v>
      </c>
      <c r="Y205" s="38">
        <f>(1000*600*CHOOSE(CONTROL!$C$42, 1.6846, 1.6846)*CHOOSE(CONTROL!$C$42, 31, 31))/1000000</f>
        <v>31.333560000000002</v>
      </c>
      <c r="Z205" s="38"/>
      <c r="AA205" s="10"/>
      <c r="AB205" s="39"/>
      <c r="AC205" s="33">
        <f>(B205*122.58+C205*297.941+D205*89.177+E205*40.302+F205*40+G205*160+H205*0+I205*100+J205*300)/(122.58+297.941+89.177+40.302+0+40+160+100+300)</f>
        <v>8.2154241866086952</v>
      </c>
      <c r="AD205" s="27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8.1617187050359714</v>
      </c>
    </row>
    <row r="206" spans="1:30" ht="15" x14ac:dyDescent="0.2">
      <c r="A206" s="16">
        <v>47515</v>
      </c>
      <c r="B206" s="10">
        <f>CHOOSE(CONTROL!$C$42, 8.3618, 8.3618) * CHOOSE(CONTROL!$C$21, $C$9, 100%, $E$9)</f>
        <v>8.3618000000000006</v>
      </c>
      <c r="C206" s="10">
        <f>CHOOSE(CONTROL!$C$42, 8.3669, 8.3669) * CHOOSE(CONTROL!$C$21, $C$9, 100%, $E$9)</f>
        <v>8.3668999999999993</v>
      </c>
      <c r="D206" s="10">
        <f>CHOOSE(CONTROL!$C$42, 8.4019, 8.4019) * CHOOSE(CONTROL!$C$21, $C$9, 100%, $E$9)</f>
        <v>8.4018999999999995</v>
      </c>
      <c r="E206" s="10">
        <f>CHOOSE(CONTROL!$C$42, 8.4357, 8.4357) * CHOOSE(CONTROL!$C$21, $C$9, 100%, $E$9)</f>
        <v>8.4357000000000006</v>
      </c>
      <c r="F206" s="10">
        <f>CHOOSE(CONTROL!$C$42, 8.3425, 8.3425)*CHOOSE(CONTROL!$C$21, $C$9, 100%, $E$9)</f>
        <v>8.3424999999999994</v>
      </c>
      <c r="G206" s="10">
        <f>CHOOSE(CONTROL!$C$42, 8.3613, 8.3613)*CHOOSE(CONTROL!$C$21, $C$9, 100%, $E$9)</f>
        <v>8.3613</v>
      </c>
      <c r="H206" s="10">
        <f>CHOOSE(CONTROL!$C$42, 8.4246, 8.4246) * CHOOSE(CONTROL!$C$21, $C$9, 100%, $E$9)</f>
        <v>8.4245999999999999</v>
      </c>
      <c r="I206" s="10">
        <f>CHOOSE(CONTROL!$C$42, 8.369, 8.369)* CHOOSE(CONTROL!$C$21, $C$9, 100%, $E$9)</f>
        <v>8.3689999999999998</v>
      </c>
      <c r="J206" s="10">
        <f>CHOOSE(CONTROL!$C$42, 8.3351, 8.3351)* CHOOSE(CONTROL!$C$21, $C$9, 100%, $E$9)</f>
        <v>8.3351000000000006</v>
      </c>
      <c r="K206" s="10">
        <f>CHOOSE(CONTROL!$C$42, 8.2829, 8.2829) * CHOOSE(CONTROL!$C$21, $C$9, 100%, $E$9)</f>
        <v>8.2828999999999997</v>
      </c>
      <c r="L206" s="10">
        <f>CHOOSE(CONTROL!$C$42, 9.0116, 9.0116) * CHOOSE(CONTROL!$C$21, $C$9, 100%, $E$9)</f>
        <v>9.0115999999999996</v>
      </c>
      <c r="M206" s="10">
        <f>CHOOSE(CONTROL!$C$42, 8.2603, 8.2603) * CHOOSE(CONTROL!$C$21, $C$9, 100%, $E$9)</f>
        <v>8.2603000000000009</v>
      </c>
      <c r="N206" s="10">
        <f>CHOOSE(CONTROL!$C$42, 8.2788, 8.2788) * CHOOSE(CONTROL!$C$21, $C$9, 100%, $E$9)</f>
        <v>8.2788000000000004</v>
      </c>
      <c r="O206" s="10">
        <f>CHOOSE(CONTROL!$C$42, 8.3485, 8.3485) * CHOOSE(CONTROL!$C$21, $C$9, 100%, $E$9)</f>
        <v>8.3484999999999996</v>
      </c>
      <c r="P206" s="10">
        <f>CHOOSE(CONTROL!$C$42, 8.2938, 8.2938) * CHOOSE(CONTROL!$C$21, $C$9, 100%, $E$9)</f>
        <v>8.2937999999999992</v>
      </c>
      <c r="Q206" s="10">
        <f>CHOOSE(CONTROL!$C$42, 8.9438, 8.9438) * CHOOSE(CONTROL!$C$21, $C$9, 100%, $E$9)</f>
        <v>8.9437999999999995</v>
      </c>
      <c r="R206" s="10">
        <f>CHOOSE(CONTROL!$C$42, 9.5532, 9.5532) * CHOOSE(CONTROL!$C$21, $C$9, 100%, $E$9)</f>
        <v>9.5532000000000004</v>
      </c>
      <c r="S206" s="10">
        <f>CHOOSE(CONTROL!$C$42, 8.1134, 8.1134) * CHOOSE(CONTROL!$C$21, $C$9, 100%, $E$9)</f>
        <v>8.1134000000000004</v>
      </c>
      <c r="T20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38">
        <f>(1000*CHOOSE(CONTROL!$C$42, 695, 695)*CHOOSE(CONTROL!$C$42, 0.5599, 0.5599)*CHOOSE(CONTROL!$C$42, 28, 28))/1000000</f>
        <v>10.895653999999999</v>
      </c>
      <c r="V206" s="38">
        <f>(1000*CHOOSE(CONTROL!$C$42, 500, 500)*CHOOSE(CONTROL!$C$42, 0.275, 0.275)*CHOOSE(CONTROL!$C$42, 28, 28))/1000000</f>
        <v>3.85</v>
      </c>
      <c r="W206" s="38">
        <f>(1000*CHOOSE(CONTROL!$C$42, 0.1146, 0.1146)*CHOOSE(CONTROL!$C$42, 121.5, 121.5)*CHOOSE(CONTROL!$C$42, 28, 28))/1000000</f>
        <v>0.38986920000000003</v>
      </c>
      <c r="X206" s="38">
        <f>(28*0.1790888*100000/1000000)+(28*0.2374*100000/1000000)</f>
        <v>1.16616864</v>
      </c>
      <c r="Y206" s="38">
        <f>(1000*600*CHOOSE(CONTROL!$C$42, 1.6846, 1.6846)*CHOOSE(CONTROL!$C$42, 28, 28))/1000000</f>
        <v>28.301280000000002</v>
      </c>
      <c r="Z206" s="38"/>
      <c r="AA206" s="10"/>
      <c r="AB206" s="39"/>
      <c r="AC206" s="33">
        <f>(B206*122.58+C206*297.941+D206*89.177+E206*40.302+F206*40+G206*160+H206*0+I206*100+J206*300)/(122.58+297.941+89.177+40.302+0+40+160+100+300)</f>
        <v>8.3617407083478241</v>
      </c>
      <c r="AD206" s="27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8.3061604316546767</v>
      </c>
    </row>
    <row r="207" spans="1:30" ht="15" x14ac:dyDescent="0.2">
      <c r="A207" s="16">
        <v>47543</v>
      </c>
      <c r="B207" s="10">
        <f>CHOOSE(CONTROL!$C$42, 8.1239, 8.1239) * CHOOSE(CONTROL!$C$21, $C$9, 100%, $E$9)</f>
        <v>8.1239000000000008</v>
      </c>
      <c r="C207" s="10">
        <f>CHOOSE(CONTROL!$C$42, 8.129, 8.129) * CHOOSE(CONTROL!$C$21, $C$9, 100%, $E$9)</f>
        <v>8.1289999999999996</v>
      </c>
      <c r="D207" s="10">
        <f>CHOOSE(CONTROL!$C$42, 8.164, 8.164) * CHOOSE(CONTROL!$C$21, $C$9, 100%, $E$9)</f>
        <v>8.1639999999999997</v>
      </c>
      <c r="E207" s="10">
        <f>CHOOSE(CONTROL!$C$42, 8.1978, 8.1978) * CHOOSE(CONTROL!$C$21, $C$9, 100%, $E$9)</f>
        <v>8.1978000000000009</v>
      </c>
      <c r="F207" s="10">
        <f>CHOOSE(CONTROL!$C$42, 8.1033, 8.1033)*CHOOSE(CONTROL!$C$21, $C$9, 100%, $E$9)</f>
        <v>8.1033000000000008</v>
      </c>
      <c r="G207" s="10">
        <f>CHOOSE(CONTROL!$C$42, 8.1217, 8.1217)*CHOOSE(CONTROL!$C$21, $C$9, 100%, $E$9)</f>
        <v>8.1217000000000006</v>
      </c>
      <c r="H207" s="10">
        <f>CHOOSE(CONTROL!$C$42, 8.1867, 8.1867) * CHOOSE(CONTROL!$C$21, $C$9, 100%, $E$9)</f>
        <v>8.1867000000000001</v>
      </c>
      <c r="I207" s="10">
        <f>CHOOSE(CONTROL!$C$42, 8.1311, 8.1311)* CHOOSE(CONTROL!$C$21, $C$9, 100%, $E$9)</f>
        <v>8.1311</v>
      </c>
      <c r="J207" s="10">
        <f>CHOOSE(CONTROL!$C$42, 8.0959, 8.0959)* CHOOSE(CONTROL!$C$21, $C$9, 100%, $E$9)</f>
        <v>8.0959000000000003</v>
      </c>
      <c r="K207" s="10">
        <f>CHOOSE(CONTROL!$C$42, 8.0495, 8.0495) * CHOOSE(CONTROL!$C$21, $C$9, 100%, $E$9)</f>
        <v>8.0495000000000001</v>
      </c>
      <c r="L207" s="10">
        <f>CHOOSE(CONTROL!$C$42, 8.7737, 8.7737) * CHOOSE(CONTROL!$C$21, $C$9, 100%, $E$9)</f>
        <v>8.7736999999999998</v>
      </c>
      <c r="M207" s="10">
        <f>CHOOSE(CONTROL!$C$42, 8.0241, 8.0241) * CHOOSE(CONTROL!$C$21, $C$9, 100%, $E$9)</f>
        <v>8.0241000000000007</v>
      </c>
      <c r="N207" s="10">
        <f>CHOOSE(CONTROL!$C$42, 8.0423, 8.0423) * CHOOSE(CONTROL!$C$21, $C$9, 100%, $E$9)</f>
        <v>8.0422999999999991</v>
      </c>
      <c r="O207" s="10">
        <f>CHOOSE(CONTROL!$C$42, 8.1138, 8.1138) * CHOOSE(CONTROL!$C$21, $C$9, 100%, $E$9)</f>
        <v>8.1137999999999995</v>
      </c>
      <c r="P207" s="10">
        <f>CHOOSE(CONTROL!$C$42, 8.059, 8.059) * CHOOSE(CONTROL!$C$21, $C$9, 100%, $E$9)</f>
        <v>8.0589999999999993</v>
      </c>
      <c r="Q207" s="10">
        <f>CHOOSE(CONTROL!$C$42, 8.7091, 8.7091) * CHOOSE(CONTROL!$C$21, $C$9, 100%, $E$9)</f>
        <v>8.7090999999999994</v>
      </c>
      <c r="R207" s="10">
        <f>CHOOSE(CONTROL!$C$42, 9.3178, 9.3178) * CHOOSE(CONTROL!$C$21, $C$9, 100%, $E$9)</f>
        <v>9.3178000000000001</v>
      </c>
      <c r="S207" s="10">
        <f>CHOOSE(CONTROL!$C$42, 7.883, 7.883) * CHOOSE(CONTROL!$C$21, $C$9, 100%, $E$9)</f>
        <v>7.883</v>
      </c>
      <c r="T20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38">
        <f>(1000*CHOOSE(CONTROL!$C$42, 695, 695)*CHOOSE(CONTROL!$C$42, 0.5599, 0.5599)*CHOOSE(CONTROL!$C$42, 31, 31))/1000000</f>
        <v>12.063045499999998</v>
      </c>
      <c r="V207" s="38">
        <f>(1000*CHOOSE(CONTROL!$C$42, 500, 500)*CHOOSE(CONTROL!$C$42, 0.275, 0.275)*CHOOSE(CONTROL!$C$42, 31, 31))/1000000</f>
        <v>4.2625000000000002</v>
      </c>
      <c r="W207" s="38">
        <f>(1000*CHOOSE(CONTROL!$C$42, 0.1146, 0.1146)*CHOOSE(CONTROL!$C$42, 121.5, 121.5)*CHOOSE(CONTROL!$C$42, 31, 31))/1000000</f>
        <v>0.43164089999999994</v>
      </c>
      <c r="X207" s="38">
        <f>(31*0.1790888*100000/1000000)+(31*0.2374*100000/1000000)</f>
        <v>1.2911152800000001</v>
      </c>
      <c r="Y207" s="38">
        <f>(1000*600*CHOOSE(CONTROL!$C$42, 1.6846, 1.6846)*CHOOSE(CONTROL!$C$42, 31, 31))/1000000</f>
        <v>31.333560000000002</v>
      </c>
      <c r="Z207" s="38"/>
      <c r="AA207" s="10"/>
      <c r="AB207" s="39"/>
      <c r="AC207" s="33">
        <f>(B207*122.58+C207*297.941+D207*89.177+E207*40.302+F207*40+G207*160+H207*0+I207*100+J207*300)/(122.58+297.941+89.177+40.302+0+40+160+100+300)</f>
        <v>8.1232198387826084</v>
      </c>
      <c r="AD207" s="27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8.0708244604316555</v>
      </c>
    </row>
    <row r="208" spans="1:30" ht="15" x14ac:dyDescent="0.2">
      <c r="A208" s="16">
        <v>47574</v>
      </c>
      <c r="B208" s="10">
        <f>CHOOSE(CONTROL!$C$42, 8.1003, 8.1003) * CHOOSE(CONTROL!$C$21, $C$9, 100%, $E$9)</f>
        <v>8.1003000000000007</v>
      </c>
      <c r="C208" s="10">
        <f>CHOOSE(CONTROL!$C$42, 8.1048, 8.1048) * CHOOSE(CONTROL!$C$21, $C$9, 100%, $E$9)</f>
        <v>8.1047999999999991</v>
      </c>
      <c r="D208" s="10">
        <f>CHOOSE(CONTROL!$C$42, 8.283, 8.283) * CHOOSE(CONTROL!$C$21, $C$9, 100%, $E$9)</f>
        <v>8.2829999999999995</v>
      </c>
      <c r="E208" s="10">
        <f>CHOOSE(CONTROL!$C$42, 8.3149, 8.3149) * CHOOSE(CONTROL!$C$21, $C$9, 100%, $E$9)</f>
        <v>8.3148999999999997</v>
      </c>
      <c r="F208" s="10">
        <f>CHOOSE(CONTROL!$C$42, 8.0437, 8.0437)*CHOOSE(CONTROL!$C$21, $C$9, 100%, $E$9)</f>
        <v>8.0436999999999994</v>
      </c>
      <c r="G208" s="10">
        <f>CHOOSE(CONTROL!$C$42, 8.0603, 8.0603)*CHOOSE(CONTROL!$C$21, $C$9, 100%, $E$9)</f>
        <v>8.0602999999999998</v>
      </c>
      <c r="H208" s="10">
        <f>CHOOSE(CONTROL!$C$42, 8.3043, 8.3043) * CHOOSE(CONTROL!$C$21, $C$9, 100%, $E$9)</f>
        <v>8.3042999999999996</v>
      </c>
      <c r="I208" s="10">
        <f>CHOOSE(CONTROL!$C$42, 8.0763, 8.0763)* CHOOSE(CONTROL!$C$21, $C$9, 100%, $E$9)</f>
        <v>8.0762999999999998</v>
      </c>
      <c r="J208" s="10">
        <f>CHOOSE(CONTROL!$C$42, 8.0363, 8.0363)* CHOOSE(CONTROL!$C$21, $C$9, 100%, $E$9)</f>
        <v>8.0363000000000007</v>
      </c>
      <c r="K208" s="10">
        <f>CHOOSE(CONTROL!$C$42, 7.9817, 7.9817) * CHOOSE(CONTROL!$C$21, $C$9, 100%, $E$9)</f>
        <v>7.9817</v>
      </c>
      <c r="L208" s="10">
        <f>CHOOSE(CONTROL!$C$42, 8.8913, 8.8913) * CHOOSE(CONTROL!$C$21, $C$9, 100%, $E$9)</f>
        <v>8.8912999999999993</v>
      </c>
      <c r="M208" s="10">
        <f>CHOOSE(CONTROL!$C$42, 7.9654, 7.9654) * CHOOSE(CONTROL!$C$21, $C$9, 100%, $E$9)</f>
        <v>7.9653999999999998</v>
      </c>
      <c r="N208" s="10">
        <f>CHOOSE(CONTROL!$C$42, 7.9817, 7.9817) * CHOOSE(CONTROL!$C$21, $C$9, 100%, $E$9)</f>
        <v>7.9817</v>
      </c>
      <c r="O208" s="10">
        <f>CHOOSE(CONTROL!$C$42, 8.2299, 8.2299) * CHOOSE(CONTROL!$C$21, $C$9, 100%, $E$9)</f>
        <v>8.2299000000000007</v>
      </c>
      <c r="P208" s="10">
        <f>CHOOSE(CONTROL!$C$42, 8.0049, 8.0049) * CHOOSE(CONTROL!$C$21, $C$9, 100%, $E$9)</f>
        <v>8.0048999999999992</v>
      </c>
      <c r="Q208" s="10">
        <f>CHOOSE(CONTROL!$C$42, 8.8252, 8.8252) * CHOOSE(CONTROL!$C$21, $C$9, 100%, $E$9)</f>
        <v>8.8252000000000006</v>
      </c>
      <c r="R208" s="10">
        <f>CHOOSE(CONTROL!$C$42, 9.4342, 9.4342) * CHOOSE(CONTROL!$C$21, $C$9, 100%, $E$9)</f>
        <v>9.4342000000000006</v>
      </c>
      <c r="S208" s="10">
        <f>CHOOSE(CONTROL!$C$42, 7.8594, 7.8594) * CHOOSE(CONTROL!$C$21, $C$9, 100%, $E$9)</f>
        <v>7.8593999999999999</v>
      </c>
      <c r="T20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38">
        <f>(1000*CHOOSE(CONTROL!$C$42, 695, 695)*CHOOSE(CONTROL!$C$42, 0.5599, 0.5599)*CHOOSE(CONTROL!$C$42, 30, 30))/1000000</f>
        <v>11.673914999999997</v>
      </c>
      <c r="V208" s="38">
        <f>(1000*CHOOSE(CONTROL!$C$42, 500, 500)*CHOOSE(CONTROL!$C$42, 0.275, 0.275)*CHOOSE(CONTROL!$C$42, 30, 30))/1000000</f>
        <v>4.125</v>
      </c>
      <c r="W208" s="38">
        <f>(1000*CHOOSE(CONTROL!$C$42, 0.1146, 0.1146)*CHOOSE(CONTROL!$C$42, 121.5, 121.5)*CHOOSE(CONTROL!$C$42, 30, 30))/1000000</f>
        <v>0.417717</v>
      </c>
      <c r="X208" s="38">
        <f>(30*0.1790888*245000/1000000)+(30*0.2374*100000/1000000)</f>
        <v>2.0285026799999999</v>
      </c>
      <c r="Y208" s="38">
        <f>(1000*600*CHOOSE(CONTROL!$C$42, 1.6846, 1.6846)*CHOOSE(CONTROL!$C$42, 30, 30))/1000000</f>
        <v>30.322800000000004</v>
      </c>
      <c r="Z208" s="38"/>
      <c r="AA208" s="10"/>
      <c r="AB208" s="39"/>
      <c r="AC208" s="33">
        <f>(B208*141.293+C208*267.993+D208*115.016+E208*89.698+F208*40+G208*185+H208*0+I208*100+J208*300)/(141.293+267.993+115.016+89.698+0+40+185+100+300)</f>
        <v>8.1085361440677968</v>
      </c>
      <c r="AD208" s="27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8.0490482014388487</v>
      </c>
    </row>
    <row r="209" spans="1:30" ht="15" x14ac:dyDescent="0.2">
      <c r="A209" s="16">
        <v>47604</v>
      </c>
      <c r="B209" s="10">
        <f>CHOOSE(CONTROL!$C$42, 8.1737, 8.1737) * CHOOSE(CONTROL!$C$21, $C$9, 100%, $E$9)</f>
        <v>8.1737000000000002</v>
      </c>
      <c r="C209" s="10">
        <f>CHOOSE(CONTROL!$C$42, 8.1817, 8.1817) * CHOOSE(CONTROL!$C$21, $C$9, 100%, $E$9)</f>
        <v>8.1816999999999993</v>
      </c>
      <c r="D209" s="10">
        <f>CHOOSE(CONTROL!$C$42, 8.3568, 8.3568) * CHOOSE(CONTROL!$C$21, $C$9, 100%, $E$9)</f>
        <v>8.3567999999999998</v>
      </c>
      <c r="E209" s="10">
        <f>CHOOSE(CONTROL!$C$42, 8.388, 8.388) * CHOOSE(CONTROL!$C$21, $C$9, 100%, $E$9)</f>
        <v>8.3879999999999999</v>
      </c>
      <c r="F209" s="10">
        <f>CHOOSE(CONTROL!$C$42, 8.1154, 8.1154)*CHOOSE(CONTROL!$C$21, $C$9, 100%, $E$9)</f>
        <v>8.1153999999999993</v>
      </c>
      <c r="G209" s="10">
        <f>CHOOSE(CONTROL!$C$42, 8.1323, 8.1323)*CHOOSE(CONTROL!$C$21, $C$9, 100%, $E$9)</f>
        <v>8.1323000000000008</v>
      </c>
      <c r="H209" s="10">
        <f>CHOOSE(CONTROL!$C$42, 8.3763, 8.3763) * CHOOSE(CONTROL!$C$21, $C$9, 100%, $E$9)</f>
        <v>8.3763000000000005</v>
      </c>
      <c r="I209" s="10">
        <f>CHOOSE(CONTROL!$C$42, 8.1483, 8.1483)* CHOOSE(CONTROL!$C$21, $C$9, 100%, $E$9)</f>
        <v>8.1483000000000008</v>
      </c>
      <c r="J209" s="10">
        <f>CHOOSE(CONTROL!$C$42, 8.108, 8.108)* CHOOSE(CONTROL!$C$21, $C$9, 100%, $E$9)</f>
        <v>8.1080000000000005</v>
      </c>
      <c r="K209" s="10">
        <f>CHOOSE(CONTROL!$C$42, 8.0506, 8.0506) * CHOOSE(CONTROL!$C$21, $C$9, 100%, $E$9)</f>
        <v>8.0505999999999993</v>
      </c>
      <c r="L209" s="10">
        <f>CHOOSE(CONTROL!$C$42, 8.9633, 8.9633) * CHOOSE(CONTROL!$C$21, $C$9, 100%, $E$9)</f>
        <v>8.9633000000000003</v>
      </c>
      <c r="M209" s="10">
        <f>CHOOSE(CONTROL!$C$42, 8.0361, 8.0361) * CHOOSE(CONTROL!$C$21, $C$9, 100%, $E$9)</f>
        <v>8.0360999999999994</v>
      </c>
      <c r="N209" s="10">
        <f>CHOOSE(CONTROL!$C$42, 8.0527, 8.0527) * CHOOSE(CONTROL!$C$21, $C$9, 100%, $E$9)</f>
        <v>8.0526999999999997</v>
      </c>
      <c r="O209" s="10">
        <f>CHOOSE(CONTROL!$C$42, 8.301, 8.301) * CHOOSE(CONTROL!$C$21, $C$9, 100%, $E$9)</f>
        <v>8.3010000000000002</v>
      </c>
      <c r="P209" s="10">
        <f>CHOOSE(CONTROL!$C$42, 8.0759, 8.0759) * CHOOSE(CONTROL!$C$21, $C$9, 100%, $E$9)</f>
        <v>8.0759000000000007</v>
      </c>
      <c r="Q209" s="10">
        <f>CHOOSE(CONTROL!$C$42, 8.8963, 8.8963) * CHOOSE(CONTROL!$C$21, $C$9, 100%, $E$9)</f>
        <v>8.8963000000000001</v>
      </c>
      <c r="R209" s="10">
        <f>CHOOSE(CONTROL!$C$42, 9.5055, 9.5055) * CHOOSE(CONTROL!$C$21, $C$9, 100%, $E$9)</f>
        <v>9.5054999999999996</v>
      </c>
      <c r="S209" s="10">
        <f>CHOOSE(CONTROL!$C$42, 7.9292, 7.9292) * CHOOSE(CONTROL!$C$21, $C$9, 100%, $E$9)</f>
        <v>7.9291999999999998</v>
      </c>
      <c r="T20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38">
        <f>(1000*CHOOSE(CONTROL!$C$42, 695, 695)*CHOOSE(CONTROL!$C$42, 0.5599, 0.5599)*CHOOSE(CONTROL!$C$42, 31, 31))/1000000</f>
        <v>12.063045499999998</v>
      </c>
      <c r="V209" s="38">
        <f>(1000*CHOOSE(CONTROL!$C$42, 500, 500)*CHOOSE(CONTROL!$C$42, 0.275, 0.275)*CHOOSE(CONTROL!$C$42, 31, 31))/1000000</f>
        <v>4.2625000000000002</v>
      </c>
      <c r="W209" s="38">
        <f>(1000*CHOOSE(CONTROL!$C$42, 0.1146, 0.1146)*CHOOSE(CONTROL!$C$42, 121.5, 121.5)*CHOOSE(CONTROL!$C$42, 31, 31))/1000000</f>
        <v>0.43164089999999994</v>
      </c>
      <c r="X209" s="38">
        <f>(31*0.1790888*245000/1000000)+(31*0.2374*100000/1000000)</f>
        <v>2.0961194359999999</v>
      </c>
      <c r="Y209" s="38">
        <f>(1000*600*CHOOSE(CONTROL!$C$42, 1.6846, 1.6846)*CHOOSE(CONTROL!$C$42, 31, 31))/1000000</f>
        <v>31.333560000000002</v>
      </c>
      <c r="Z209" s="38"/>
      <c r="AA209" s="10"/>
      <c r="AB209" s="39"/>
      <c r="AC209" s="33">
        <f>(B209*194.205+C209*267.466+D209*133.845+E209*53.484+F209*40+G209*185+H209*0+I209*100+J209*300)/(194.205+267.466+133.845+53.484+0+40+185+100+300)</f>
        <v>8.1783054699372055</v>
      </c>
      <c r="AD209" s="27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8.1199726618705022</v>
      </c>
    </row>
    <row r="210" spans="1:30" ht="15" x14ac:dyDescent="0.2">
      <c r="A210" s="16">
        <v>47635</v>
      </c>
      <c r="B210" s="10">
        <f>CHOOSE(CONTROL!$C$42, 8.4059, 8.4059) * CHOOSE(CONTROL!$C$21, $C$9, 100%, $E$9)</f>
        <v>8.4059000000000008</v>
      </c>
      <c r="C210" s="10">
        <f>CHOOSE(CONTROL!$C$42, 8.4139, 8.4139) * CHOOSE(CONTROL!$C$21, $C$9, 100%, $E$9)</f>
        <v>8.4138999999999999</v>
      </c>
      <c r="D210" s="10">
        <f>CHOOSE(CONTROL!$C$42, 8.5891, 8.5891) * CHOOSE(CONTROL!$C$21, $C$9, 100%, $E$9)</f>
        <v>8.5891000000000002</v>
      </c>
      <c r="E210" s="10">
        <f>CHOOSE(CONTROL!$C$42, 8.6203, 8.6203) * CHOOSE(CONTROL!$C$21, $C$9, 100%, $E$9)</f>
        <v>8.6203000000000003</v>
      </c>
      <c r="F210" s="10">
        <f>CHOOSE(CONTROL!$C$42, 8.3478, 8.3478)*CHOOSE(CONTROL!$C$21, $C$9, 100%, $E$9)</f>
        <v>8.3477999999999994</v>
      </c>
      <c r="G210" s="10">
        <f>CHOOSE(CONTROL!$C$42, 8.3647, 8.3647)*CHOOSE(CONTROL!$C$21, $C$9, 100%, $E$9)</f>
        <v>8.3646999999999991</v>
      </c>
      <c r="H210" s="10">
        <f>CHOOSE(CONTROL!$C$42, 8.6086, 8.6086) * CHOOSE(CONTROL!$C$21, $C$9, 100%, $E$9)</f>
        <v>8.6085999999999991</v>
      </c>
      <c r="I210" s="10">
        <f>CHOOSE(CONTROL!$C$42, 8.3806, 8.3806)* CHOOSE(CONTROL!$C$21, $C$9, 100%, $E$9)</f>
        <v>8.3805999999999994</v>
      </c>
      <c r="J210" s="10">
        <f>CHOOSE(CONTROL!$C$42, 8.3404, 8.3404)* CHOOSE(CONTROL!$C$21, $C$9, 100%, $E$9)</f>
        <v>8.3404000000000007</v>
      </c>
      <c r="K210" s="10">
        <f>CHOOSE(CONTROL!$C$42, 8.276, 8.276) * CHOOSE(CONTROL!$C$21, $C$9, 100%, $E$9)</f>
        <v>8.2759999999999998</v>
      </c>
      <c r="L210" s="10">
        <f>CHOOSE(CONTROL!$C$42, 9.1956, 9.1956) * CHOOSE(CONTROL!$C$21, $C$9, 100%, $E$9)</f>
        <v>9.1956000000000007</v>
      </c>
      <c r="M210" s="10">
        <f>CHOOSE(CONTROL!$C$42, 8.2655, 8.2655) * CHOOSE(CONTROL!$C$21, $C$9, 100%, $E$9)</f>
        <v>8.2654999999999994</v>
      </c>
      <c r="N210" s="10">
        <f>CHOOSE(CONTROL!$C$42, 8.2822, 8.2822) * CHOOSE(CONTROL!$C$21, $C$9, 100%, $E$9)</f>
        <v>8.2821999999999996</v>
      </c>
      <c r="O210" s="10">
        <f>CHOOSE(CONTROL!$C$42, 8.5302, 8.5302) * CHOOSE(CONTROL!$C$21, $C$9, 100%, $E$9)</f>
        <v>8.5302000000000007</v>
      </c>
      <c r="P210" s="10">
        <f>CHOOSE(CONTROL!$C$42, 8.3052, 8.3052) * CHOOSE(CONTROL!$C$21, $C$9, 100%, $E$9)</f>
        <v>8.3051999999999992</v>
      </c>
      <c r="Q210" s="10">
        <f>CHOOSE(CONTROL!$C$42, 9.1255, 9.1255) * CHOOSE(CONTROL!$C$21, $C$9, 100%, $E$9)</f>
        <v>9.1255000000000006</v>
      </c>
      <c r="R210" s="10">
        <f>CHOOSE(CONTROL!$C$42, 9.7353, 9.7353) * CHOOSE(CONTROL!$C$21, $C$9, 100%, $E$9)</f>
        <v>9.7353000000000005</v>
      </c>
      <c r="S210" s="10">
        <f>CHOOSE(CONTROL!$C$42, 8.1541, 8.1541) * CHOOSE(CONTROL!$C$21, $C$9, 100%, $E$9)</f>
        <v>8.1540999999999997</v>
      </c>
      <c r="T21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38">
        <f>(1000*CHOOSE(CONTROL!$C$42, 695, 695)*CHOOSE(CONTROL!$C$42, 0.5599, 0.5599)*CHOOSE(CONTROL!$C$42, 30, 30))/1000000</f>
        <v>11.673914999999997</v>
      </c>
      <c r="V210" s="38">
        <f>(1000*CHOOSE(CONTROL!$C$42, 500, 500)*CHOOSE(CONTROL!$C$42, 0.275, 0.275)*CHOOSE(CONTROL!$C$42, 30, 30))/1000000</f>
        <v>4.125</v>
      </c>
      <c r="W210" s="38">
        <f>(1000*CHOOSE(CONTROL!$C$42, 0.1146, 0.1146)*CHOOSE(CONTROL!$C$42, 121.5, 121.5)*CHOOSE(CONTROL!$C$42, 30, 30))/1000000</f>
        <v>0.417717</v>
      </c>
      <c r="X210" s="38">
        <f>(30*0.1790888*245000/1000000)+(30*0.2374*100000/1000000)</f>
        <v>2.0285026799999999</v>
      </c>
      <c r="Y210" s="38">
        <f>(1000*600*CHOOSE(CONTROL!$C$42, 1.6846, 1.6846)*CHOOSE(CONTROL!$C$42, 30, 30))/1000000</f>
        <v>30.322800000000004</v>
      </c>
      <c r="Z210" s="38"/>
      <c r="AA210" s="10"/>
      <c r="AB210" s="39"/>
      <c r="AC210" s="33">
        <f>(B210*194.205+C210*267.466+D210*133.845+E210*53.484+F210*40+G210*185+H210*0+I210*100+J210*300)/(194.205+267.466+133.845+53.484+0+40+185+100+300)</f>
        <v>8.4106104408163258</v>
      </c>
      <c r="AD210" s="27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8.3493251798561161</v>
      </c>
    </row>
    <row r="211" spans="1:30" ht="15" x14ac:dyDescent="0.2">
      <c r="A211" s="16">
        <v>47665</v>
      </c>
      <c r="B211" s="10">
        <f>CHOOSE(CONTROL!$C$42, 8.2444, 8.2444) * CHOOSE(CONTROL!$C$21, $C$9, 100%, $E$9)</f>
        <v>8.2444000000000006</v>
      </c>
      <c r="C211" s="10">
        <f>CHOOSE(CONTROL!$C$42, 8.2524, 8.2524) * CHOOSE(CONTROL!$C$21, $C$9, 100%, $E$9)</f>
        <v>8.2523999999999997</v>
      </c>
      <c r="D211" s="10">
        <f>CHOOSE(CONTROL!$C$42, 8.4275, 8.4275) * CHOOSE(CONTROL!$C$21, $C$9, 100%, $E$9)</f>
        <v>8.4275000000000002</v>
      </c>
      <c r="E211" s="10">
        <f>CHOOSE(CONTROL!$C$42, 8.4587, 8.4587) * CHOOSE(CONTROL!$C$21, $C$9, 100%, $E$9)</f>
        <v>8.4587000000000003</v>
      </c>
      <c r="F211" s="10">
        <f>CHOOSE(CONTROL!$C$42, 8.1866, 8.1866)*CHOOSE(CONTROL!$C$21, $C$9, 100%, $E$9)</f>
        <v>8.1866000000000003</v>
      </c>
      <c r="G211" s="10">
        <f>CHOOSE(CONTROL!$C$42, 8.2037, 8.2037)*CHOOSE(CONTROL!$C$21, $C$9, 100%, $E$9)</f>
        <v>8.2036999999999995</v>
      </c>
      <c r="H211" s="10">
        <f>CHOOSE(CONTROL!$C$42, 8.4471, 8.4471) * CHOOSE(CONTROL!$C$21, $C$9, 100%, $E$9)</f>
        <v>8.4471000000000007</v>
      </c>
      <c r="I211" s="10">
        <f>CHOOSE(CONTROL!$C$42, 8.219, 8.219)* CHOOSE(CONTROL!$C$21, $C$9, 100%, $E$9)</f>
        <v>8.2189999999999994</v>
      </c>
      <c r="J211" s="10">
        <f>CHOOSE(CONTROL!$C$42, 8.1792, 8.1792)* CHOOSE(CONTROL!$C$21, $C$9, 100%, $E$9)</f>
        <v>8.1791999999999998</v>
      </c>
      <c r="K211" s="10">
        <f>CHOOSE(CONTROL!$C$42, 8.1202, 8.1202) * CHOOSE(CONTROL!$C$21, $C$9, 100%, $E$9)</f>
        <v>8.1202000000000005</v>
      </c>
      <c r="L211" s="10">
        <f>CHOOSE(CONTROL!$C$42, 9.0341, 9.0341) * CHOOSE(CONTROL!$C$21, $C$9, 100%, $E$9)</f>
        <v>9.0341000000000005</v>
      </c>
      <c r="M211" s="10">
        <f>CHOOSE(CONTROL!$C$42, 8.1064, 8.1064) * CHOOSE(CONTROL!$C$21, $C$9, 100%, $E$9)</f>
        <v>8.1064000000000007</v>
      </c>
      <c r="N211" s="10">
        <f>CHOOSE(CONTROL!$C$42, 8.1232, 8.1232) * CHOOSE(CONTROL!$C$21, $C$9, 100%, $E$9)</f>
        <v>8.1232000000000006</v>
      </c>
      <c r="O211" s="10">
        <f>CHOOSE(CONTROL!$C$42, 8.3708, 8.3708) * CHOOSE(CONTROL!$C$21, $C$9, 100%, $E$9)</f>
        <v>8.3707999999999991</v>
      </c>
      <c r="P211" s="10">
        <f>CHOOSE(CONTROL!$C$42, 8.1457, 8.1457) * CHOOSE(CONTROL!$C$21, $C$9, 100%, $E$9)</f>
        <v>8.1456999999999997</v>
      </c>
      <c r="Q211" s="10">
        <f>CHOOSE(CONTROL!$C$42, 8.9661, 8.9661) * CHOOSE(CONTROL!$C$21, $C$9, 100%, $E$9)</f>
        <v>8.9661000000000008</v>
      </c>
      <c r="R211" s="10">
        <f>CHOOSE(CONTROL!$C$42, 9.5755, 9.5755) * CHOOSE(CONTROL!$C$21, $C$9, 100%, $E$9)</f>
        <v>9.5754999999999999</v>
      </c>
      <c r="S211" s="10">
        <f>CHOOSE(CONTROL!$C$42, 7.9976, 7.9976) * CHOOSE(CONTROL!$C$21, $C$9, 100%, $E$9)</f>
        <v>7.9976000000000003</v>
      </c>
      <c r="T21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38">
        <f>(1000*CHOOSE(CONTROL!$C$42, 695, 695)*CHOOSE(CONTROL!$C$42, 0.5599, 0.5599)*CHOOSE(CONTROL!$C$42, 31, 31))/1000000</f>
        <v>12.063045499999998</v>
      </c>
      <c r="V211" s="38">
        <f>(1000*CHOOSE(CONTROL!$C$42, 500, 500)*CHOOSE(CONTROL!$C$42, 0.275, 0.275)*CHOOSE(CONTROL!$C$42, 31, 31))/1000000</f>
        <v>4.2625000000000002</v>
      </c>
      <c r="W211" s="38">
        <f>(1000*CHOOSE(CONTROL!$C$42, 0.1146, 0.1146)*CHOOSE(CONTROL!$C$42, 121.5, 121.5)*CHOOSE(CONTROL!$C$42, 31, 31))/1000000</f>
        <v>0.43164089999999994</v>
      </c>
      <c r="X211" s="38">
        <f>(31*0.1790888*245000/1000000)+(31*0.2374*100000/1000000)</f>
        <v>2.0961194359999999</v>
      </c>
      <c r="Y211" s="38">
        <f>(1000*600*CHOOSE(CONTROL!$C$42, 1.6846, 1.6846)*CHOOSE(CONTROL!$C$42, 31, 31))/1000000</f>
        <v>31.333560000000002</v>
      </c>
      <c r="Z211" s="38"/>
      <c r="AA211" s="10"/>
      <c r="AB211" s="39"/>
      <c r="AC211" s="33">
        <f>(B211*194.205+C211*267.466+D211*133.845+E211*53.484+F211*40+G211*185+H211*0+I211*100+J211*300)/(194.205+267.466+133.845+53.484+0+40+185+100+300)</f>
        <v>8.2492405562794335</v>
      </c>
      <c r="AD211" s="27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8.1901064748201442</v>
      </c>
    </row>
    <row r="212" spans="1:30" ht="15" x14ac:dyDescent="0.2">
      <c r="A212" s="16">
        <v>47696</v>
      </c>
      <c r="B212" s="10">
        <f>CHOOSE(CONTROL!$C$42, 7.8365, 7.8365) * CHOOSE(CONTROL!$C$21, $C$9, 100%, $E$9)</f>
        <v>7.8365</v>
      </c>
      <c r="C212" s="10">
        <f>CHOOSE(CONTROL!$C$42, 7.8445, 7.8445) * CHOOSE(CONTROL!$C$21, $C$9, 100%, $E$9)</f>
        <v>7.8445</v>
      </c>
      <c r="D212" s="10">
        <f>CHOOSE(CONTROL!$C$42, 8.0196, 8.0196) * CHOOSE(CONTROL!$C$21, $C$9, 100%, $E$9)</f>
        <v>8.0196000000000005</v>
      </c>
      <c r="E212" s="10">
        <f>CHOOSE(CONTROL!$C$42, 8.0508, 8.0508) * CHOOSE(CONTROL!$C$21, $C$9, 100%, $E$9)</f>
        <v>8.0508000000000006</v>
      </c>
      <c r="F212" s="10">
        <f>CHOOSE(CONTROL!$C$42, 7.7786, 7.7786)*CHOOSE(CONTROL!$C$21, $C$9, 100%, $E$9)</f>
        <v>7.7786</v>
      </c>
      <c r="G212" s="10">
        <f>CHOOSE(CONTROL!$C$42, 7.7956, 7.7956)*CHOOSE(CONTROL!$C$21, $C$9, 100%, $E$9)</f>
        <v>7.7956000000000003</v>
      </c>
      <c r="H212" s="10">
        <f>CHOOSE(CONTROL!$C$42, 8.0391, 8.0391) * CHOOSE(CONTROL!$C$21, $C$9, 100%, $E$9)</f>
        <v>8.0390999999999995</v>
      </c>
      <c r="I212" s="10">
        <f>CHOOSE(CONTROL!$C$42, 7.8111, 7.8111)* CHOOSE(CONTROL!$C$21, $C$9, 100%, $E$9)</f>
        <v>7.8110999999999997</v>
      </c>
      <c r="J212" s="10">
        <f>CHOOSE(CONTROL!$C$42, 7.7712, 7.7712)* CHOOSE(CONTROL!$C$21, $C$9, 100%, $E$9)</f>
        <v>7.7712000000000003</v>
      </c>
      <c r="K212" s="10">
        <f>CHOOSE(CONTROL!$C$42, 7.7248, 7.7248) * CHOOSE(CONTROL!$C$21, $C$9, 100%, $E$9)</f>
        <v>7.7248000000000001</v>
      </c>
      <c r="L212" s="10">
        <f>CHOOSE(CONTROL!$C$42, 8.6261, 8.6261) * CHOOSE(CONTROL!$C$21, $C$9, 100%, $E$9)</f>
        <v>8.6260999999999992</v>
      </c>
      <c r="M212" s="10">
        <f>CHOOSE(CONTROL!$C$42, 7.7036, 7.7036) * CHOOSE(CONTROL!$C$21, $C$9, 100%, $E$9)</f>
        <v>7.7035999999999998</v>
      </c>
      <c r="N212" s="10">
        <f>CHOOSE(CONTROL!$C$42, 7.7204, 7.7204) * CHOOSE(CONTROL!$C$21, $C$9, 100%, $E$9)</f>
        <v>7.7203999999999997</v>
      </c>
      <c r="O212" s="10">
        <f>CHOOSE(CONTROL!$C$42, 7.9681, 7.9681) * CHOOSE(CONTROL!$C$21, $C$9, 100%, $E$9)</f>
        <v>7.9680999999999997</v>
      </c>
      <c r="P212" s="10">
        <f>CHOOSE(CONTROL!$C$42, 7.7431, 7.7431) * CHOOSE(CONTROL!$C$21, $C$9, 100%, $E$9)</f>
        <v>7.7431000000000001</v>
      </c>
      <c r="Q212" s="10">
        <f>CHOOSE(CONTROL!$C$42, 8.5634, 8.5634) * CHOOSE(CONTROL!$C$21, $C$9, 100%, $E$9)</f>
        <v>8.5633999999999997</v>
      </c>
      <c r="R212" s="10">
        <f>CHOOSE(CONTROL!$C$42, 9.1718, 9.1718) * CHOOSE(CONTROL!$C$21, $C$9, 100%, $E$9)</f>
        <v>9.1717999999999993</v>
      </c>
      <c r="S212" s="10">
        <f>CHOOSE(CONTROL!$C$42, 7.6027, 7.6027) * CHOOSE(CONTROL!$C$21, $C$9, 100%, $E$9)</f>
        <v>7.6026999999999996</v>
      </c>
      <c r="T21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38">
        <f>(1000*CHOOSE(CONTROL!$C$42, 695, 695)*CHOOSE(CONTROL!$C$42, 0.5599, 0.5599)*CHOOSE(CONTROL!$C$42, 31, 31))/1000000</f>
        <v>12.063045499999998</v>
      </c>
      <c r="V212" s="38">
        <f>(1000*CHOOSE(CONTROL!$C$42, 500, 500)*CHOOSE(CONTROL!$C$42, 0.275, 0.275)*CHOOSE(CONTROL!$C$42, 31, 31))/1000000</f>
        <v>4.2625000000000002</v>
      </c>
      <c r="W212" s="38">
        <f>(1000*CHOOSE(CONTROL!$C$42, 0.1146, 0.1146)*CHOOSE(CONTROL!$C$42, 121.5, 121.5)*CHOOSE(CONTROL!$C$42, 31, 31))/1000000</f>
        <v>0.43164089999999994</v>
      </c>
      <c r="X212" s="38">
        <f>(31*0.1790888*245000/1000000)+(31*0.2374*100000/1000000)</f>
        <v>2.0961194359999999</v>
      </c>
      <c r="Y212" s="38">
        <f>(1000*600*CHOOSE(CONTROL!$C$42, 1.6846, 1.6846)*CHOOSE(CONTROL!$C$42, 31, 31))/1000000</f>
        <v>31.333560000000002</v>
      </c>
      <c r="Z212" s="38"/>
      <c r="AA212" s="10"/>
      <c r="AB212" s="39"/>
      <c r="AC212" s="33">
        <f>(B212*194.205+C212*267.466+D212*133.845+E212*53.484+F212*40+G212*185+H212*0+I212*100+J212*300)/(194.205+267.466+133.845+53.484+0+40+185+100+300)</f>
        <v>7.8412848262951327</v>
      </c>
      <c r="AD212" s="27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7.7873633093525179</v>
      </c>
    </row>
    <row r="213" spans="1:30" ht="15" x14ac:dyDescent="0.2">
      <c r="A213" s="16">
        <v>47727</v>
      </c>
      <c r="B213" s="10">
        <f>CHOOSE(CONTROL!$C$42, 7.3381, 7.3381) * CHOOSE(CONTROL!$C$21, $C$9, 100%, $E$9)</f>
        <v>7.3380999999999998</v>
      </c>
      <c r="C213" s="10">
        <f>CHOOSE(CONTROL!$C$42, 7.3461, 7.3461) * CHOOSE(CONTROL!$C$21, $C$9, 100%, $E$9)</f>
        <v>7.3460999999999999</v>
      </c>
      <c r="D213" s="10">
        <f>CHOOSE(CONTROL!$C$42, 7.5212, 7.5212) * CHOOSE(CONTROL!$C$21, $C$9, 100%, $E$9)</f>
        <v>7.5212000000000003</v>
      </c>
      <c r="E213" s="10">
        <f>CHOOSE(CONTROL!$C$42, 7.5524, 7.5524) * CHOOSE(CONTROL!$C$21, $C$9, 100%, $E$9)</f>
        <v>7.5523999999999996</v>
      </c>
      <c r="F213" s="10">
        <f>CHOOSE(CONTROL!$C$42, 7.2799, 7.2799)*CHOOSE(CONTROL!$C$21, $C$9, 100%, $E$9)</f>
        <v>7.2798999999999996</v>
      </c>
      <c r="G213" s="10">
        <f>CHOOSE(CONTROL!$C$42, 7.2968, 7.2968)*CHOOSE(CONTROL!$C$21, $C$9, 100%, $E$9)</f>
        <v>7.2968000000000002</v>
      </c>
      <c r="H213" s="10">
        <f>CHOOSE(CONTROL!$C$42, 7.5407, 7.5407) * CHOOSE(CONTROL!$C$21, $C$9, 100%, $E$9)</f>
        <v>7.5407000000000002</v>
      </c>
      <c r="I213" s="10">
        <f>CHOOSE(CONTROL!$C$42, 7.3127, 7.3127)* CHOOSE(CONTROL!$C$21, $C$9, 100%, $E$9)</f>
        <v>7.3127000000000004</v>
      </c>
      <c r="J213" s="10">
        <f>CHOOSE(CONTROL!$C$42, 7.2725, 7.2725)* CHOOSE(CONTROL!$C$21, $C$9, 100%, $E$9)</f>
        <v>7.2725</v>
      </c>
      <c r="K213" s="10">
        <f>CHOOSE(CONTROL!$C$42, 7.2413, 7.2413) * CHOOSE(CONTROL!$C$21, $C$9, 100%, $E$9)</f>
        <v>7.2412999999999998</v>
      </c>
      <c r="L213" s="10">
        <f>CHOOSE(CONTROL!$C$42, 8.1277, 8.1277) * CHOOSE(CONTROL!$C$21, $C$9, 100%, $E$9)</f>
        <v>8.1277000000000008</v>
      </c>
      <c r="M213" s="10">
        <f>CHOOSE(CONTROL!$C$42, 7.2114, 7.2114) * CHOOSE(CONTROL!$C$21, $C$9, 100%, $E$9)</f>
        <v>7.2114000000000003</v>
      </c>
      <c r="N213" s="10">
        <f>CHOOSE(CONTROL!$C$42, 7.2281, 7.2281) * CHOOSE(CONTROL!$C$21, $C$9, 100%, $E$9)</f>
        <v>7.2281000000000004</v>
      </c>
      <c r="O213" s="10">
        <f>CHOOSE(CONTROL!$C$42, 7.4762, 7.4762) * CHOOSE(CONTROL!$C$21, $C$9, 100%, $E$9)</f>
        <v>7.4762000000000004</v>
      </c>
      <c r="P213" s="10">
        <f>CHOOSE(CONTROL!$C$42, 7.2512, 7.2512) * CHOOSE(CONTROL!$C$21, $C$9, 100%, $E$9)</f>
        <v>7.2511999999999999</v>
      </c>
      <c r="Q213" s="10">
        <f>CHOOSE(CONTROL!$C$42, 8.0715, 8.0715) * CHOOSE(CONTROL!$C$21, $C$9, 100%, $E$9)</f>
        <v>8.0715000000000003</v>
      </c>
      <c r="R213" s="10">
        <f>CHOOSE(CONTROL!$C$42, 8.6787, 8.6787) * CHOOSE(CONTROL!$C$21, $C$9, 100%, $E$9)</f>
        <v>8.6786999999999992</v>
      </c>
      <c r="S213" s="10">
        <f>CHOOSE(CONTROL!$C$42, 7.1201, 7.1201) * CHOOSE(CONTROL!$C$21, $C$9, 100%, $E$9)</f>
        <v>7.1200999999999999</v>
      </c>
      <c r="T21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38">
        <f>(1000*CHOOSE(CONTROL!$C$42, 695, 695)*CHOOSE(CONTROL!$C$42, 0.5599, 0.5599)*CHOOSE(CONTROL!$C$42, 30, 30))/1000000</f>
        <v>11.673914999999997</v>
      </c>
      <c r="V213" s="38">
        <f>(1000*CHOOSE(CONTROL!$C$42, 500, 500)*CHOOSE(CONTROL!$C$42, 0.275, 0.275)*CHOOSE(CONTROL!$C$42, 30, 30))/1000000</f>
        <v>4.125</v>
      </c>
      <c r="W213" s="38">
        <f>(1000*CHOOSE(CONTROL!$C$42, 0.1146, 0.1146)*CHOOSE(CONTROL!$C$42, 121.5, 121.5)*CHOOSE(CONTROL!$C$42, 30, 30))/1000000</f>
        <v>0.417717</v>
      </c>
      <c r="X213" s="38">
        <f>(30*0.1790888*245000/1000000)+(30*0.2374*100000/1000000)</f>
        <v>2.0285026799999999</v>
      </c>
      <c r="Y213" s="38">
        <f>(1000*600*CHOOSE(CONTROL!$C$42, 1.6846, 1.6846)*CHOOSE(CONTROL!$C$42, 30, 30))/1000000</f>
        <v>30.322800000000004</v>
      </c>
      <c r="Z213" s="38"/>
      <c r="AA213" s="10"/>
      <c r="AB213" s="39"/>
      <c r="AC213" s="33">
        <f>(B213*194.205+C213*267.466+D213*133.845+E213*53.484+F213*40+G213*185+H213*0+I213*100+J213*300)/(194.205+267.466+133.845+53.484+0+40+185+100+300)</f>
        <v>7.3427466787284157</v>
      </c>
      <c r="AD213" s="27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7.2952676258992808</v>
      </c>
    </row>
    <row r="214" spans="1:30" ht="15" x14ac:dyDescent="0.2">
      <c r="A214" s="16">
        <v>47757</v>
      </c>
      <c r="B214" s="10">
        <f>CHOOSE(CONTROL!$C$42, 7.1867, 7.1867) * CHOOSE(CONTROL!$C$21, $C$9, 100%, $E$9)</f>
        <v>7.1867000000000001</v>
      </c>
      <c r="C214" s="10">
        <f>CHOOSE(CONTROL!$C$42, 7.192, 7.192) * CHOOSE(CONTROL!$C$21, $C$9, 100%, $E$9)</f>
        <v>7.1920000000000002</v>
      </c>
      <c r="D214" s="10">
        <f>CHOOSE(CONTROL!$C$42, 7.372, 7.372) * CHOOSE(CONTROL!$C$21, $C$9, 100%, $E$9)</f>
        <v>7.3719999999999999</v>
      </c>
      <c r="E214" s="10">
        <f>CHOOSE(CONTROL!$C$42, 7.401, 7.401) * CHOOSE(CONTROL!$C$21, $C$9, 100%, $E$9)</f>
        <v>7.4009999999999998</v>
      </c>
      <c r="F214" s="10">
        <f>CHOOSE(CONTROL!$C$42, 7.1305, 7.1305)*CHOOSE(CONTROL!$C$21, $C$9, 100%, $E$9)</f>
        <v>7.1304999999999996</v>
      </c>
      <c r="G214" s="10">
        <f>CHOOSE(CONTROL!$C$42, 7.1471, 7.1471)*CHOOSE(CONTROL!$C$21, $C$9, 100%, $E$9)</f>
        <v>7.1471</v>
      </c>
      <c r="H214" s="10">
        <f>CHOOSE(CONTROL!$C$42, 7.3911, 7.3911) * CHOOSE(CONTROL!$C$21, $C$9, 100%, $E$9)</f>
        <v>7.3910999999999998</v>
      </c>
      <c r="I214" s="10">
        <f>CHOOSE(CONTROL!$C$42, 7.1631, 7.1631)* CHOOSE(CONTROL!$C$21, $C$9, 100%, $E$9)</f>
        <v>7.1631</v>
      </c>
      <c r="J214" s="10">
        <f>CHOOSE(CONTROL!$C$42, 7.1231, 7.1231)* CHOOSE(CONTROL!$C$21, $C$9, 100%, $E$9)</f>
        <v>7.1231</v>
      </c>
      <c r="K214" s="10">
        <f>CHOOSE(CONTROL!$C$42, 7.0969, 7.0969) * CHOOSE(CONTROL!$C$21, $C$9, 100%, $E$9)</f>
        <v>7.0968999999999998</v>
      </c>
      <c r="L214" s="10">
        <f>CHOOSE(CONTROL!$C$42, 7.9781, 7.9781) * CHOOSE(CONTROL!$C$21, $C$9, 100%, $E$9)</f>
        <v>7.9781000000000004</v>
      </c>
      <c r="M214" s="10">
        <f>CHOOSE(CONTROL!$C$42, 7.0639, 7.0639) * CHOOSE(CONTROL!$C$21, $C$9, 100%, $E$9)</f>
        <v>7.0639000000000003</v>
      </c>
      <c r="N214" s="10">
        <f>CHOOSE(CONTROL!$C$42, 7.0803, 7.0803) * CHOOSE(CONTROL!$C$21, $C$9, 100%, $E$9)</f>
        <v>7.0803000000000003</v>
      </c>
      <c r="O214" s="10">
        <f>CHOOSE(CONTROL!$C$42, 7.3284, 7.3284) * CHOOSE(CONTROL!$C$21, $C$9, 100%, $E$9)</f>
        <v>7.3284000000000002</v>
      </c>
      <c r="P214" s="10">
        <f>CHOOSE(CONTROL!$C$42, 7.1034, 7.1034) * CHOOSE(CONTROL!$C$21, $C$9, 100%, $E$9)</f>
        <v>7.1033999999999997</v>
      </c>
      <c r="Q214" s="10">
        <f>CHOOSE(CONTROL!$C$42, 7.9237, 7.9237) * CHOOSE(CONTROL!$C$21, $C$9, 100%, $E$9)</f>
        <v>7.9237000000000002</v>
      </c>
      <c r="R214" s="10">
        <f>CHOOSE(CONTROL!$C$42, 8.5306, 8.5306) * CHOOSE(CONTROL!$C$21, $C$9, 100%, $E$9)</f>
        <v>8.5305999999999997</v>
      </c>
      <c r="S214" s="10">
        <f>CHOOSE(CONTROL!$C$42, 6.9751, 6.9751) * CHOOSE(CONTROL!$C$21, $C$9, 100%, $E$9)</f>
        <v>6.9751000000000003</v>
      </c>
      <c r="T21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38">
        <f>(1000*CHOOSE(CONTROL!$C$42, 695, 695)*CHOOSE(CONTROL!$C$42, 0.5599, 0.5599)*CHOOSE(CONTROL!$C$42, 31, 31))/1000000</f>
        <v>12.063045499999998</v>
      </c>
      <c r="V214" s="38">
        <f>(1000*CHOOSE(CONTROL!$C$42, 500, 500)*CHOOSE(CONTROL!$C$42, 0.275, 0.275)*CHOOSE(CONTROL!$C$42, 31, 31))/1000000</f>
        <v>4.2625000000000002</v>
      </c>
      <c r="W214" s="38">
        <f>(1000*CHOOSE(CONTROL!$C$42, 0.1146, 0.1146)*CHOOSE(CONTROL!$C$42, 121.5, 121.5)*CHOOSE(CONTROL!$C$42, 31, 31))/1000000</f>
        <v>0.43164089999999994</v>
      </c>
      <c r="X214" s="38">
        <f>(31*0.1790888*245000/1000000)+(31*0.2374*100000/1000000)</f>
        <v>2.0961194359999999</v>
      </c>
      <c r="Y214" s="38">
        <f>(1000*600*CHOOSE(CONTROL!$C$42, 1.6846, 1.6846)*CHOOSE(CONTROL!$C$42, 31, 31))/1000000</f>
        <v>31.333560000000002</v>
      </c>
      <c r="Z214" s="38"/>
      <c r="AA214" s="10"/>
      <c r="AB214" s="39"/>
      <c r="AC214" s="33">
        <f>(B214*131.881+C214*277.167+D214*79.08+E214*125.872+F214*40+G214*185+H214*0+I214*100+J214*300)/(131.881+277.167+79.08+125.872+0+40+185+100+300)</f>
        <v>7.1964521216303474</v>
      </c>
      <c r="AD214" s="27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7.1475712230215827</v>
      </c>
    </row>
    <row r="215" spans="1:30" ht="15" x14ac:dyDescent="0.2">
      <c r="A215" s="16">
        <v>47788</v>
      </c>
      <c r="B215" s="10">
        <f>CHOOSE(CONTROL!$C$42, 7.376, 7.376) * CHOOSE(CONTROL!$C$21, $C$9, 100%, $E$9)</f>
        <v>7.3760000000000003</v>
      </c>
      <c r="C215" s="10">
        <f>CHOOSE(CONTROL!$C$42, 7.3811, 7.3811) * CHOOSE(CONTROL!$C$21, $C$9, 100%, $E$9)</f>
        <v>7.3811</v>
      </c>
      <c r="D215" s="10">
        <f>CHOOSE(CONTROL!$C$42, 7.4058, 7.4058) * CHOOSE(CONTROL!$C$21, $C$9, 100%, $E$9)</f>
        <v>7.4058000000000002</v>
      </c>
      <c r="E215" s="10">
        <f>CHOOSE(CONTROL!$C$42, 7.4396, 7.4396) * CHOOSE(CONTROL!$C$21, $C$9, 100%, $E$9)</f>
        <v>7.4396000000000004</v>
      </c>
      <c r="F215" s="10">
        <f>CHOOSE(CONTROL!$C$42, 7.3417, 7.3417)*CHOOSE(CONTROL!$C$21, $C$9, 100%, $E$9)</f>
        <v>7.3417000000000003</v>
      </c>
      <c r="G215" s="10">
        <f>CHOOSE(CONTROL!$C$42, 7.3585, 7.3585)*CHOOSE(CONTROL!$C$21, $C$9, 100%, $E$9)</f>
        <v>7.3585000000000003</v>
      </c>
      <c r="H215" s="10">
        <f>CHOOSE(CONTROL!$C$42, 7.4285, 7.4285) * CHOOSE(CONTROL!$C$21, $C$9, 100%, $E$9)</f>
        <v>7.4284999999999997</v>
      </c>
      <c r="I215" s="10">
        <f>CHOOSE(CONTROL!$C$42, 7.3755, 7.3755)* CHOOSE(CONTROL!$C$21, $C$9, 100%, $E$9)</f>
        <v>7.3754999999999997</v>
      </c>
      <c r="J215" s="10">
        <f>CHOOSE(CONTROL!$C$42, 7.3343, 7.3343)* CHOOSE(CONTROL!$C$21, $C$9, 100%, $E$9)</f>
        <v>7.3342999999999998</v>
      </c>
      <c r="K215" s="10">
        <f>CHOOSE(CONTROL!$C$42, 7.3045, 7.3045) * CHOOSE(CONTROL!$C$21, $C$9, 100%, $E$9)</f>
        <v>7.3045</v>
      </c>
      <c r="L215" s="10">
        <f>CHOOSE(CONTROL!$C$42, 8.0155, 8.0155) * CHOOSE(CONTROL!$C$21, $C$9, 100%, $E$9)</f>
        <v>8.0154999999999994</v>
      </c>
      <c r="M215" s="10">
        <f>CHOOSE(CONTROL!$C$42, 7.2724, 7.2724) * CHOOSE(CONTROL!$C$21, $C$9, 100%, $E$9)</f>
        <v>7.2724000000000002</v>
      </c>
      <c r="N215" s="10">
        <f>CHOOSE(CONTROL!$C$42, 7.289, 7.289) * CHOOSE(CONTROL!$C$21, $C$9, 100%, $E$9)</f>
        <v>7.2889999999999997</v>
      </c>
      <c r="O215" s="10">
        <f>CHOOSE(CONTROL!$C$42, 7.3654, 7.3654) * CHOOSE(CONTROL!$C$21, $C$9, 100%, $E$9)</f>
        <v>7.3654000000000002</v>
      </c>
      <c r="P215" s="10">
        <f>CHOOSE(CONTROL!$C$42, 7.3132, 7.3132) * CHOOSE(CONTROL!$C$21, $C$9, 100%, $E$9)</f>
        <v>7.3132000000000001</v>
      </c>
      <c r="Q215" s="10">
        <f>CHOOSE(CONTROL!$C$42, 7.9607, 7.9607) * CHOOSE(CONTROL!$C$21, $C$9, 100%, $E$9)</f>
        <v>7.9607000000000001</v>
      </c>
      <c r="R215" s="10">
        <f>CHOOSE(CONTROL!$C$42, 8.5676, 8.5676) * CHOOSE(CONTROL!$C$21, $C$9, 100%, $E$9)</f>
        <v>8.5676000000000005</v>
      </c>
      <c r="S215" s="10">
        <f>CHOOSE(CONTROL!$C$42, 7.1589, 7.1589) * CHOOSE(CONTROL!$C$21, $C$9, 100%, $E$9)</f>
        <v>7.1589</v>
      </c>
      <c r="T21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38">
        <f>(1000*CHOOSE(CONTROL!$C$42, 695, 695)*CHOOSE(CONTROL!$C$42, 0.5599, 0.5599)*CHOOSE(CONTROL!$C$42, 30, 30))/1000000</f>
        <v>11.673914999999997</v>
      </c>
      <c r="V215" s="38">
        <f>(1000*CHOOSE(CONTROL!$C$42, 500, 500)*CHOOSE(CONTROL!$C$42, 0.275, 0.275)*CHOOSE(CONTROL!$C$42, 30, 30))/1000000</f>
        <v>4.125</v>
      </c>
      <c r="W215" s="38">
        <f>(1000*CHOOSE(CONTROL!$C$42, 0.1146, 0.1146)*CHOOSE(CONTROL!$C$42, 121.5, 121.5)*CHOOSE(CONTROL!$C$42, 30, 30))/1000000</f>
        <v>0.417717</v>
      </c>
      <c r="X215" s="38">
        <f>(30*0.1790888*100000/1000000)+(30*0.2374*100000/1000000)</f>
        <v>1.2494664</v>
      </c>
      <c r="Y215" s="38">
        <f>(1000*600*CHOOSE(CONTROL!$C$42, 1.6846, 1.6846)*CHOOSE(CONTROL!$C$42, 30, 30))/1000000</f>
        <v>30.322800000000004</v>
      </c>
      <c r="Z215" s="38"/>
      <c r="AA215" s="10"/>
      <c r="AB215" s="39"/>
      <c r="AC215" s="33">
        <f>(B215*122.58+C215*297.941+D215*89.177+E215*40.302+F215*40+G215*160+H215*0+I215*100+J215*300)/(122.58+297.941+89.177+40.302+0+40+160+100+300)</f>
        <v>7.3673114616521742</v>
      </c>
      <c r="AD215" s="27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7.3213769784172662</v>
      </c>
    </row>
    <row r="216" spans="1:30" ht="15" x14ac:dyDescent="0.2">
      <c r="A216" s="16">
        <v>47818</v>
      </c>
      <c r="B216" s="10">
        <f>CHOOSE(CONTROL!$C$42, 7.88, 7.88) * CHOOSE(CONTROL!$C$21, $C$9, 100%, $E$9)</f>
        <v>7.88</v>
      </c>
      <c r="C216" s="10">
        <f>CHOOSE(CONTROL!$C$42, 7.8851, 7.8851) * CHOOSE(CONTROL!$C$21, $C$9, 100%, $E$9)</f>
        <v>7.8851000000000004</v>
      </c>
      <c r="D216" s="10">
        <f>CHOOSE(CONTROL!$C$42, 7.9098, 7.9098) * CHOOSE(CONTROL!$C$21, $C$9, 100%, $E$9)</f>
        <v>7.9097999999999997</v>
      </c>
      <c r="E216" s="10">
        <f>CHOOSE(CONTROL!$C$42, 7.9436, 7.9436) * CHOOSE(CONTROL!$C$21, $C$9, 100%, $E$9)</f>
        <v>7.9436</v>
      </c>
      <c r="F216" s="10">
        <f>CHOOSE(CONTROL!$C$42, 7.8475, 7.8475)*CHOOSE(CONTROL!$C$21, $C$9, 100%, $E$9)</f>
        <v>7.8475000000000001</v>
      </c>
      <c r="G216" s="10">
        <f>CHOOSE(CONTROL!$C$42, 7.8647, 7.8647)*CHOOSE(CONTROL!$C$21, $C$9, 100%, $E$9)</f>
        <v>7.8647</v>
      </c>
      <c r="H216" s="10">
        <f>CHOOSE(CONTROL!$C$42, 7.9325, 7.9325) * CHOOSE(CONTROL!$C$21, $C$9, 100%, $E$9)</f>
        <v>7.9325000000000001</v>
      </c>
      <c r="I216" s="10">
        <f>CHOOSE(CONTROL!$C$42, 7.8795, 7.8795)* CHOOSE(CONTROL!$C$21, $C$9, 100%, $E$9)</f>
        <v>7.8795000000000002</v>
      </c>
      <c r="J216" s="10">
        <f>CHOOSE(CONTROL!$C$42, 7.8401, 7.8401)* CHOOSE(CONTROL!$C$21, $C$9, 100%, $E$9)</f>
        <v>7.8400999999999996</v>
      </c>
      <c r="K216" s="10">
        <f>CHOOSE(CONTROL!$C$42, 7.7966, 7.7966) * CHOOSE(CONTROL!$C$21, $C$9, 100%, $E$9)</f>
        <v>7.7965999999999998</v>
      </c>
      <c r="L216" s="10">
        <f>CHOOSE(CONTROL!$C$42, 8.5195, 8.5195) * CHOOSE(CONTROL!$C$21, $C$9, 100%, $E$9)</f>
        <v>8.5195000000000007</v>
      </c>
      <c r="M216" s="10">
        <f>CHOOSE(CONTROL!$C$42, 7.7716, 7.7716) * CHOOSE(CONTROL!$C$21, $C$9, 100%, $E$9)</f>
        <v>7.7716000000000003</v>
      </c>
      <c r="N216" s="10">
        <f>CHOOSE(CONTROL!$C$42, 7.7887, 7.7887) * CHOOSE(CONTROL!$C$21, $C$9, 100%, $E$9)</f>
        <v>7.7887000000000004</v>
      </c>
      <c r="O216" s="10">
        <f>CHOOSE(CONTROL!$C$42, 7.8629, 7.8629) * CHOOSE(CONTROL!$C$21, $C$9, 100%, $E$9)</f>
        <v>7.8628999999999998</v>
      </c>
      <c r="P216" s="10">
        <f>CHOOSE(CONTROL!$C$42, 7.8106, 7.8106) * CHOOSE(CONTROL!$C$21, $C$9, 100%, $E$9)</f>
        <v>7.8106</v>
      </c>
      <c r="Q216" s="10">
        <f>CHOOSE(CONTROL!$C$42, 8.4582, 8.4582) * CHOOSE(CONTROL!$C$21, $C$9, 100%, $E$9)</f>
        <v>8.4581999999999997</v>
      </c>
      <c r="R216" s="10">
        <f>CHOOSE(CONTROL!$C$42, 9.0663, 9.0663) * CHOOSE(CONTROL!$C$21, $C$9, 100%, $E$9)</f>
        <v>9.0663</v>
      </c>
      <c r="S216" s="10">
        <f>CHOOSE(CONTROL!$C$42, 7.6469, 7.6469) * CHOOSE(CONTROL!$C$21, $C$9, 100%, $E$9)</f>
        <v>7.6468999999999996</v>
      </c>
      <c r="T21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38">
        <f>(1000*CHOOSE(CONTROL!$C$42, 695, 695)*CHOOSE(CONTROL!$C$42, 0.5599, 0.5599)*CHOOSE(CONTROL!$C$42, 31, 31))/1000000</f>
        <v>12.063045499999998</v>
      </c>
      <c r="V216" s="38">
        <f>(1000*CHOOSE(CONTROL!$C$42, 500, 500)*CHOOSE(CONTROL!$C$42, 0.275, 0.275)*CHOOSE(CONTROL!$C$42, 31, 31))/1000000</f>
        <v>4.2625000000000002</v>
      </c>
      <c r="W216" s="38">
        <f>(1000*CHOOSE(CONTROL!$C$42, 0.1146, 0.1146)*CHOOSE(CONTROL!$C$42, 121.5, 121.5)*CHOOSE(CONTROL!$C$42, 31, 31))/1000000</f>
        <v>0.43164089999999994</v>
      </c>
      <c r="X216" s="38">
        <f>(31*0.1790888*100000/1000000)+(31*0.2374*100000/1000000)</f>
        <v>1.2911152800000001</v>
      </c>
      <c r="Y216" s="38">
        <f>(1000*600*CHOOSE(CONTROL!$C$42, 1.6846, 1.6846)*CHOOSE(CONTROL!$C$42, 31, 31))/1000000</f>
        <v>31.333560000000002</v>
      </c>
      <c r="Z216" s="38"/>
      <c r="AA216" s="10"/>
      <c r="AB216" s="39"/>
      <c r="AC216" s="33">
        <f>(B216*122.58+C216*297.941+D216*89.177+E216*40.302+F216*40+G216*160+H216*0+I216*100+J216*300)/(122.58+297.941+89.177+40.302+0+40+160+100+300)</f>
        <v>7.8721497225217378</v>
      </c>
      <c r="AD216" s="27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7.8195762589928055</v>
      </c>
    </row>
    <row r="217" spans="1:30" ht="15" x14ac:dyDescent="0.2">
      <c r="A217" s="16">
        <v>47849</v>
      </c>
      <c r="B217" s="10">
        <f>CHOOSE(CONTROL!$C$42, 8.413, 8.413) * CHOOSE(CONTROL!$C$21, $C$9, 100%, $E$9)</f>
        <v>8.4130000000000003</v>
      </c>
      <c r="C217" s="10">
        <f>CHOOSE(CONTROL!$C$42, 8.4181, 8.4181) * CHOOSE(CONTROL!$C$21, $C$9, 100%, $E$9)</f>
        <v>8.4181000000000008</v>
      </c>
      <c r="D217" s="10">
        <f>CHOOSE(CONTROL!$C$42, 8.4531, 8.4531) * CHOOSE(CONTROL!$C$21, $C$9, 100%, $E$9)</f>
        <v>8.4530999999999992</v>
      </c>
      <c r="E217" s="10">
        <f>CHOOSE(CONTROL!$C$42, 8.4869, 8.4869) * CHOOSE(CONTROL!$C$21, $C$9, 100%, $E$9)</f>
        <v>8.4869000000000003</v>
      </c>
      <c r="F217" s="10">
        <f>CHOOSE(CONTROL!$C$42, 8.3943, 8.3943)*CHOOSE(CONTROL!$C$21, $C$9, 100%, $E$9)</f>
        <v>8.3942999999999994</v>
      </c>
      <c r="G217" s="10">
        <f>CHOOSE(CONTROL!$C$42, 8.4132, 8.4132)*CHOOSE(CONTROL!$C$21, $C$9, 100%, $E$9)</f>
        <v>8.4131999999999998</v>
      </c>
      <c r="H217" s="10">
        <f>CHOOSE(CONTROL!$C$42, 8.4758, 8.4758) * CHOOSE(CONTROL!$C$21, $C$9, 100%, $E$9)</f>
        <v>8.4757999999999996</v>
      </c>
      <c r="I217" s="10">
        <f>CHOOSE(CONTROL!$C$42, 8.4203, 8.4203)* CHOOSE(CONTROL!$C$21, $C$9, 100%, $E$9)</f>
        <v>8.4202999999999992</v>
      </c>
      <c r="J217" s="10">
        <f>CHOOSE(CONTROL!$C$42, 8.3869, 8.3869)* CHOOSE(CONTROL!$C$21, $C$9, 100%, $E$9)</f>
        <v>8.3869000000000007</v>
      </c>
      <c r="K217" s="10">
        <f>CHOOSE(CONTROL!$C$42, 8.3337, 8.3337) * CHOOSE(CONTROL!$C$21, $C$9, 100%, $E$9)</f>
        <v>8.3337000000000003</v>
      </c>
      <c r="L217" s="10">
        <f>CHOOSE(CONTROL!$C$42, 9.0628, 9.0628) * CHOOSE(CONTROL!$C$21, $C$9, 100%, $E$9)</f>
        <v>9.0627999999999993</v>
      </c>
      <c r="M217" s="10">
        <f>CHOOSE(CONTROL!$C$42, 8.3114, 8.3114) * CHOOSE(CONTROL!$C$21, $C$9, 100%, $E$9)</f>
        <v>8.3114000000000008</v>
      </c>
      <c r="N217" s="10">
        <f>CHOOSE(CONTROL!$C$42, 8.33, 8.33) * CHOOSE(CONTROL!$C$21, $C$9, 100%, $E$9)</f>
        <v>8.33</v>
      </c>
      <c r="O217" s="10">
        <f>CHOOSE(CONTROL!$C$42, 8.3991, 8.3991) * CHOOSE(CONTROL!$C$21, $C$9, 100%, $E$9)</f>
        <v>8.3991000000000007</v>
      </c>
      <c r="P217" s="10">
        <f>CHOOSE(CONTROL!$C$42, 8.3444, 8.3444) * CHOOSE(CONTROL!$C$21, $C$9, 100%, $E$9)</f>
        <v>8.3444000000000003</v>
      </c>
      <c r="Q217" s="10">
        <f>CHOOSE(CONTROL!$C$42, 8.9944, 8.9944) * CHOOSE(CONTROL!$C$21, $C$9, 100%, $E$9)</f>
        <v>8.9944000000000006</v>
      </c>
      <c r="R217" s="10">
        <f>CHOOSE(CONTROL!$C$42, 9.6039, 9.6039) * CHOOSE(CONTROL!$C$21, $C$9, 100%, $E$9)</f>
        <v>9.6038999999999994</v>
      </c>
      <c r="S217" s="10">
        <f>CHOOSE(CONTROL!$C$42, 8.163, 8.163) * CHOOSE(CONTROL!$C$21, $C$9, 100%, $E$9)</f>
        <v>8.1630000000000003</v>
      </c>
      <c r="T21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38">
        <f>(1000*CHOOSE(CONTROL!$C$42, 695, 695)*CHOOSE(CONTROL!$C$42, 0.5599, 0.5599)*CHOOSE(CONTROL!$C$42, 31, 31))/1000000</f>
        <v>12.063045499999998</v>
      </c>
      <c r="V217" s="38">
        <f>(1000*CHOOSE(CONTROL!$C$42, 500, 500)*CHOOSE(CONTROL!$C$42, 0.275, 0.275)*CHOOSE(CONTROL!$C$42, 31, 31))/1000000</f>
        <v>4.2625000000000002</v>
      </c>
      <c r="W217" s="38">
        <f>(1000*CHOOSE(CONTROL!$C$42, 0.1146, 0.1146)*CHOOSE(CONTROL!$C$42, 121.5, 121.5)*CHOOSE(CONTROL!$C$42, 31, 31))/1000000</f>
        <v>0.43164089999999994</v>
      </c>
      <c r="X217" s="38">
        <f>(31*0.1790888*100000/1000000)+(31*0.2374*100000/1000000)</f>
        <v>1.2911152800000001</v>
      </c>
      <c r="Y217" s="38">
        <f>(1000*600*CHOOSE(CONTROL!$C$42, 1.6681, 1.6681)*CHOOSE(CONTROL!$C$42, 31, 31))/1000000</f>
        <v>31.02666</v>
      </c>
      <c r="Z217" s="38"/>
      <c r="AA217" s="10"/>
      <c r="AB217" s="39"/>
      <c r="AC217" s="33">
        <f>(B217*122.58+C217*297.941+D217*89.177+E217*40.302+F217*40+G217*160+H217*0+I217*100+J217*300)/(122.58+297.941+89.177+40.302+0+40+160+100+300)</f>
        <v>8.4132241866086961</v>
      </c>
      <c r="AD217" s="27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8.3569676258992818</v>
      </c>
    </row>
    <row r="218" spans="1:30" ht="15" x14ac:dyDescent="0.2">
      <c r="A218" s="16">
        <v>47880</v>
      </c>
      <c r="B218" s="10">
        <f>CHOOSE(CONTROL!$C$42, 8.5631, 8.5631) * CHOOSE(CONTROL!$C$21, $C$9, 100%, $E$9)</f>
        <v>8.5631000000000004</v>
      </c>
      <c r="C218" s="10">
        <f>CHOOSE(CONTROL!$C$42, 8.5682, 8.5682) * CHOOSE(CONTROL!$C$21, $C$9, 100%, $E$9)</f>
        <v>8.5681999999999992</v>
      </c>
      <c r="D218" s="10">
        <f>CHOOSE(CONTROL!$C$42, 8.6032, 8.6032) * CHOOSE(CONTROL!$C$21, $C$9, 100%, $E$9)</f>
        <v>8.6031999999999993</v>
      </c>
      <c r="E218" s="10">
        <f>CHOOSE(CONTROL!$C$42, 8.637, 8.637) * CHOOSE(CONTROL!$C$21, $C$9, 100%, $E$9)</f>
        <v>8.6370000000000005</v>
      </c>
      <c r="F218" s="10">
        <f>CHOOSE(CONTROL!$C$42, 8.5438, 8.5438)*CHOOSE(CONTROL!$C$21, $C$9, 100%, $E$9)</f>
        <v>8.5437999999999992</v>
      </c>
      <c r="G218" s="10">
        <f>CHOOSE(CONTROL!$C$42, 8.5626, 8.5626)*CHOOSE(CONTROL!$C$21, $C$9, 100%, $E$9)</f>
        <v>8.5625999999999998</v>
      </c>
      <c r="H218" s="10">
        <f>CHOOSE(CONTROL!$C$42, 8.6259, 8.6259) * CHOOSE(CONTROL!$C$21, $C$9, 100%, $E$9)</f>
        <v>8.6258999999999997</v>
      </c>
      <c r="I218" s="10">
        <f>CHOOSE(CONTROL!$C$42, 8.5703, 8.5703)* CHOOSE(CONTROL!$C$21, $C$9, 100%, $E$9)</f>
        <v>8.5702999999999996</v>
      </c>
      <c r="J218" s="10">
        <f>CHOOSE(CONTROL!$C$42, 8.5364, 8.5364)* CHOOSE(CONTROL!$C$21, $C$9, 100%, $E$9)</f>
        <v>8.5364000000000004</v>
      </c>
      <c r="K218" s="10">
        <f>CHOOSE(CONTROL!$C$42, 8.478, 8.478) * CHOOSE(CONTROL!$C$21, $C$9, 100%, $E$9)</f>
        <v>8.4779999999999998</v>
      </c>
      <c r="L218" s="10">
        <f>CHOOSE(CONTROL!$C$42, 9.2129, 9.2129) * CHOOSE(CONTROL!$C$21, $C$9, 100%, $E$9)</f>
        <v>9.2128999999999994</v>
      </c>
      <c r="M218" s="10">
        <f>CHOOSE(CONTROL!$C$42, 8.459, 8.459) * CHOOSE(CONTROL!$C$21, $C$9, 100%, $E$9)</f>
        <v>8.4589999999999996</v>
      </c>
      <c r="N218" s="10">
        <f>CHOOSE(CONTROL!$C$42, 8.4775, 8.4775) * CHOOSE(CONTROL!$C$21, $C$9, 100%, $E$9)</f>
        <v>8.4774999999999991</v>
      </c>
      <c r="O218" s="10">
        <f>CHOOSE(CONTROL!$C$42, 8.5472, 8.5472) * CHOOSE(CONTROL!$C$21, $C$9, 100%, $E$9)</f>
        <v>8.5472000000000001</v>
      </c>
      <c r="P218" s="10">
        <f>CHOOSE(CONTROL!$C$42, 8.4925, 8.4925) * CHOOSE(CONTROL!$C$21, $C$9, 100%, $E$9)</f>
        <v>8.4924999999999997</v>
      </c>
      <c r="Q218" s="10">
        <f>CHOOSE(CONTROL!$C$42, 9.1425, 9.1425) * CHOOSE(CONTROL!$C$21, $C$9, 100%, $E$9)</f>
        <v>9.1425000000000001</v>
      </c>
      <c r="R218" s="10">
        <f>CHOOSE(CONTROL!$C$42, 9.7524, 9.7524) * CHOOSE(CONTROL!$C$21, $C$9, 100%, $E$9)</f>
        <v>9.7523999999999997</v>
      </c>
      <c r="S218" s="10">
        <f>CHOOSE(CONTROL!$C$42, 8.3083, 8.3083) * CHOOSE(CONTROL!$C$21, $C$9, 100%, $E$9)</f>
        <v>8.3082999999999991</v>
      </c>
      <c r="T21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38">
        <f>(1000*CHOOSE(CONTROL!$C$42, 695, 695)*CHOOSE(CONTROL!$C$42, 0.5599, 0.5599)*CHOOSE(CONTROL!$C$42, 28, 28))/1000000</f>
        <v>10.895653999999999</v>
      </c>
      <c r="V218" s="38">
        <f>(1000*CHOOSE(CONTROL!$C$42, 500, 500)*CHOOSE(CONTROL!$C$42, 0.275, 0.275)*CHOOSE(CONTROL!$C$42, 28, 28))/1000000</f>
        <v>3.85</v>
      </c>
      <c r="W218" s="38">
        <f>(1000*CHOOSE(CONTROL!$C$42, 0.1146, 0.1146)*CHOOSE(CONTROL!$C$42, 121.5, 121.5)*CHOOSE(CONTROL!$C$42, 28, 28))/1000000</f>
        <v>0.38986920000000003</v>
      </c>
      <c r="X218" s="38">
        <f>(28*0.1790888*100000/1000000)+(28*0.2374*100000/1000000)</f>
        <v>1.16616864</v>
      </c>
      <c r="Y218" s="38">
        <f>(1000*600*CHOOSE(CONTROL!$C$42, 1.6681, 1.6681)*CHOOSE(CONTROL!$C$42, 28, 28))/1000000</f>
        <v>28.024080000000001</v>
      </c>
      <c r="Z218" s="38"/>
      <c r="AA218" s="10"/>
      <c r="AB218" s="39"/>
      <c r="AC218" s="33">
        <f>(B218*122.58+C218*297.941+D218*89.177+E218*40.302+F218*40+G218*160+H218*0+I218*100+J218*300)/(122.58+297.941+89.177+40.302+0+40+160+100+300)</f>
        <v>8.5630407083478257</v>
      </c>
      <c r="AD218" s="27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8.5048604316546754</v>
      </c>
    </row>
    <row r="219" spans="1:30" ht="15" x14ac:dyDescent="0.2">
      <c r="A219" s="16">
        <v>47908</v>
      </c>
      <c r="B219" s="10">
        <f>CHOOSE(CONTROL!$C$42, 8.3195, 8.3195) * CHOOSE(CONTROL!$C$21, $C$9, 100%, $E$9)</f>
        <v>8.3194999999999997</v>
      </c>
      <c r="C219" s="10">
        <f>CHOOSE(CONTROL!$C$42, 8.3246, 8.3246) * CHOOSE(CONTROL!$C$21, $C$9, 100%, $E$9)</f>
        <v>8.3246000000000002</v>
      </c>
      <c r="D219" s="10">
        <f>CHOOSE(CONTROL!$C$42, 8.3596, 8.3596) * CHOOSE(CONTROL!$C$21, $C$9, 100%, $E$9)</f>
        <v>8.3596000000000004</v>
      </c>
      <c r="E219" s="10">
        <f>CHOOSE(CONTROL!$C$42, 8.3934, 8.3934) * CHOOSE(CONTROL!$C$21, $C$9, 100%, $E$9)</f>
        <v>8.3933999999999997</v>
      </c>
      <c r="F219" s="10">
        <f>CHOOSE(CONTROL!$C$42, 8.2989, 8.2989)*CHOOSE(CONTROL!$C$21, $C$9, 100%, $E$9)</f>
        <v>8.2988999999999997</v>
      </c>
      <c r="G219" s="10">
        <f>CHOOSE(CONTROL!$C$42, 8.3172, 8.3172)*CHOOSE(CONTROL!$C$21, $C$9, 100%, $E$9)</f>
        <v>8.3171999999999997</v>
      </c>
      <c r="H219" s="10">
        <f>CHOOSE(CONTROL!$C$42, 8.3823, 8.3823) * CHOOSE(CONTROL!$C$21, $C$9, 100%, $E$9)</f>
        <v>8.3823000000000008</v>
      </c>
      <c r="I219" s="10">
        <f>CHOOSE(CONTROL!$C$42, 8.3267, 8.3267)* CHOOSE(CONTROL!$C$21, $C$9, 100%, $E$9)</f>
        <v>8.3267000000000007</v>
      </c>
      <c r="J219" s="10">
        <f>CHOOSE(CONTROL!$C$42, 8.2915, 8.2915)* CHOOSE(CONTROL!$C$21, $C$9, 100%, $E$9)</f>
        <v>8.2914999999999992</v>
      </c>
      <c r="K219" s="10">
        <f>CHOOSE(CONTROL!$C$42, 8.239, 8.239) * CHOOSE(CONTROL!$C$21, $C$9, 100%, $E$9)</f>
        <v>8.2390000000000008</v>
      </c>
      <c r="L219" s="10">
        <f>CHOOSE(CONTROL!$C$42, 8.9693, 8.9693) * CHOOSE(CONTROL!$C$21, $C$9, 100%, $E$9)</f>
        <v>8.9693000000000005</v>
      </c>
      <c r="M219" s="10">
        <f>CHOOSE(CONTROL!$C$42, 8.2172, 8.2172) * CHOOSE(CONTROL!$C$21, $C$9, 100%, $E$9)</f>
        <v>8.2172000000000001</v>
      </c>
      <c r="N219" s="10">
        <f>CHOOSE(CONTROL!$C$42, 8.2353, 8.2353) * CHOOSE(CONTROL!$C$21, $C$9, 100%, $E$9)</f>
        <v>8.2353000000000005</v>
      </c>
      <c r="O219" s="10">
        <f>CHOOSE(CONTROL!$C$42, 8.3068, 8.3068) * CHOOSE(CONTROL!$C$21, $C$9, 100%, $E$9)</f>
        <v>8.3068000000000008</v>
      </c>
      <c r="P219" s="10">
        <f>CHOOSE(CONTROL!$C$42, 8.252, 8.252) * CHOOSE(CONTROL!$C$21, $C$9, 100%, $E$9)</f>
        <v>8.2520000000000007</v>
      </c>
      <c r="Q219" s="10">
        <f>CHOOSE(CONTROL!$C$42, 8.9021, 8.9021) * CHOOSE(CONTROL!$C$21, $C$9, 100%, $E$9)</f>
        <v>8.9021000000000008</v>
      </c>
      <c r="R219" s="10">
        <f>CHOOSE(CONTROL!$C$42, 9.5114, 9.5114) * CHOOSE(CONTROL!$C$21, $C$9, 100%, $E$9)</f>
        <v>9.5114000000000001</v>
      </c>
      <c r="S219" s="10">
        <f>CHOOSE(CONTROL!$C$42, 8.0724, 8.0724) * CHOOSE(CONTROL!$C$21, $C$9, 100%, $E$9)</f>
        <v>8.0724</v>
      </c>
      <c r="T21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38">
        <f>(1000*CHOOSE(CONTROL!$C$42, 695, 695)*CHOOSE(CONTROL!$C$42, 0.5599, 0.5599)*CHOOSE(CONTROL!$C$42, 31, 31))/1000000</f>
        <v>12.063045499999998</v>
      </c>
      <c r="V219" s="38">
        <f>(1000*CHOOSE(CONTROL!$C$42, 500, 500)*CHOOSE(CONTROL!$C$42, 0.275, 0.275)*CHOOSE(CONTROL!$C$42, 31, 31))/1000000</f>
        <v>4.2625000000000002</v>
      </c>
      <c r="W219" s="38">
        <f>(1000*CHOOSE(CONTROL!$C$42, 0.1146, 0.1146)*CHOOSE(CONTROL!$C$42, 121.5, 121.5)*CHOOSE(CONTROL!$C$42, 31, 31))/1000000</f>
        <v>0.43164089999999994</v>
      </c>
      <c r="X219" s="38">
        <f>(31*0.1790888*100000/1000000)+(31*0.2374*100000/1000000)</f>
        <v>1.2911152800000001</v>
      </c>
      <c r="Y219" s="38">
        <f>(1000*600*CHOOSE(CONTROL!$C$42, 1.6681, 1.6681)*CHOOSE(CONTROL!$C$42, 31, 31))/1000000</f>
        <v>31.02666</v>
      </c>
      <c r="Z219" s="38"/>
      <c r="AA219" s="10"/>
      <c r="AB219" s="39"/>
      <c r="AC219" s="33">
        <f>(B219*122.58+C219*297.941+D219*89.177+E219*40.302+F219*40+G219*160+H219*0+I219*100+J219*300)/(122.58+297.941+89.177+40.302+0+40+160+100+300)</f>
        <v>8.3188059257391309</v>
      </c>
      <c r="AD219" s="27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8.2638589928057566</v>
      </c>
    </row>
    <row r="220" spans="1:30" ht="15" x14ac:dyDescent="0.2">
      <c r="A220" s="16">
        <v>47939</v>
      </c>
      <c r="B220" s="10">
        <f>CHOOSE(CONTROL!$C$42, 8.2953, 8.2953) * CHOOSE(CONTROL!$C$21, $C$9, 100%, $E$9)</f>
        <v>8.2952999999999992</v>
      </c>
      <c r="C220" s="10">
        <f>CHOOSE(CONTROL!$C$42, 8.2998, 8.2998) * CHOOSE(CONTROL!$C$21, $C$9, 100%, $E$9)</f>
        <v>8.2997999999999994</v>
      </c>
      <c r="D220" s="10">
        <f>CHOOSE(CONTROL!$C$42, 8.478, 8.478) * CHOOSE(CONTROL!$C$21, $C$9, 100%, $E$9)</f>
        <v>8.4779999999999998</v>
      </c>
      <c r="E220" s="10">
        <f>CHOOSE(CONTROL!$C$42, 8.5099, 8.5099) * CHOOSE(CONTROL!$C$21, $C$9, 100%, $E$9)</f>
        <v>8.5099</v>
      </c>
      <c r="F220" s="10">
        <f>CHOOSE(CONTROL!$C$42, 8.2387, 8.2387)*CHOOSE(CONTROL!$C$21, $C$9, 100%, $E$9)</f>
        <v>8.2386999999999997</v>
      </c>
      <c r="G220" s="10">
        <f>CHOOSE(CONTROL!$C$42, 8.2554, 8.2554)*CHOOSE(CONTROL!$C$21, $C$9, 100%, $E$9)</f>
        <v>8.2553999999999998</v>
      </c>
      <c r="H220" s="10">
        <f>CHOOSE(CONTROL!$C$42, 8.4993, 8.4993) * CHOOSE(CONTROL!$C$21, $C$9, 100%, $E$9)</f>
        <v>8.4992999999999999</v>
      </c>
      <c r="I220" s="10">
        <f>CHOOSE(CONTROL!$C$42, 8.2713, 8.2713)* CHOOSE(CONTROL!$C$21, $C$9, 100%, $E$9)</f>
        <v>8.2713000000000001</v>
      </c>
      <c r="J220" s="10">
        <f>CHOOSE(CONTROL!$C$42, 8.2313, 8.2313)* CHOOSE(CONTROL!$C$21, $C$9, 100%, $E$9)</f>
        <v>8.2312999999999992</v>
      </c>
      <c r="K220" s="10">
        <f>CHOOSE(CONTROL!$C$42, 8.1706, 8.1706) * CHOOSE(CONTROL!$C$21, $C$9, 100%, $E$9)</f>
        <v>8.1706000000000003</v>
      </c>
      <c r="L220" s="10">
        <f>CHOOSE(CONTROL!$C$42, 9.0863, 9.0863) * CHOOSE(CONTROL!$C$21, $C$9, 100%, $E$9)</f>
        <v>9.0862999999999996</v>
      </c>
      <c r="M220" s="10">
        <f>CHOOSE(CONTROL!$C$42, 8.1578, 8.1578) * CHOOSE(CONTROL!$C$21, $C$9, 100%, $E$9)</f>
        <v>8.1577999999999999</v>
      </c>
      <c r="N220" s="10">
        <f>CHOOSE(CONTROL!$C$42, 8.1742, 8.1742) * CHOOSE(CONTROL!$C$21, $C$9, 100%, $E$9)</f>
        <v>8.1742000000000008</v>
      </c>
      <c r="O220" s="10">
        <f>CHOOSE(CONTROL!$C$42, 8.4224, 8.4224) * CHOOSE(CONTROL!$C$21, $C$9, 100%, $E$9)</f>
        <v>8.4223999999999997</v>
      </c>
      <c r="P220" s="10">
        <f>CHOOSE(CONTROL!$C$42, 8.1973, 8.1973) * CHOOSE(CONTROL!$C$21, $C$9, 100%, $E$9)</f>
        <v>8.1973000000000003</v>
      </c>
      <c r="Q220" s="10">
        <f>CHOOSE(CONTROL!$C$42, 9.0177, 9.0177) * CHOOSE(CONTROL!$C$21, $C$9, 100%, $E$9)</f>
        <v>9.0176999999999996</v>
      </c>
      <c r="R220" s="10">
        <f>CHOOSE(CONTROL!$C$42, 9.6272, 9.6272) * CHOOSE(CONTROL!$C$21, $C$9, 100%, $E$9)</f>
        <v>9.6272000000000002</v>
      </c>
      <c r="S220" s="10">
        <f>CHOOSE(CONTROL!$C$42, 8.0483, 8.0483) * CHOOSE(CONTROL!$C$21, $C$9, 100%, $E$9)</f>
        <v>8.0482999999999993</v>
      </c>
      <c r="T22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38">
        <f>(1000*CHOOSE(CONTROL!$C$42, 695, 695)*CHOOSE(CONTROL!$C$42, 0.5599, 0.5599)*CHOOSE(CONTROL!$C$42, 30, 30))/1000000</f>
        <v>11.673914999999997</v>
      </c>
      <c r="V220" s="38">
        <f>(1000*CHOOSE(CONTROL!$C$42, 500, 500)*CHOOSE(CONTROL!$C$42, 0.275, 0.275)*CHOOSE(CONTROL!$C$42, 30, 30))/1000000</f>
        <v>4.125</v>
      </c>
      <c r="W220" s="38">
        <f>(1000*CHOOSE(CONTROL!$C$42, 0.1146, 0.1146)*CHOOSE(CONTROL!$C$42, 121.5, 121.5)*CHOOSE(CONTROL!$C$42, 30, 30))/1000000</f>
        <v>0.417717</v>
      </c>
      <c r="X220" s="38">
        <f>(30*0.1790888*245000/1000000)+(30*0.2374*100000/1000000)</f>
        <v>2.0285026799999999</v>
      </c>
      <c r="Y220" s="38">
        <f>(1000*600*CHOOSE(CONTROL!$C$42, 1.6681, 1.6681)*CHOOSE(CONTROL!$C$42, 30, 30))/1000000</f>
        <v>30.0258</v>
      </c>
      <c r="Z220" s="38"/>
      <c r="AA220" s="10"/>
      <c r="AB220" s="39"/>
      <c r="AC220" s="33">
        <f>(B220*141.293+C220*267.993+D220*115.016+E220*89.698+F220*40+G220*185+H220*0+I220*100+J220*300)/(141.293+267.993+115.016+89.698+0+40+185+100+300)</f>
        <v>8.3035510754640836</v>
      </c>
      <c r="AD220" s="27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8.2414992805755407</v>
      </c>
    </row>
    <row r="221" spans="1:30" ht="15" x14ac:dyDescent="0.2">
      <c r="A221" s="16">
        <v>47969</v>
      </c>
      <c r="B221" s="10">
        <f>CHOOSE(CONTROL!$C$42, 8.3704, 8.3704) * CHOOSE(CONTROL!$C$21, $C$9, 100%, $E$9)</f>
        <v>8.3704000000000001</v>
      </c>
      <c r="C221" s="10">
        <f>CHOOSE(CONTROL!$C$42, 8.3784, 8.3784) * CHOOSE(CONTROL!$C$21, $C$9, 100%, $E$9)</f>
        <v>8.3783999999999992</v>
      </c>
      <c r="D221" s="10">
        <f>CHOOSE(CONTROL!$C$42, 8.5535, 8.5535) * CHOOSE(CONTROL!$C$21, $C$9, 100%, $E$9)</f>
        <v>8.5534999999999997</v>
      </c>
      <c r="E221" s="10">
        <f>CHOOSE(CONTROL!$C$42, 8.5847, 8.5847) * CHOOSE(CONTROL!$C$21, $C$9, 100%, $E$9)</f>
        <v>8.5846999999999998</v>
      </c>
      <c r="F221" s="10">
        <f>CHOOSE(CONTROL!$C$42, 8.3121, 8.3121)*CHOOSE(CONTROL!$C$21, $C$9, 100%, $E$9)</f>
        <v>8.3120999999999992</v>
      </c>
      <c r="G221" s="10">
        <f>CHOOSE(CONTROL!$C$42, 8.329, 8.329)*CHOOSE(CONTROL!$C$21, $C$9, 100%, $E$9)</f>
        <v>8.3290000000000006</v>
      </c>
      <c r="H221" s="10">
        <f>CHOOSE(CONTROL!$C$42, 8.5731, 8.5731) * CHOOSE(CONTROL!$C$21, $C$9, 100%, $E$9)</f>
        <v>8.5731000000000002</v>
      </c>
      <c r="I221" s="10">
        <f>CHOOSE(CONTROL!$C$42, 8.3451, 8.3451)* CHOOSE(CONTROL!$C$21, $C$9, 100%, $E$9)</f>
        <v>8.3451000000000004</v>
      </c>
      <c r="J221" s="10">
        <f>CHOOSE(CONTROL!$C$42, 8.3047, 8.3047)* CHOOSE(CONTROL!$C$21, $C$9, 100%, $E$9)</f>
        <v>8.3047000000000004</v>
      </c>
      <c r="K221" s="10">
        <f>CHOOSE(CONTROL!$C$42, 8.2412, 8.2412) * CHOOSE(CONTROL!$C$21, $C$9, 100%, $E$9)</f>
        <v>8.2411999999999992</v>
      </c>
      <c r="L221" s="10">
        <f>CHOOSE(CONTROL!$C$42, 9.1601, 9.1601) * CHOOSE(CONTROL!$C$21, $C$9, 100%, $E$9)</f>
        <v>9.1600999999999999</v>
      </c>
      <c r="M221" s="10">
        <f>CHOOSE(CONTROL!$C$42, 8.2302, 8.2302) * CHOOSE(CONTROL!$C$21, $C$9, 100%, $E$9)</f>
        <v>8.2302</v>
      </c>
      <c r="N221" s="10">
        <f>CHOOSE(CONTROL!$C$42, 8.2469, 8.2469) * CHOOSE(CONTROL!$C$21, $C$9, 100%, $E$9)</f>
        <v>8.2469000000000001</v>
      </c>
      <c r="O221" s="10">
        <f>CHOOSE(CONTROL!$C$42, 8.4951, 8.4951) * CHOOSE(CONTROL!$C$21, $C$9, 100%, $E$9)</f>
        <v>8.4951000000000008</v>
      </c>
      <c r="P221" s="10">
        <f>CHOOSE(CONTROL!$C$42, 8.2701, 8.2701) * CHOOSE(CONTROL!$C$21, $C$9, 100%, $E$9)</f>
        <v>8.2700999999999993</v>
      </c>
      <c r="Q221" s="10">
        <f>CHOOSE(CONTROL!$C$42, 9.0904, 9.0904) * CHOOSE(CONTROL!$C$21, $C$9, 100%, $E$9)</f>
        <v>9.0904000000000007</v>
      </c>
      <c r="R221" s="10">
        <f>CHOOSE(CONTROL!$C$42, 9.7002, 9.7002) * CHOOSE(CONTROL!$C$21, $C$9, 100%, $E$9)</f>
        <v>9.7002000000000006</v>
      </c>
      <c r="S221" s="10">
        <f>CHOOSE(CONTROL!$C$42, 8.1197, 8.1197) * CHOOSE(CONTROL!$C$21, $C$9, 100%, $E$9)</f>
        <v>8.1196999999999999</v>
      </c>
      <c r="T22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38">
        <f>(1000*CHOOSE(CONTROL!$C$42, 695, 695)*CHOOSE(CONTROL!$C$42, 0.5599, 0.5599)*CHOOSE(CONTROL!$C$42, 31, 31))/1000000</f>
        <v>12.063045499999998</v>
      </c>
      <c r="V221" s="38">
        <f>(1000*CHOOSE(CONTROL!$C$42, 500, 500)*CHOOSE(CONTROL!$C$42, 0.275, 0.275)*CHOOSE(CONTROL!$C$42, 31, 31))/1000000</f>
        <v>4.2625000000000002</v>
      </c>
      <c r="W221" s="38">
        <f>(1000*CHOOSE(CONTROL!$C$42, 0.1146, 0.1146)*CHOOSE(CONTROL!$C$42, 121.5, 121.5)*CHOOSE(CONTROL!$C$42, 31, 31))/1000000</f>
        <v>0.43164089999999994</v>
      </c>
      <c r="X221" s="38">
        <f>(31*0.1790888*245000/1000000)+(31*0.2374*100000/1000000)</f>
        <v>2.0961194359999999</v>
      </c>
      <c r="Y221" s="38">
        <f>(1000*600*CHOOSE(CONTROL!$C$42, 1.6681, 1.6681)*CHOOSE(CONTROL!$C$42, 31, 31))/1000000</f>
        <v>31.02666</v>
      </c>
      <c r="Z221" s="38"/>
      <c r="AA221" s="10"/>
      <c r="AB221" s="39"/>
      <c r="AC221" s="33">
        <f>(B221*194.205+C221*267.466+D221*133.845+E221*53.484+F221*40+G221*185+H221*0+I221*100+J221*300)/(194.205+267.466+133.845+53.484+0+40+185+100+300)</f>
        <v>8.375013319230769</v>
      </c>
      <c r="AD221" s="27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8.3141100719424461</v>
      </c>
    </row>
    <row r="222" spans="1:30" ht="15" x14ac:dyDescent="0.2">
      <c r="A222" s="16">
        <v>48000</v>
      </c>
      <c r="B222" s="10">
        <f>CHOOSE(CONTROL!$C$42, 8.6082, 8.6082) * CHOOSE(CONTROL!$C$21, $C$9, 100%, $E$9)</f>
        <v>8.6082000000000001</v>
      </c>
      <c r="C222" s="10">
        <f>CHOOSE(CONTROL!$C$42, 8.6162, 8.6162) * CHOOSE(CONTROL!$C$21, $C$9, 100%, $E$9)</f>
        <v>8.6161999999999992</v>
      </c>
      <c r="D222" s="10">
        <f>CHOOSE(CONTROL!$C$42, 8.7914, 8.7914) * CHOOSE(CONTROL!$C$21, $C$9, 100%, $E$9)</f>
        <v>8.7913999999999994</v>
      </c>
      <c r="E222" s="10">
        <f>CHOOSE(CONTROL!$C$42, 8.8226, 8.8226) * CHOOSE(CONTROL!$C$21, $C$9, 100%, $E$9)</f>
        <v>8.8225999999999996</v>
      </c>
      <c r="F222" s="10">
        <f>CHOOSE(CONTROL!$C$42, 8.5501, 8.5501)*CHOOSE(CONTROL!$C$21, $C$9, 100%, $E$9)</f>
        <v>8.5501000000000005</v>
      </c>
      <c r="G222" s="10">
        <f>CHOOSE(CONTROL!$C$42, 8.5671, 8.5671)*CHOOSE(CONTROL!$C$21, $C$9, 100%, $E$9)</f>
        <v>8.5670999999999999</v>
      </c>
      <c r="H222" s="10">
        <f>CHOOSE(CONTROL!$C$42, 8.8109, 8.8109) * CHOOSE(CONTROL!$C$21, $C$9, 100%, $E$9)</f>
        <v>8.8109000000000002</v>
      </c>
      <c r="I222" s="10">
        <f>CHOOSE(CONTROL!$C$42, 8.5829, 8.5829)* CHOOSE(CONTROL!$C$21, $C$9, 100%, $E$9)</f>
        <v>8.5829000000000004</v>
      </c>
      <c r="J222" s="10">
        <f>CHOOSE(CONTROL!$C$42, 8.5427, 8.5427)* CHOOSE(CONTROL!$C$21, $C$9, 100%, $E$9)</f>
        <v>8.5427</v>
      </c>
      <c r="K222" s="10">
        <f>CHOOSE(CONTROL!$C$42, 8.472, 8.472) * CHOOSE(CONTROL!$C$21, $C$9, 100%, $E$9)</f>
        <v>8.4719999999999995</v>
      </c>
      <c r="L222" s="10">
        <f>CHOOSE(CONTROL!$C$42, 9.3979, 9.3979) * CHOOSE(CONTROL!$C$21, $C$9, 100%, $E$9)</f>
        <v>9.3978999999999999</v>
      </c>
      <c r="M222" s="10">
        <f>CHOOSE(CONTROL!$C$42, 8.4652, 8.4652) * CHOOSE(CONTROL!$C$21, $C$9, 100%, $E$9)</f>
        <v>8.4651999999999994</v>
      </c>
      <c r="N222" s="10">
        <f>CHOOSE(CONTROL!$C$42, 8.4819, 8.4819) * CHOOSE(CONTROL!$C$21, $C$9, 100%, $E$9)</f>
        <v>8.4818999999999996</v>
      </c>
      <c r="O222" s="10">
        <f>CHOOSE(CONTROL!$C$42, 8.7299, 8.7299) * CHOOSE(CONTROL!$C$21, $C$9, 100%, $E$9)</f>
        <v>8.7299000000000007</v>
      </c>
      <c r="P222" s="10">
        <f>CHOOSE(CONTROL!$C$42, 8.5049, 8.5049) * CHOOSE(CONTROL!$C$21, $C$9, 100%, $E$9)</f>
        <v>8.5048999999999992</v>
      </c>
      <c r="Q222" s="10">
        <f>CHOOSE(CONTROL!$C$42, 9.3252, 9.3252) * CHOOSE(CONTROL!$C$21, $C$9, 100%, $E$9)</f>
        <v>9.3252000000000006</v>
      </c>
      <c r="R222" s="10">
        <f>CHOOSE(CONTROL!$C$42, 9.9355, 9.9355) * CHOOSE(CONTROL!$C$21, $C$9, 100%, $E$9)</f>
        <v>9.9354999999999993</v>
      </c>
      <c r="S222" s="10">
        <f>CHOOSE(CONTROL!$C$42, 8.35, 8.35) * CHOOSE(CONTROL!$C$21, $C$9, 100%, $E$9)</f>
        <v>8.35</v>
      </c>
      <c r="T22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38">
        <f>(1000*CHOOSE(CONTROL!$C$42, 695, 695)*CHOOSE(CONTROL!$C$42, 0.5599, 0.5599)*CHOOSE(CONTROL!$C$42, 30, 30))/1000000</f>
        <v>11.673914999999997</v>
      </c>
      <c r="V222" s="38">
        <f>(1000*CHOOSE(CONTROL!$C$42, 500, 500)*CHOOSE(CONTROL!$C$42, 0.275, 0.275)*CHOOSE(CONTROL!$C$42, 30, 30))/1000000</f>
        <v>4.125</v>
      </c>
      <c r="W222" s="38">
        <f>(1000*CHOOSE(CONTROL!$C$42, 0.1146, 0.1146)*CHOOSE(CONTROL!$C$42, 121.5, 121.5)*CHOOSE(CONTROL!$C$42, 30, 30))/1000000</f>
        <v>0.417717</v>
      </c>
      <c r="X222" s="38">
        <f>(30*0.1790888*245000/1000000)+(30*0.2374*100000/1000000)</f>
        <v>2.0285026799999999</v>
      </c>
      <c r="Y222" s="38">
        <f>(1000*600*CHOOSE(CONTROL!$C$42, 1.6681, 1.6681)*CHOOSE(CONTROL!$C$42, 30, 30))/1000000</f>
        <v>30.0258</v>
      </c>
      <c r="Z222" s="38"/>
      <c r="AA222" s="10"/>
      <c r="AB222" s="39"/>
      <c r="AC222" s="33">
        <f>(B222*194.205+C222*267.466+D222*133.845+E222*53.484+F222*40+G222*185+H222*0+I222*100+J222*300)/(194.205+267.466+133.845+53.484+0+40+185+100+300)</f>
        <v>8.6129249620094175</v>
      </c>
      <c r="AD222" s="27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8.5490251798561143</v>
      </c>
    </row>
    <row r="223" spans="1:30" ht="15" x14ac:dyDescent="0.2">
      <c r="A223" s="16">
        <v>48030</v>
      </c>
      <c r="B223" s="10">
        <f>CHOOSE(CONTROL!$C$42, 8.4428, 8.4428) * CHOOSE(CONTROL!$C$21, $C$9, 100%, $E$9)</f>
        <v>8.4428000000000001</v>
      </c>
      <c r="C223" s="10">
        <f>CHOOSE(CONTROL!$C$42, 8.4508, 8.4508) * CHOOSE(CONTROL!$C$21, $C$9, 100%, $E$9)</f>
        <v>8.4507999999999992</v>
      </c>
      <c r="D223" s="10">
        <f>CHOOSE(CONTROL!$C$42, 8.6259, 8.6259) * CHOOSE(CONTROL!$C$21, $C$9, 100%, $E$9)</f>
        <v>8.6258999999999997</v>
      </c>
      <c r="E223" s="10">
        <f>CHOOSE(CONTROL!$C$42, 8.6572, 8.6572) * CHOOSE(CONTROL!$C$21, $C$9, 100%, $E$9)</f>
        <v>8.6571999999999996</v>
      </c>
      <c r="F223" s="10">
        <f>CHOOSE(CONTROL!$C$42, 8.385, 8.385)*CHOOSE(CONTROL!$C$21, $C$9, 100%, $E$9)</f>
        <v>8.3849999999999998</v>
      </c>
      <c r="G223" s="10">
        <f>CHOOSE(CONTROL!$C$42, 8.4021, 8.4021)*CHOOSE(CONTROL!$C$21, $C$9, 100%, $E$9)</f>
        <v>8.4021000000000008</v>
      </c>
      <c r="H223" s="10">
        <f>CHOOSE(CONTROL!$C$42, 8.6455, 8.6455) * CHOOSE(CONTROL!$C$21, $C$9, 100%, $E$9)</f>
        <v>8.6455000000000002</v>
      </c>
      <c r="I223" s="10">
        <f>CHOOSE(CONTROL!$C$42, 8.4175, 8.4175)* CHOOSE(CONTROL!$C$21, $C$9, 100%, $E$9)</f>
        <v>8.4175000000000004</v>
      </c>
      <c r="J223" s="10">
        <f>CHOOSE(CONTROL!$C$42, 8.3776, 8.3776)* CHOOSE(CONTROL!$C$21, $C$9, 100%, $E$9)</f>
        <v>8.3775999999999993</v>
      </c>
      <c r="K223" s="10">
        <f>CHOOSE(CONTROL!$C$42, 8.3125, 8.3125) * CHOOSE(CONTROL!$C$21, $C$9, 100%, $E$9)</f>
        <v>8.3125</v>
      </c>
      <c r="L223" s="10">
        <f>CHOOSE(CONTROL!$C$42, 9.2325, 9.2325) * CHOOSE(CONTROL!$C$21, $C$9, 100%, $E$9)</f>
        <v>9.2324999999999999</v>
      </c>
      <c r="M223" s="10">
        <f>CHOOSE(CONTROL!$C$42, 8.3022, 8.3022) * CHOOSE(CONTROL!$C$21, $C$9, 100%, $E$9)</f>
        <v>8.3021999999999991</v>
      </c>
      <c r="N223" s="10">
        <f>CHOOSE(CONTROL!$C$42, 8.3191, 8.3191) * CHOOSE(CONTROL!$C$21, $C$9, 100%, $E$9)</f>
        <v>8.3191000000000006</v>
      </c>
      <c r="O223" s="10">
        <f>CHOOSE(CONTROL!$C$42, 8.5666, 8.5666) * CHOOSE(CONTROL!$C$21, $C$9, 100%, $E$9)</f>
        <v>8.5665999999999993</v>
      </c>
      <c r="P223" s="10">
        <f>CHOOSE(CONTROL!$C$42, 8.3416, 8.3416) * CHOOSE(CONTROL!$C$21, $C$9, 100%, $E$9)</f>
        <v>8.3415999999999997</v>
      </c>
      <c r="Q223" s="10">
        <f>CHOOSE(CONTROL!$C$42, 9.1619, 9.1619) * CHOOSE(CONTROL!$C$21, $C$9, 100%, $E$9)</f>
        <v>9.1618999999999993</v>
      </c>
      <c r="R223" s="10">
        <f>CHOOSE(CONTROL!$C$42, 9.7718, 9.7718) * CHOOSE(CONTROL!$C$21, $C$9, 100%, $E$9)</f>
        <v>9.7718000000000007</v>
      </c>
      <c r="S223" s="10">
        <f>CHOOSE(CONTROL!$C$42, 8.1898, 8.1898) * CHOOSE(CONTROL!$C$21, $C$9, 100%, $E$9)</f>
        <v>8.1898</v>
      </c>
      <c r="T22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38">
        <f>(1000*CHOOSE(CONTROL!$C$42, 695, 695)*CHOOSE(CONTROL!$C$42, 0.5599, 0.5599)*CHOOSE(CONTROL!$C$42, 31, 31))/1000000</f>
        <v>12.063045499999998</v>
      </c>
      <c r="V223" s="38">
        <f>(1000*CHOOSE(CONTROL!$C$42, 500, 500)*CHOOSE(CONTROL!$C$42, 0.275, 0.275)*CHOOSE(CONTROL!$C$42, 31, 31))/1000000</f>
        <v>4.2625000000000002</v>
      </c>
      <c r="W223" s="38">
        <f>(1000*CHOOSE(CONTROL!$C$42, 0.1146, 0.1146)*CHOOSE(CONTROL!$C$42, 121.5, 121.5)*CHOOSE(CONTROL!$C$42, 31, 31))/1000000</f>
        <v>0.43164089999999994</v>
      </c>
      <c r="X223" s="38">
        <f>(31*0.1790888*245000/1000000)+(31*0.2374*100000/1000000)</f>
        <v>2.0961194359999999</v>
      </c>
      <c r="Y223" s="38">
        <f>(1000*600*CHOOSE(CONTROL!$C$42, 1.6681, 1.6681)*CHOOSE(CONTROL!$C$42, 31, 31))/1000000</f>
        <v>31.02666</v>
      </c>
      <c r="Z223" s="38"/>
      <c r="AA223" s="10"/>
      <c r="AB223" s="39"/>
      <c r="AC223" s="33">
        <f>(B223*194.205+C223*267.466+D223*133.845+E223*53.484+F223*40+G223*185+H223*0+I223*100+J223*300)/(194.205+267.466+133.845+53.484+0+40+185+100+300)</f>
        <v>8.4476526036891659</v>
      </c>
      <c r="AD223" s="27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8.385943884892086</v>
      </c>
    </row>
    <row r="224" spans="1:30" ht="15" x14ac:dyDescent="0.2">
      <c r="A224" s="16">
        <v>48061</v>
      </c>
      <c r="B224" s="10">
        <f>CHOOSE(CONTROL!$C$42, 8.0251, 8.0251) * CHOOSE(CONTROL!$C$21, $C$9, 100%, $E$9)</f>
        <v>8.0251000000000001</v>
      </c>
      <c r="C224" s="10">
        <f>CHOOSE(CONTROL!$C$42, 8.0331, 8.0331) * CHOOSE(CONTROL!$C$21, $C$9, 100%, $E$9)</f>
        <v>8.0330999999999992</v>
      </c>
      <c r="D224" s="10">
        <f>CHOOSE(CONTROL!$C$42, 8.2082, 8.2082) * CHOOSE(CONTROL!$C$21, $C$9, 100%, $E$9)</f>
        <v>8.2081999999999997</v>
      </c>
      <c r="E224" s="10">
        <f>CHOOSE(CONTROL!$C$42, 8.2394, 8.2394) * CHOOSE(CONTROL!$C$21, $C$9, 100%, $E$9)</f>
        <v>8.2393999999999998</v>
      </c>
      <c r="F224" s="10">
        <f>CHOOSE(CONTROL!$C$42, 7.9672, 7.9672)*CHOOSE(CONTROL!$C$21, $C$9, 100%, $E$9)</f>
        <v>7.9672000000000001</v>
      </c>
      <c r="G224" s="10">
        <f>CHOOSE(CONTROL!$C$42, 7.9842, 7.9842)*CHOOSE(CONTROL!$C$21, $C$9, 100%, $E$9)</f>
        <v>7.9842000000000004</v>
      </c>
      <c r="H224" s="10">
        <f>CHOOSE(CONTROL!$C$42, 8.2278, 8.2278) * CHOOSE(CONTROL!$C$21, $C$9, 100%, $E$9)</f>
        <v>8.2278000000000002</v>
      </c>
      <c r="I224" s="10">
        <f>CHOOSE(CONTROL!$C$42, 7.9998, 7.9998)* CHOOSE(CONTROL!$C$21, $C$9, 100%, $E$9)</f>
        <v>7.9997999999999996</v>
      </c>
      <c r="J224" s="10">
        <f>CHOOSE(CONTROL!$C$42, 7.9598, 7.9598)* CHOOSE(CONTROL!$C$21, $C$9, 100%, $E$9)</f>
        <v>7.9598000000000004</v>
      </c>
      <c r="K224" s="10">
        <f>CHOOSE(CONTROL!$C$42, 7.9076, 7.9076) * CHOOSE(CONTROL!$C$21, $C$9, 100%, $E$9)</f>
        <v>7.9076000000000004</v>
      </c>
      <c r="L224" s="10">
        <f>CHOOSE(CONTROL!$C$42, 8.8148, 8.8148) * CHOOSE(CONTROL!$C$21, $C$9, 100%, $E$9)</f>
        <v>8.8148</v>
      </c>
      <c r="M224" s="10">
        <f>CHOOSE(CONTROL!$C$42, 7.8898, 7.8898) * CHOOSE(CONTROL!$C$21, $C$9, 100%, $E$9)</f>
        <v>7.8898000000000001</v>
      </c>
      <c r="N224" s="10">
        <f>CHOOSE(CONTROL!$C$42, 7.9066, 7.9066) * CHOOSE(CONTROL!$C$21, $C$9, 100%, $E$9)</f>
        <v>7.9066000000000001</v>
      </c>
      <c r="O224" s="10">
        <f>CHOOSE(CONTROL!$C$42, 8.1543, 8.1543) * CHOOSE(CONTROL!$C$21, $C$9, 100%, $E$9)</f>
        <v>8.1542999999999992</v>
      </c>
      <c r="P224" s="10">
        <f>CHOOSE(CONTROL!$C$42, 7.9293, 7.9293) * CHOOSE(CONTROL!$C$21, $C$9, 100%, $E$9)</f>
        <v>7.9292999999999996</v>
      </c>
      <c r="Q224" s="10">
        <f>CHOOSE(CONTROL!$C$42, 8.7496, 8.7496) * CHOOSE(CONTROL!$C$21, $C$9, 100%, $E$9)</f>
        <v>8.7495999999999992</v>
      </c>
      <c r="R224" s="10">
        <f>CHOOSE(CONTROL!$C$42, 9.3585, 9.3585) * CHOOSE(CONTROL!$C$21, $C$9, 100%, $E$9)</f>
        <v>9.3584999999999994</v>
      </c>
      <c r="S224" s="10">
        <f>CHOOSE(CONTROL!$C$42, 7.7853, 7.7853) * CHOOSE(CONTROL!$C$21, $C$9, 100%, $E$9)</f>
        <v>7.7853000000000003</v>
      </c>
      <c r="T22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38">
        <f>(1000*CHOOSE(CONTROL!$C$42, 695, 695)*CHOOSE(CONTROL!$C$42, 0.5599, 0.5599)*CHOOSE(CONTROL!$C$42, 31, 31))/1000000</f>
        <v>12.063045499999998</v>
      </c>
      <c r="V224" s="38">
        <f>(1000*CHOOSE(CONTROL!$C$42, 500, 500)*CHOOSE(CONTROL!$C$42, 0.275, 0.275)*CHOOSE(CONTROL!$C$42, 31, 31))/1000000</f>
        <v>4.2625000000000002</v>
      </c>
      <c r="W224" s="38">
        <f>(1000*CHOOSE(CONTROL!$C$42, 0.1146, 0.1146)*CHOOSE(CONTROL!$C$42, 121.5, 121.5)*CHOOSE(CONTROL!$C$42, 31, 31))/1000000</f>
        <v>0.43164089999999994</v>
      </c>
      <c r="X224" s="38">
        <f>(31*0.1790888*245000/1000000)+(31*0.2374*100000/1000000)</f>
        <v>2.0961194359999999</v>
      </c>
      <c r="Y224" s="38">
        <f>(1000*600*CHOOSE(CONTROL!$C$42, 1.6681, 1.6681)*CHOOSE(CONTROL!$C$42, 31, 31))/1000000</f>
        <v>31.02666</v>
      </c>
      <c r="Z224" s="38"/>
      <c r="AA224" s="10"/>
      <c r="AB224" s="39"/>
      <c r="AC224" s="33">
        <f>(B224*194.205+C224*267.466+D224*133.845+E224*53.484+F224*40+G224*185+H224*0+I224*100+J224*300)/(194.205+267.466+133.845+53.484+0+40+185+100+300)</f>
        <v>8.0298926755886963</v>
      </c>
      <c r="AD224" s="27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7.9735633093525182</v>
      </c>
    </row>
    <row r="225" spans="1:30" ht="15" x14ac:dyDescent="0.2">
      <c r="A225" s="16">
        <v>48092</v>
      </c>
      <c r="B225" s="10">
        <f>CHOOSE(CONTROL!$C$42, 7.5147, 7.5147) * CHOOSE(CONTROL!$C$21, $C$9, 100%, $E$9)</f>
        <v>7.5147000000000004</v>
      </c>
      <c r="C225" s="10">
        <f>CHOOSE(CONTROL!$C$42, 7.5227, 7.5227) * CHOOSE(CONTROL!$C$21, $C$9, 100%, $E$9)</f>
        <v>7.5227000000000004</v>
      </c>
      <c r="D225" s="10">
        <f>CHOOSE(CONTROL!$C$42, 7.6978, 7.6978) * CHOOSE(CONTROL!$C$21, $C$9, 100%, $E$9)</f>
        <v>7.6978</v>
      </c>
      <c r="E225" s="10">
        <f>CHOOSE(CONTROL!$C$42, 7.7291, 7.7291) * CHOOSE(CONTROL!$C$21, $C$9, 100%, $E$9)</f>
        <v>7.7290999999999999</v>
      </c>
      <c r="F225" s="10">
        <f>CHOOSE(CONTROL!$C$42, 7.4565, 7.4565)*CHOOSE(CONTROL!$C$21, $C$9, 100%, $E$9)</f>
        <v>7.4565000000000001</v>
      </c>
      <c r="G225" s="10">
        <f>CHOOSE(CONTROL!$C$42, 7.4734, 7.4734)*CHOOSE(CONTROL!$C$21, $C$9, 100%, $E$9)</f>
        <v>7.4733999999999998</v>
      </c>
      <c r="H225" s="10">
        <f>CHOOSE(CONTROL!$C$42, 7.7174, 7.7174) * CHOOSE(CONTROL!$C$21, $C$9, 100%, $E$9)</f>
        <v>7.7173999999999996</v>
      </c>
      <c r="I225" s="10">
        <f>CHOOSE(CONTROL!$C$42, 7.4894, 7.4894)* CHOOSE(CONTROL!$C$21, $C$9, 100%, $E$9)</f>
        <v>7.4893999999999998</v>
      </c>
      <c r="J225" s="10">
        <f>CHOOSE(CONTROL!$C$42, 7.4491, 7.4491)* CHOOSE(CONTROL!$C$21, $C$9, 100%, $E$9)</f>
        <v>7.4490999999999996</v>
      </c>
      <c r="K225" s="10">
        <f>CHOOSE(CONTROL!$C$42, 7.4124, 7.4124) * CHOOSE(CONTROL!$C$21, $C$9, 100%, $E$9)</f>
        <v>7.4123999999999999</v>
      </c>
      <c r="L225" s="10">
        <f>CHOOSE(CONTROL!$C$42, 8.3044, 8.3044) * CHOOSE(CONTROL!$C$21, $C$9, 100%, $E$9)</f>
        <v>8.3043999999999993</v>
      </c>
      <c r="M225" s="10">
        <f>CHOOSE(CONTROL!$C$42, 7.3857, 7.3857) * CHOOSE(CONTROL!$C$21, $C$9, 100%, $E$9)</f>
        <v>7.3856999999999999</v>
      </c>
      <c r="N225" s="10">
        <f>CHOOSE(CONTROL!$C$42, 7.4024, 7.4024) * CHOOSE(CONTROL!$C$21, $C$9, 100%, $E$9)</f>
        <v>7.4024000000000001</v>
      </c>
      <c r="O225" s="10">
        <f>CHOOSE(CONTROL!$C$42, 7.6505, 7.6505) * CHOOSE(CONTROL!$C$21, $C$9, 100%, $E$9)</f>
        <v>7.6505000000000001</v>
      </c>
      <c r="P225" s="10">
        <f>CHOOSE(CONTROL!$C$42, 7.4255, 7.4255) * CHOOSE(CONTROL!$C$21, $C$9, 100%, $E$9)</f>
        <v>7.4255000000000004</v>
      </c>
      <c r="Q225" s="10">
        <f>CHOOSE(CONTROL!$C$42, 8.2458, 8.2458) * CHOOSE(CONTROL!$C$21, $C$9, 100%, $E$9)</f>
        <v>8.2457999999999991</v>
      </c>
      <c r="R225" s="10">
        <f>CHOOSE(CONTROL!$C$42, 8.8535, 8.8535) * CHOOSE(CONTROL!$C$21, $C$9, 100%, $E$9)</f>
        <v>8.8535000000000004</v>
      </c>
      <c r="S225" s="10">
        <f>CHOOSE(CONTROL!$C$42, 7.2911, 7.2911) * CHOOSE(CONTROL!$C$21, $C$9, 100%, $E$9)</f>
        <v>7.2911000000000001</v>
      </c>
      <c r="T22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38">
        <f>(1000*CHOOSE(CONTROL!$C$42, 695, 695)*CHOOSE(CONTROL!$C$42, 0.5599, 0.5599)*CHOOSE(CONTROL!$C$42, 30, 30))/1000000</f>
        <v>11.673914999999997</v>
      </c>
      <c r="V225" s="38">
        <f>(1000*CHOOSE(CONTROL!$C$42, 500, 500)*CHOOSE(CONTROL!$C$42, 0.275, 0.275)*CHOOSE(CONTROL!$C$42, 30, 30))/1000000</f>
        <v>4.125</v>
      </c>
      <c r="W225" s="38">
        <f>(1000*CHOOSE(CONTROL!$C$42, 0.1146, 0.1146)*CHOOSE(CONTROL!$C$42, 121.5, 121.5)*CHOOSE(CONTROL!$C$42, 30, 30))/1000000</f>
        <v>0.417717</v>
      </c>
      <c r="X225" s="38">
        <f>(30*0.1790888*245000/1000000)+(30*0.2374*100000/1000000)</f>
        <v>2.0285026799999999</v>
      </c>
      <c r="Y225" s="38">
        <f>(1000*600*CHOOSE(CONTROL!$C$42, 1.6681, 1.6681)*CHOOSE(CONTROL!$C$42, 30, 30))/1000000</f>
        <v>30.0258</v>
      </c>
      <c r="Z225" s="38"/>
      <c r="AA225" s="10"/>
      <c r="AB225" s="39"/>
      <c r="AC225" s="33">
        <f>(B225*194.205+C225*267.466+D225*133.845+E225*53.484+F225*40+G225*185+H225*0+I225*100+J225*300)/(194.205+267.466+133.845+53.484+0+40+185+100+300)</f>
        <v>7.5193587261381474</v>
      </c>
      <c r="AD225" s="27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7.4695676258992814</v>
      </c>
    </row>
    <row r="226" spans="1:30" ht="15" x14ac:dyDescent="0.2">
      <c r="A226" s="16">
        <v>48122</v>
      </c>
      <c r="B226" s="10">
        <f>CHOOSE(CONTROL!$C$42, 7.3598, 7.3598) * CHOOSE(CONTROL!$C$21, $C$9, 100%, $E$9)</f>
        <v>7.3597999999999999</v>
      </c>
      <c r="C226" s="10">
        <f>CHOOSE(CONTROL!$C$42, 7.3651, 7.3651) * CHOOSE(CONTROL!$C$21, $C$9, 100%, $E$9)</f>
        <v>7.3651</v>
      </c>
      <c r="D226" s="10">
        <f>CHOOSE(CONTROL!$C$42, 7.5451, 7.5451) * CHOOSE(CONTROL!$C$21, $C$9, 100%, $E$9)</f>
        <v>7.5450999999999997</v>
      </c>
      <c r="E226" s="10">
        <f>CHOOSE(CONTROL!$C$42, 7.574, 7.574) * CHOOSE(CONTROL!$C$21, $C$9, 100%, $E$9)</f>
        <v>7.5739999999999998</v>
      </c>
      <c r="F226" s="10">
        <f>CHOOSE(CONTROL!$C$42, 7.3035, 7.3035)*CHOOSE(CONTROL!$C$21, $C$9, 100%, $E$9)</f>
        <v>7.3034999999999997</v>
      </c>
      <c r="G226" s="10">
        <f>CHOOSE(CONTROL!$C$42, 7.3201, 7.3201)*CHOOSE(CONTROL!$C$21, $C$9, 100%, $E$9)</f>
        <v>7.3201000000000001</v>
      </c>
      <c r="H226" s="10">
        <f>CHOOSE(CONTROL!$C$42, 7.5641, 7.5641) * CHOOSE(CONTROL!$C$21, $C$9, 100%, $E$9)</f>
        <v>7.5640999999999998</v>
      </c>
      <c r="I226" s="10">
        <f>CHOOSE(CONTROL!$C$42, 7.3361, 7.3361)* CHOOSE(CONTROL!$C$21, $C$9, 100%, $E$9)</f>
        <v>7.3361000000000001</v>
      </c>
      <c r="J226" s="10">
        <f>CHOOSE(CONTROL!$C$42, 7.2961, 7.2961)* CHOOSE(CONTROL!$C$21, $C$9, 100%, $E$9)</f>
        <v>7.2961</v>
      </c>
      <c r="K226" s="10">
        <f>CHOOSE(CONTROL!$C$42, 7.2645, 7.2645) * CHOOSE(CONTROL!$C$21, $C$9, 100%, $E$9)</f>
        <v>7.2645</v>
      </c>
      <c r="L226" s="10">
        <f>CHOOSE(CONTROL!$C$42, 8.1511, 8.1511) * CHOOSE(CONTROL!$C$21, $C$9, 100%, $E$9)</f>
        <v>8.1510999999999996</v>
      </c>
      <c r="M226" s="10">
        <f>CHOOSE(CONTROL!$C$42, 7.2347, 7.2347) * CHOOSE(CONTROL!$C$21, $C$9, 100%, $E$9)</f>
        <v>7.2347000000000001</v>
      </c>
      <c r="N226" s="10">
        <f>CHOOSE(CONTROL!$C$42, 7.2511, 7.2511) * CHOOSE(CONTROL!$C$21, $C$9, 100%, $E$9)</f>
        <v>7.2511000000000001</v>
      </c>
      <c r="O226" s="10">
        <f>CHOOSE(CONTROL!$C$42, 7.4993, 7.4993) * CHOOSE(CONTROL!$C$21, $C$9, 100%, $E$9)</f>
        <v>7.4992999999999999</v>
      </c>
      <c r="P226" s="10">
        <f>CHOOSE(CONTROL!$C$42, 7.2743, 7.2743) * CHOOSE(CONTROL!$C$21, $C$9, 100%, $E$9)</f>
        <v>7.2743000000000002</v>
      </c>
      <c r="Q226" s="10">
        <f>CHOOSE(CONTROL!$C$42, 8.0946, 8.0946) * CHOOSE(CONTROL!$C$21, $C$9, 100%, $E$9)</f>
        <v>8.0945999999999998</v>
      </c>
      <c r="R226" s="10">
        <f>CHOOSE(CONTROL!$C$42, 8.7018, 8.7018) * CHOOSE(CONTROL!$C$21, $C$9, 100%, $E$9)</f>
        <v>8.7018000000000004</v>
      </c>
      <c r="S226" s="10">
        <f>CHOOSE(CONTROL!$C$42, 7.1427, 7.1427) * CHOOSE(CONTROL!$C$21, $C$9, 100%, $E$9)</f>
        <v>7.1426999999999996</v>
      </c>
      <c r="T22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38">
        <f>(1000*CHOOSE(CONTROL!$C$42, 695, 695)*CHOOSE(CONTROL!$C$42, 0.5599, 0.5599)*CHOOSE(CONTROL!$C$42, 31, 31))/1000000</f>
        <v>12.063045499999998</v>
      </c>
      <c r="V226" s="38">
        <f>(1000*CHOOSE(CONTROL!$C$42, 500, 500)*CHOOSE(CONTROL!$C$42, 0.275, 0.275)*CHOOSE(CONTROL!$C$42, 31, 31))/1000000</f>
        <v>4.2625000000000002</v>
      </c>
      <c r="W226" s="38">
        <f>(1000*CHOOSE(CONTROL!$C$42, 0.1146, 0.1146)*CHOOSE(CONTROL!$C$42, 121.5, 121.5)*CHOOSE(CONTROL!$C$42, 31, 31))/1000000</f>
        <v>0.43164089999999994</v>
      </c>
      <c r="X226" s="38">
        <f>(31*0.1790888*245000/1000000)+(31*0.2374*100000/1000000)</f>
        <v>2.0961194359999999</v>
      </c>
      <c r="Y226" s="38">
        <f>(1000*600*CHOOSE(CONTROL!$C$42, 1.6681, 1.6681)*CHOOSE(CONTROL!$C$42, 31, 31))/1000000</f>
        <v>31.02666</v>
      </c>
      <c r="Z226" s="38"/>
      <c r="AA226" s="10"/>
      <c r="AB226" s="39"/>
      <c r="AC226" s="33">
        <f>(B226*131.881+C226*277.167+D226*79.08+E226*125.872+F226*40+G226*185+H226*0+I226*100+J226*300)/(131.881+277.167+79.08+125.872+0+40+185+100+300)</f>
        <v>7.3694915185633576</v>
      </c>
      <c r="AD226" s="27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7.318413669064749</v>
      </c>
    </row>
    <row r="227" spans="1:30" ht="15" x14ac:dyDescent="0.2">
      <c r="A227" s="16">
        <v>48153</v>
      </c>
      <c r="B227" s="10">
        <f>CHOOSE(CONTROL!$C$42, 7.5537, 7.5537) * CHOOSE(CONTROL!$C$21, $C$9, 100%, $E$9)</f>
        <v>7.5537000000000001</v>
      </c>
      <c r="C227" s="10">
        <f>CHOOSE(CONTROL!$C$42, 7.5588, 7.5588) * CHOOSE(CONTROL!$C$21, $C$9, 100%, $E$9)</f>
        <v>7.5587999999999997</v>
      </c>
      <c r="D227" s="10">
        <f>CHOOSE(CONTROL!$C$42, 7.5834, 7.5834) * CHOOSE(CONTROL!$C$21, $C$9, 100%, $E$9)</f>
        <v>7.5834000000000001</v>
      </c>
      <c r="E227" s="10">
        <f>CHOOSE(CONTROL!$C$42, 7.6172, 7.6172) * CHOOSE(CONTROL!$C$21, $C$9, 100%, $E$9)</f>
        <v>7.6172000000000004</v>
      </c>
      <c r="F227" s="10">
        <f>CHOOSE(CONTROL!$C$42, 7.5193, 7.5193)*CHOOSE(CONTROL!$C$21, $C$9, 100%, $E$9)</f>
        <v>7.5193000000000003</v>
      </c>
      <c r="G227" s="10">
        <f>CHOOSE(CONTROL!$C$42, 7.5361, 7.5361)*CHOOSE(CONTROL!$C$21, $C$9, 100%, $E$9)</f>
        <v>7.5361000000000002</v>
      </c>
      <c r="H227" s="10">
        <f>CHOOSE(CONTROL!$C$42, 7.6061, 7.6061) * CHOOSE(CONTROL!$C$21, $C$9, 100%, $E$9)</f>
        <v>7.6060999999999996</v>
      </c>
      <c r="I227" s="10">
        <f>CHOOSE(CONTROL!$C$42, 7.5532, 7.5532)* CHOOSE(CONTROL!$C$21, $C$9, 100%, $E$9)</f>
        <v>7.5532000000000004</v>
      </c>
      <c r="J227" s="10">
        <f>CHOOSE(CONTROL!$C$42, 7.5119, 7.5119)* CHOOSE(CONTROL!$C$21, $C$9, 100%, $E$9)</f>
        <v>7.5118999999999998</v>
      </c>
      <c r="K227" s="10">
        <f>CHOOSE(CONTROL!$C$42, 7.4766, 7.4766) * CHOOSE(CONTROL!$C$21, $C$9, 100%, $E$9)</f>
        <v>7.4766000000000004</v>
      </c>
      <c r="L227" s="10">
        <f>CHOOSE(CONTROL!$C$42, 8.1931, 8.1931) * CHOOSE(CONTROL!$C$21, $C$9, 100%, $E$9)</f>
        <v>8.1930999999999994</v>
      </c>
      <c r="M227" s="10">
        <f>CHOOSE(CONTROL!$C$42, 7.4477, 7.4477) * CHOOSE(CONTROL!$C$21, $C$9, 100%, $E$9)</f>
        <v>7.4477000000000002</v>
      </c>
      <c r="N227" s="10">
        <f>CHOOSE(CONTROL!$C$42, 7.4643, 7.4643) * CHOOSE(CONTROL!$C$21, $C$9, 100%, $E$9)</f>
        <v>7.4642999999999997</v>
      </c>
      <c r="O227" s="10">
        <f>CHOOSE(CONTROL!$C$42, 7.5407, 7.5407) * CHOOSE(CONTROL!$C$21, $C$9, 100%, $E$9)</f>
        <v>7.5407000000000002</v>
      </c>
      <c r="P227" s="10">
        <f>CHOOSE(CONTROL!$C$42, 7.4885, 7.4885) * CHOOSE(CONTROL!$C$21, $C$9, 100%, $E$9)</f>
        <v>7.4885000000000002</v>
      </c>
      <c r="Q227" s="10">
        <f>CHOOSE(CONTROL!$C$42, 8.136, 8.136) * CHOOSE(CONTROL!$C$21, $C$9, 100%, $E$9)</f>
        <v>8.1359999999999992</v>
      </c>
      <c r="R227" s="10">
        <f>CHOOSE(CONTROL!$C$42, 8.7433, 8.7433) * CHOOSE(CONTROL!$C$21, $C$9, 100%, $E$9)</f>
        <v>8.7432999999999996</v>
      </c>
      <c r="S227" s="10">
        <f>CHOOSE(CONTROL!$C$42, 7.3309, 7.3309) * CHOOSE(CONTROL!$C$21, $C$9, 100%, $E$9)</f>
        <v>7.3308999999999997</v>
      </c>
      <c r="T22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38">
        <f>(1000*CHOOSE(CONTROL!$C$42, 695, 695)*CHOOSE(CONTROL!$C$42, 0.5599, 0.5599)*CHOOSE(CONTROL!$C$42, 30, 30))/1000000</f>
        <v>11.673914999999997</v>
      </c>
      <c r="V227" s="38">
        <f>(1000*CHOOSE(CONTROL!$C$42, 500, 500)*CHOOSE(CONTROL!$C$42, 0.275, 0.275)*CHOOSE(CONTROL!$C$42, 30, 30))/1000000</f>
        <v>4.125</v>
      </c>
      <c r="W227" s="38">
        <f>(1000*CHOOSE(CONTROL!$C$42, 0.1146, 0.1146)*CHOOSE(CONTROL!$C$42, 121.5, 121.5)*CHOOSE(CONTROL!$C$42, 30, 30))/1000000</f>
        <v>0.417717</v>
      </c>
      <c r="X227" s="38">
        <f>(30*0.1790888*100000/1000000)+(30*0.2374*100000/1000000)</f>
        <v>1.2494664</v>
      </c>
      <c r="Y227" s="38">
        <f>(1000*600*CHOOSE(CONTROL!$C$42, 1.6681, 1.6681)*CHOOSE(CONTROL!$C$42, 30, 30))/1000000</f>
        <v>30.0258</v>
      </c>
      <c r="Z227" s="38"/>
      <c r="AA227" s="10"/>
      <c r="AB227" s="39"/>
      <c r="AC227" s="33">
        <f>(B227*122.58+C227*297.941+D227*89.177+E227*40.302+F227*40+G227*160+H227*0+I227*100+J227*300)/(122.58+297.941+89.177+40.302+0+40+160+100+300)</f>
        <v>7.5449567243478253</v>
      </c>
      <c r="AD227" s="27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7.4966769784172671</v>
      </c>
    </row>
    <row r="228" spans="1:30" ht="15" x14ac:dyDescent="0.2">
      <c r="A228" s="16">
        <v>48183</v>
      </c>
      <c r="B228" s="10">
        <f>CHOOSE(CONTROL!$C$42, 8.0698, 8.0698) * CHOOSE(CONTROL!$C$21, $C$9, 100%, $E$9)</f>
        <v>8.0698000000000008</v>
      </c>
      <c r="C228" s="10">
        <f>CHOOSE(CONTROL!$C$42, 8.0749, 8.0749) * CHOOSE(CONTROL!$C$21, $C$9, 100%, $E$9)</f>
        <v>8.0748999999999995</v>
      </c>
      <c r="D228" s="10">
        <f>CHOOSE(CONTROL!$C$42, 8.0996, 8.0996) * CHOOSE(CONTROL!$C$21, $C$9, 100%, $E$9)</f>
        <v>8.0996000000000006</v>
      </c>
      <c r="E228" s="10">
        <f>CHOOSE(CONTROL!$C$42, 8.1334, 8.1334) * CHOOSE(CONTROL!$C$21, $C$9, 100%, $E$9)</f>
        <v>8.1334</v>
      </c>
      <c r="F228" s="10">
        <f>CHOOSE(CONTROL!$C$42, 8.0372, 8.0372)*CHOOSE(CONTROL!$C$21, $C$9, 100%, $E$9)</f>
        <v>8.0372000000000003</v>
      </c>
      <c r="G228" s="10">
        <f>CHOOSE(CONTROL!$C$42, 8.0545, 8.0545)*CHOOSE(CONTROL!$C$21, $C$9, 100%, $E$9)</f>
        <v>8.0545000000000009</v>
      </c>
      <c r="H228" s="10">
        <f>CHOOSE(CONTROL!$C$42, 8.1222, 8.1222) * CHOOSE(CONTROL!$C$21, $C$9, 100%, $E$9)</f>
        <v>8.1221999999999994</v>
      </c>
      <c r="I228" s="10">
        <f>CHOOSE(CONTROL!$C$42, 8.0693, 8.0693)* CHOOSE(CONTROL!$C$21, $C$9, 100%, $E$9)</f>
        <v>8.0693000000000001</v>
      </c>
      <c r="J228" s="10">
        <f>CHOOSE(CONTROL!$C$42, 8.0298, 8.0298)* CHOOSE(CONTROL!$C$21, $C$9, 100%, $E$9)</f>
        <v>8.0297999999999998</v>
      </c>
      <c r="K228" s="10">
        <f>CHOOSE(CONTROL!$C$42, 7.9805, 7.9805) * CHOOSE(CONTROL!$C$21, $C$9, 100%, $E$9)</f>
        <v>7.9805000000000001</v>
      </c>
      <c r="L228" s="10">
        <f>CHOOSE(CONTROL!$C$42, 8.7092, 8.7092) * CHOOSE(CONTROL!$C$21, $C$9, 100%, $E$9)</f>
        <v>8.7091999999999992</v>
      </c>
      <c r="M228" s="10">
        <f>CHOOSE(CONTROL!$C$42, 7.9589, 7.9589) * CHOOSE(CONTROL!$C$21, $C$9, 100%, $E$9)</f>
        <v>7.9588999999999999</v>
      </c>
      <c r="N228" s="10">
        <f>CHOOSE(CONTROL!$C$42, 7.976, 7.976) * CHOOSE(CONTROL!$C$21, $C$9, 100%, $E$9)</f>
        <v>7.976</v>
      </c>
      <c r="O228" s="10">
        <f>CHOOSE(CONTROL!$C$42, 8.0501, 8.0501) * CHOOSE(CONTROL!$C$21, $C$9, 100%, $E$9)</f>
        <v>8.0501000000000005</v>
      </c>
      <c r="P228" s="10">
        <f>CHOOSE(CONTROL!$C$42, 7.9979, 7.9979) * CHOOSE(CONTROL!$C$21, $C$9, 100%, $E$9)</f>
        <v>7.9978999999999996</v>
      </c>
      <c r="Q228" s="10">
        <f>CHOOSE(CONTROL!$C$42, 8.6454, 8.6454) * CHOOSE(CONTROL!$C$21, $C$9, 100%, $E$9)</f>
        <v>8.6454000000000004</v>
      </c>
      <c r="R228" s="10">
        <f>CHOOSE(CONTROL!$C$42, 9.2541, 9.2541) * CHOOSE(CONTROL!$C$21, $C$9, 100%, $E$9)</f>
        <v>9.2540999999999993</v>
      </c>
      <c r="S228" s="10">
        <f>CHOOSE(CONTROL!$C$42, 7.8306, 7.8306) * CHOOSE(CONTROL!$C$21, $C$9, 100%, $E$9)</f>
        <v>7.8305999999999996</v>
      </c>
      <c r="T22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38">
        <f>(1000*CHOOSE(CONTROL!$C$42, 695, 695)*CHOOSE(CONTROL!$C$42, 0.5599, 0.5599)*CHOOSE(CONTROL!$C$42, 31, 31))/1000000</f>
        <v>12.063045499999998</v>
      </c>
      <c r="V228" s="38">
        <f>(1000*CHOOSE(CONTROL!$C$42, 500, 500)*CHOOSE(CONTROL!$C$42, 0.275, 0.275)*CHOOSE(CONTROL!$C$42, 31, 31))/1000000</f>
        <v>4.2625000000000002</v>
      </c>
      <c r="W228" s="38">
        <f>(1000*CHOOSE(CONTROL!$C$42, 0.1146, 0.1146)*CHOOSE(CONTROL!$C$42, 121.5, 121.5)*CHOOSE(CONTROL!$C$42, 31, 31))/1000000</f>
        <v>0.43164089999999994</v>
      </c>
      <c r="X228" s="38">
        <f>(31*0.1790888*100000/1000000)+(31*0.2374*100000/1000000)</f>
        <v>1.2911152800000001</v>
      </c>
      <c r="Y228" s="38">
        <f>(1000*600*CHOOSE(CONTROL!$C$42, 1.6681, 1.6681)*CHOOSE(CONTROL!$C$42, 31, 31))/1000000</f>
        <v>31.02666</v>
      </c>
      <c r="Z228" s="38"/>
      <c r="AA228" s="10"/>
      <c r="AB228" s="39"/>
      <c r="AC228" s="33">
        <f>(B228*122.58+C228*297.941+D228*89.177+E228*40.302+F228*40+G228*160+H228*0+I228*100+J228*300)/(122.58+297.941+89.177+40.302+0+40+160+100+300)</f>
        <v>8.061920157304348</v>
      </c>
      <c r="AD228" s="27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8.0068309352517986</v>
      </c>
    </row>
    <row r="229" spans="1:30" ht="15" x14ac:dyDescent="0.2">
      <c r="A229" s="16">
        <v>48214</v>
      </c>
      <c r="B229" s="10">
        <f>CHOOSE(CONTROL!$C$42, 8.6155, 8.6155) * CHOOSE(CONTROL!$C$21, $C$9, 100%, $E$9)</f>
        <v>8.6155000000000008</v>
      </c>
      <c r="C229" s="10">
        <f>CHOOSE(CONTROL!$C$42, 8.6206, 8.6206) * CHOOSE(CONTROL!$C$21, $C$9, 100%, $E$9)</f>
        <v>8.6205999999999996</v>
      </c>
      <c r="D229" s="10">
        <f>CHOOSE(CONTROL!$C$42, 8.6557, 8.6557) * CHOOSE(CONTROL!$C$21, $C$9, 100%, $E$9)</f>
        <v>8.6556999999999995</v>
      </c>
      <c r="E229" s="10">
        <f>CHOOSE(CONTROL!$C$42, 8.6895, 8.6895) * CHOOSE(CONTROL!$C$21, $C$9, 100%, $E$9)</f>
        <v>8.6895000000000007</v>
      </c>
      <c r="F229" s="10">
        <f>CHOOSE(CONTROL!$C$42, 8.5968, 8.5968)*CHOOSE(CONTROL!$C$21, $C$9, 100%, $E$9)</f>
        <v>8.5968</v>
      </c>
      <c r="G229" s="10">
        <f>CHOOSE(CONTROL!$C$42, 8.6157, 8.6157)*CHOOSE(CONTROL!$C$21, $C$9, 100%, $E$9)</f>
        <v>8.6157000000000004</v>
      </c>
      <c r="H229" s="10">
        <f>CHOOSE(CONTROL!$C$42, 8.6783, 8.6783) * CHOOSE(CONTROL!$C$21, $C$9, 100%, $E$9)</f>
        <v>8.6783000000000001</v>
      </c>
      <c r="I229" s="10">
        <f>CHOOSE(CONTROL!$C$42, 8.6228, 8.6228)* CHOOSE(CONTROL!$C$21, $C$9, 100%, $E$9)</f>
        <v>8.6227999999999998</v>
      </c>
      <c r="J229" s="10">
        <f>CHOOSE(CONTROL!$C$42, 8.5894, 8.5894)* CHOOSE(CONTROL!$C$21, $C$9, 100%, $E$9)</f>
        <v>8.5893999999999995</v>
      </c>
      <c r="K229" s="10">
        <f>CHOOSE(CONTROL!$C$42, 8.53, 8.53) * CHOOSE(CONTROL!$C$21, $C$9, 100%, $E$9)</f>
        <v>8.5299999999999994</v>
      </c>
      <c r="L229" s="10">
        <f>CHOOSE(CONTROL!$C$42, 9.2653, 9.2653) * CHOOSE(CONTROL!$C$21, $C$9, 100%, $E$9)</f>
        <v>9.2652999999999999</v>
      </c>
      <c r="M229" s="10">
        <f>CHOOSE(CONTROL!$C$42, 8.5113, 8.5113) * CHOOSE(CONTROL!$C$21, $C$9, 100%, $E$9)</f>
        <v>8.5113000000000003</v>
      </c>
      <c r="N229" s="10">
        <f>CHOOSE(CONTROL!$C$42, 8.5299, 8.5299) * CHOOSE(CONTROL!$C$21, $C$9, 100%, $E$9)</f>
        <v>8.5298999999999996</v>
      </c>
      <c r="O229" s="10">
        <f>CHOOSE(CONTROL!$C$42, 8.599, 8.599) * CHOOSE(CONTROL!$C$21, $C$9, 100%, $E$9)</f>
        <v>8.5990000000000002</v>
      </c>
      <c r="P229" s="10">
        <f>CHOOSE(CONTROL!$C$42, 8.5443, 8.5443) * CHOOSE(CONTROL!$C$21, $C$9, 100%, $E$9)</f>
        <v>8.5442999999999998</v>
      </c>
      <c r="Q229" s="10">
        <f>CHOOSE(CONTROL!$C$42, 9.1943, 9.1943) * CHOOSE(CONTROL!$C$21, $C$9, 100%, $E$9)</f>
        <v>9.1943000000000001</v>
      </c>
      <c r="R229" s="10">
        <f>CHOOSE(CONTROL!$C$42, 9.8043, 9.8043) * CHOOSE(CONTROL!$C$21, $C$9, 100%, $E$9)</f>
        <v>9.8042999999999996</v>
      </c>
      <c r="S229" s="10">
        <f>CHOOSE(CONTROL!$C$42, 8.3591, 8.3591) * CHOOSE(CONTROL!$C$21, $C$9, 100%, $E$9)</f>
        <v>8.3590999999999998</v>
      </c>
      <c r="T22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38">
        <f>(1000*CHOOSE(CONTROL!$C$42, 695, 695)*CHOOSE(CONTROL!$C$42, 0.5599, 0.5599)*CHOOSE(CONTROL!$C$42, 31, 31))/1000000</f>
        <v>12.063045499999998</v>
      </c>
      <c r="V229" s="38">
        <f>(1000*CHOOSE(CONTROL!$C$42, 500, 500)*CHOOSE(CONTROL!$C$42, 0.275, 0.275)*CHOOSE(CONTROL!$C$42, 31, 31))/1000000</f>
        <v>4.2625000000000002</v>
      </c>
      <c r="W229" s="38">
        <f>(1000*CHOOSE(CONTROL!$C$42, 0.1146, 0.1146)*CHOOSE(CONTROL!$C$42, 121.5, 121.5)*CHOOSE(CONTROL!$C$42, 31, 31))/1000000</f>
        <v>0.43164089999999994</v>
      </c>
      <c r="X229" s="38">
        <f>(31*0.1790888*100000/1000000)+(31*0.2374*100000/1000000)</f>
        <v>1.2911152800000001</v>
      </c>
      <c r="Y229" s="38">
        <f>(1000*600*CHOOSE(CONTROL!$C$42, 1.6597, 1.6597)*CHOOSE(CONTROL!$C$42, 31, 31))/1000000</f>
        <v>30.870419999999999</v>
      </c>
      <c r="Z229" s="38"/>
      <c r="AA229" s="10"/>
      <c r="AB229" s="39"/>
      <c r="AC229" s="33">
        <f>(B229*122.58+C229*297.941+D229*89.177+E229*40.302+F229*40+G229*160+H229*0+I229*100+J229*300)/(122.58+297.941+89.177+40.302+0+40+160+100+300)</f>
        <v>8.6157354456521755</v>
      </c>
      <c r="AD229" s="27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8.5568676258992813</v>
      </c>
    </row>
    <row r="230" spans="1:30" ht="15" x14ac:dyDescent="0.2">
      <c r="A230" s="16">
        <v>48245</v>
      </c>
      <c r="B230" s="10">
        <f>CHOOSE(CONTROL!$C$42, 8.7692, 8.7692) * CHOOSE(CONTROL!$C$21, $C$9, 100%, $E$9)</f>
        <v>8.7691999999999997</v>
      </c>
      <c r="C230" s="10">
        <f>CHOOSE(CONTROL!$C$42, 8.7743, 8.7743) * CHOOSE(CONTROL!$C$21, $C$9, 100%, $E$9)</f>
        <v>8.7743000000000002</v>
      </c>
      <c r="D230" s="10">
        <f>CHOOSE(CONTROL!$C$42, 8.8093, 8.8093) * CHOOSE(CONTROL!$C$21, $C$9, 100%, $E$9)</f>
        <v>8.8093000000000004</v>
      </c>
      <c r="E230" s="10">
        <f>CHOOSE(CONTROL!$C$42, 8.8431, 8.8431) * CHOOSE(CONTROL!$C$21, $C$9, 100%, $E$9)</f>
        <v>8.8430999999999997</v>
      </c>
      <c r="F230" s="10">
        <f>CHOOSE(CONTROL!$C$42, 8.75, 8.75)*CHOOSE(CONTROL!$C$21, $C$9, 100%, $E$9)</f>
        <v>8.75</v>
      </c>
      <c r="G230" s="10">
        <f>CHOOSE(CONTROL!$C$42, 8.7687, 8.7687)*CHOOSE(CONTROL!$C$21, $C$9, 100%, $E$9)</f>
        <v>8.7687000000000008</v>
      </c>
      <c r="H230" s="10">
        <f>CHOOSE(CONTROL!$C$42, 8.832, 8.832) * CHOOSE(CONTROL!$C$21, $C$9, 100%, $E$9)</f>
        <v>8.8320000000000007</v>
      </c>
      <c r="I230" s="10">
        <f>CHOOSE(CONTROL!$C$42, 8.7765, 8.7765)* CHOOSE(CONTROL!$C$21, $C$9, 100%, $E$9)</f>
        <v>8.7765000000000004</v>
      </c>
      <c r="J230" s="10">
        <f>CHOOSE(CONTROL!$C$42, 8.7426, 8.7426)* CHOOSE(CONTROL!$C$21, $C$9, 100%, $E$9)</f>
        <v>8.7425999999999995</v>
      </c>
      <c r="K230" s="10">
        <f>CHOOSE(CONTROL!$C$42, 8.6777, 8.6777) * CHOOSE(CONTROL!$C$21, $C$9, 100%, $E$9)</f>
        <v>8.6776999999999997</v>
      </c>
      <c r="L230" s="10">
        <f>CHOOSE(CONTROL!$C$42, 9.419, 9.419) * CHOOSE(CONTROL!$C$21, $C$9, 100%, $E$9)</f>
        <v>9.4190000000000005</v>
      </c>
      <c r="M230" s="10">
        <f>CHOOSE(CONTROL!$C$42, 8.6624, 8.6624) * CHOOSE(CONTROL!$C$21, $C$9, 100%, $E$9)</f>
        <v>8.6623999999999999</v>
      </c>
      <c r="N230" s="10">
        <f>CHOOSE(CONTROL!$C$42, 8.6809, 8.6809) * CHOOSE(CONTROL!$C$21, $C$9, 100%, $E$9)</f>
        <v>8.6808999999999994</v>
      </c>
      <c r="O230" s="10">
        <f>CHOOSE(CONTROL!$C$42, 8.7507, 8.7507) * CHOOSE(CONTROL!$C$21, $C$9, 100%, $E$9)</f>
        <v>8.7507000000000001</v>
      </c>
      <c r="P230" s="10">
        <f>CHOOSE(CONTROL!$C$42, 8.6959, 8.6959) * CHOOSE(CONTROL!$C$21, $C$9, 100%, $E$9)</f>
        <v>8.6959</v>
      </c>
      <c r="Q230" s="10">
        <f>CHOOSE(CONTROL!$C$42, 9.346, 9.346) * CHOOSE(CONTROL!$C$21, $C$9, 100%, $E$9)</f>
        <v>9.3460000000000001</v>
      </c>
      <c r="R230" s="10">
        <f>CHOOSE(CONTROL!$C$42, 9.9564, 9.9564) * CHOOSE(CONTROL!$C$21, $C$9, 100%, $E$9)</f>
        <v>9.9564000000000004</v>
      </c>
      <c r="S230" s="10">
        <f>CHOOSE(CONTROL!$C$42, 8.5079, 8.5079) * CHOOSE(CONTROL!$C$21, $C$9, 100%, $E$9)</f>
        <v>8.5078999999999994</v>
      </c>
      <c r="T23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30" s="38">
        <f>(1000*CHOOSE(CONTROL!$C$42, 695, 695)*CHOOSE(CONTROL!$C$42, 0.5599, 0.5599)*CHOOSE(CONTROL!$C$42, 29, 29))/1000000</f>
        <v>11.284784499999999</v>
      </c>
      <c r="V230" s="38">
        <f>(1000*CHOOSE(CONTROL!$C$42, 500, 500)*CHOOSE(CONTROL!$C$42, 0.275, 0.275)*CHOOSE(CONTROL!$C$42, 29, 29))/1000000</f>
        <v>3.9874999999999998</v>
      </c>
      <c r="W230" s="38">
        <f>(1000*CHOOSE(CONTROL!$C$42, 0.1146, 0.1146)*CHOOSE(CONTROL!$C$42, 121.5, 121.5)*CHOOSE(CONTROL!$C$42, 29, 29))/1000000</f>
        <v>0.40379309999999996</v>
      </c>
      <c r="X230" s="38">
        <f>(29*0.1790888*100000/1000000)+(29*0.2374*100000/1000000)</f>
        <v>1.2078175199999999</v>
      </c>
      <c r="Y230" s="38">
        <f>(1000*600*CHOOSE(CONTROL!$C$42, 1.6597, 1.6597)*CHOOSE(CONTROL!$C$42, 29, 29))/1000000</f>
        <v>28.878779999999999</v>
      </c>
      <c r="Z230" s="38"/>
      <c r="AA230" s="10"/>
      <c r="AB230" s="39"/>
      <c r="AC230" s="33">
        <f>(B230*122.58+C230*297.941+D230*89.177+E230*40.302+F230*40+G230*160+H230*0+I230*100+J230*300)/(122.58+297.941+89.177+40.302+0+40+160+100+300)</f>
        <v>8.7691789692173909</v>
      </c>
      <c r="AD230" s="27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8.7083057553956831</v>
      </c>
    </row>
    <row r="231" spans="1:30" ht="15" x14ac:dyDescent="0.2">
      <c r="A231" s="16">
        <v>48274</v>
      </c>
      <c r="B231" s="10">
        <f>CHOOSE(CONTROL!$C$42, 8.5198, 8.5198) * CHOOSE(CONTROL!$C$21, $C$9, 100%, $E$9)</f>
        <v>8.5198</v>
      </c>
      <c r="C231" s="10">
        <f>CHOOSE(CONTROL!$C$42, 8.5249, 8.5249) * CHOOSE(CONTROL!$C$21, $C$9, 100%, $E$9)</f>
        <v>8.5249000000000006</v>
      </c>
      <c r="D231" s="10">
        <f>CHOOSE(CONTROL!$C$42, 8.5599, 8.5599) * CHOOSE(CONTROL!$C$21, $C$9, 100%, $E$9)</f>
        <v>8.5599000000000007</v>
      </c>
      <c r="E231" s="10">
        <f>CHOOSE(CONTROL!$C$42, 8.5937, 8.5937) * CHOOSE(CONTROL!$C$21, $C$9, 100%, $E$9)</f>
        <v>8.5937000000000001</v>
      </c>
      <c r="F231" s="10">
        <f>CHOOSE(CONTROL!$C$42, 8.4992, 8.4992)*CHOOSE(CONTROL!$C$21, $C$9, 100%, $E$9)</f>
        <v>8.4992000000000001</v>
      </c>
      <c r="G231" s="10">
        <f>CHOOSE(CONTROL!$C$42, 8.5175, 8.5175)*CHOOSE(CONTROL!$C$21, $C$9, 100%, $E$9)</f>
        <v>8.5175000000000001</v>
      </c>
      <c r="H231" s="10">
        <f>CHOOSE(CONTROL!$C$42, 8.5826, 8.5826) * CHOOSE(CONTROL!$C$21, $C$9, 100%, $E$9)</f>
        <v>8.5825999999999993</v>
      </c>
      <c r="I231" s="10">
        <f>CHOOSE(CONTROL!$C$42, 8.527, 8.527)* CHOOSE(CONTROL!$C$21, $C$9, 100%, $E$9)</f>
        <v>8.5269999999999992</v>
      </c>
      <c r="J231" s="10">
        <f>CHOOSE(CONTROL!$C$42, 8.4918, 8.4918)* CHOOSE(CONTROL!$C$21, $C$9, 100%, $E$9)</f>
        <v>8.4917999999999996</v>
      </c>
      <c r="K231" s="10">
        <f>CHOOSE(CONTROL!$C$42, 8.433, 8.433) * CHOOSE(CONTROL!$C$21, $C$9, 100%, $E$9)</f>
        <v>8.4329999999999998</v>
      </c>
      <c r="L231" s="10">
        <f>CHOOSE(CONTROL!$C$42, 9.1696, 9.1696) * CHOOSE(CONTROL!$C$21, $C$9, 100%, $E$9)</f>
        <v>9.1696000000000009</v>
      </c>
      <c r="M231" s="10">
        <f>CHOOSE(CONTROL!$C$42, 8.4149, 8.4149) * CHOOSE(CONTROL!$C$21, $C$9, 100%, $E$9)</f>
        <v>8.4148999999999994</v>
      </c>
      <c r="N231" s="10">
        <f>CHOOSE(CONTROL!$C$42, 8.433, 8.433) * CHOOSE(CONTROL!$C$21, $C$9, 100%, $E$9)</f>
        <v>8.4329999999999998</v>
      </c>
      <c r="O231" s="10">
        <f>CHOOSE(CONTROL!$C$42, 8.5045, 8.5045) * CHOOSE(CONTROL!$C$21, $C$9, 100%, $E$9)</f>
        <v>8.5045000000000002</v>
      </c>
      <c r="P231" s="10">
        <f>CHOOSE(CONTROL!$C$42, 8.4497, 8.4497) * CHOOSE(CONTROL!$C$21, $C$9, 100%, $E$9)</f>
        <v>8.4497</v>
      </c>
      <c r="Q231" s="10">
        <f>CHOOSE(CONTROL!$C$42, 9.0998, 9.0998) * CHOOSE(CONTROL!$C$21, $C$9, 100%, $E$9)</f>
        <v>9.0998000000000001</v>
      </c>
      <c r="R231" s="10">
        <f>CHOOSE(CONTROL!$C$42, 9.7096, 9.7096) * CHOOSE(CONTROL!$C$21, $C$9, 100%, $E$9)</f>
        <v>9.7096</v>
      </c>
      <c r="S231" s="10">
        <f>CHOOSE(CONTROL!$C$42, 8.2664, 8.2664) * CHOOSE(CONTROL!$C$21, $C$9, 100%, $E$9)</f>
        <v>8.2664000000000009</v>
      </c>
      <c r="T23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38">
        <f>(1000*CHOOSE(CONTROL!$C$42, 695, 695)*CHOOSE(CONTROL!$C$42, 0.5599, 0.5599)*CHOOSE(CONTROL!$C$42, 31, 31))/1000000</f>
        <v>12.063045499999998</v>
      </c>
      <c r="V231" s="38">
        <f>(1000*CHOOSE(CONTROL!$C$42, 500, 500)*CHOOSE(CONTROL!$C$42, 0.275, 0.275)*CHOOSE(CONTROL!$C$42, 31, 31))/1000000</f>
        <v>4.2625000000000002</v>
      </c>
      <c r="W231" s="38">
        <f>(1000*CHOOSE(CONTROL!$C$42, 0.1146, 0.1146)*CHOOSE(CONTROL!$C$42, 121.5, 121.5)*CHOOSE(CONTROL!$C$42, 31, 31))/1000000</f>
        <v>0.43164089999999994</v>
      </c>
      <c r="X231" s="38">
        <f>(31*0.1790888*100000/1000000)+(31*0.2374*100000/1000000)</f>
        <v>1.2911152800000001</v>
      </c>
      <c r="Y231" s="38">
        <f>(1000*600*CHOOSE(CONTROL!$C$42, 1.6597, 1.6597)*CHOOSE(CONTROL!$C$42, 31, 31))/1000000</f>
        <v>30.870419999999999</v>
      </c>
      <c r="Z231" s="38"/>
      <c r="AA231" s="10"/>
      <c r="AB231" s="39"/>
      <c r="AC231" s="33">
        <f>(B231*122.58+C231*297.941+D231*89.177+E231*40.302+F231*40+G231*160+H231*0+I231*100+J231*300)/(122.58+297.941+89.177+40.302+0+40+160+100+300)</f>
        <v>8.5191059257391295</v>
      </c>
      <c r="AD231" s="27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8.461558992805756</v>
      </c>
    </row>
    <row r="232" spans="1:30" ht="15" x14ac:dyDescent="0.2">
      <c r="A232" s="16">
        <v>48305</v>
      </c>
      <c r="B232" s="10">
        <f>CHOOSE(CONTROL!$C$42, 8.495, 8.495) * CHOOSE(CONTROL!$C$21, $C$9, 100%, $E$9)</f>
        <v>8.4949999999999992</v>
      </c>
      <c r="C232" s="10">
        <f>CHOOSE(CONTROL!$C$42, 8.4995, 8.4995) * CHOOSE(CONTROL!$C$21, $C$9, 100%, $E$9)</f>
        <v>8.4994999999999994</v>
      </c>
      <c r="D232" s="10">
        <f>CHOOSE(CONTROL!$C$42, 8.6777, 8.6777) * CHOOSE(CONTROL!$C$21, $C$9, 100%, $E$9)</f>
        <v>8.6776999999999997</v>
      </c>
      <c r="E232" s="10">
        <f>CHOOSE(CONTROL!$C$42, 8.7096, 8.7096) * CHOOSE(CONTROL!$C$21, $C$9, 100%, $E$9)</f>
        <v>8.7096</v>
      </c>
      <c r="F232" s="10">
        <f>CHOOSE(CONTROL!$C$42, 8.4384, 8.4384)*CHOOSE(CONTROL!$C$21, $C$9, 100%, $E$9)</f>
        <v>8.4383999999999997</v>
      </c>
      <c r="G232" s="10">
        <f>CHOOSE(CONTROL!$C$42, 8.455, 8.455)*CHOOSE(CONTROL!$C$21, $C$9, 100%, $E$9)</f>
        <v>8.4550000000000001</v>
      </c>
      <c r="H232" s="10">
        <f>CHOOSE(CONTROL!$C$42, 8.699, 8.699) * CHOOSE(CONTROL!$C$21, $C$9, 100%, $E$9)</f>
        <v>8.6989999999999998</v>
      </c>
      <c r="I232" s="10">
        <f>CHOOSE(CONTROL!$C$42, 8.471, 8.471)* CHOOSE(CONTROL!$C$21, $C$9, 100%, $E$9)</f>
        <v>8.4710000000000001</v>
      </c>
      <c r="J232" s="10">
        <f>CHOOSE(CONTROL!$C$42, 8.431, 8.431)* CHOOSE(CONTROL!$C$21, $C$9, 100%, $E$9)</f>
        <v>8.4309999999999992</v>
      </c>
      <c r="K232" s="10">
        <f>CHOOSE(CONTROL!$C$42, 8.364, 8.364) * CHOOSE(CONTROL!$C$21, $C$9, 100%, $E$9)</f>
        <v>8.3640000000000008</v>
      </c>
      <c r="L232" s="10">
        <f>CHOOSE(CONTROL!$C$42, 9.286, 9.286) * CHOOSE(CONTROL!$C$21, $C$9, 100%, $E$9)</f>
        <v>9.2859999999999996</v>
      </c>
      <c r="M232" s="10">
        <f>CHOOSE(CONTROL!$C$42, 8.3549, 8.3549) * CHOOSE(CONTROL!$C$21, $C$9, 100%, $E$9)</f>
        <v>8.3549000000000007</v>
      </c>
      <c r="N232" s="10">
        <f>CHOOSE(CONTROL!$C$42, 8.3713, 8.3713) * CHOOSE(CONTROL!$C$21, $C$9, 100%, $E$9)</f>
        <v>8.3712999999999997</v>
      </c>
      <c r="O232" s="10">
        <f>CHOOSE(CONTROL!$C$42, 8.6195, 8.6195) * CHOOSE(CONTROL!$C$21, $C$9, 100%, $E$9)</f>
        <v>8.6195000000000004</v>
      </c>
      <c r="P232" s="10">
        <f>CHOOSE(CONTROL!$C$42, 8.3944, 8.3944) * CHOOSE(CONTROL!$C$21, $C$9, 100%, $E$9)</f>
        <v>8.3943999999999992</v>
      </c>
      <c r="Q232" s="10">
        <f>CHOOSE(CONTROL!$C$42, 9.2148, 9.2148) * CHOOSE(CONTROL!$C$21, $C$9, 100%, $E$9)</f>
        <v>9.2148000000000003</v>
      </c>
      <c r="R232" s="10">
        <f>CHOOSE(CONTROL!$C$42, 9.8248, 9.8248) * CHOOSE(CONTROL!$C$21, $C$9, 100%, $E$9)</f>
        <v>9.8247999999999998</v>
      </c>
      <c r="S232" s="10">
        <f>CHOOSE(CONTROL!$C$42, 8.2416, 8.2416) * CHOOSE(CONTROL!$C$21, $C$9, 100%, $E$9)</f>
        <v>8.2416</v>
      </c>
      <c r="T23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38">
        <f>(1000*CHOOSE(CONTROL!$C$42, 695, 695)*CHOOSE(CONTROL!$C$42, 0.5599, 0.5599)*CHOOSE(CONTROL!$C$42, 30, 30))/1000000</f>
        <v>11.673914999999997</v>
      </c>
      <c r="V232" s="38">
        <f>(1000*CHOOSE(CONTROL!$C$42, 500, 500)*CHOOSE(CONTROL!$C$42, 0.275, 0.275)*CHOOSE(CONTROL!$C$42, 30, 30))/1000000</f>
        <v>4.125</v>
      </c>
      <c r="W232" s="38">
        <f>(1000*CHOOSE(CONTROL!$C$42, 0.1146, 0.1146)*CHOOSE(CONTROL!$C$42, 121.5, 121.5)*CHOOSE(CONTROL!$C$42, 30, 30))/1000000</f>
        <v>0.417717</v>
      </c>
      <c r="X232" s="38">
        <f>(30*0.1790888*245000/1000000)+(30*0.2374*100000/1000000)</f>
        <v>2.0285026799999999</v>
      </c>
      <c r="Y232" s="38">
        <f>(1000*600*CHOOSE(CONTROL!$C$42, 1.6597, 1.6597)*CHOOSE(CONTROL!$C$42, 30, 30))/1000000</f>
        <v>29.874600000000001</v>
      </c>
      <c r="Z232" s="38"/>
      <c r="AA232" s="10"/>
      <c r="AB232" s="39"/>
      <c r="AC232" s="33">
        <f>(B232*141.293+C232*267.993+D232*115.016+E232*89.698+F232*40+G232*185+H232*0+I232*100+J232*300)/(141.293+267.993+115.016+89.698+0+40+185+100+300)</f>
        <v>8.503236144067797</v>
      </c>
      <c r="AD232" s="27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8.4385992805755379</v>
      </c>
    </row>
    <row r="233" spans="1:30" ht="15" x14ac:dyDescent="0.2">
      <c r="A233" s="16">
        <v>48335</v>
      </c>
      <c r="B233" s="10">
        <f>CHOOSE(CONTROL!$C$42, 8.5719, 8.5719) * CHOOSE(CONTROL!$C$21, $C$9, 100%, $E$9)</f>
        <v>8.5718999999999994</v>
      </c>
      <c r="C233" s="10">
        <f>CHOOSE(CONTROL!$C$42, 8.5799, 8.5799) * CHOOSE(CONTROL!$C$21, $C$9, 100%, $E$9)</f>
        <v>8.5799000000000003</v>
      </c>
      <c r="D233" s="10">
        <f>CHOOSE(CONTROL!$C$42, 8.755, 8.755) * CHOOSE(CONTROL!$C$21, $C$9, 100%, $E$9)</f>
        <v>8.7550000000000008</v>
      </c>
      <c r="E233" s="10">
        <f>CHOOSE(CONTROL!$C$42, 8.7862, 8.7862) * CHOOSE(CONTROL!$C$21, $C$9, 100%, $E$9)</f>
        <v>8.7861999999999991</v>
      </c>
      <c r="F233" s="10">
        <f>CHOOSE(CONTROL!$C$42, 8.5135, 8.5135)*CHOOSE(CONTROL!$C$21, $C$9, 100%, $E$9)</f>
        <v>8.5135000000000005</v>
      </c>
      <c r="G233" s="10">
        <f>CHOOSE(CONTROL!$C$42, 8.5304, 8.5304)*CHOOSE(CONTROL!$C$21, $C$9, 100%, $E$9)</f>
        <v>8.5304000000000002</v>
      </c>
      <c r="H233" s="10">
        <f>CHOOSE(CONTROL!$C$42, 8.7745, 8.7745) * CHOOSE(CONTROL!$C$21, $C$9, 100%, $E$9)</f>
        <v>8.7744999999999997</v>
      </c>
      <c r="I233" s="10">
        <f>CHOOSE(CONTROL!$C$42, 8.5465, 8.5465)* CHOOSE(CONTROL!$C$21, $C$9, 100%, $E$9)</f>
        <v>8.5465</v>
      </c>
      <c r="J233" s="10">
        <f>CHOOSE(CONTROL!$C$42, 8.5061, 8.5061)* CHOOSE(CONTROL!$C$21, $C$9, 100%, $E$9)</f>
        <v>8.5061</v>
      </c>
      <c r="K233" s="10">
        <f>CHOOSE(CONTROL!$C$42, 8.4363, 8.4363) * CHOOSE(CONTROL!$C$21, $C$9, 100%, $E$9)</f>
        <v>8.4362999999999992</v>
      </c>
      <c r="L233" s="10">
        <f>CHOOSE(CONTROL!$C$42, 9.3615, 9.3615) * CHOOSE(CONTROL!$C$21, $C$9, 100%, $E$9)</f>
        <v>9.3614999999999995</v>
      </c>
      <c r="M233" s="10">
        <f>CHOOSE(CONTROL!$C$42, 8.4291, 8.4291) * CHOOSE(CONTROL!$C$21, $C$9, 100%, $E$9)</f>
        <v>8.4291</v>
      </c>
      <c r="N233" s="10">
        <f>CHOOSE(CONTROL!$C$42, 8.4458, 8.4458) * CHOOSE(CONTROL!$C$21, $C$9, 100%, $E$9)</f>
        <v>8.4458000000000002</v>
      </c>
      <c r="O233" s="10">
        <f>CHOOSE(CONTROL!$C$42, 8.694, 8.694) * CHOOSE(CONTROL!$C$21, $C$9, 100%, $E$9)</f>
        <v>8.6940000000000008</v>
      </c>
      <c r="P233" s="10">
        <f>CHOOSE(CONTROL!$C$42, 8.469, 8.469) * CHOOSE(CONTROL!$C$21, $C$9, 100%, $E$9)</f>
        <v>8.4689999999999994</v>
      </c>
      <c r="Q233" s="10">
        <f>CHOOSE(CONTROL!$C$42, 9.2893, 9.2893) * CHOOSE(CONTROL!$C$21, $C$9, 100%, $E$9)</f>
        <v>9.2893000000000008</v>
      </c>
      <c r="R233" s="10">
        <f>CHOOSE(CONTROL!$C$42, 9.8995, 9.8995) * CHOOSE(CONTROL!$C$21, $C$9, 100%, $E$9)</f>
        <v>9.8994999999999997</v>
      </c>
      <c r="S233" s="10">
        <f>CHOOSE(CONTROL!$C$42, 8.3147, 8.3147) * CHOOSE(CONTROL!$C$21, $C$9, 100%, $E$9)</f>
        <v>8.3147000000000002</v>
      </c>
      <c r="T23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38">
        <f>(1000*CHOOSE(CONTROL!$C$42, 695, 695)*CHOOSE(CONTROL!$C$42, 0.5599, 0.5599)*CHOOSE(CONTROL!$C$42, 31, 31))/1000000</f>
        <v>12.063045499999998</v>
      </c>
      <c r="V233" s="38">
        <f>(1000*CHOOSE(CONTROL!$C$42, 500, 500)*CHOOSE(CONTROL!$C$42, 0.275, 0.275)*CHOOSE(CONTROL!$C$42, 31, 31))/1000000</f>
        <v>4.2625000000000002</v>
      </c>
      <c r="W233" s="38">
        <f>(1000*CHOOSE(CONTROL!$C$42, 0.1146, 0.1146)*CHOOSE(CONTROL!$C$42, 121.5, 121.5)*CHOOSE(CONTROL!$C$42, 31, 31))/1000000</f>
        <v>0.43164089999999994</v>
      </c>
      <c r="X233" s="38">
        <f>(31*0.1790888*245000/1000000)+(31*0.2374*100000/1000000)</f>
        <v>2.0961194359999999</v>
      </c>
      <c r="Y233" s="38">
        <f>(1000*600*CHOOSE(CONTROL!$C$42, 1.6597, 1.6597)*CHOOSE(CONTROL!$C$42, 31, 31))/1000000</f>
        <v>30.870419999999999</v>
      </c>
      <c r="Z233" s="38"/>
      <c r="AA233" s="10"/>
      <c r="AB233" s="39"/>
      <c r="AC233" s="33">
        <f>(B233*194.205+C233*267.466+D233*133.845+E233*53.484+F233*40+G233*185+H233*0+I233*100+J233*300)/(194.205+267.466+133.845+53.484+0+40+185+100+300)</f>
        <v>8.5764642611459969</v>
      </c>
      <c r="AD233" s="27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8.5130100719424444</v>
      </c>
    </row>
    <row r="234" spans="1:30" ht="15" x14ac:dyDescent="0.2">
      <c r="A234" s="16">
        <v>48366</v>
      </c>
      <c r="B234" s="10">
        <f>CHOOSE(CONTROL!$C$42, 8.8154, 8.8154) * CHOOSE(CONTROL!$C$21, $C$9, 100%, $E$9)</f>
        <v>8.8154000000000003</v>
      </c>
      <c r="C234" s="10">
        <f>CHOOSE(CONTROL!$C$42, 8.8234, 8.8234) * CHOOSE(CONTROL!$C$21, $C$9, 100%, $E$9)</f>
        <v>8.8233999999999995</v>
      </c>
      <c r="D234" s="10">
        <f>CHOOSE(CONTROL!$C$42, 8.9985, 8.9985) * CHOOSE(CONTROL!$C$21, $C$9, 100%, $E$9)</f>
        <v>8.9984999999999999</v>
      </c>
      <c r="E234" s="10">
        <f>CHOOSE(CONTROL!$C$42, 9.0297, 9.0297) * CHOOSE(CONTROL!$C$21, $C$9, 100%, $E$9)</f>
        <v>9.0297000000000001</v>
      </c>
      <c r="F234" s="10">
        <f>CHOOSE(CONTROL!$C$42, 8.7573, 8.7573)*CHOOSE(CONTROL!$C$21, $C$9, 100%, $E$9)</f>
        <v>8.7573000000000008</v>
      </c>
      <c r="G234" s="10">
        <f>CHOOSE(CONTROL!$C$42, 8.7742, 8.7742)*CHOOSE(CONTROL!$C$21, $C$9, 100%, $E$9)</f>
        <v>8.7742000000000004</v>
      </c>
      <c r="H234" s="10">
        <f>CHOOSE(CONTROL!$C$42, 9.0181, 9.0181) * CHOOSE(CONTROL!$C$21, $C$9, 100%, $E$9)</f>
        <v>9.0181000000000004</v>
      </c>
      <c r="I234" s="10">
        <f>CHOOSE(CONTROL!$C$42, 8.7901, 8.7901)* CHOOSE(CONTROL!$C$21, $C$9, 100%, $E$9)</f>
        <v>8.7901000000000007</v>
      </c>
      <c r="J234" s="10">
        <f>CHOOSE(CONTROL!$C$42, 8.7499, 8.7499)* CHOOSE(CONTROL!$C$21, $C$9, 100%, $E$9)</f>
        <v>8.7499000000000002</v>
      </c>
      <c r="K234" s="10">
        <f>CHOOSE(CONTROL!$C$42, 8.6727, 8.6727) * CHOOSE(CONTROL!$C$21, $C$9, 100%, $E$9)</f>
        <v>8.6727000000000007</v>
      </c>
      <c r="L234" s="10">
        <f>CHOOSE(CONTROL!$C$42, 9.6051, 9.6051) * CHOOSE(CONTROL!$C$21, $C$9, 100%, $E$9)</f>
        <v>9.6051000000000002</v>
      </c>
      <c r="M234" s="10">
        <f>CHOOSE(CONTROL!$C$42, 8.6697, 8.6697) * CHOOSE(CONTROL!$C$21, $C$9, 100%, $E$9)</f>
        <v>8.6697000000000006</v>
      </c>
      <c r="N234" s="10">
        <f>CHOOSE(CONTROL!$C$42, 8.6864, 8.6864) * CHOOSE(CONTROL!$C$21, $C$9, 100%, $E$9)</f>
        <v>8.6864000000000008</v>
      </c>
      <c r="O234" s="10">
        <f>CHOOSE(CONTROL!$C$42, 8.9344, 8.9344) * CHOOSE(CONTROL!$C$21, $C$9, 100%, $E$9)</f>
        <v>8.9344000000000001</v>
      </c>
      <c r="P234" s="10">
        <f>CHOOSE(CONTROL!$C$42, 8.7094, 8.7094) * CHOOSE(CONTROL!$C$21, $C$9, 100%, $E$9)</f>
        <v>8.7094000000000005</v>
      </c>
      <c r="Q234" s="10">
        <f>CHOOSE(CONTROL!$C$42, 9.5297, 9.5297) * CHOOSE(CONTROL!$C$21, $C$9, 100%, $E$9)</f>
        <v>9.5297000000000001</v>
      </c>
      <c r="R234" s="10">
        <f>CHOOSE(CONTROL!$C$42, 10.1405, 10.1405) * CHOOSE(CONTROL!$C$21, $C$9, 100%, $E$9)</f>
        <v>10.140499999999999</v>
      </c>
      <c r="S234" s="10">
        <f>CHOOSE(CONTROL!$C$42, 8.5506, 8.5506) * CHOOSE(CONTROL!$C$21, $C$9, 100%, $E$9)</f>
        <v>8.5505999999999993</v>
      </c>
      <c r="T23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38">
        <f>(1000*CHOOSE(CONTROL!$C$42, 695, 695)*CHOOSE(CONTROL!$C$42, 0.5599, 0.5599)*CHOOSE(CONTROL!$C$42, 30, 30))/1000000</f>
        <v>11.673914999999997</v>
      </c>
      <c r="V234" s="38">
        <f>(1000*CHOOSE(CONTROL!$C$42, 500, 500)*CHOOSE(CONTROL!$C$42, 0.275, 0.275)*CHOOSE(CONTROL!$C$42, 30, 30))/1000000</f>
        <v>4.125</v>
      </c>
      <c r="W234" s="38">
        <f>(1000*CHOOSE(CONTROL!$C$42, 0.1146, 0.1146)*CHOOSE(CONTROL!$C$42, 121.5, 121.5)*CHOOSE(CONTROL!$C$42, 30, 30))/1000000</f>
        <v>0.417717</v>
      </c>
      <c r="X234" s="38">
        <f>(30*0.1790888*245000/1000000)+(30*0.2374*100000/1000000)</f>
        <v>2.0285026799999999</v>
      </c>
      <c r="Y234" s="38">
        <f>(1000*600*CHOOSE(CONTROL!$C$42, 1.6597, 1.6597)*CHOOSE(CONTROL!$C$42, 30, 30))/1000000</f>
        <v>29.874600000000001</v>
      </c>
      <c r="Z234" s="38"/>
      <c r="AA234" s="10"/>
      <c r="AB234" s="39"/>
      <c r="AC234" s="33">
        <f>(B234*194.205+C234*267.466+D234*133.845+E234*53.484+F234*40+G234*185+H234*0+I234*100+J234*300)/(194.205+267.466+133.845+53.484+0+40+185+100+300)</f>
        <v>8.8200957368131885</v>
      </c>
      <c r="AD234" s="27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8.7535251798561156</v>
      </c>
    </row>
    <row r="235" spans="1:30" ht="15" x14ac:dyDescent="0.2">
      <c r="A235" s="16">
        <v>48396</v>
      </c>
      <c r="B235" s="10">
        <f>CHOOSE(CONTROL!$C$42, 8.646, 8.646) * CHOOSE(CONTROL!$C$21, $C$9, 100%, $E$9)</f>
        <v>8.6460000000000008</v>
      </c>
      <c r="C235" s="10">
        <f>CHOOSE(CONTROL!$C$42, 8.654, 8.654) * CHOOSE(CONTROL!$C$21, $C$9, 100%, $E$9)</f>
        <v>8.6539999999999999</v>
      </c>
      <c r="D235" s="10">
        <f>CHOOSE(CONTROL!$C$42, 8.8291, 8.8291) * CHOOSE(CONTROL!$C$21, $C$9, 100%, $E$9)</f>
        <v>8.8291000000000004</v>
      </c>
      <c r="E235" s="10">
        <f>CHOOSE(CONTROL!$C$42, 8.8604, 8.8604) * CHOOSE(CONTROL!$C$21, $C$9, 100%, $E$9)</f>
        <v>8.8604000000000003</v>
      </c>
      <c r="F235" s="10">
        <f>CHOOSE(CONTROL!$C$42, 8.5882, 8.5882)*CHOOSE(CONTROL!$C$21, $C$9, 100%, $E$9)</f>
        <v>8.5882000000000005</v>
      </c>
      <c r="G235" s="10">
        <f>CHOOSE(CONTROL!$C$42, 8.6053, 8.6053)*CHOOSE(CONTROL!$C$21, $C$9, 100%, $E$9)</f>
        <v>8.6052999999999997</v>
      </c>
      <c r="H235" s="10">
        <f>CHOOSE(CONTROL!$C$42, 8.8487, 8.8487) * CHOOSE(CONTROL!$C$21, $C$9, 100%, $E$9)</f>
        <v>8.8486999999999991</v>
      </c>
      <c r="I235" s="10">
        <f>CHOOSE(CONTROL!$C$42, 8.6207, 8.6207)* CHOOSE(CONTROL!$C$21, $C$9, 100%, $E$9)</f>
        <v>8.6206999999999994</v>
      </c>
      <c r="J235" s="10">
        <f>CHOOSE(CONTROL!$C$42, 8.5808, 8.5808)* CHOOSE(CONTROL!$C$21, $C$9, 100%, $E$9)</f>
        <v>8.5808</v>
      </c>
      <c r="K235" s="10">
        <f>CHOOSE(CONTROL!$C$42, 8.5093, 8.5093) * CHOOSE(CONTROL!$C$21, $C$9, 100%, $E$9)</f>
        <v>8.5092999999999996</v>
      </c>
      <c r="L235" s="10">
        <f>CHOOSE(CONTROL!$C$42, 9.4357, 9.4357) * CHOOSE(CONTROL!$C$21, $C$9, 100%, $E$9)</f>
        <v>9.4357000000000006</v>
      </c>
      <c r="M235" s="10">
        <f>CHOOSE(CONTROL!$C$42, 8.5028, 8.5028) * CHOOSE(CONTROL!$C$21, $C$9, 100%, $E$9)</f>
        <v>8.5028000000000006</v>
      </c>
      <c r="N235" s="10">
        <f>CHOOSE(CONTROL!$C$42, 8.5196, 8.5196) * CHOOSE(CONTROL!$C$21, $C$9, 100%, $E$9)</f>
        <v>8.5196000000000005</v>
      </c>
      <c r="O235" s="10">
        <f>CHOOSE(CONTROL!$C$42, 8.7672, 8.7672) * CHOOSE(CONTROL!$C$21, $C$9, 100%, $E$9)</f>
        <v>8.7672000000000008</v>
      </c>
      <c r="P235" s="10">
        <f>CHOOSE(CONTROL!$C$42, 8.5422, 8.5422) * CHOOSE(CONTROL!$C$21, $C$9, 100%, $E$9)</f>
        <v>8.5421999999999993</v>
      </c>
      <c r="Q235" s="10">
        <f>CHOOSE(CONTROL!$C$42, 9.3625, 9.3625) * CHOOSE(CONTROL!$C$21, $C$9, 100%, $E$9)</f>
        <v>9.3625000000000007</v>
      </c>
      <c r="R235" s="10">
        <f>CHOOSE(CONTROL!$C$42, 9.9729, 9.9729) * CHOOSE(CONTROL!$C$21, $C$9, 100%, $E$9)</f>
        <v>9.9728999999999992</v>
      </c>
      <c r="S235" s="10">
        <f>CHOOSE(CONTROL!$C$42, 8.3865, 8.3865) * CHOOSE(CONTROL!$C$21, $C$9, 100%, $E$9)</f>
        <v>8.3864999999999998</v>
      </c>
      <c r="T23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38">
        <f>(1000*CHOOSE(CONTROL!$C$42, 695, 695)*CHOOSE(CONTROL!$C$42, 0.5599, 0.5599)*CHOOSE(CONTROL!$C$42, 31, 31))/1000000</f>
        <v>12.063045499999998</v>
      </c>
      <c r="V235" s="38">
        <f>(1000*CHOOSE(CONTROL!$C$42, 500, 500)*CHOOSE(CONTROL!$C$42, 0.275, 0.275)*CHOOSE(CONTROL!$C$42, 31, 31))/1000000</f>
        <v>4.2625000000000002</v>
      </c>
      <c r="W235" s="38">
        <f>(1000*CHOOSE(CONTROL!$C$42, 0.1146, 0.1146)*CHOOSE(CONTROL!$C$42, 121.5, 121.5)*CHOOSE(CONTROL!$C$42, 31, 31))/1000000</f>
        <v>0.43164089999999994</v>
      </c>
      <c r="X235" s="38">
        <f>(31*0.1790888*245000/1000000)+(31*0.2374*100000/1000000)</f>
        <v>2.0961194359999999</v>
      </c>
      <c r="Y235" s="38">
        <f>(1000*600*CHOOSE(CONTROL!$C$42, 1.6597, 1.6597)*CHOOSE(CONTROL!$C$42, 31, 31))/1000000</f>
        <v>30.870419999999999</v>
      </c>
      <c r="Z235" s="38"/>
      <c r="AA235" s="10"/>
      <c r="AB235" s="39"/>
      <c r="AC235" s="33">
        <f>(B235*194.205+C235*267.466+D235*133.845+E235*53.484+F235*40+G235*185+H235*0+I235*100+J235*300)/(194.205+267.466+133.845+53.484+0+40+185+100+300)</f>
        <v>8.6508526036891666</v>
      </c>
      <c r="AD235" s="27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8.586520863309353</v>
      </c>
    </row>
    <row r="236" spans="1:30" ht="15" x14ac:dyDescent="0.2">
      <c r="A236" s="16">
        <v>48427</v>
      </c>
      <c r="B236" s="10">
        <f>CHOOSE(CONTROL!$C$42, 8.2183, 8.2183) * CHOOSE(CONTROL!$C$21, $C$9, 100%, $E$9)</f>
        <v>8.2182999999999993</v>
      </c>
      <c r="C236" s="10">
        <f>CHOOSE(CONTROL!$C$42, 8.2263, 8.2263) * CHOOSE(CONTROL!$C$21, $C$9, 100%, $E$9)</f>
        <v>8.2263000000000002</v>
      </c>
      <c r="D236" s="10">
        <f>CHOOSE(CONTROL!$C$42, 8.4014, 8.4014) * CHOOSE(CONTROL!$C$21, $C$9, 100%, $E$9)</f>
        <v>8.4014000000000006</v>
      </c>
      <c r="E236" s="10">
        <f>CHOOSE(CONTROL!$C$42, 8.4326, 8.4326) * CHOOSE(CONTROL!$C$21, $C$9, 100%, $E$9)</f>
        <v>8.4326000000000008</v>
      </c>
      <c r="F236" s="10">
        <f>CHOOSE(CONTROL!$C$42, 8.1604, 8.1604)*CHOOSE(CONTROL!$C$21, $C$9, 100%, $E$9)</f>
        <v>8.1603999999999992</v>
      </c>
      <c r="G236" s="10">
        <f>CHOOSE(CONTROL!$C$42, 8.1774, 8.1774)*CHOOSE(CONTROL!$C$21, $C$9, 100%, $E$9)</f>
        <v>8.1774000000000004</v>
      </c>
      <c r="H236" s="10">
        <f>CHOOSE(CONTROL!$C$42, 8.4209, 8.4209) * CHOOSE(CONTROL!$C$21, $C$9, 100%, $E$9)</f>
        <v>8.4208999999999996</v>
      </c>
      <c r="I236" s="10">
        <f>CHOOSE(CONTROL!$C$42, 8.1929, 8.1929)* CHOOSE(CONTROL!$C$21, $C$9, 100%, $E$9)</f>
        <v>8.1928999999999998</v>
      </c>
      <c r="J236" s="10">
        <f>CHOOSE(CONTROL!$C$42, 8.153, 8.153)* CHOOSE(CONTROL!$C$21, $C$9, 100%, $E$9)</f>
        <v>8.1530000000000005</v>
      </c>
      <c r="K236" s="10">
        <f>CHOOSE(CONTROL!$C$42, 8.0947, 8.0947) * CHOOSE(CONTROL!$C$21, $C$9, 100%, $E$9)</f>
        <v>8.0946999999999996</v>
      </c>
      <c r="L236" s="10">
        <f>CHOOSE(CONTROL!$C$42, 9.0079, 9.0079) * CHOOSE(CONTROL!$C$21, $C$9, 100%, $E$9)</f>
        <v>9.0078999999999994</v>
      </c>
      <c r="M236" s="10">
        <f>CHOOSE(CONTROL!$C$42, 8.0805, 8.0805) * CHOOSE(CONTROL!$C$21, $C$9, 100%, $E$9)</f>
        <v>8.0805000000000007</v>
      </c>
      <c r="N236" s="10">
        <f>CHOOSE(CONTROL!$C$42, 8.0973, 8.0973) * CHOOSE(CONTROL!$C$21, $C$9, 100%, $E$9)</f>
        <v>8.0973000000000006</v>
      </c>
      <c r="O236" s="10">
        <f>CHOOSE(CONTROL!$C$42, 8.345, 8.345) * CHOOSE(CONTROL!$C$21, $C$9, 100%, $E$9)</f>
        <v>8.3450000000000006</v>
      </c>
      <c r="P236" s="10">
        <f>CHOOSE(CONTROL!$C$42, 8.1199, 8.1199) * CHOOSE(CONTROL!$C$21, $C$9, 100%, $E$9)</f>
        <v>8.1198999999999995</v>
      </c>
      <c r="Q236" s="10">
        <f>CHOOSE(CONTROL!$C$42, 8.9403, 8.9403) * CHOOSE(CONTROL!$C$21, $C$9, 100%, $E$9)</f>
        <v>8.9403000000000006</v>
      </c>
      <c r="R236" s="10">
        <f>CHOOSE(CONTROL!$C$42, 9.5496, 9.5496) * CHOOSE(CONTROL!$C$21, $C$9, 100%, $E$9)</f>
        <v>9.5495999999999999</v>
      </c>
      <c r="S236" s="10">
        <f>CHOOSE(CONTROL!$C$42, 7.9723, 7.9723) * CHOOSE(CONTROL!$C$21, $C$9, 100%, $E$9)</f>
        <v>7.9722999999999997</v>
      </c>
      <c r="T23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38">
        <f>(1000*CHOOSE(CONTROL!$C$42, 695, 695)*CHOOSE(CONTROL!$C$42, 0.5599, 0.5599)*CHOOSE(CONTROL!$C$42, 31, 31))/1000000</f>
        <v>12.063045499999998</v>
      </c>
      <c r="V236" s="38">
        <f>(1000*CHOOSE(CONTROL!$C$42, 500, 500)*CHOOSE(CONTROL!$C$42, 0.275, 0.275)*CHOOSE(CONTROL!$C$42, 31, 31))/1000000</f>
        <v>4.2625000000000002</v>
      </c>
      <c r="W236" s="38">
        <f>(1000*CHOOSE(CONTROL!$C$42, 0.1146, 0.1146)*CHOOSE(CONTROL!$C$42, 121.5, 121.5)*CHOOSE(CONTROL!$C$42, 31, 31))/1000000</f>
        <v>0.43164089999999994</v>
      </c>
      <c r="X236" s="38">
        <f>(31*0.1790888*245000/1000000)+(31*0.2374*100000/1000000)</f>
        <v>2.0961194359999999</v>
      </c>
      <c r="Y236" s="38">
        <f>(1000*600*CHOOSE(CONTROL!$C$42, 1.6597, 1.6597)*CHOOSE(CONTROL!$C$42, 31, 31))/1000000</f>
        <v>30.870419999999999</v>
      </c>
      <c r="Z236" s="38"/>
      <c r="AA236" s="10"/>
      <c r="AB236" s="39"/>
      <c r="AC236" s="33">
        <f>(B236*194.205+C236*267.466+D236*133.845+E236*53.484+F236*40+G236*185+H236*0+I236*100+J236*300)/(194.205+267.466+133.845+53.484+0+40+185+100+300)</f>
        <v>8.2230848262951337</v>
      </c>
      <c r="AD236" s="27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8.1642489208633098</v>
      </c>
    </row>
    <row r="237" spans="1:30" ht="15" x14ac:dyDescent="0.2">
      <c r="A237" s="16">
        <v>48458</v>
      </c>
      <c r="B237" s="10">
        <f>CHOOSE(CONTROL!$C$42, 7.6956, 7.6956) * CHOOSE(CONTROL!$C$21, $C$9, 100%, $E$9)</f>
        <v>7.6955999999999998</v>
      </c>
      <c r="C237" s="10">
        <f>CHOOSE(CONTROL!$C$42, 7.7036, 7.7036) * CHOOSE(CONTROL!$C$21, $C$9, 100%, $E$9)</f>
        <v>7.7035999999999998</v>
      </c>
      <c r="D237" s="10">
        <f>CHOOSE(CONTROL!$C$42, 7.8787, 7.8787) * CHOOSE(CONTROL!$C$21, $C$9, 100%, $E$9)</f>
        <v>7.8787000000000003</v>
      </c>
      <c r="E237" s="10">
        <f>CHOOSE(CONTROL!$C$42, 7.91, 7.91) * CHOOSE(CONTROL!$C$21, $C$9, 100%, $E$9)</f>
        <v>7.91</v>
      </c>
      <c r="F237" s="10">
        <f>CHOOSE(CONTROL!$C$42, 7.6374, 7.6374)*CHOOSE(CONTROL!$C$21, $C$9, 100%, $E$9)</f>
        <v>7.6374000000000004</v>
      </c>
      <c r="G237" s="10">
        <f>CHOOSE(CONTROL!$C$42, 7.6543, 7.6543)*CHOOSE(CONTROL!$C$21, $C$9, 100%, $E$9)</f>
        <v>7.6543000000000001</v>
      </c>
      <c r="H237" s="10">
        <f>CHOOSE(CONTROL!$C$42, 7.8983, 7.8983) * CHOOSE(CONTROL!$C$21, $C$9, 100%, $E$9)</f>
        <v>7.8982999999999999</v>
      </c>
      <c r="I237" s="10">
        <f>CHOOSE(CONTROL!$C$42, 7.6703, 7.6703)* CHOOSE(CONTROL!$C$21, $C$9, 100%, $E$9)</f>
        <v>7.6703000000000001</v>
      </c>
      <c r="J237" s="10">
        <f>CHOOSE(CONTROL!$C$42, 7.63, 7.63)* CHOOSE(CONTROL!$C$21, $C$9, 100%, $E$9)</f>
        <v>7.63</v>
      </c>
      <c r="K237" s="10">
        <f>CHOOSE(CONTROL!$C$42, 7.5877, 7.5877) * CHOOSE(CONTROL!$C$21, $C$9, 100%, $E$9)</f>
        <v>7.5876999999999999</v>
      </c>
      <c r="L237" s="10">
        <f>CHOOSE(CONTROL!$C$42, 8.4853, 8.4853) * CHOOSE(CONTROL!$C$21, $C$9, 100%, $E$9)</f>
        <v>8.4853000000000005</v>
      </c>
      <c r="M237" s="10">
        <f>CHOOSE(CONTROL!$C$42, 7.5643, 7.5643) * CHOOSE(CONTROL!$C$21, $C$9, 100%, $E$9)</f>
        <v>7.5643000000000002</v>
      </c>
      <c r="N237" s="10">
        <f>CHOOSE(CONTROL!$C$42, 7.581, 7.581) * CHOOSE(CONTROL!$C$21, $C$9, 100%, $E$9)</f>
        <v>7.5810000000000004</v>
      </c>
      <c r="O237" s="10">
        <f>CHOOSE(CONTROL!$C$42, 7.8291, 7.8291) * CHOOSE(CONTROL!$C$21, $C$9, 100%, $E$9)</f>
        <v>7.8291000000000004</v>
      </c>
      <c r="P237" s="10">
        <f>CHOOSE(CONTROL!$C$42, 7.6041, 7.6041) * CHOOSE(CONTROL!$C$21, $C$9, 100%, $E$9)</f>
        <v>7.6040999999999999</v>
      </c>
      <c r="Q237" s="10">
        <f>CHOOSE(CONTROL!$C$42, 8.4244, 8.4244) * CHOOSE(CONTROL!$C$21, $C$9, 100%, $E$9)</f>
        <v>8.4244000000000003</v>
      </c>
      <c r="R237" s="10">
        <f>CHOOSE(CONTROL!$C$42, 9.0325, 9.0325) * CHOOSE(CONTROL!$C$21, $C$9, 100%, $E$9)</f>
        <v>9.0325000000000006</v>
      </c>
      <c r="S237" s="10">
        <f>CHOOSE(CONTROL!$C$42, 7.4663, 7.4663) * CHOOSE(CONTROL!$C$21, $C$9, 100%, $E$9)</f>
        <v>7.4663000000000004</v>
      </c>
      <c r="T23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38">
        <f>(1000*CHOOSE(CONTROL!$C$42, 695, 695)*CHOOSE(CONTROL!$C$42, 0.5599, 0.5599)*CHOOSE(CONTROL!$C$42, 30, 30))/1000000</f>
        <v>11.673914999999997</v>
      </c>
      <c r="V237" s="38">
        <f>(1000*CHOOSE(CONTROL!$C$42, 500, 500)*CHOOSE(CONTROL!$C$42, 0.275, 0.275)*CHOOSE(CONTROL!$C$42, 30, 30))/1000000</f>
        <v>4.125</v>
      </c>
      <c r="W237" s="38">
        <f>(1000*CHOOSE(CONTROL!$C$42, 0.1146, 0.1146)*CHOOSE(CONTROL!$C$42, 121.5, 121.5)*CHOOSE(CONTROL!$C$42, 30, 30))/1000000</f>
        <v>0.417717</v>
      </c>
      <c r="X237" s="38">
        <f>(30*0.1790888*245000/1000000)+(30*0.2374*100000/1000000)</f>
        <v>2.0285026799999999</v>
      </c>
      <c r="Y237" s="38">
        <f>(1000*600*CHOOSE(CONTROL!$C$42, 1.6597, 1.6597)*CHOOSE(CONTROL!$C$42, 30, 30))/1000000</f>
        <v>29.874600000000001</v>
      </c>
      <c r="Z237" s="38"/>
      <c r="AA237" s="10"/>
      <c r="AB237" s="39"/>
      <c r="AC237" s="33">
        <f>(B237*194.205+C237*267.466+D237*133.845+E237*53.484+F237*40+G237*185+H237*0+I237*100+J237*300)/(194.205+267.466+133.845+53.484+0+40+185+100+300)</f>
        <v>7.7002587261381468</v>
      </c>
      <c r="AD237" s="27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7.6481676258992799</v>
      </c>
    </row>
    <row r="238" spans="1:30" ht="15" x14ac:dyDescent="0.2">
      <c r="A238" s="16">
        <v>48488</v>
      </c>
      <c r="B238" s="10">
        <f>CHOOSE(CONTROL!$C$42, 7.537, 7.537) * CHOOSE(CONTROL!$C$21, $C$9, 100%, $E$9)</f>
        <v>7.5369999999999999</v>
      </c>
      <c r="C238" s="10">
        <f>CHOOSE(CONTROL!$C$42, 7.5423, 7.5423) * CHOOSE(CONTROL!$C$21, $C$9, 100%, $E$9)</f>
        <v>7.5423</v>
      </c>
      <c r="D238" s="10">
        <f>CHOOSE(CONTROL!$C$42, 7.7223, 7.7223) * CHOOSE(CONTROL!$C$21, $C$9, 100%, $E$9)</f>
        <v>7.7222999999999997</v>
      </c>
      <c r="E238" s="10">
        <f>CHOOSE(CONTROL!$C$42, 7.7512, 7.7512) * CHOOSE(CONTROL!$C$21, $C$9, 100%, $E$9)</f>
        <v>7.7511999999999999</v>
      </c>
      <c r="F238" s="10">
        <f>CHOOSE(CONTROL!$C$42, 7.4808, 7.4808)*CHOOSE(CONTROL!$C$21, $C$9, 100%, $E$9)</f>
        <v>7.4808000000000003</v>
      </c>
      <c r="G238" s="10">
        <f>CHOOSE(CONTROL!$C$42, 7.4973, 7.4973)*CHOOSE(CONTROL!$C$21, $C$9, 100%, $E$9)</f>
        <v>7.4973000000000001</v>
      </c>
      <c r="H238" s="10">
        <f>CHOOSE(CONTROL!$C$42, 7.7414, 7.7414) * CHOOSE(CONTROL!$C$21, $C$9, 100%, $E$9)</f>
        <v>7.7413999999999996</v>
      </c>
      <c r="I238" s="10">
        <f>CHOOSE(CONTROL!$C$42, 7.5133, 7.5133)* CHOOSE(CONTROL!$C$21, $C$9, 100%, $E$9)</f>
        <v>7.5133000000000001</v>
      </c>
      <c r="J238" s="10">
        <f>CHOOSE(CONTROL!$C$42, 7.4734, 7.4734)* CHOOSE(CONTROL!$C$21, $C$9, 100%, $E$9)</f>
        <v>7.4733999999999998</v>
      </c>
      <c r="K238" s="10">
        <f>CHOOSE(CONTROL!$C$42, 7.4362, 7.4362) * CHOOSE(CONTROL!$C$21, $C$9, 100%, $E$9)</f>
        <v>7.4362000000000004</v>
      </c>
      <c r="L238" s="10">
        <f>CHOOSE(CONTROL!$C$42, 8.3284, 8.3284) * CHOOSE(CONTROL!$C$21, $C$9, 100%, $E$9)</f>
        <v>8.3284000000000002</v>
      </c>
      <c r="M238" s="10">
        <f>CHOOSE(CONTROL!$C$42, 7.4097, 7.4097) * CHOOSE(CONTROL!$C$21, $C$9, 100%, $E$9)</f>
        <v>7.4097</v>
      </c>
      <c r="N238" s="10">
        <f>CHOOSE(CONTROL!$C$42, 7.426, 7.426) * CHOOSE(CONTROL!$C$21, $C$9, 100%, $E$9)</f>
        <v>7.4260000000000002</v>
      </c>
      <c r="O238" s="10">
        <f>CHOOSE(CONTROL!$C$42, 7.6742, 7.6742) * CHOOSE(CONTROL!$C$21, $C$9, 100%, $E$9)</f>
        <v>7.6741999999999999</v>
      </c>
      <c r="P238" s="10">
        <f>CHOOSE(CONTROL!$C$42, 7.4492, 7.4492) * CHOOSE(CONTROL!$C$21, $C$9, 100%, $E$9)</f>
        <v>7.4492000000000003</v>
      </c>
      <c r="Q238" s="10">
        <f>CHOOSE(CONTROL!$C$42, 8.2695, 8.2695) * CHOOSE(CONTROL!$C$21, $C$9, 100%, $E$9)</f>
        <v>8.2695000000000007</v>
      </c>
      <c r="R238" s="10">
        <f>CHOOSE(CONTROL!$C$42, 8.8772, 8.8772) * CHOOSE(CONTROL!$C$21, $C$9, 100%, $E$9)</f>
        <v>8.8772000000000002</v>
      </c>
      <c r="S238" s="10">
        <f>CHOOSE(CONTROL!$C$42, 7.3143, 7.3143) * CHOOSE(CONTROL!$C$21, $C$9, 100%, $E$9)</f>
        <v>7.3143000000000002</v>
      </c>
      <c r="T23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38">
        <f>(1000*CHOOSE(CONTROL!$C$42, 695, 695)*CHOOSE(CONTROL!$C$42, 0.5599, 0.5599)*CHOOSE(CONTROL!$C$42, 31, 31))/1000000</f>
        <v>12.063045499999998</v>
      </c>
      <c r="V238" s="38">
        <f>(1000*CHOOSE(CONTROL!$C$42, 500, 500)*CHOOSE(CONTROL!$C$42, 0.275, 0.275)*CHOOSE(CONTROL!$C$42, 31, 31))/1000000</f>
        <v>4.2625000000000002</v>
      </c>
      <c r="W238" s="38">
        <f>(1000*CHOOSE(CONTROL!$C$42, 0.1146, 0.1146)*CHOOSE(CONTROL!$C$42, 121.5, 121.5)*CHOOSE(CONTROL!$C$42, 31, 31))/1000000</f>
        <v>0.43164089999999994</v>
      </c>
      <c r="X238" s="38">
        <f>(31*0.1790888*245000/1000000)+(31*0.2374*100000/1000000)</f>
        <v>2.0961194359999999</v>
      </c>
      <c r="Y238" s="38">
        <f>(1000*600*CHOOSE(CONTROL!$C$42, 1.6597, 1.6597)*CHOOSE(CONTROL!$C$42, 31, 31))/1000000</f>
        <v>30.870419999999999</v>
      </c>
      <c r="Z238" s="38"/>
      <c r="AA238" s="10"/>
      <c r="AB238" s="39"/>
      <c r="AC238" s="33">
        <f>(B238*131.881+C238*277.167+D238*79.08+E238*125.872+F238*40+G238*185+H238*0+I238*100+J238*300)/(131.881+277.167+79.08+125.872+0+40+185+100+300)</f>
        <v>7.5467189600484268</v>
      </c>
      <c r="AD238" s="27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7.4933482014388497</v>
      </c>
    </row>
    <row r="239" spans="1:30" ht="15" x14ac:dyDescent="0.2">
      <c r="A239" s="16">
        <v>48519</v>
      </c>
      <c r="B239" s="10">
        <f>CHOOSE(CONTROL!$C$42, 7.7355, 7.7355) * CHOOSE(CONTROL!$C$21, $C$9, 100%, $E$9)</f>
        <v>7.7355</v>
      </c>
      <c r="C239" s="10">
        <f>CHOOSE(CONTROL!$C$42, 7.7406, 7.7406) * CHOOSE(CONTROL!$C$21, $C$9, 100%, $E$9)</f>
        <v>7.7405999999999997</v>
      </c>
      <c r="D239" s="10">
        <f>CHOOSE(CONTROL!$C$42, 7.7653, 7.7653) * CHOOSE(CONTROL!$C$21, $C$9, 100%, $E$9)</f>
        <v>7.7652999999999999</v>
      </c>
      <c r="E239" s="10">
        <f>CHOOSE(CONTROL!$C$42, 7.7991, 7.7991) * CHOOSE(CONTROL!$C$21, $C$9, 100%, $E$9)</f>
        <v>7.7991000000000001</v>
      </c>
      <c r="F239" s="10">
        <f>CHOOSE(CONTROL!$C$42, 7.7012, 7.7012)*CHOOSE(CONTROL!$C$21, $C$9, 100%, $E$9)</f>
        <v>7.7012</v>
      </c>
      <c r="G239" s="10">
        <f>CHOOSE(CONTROL!$C$42, 7.718, 7.718)*CHOOSE(CONTROL!$C$21, $C$9, 100%, $E$9)</f>
        <v>7.718</v>
      </c>
      <c r="H239" s="10">
        <f>CHOOSE(CONTROL!$C$42, 7.788, 7.788) * CHOOSE(CONTROL!$C$21, $C$9, 100%, $E$9)</f>
        <v>7.7880000000000003</v>
      </c>
      <c r="I239" s="10">
        <f>CHOOSE(CONTROL!$C$42, 7.735, 7.735)* CHOOSE(CONTROL!$C$21, $C$9, 100%, $E$9)</f>
        <v>7.7350000000000003</v>
      </c>
      <c r="J239" s="10">
        <f>CHOOSE(CONTROL!$C$42, 7.6938, 7.6938)* CHOOSE(CONTROL!$C$21, $C$9, 100%, $E$9)</f>
        <v>7.6938000000000004</v>
      </c>
      <c r="K239" s="10">
        <f>CHOOSE(CONTROL!$C$42, 7.6528, 7.6528) * CHOOSE(CONTROL!$C$21, $C$9, 100%, $E$9)</f>
        <v>7.6528</v>
      </c>
      <c r="L239" s="10">
        <f>CHOOSE(CONTROL!$C$42, 8.375, 8.375) * CHOOSE(CONTROL!$C$21, $C$9, 100%, $E$9)</f>
        <v>8.375</v>
      </c>
      <c r="M239" s="10">
        <f>CHOOSE(CONTROL!$C$42, 7.6272, 7.6272) * CHOOSE(CONTROL!$C$21, $C$9, 100%, $E$9)</f>
        <v>7.6272000000000002</v>
      </c>
      <c r="N239" s="10">
        <f>CHOOSE(CONTROL!$C$42, 7.6438, 7.6438) * CHOOSE(CONTROL!$C$21, $C$9, 100%, $E$9)</f>
        <v>7.6437999999999997</v>
      </c>
      <c r="O239" s="10">
        <f>CHOOSE(CONTROL!$C$42, 7.7202, 7.7202) * CHOOSE(CONTROL!$C$21, $C$9, 100%, $E$9)</f>
        <v>7.7202000000000002</v>
      </c>
      <c r="P239" s="10">
        <f>CHOOSE(CONTROL!$C$42, 7.668, 7.668) * CHOOSE(CONTROL!$C$21, $C$9, 100%, $E$9)</f>
        <v>7.6680000000000001</v>
      </c>
      <c r="Q239" s="10">
        <f>CHOOSE(CONTROL!$C$42, 8.3155, 8.3155) * CHOOSE(CONTROL!$C$21, $C$9, 100%, $E$9)</f>
        <v>8.3155000000000001</v>
      </c>
      <c r="R239" s="10">
        <f>CHOOSE(CONTROL!$C$42, 8.9233, 8.9233) * CHOOSE(CONTROL!$C$21, $C$9, 100%, $E$9)</f>
        <v>8.9232999999999993</v>
      </c>
      <c r="S239" s="10">
        <f>CHOOSE(CONTROL!$C$42, 7.507, 7.507) * CHOOSE(CONTROL!$C$21, $C$9, 100%, $E$9)</f>
        <v>7.5069999999999997</v>
      </c>
      <c r="T23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38">
        <f>(1000*CHOOSE(CONTROL!$C$42, 695, 695)*CHOOSE(CONTROL!$C$42, 0.5599, 0.5599)*CHOOSE(CONTROL!$C$42, 30, 30))/1000000</f>
        <v>11.673914999999997</v>
      </c>
      <c r="V239" s="38">
        <f>(1000*CHOOSE(CONTROL!$C$42, 500, 500)*CHOOSE(CONTROL!$C$42, 0.275, 0.275)*CHOOSE(CONTROL!$C$42, 30, 30))/1000000</f>
        <v>4.125</v>
      </c>
      <c r="W239" s="38">
        <f>(1000*CHOOSE(CONTROL!$C$42, 0.1146, 0.1146)*CHOOSE(CONTROL!$C$42, 121.5, 121.5)*CHOOSE(CONTROL!$C$42, 30, 30))/1000000</f>
        <v>0.417717</v>
      </c>
      <c r="X239" s="38">
        <f>(30*0.1790888*100000/1000000)+(30*0.2374*100000/1000000)</f>
        <v>1.2494664</v>
      </c>
      <c r="Y239" s="38">
        <f>(1000*600*CHOOSE(CONTROL!$C$42, 1.6597, 1.6597)*CHOOSE(CONTROL!$C$42, 30, 30))/1000000</f>
        <v>29.874600000000001</v>
      </c>
      <c r="Z239" s="38"/>
      <c r="AA239" s="10"/>
      <c r="AB239" s="39"/>
      <c r="AC239" s="33">
        <f>(B239*122.58+C239*297.941+D239*89.177+E239*40.302+F239*40+G239*160+H239*0+I239*100+J239*300)/(122.58+297.941+89.177+40.302+0+40+160+100+300)</f>
        <v>7.726811461652173</v>
      </c>
      <c r="AD239" s="27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7.6761769784172662</v>
      </c>
    </row>
    <row r="240" spans="1:30" ht="15" x14ac:dyDescent="0.2">
      <c r="A240" s="16">
        <v>48549</v>
      </c>
      <c r="B240" s="10">
        <f>CHOOSE(CONTROL!$C$42, 8.2641, 8.2641) * CHOOSE(CONTROL!$C$21, $C$9, 100%, $E$9)</f>
        <v>8.2640999999999991</v>
      </c>
      <c r="C240" s="10">
        <f>CHOOSE(CONTROL!$C$42, 8.2692, 8.2692) * CHOOSE(CONTROL!$C$21, $C$9, 100%, $E$9)</f>
        <v>8.2691999999999997</v>
      </c>
      <c r="D240" s="10">
        <f>CHOOSE(CONTROL!$C$42, 8.2939, 8.2939) * CHOOSE(CONTROL!$C$21, $C$9, 100%, $E$9)</f>
        <v>8.2939000000000007</v>
      </c>
      <c r="E240" s="10">
        <f>CHOOSE(CONTROL!$C$42, 8.3277, 8.3277) * CHOOSE(CONTROL!$C$21, $C$9, 100%, $E$9)</f>
        <v>8.3277000000000001</v>
      </c>
      <c r="F240" s="10">
        <f>CHOOSE(CONTROL!$C$42, 8.2315, 8.2315)*CHOOSE(CONTROL!$C$21, $C$9, 100%, $E$9)</f>
        <v>8.2315000000000005</v>
      </c>
      <c r="G240" s="10">
        <f>CHOOSE(CONTROL!$C$42, 8.2488, 8.2488)*CHOOSE(CONTROL!$C$21, $C$9, 100%, $E$9)</f>
        <v>8.2487999999999992</v>
      </c>
      <c r="H240" s="10">
        <f>CHOOSE(CONTROL!$C$42, 8.3165, 8.3165) * CHOOSE(CONTROL!$C$21, $C$9, 100%, $E$9)</f>
        <v>8.3164999999999996</v>
      </c>
      <c r="I240" s="10">
        <f>CHOOSE(CONTROL!$C$42, 8.2636, 8.2636)* CHOOSE(CONTROL!$C$21, $C$9, 100%, $E$9)</f>
        <v>8.2636000000000003</v>
      </c>
      <c r="J240" s="10">
        <f>CHOOSE(CONTROL!$C$42, 8.2241, 8.2241)* CHOOSE(CONTROL!$C$21, $C$9, 100%, $E$9)</f>
        <v>8.2241</v>
      </c>
      <c r="K240" s="10">
        <f>CHOOSE(CONTROL!$C$42, 8.1687, 8.1687) * CHOOSE(CONTROL!$C$21, $C$9, 100%, $E$9)</f>
        <v>8.1686999999999994</v>
      </c>
      <c r="L240" s="10">
        <f>CHOOSE(CONTROL!$C$42, 8.9035, 8.9035) * CHOOSE(CONTROL!$C$21, $C$9, 100%, $E$9)</f>
        <v>8.9034999999999993</v>
      </c>
      <c r="M240" s="10">
        <f>CHOOSE(CONTROL!$C$42, 8.1507, 8.1507) * CHOOSE(CONTROL!$C$21, $C$9, 100%, $E$9)</f>
        <v>8.1507000000000005</v>
      </c>
      <c r="N240" s="10">
        <f>CHOOSE(CONTROL!$C$42, 8.1677, 8.1677) * CHOOSE(CONTROL!$C$21, $C$9, 100%, $E$9)</f>
        <v>8.1677</v>
      </c>
      <c r="O240" s="10">
        <f>CHOOSE(CONTROL!$C$42, 8.2419, 8.2419) * CHOOSE(CONTROL!$C$21, $C$9, 100%, $E$9)</f>
        <v>8.2418999999999993</v>
      </c>
      <c r="P240" s="10">
        <f>CHOOSE(CONTROL!$C$42, 8.1897, 8.1897) * CHOOSE(CONTROL!$C$21, $C$9, 100%, $E$9)</f>
        <v>8.1897000000000002</v>
      </c>
      <c r="Q240" s="10">
        <f>CHOOSE(CONTROL!$C$42, 8.8372, 8.8372) * CHOOSE(CONTROL!$C$21, $C$9, 100%, $E$9)</f>
        <v>8.8371999999999993</v>
      </c>
      <c r="R240" s="10">
        <f>CHOOSE(CONTROL!$C$42, 9.4463, 9.4463) * CHOOSE(CONTROL!$C$21, $C$9, 100%, $E$9)</f>
        <v>9.4463000000000008</v>
      </c>
      <c r="S240" s="10">
        <f>CHOOSE(CONTROL!$C$42, 8.0188, 8.0188) * CHOOSE(CONTROL!$C$21, $C$9, 100%, $E$9)</f>
        <v>8.0188000000000006</v>
      </c>
      <c r="T24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38">
        <f>(1000*CHOOSE(CONTROL!$C$42, 695, 695)*CHOOSE(CONTROL!$C$42, 0.5599, 0.5599)*CHOOSE(CONTROL!$C$42, 31, 31))/1000000</f>
        <v>12.063045499999998</v>
      </c>
      <c r="V240" s="38">
        <f>(1000*CHOOSE(CONTROL!$C$42, 500, 500)*CHOOSE(CONTROL!$C$42, 0.275, 0.275)*CHOOSE(CONTROL!$C$42, 31, 31))/1000000</f>
        <v>4.2625000000000002</v>
      </c>
      <c r="W240" s="38">
        <f>(1000*CHOOSE(CONTROL!$C$42, 0.1146, 0.1146)*CHOOSE(CONTROL!$C$42, 121.5, 121.5)*CHOOSE(CONTROL!$C$42, 31, 31))/1000000</f>
        <v>0.43164089999999994</v>
      </c>
      <c r="X240" s="38">
        <f>(31*0.1790888*100000/1000000)+(31*0.2374*100000/1000000)</f>
        <v>1.2911152800000001</v>
      </c>
      <c r="Y240" s="38">
        <f>(1000*600*CHOOSE(CONTROL!$C$42, 1.6597, 1.6597)*CHOOSE(CONTROL!$C$42, 31, 31))/1000000</f>
        <v>30.870419999999999</v>
      </c>
      <c r="Z240" s="38"/>
      <c r="AA240" s="10"/>
      <c r="AB240" s="39"/>
      <c r="AC240" s="33">
        <f>(B240*122.58+C240*297.941+D240*89.177+E240*40.302+F240*40+G240*160+H240*0+I240*100+J240*300)/(122.58+297.941+89.177+40.302+0+40+160+100+300)</f>
        <v>8.2562201573043463</v>
      </c>
      <c r="AD240" s="27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8.1986251798561156</v>
      </c>
    </row>
    <row r="241" spans="1:30" ht="15" x14ac:dyDescent="0.2">
      <c r="A241" s="16">
        <v>48580</v>
      </c>
      <c r="B241" s="10">
        <f>CHOOSE(CONTROL!$C$42, 8.823, 8.823) * CHOOSE(CONTROL!$C$21, $C$9, 100%, $E$9)</f>
        <v>8.8230000000000004</v>
      </c>
      <c r="C241" s="10">
        <f>CHOOSE(CONTROL!$C$42, 8.8281, 8.8281) * CHOOSE(CONTROL!$C$21, $C$9, 100%, $E$9)</f>
        <v>8.8280999999999992</v>
      </c>
      <c r="D241" s="10">
        <f>CHOOSE(CONTROL!$C$42, 8.8631, 8.8631) * CHOOSE(CONTROL!$C$21, $C$9, 100%, $E$9)</f>
        <v>8.8630999999999993</v>
      </c>
      <c r="E241" s="10">
        <f>CHOOSE(CONTROL!$C$42, 8.8969, 8.8969) * CHOOSE(CONTROL!$C$21, $C$9, 100%, $E$9)</f>
        <v>8.8969000000000005</v>
      </c>
      <c r="F241" s="10">
        <f>CHOOSE(CONTROL!$C$42, 8.8042, 8.8042)*CHOOSE(CONTROL!$C$21, $C$9, 100%, $E$9)</f>
        <v>8.8041999999999998</v>
      </c>
      <c r="G241" s="10">
        <f>CHOOSE(CONTROL!$C$42, 8.8231, 8.8231)*CHOOSE(CONTROL!$C$21, $C$9, 100%, $E$9)</f>
        <v>8.8231000000000002</v>
      </c>
      <c r="H241" s="10">
        <f>CHOOSE(CONTROL!$C$42, 8.8857, 8.8857) * CHOOSE(CONTROL!$C$21, $C$9, 100%, $E$9)</f>
        <v>8.8856999999999999</v>
      </c>
      <c r="I241" s="10">
        <f>CHOOSE(CONTROL!$C$42, 8.8302, 8.8302)* CHOOSE(CONTROL!$C$21, $C$9, 100%, $E$9)</f>
        <v>8.8301999999999996</v>
      </c>
      <c r="J241" s="10">
        <f>CHOOSE(CONTROL!$C$42, 8.7968, 8.7968)* CHOOSE(CONTROL!$C$21, $C$9, 100%, $E$9)</f>
        <v>8.7967999999999993</v>
      </c>
      <c r="K241" s="10">
        <f>CHOOSE(CONTROL!$C$42, 8.7309, 8.7309) * CHOOSE(CONTROL!$C$21, $C$9, 100%, $E$9)</f>
        <v>8.7309000000000001</v>
      </c>
      <c r="L241" s="10">
        <f>CHOOSE(CONTROL!$C$42, 9.4727, 9.4727) * CHOOSE(CONTROL!$C$21, $C$9, 100%, $E$9)</f>
        <v>9.4726999999999997</v>
      </c>
      <c r="M241" s="10">
        <f>CHOOSE(CONTROL!$C$42, 8.716, 8.716) * CHOOSE(CONTROL!$C$21, $C$9, 100%, $E$9)</f>
        <v>8.7159999999999993</v>
      </c>
      <c r="N241" s="10">
        <f>CHOOSE(CONTROL!$C$42, 8.7347, 8.7347) * CHOOSE(CONTROL!$C$21, $C$9, 100%, $E$9)</f>
        <v>8.7347000000000001</v>
      </c>
      <c r="O241" s="10">
        <f>CHOOSE(CONTROL!$C$42, 8.8038, 8.8038) * CHOOSE(CONTROL!$C$21, $C$9, 100%, $E$9)</f>
        <v>8.8038000000000007</v>
      </c>
      <c r="P241" s="10">
        <f>CHOOSE(CONTROL!$C$42, 8.749, 8.749) * CHOOSE(CONTROL!$C$21, $C$9, 100%, $E$9)</f>
        <v>8.7490000000000006</v>
      </c>
      <c r="Q241" s="10">
        <f>CHOOSE(CONTROL!$C$42, 9.3991, 9.3991) * CHOOSE(CONTROL!$C$21, $C$9, 100%, $E$9)</f>
        <v>9.3991000000000007</v>
      </c>
      <c r="R241" s="10">
        <f>CHOOSE(CONTROL!$C$42, 10.0096, 10.0096) * CHOOSE(CONTROL!$C$21, $C$9, 100%, $E$9)</f>
        <v>10.009600000000001</v>
      </c>
      <c r="S241" s="10">
        <f>CHOOSE(CONTROL!$C$42, 8.5599, 8.5599) * CHOOSE(CONTROL!$C$21, $C$9, 100%, $E$9)</f>
        <v>8.5599000000000007</v>
      </c>
      <c r="T24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38">
        <f>(1000*CHOOSE(CONTROL!$C$42, 695, 695)*CHOOSE(CONTROL!$C$42, 0.5599, 0.5599)*CHOOSE(CONTROL!$C$42, 31, 31))/1000000</f>
        <v>12.063045499999998</v>
      </c>
      <c r="V241" s="38">
        <f>(1000*CHOOSE(CONTROL!$C$42, 500, 500)*CHOOSE(CONTROL!$C$42, 0.275, 0.275)*CHOOSE(CONTROL!$C$42, 31, 31))/1000000</f>
        <v>4.2625000000000002</v>
      </c>
      <c r="W241" s="38">
        <f>(1000*CHOOSE(CONTROL!$C$42, 0.1146, 0.1146)*CHOOSE(CONTROL!$C$42, 121.5, 121.5)*CHOOSE(CONTROL!$C$42, 31, 31))/1000000</f>
        <v>0.43164089999999994</v>
      </c>
      <c r="X241" s="38">
        <f>(31*0.1790888*100000/1000000)+(31*0.2374*100000/1000000)</f>
        <v>1.2911152800000001</v>
      </c>
      <c r="Y241" s="38">
        <f>(1000*600*CHOOSE(CONTROL!$C$42, 1.6545, 1.6545)*CHOOSE(CONTROL!$C$42, 31, 31))/1000000</f>
        <v>30.773700000000002</v>
      </c>
      <c r="Z241" s="38"/>
      <c r="AA241" s="10"/>
      <c r="AB241" s="39"/>
      <c r="AC241" s="33">
        <f>(B241*122.58+C241*297.941+D241*89.177+E241*40.302+F241*40+G241*160+H241*0+I241*100+J241*300)/(122.58+297.941+89.177+40.302+0+40+160+100+300)</f>
        <v>8.8231720126956521</v>
      </c>
      <c r="AD241" s="27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8.7616187050359695</v>
      </c>
    </row>
    <row r="242" spans="1:30" ht="15" x14ac:dyDescent="0.2">
      <c r="A242" s="16">
        <v>48611</v>
      </c>
      <c r="B242" s="10">
        <f>CHOOSE(CONTROL!$C$42, 8.9803, 8.9803) * CHOOSE(CONTROL!$C$21, $C$9, 100%, $E$9)</f>
        <v>8.9802999999999997</v>
      </c>
      <c r="C242" s="10">
        <f>CHOOSE(CONTROL!$C$42, 8.9854, 8.9854) * CHOOSE(CONTROL!$C$21, $C$9, 100%, $E$9)</f>
        <v>8.9854000000000003</v>
      </c>
      <c r="D242" s="10">
        <f>CHOOSE(CONTROL!$C$42, 9.0204, 9.0204) * CHOOSE(CONTROL!$C$21, $C$9, 100%, $E$9)</f>
        <v>9.0204000000000004</v>
      </c>
      <c r="E242" s="10">
        <f>CHOOSE(CONTROL!$C$42, 9.0542, 9.0542) * CHOOSE(CONTROL!$C$21, $C$9, 100%, $E$9)</f>
        <v>9.0541999999999998</v>
      </c>
      <c r="F242" s="10">
        <f>CHOOSE(CONTROL!$C$42, 8.9611, 8.9611)*CHOOSE(CONTROL!$C$21, $C$9, 100%, $E$9)</f>
        <v>8.9611000000000001</v>
      </c>
      <c r="G242" s="10">
        <f>CHOOSE(CONTROL!$C$42, 8.9798, 8.9798)*CHOOSE(CONTROL!$C$21, $C$9, 100%, $E$9)</f>
        <v>8.9797999999999991</v>
      </c>
      <c r="H242" s="10">
        <f>CHOOSE(CONTROL!$C$42, 9.0431, 9.0431) * CHOOSE(CONTROL!$C$21, $C$9, 100%, $E$9)</f>
        <v>9.0431000000000008</v>
      </c>
      <c r="I242" s="10">
        <f>CHOOSE(CONTROL!$C$42, 8.9875, 8.9875)* CHOOSE(CONTROL!$C$21, $C$9, 100%, $E$9)</f>
        <v>8.9875000000000007</v>
      </c>
      <c r="J242" s="10">
        <f>CHOOSE(CONTROL!$C$42, 8.9537, 8.9537)* CHOOSE(CONTROL!$C$21, $C$9, 100%, $E$9)</f>
        <v>8.9536999999999995</v>
      </c>
      <c r="K242" s="10">
        <f>CHOOSE(CONTROL!$C$42, 8.8822, 8.8822) * CHOOSE(CONTROL!$C$21, $C$9, 100%, $E$9)</f>
        <v>8.8821999999999992</v>
      </c>
      <c r="L242" s="10">
        <f>CHOOSE(CONTROL!$C$42, 9.6301, 9.6301) * CHOOSE(CONTROL!$C$21, $C$9, 100%, $E$9)</f>
        <v>9.6301000000000005</v>
      </c>
      <c r="M242" s="10">
        <f>CHOOSE(CONTROL!$C$42, 8.8708, 8.8708) * CHOOSE(CONTROL!$C$21, $C$9, 100%, $E$9)</f>
        <v>8.8707999999999991</v>
      </c>
      <c r="N242" s="10">
        <f>CHOOSE(CONTROL!$C$42, 8.8893, 8.8893) * CHOOSE(CONTROL!$C$21, $C$9, 100%, $E$9)</f>
        <v>8.8893000000000004</v>
      </c>
      <c r="O242" s="10">
        <f>CHOOSE(CONTROL!$C$42, 8.9591, 8.9591) * CHOOSE(CONTROL!$C$21, $C$9, 100%, $E$9)</f>
        <v>8.9590999999999994</v>
      </c>
      <c r="P242" s="10">
        <f>CHOOSE(CONTROL!$C$42, 8.9043, 8.9043) * CHOOSE(CONTROL!$C$21, $C$9, 100%, $E$9)</f>
        <v>8.9042999999999992</v>
      </c>
      <c r="Q242" s="10">
        <f>CHOOSE(CONTROL!$C$42, 9.5544, 9.5544) * CHOOSE(CONTROL!$C$21, $C$9, 100%, $E$9)</f>
        <v>9.5543999999999993</v>
      </c>
      <c r="R242" s="10">
        <f>CHOOSE(CONTROL!$C$42, 10.1653, 10.1653) * CHOOSE(CONTROL!$C$21, $C$9, 100%, $E$9)</f>
        <v>10.1653</v>
      </c>
      <c r="S242" s="10">
        <f>CHOOSE(CONTROL!$C$42, 8.7123, 8.7123) * CHOOSE(CONTROL!$C$21, $C$9, 100%, $E$9)</f>
        <v>8.7123000000000008</v>
      </c>
      <c r="T24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42" s="38">
        <f>(1000*CHOOSE(CONTROL!$C$42, 695, 695)*CHOOSE(CONTROL!$C$42, 0.5599, 0.5599)*CHOOSE(CONTROL!$C$42, 28, 28))/1000000</f>
        <v>10.895653999999999</v>
      </c>
      <c r="V242" s="38">
        <f>(1000*CHOOSE(CONTROL!$C$42, 500, 500)*CHOOSE(CONTROL!$C$42, 0.275, 0.275)*CHOOSE(CONTROL!$C$42, 28, 28))/1000000</f>
        <v>3.85</v>
      </c>
      <c r="W242" s="38">
        <f>(1000*CHOOSE(CONTROL!$C$42, 0.1146, 0.1146)*CHOOSE(CONTROL!$C$42, 121.5, 121.5)*CHOOSE(CONTROL!$C$42, 28, 28))/1000000</f>
        <v>0.38986920000000003</v>
      </c>
      <c r="X242" s="38">
        <f>(28*0.1790888*100000/1000000)+(28*0.2374*100000/1000000)</f>
        <v>1.16616864</v>
      </c>
      <c r="Y242" s="38">
        <f>(1000*600*CHOOSE(CONTROL!$C$42, 1.6545, 1.6545)*CHOOSE(CONTROL!$C$42, 28, 28))/1000000</f>
        <v>27.7956</v>
      </c>
      <c r="Z242" s="38"/>
      <c r="AA242" s="10"/>
      <c r="AB242" s="39"/>
      <c r="AC242" s="33">
        <f>(B242*122.58+C242*297.941+D242*89.177+E242*40.302+F242*40+G242*160+H242*0+I242*100+J242*300)/(122.58+297.941+89.177+40.302+0+40+160+100+300)</f>
        <v>8.9802702735652193</v>
      </c>
      <c r="AD242" s="27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8.9167057553956823</v>
      </c>
    </row>
    <row r="243" spans="1:30" ht="15" x14ac:dyDescent="0.2">
      <c r="A243" s="16">
        <v>48639</v>
      </c>
      <c r="B243" s="10">
        <f>CHOOSE(CONTROL!$C$42, 8.7249, 8.7249) * CHOOSE(CONTROL!$C$21, $C$9, 100%, $E$9)</f>
        <v>8.7248999999999999</v>
      </c>
      <c r="C243" s="10">
        <f>CHOOSE(CONTROL!$C$42, 8.73, 8.73) * CHOOSE(CONTROL!$C$21, $C$9, 100%, $E$9)</f>
        <v>8.73</v>
      </c>
      <c r="D243" s="10">
        <f>CHOOSE(CONTROL!$C$42, 8.765, 8.765) * CHOOSE(CONTROL!$C$21, $C$9, 100%, $E$9)</f>
        <v>8.7650000000000006</v>
      </c>
      <c r="E243" s="10">
        <f>CHOOSE(CONTROL!$C$42, 8.7988, 8.7988) * CHOOSE(CONTROL!$C$21, $C$9, 100%, $E$9)</f>
        <v>8.7988</v>
      </c>
      <c r="F243" s="10">
        <f>CHOOSE(CONTROL!$C$42, 8.7043, 8.7043)*CHOOSE(CONTROL!$C$21, $C$9, 100%, $E$9)</f>
        <v>8.7042999999999999</v>
      </c>
      <c r="G243" s="10">
        <f>CHOOSE(CONTROL!$C$42, 8.7226, 8.7226)*CHOOSE(CONTROL!$C$21, $C$9, 100%, $E$9)</f>
        <v>8.7225999999999999</v>
      </c>
      <c r="H243" s="10">
        <f>CHOOSE(CONTROL!$C$42, 8.7877, 8.7877) * CHOOSE(CONTROL!$C$21, $C$9, 100%, $E$9)</f>
        <v>8.7876999999999992</v>
      </c>
      <c r="I243" s="10">
        <f>CHOOSE(CONTROL!$C$42, 8.7321, 8.7321)* CHOOSE(CONTROL!$C$21, $C$9, 100%, $E$9)</f>
        <v>8.7321000000000009</v>
      </c>
      <c r="J243" s="10">
        <f>CHOOSE(CONTROL!$C$42, 8.6969, 8.6969)* CHOOSE(CONTROL!$C$21, $C$9, 100%, $E$9)</f>
        <v>8.6968999999999994</v>
      </c>
      <c r="K243" s="10">
        <f>CHOOSE(CONTROL!$C$42, 8.6317, 8.6317) * CHOOSE(CONTROL!$C$21, $C$9, 100%, $E$9)</f>
        <v>8.6317000000000004</v>
      </c>
      <c r="L243" s="10">
        <f>CHOOSE(CONTROL!$C$42, 9.3747, 9.3747) * CHOOSE(CONTROL!$C$21, $C$9, 100%, $E$9)</f>
        <v>9.3747000000000007</v>
      </c>
      <c r="M243" s="10">
        <f>CHOOSE(CONTROL!$C$42, 8.6173, 8.6173) * CHOOSE(CONTROL!$C$21, $C$9, 100%, $E$9)</f>
        <v>8.6173000000000002</v>
      </c>
      <c r="N243" s="10">
        <f>CHOOSE(CONTROL!$C$42, 8.6355, 8.6355) * CHOOSE(CONTROL!$C$21, $C$9, 100%, $E$9)</f>
        <v>8.6355000000000004</v>
      </c>
      <c r="O243" s="10">
        <f>CHOOSE(CONTROL!$C$42, 8.707, 8.707) * CHOOSE(CONTROL!$C$21, $C$9, 100%, $E$9)</f>
        <v>8.7070000000000007</v>
      </c>
      <c r="P243" s="10">
        <f>CHOOSE(CONTROL!$C$42, 8.6522, 8.6522) * CHOOSE(CONTROL!$C$21, $C$9, 100%, $E$9)</f>
        <v>8.6522000000000006</v>
      </c>
      <c r="Q243" s="10">
        <f>CHOOSE(CONTROL!$C$42, 9.3023, 9.3023) * CHOOSE(CONTROL!$C$21, $C$9, 100%, $E$9)</f>
        <v>9.3023000000000007</v>
      </c>
      <c r="R243" s="10">
        <f>CHOOSE(CONTROL!$C$42, 9.9125, 9.9125) * CHOOSE(CONTROL!$C$21, $C$9, 100%, $E$9)</f>
        <v>9.9124999999999996</v>
      </c>
      <c r="S243" s="10">
        <f>CHOOSE(CONTROL!$C$42, 8.465, 8.465) * CHOOSE(CONTROL!$C$21, $C$9, 100%, $E$9)</f>
        <v>8.4649999999999999</v>
      </c>
      <c r="T24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38">
        <f>(1000*CHOOSE(CONTROL!$C$42, 695, 695)*CHOOSE(CONTROL!$C$42, 0.5599, 0.5599)*CHOOSE(CONTROL!$C$42, 31, 31))/1000000</f>
        <v>12.063045499999998</v>
      </c>
      <c r="V243" s="38">
        <f>(1000*CHOOSE(CONTROL!$C$42, 500, 500)*CHOOSE(CONTROL!$C$42, 0.275, 0.275)*CHOOSE(CONTROL!$C$42, 31, 31))/1000000</f>
        <v>4.2625000000000002</v>
      </c>
      <c r="W243" s="38">
        <f>(1000*CHOOSE(CONTROL!$C$42, 0.1146, 0.1146)*CHOOSE(CONTROL!$C$42, 121.5, 121.5)*CHOOSE(CONTROL!$C$42, 31, 31))/1000000</f>
        <v>0.43164089999999994</v>
      </c>
      <c r="X243" s="38">
        <f>(31*0.1790888*100000/1000000)+(31*0.2374*100000/1000000)</f>
        <v>1.2911152800000001</v>
      </c>
      <c r="Y243" s="38">
        <f>(1000*600*CHOOSE(CONTROL!$C$42, 1.6545, 1.6545)*CHOOSE(CONTROL!$C$42, 31, 31))/1000000</f>
        <v>30.773700000000002</v>
      </c>
      <c r="Z243" s="38"/>
      <c r="AA243" s="10"/>
      <c r="AB243" s="39"/>
      <c r="AC243" s="33">
        <f>(B243*122.58+C243*297.941+D243*89.177+E243*40.302+F243*40+G243*160+H243*0+I243*100+J243*300)/(122.58+297.941+89.177+40.302+0+40+160+100+300)</f>
        <v>8.7242059257391293</v>
      </c>
      <c r="AD243" s="27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8.664024460431655</v>
      </c>
    </row>
    <row r="244" spans="1:30" ht="15" x14ac:dyDescent="0.2">
      <c r="A244" s="16">
        <v>48670</v>
      </c>
      <c r="B244" s="10">
        <f>CHOOSE(CONTROL!$C$42, 8.6995, 8.6995) * CHOOSE(CONTROL!$C$21, $C$9, 100%, $E$9)</f>
        <v>8.6995000000000005</v>
      </c>
      <c r="C244" s="10">
        <f>CHOOSE(CONTROL!$C$42, 8.704, 8.704) * CHOOSE(CONTROL!$C$21, $C$9, 100%, $E$9)</f>
        <v>8.7040000000000006</v>
      </c>
      <c r="D244" s="10">
        <f>CHOOSE(CONTROL!$C$42, 8.8822, 8.8822) * CHOOSE(CONTROL!$C$21, $C$9, 100%, $E$9)</f>
        <v>8.8821999999999992</v>
      </c>
      <c r="E244" s="10">
        <f>CHOOSE(CONTROL!$C$42, 8.9141, 8.9141) * CHOOSE(CONTROL!$C$21, $C$9, 100%, $E$9)</f>
        <v>8.9140999999999995</v>
      </c>
      <c r="F244" s="10">
        <f>CHOOSE(CONTROL!$C$42, 8.6429, 8.6429)*CHOOSE(CONTROL!$C$21, $C$9, 100%, $E$9)</f>
        <v>8.6428999999999991</v>
      </c>
      <c r="G244" s="10">
        <f>CHOOSE(CONTROL!$C$42, 8.6595, 8.6595)*CHOOSE(CONTROL!$C$21, $C$9, 100%, $E$9)</f>
        <v>8.6594999999999995</v>
      </c>
      <c r="H244" s="10">
        <f>CHOOSE(CONTROL!$C$42, 8.9035, 8.9035) * CHOOSE(CONTROL!$C$21, $C$9, 100%, $E$9)</f>
        <v>8.9034999999999993</v>
      </c>
      <c r="I244" s="10">
        <f>CHOOSE(CONTROL!$C$42, 8.6755, 8.6755)* CHOOSE(CONTROL!$C$21, $C$9, 100%, $E$9)</f>
        <v>8.6754999999999995</v>
      </c>
      <c r="J244" s="10">
        <f>CHOOSE(CONTROL!$C$42, 8.6355, 8.6355)* CHOOSE(CONTROL!$C$21, $C$9, 100%, $E$9)</f>
        <v>8.6355000000000004</v>
      </c>
      <c r="K244" s="10">
        <f>CHOOSE(CONTROL!$C$42, 8.5622, 8.5622) * CHOOSE(CONTROL!$C$21, $C$9, 100%, $E$9)</f>
        <v>8.5622000000000007</v>
      </c>
      <c r="L244" s="10">
        <f>CHOOSE(CONTROL!$C$42, 9.4905, 9.4905) * CHOOSE(CONTROL!$C$21, $C$9, 100%, $E$9)</f>
        <v>9.4905000000000008</v>
      </c>
      <c r="M244" s="10">
        <f>CHOOSE(CONTROL!$C$42, 8.5568, 8.5568) * CHOOSE(CONTROL!$C$21, $C$9, 100%, $E$9)</f>
        <v>8.5568000000000008</v>
      </c>
      <c r="N244" s="10">
        <f>CHOOSE(CONTROL!$C$42, 8.5732, 8.5732) * CHOOSE(CONTROL!$C$21, $C$9, 100%, $E$9)</f>
        <v>8.5731999999999999</v>
      </c>
      <c r="O244" s="10">
        <f>CHOOSE(CONTROL!$C$42, 8.8213, 8.8213) * CHOOSE(CONTROL!$C$21, $C$9, 100%, $E$9)</f>
        <v>8.8213000000000008</v>
      </c>
      <c r="P244" s="10">
        <f>CHOOSE(CONTROL!$C$42, 8.5963, 8.5963) * CHOOSE(CONTROL!$C$21, $C$9, 100%, $E$9)</f>
        <v>8.5962999999999994</v>
      </c>
      <c r="Q244" s="10">
        <f>CHOOSE(CONTROL!$C$42, 9.4166, 9.4166) * CHOOSE(CONTROL!$C$21, $C$9, 100%, $E$9)</f>
        <v>9.4166000000000007</v>
      </c>
      <c r="R244" s="10">
        <f>CHOOSE(CONTROL!$C$42, 10.0271, 10.0271) * CHOOSE(CONTROL!$C$21, $C$9, 100%, $E$9)</f>
        <v>10.027100000000001</v>
      </c>
      <c r="S244" s="10">
        <f>CHOOSE(CONTROL!$C$42, 8.4396, 8.4396) * CHOOSE(CONTROL!$C$21, $C$9, 100%, $E$9)</f>
        <v>8.4396000000000004</v>
      </c>
      <c r="T24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38">
        <f>(1000*CHOOSE(CONTROL!$C$42, 695, 695)*CHOOSE(CONTROL!$C$42, 0.5599, 0.5599)*CHOOSE(CONTROL!$C$42, 30, 30))/1000000</f>
        <v>11.673914999999997</v>
      </c>
      <c r="V244" s="38">
        <f>(1000*CHOOSE(CONTROL!$C$42, 500, 500)*CHOOSE(CONTROL!$C$42, 0.275, 0.275)*CHOOSE(CONTROL!$C$42, 30, 30))/1000000</f>
        <v>4.125</v>
      </c>
      <c r="W244" s="38">
        <f>(1000*CHOOSE(CONTROL!$C$42, 0.1146, 0.1146)*CHOOSE(CONTROL!$C$42, 121.5, 121.5)*CHOOSE(CONTROL!$C$42, 30, 30))/1000000</f>
        <v>0.417717</v>
      </c>
      <c r="X244" s="38">
        <f>(30*0.1790888*245000/1000000)+(30*0.2374*100000/1000000)</f>
        <v>2.0285026799999999</v>
      </c>
      <c r="Y244" s="38">
        <f>(1000*600*CHOOSE(CONTROL!$C$42, 1.6545, 1.6545)*CHOOSE(CONTROL!$C$42, 30, 30))/1000000</f>
        <v>29.780999999999999</v>
      </c>
      <c r="Z244" s="38"/>
      <c r="AA244" s="10"/>
      <c r="AB244" s="39"/>
      <c r="AC244" s="33">
        <f>(B244*141.293+C244*267.993+D244*115.016+E244*89.698+F244*40+G244*185+H244*0+I244*100+J244*300)/(141.293+267.993+115.016+89.698+0+40+185+100+300)</f>
        <v>8.7077361440677965</v>
      </c>
      <c r="AD244" s="27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8.6404712230215832</v>
      </c>
    </row>
    <row r="245" spans="1:30" ht="15" x14ac:dyDescent="0.2">
      <c r="A245" s="16">
        <v>48700</v>
      </c>
      <c r="B245" s="10">
        <f>CHOOSE(CONTROL!$C$42, 8.7782, 8.7782) * CHOOSE(CONTROL!$C$21, $C$9, 100%, $E$9)</f>
        <v>8.7782</v>
      </c>
      <c r="C245" s="10">
        <f>CHOOSE(CONTROL!$C$42, 8.7862, 8.7862) * CHOOSE(CONTROL!$C$21, $C$9, 100%, $E$9)</f>
        <v>8.7861999999999991</v>
      </c>
      <c r="D245" s="10">
        <f>CHOOSE(CONTROL!$C$42, 8.9613, 8.9613) * CHOOSE(CONTROL!$C$21, $C$9, 100%, $E$9)</f>
        <v>8.9612999999999996</v>
      </c>
      <c r="E245" s="10">
        <f>CHOOSE(CONTROL!$C$42, 8.9925, 8.9925) * CHOOSE(CONTROL!$C$21, $C$9, 100%, $E$9)</f>
        <v>8.9924999999999997</v>
      </c>
      <c r="F245" s="10">
        <f>CHOOSE(CONTROL!$C$42, 8.7198, 8.7198)*CHOOSE(CONTROL!$C$21, $C$9, 100%, $E$9)</f>
        <v>8.7197999999999993</v>
      </c>
      <c r="G245" s="10">
        <f>CHOOSE(CONTROL!$C$42, 8.7367, 8.7367)*CHOOSE(CONTROL!$C$21, $C$9, 100%, $E$9)</f>
        <v>8.7367000000000008</v>
      </c>
      <c r="H245" s="10">
        <f>CHOOSE(CONTROL!$C$42, 8.9808, 8.9808) * CHOOSE(CONTROL!$C$21, $C$9, 100%, $E$9)</f>
        <v>8.9808000000000003</v>
      </c>
      <c r="I245" s="10">
        <f>CHOOSE(CONTROL!$C$42, 8.7528, 8.7528)* CHOOSE(CONTROL!$C$21, $C$9, 100%, $E$9)</f>
        <v>8.7528000000000006</v>
      </c>
      <c r="J245" s="10">
        <f>CHOOSE(CONTROL!$C$42, 8.7124, 8.7124)* CHOOSE(CONTROL!$C$21, $C$9, 100%, $E$9)</f>
        <v>8.7124000000000006</v>
      </c>
      <c r="K245" s="10">
        <f>CHOOSE(CONTROL!$C$42, 8.6362, 8.6362) * CHOOSE(CONTROL!$C$21, $C$9, 100%, $E$9)</f>
        <v>8.6362000000000005</v>
      </c>
      <c r="L245" s="10">
        <f>CHOOSE(CONTROL!$C$42, 9.5678, 9.5678) * CHOOSE(CONTROL!$C$21, $C$9, 100%, $E$9)</f>
        <v>9.5678000000000001</v>
      </c>
      <c r="M245" s="10">
        <f>CHOOSE(CONTROL!$C$42, 8.6327, 8.6327) * CHOOSE(CONTROL!$C$21, $C$9, 100%, $E$9)</f>
        <v>8.6326999999999998</v>
      </c>
      <c r="N245" s="10">
        <f>CHOOSE(CONTROL!$C$42, 8.6494, 8.6494) * CHOOSE(CONTROL!$C$21, $C$9, 100%, $E$9)</f>
        <v>8.6494</v>
      </c>
      <c r="O245" s="10">
        <f>CHOOSE(CONTROL!$C$42, 8.8976, 8.8976) * CHOOSE(CONTROL!$C$21, $C$9, 100%, $E$9)</f>
        <v>8.8976000000000006</v>
      </c>
      <c r="P245" s="10">
        <f>CHOOSE(CONTROL!$C$42, 8.6726, 8.6726) * CHOOSE(CONTROL!$C$21, $C$9, 100%, $E$9)</f>
        <v>8.6725999999999992</v>
      </c>
      <c r="Q245" s="10">
        <f>CHOOSE(CONTROL!$C$42, 9.4929, 9.4929) * CHOOSE(CONTROL!$C$21, $C$9, 100%, $E$9)</f>
        <v>9.4929000000000006</v>
      </c>
      <c r="R245" s="10">
        <f>CHOOSE(CONTROL!$C$42, 10.1036, 10.1036) * CHOOSE(CONTROL!$C$21, $C$9, 100%, $E$9)</f>
        <v>10.1036</v>
      </c>
      <c r="S245" s="10">
        <f>CHOOSE(CONTROL!$C$42, 8.5145, 8.5145) * CHOOSE(CONTROL!$C$21, $C$9, 100%, $E$9)</f>
        <v>8.5145</v>
      </c>
      <c r="T24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38">
        <f>(1000*CHOOSE(CONTROL!$C$42, 695, 695)*CHOOSE(CONTROL!$C$42, 0.5599, 0.5599)*CHOOSE(CONTROL!$C$42, 31, 31))/1000000</f>
        <v>12.063045499999998</v>
      </c>
      <c r="V245" s="38">
        <f>(1000*CHOOSE(CONTROL!$C$42, 500, 500)*CHOOSE(CONTROL!$C$42, 0.275, 0.275)*CHOOSE(CONTROL!$C$42, 31, 31))/1000000</f>
        <v>4.2625000000000002</v>
      </c>
      <c r="W245" s="38">
        <f>(1000*CHOOSE(CONTROL!$C$42, 0.1146, 0.1146)*CHOOSE(CONTROL!$C$42, 121.5, 121.5)*CHOOSE(CONTROL!$C$42, 31, 31))/1000000</f>
        <v>0.43164089999999994</v>
      </c>
      <c r="X245" s="38">
        <f>(31*0.1790888*245000/1000000)+(31*0.2374*100000/1000000)</f>
        <v>2.0961194359999999</v>
      </c>
      <c r="Y245" s="38">
        <f>(1000*600*CHOOSE(CONTROL!$C$42, 1.6545, 1.6545)*CHOOSE(CONTROL!$C$42, 31, 31))/1000000</f>
        <v>30.773700000000002</v>
      </c>
      <c r="Z245" s="38"/>
      <c r="AA245" s="10"/>
      <c r="AB245" s="39"/>
      <c r="AC245" s="33">
        <f>(B245*194.205+C245*267.466+D245*133.845+E245*53.484+F245*40+G245*185+H245*0+I245*100+J245*300)/(194.205+267.466+133.845+53.484+0+40+185+100+300)</f>
        <v>8.7827642611459975</v>
      </c>
      <c r="AD245" s="27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8.716610071942446</v>
      </c>
    </row>
    <row r="246" spans="1:30" ht="15" x14ac:dyDescent="0.2">
      <c r="A246" s="16">
        <v>48731</v>
      </c>
      <c r="B246" s="10">
        <f>CHOOSE(CONTROL!$C$42, 9.0276, 9.0276) * CHOOSE(CONTROL!$C$21, $C$9, 100%, $E$9)</f>
        <v>9.0275999999999996</v>
      </c>
      <c r="C246" s="10">
        <f>CHOOSE(CONTROL!$C$42, 9.0355, 9.0355) * CHOOSE(CONTROL!$C$21, $C$9, 100%, $E$9)</f>
        <v>9.0355000000000008</v>
      </c>
      <c r="D246" s="10">
        <f>CHOOSE(CONTROL!$C$42, 9.2107, 9.2107) * CHOOSE(CONTROL!$C$21, $C$9, 100%, $E$9)</f>
        <v>9.2106999999999992</v>
      </c>
      <c r="E246" s="10">
        <f>CHOOSE(CONTROL!$C$42, 9.2419, 9.2419) * CHOOSE(CONTROL!$C$21, $C$9, 100%, $E$9)</f>
        <v>9.2418999999999993</v>
      </c>
      <c r="F246" s="10">
        <f>CHOOSE(CONTROL!$C$42, 8.9694, 8.9694)*CHOOSE(CONTROL!$C$21, $C$9, 100%, $E$9)</f>
        <v>8.9694000000000003</v>
      </c>
      <c r="G246" s="10">
        <f>CHOOSE(CONTROL!$C$42, 8.9864, 8.9864)*CHOOSE(CONTROL!$C$21, $C$9, 100%, $E$9)</f>
        <v>8.9863999999999997</v>
      </c>
      <c r="H246" s="10">
        <f>CHOOSE(CONTROL!$C$42, 9.2302, 9.2302) * CHOOSE(CONTROL!$C$21, $C$9, 100%, $E$9)</f>
        <v>9.2302</v>
      </c>
      <c r="I246" s="10">
        <f>CHOOSE(CONTROL!$C$42, 9.0022, 9.0022)* CHOOSE(CONTROL!$C$21, $C$9, 100%, $E$9)</f>
        <v>9.0022000000000002</v>
      </c>
      <c r="J246" s="10">
        <f>CHOOSE(CONTROL!$C$42, 8.962, 8.962)* CHOOSE(CONTROL!$C$21, $C$9, 100%, $E$9)</f>
        <v>8.9619999999999997</v>
      </c>
      <c r="K246" s="10">
        <f>CHOOSE(CONTROL!$C$42, 8.8782, 8.8782) * CHOOSE(CONTROL!$C$21, $C$9, 100%, $E$9)</f>
        <v>8.8781999999999996</v>
      </c>
      <c r="L246" s="10">
        <f>CHOOSE(CONTROL!$C$42, 9.8172, 9.8172) * CHOOSE(CONTROL!$C$21, $C$9, 100%, $E$9)</f>
        <v>9.8171999999999997</v>
      </c>
      <c r="M246" s="10">
        <f>CHOOSE(CONTROL!$C$42, 8.8791, 8.8791) * CHOOSE(CONTROL!$C$21, $C$9, 100%, $E$9)</f>
        <v>8.8790999999999993</v>
      </c>
      <c r="N246" s="10">
        <f>CHOOSE(CONTROL!$C$42, 8.8958, 8.8958) * CHOOSE(CONTROL!$C$21, $C$9, 100%, $E$9)</f>
        <v>8.8957999999999995</v>
      </c>
      <c r="O246" s="10">
        <f>CHOOSE(CONTROL!$C$42, 9.1438, 9.1438) * CHOOSE(CONTROL!$C$21, $C$9, 100%, $E$9)</f>
        <v>9.1438000000000006</v>
      </c>
      <c r="P246" s="10">
        <f>CHOOSE(CONTROL!$C$42, 8.9188, 8.9188) * CHOOSE(CONTROL!$C$21, $C$9, 100%, $E$9)</f>
        <v>8.9187999999999992</v>
      </c>
      <c r="Q246" s="10">
        <f>CHOOSE(CONTROL!$C$42, 9.7391, 9.7391) * CHOOSE(CONTROL!$C$21, $C$9, 100%, $E$9)</f>
        <v>9.7391000000000005</v>
      </c>
      <c r="R246" s="10">
        <f>CHOOSE(CONTROL!$C$42, 10.3504, 10.3504) * CHOOSE(CONTROL!$C$21, $C$9, 100%, $E$9)</f>
        <v>10.3504</v>
      </c>
      <c r="S246" s="10">
        <f>CHOOSE(CONTROL!$C$42, 8.756, 8.756) * CHOOSE(CONTROL!$C$21, $C$9, 100%, $E$9)</f>
        <v>8.7560000000000002</v>
      </c>
      <c r="T24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38">
        <f>(1000*CHOOSE(CONTROL!$C$42, 695, 695)*CHOOSE(CONTROL!$C$42, 0.5599, 0.5599)*CHOOSE(CONTROL!$C$42, 30, 30))/1000000</f>
        <v>11.673914999999997</v>
      </c>
      <c r="V246" s="38">
        <f>(1000*CHOOSE(CONTROL!$C$42, 500, 500)*CHOOSE(CONTROL!$C$42, 0.275, 0.275)*CHOOSE(CONTROL!$C$42, 30, 30))/1000000</f>
        <v>4.125</v>
      </c>
      <c r="W246" s="38">
        <f>(1000*CHOOSE(CONTROL!$C$42, 0.1146, 0.1146)*CHOOSE(CONTROL!$C$42, 121.5, 121.5)*CHOOSE(CONTROL!$C$42, 30, 30))/1000000</f>
        <v>0.417717</v>
      </c>
      <c r="X246" s="38">
        <f>(30*0.1790888*245000/1000000)+(30*0.2374*100000/1000000)</f>
        <v>2.0285026799999999</v>
      </c>
      <c r="Y246" s="38">
        <f>(1000*600*CHOOSE(CONTROL!$C$42, 1.6545, 1.6545)*CHOOSE(CONTROL!$C$42, 30, 30))/1000000</f>
        <v>29.780999999999999</v>
      </c>
      <c r="Z246" s="38"/>
      <c r="AA246" s="10"/>
      <c r="AB246" s="39"/>
      <c r="AC246" s="33">
        <f>(B246*194.205+C246*267.466+D246*133.845+E246*53.484+F246*40+G246*185+H246*0+I246*100+J246*300)/(194.205+267.466+133.845+53.484+0+40+185+100+300)</f>
        <v>9.032240205729984</v>
      </c>
      <c r="AD246" s="27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8.962925179856116</v>
      </c>
    </row>
    <row r="247" spans="1:30" ht="15" x14ac:dyDescent="0.2">
      <c r="A247" s="16">
        <v>48761</v>
      </c>
      <c r="B247" s="10">
        <f>CHOOSE(CONTROL!$C$42, 8.8541, 8.8541) * CHOOSE(CONTROL!$C$21, $C$9, 100%, $E$9)</f>
        <v>8.8541000000000007</v>
      </c>
      <c r="C247" s="10">
        <f>CHOOSE(CONTROL!$C$42, 8.8621, 8.8621) * CHOOSE(CONTROL!$C$21, $C$9, 100%, $E$9)</f>
        <v>8.8620999999999999</v>
      </c>
      <c r="D247" s="10">
        <f>CHOOSE(CONTROL!$C$42, 9.0372, 9.0372) * CHOOSE(CONTROL!$C$21, $C$9, 100%, $E$9)</f>
        <v>9.0372000000000003</v>
      </c>
      <c r="E247" s="10">
        <f>CHOOSE(CONTROL!$C$42, 9.0684, 9.0684) * CHOOSE(CONTROL!$C$21, $C$9, 100%, $E$9)</f>
        <v>9.0684000000000005</v>
      </c>
      <c r="F247" s="10">
        <f>CHOOSE(CONTROL!$C$42, 8.7963, 8.7963)*CHOOSE(CONTROL!$C$21, $C$9, 100%, $E$9)</f>
        <v>8.7963000000000005</v>
      </c>
      <c r="G247" s="10">
        <f>CHOOSE(CONTROL!$C$42, 8.8133, 8.8133)*CHOOSE(CONTROL!$C$21, $C$9, 100%, $E$9)</f>
        <v>8.8132999999999999</v>
      </c>
      <c r="H247" s="10">
        <f>CHOOSE(CONTROL!$C$42, 9.0568, 9.0568) * CHOOSE(CONTROL!$C$21, $C$9, 100%, $E$9)</f>
        <v>9.0568000000000008</v>
      </c>
      <c r="I247" s="10">
        <f>CHOOSE(CONTROL!$C$42, 8.8287, 8.8287)* CHOOSE(CONTROL!$C$21, $C$9, 100%, $E$9)</f>
        <v>8.8286999999999995</v>
      </c>
      <c r="J247" s="10">
        <f>CHOOSE(CONTROL!$C$42, 8.7889, 8.7889)* CHOOSE(CONTROL!$C$21, $C$9, 100%, $E$9)</f>
        <v>8.7888999999999999</v>
      </c>
      <c r="K247" s="10">
        <f>CHOOSE(CONTROL!$C$42, 8.7109, 8.7109) * CHOOSE(CONTROL!$C$21, $C$9, 100%, $E$9)</f>
        <v>8.7109000000000005</v>
      </c>
      <c r="L247" s="10">
        <f>CHOOSE(CONTROL!$C$42, 9.6438, 9.6438) * CHOOSE(CONTROL!$C$21, $C$9, 100%, $E$9)</f>
        <v>9.6438000000000006</v>
      </c>
      <c r="M247" s="10">
        <f>CHOOSE(CONTROL!$C$42, 8.7082, 8.7082) * CHOOSE(CONTROL!$C$21, $C$9, 100%, $E$9)</f>
        <v>8.7081999999999997</v>
      </c>
      <c r="N247" s="10">
        <f>CHOOSE(CONTROL!$C$42, 8.725, 8.725) * CHOOSE(CONTROL!$C$21, $C$9, 100%, $E$9)</f>
        <v>8.7249999999999996</v>
      </c>
      <c r="O247" s="10">
        <f>CHOOSE(CONTROL!$C$42, 8.9726, 8.9726) * CHOOSE(CONTROL!$C$21, $C$9, 100%, $E$9)</f>
        <v>8.9725999999999999</v>
      </c>
      <c r="P247" s="10">
        <f>CHOOSE(CONTROL!$C$42, 8.7475, 8.7475) * CHOOSE(CONTROL!$C$21, $C$9, 100%, $E$9)</f>
        <v>8.7475000000000005</v>
      </c>
      <c r="Q247" s="10">
        <f>CHOOSE(CONTROL!$C$42, 9.5679, 9.5679) * CHOOSE(CONTROL!$C$21, $C$9, 100%, $E$9)</f>
        <v>9.5678999999999998</v>
      </c>
      <c r="R247" s="10">
        <f>CHOOSE(CONTROL!$C$42, 10.1788, 10.1788) * CHOOSE(CONTROL!$C$21, $C$9, 100%, $E$9)</f>
        <v>10.178800000000001</v>
      </c>
      <c r="S247" s="10">
        <f>CHOOSE(CONTROL!$C$42, 8.588, 8.588) * CHOOSE(CONTROL!$C$21, $C$9, 100%, $E$9)</f>
        <v>8.5879999999999992</v>
      </c>
      <c r="T24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38">
        <f>(1000*CHOOSE(CONTROL!$C$42, 695, 695)*CHOOSE(CONTROL!$C$42, 0.5599, 0.5599)*CHOOSE(CONTROL!$C$42, 31, 31))/1000000</f>
        <v>12.063045499999998</v>
      </c>
      <c r="V247" s="38">
        <f>(1000*CHOOSE(CONTROL!$C$42, 500, 500)*CHOOSE(CONTROL!$C$42, 0.275, 0.275)*CHOOSE(CONTROL!$C$42, 31, 31))/1000000</f>
        <v>4.2625000000000002</v>
      </c>
      <c r="W247" s="38">
        <f>(1000*CHOOSE(CONTROL!$C$42, 0.1146, 0.1146)*CHOOSE(CONTROL!$C$42, 121.5, 121.5)*CHOOSE(CONTROL!$C$42, 31, 31))/1000000</f>
        <v>0.43164089999999994</v>
      </c>
      <c r="X247" s="38">
        <f>(31*0.1790888*245000/1000000)+(31*0.2374*100000/1000000)</f>
        <v>2.0961194359999999</v>
      </c>
      <c r="Y247" s="38">
        <f>(1000*600*CHOOSE(CONTROL!$C$42, 1.6545, 1.6545)*CHOOSE(CONTROL!$C$42, 31, 31))/1000000</f>
        <v>30.773700000000002</v>
      </c>
      <c r="Z247" s="38"/>
      <c r="AA247" s="10"/>
      <c r="AB247" s="39"/>
      <c r="AC247" s="33">
        <f>(B247*194.205+C247*267.466+D247*133.845+E247*53.484+F247*40+G247*185+H247*0+I247*100+J247*300)/(194.205+267.466+133.845+53.484+0+40+185+100+300)</f>
        <v>8.858926035086343</v>
      </c>
      <c r="AD247" s="27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8.7919064748201432</v>
      </c>
    </row>
    <row r="248" spans="1:30" ht="15" x14ac:dyDescent="0.2">
      <c r="A248" s="16">
        <v>48792</v>
      </c>
      <c r="B248" s="10">
        <f>CHOOSE(CONTROL!$C$42, 8.4161, 8.4161) * CHOOSE(CONTROL!$C$21, $C$9, 100%, $E$9)</f>
        <v>8.4161000000000001</v>
      </c>
      <c r="C248" s="10">
        <f>CHOOSE(CONTROL!$C$42, 8.4241, 8.4241) * CHOOSE(CONTROL!$C$21, $C$9, 100%, $E$9)</f>
        <v>8.4240999999999993</v>
      </c>
      <c r="D248" s="10">
        <f>CHOOSE(CONTROL!$C$42, 8.5992, 8.5992) * CHOOSE(CONTROL!$C$21, $C$9, 100%, $E$9)</f>
        <v>8.5991999999999997</v>
      </c>
      <c r="E248" s="10">
        <f>CHOOSE(CONTROL!$C$42, 8.6304, 8.6304) * CHOOSE(CONTROL!$C$21, $C$9, 100%, $E$9)</f>
        <v>8.6303999999999998</v>
      </c>
      <c r="F248" s="10">
        <f>CHOOSE(CONTROL!$C$42, 8.3582, 8.3582)*CHOOSE(CONTROL!$C$21, $C$9, 100%, $E$9)</f>
        <v>8.3582000000000001</v>
      </c>
      <c r="G248" s="10">
        <f>CHOOSE(CONTROL!$C$42, 8.3752, 8.3752)*CHOOSE(CONTROL!$C$21, $C$9, 100%, $E$9)</f>
        <v>8.3751999999999995</v>
      </c>
      <c r="H248" s="10">
        <f>CHOOSE(CONTROL!$C$42, 8.6187, 8.6187) * CHOOSE(CONTROL!$C$21, $C$9, 100%, $E$9)</f>
        <v>8.6187000000000005</v>
      </c>
      <c r="I248" s="10">
        <f>CHOOSE(CONTROL!$C$42, 8.3907, 8.3907)* CHOOSE(CONTROL!$C$21, $C$9, 100%, $E$9)</f>
        <v>8.3907000000000007</v>
      </c>
      <c r="J248" s="10">
        <f>CHOOSE(CONTROL!$C$42, 8.3508, 8.3508)* CHOOSE(CONTROL!$C$21, $C$9, 100%, $E$9)</f>
        <v>8.3507999999999996</v>
      </c>
      <c r="K248" s="10">
        <f>CHOOSE(CONTROL!$C$42, 8.2863, 8.2863) * CHOOSE(CONTROL!$C$21, $C$9, 100%, $E$9)</f>
        <v>8.2863000000000007</v>
      </c>
      <c r="L248" s="10">
        <f>CHOOSE(CONTROL!$C$42, 9.2057, 9.2057) * CHOOSE(CONTROL!$C$21, $C$9, 100%, $E$9)</f>
        <v>9.2057000000000002</v>
      </c>
      <c r="M248" s="10">
        <f>CHOOSE(CONTROL!$C$42, 8.2757, 8.2757) * CHOOSE(CONTROL!$C$21, $C$9, 100%, $E$9)</f>
        <v>8.2757000000000005</v>
      </c>
      <c r="N248" s="10">
        <f>CHOOSE(CONTROL!$C$42, 8.2925, 8.2925) * CHOOSE(CONTROL!$C$21, $C$9, 100%, $E$9)</f>
        <v>8.2925000000000004</v>
      </c>
      <c r="O248" s="10">
        <f>CHOOSE(CONTROL!$C$42, 8.5402, 8.5402) * CHOOSE(CONTROL!$C$21, $C$9, 100%, $E$9)</f>
        <v>8.5402000000000005</v>
      </c>
      <c r="P248" s="10">
        <f>CHOOSE(CONTROL!$C$42, 8.3152, 8.3152) * CHOOSE(CONTROL!$C$21, $C$9, 100%, $E$9)</f>
        <v>8.3152000000000008</v>
      </c>
      <c r="Q248" s="10">
        <f>CHOOSE(CONTROL!$C$42, 9.1355, 9.1355) * CHOOSE(CONTROL!$C$21, $C$9, 100%, $E$9)</f>
        <v>9.1355000000000004</v>
      </c>
      <c r="R248" s="10">
        <f>CHOOSE(CONTROL!$C$42, 9.7453, 9.7453) * CHOOSE(CONTROL!$C$21, $C$9, 100%, $E$9)</f>
        <v>9.7453000000000003</v>
      </c>
      <c r="S248" s="10">
        <f>CHOOSE(CONTROL!$C$42, 8.1639, 8.1639) * CHOOSE(CONTROL!$C$21, $C$9, 100%, $E$9)</f>
        <v>8.1638999999999999</v>
      </c>
      <c r="T24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38">
        <f>(1000*CHOOSE(CONTROL!$C$42, 695, 695)*CHOOSE(CONTROL!$C$42, 0.5599, 0.5599)*CHOOSE(CONTROL!$C$42, 31, 31))/1000000</f>
        <v>12.063045499999998</v>
      </c>
      <c r="V248" s="38">
        <f>(1000*CHOOSE(CONTROL!$C$42, 500, 500)*CHOOSE(CONTROL!$C$42, 0.275, 0.275)*CHOOSE(CONTROL!$C$42, 31, 31))/1000000</f>
        <v>4.2625000000000002</v>
      </c>
      <c r="W248" s="38">
        <f>(1000*CHOOSE(CONTROL!$C$42, 0.1146, 0.1146)*CHOOSE(CONTROL!$C$42, 121.5, 121.5)*CHOOSE(CONTROL!$C$42, 31, 31))/1000000</f>
        <v>0.43164089999999994</v>
      </c>
      <c r="X248" s="38">
        <f>(31*0.1790888*245000/1000000)+(31*0.2374*100000/1000000)</f>
        <v>2.0961194359999999</v>
      </c>
      <c r="Y248" s="38">
        <f>(1000*600*CHOOSE(CONTROL!$C$42, 1.6545, 1.6545)*CHOOSE(CONTROL!$C$42, 31, 31))/1000000</f>
        <v>30.773700000000002</v>
      </c>
      <c r="Z248" s="38"/>
      <c r="AA248" s="10"/>
      <c r="AB248" s="39"/>
      <c r="AC248" s="33">
        <f>(B248*194.205+C248*267.466+D248*133.845+E248*53.484+F248*40+G248*185+H248*0+I248*100+J248*300)/(194.205+267.466+133.845+53.484+0+40+185+100+300)</f>
        <v>8.4208848262951328</v>
      </c>
      <c r="AD248" s="27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8.3594633093525204</v>
      </c>
    </row>
    <row r="249" spans="1:30" ht="15" x14ac:dyDescent="0.2">
      <c r="A249" s="16">
        <v>48823</v>
      </c>
      <c r="B249" s="10">
        <f>CHOOSE(CONTROL!$C$42, 7.8809, 7.8809) * CHOOSE(CONTROL!$C$21, $C$9, 100%, $E$9)</f>
        <v>7.8808999999999996</v>
      </c>
      <c r="C249" s="10">
        <f>CHOOSE(CONTROL!$C$42, 7.8889, 7.8889) * CHOOSE(CONTROL!$C$21, $C$9, 100%, $E$9)</f>
        <v>7.8888999999999996</v>
      </c>
      <c r="D249" s="10">
        <f>CHOOSE(CONTROL!$C$42, 8.064, 8.064) * CHOOSE(CONTROL!$C$21, $C$9, 100%, $E$9)</f>
        <v>8.0640000000000001</v>
      </c>
      <c r="E249" s="10">
        <f>CHOOSE(CONTROL!$C$42, 8.0952, 8.0952) * CHOOSE(CONTROL!$C$21, $C$9, 100%, $E$9)</f>
        <v>8.0952000000000002</v>
      </c>
      <c r="F249" s="10">
        <f>CHOOSE(CONTROL!$C$42, 7.8227, 7.8227)*CHOOSE(CONTROL!$C$21, $C$9, 100%, $E$9)</f>
        <v>7.8227000000000002</v>
      </c>
      <c r="G249" s="10">
        <f>CHOOSE(CONTROL!$C$42, 7.8396, 7.8396)*CHOOSE(CONTROL!$C$21, $C$9, 100%, $E$9)</f>
        <v>7.8395999999999999</v>
      </c>
      <c r="H249" s="10">
        <f>CHOOSE(CONTROL!$C$42, 8.0835, 8.0835) * CHOOSE(CONTROL!$C$21, $C$9, 100%, $E$9)</f>
        <v>8.0835000000000008</v>
      </c>
      <c r="I249" s="10">
        <f>CHOOSE(CONTROL!$C$42, 7.8555, 7.8555)* CHOOSE(CONTROL!$C$21, $C$9, 100%, $E$9)</f>
        <v>7.8555000000000001</v>
      </c>
      <c r="J249" s="10">
        <f>CHOOSE(CONTROL!$C$42, 7.8153, 7.8153)* CHOOSE(CONTROL!$C$21, $C$9, 100%, $E$9)</f>
        <v>7.8152999999999997</v>
      </c>
      <c r="K249" s="10">
        <f>CHOOSE(CONTROL!$C$42, 7.7671, 7.7671) * CHOOSE(CONTROL!$C$21, $C$9, 100%, $E$9)</f>
        <v>7.7671000000000001</v>
      </c>
      <c r="L249" s="10">
        <f>CHOOSE(CONTROL!$C$42, 8.6705, 8.6705) * CHOOSE(CONTROL!$C$21, $C$9, 100%, $E$9)</f>
        <v>8.6705000000000005</v>
      </c>
      <c r="M249" s="10">
        <f>CHOOSE(CONTROL!$C$42, 7.7471, 7.7471) * CHOOSE(CONTROL!$C$21, $C$9, 100%, $E$9)</f>
        <v>7.7470999999999997</v>
      </c>
      <c r="N249" s="10">
        <f>CHOOSE(CONTROL!$C$42, 7.7638, 7.7638) * CHOOSE(CONTROL!$C$21, $C$9, 100%, $E$9)</f>
        <v>7.7637999999999998</v>
      </c>
      <c r="O249" s="10">
        <f>CHOOSE(CONTROL!$C$42, 8.0119, 8.0119) * CHOOSE(CONTROL!$C$21, $C$9, 100%, $E$9)</f>
        <v>8.0119000000000007</v>
      </c>
      <c r="P249" s="10">
        <f>CHOOSE(CONTROL!$C$42, 7.7869, 7.7869) * CHOOSE(CONTROL!$C$21, $C$9, 100%, $E$9)</f>
        <v>7.7869000000000002</v>
      </c>
      <c r="Q249" s="10">
        <f>CHOOSE(CONTROL!$C$42, 8.6072, 8.6072) * CHOOSE(CONTROL!$C$21, $C$9, 100%, $E$9)</f>
        <v>8.6072000000000006</v>
      </c>
      <c r="R249" s="10">
        <f>CHOOSE(CONTROL!$C$42, 9.2157, 9.2157) * CHOOSE(CONTROL!$C$21, $C$9, 100%, $E$9)</f>
        <v>9.2157</v>
      </c>
      <c r="S249" s="10">
        <f>CHOOSE(CONTROL!$C$42, 7.6456, 7.6456) * CHOOSE(CONTROL!$C$21, $C$9, 100%, $E$9)</f>
        <v>7.6456</v>
      </c>
      <c r="T24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38">
        <f>(1000*CHOOSE(CONTROL!$C$42, 695, 695)*CHOOSE(CONTROL!$C$42, 0.5599, 0.5599)*CHOOSE(CONTROL!$C$42, 30, 30))/1000000</f>
        <v>11.673914999999997</v>
      </c>
      <c r="V249" s="38">
        <f>(1000*CHOOSE(CONTROL!$C$42, 500, 500)*CHOOSE(CONTROL!$C$42, 0.275, 0.275)*CHOOSE(CONTROL!$C$42, 30, 30))/1000000</f>
        <v>4.125</v>
      </c>
      <c r="W249" s="38">
        <f>(1000*CHOOSE(CONTROL!$C$42, 0.1146, 0.1146)*CHOOSE(CONTROL!$C$42, 121.5, 121.5)*CHOOSE(CONTROL!$C$42, 30, 30))/1000000</f>
        <v>0.417717</v>
      </c>
      <c r="X249" s="38">
        <f>(30*0.1790888*245000/1000000)+(30*0.2374*100000/1000000)</f>
        <v>2.0285026799999999</v>
      </c>
      <c r="Y249" s="38">
        <f>(1000*600*CHOOSE(CONTROL!$C$42, 1.6545, 1.6545)*CHOOSE(CONTROL!$C$42, 30, 30))/1000000</f>
        <v>29.780999999999999</v>
      </c>
      <c r="Z249" s="38"/>
      <c r="AA249" s="10"/>
      <c r="AB249" s="39"/>
      <c r="AC249" s="33">
        <f>(B249*194.205+C249*267.466+D249*133.845+E249*53.484+F249*40+G249*185+H249*0+I249*100+J249*300)/(194.205+267.466+133.845+53.484+0+40+185+100+300)</f>
        <v>7.8855466787284145</v>
      </c>
      <c r="AD249" s="27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7.8309676258992793</v>
      </c>
    </row>
    <row r="250" spans="1:30" ht="15" x14ac:dyDescent="0.2">
      <c r="A250" s="16">
        <v>48853</v>
      </c>
      <c r="B250" s="10">
        <f>CHOOSE(CONTROL!$C$42, 7.7184, 7.7184) * CHOOSE(CONTROL!$C$21, $C$9, 100%, $E$9)</f>
        <v>7.7183999999999999</v>
      </c>
      <c r="C250" s="10">
        <f>CHOOSE(CONTROL!$C$42, 7.7238, 7.7238) * CHOOSE(CONTROL!$C$21, $C$9, 100%, $E$9)</f>
        <v>7.7237999999999998</v>
      </c>
      <c r="D250" s="10">
        <f>CHOOSE(CONTROL!$C$42, 7.9038, 7.9038) * CHOOSE(CONTROL!$C$21, $C$9, 100%, $E$9)</f>
        <v>7.9038000000000004</v>
      </c>
      <c r="E250" s="10">
        <f>CHOOSE(CONTROL!$C$42, 7.9327, 7.9327) * CHOOSE(CONTROL!$C$21, $C$9, 100%, $E$9)</f>
        <v>7.9326999999999996</v>
      </c>
      <c r="F250" s="10">
        <f>CHOOSE(CONTROL!$C$42, 7.6622, 7.6622)*CHOOSE(CONTROL!$C$21, $C$9, 100%, $E$9)</f>
        <v>7.6622000000000003</v>
      </c>
      <c r="G250" s="10">
        <f>CHOOSE(CONTROL!$C$42, 7.6788, 7.6788)*CHOOSE(CONTROL!$C$21, $C$9, 100%, $E$9)</f>
        <v>7.6787999999999998</v>
      </c>
      <c r="H250" s="10">
        <f>CHOOSE(CONTROL!$C$42, 7.9228, 7.9228) * CHOOSE(CONTROL!$C$21, $C$9, 100%, $E$9)</f>
        <v>7.9227999999999996</v>
      </c>
      <c r="I250" s="10">
        <f>CHOOSE(CONTROL!$C$42, 7.6948, 7.6948)* CHOOSE(CONTROL!$C$21, $C$9, 100%, $E$9)</f>
        <v>7.6947999999999999</v>
      </c>
      <c r="J250" s="10">
        <f>CHOOSE(CONTROL!$C$42, 7.6548, 7.6548)* CHOOSE(CONTROL!$C$21, $C$9, 100%, $E$9)</f>
        <v>7.6547999999999998</v>
      </c>
      <c r="K250" s="10">
        <f>CHOOSE(CONTROL!$C$42, 7.612, 7.612) * CHOOSE(CONTROL!$C$21, $C$9, 100%, $E$9)</f>
        <v>7.6120000000000001</v>
      </c>
      <c r="L250" s="10">
        <f>CHOOSE(CONTROL!$C$42, 8.5098, 8.5098) * CHOOSE(CONTROL!$C$21, $C$9, 100%, $E$9)</f>
        <v>8.5098000000000003</v>
      </c>
      <c r="M250" s="10">
        <f>CHOOSE(CONTROL!$C$42, 7.5888, 7.5888) * CHOOSE(CONTROL!$C$21, $C$9, 100%, $E$9)</f>
        <v>7.5888</v>
      </c>
      <c r="N250" s="10">
        <f>CHOOSE(CONTROL!$C$42, 7.6052, 7.6052) * CHOOSE(CONTROL!$C$21, $C$9, 100%, $E$9)</f>
        <v>7.6052</v>
      </c>
      <c r="O250" s="10">
        <f>CHOOSE(CONTROL!$C$42, 7.8533, 7.8533) * CHOOSE(CONTROL!$C$21, $C$9, 100%, $E$9)</f>
        <v>7.8532999999999999</v>
      </c>
      <c r="P250" s="10">
        <f>CHOOSE(CONTROL!$C$42, 7.6283, 7.6283) * CHOOSE(CONTROL!$C$21, $C$9, 100%, $E$9)</f>
        <v>7.6283000000000003</v>
      </c>
      <c r="Q250" s="10">
        <f>CHOOSE(CONTROL!$C$42, 8.4486, 8.4486) * CHOOSE(CONTROL!$C$21, $C$9, 100%, $E$9)</f>
        <v>8.4486000000000008</v>
      </c>
      <c r="R250" s="10">
        <f>CHOOSE(CONTROL!$C$42, 9.0567, 9.0567) * CHOOSE(CONTROL!$C$21, $C$9, 100%, $E$9)</f>
        <v>9.0566999999999993</v>
      </c>
      <c r="S250" s="10">
        <f>CHOOSE(CONTROL!$C$42, 7.49, 7.49) * CHOOSE(CONTROL!$C$21, $C$9, 100%, $E$9)</f>
        <v>7.49</v>
      </c>
      <c r="T25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38">
        <f>(1000*CHOOSE(CONTROL!$C$42, 695, 695)*CHOOSE(CONTROL!$C$42, 0.5599, 0.5599)*CHOOSE(CONTROL!$C$42, 31, 31))/1000000</f>
        <v>12.063045499999998</v>
      </c>
      <c r="V250" s="38">
        <f>(1000*CHOOSE(CONTROL!$C$42, 500, 500)*CHOOSE(CONTROL!$C$42, 0.275, 0.275)*CHOOSE(CONTROL!$C$42, 31, 31))/1000000</f>
        <v>4.2625000000000002</v>
      </c>
      <c r="W250" s="38">
        <f>(1000*CHOOSE(CONTROL!$C$42, 0.1146, 0.1146)*CHOOSE(CONTROL!$C$42, 121.5, 121.5)*CHOOSE(CONTROL!$C$42, 31, 31))/1000000</f>
        <v>0.43164089999999994</v>
      </c>
      <c r="X250" s="38">
        <f>(31*0.1790888*245000/1000000)+(31*0.2374*100000/1000000)</f>
        <v>2.0961194359999999</v>
      </c>
      <c r="Y250" s="38">
        <f>(1000*600*CHOOSE(CONTROL!$C$42, 1.6545, 1.6545)*CHOOSE(CONTROL!$C$42, 31, 31))/1000000</f>
        <v>30.773700000000002</v>
      </c>
      <c r="Z250" s="38"/>
      <c r="AA250" s="10"/>
      <c r="AB250" s="39"/>
      <c r="AC250" s="33">
        <f>(B250*131.881+C250*277.167+D250*79.08+E250*125.872+F250*40+G250*185+H250*0+I250*100+J250*300)/(131.881+277.167+79.08+125.872+0+40+185+100+300)</f>
        <v>7.7281808744148508</v>
      </c>
      <c r="AD250" s="27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7.6724712230215815</v>
      </c>
    </row>
    <row r="251" spans="1:30" ht="15" x14ac:dyDescent="0.2">
      <c r="A251" s="16">
        <v>48884</v>
      </c>
      <c r="B251" s="10">
        <f>CHOOSE(CONTROL!$C$42, 7.9218, 7.9218) * CHOOSE(CONTROL!$C$21, $C$9, 100%, $E$9)</f>
        <v>7.9218000000000002</v>
      </c>
      <c r="C251" s="10">
        <f>CHOOSE(CONTROL!$C$42, 7.9269, 7.9269) * CHOOSE(CONTROL!$C$21, $C$9, 100%, $E$9)</f>
        <v>7.9268999999999998</v>
      </c>
      <c r="D251" s="10">
        <f>CHOOSE(CONTROL!$C$42, 7.9516, 7.9516) * CHOOSE(CONTROL!$C$21, $C$9, 100%, $E$9)</f>
        <v>7.9516</v>
      </c>
      <c r="E251" s="10">
        <f>CHOOSE(CONTROL!$C$42, 7.9854, 7.9854) * CHOOSE(CONTROL!$C$21, $C$9, 100%, $E$9)</f>
        <v>7.9854000000000003</v>
      </c>
      <c r="F251" s="10">
        <f>CHOOSE(CONTROL!$C$42, 7.8874, 7.8874)*CHOOSE(CONTROL!$C$21, $C$9, 100%, $E$9)</f>
        <v>7.8874000000000004</v>
      </c>
      <c r="G251" s="10">
        <f>CHOOSE(CONTROL!$C$42, 7.9043, 7.9043)*CHOOSE(CONTROL!$C$21, $C$9, 100%, $E$9)</f>
        <v>7.9043000000000001</v>
      </c>
      <c r="H251" s="10">
        <f>CHOOSE(CONTROL!$C$42, 7.9743, 7.9743) * CHOOSE(CONTROL!$C$21, $C$9, 100%, $E$9)</f>
        <v>7.9743000000000004</v>
      </c>
      <c r="I251" s="10">
        <f>CHOOSE(CONTROL!$C$42, 7.9213, 7.9213)* CHOOSE(CONTROL!$C$21, $C$9, 100%, $E$9)</f>
        <v>7.9212999999999996</v>
      </c>
      <c r="J251" s="10">
        <f>CHOOSE(CONTROL!$C$42, 7.88, 7.88)* CHOOSE(CONTROL!$C$21, $C$9, 100%, $E$9)</f>
        <v>7.88</v>
      </c>
      <c r="K251" s="10">
        <f>CHOOSE(CONTROL!$C$42, 7.8332, 7.8332) * CHOOSE(CONTROL!$C$21, $C$9, 100%, $E$9)</f>
        <v>7.8331999999999997</v>
      </c>
      <c r="L251" s="10">
        <f>CHOOSE(CONTROL!$C$42, 8.5613, 8.5613) * CHOOSE(CONTROL!$C$21, $C$9, 100%, $E$9)</f>
        <v>8.5612999999999992</v>
      </c>
      <c r="M251" s="10">
        <f>CHOOSE(CONTROL!$C$42, 7.8111, 7.8111) * CHOOSE(CONTROL!$C$21, $C$9, 100%, $E$9)</f>
        <v>7.8110999999999997</v>
      </c>
      <c r="N251" s="10">
        <f>CHOOSE(CONTROL!$C$42, 7.8277, 7.8277) * CHOOSE(CONTROL!$C$21, $C$9, 100%, $E$9)</f>
        <v>7.8277000000000001</v>
      </c>
      <c r="O251" s="10">
        <f>CHOOSE(CONTROL!$C$42, 7.9041, 7.9041) * CHOOSE(CONTROL!$C$21, $C$9, 100%, $E$9)</f>
        <v>7.9040999999999997</v>
      </c>
      <c r="P251" s="10">
        <f>CHOOSE(CONTROL!$C$42, 7.8519, 7.8519) * CHOOSE(CONTROL!$C$21, $C$9, 100%, $E$9)</f>
        <v>7.8518999999999997</v>
      </c>
      <c r="Q251" s="10">
        <f>CHOOSE(CONTROL!$C$42, 8.4994, 8.4994) * CHOOSE(CONTROL!$C$21, $C$9, 100%, $E$9)</f>
        <v>8.4993999999999996</v>
      </c>
      <c r="R251" s="10">
        <f>CHOOSE(CONTROL!$C$42, 9.1076, 9.1076) * CHOOSE(CONTROL!$C$21, $C$9, 100%, $E$9)</f>
        <v>9.1075999999999997</v>
      </c>
      <c r="S251" s="10">
        <f>CHOOSE(CONTROL!$C$42, 7.6873, 7.6873) * CHOOSE(CONTROL!$C$21, $C$9, 100%, $E$9)</f>
        <v>7.6872999999999996</v>
      </c>
      <c r="T25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38">
        <f>(1000*CHOOSE(CONTROL!$C$42, 695, 695)*CHOOSE(CONTROL!$C$42, 0.5599, 0.5599)*CHOOSE(CONTROL!$C$42, 30, 30))/1000000</f>
        <v>11.673914999999997</v>
      </c>
      <c r="V251" s="38">
        <f>(1000*CHOOSE(CONTROL!$C$42, 500, 500)*CHOOSE(CONTROL!$C$42, 0.275, 0.275)*CHOOSE(CONTROL!$C$42, 30, 30))/1000000</f>
        <v>4.125</v>
      </c>
      <c r="W251" s="38">
        <f>(1000*CHOOSE(CONTROL!$C$42, 0.1146, 0.1146)*CHOOSE(CONTROL!$C$42, 121.5, 121.5)*CHOOSE(CONTROL!$C$42, 30, 30))/1000000</f>
        <v>0.417717</v>
      </c>
      <c r="X251" s="38">
        <f>(30*0.1790888*100000/1000000)+(30*0.2374*100000/1000000)</f>
        <v>1.2494664</v>
      </c>
      <c r="Y251" s="38">
        <f>(1000*600*CHOOSE(CONTROL!$C$42, 1.6545, 1.6545)*CHOOSE(CONTROL!$C$42, 30, 30))/1000000</f>
        <v>29.780999999999999</v>
      </c>
      <c r="Z251" s="38"/>
      <c r="AA251" s="10"/>
      <c r="AB251" s="39"/>
      <c r="AC251" s="33">
        <f>(B251*122.58+C251*297.941+D251*89.177+E251*40.302+F251*40+G251*160+H251*0+I251*100+J251*300)/(122.58+297.941+89.177+40.302+0+40+160+100+300)</f>
        <v>7.9130818964347833</v>
      </c>
      <c r="AD251" s="27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7.8600769784172657</v>
      </c>
    </row>
    <row r="252" spans="1:30" ht="15" x14ac:dyDescent="0.2">
      <c r="A252" s="16">
        <v>48914</v>
      </c>
      <c r="B252" s="10">
        <f>CHOOSE(CONTROL!$C$42, 8.463, 8.463) * CHOOSE(CONTROL!$C$21, $C$9, 100%, $E$9)</f>
        <v>8.4629999999999992</v>
      </c>
      <c r="C252" s="10">
        <f>CHOOSE(CONTROL!$C$42, 8.4681, 8.4681) * CHOOSE(CONTROL!$C$21, $C$9, 100%, $E$9)</f>
        <v>8.4680999999999997</v>
      </c>
      <c r="D252" s="10">
        <f>CHOOSE(CONTROL!$C$42, 8.4928, 8.4928) * CHOOSE(CONTROL!$C$21, $C$9, 100%, $E$9)</f>
        <v>8.4928000000000008</v>
      </c>
      <c r="E252" s="10">
        <f>CHOOSE(CONTROL!$C$42, 8.5266, 8.5266) * CHOOSE(CONTROL!$C$21, $C$9, 100%, $E$9)</f>
        <v>8.5266000000000002</v>
      </c>
      <c r="F252" s="10">
        <f>CHOOSE(CONTROL!$C$42, 8.4304, 8.4304)*CHOOSE(CONTROL!$C$21, $C$9, 100%, $E$9)</f>
        <v>8.4304000000000006</v>
      </c>
      <c r="G252" s="10">
        <f>CHOOSE(CONTROL!$C$42, 8.4477, 8.4477)*CHOOSE(CONTROL!$C$21, $C$9, 100%, $E$9)</f>
        <v>8.4476999999999993</v>
      </c>
      <c r="H252" s="10">
        <f>CHOOSE(CONTROL!$C$42, 8.5155, 8.5155) * CHOOSE(CONTROL!$C$21, $C$9, 100%, $E$9)</f>
        <v>8.5154999999999994</v>
      </c>
      <c r="I252" s="10">
        <f>CHOOSE(CONTROL!$C$42, 8.4625, 8.4625)* CHOOSE(CONTROL!$C$21, $C$9, 100%, $E$9)</f>
        <v>8.4625000000000004</v>
      </c>
      <c r="J252" s="10">
        <f>CHOOSE(CONTROL!$C$42, 8.423, 8.423)* CHOOSE(CONTROL!$C$21, $C$9, 100%, $E$9)</f>
        <v>8.423</v>
      </c>
      <c r="K252" s="10">
        <f>CHOOSE(CONTROL!$C$42, 8.3614, 8.3614) * CHOOSE(CONTROL!$C$21, $C$9, 100%, $E$9)</f>
        <v>8.3613999999999997</v>
      </c>
      <c r="L252" s="10">
        <f>CHOOSE(CONTROL!$C$42, 9.1025, 9.1025) * CHOOSE(CONTROL!$C$21, $C$9, 100%, $E$9)</f>
        <v>9.1024999999999991</v>
      </c>
      <c r="M252" s="10">
        <f>CHOOSE(CONTROL!$C$42, 8.3471, 8.3471) * CHOOSE(CONTROL!$C$21, $C$9, 100%, $E$9)</f>
        <v>8.3470999999999993</v>
      </c>
      <c r="N252" s="10">
        <f>CHOOSE(CONTROL!$C$42, 8.3641, 8.3641) * CHOOSE(CONTROL!$C$21, $C$9, 100%, $E$9)</f>
        <v>8.3641000000000005</v>
      </c>
      <c r="O252" s="10">
        <f>CHOOSE(CONTROL!$C$42, 8.4383, 8.4383) * CHOOSE(CONTROL!$C$21, $C$9, 100%, $E$9)</f>
        <v>8.4382999999999999</v>
      </c>
      <c r="P252" s="10">
        <f>CHOOSE(CONTROL!$C$42, 8.3861, 8.3861) * CHOOSE(CONTROL!$C$21, $C$9, 100%, $E$9)</f>
        <v>8.3861000000000008</v>
      </c>
      <c r="Q252" s="10">
        <f>CHOOSE(CONTROL!$C$42, 9.0336, 9.0336) * CHOOSE(CONTROL!$C$21, $C$9, 100%, $E$9)</f>
        <v>9.0335999999999999</v>
      </c>
      <c r="R252" s="10">
        <f>CHOOSE(CONTROL!$C$42, 9.6432, 9.6432) * CHOOSE(CONTROL!$C$21, $C$9, 100%, $E$9)</f>
        <v>9.6432000000000002</v>
      </c>
      <c r="S252" s="10">
        <f>CHOOSE(CONTROL!$C$42, 8.2114, 8.2114) * CHOOSE(CONTROL!$C$21, $C$9, 100%, $E$9)</f>
        <v>8.2113999999999994</v>
      </c>
      <c r="T25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38">
        <f>(1000*CHOOSE(CONTROL!$C$42, 695, 695)*CHOOSE(CONTROL!$C$42, 0.5599, 0.5599)*CHOOSE(CONTROL!$C$42, 31, 31))/1000000</f>
        <v>12.063045499999998</v>
      </c>
      <c r="V252" s="38">
        <f>(1000*CHOOSE(CONTROL!$C$42, 500, 500)*CHOOSE(CONTROL!$C$42, 0.275, 0.275)*CHOOSE(CONTROL!$C$42, 31, 31))/1000000</f>
        <v>4.2625000000000002</v>
      </c>
      <c r="W252" s="38">
        <f>(1000*CHOOSE(CONTROL!$C$42, 0.1146, 0.1146)*CHOOSE(CONTROL!$C$42, 121.5, 121.5)*CHOOSE(CONTROL!$C$42, 31, 31))/1000000</f>
        <v>0.43164089999999994</v>
      </c>
      <c r="X252" s="38">
        <f>(31*0.1790888*100000/1000000)+(31*0.2374*100000/1000000)</f>
        <v>1.2911152800000001</v>
      </c>
      <c r="Y252" s="38">
        <f>(1000*600*CHOOSE(CONTROL!$C$42, 1.6545, 1.6545)*CHOOSE(CONTROL!$C$42, 31, 31))/1000000</f>
        <v>30.773700000000002</v>
      </c>
      <c r="Z252" s="38"/>
      <c r="AA252" s="10"/>
      <c r="AB252" s="39"/>
      <c r="AC252" s="33">
        <f>(B252*122.58+C252*297.941+D252*89.177+E252*40.302+F252*40+G252*160+H252*0+I252*100+J252*300)/(122.58+297.941+89.177+40.302+0+40+160+100+300)</f>
        <v>8.4551201573043482</v>
      </c>
      <c r="AD252" s="27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8.3950251798561144</v>
      </c>
    </row>
    <row r="253" spans="1:30" ht="15" x14ac:dyDescent="0.2">
      <c r="A253" s="16">
        <v>48945</v>
      </c>
      <c r="B253" s="10">
        <f>CHOOSE(CONTROL!$C$42, 9.0353, 9.0353) * CHOOSE(CONTROL!$C$21, $C$9, 100%, $E$9)</f>
        <v>9.0352999999999994</v>
      </c>
      <c r="C253" s="10">
        <f>CHOOSE(CONTROL!$C$42, 9.0404, 9.0404) * CHOOSE(CONTROL!$C$21, $C$9, 100%, $E$9)</f>
        <v>9.0404</v>
      </c>
      <c r="D253" s="10">
        <f>CHOOSE(CONTROL!$C$42, 9.0755, 9.0755) * CHOOSE(CONTROL!$C$21, $C$9, 100%, $E$9)</f>
        <v>9.0754999999999999</v>
      </c>
      <c r="E253" s="10">
        <f>CHOOSE(CONTROL!$C$42, 9.1093, 9.1093) * CHOOSE(CONTROL!$C$21, $C$9, 100%, $E$9)</f>
        <v>9.1092999999999993</v>
      </c>
      <c r="F253" s="10">
        <f>CHOOSE(CONTROL!$C$42, 9.0166, 9.0166)*CHOOSE(CONTROL!$C$21, $C$9, 100%, $E$9)</f>
        <v>9.0166000000000004</v>
      </c>
      <c r="G253" s="10">
        <f>CHOOSE(CONTROL!$C$42, 9.0355, 9.0355)*CHOOSE(CONTROL!$C$21, $C$9, 100%, $E$9)</f>
        <v>9.0355000000000008</v>
      </c>
      <c r="H253" s="10">
        <f>CHOOSE(CONTROL!$C$42, 9.0981, 9.0981) * CHOOSE(CONTROL!$C$21, $C$9, 100%, $E$9)</f>
        <v>9.0981000000000005</v>
      </c>
      <c r="I253" s="10">
        <f>CHOOSE(CONTROL!$C$42, 9.0426, 9.0426)* CHOOSE(CONTROL!$C$21, $C$9, 100%, $E$9)</f>
        <v>9.0426000000000002</v>
      </c>
      <c r="J253" s="10">
        <f>CHOOSE(CONTROL!$C$42, 9.0092, 9.0092)* CHOOSE(CONTROL!$C$21, $C$9, 100%, $E$9)</f>
        <v>9.0091999999999999</v>
      </c>
      <c r="K253" s="10">
        <f>CHOOSE(CONTROL!$C$42, 8.9367, 8.9367) * CHOOSE(CONTROL!$C$21, $C$9, 100%, $E$9)</f>
        <v>8.9367000000000001</v>
      </c>
      <c r="L253" s="10">
        <f>CHOOSE(CONTROL!$C$42, 9.6851, 9.6851) * CHOOSE(CONTROL!$C$21, $C$9, 100%, $E$9)</f>
        <v>9.6851000000000003</v>
      </c>
      <c r="M253" s="10">
        <f>CHOOSE(CONTROL!$C$42, 8.9256, 8.9256) * CHOOSE(CONTROL!$C$21, $C$9, 100%, $E$9)</f>
        <v>8.9255999999999993</v>
      </c>
      <c r="N253" s="10">
        <f>CHOOSE(CONTROL!$C$42, 8.9443, 8.9443) * CHOOSE(CONTROL!$C$21, $C$9, 100%, $E$9)</f>
        <v>8.9443000000000001</v>
      </c>
      <c r="O253" s="10">
        <f>CHOOSE(CONTROL!$C$42, 9.0134, 9.0134) * CHOOSE(CONTROL!$C$21, $C$9, 100%, $E$9)</f>
        <v>9.0134000000000007</v>
      </c>
      <c r="P253" s="10">
        <f>CHOOSE(CONTROL!$C$42, 8.9586, 8.9586) * CHOOSE(CONTROL!$C$21, $C$9, 100%, $E$9)</f>
        <v>8.9586000000000006</v>
      </c>
      <c r="Q253" s="10">
        <f>CHOOSE(CONTROL!$C$42, 9.6087, 9.6087) * CHOOSE(CONTROL!$C$21, $C$9, 100%, $E$9)</f>
        <v>9.6087000000000007</v>
      </c>
      <c r="R253" s="10">
        <f>CHOOSE(CONTROL!$C$42, 10.2197, 10.2197) * CHOOSE(CONTROL!$C$21, $C$9, 100%, $E$9)</f>
        <v>10.2197</v>
      </c>
      <c r="S253" s="10">
        <f>CHOOSE(CONTROL!$C$42, 8.7656, 8.7656) * CHOOSE(CONTROL!$C$21, $C$9, 100%, $E$9)</f>
        <v>8.7655999999999992</v>
      </c>
      <c r="T25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38">
        <f>(1000*CHOOSE(CONTROL!$C$42, 695, 695)*CHOOSE(CONTROL!$C$42, 0.5599, 0.5599)*CHOOSE(CONTROL!$C$42, 31, 31))/1000000</f>
        <v>12.063045499999998</v>
      </c>
      <c r="V253" s="38">
        <f>(1000*CHOOSE(CONTROL!$C$42, 500, 500)*CHOOSE(CONTROL!$C$42, 0.275, 0.275)*CHOOSE(CONTROL!$C$42, 31, 31))/1000000</f>
        <v>4.2625000000000002</v>
      </c>
      <c r="W253" s="38">
        <f>(1000*CHOOSE(CONTROL!$C$42, 0.1146, 0.1146)*CHOOSE(CONTROL!$C$42, 121.5, 121.5)*CHOOSE(CONTROL!$C$42, 31, 31))/1000000</f>
        <v>0.43164089999999994</v>
      </c>
      <c r="X253" s="38">
        <f>(31*0.1790888*100000/1000000)+(31*0.2374*100000/1000000)</f>
        <v>1.2911152800000001</v>
      </c>
      <c r="Y253" s="38">
        <f>(1000*600*CHOOSE(CONTROL!$C$42, 1.6511, 1.6511)*CHOOSE(CONTROL!$C$42, 31, 31))/1000000</f>
        <v>30.710460000000001</v>
      </c>
      <c r="Z253" s="38"/>
      <c r="AA253" s="10"/>
      <c r="AB253" s="39"/>
      <c r="AC253" s="33">
        <f>(B253*122.58+C253*297.941+D253*89.177+E253*40.302+F253*40+G253*160+H253*0+I253*100+J253*300)/(122.58+297.941+89.177+40.302+0+40+160+100+300)</f>
        <v>9.0355354456521741</v>
      </c>
      <c r="AD253" s="27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8.9712187050359713</v>
      </c>
    </row>
    <row r="254" spans="1:30" ht="15" x14ac:dyDescent="0.2">
      <c r="A254" s="16">
        <v>48976</v>
      </c>
      <c r="B254" s="10">
        <f>CHOOSE(CONTROL!$C$42, 9.1965, 9.1965) * CHOOSE(CONTROL!$C$21, $C$9, 100%, $E$9)</f>
        <v>9.1965000000000003</v>
      </c>
      <c r="C254" s="10">
        <f>CHOOSE(CONTROL!$C$42, 9.2016, 9.2016) * CHOOSE(CONTROL!$C$21, $C$9, 100%, $E$9)</f>
        <v>9.2015999999999991</v>
      </c>
      <c r="D254" s="10">
        <f>CHOOSE(CONTROL!$C$42, 9.2366, 9.2366) * CHOOSE(CONTROL!$C$21, $C$9, 100%, $E$9)</f>
        <v>9.2365999999999993</v>
      </c>
      <c r="E254" s="10">
        <f>CHOOSE(CONTROL!$C$42, 9.2704, 9.2704) * CHOOSE(CONTROL!$C$21, $C$9, 100%, $E$9)</f>
        <v>9.2704000000000004</v>
      </c>
      <c r="F254" s="10">
        <f>CHOOSE(CONTROL!$C$42, 9.1772, 9.1772)*CHOOSE(CONTROL!$C$21, $C$9, 100%, $E$9)</f>
        <v>9.1771999999999991</v>
      </c>
      <c r="G254" s="10">
        <f>CHOOSE(CONTROL!$C$42, 9.196, 9.196)*CHOOSE(CONTROL!$C$21, $C$9, 100%, $E$9)</f>
        <v>9.1959999999999997</v>
      </c>
      <c r="H254" s="10">
        <f>CHOOSE(CONTROL!$C$42, 9.2593, 9.2593) * CHOOSE(CONTROL!$C$21, $C$9, 100%, $E$9)</f>
        <v>9.2592999999999996</v>
      </c>
      <c r="I254" s="10">
        <f>CHOOSE(CONTROL!$C$42, 9.2037, 9.2037)* CHOOSE(CONTROL!$C$21, $C$9, 100%, $E$9)</f>
        <v>9.2036999999999995</v>
      </c>
      <c r="J254" s="10">
        <f>CHOOSE(CONTROL!$C$42, 9.1698, 9.1698)* CHOOSE(CONTROL!$C$21, $C$9, 100%, $E$9)</f>
        <v>9.1698000000000004</v>
      </c>
      <c r="K254" s="10">
        <f>CHOOSE(CONTROL!$C$42, 9.0916, 9.0916) * CHOOSE(CONTROL!$C$21, $C$9, 100%, $E$9)</f>
        <v>9.0915999999999997</v>
      </c>
      <c r="L254" s="10">
        <f>CHOOSE(CONTROL!$C$42, 9.8463, 9.8463) * CHOOSE(CONTROL!$C$21, $C$9, 100%, $E$9)</f>
        <v>9.8462999999999994</v>
      </c>
      <c r="M254" s="10">
        <f>CHOOSE(CONTROL!$C$42, 9.0842, 9.0842) * CHOOSE(CONTROL!$C$21, $C$9, 100%, $E$9)</f>
        <v>9.0841999999999992</v>
      </c>
      <c r="N254" s="10">
        <f>CHOOSE(CONTROL!$C$42, 9.1027, 9.1027) * CHOOSE(CONTROL!$C$21, $C$9, 100%, $E$9)</f>
        <v>9.1027000000000005</v>
      </c>
      <c r="O254" s="10">
        <f>CHOOSE(CONTROL!$C$42, 9.1725, 9.1725) * CHOOSE(CONTROL!$C$21, $C$9, 100%, $E$9)</f>
        <v>9.1724999999999994</v>
      </c>
      <c r="P254" s="10">
        <f>CHOOSE(CONTROL!$C$42, 9.1177, 9.1177) * CHOOSE(CONTROL!$C$21, $C$9, 100%, $E$9)</f>
        <v>9.1176999999999992</v>
      </c>
      <c r="Q254" s="10">
        <f>CHOOSE(CONTROL!$C$42, 9.7678, 9.7678) * CHOOSE(CONTROL!$C$21, $C$9, 100%, $E$9)</f>
        <v>9.7677999999999994</v>
      </c>
      <c r="R254" s="10">
        <f>CHOOSE(CONTROL!$C$42, 10.3792, 10.3792) * CHOOSE(CONTROL!$C$21, $C$9, 100%, $E$9)</f>
        <v>10.379200000000001</v>
      </c>
      <c r="S254" s="10">
        <f>CHOOSE(CONTROL!$C$42, 8.9216, 8.9216) * CHOOSE(CONTROL!$C$21, $C$9, 100%, $E$9)</f>
        <v>8.9215999999999998</v>
      </c>
      <c r="T25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38">
        <f>(1000*CHOOSE(CONTROL!$C$42, 695, 695)*CHOOSE(CONTROL!$C$42, 0.5599, 0.5599)*CHOOSE(CONTROL!$C$42, 28, 28))/1000000</f>
        <v>10.895653999999999</v>
      </c>
      <c r="V254" s="38">
        <f>(1000*CHOOSE(CONTROL!$C$42, 500, 500)*CHOOSE(CONTROL!$C$42, 0.275, 0.275)*CHOOSE(CONTROL!$C$42, 28, 28))/1000000</f>
        <v>3.85</v>
      </c>
      <c r="W254" s="38">
        <f>(1000*CHOOSE(CONTROL!$C$42, 0.1146, 0.1146)*CHOOSE(CONTROL!$C$42, 121.5, 121.5)*CHOOSE(CONTROL!$C$42, 28, 28))/1000000</f>
        <v>0.38986920000000003</v>
      </c>
      <c r="X254" s="38">
        <f>(28*0.1790888*100000/1000000)+(28*0.2374*100000/1000000)</f>
        <v>1.16616864</v>
      </c>
      <c r="Y254" s="38">
        <f>(1000*600*CHOOSE(CONTROL!$C$42, 1.6511, 1.6511)*CHOOSE(CONTROL!$C$42, 28, 28))/1000000</f>
        <v>27.738479999999999</v>
      </c>
      <c r="Z254" s="38"/>
      <c r="AA254" s="10"/>
      <c r="AB254" s="39"/>
      <c r="AC254" s="33">
        <f>(B254*122.58+C254*297.941+D254*89.177+E254*40.302+F254*40+G254*160+H254*0+I254*100+J254*300)/(122.58+297.941+89.177+40.302+0+40+160+100+300)</f>
        <v>9.1964407083478257</v>
      </c>
      <c r="AD254" s="27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9.1301057553956824</v>
      </c>
    </row>
    <row r="255" spans="1:30" ht="15" x14ac:dyDescent="0.2">
      <c r="A255" s="16">
        <v>49004</v>
      </c>
      <c r="B255" s="10">
        <f>CHOOSE(CONTROL!$C$42, 8.9349, 8.9349) * CHOOSE(CONTROL!$C$21, $C$9, 100%, $E$9)</f>
        <v>8.9349000000000007</v>
      </c>
      <c r="C255" s="10">
        <f>CHOOSE(CONTROL!$C$42, 8.94, 8.94) * CHOOSE(CONTROL!$C$21, $C$9, 100%, $E$9)</f>
        <v>8.94</v>
      </c>
      <c r="D255" s="10">
        <f>CHOOSE(CONTROL!$C$42, 8.975, 8.975) * CHOOSE(CONTROL!$C$21, $C$9, 100%, $E$9)</f>
        <v>8.9749999999999996</v>
      </c>
      <c r="E255" s="10">
        <f>CHOOSE(CONTROL!$C$42, 9.0088, 9.0088) * CHOOSE(CONTROL!$C$21, $C$9, 100%, $E$9)</f>
        <v>9.0088000000000008</v>
      </c>
      <c r="F255" s="10">
        <f>CHOOSE(CONTROL!$C$42, 8.9143, 8.9143)*CHOOSE(CONTROL!$C$21, $C$9, 100%, $E$9)</f>
        <v>8.9143000000000008</v>
      </c>
      <c r="G255" s="10">
        <f>CHOOSE(CONTROL!$C$42, 8.9327, 8.9327)*CHOOSE(CONTROL!$C$21, $C$9, 100%, $E$9)</f>
        <v>8.9327000000000005</v>
      </c>
      <c r="H255" s="10">
        <f>CHOOSE(CONTROL!$C$42, 8.9977, 8.9977) * CHOOSE(CONTROL!$C$21, $C$9, 100%, $E$9)</f>
        <v>8.9977</v>
      </c>
      <c r="I255" s="10">
        <f>CHOOSE(CONTROL!$C$42, 8.9422, 8.9422)* CHOOSE(CONTROL!$C$21, $C$9, 100%, $E$9)</f>
        <v>8.9421999999999997</v>
      </c>
      <c r="J255" s="10">
        <f>CHOOSE(CONTROL!$C$42, 8.9069, 8.9069)* CHOOSE(CONTROL!$C$21, $C$9, 100%, $E$9)</f>
        <v>8.9069000000000003</v>
      </c>
      <c r="K255" s="10">
        <f>CHOOSE(CONTROL!$C$42, 8.8352, 8.8352) * CHOOSE(CONTROL!$C$21, $C$9, 100%, $E$9)</f>
        <v>8.8352000000000004</v>
      </c>
      <c r="L255" s="10">
        <f>CHOOSE(CONTROL!$C$42, 9.5847, 9.5847) * CHOOSE(CONTROL!$C$21, $C$9, 100%, $E$9)</f>
        <v>9.5846999999999998</v>
      </c>
      <c r="M255" s="10">
        <f>CHOOSE(CONTROL!$C$42, 8.8246, 8.8246) * CHOOSE(CONTROL!$C$21, $C$9, 100%, $E$9)</f>
        <v>8.8246000000000002</v>
      </c>
      <c r="N255" s="10">
        <f>CHOOSE(CONTROL!$C$42, 8.8428, 8.8428) * CHOOSE(CONTROL!$C$21, $C$9, 100%, $E$9)</f>
        <v>8.8428000000000004</v>
      </c>
      <c r="O255" s="10">
        <f>CHOOSE(CONTROL!$C$42, 8.9143, 8.9143) * CHOOSE(CONTROL!$C$21, $C$9, 100%, $E$9)</f>
        <v>8.9143000000000008</v>
      </c>
      <c r="P255" s="10">
        <f>CHOOSE(CONTROL!$C$42, 8.8595, 8.8595) * CHOOSE(CONTROL!$C$21, $C$9, 100%, $E$9)</f>
        <v>8.8595000000000006</v>
      </c>
      <c r="Q255" s="10">
        <f>CHOOSE(CONTROL!$C$42, 9.5096, 9.5096) * CHOOSE(CONTROL!$C$21, $C$9, 100%, $E$9)</f>
        <v>9.5096000000000007</v>
      </c>
      <c r="R255" s="10">
        <f>CHOOSE(CONTROL!$C$42, 10.1204, 10.1204) * CHOOSE(CONTROL!$C$21, $C$9, 100%, $E$9)</f>
        <v>10.1204</v>
      </c>
      <c r="S255" s="10">
        <f>CHOOSE(CONTROL!$C$42, 8.6683, 8.6683) * CHOOSE(CONTROL!$C$21, $C$9, 100%, $E$9)</f>
        <v>8.6683000000000003</v>
      </c>
      <c r="T25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38">
        <f>(1000*CHOOSE(CONTROL!$C$42, 695, 695)*CHOOSE(CONTROL!$C$42, 0.5599, 0.5599)*CHOOSE(CONTROL!$C$42, 31, 31))/1000000</f>
        <v>12.063045499999998</v>
      </c>
      <c r="V255" s="38">
        <f>(1000*CHOOSE(CONTROL!$C$42, 500, 500)*CHOOSE(CONTROL!$C$42, 0.275, 0.275)*CHOOSE(CONTROL!$C$42, 31, 31))/1000000</f>
        <v>4.2625000000000002</v>
      </c>
      <c r="W255" s="38">
        <f>(1000*CHOOSE(CONTROL!$C$42, 0.1146, 0.1146)*CHOOSE(CONTROL!$C$42, 121.5, 121.5)*CHOOSE(CONTROL!$C$42, 31, 31))/1000000</f>
        <v>0.43164089999999994</v>
      </c>
      <c r="X255" s="38">
        <f>(31*0.1790888*100000/1000000)+(31*0.2374*100000/1000000)</f>
        <v>1.2911152800000001</v>
      </c>
      <c r="Y255" s="38">
        <f>(1000*600*CHOOSE(CONTROL!$C$42, 1.6511, 1.6511)*CHOOSE(CONTROL!$C$42, 31, 31))/1000000</f>
        <v>30.710460000000001</v>
      </c>
      <c r="Z255" s="38"/>
      <c r="AA255" s="10"/>
      <c r="AB255" s="39"/>
      <c r="AC255" s="33">
        <f>(B255*122.58+C255*297.941+D255*89.177+E255*40.302+F255*40+G255*160+H255*0+I255*100+J255*300)/(122.58+297.941+89.177+40.302+0+40+160+100+300)</f>
        <v>8.9342285344347836</v>
      </c>
      <c r="AD255" s="27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8.871324460431655</v>
      </c>
    </row>
    <row r="256" spans="1:30" ht="15" x14ac:dyDescent="0.2">
      <c r="A256" s="16">
        <v>49035</v>
      </c>
      <c r="B256" s="10">
        <f>CHOOSE(CONTROL!$C$42, 8.9089, 8.9089) * CHOOSE(CONTROL!$C$21, $C$9, 100%, $E$9)</f>
        <v>8.9088999999999992</v>
      </c>
      <c r="C256" s="10">
        <f>CHOOSE(CONTROL!$C$42, 8.9134, 8.9134) * CHOOSE(CONTROL!$C$21, $C$9, 100%, $E$9)</f>
        <v>8.9133999999999993</v>
      </c>
      <c r="D256" s="10">
        <f>CHOOSE(CONTROL!$C$42, 9.0916, 9.0916) * CHOOSE(CONTROL!$C$21, $C$9, 100%, $E$9)</f>
        <v>9.0915999999999997</v>
      </c>
      <c r="E256" s="10">
        <f>CHOOSE(CONTROL!$C$42, 9.1235, 9.1235) * CHOOSE(CONTROL!$C$21, $C$9, 100%, $E$9)</f>
        <v>9.1234999999999999</v>
      </c>
      <c r="F256" s="10">
        <f>CHOOSE(CONTROL!$C$42, 8.8523, 8.8523)*CHOOSE(CONTROL!$C$21, $C$9, 100%, $E$9)</f>
        <v>8.8522999999999996</v>
      </c>
      <c r="G256" s="10">
        <f>CHOOSE(CONTROL!$C$42, 8.8689, 8.8689)*CHOOSE(CONTROL!$C$21, $C$9, 100%, $E$9)</f>
        <v>8.8689</v>
      </c>
      <c r="H256" s="10">
        <f>CHOOSE(CONTROL!$C$42, 9.1129, 9.1129) * CHOOSE(CONTROL!$C$21, $C$9, 100%, $E$9)</f>
        <v>9.1128999999999998</v>
      </c>
      <c r="I256" s="10">
        <f>CHOOSE(CONTROL!$C$42, 8.8849, 8.8849)* CHOOSE(CONTROL!$C$21, $C$9, 100%, $E$9)</f>
        <v>8.8849</v>
      </c>
      <c r="J256" s="10">
        <f>CHOOSE(CONTROL!$C$42, 8.8449, 8.8449)* CHOOSE(CONTROL!$C$21, $C$9, 100%, $E$9)</f>
        <v>8.8449000000000009</v>
      </c>
      <c r="K256" s="10">
        <f>CHOOSE(CONTROL!$C$42, 8.765, 8.765) * CHOOSE(CONTROL!$C$21, $C$9, 100%, $E$9)</f>
        <v>8.7650000000000006</v>
      </c>
      <c r="L256" s="10">
        <f>CHOOSE(CONTROL!$C$42, 9.6999, 9.6999) * CHOOSE(CONTROL!$C$21, $C$9, 100%, $E$9)</f>
        <v>9.6998999999999995</v>
      </c>
      <c r="M256" s="10">
        <f>CHOOSE(CONTROL!$C$42, 8.7635, 8.7635) * CHOOSE(CONTROL!$C$21, $C$9, 100%, $E$9)</f>
        <v>8.7635000000000005</v>
      </c>
      <c r="N256" s="10">
        <f>CHOOSE(CONTROL!$C$42, 8.7799, 8.7799) * CHOOSE(CONTROL!$C$21, $C$9, 100%, $E$9)</f>
        <v>8.7798999999999996</v>
      </c>
      <c r="O256" s="10">
        <f>CHOOSE(CONTROL!$C$42, 9.028, 9.028) * CHOOSE(CONTROL!$C$21, $C$9, 100%, $E$9)</f>
        <v>9.0280000000000005</v>
      </c>
      <c r="P256" s="10">
        <f>CHOOSE(CONTROL!$C$42, 8.803, 8.803) * CHOOSE(CONTROL!$C$21, $C$9, 100%, $E$9)</f>
        <v>8.8030000000000008</v>
      </c>
      <c r="Q256" s="10">
        <f>CHOOSE(CONTROL!$C$42, 9.6233, 9.6233) * CHOOSE(CONTROL!$C$21, $C$9, 100%, $E$9)</f>
        <v>9.6233000000000004</v>
      </c>
      <c r="R256" s="10">
        <f>CHOOSE(CONTROL!$C$42, 10.2343, 10.2343) * CHOOSE(CONTROL!$C$21, $C$9, 100%, $E$9)</f>
        <v>10.234299999999999</v>
      </c>
      <c r="S256" s="10">
        <f>CHOOSE(CONTROL!$C$42, 8.6424, 8.6424) * CHOOSE(CONTROL!$C$21, $C$9, 100%, $E$9)</f>
        <v>8.6424000000000003</v>
      </c>
      <c r="T25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38">
        <f>(1000*CHOOSE(CONTROL!$C$42, 695, 695)*CHOOSE(CONTROL!$C$42, 0.5599, 0.5599)*CHOOSE(CONTROL!$C$42, 30, 30))/1000000</f>
        <v>11.673914999999997</v>
      </c>
      <c r="V256" s="38">
        <f>(1000*CHOOSE(CONTROL!$C$42, 500, 500)*CHOOSE(CONTROL!$C$42, 0.275, 0.275)*CHOOSE(CONTROL!$C$42, 30, 30))/1000000</f>
        <v>4.125</v>
      </c>
      <c r="W256" s="38">
        <f>(1000*CHOOSE(CONTROL!$C$42, 0.1146, 0.1146)*CHOOSE(CONTROL!$C$42, 121.5, 121.5)*CHOOSE(CONTROL!$C$42, 30, 30))/1000000</f>
        <v>0.417717</v>
      </c>
      <c r="X256" s="38">
        <f>(30*0.1790888*245000/1000000)+(30*0.2374*100000/1000000)</f>
        <v>2.0285026799999999</v>
      </c>
      <c r="Y256" s="38">
        <f>(1000*600*CHOOSE(CONTROL!$C$42, 1.6511, 1.6511)*CHOOSE(CONTROL!$C$42, 30, 30))/1000000</f>
        <v>29.719799999999999</v>
      </c>
      <c r="Z256" s="38"/>
      <c r="AA256" s="10"/>
      <c r="AB256" s="39"/>
      <c r="AC256" s="33">
        <f>(B256*141.293+C256*267.993+D256*115.016+E256*89.698+F256*40+G256*185+H256*0+I256*100+J256*300)/(141.293+267.993+115.016+89.698+0+40+185+100+300)</f>
        <v>8.917136144067797</v>
      </c>
      <c r="AD256" s="27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8.8471712230215829</v>
      </c>
    </row>
    <row r="257" spans="1:30" ht="15" x14ac:dyDescent="0.2">
      <c r="A257" s="16">
        <v>49065</v>
      </c>
      <c r="B257" s="10">
        <f>CHOOSE(CONTROL!$C$42, 8.9894, 8.9894) * CHOOSE(CONTROL!$C$21, $C$9, 100%, $E$9)</f>
        <v>8.9893999999999998</v>
      </c>
      <c r="C257" s="10">
        <f>CHOOSE(CONTROL!$C$42, 8.9974, 8.9974) * CHOOSE(CONTROL!$C$21, $C$9, 100%, $E$9)</f>
        <v>8.9974000000000007</v>
      </c>
      <c r="D257" s="10">
        <f>CHOOSE(CONTROL!$C$42, 9.1725, 9.1725) * CHOOSE(CONTROL!$C$21, $C$9, 100%, $E$9)</f>
        <v>9.1724999999999994</v>
      </c>
      <c r="E257" s="10">
        <f>CHOOSE(CONTROL!$C$42, 9.2037, 9.2037) * CHOOSE(CONTROL!$C$21, $C$9, 100%, $E$9)</f>
        <v>9.2036999999999995</v>
      </c>
      <c r="F257" s="10">
        <f>CHOOSE(CONTROL!$C$42, 8.9311, 8.9311)*CHOOSE(CONTROL!$C$21, $C$9, 100%, $E$9)</f>
        <v>8.9311000000000007</v>
      </c>
      <c r="G257" s="10">
        <f>CHOOSE(CONTROL!$C$42, 8.948, 8.948)*CHOOSE(CONTROL!$C$21, $C$9, 100%, $E$9)</f>
        <v>8.9480000000000004</v>
      </c>
      <c r="H257" s="10">
        <f>CHOOSE(CONTROL!$C$42, 9.1921, 9.1921) * CHOOSE(CONTROL!$C$21, $C$9, 100%, $E$9)</f>
        <v>9.1920999999999999</v>
      </c>
      <c r="I257" s="10">
        <f>CHOOSE(CONTROL!$C$42, 8.964, 8.964)* CHOOSE(CONTROL!$C$21, $C$9, 100%, $E$9)</f>
        <v>8.9640000000000004</v>
      </c>
      <c r="J257" s="10">
        <f>CHOOSE(CONTROL!$C$42, 8.9237, 8.9237)* CHOOSE(CONTROL!$C$21, $C$9, 100%, $E$9)</f>
        <v>8.9237000000000002</v>
      </c>
      <c r="K257" s="10">
        <f>CHOOSE(CONTROL!$C$42, 8.8408, 8.8408) * CHOOSE(CONTROL!$C$21, $C$9, 100%, $E$9)</f>
        <v>8.8407999999999998</v>
      </c>
      <c r="L257" s="10">
        <f>CHOOSE(CONTROL!$C$42, 9.7791, 9.7791) * CHOOSE(CONTROL!$C$21, $C$9, 100%, $E$9)</f>
        <v>9.7790999999999997</v>
      </c>
      <c r="M257" s="10">
        <f>CHOOSE(CONTROL!$C$42, 8.8412, 8.8412) * CHOOSE(CONTROL!$C$21, $C$9, 100%, $E$9)</f>
        <v>8.8412000000000006</v>
      </c>
      <c r="N257" s="10">
        <f>CHOOSE(CONTROL!$C$42, 8.8579, 8.8579) * CHOOSE(CONTROL!$C$21, $C$9, 100%, $E$9)</f>
        <v>8.8579000000000008</v>
      </c>
      <c r="O257" s="10">
        <f>CHOOSE(CONTROL!$C$42, 9.1061, 9.1061) * CHOOSE(CONTROL!$C$21, $C$9, 100%, $E$9)</f>
        <v>9.1060999999999996</v>
      </c>
      <c r="P257" s="10">
        <f>CHOOSE(CONTROL!$C$42, 8.8811, 8.8811) * CHOOSE(CONTROL!$C$21, $C$9, 100%, $E$9)</f>
        <v>8.8811</v>
      </c>
      <c r="Q257" s="10">
        <f>CHOOSE(CONTROL!$C$42, 9.7014, 9.7014) * CHOOSE(CONTROL!$C$21, $C$9, 100%, $E$9)</f>
        <v>9.7013999999999996</v>
      </c>
      <c r="R257" s="10">
        <f>CHOOSE(CONTROL!$C$42, 10.3127, 10.3127) * CHOOSE(CONTROL!$C$21, $C$9, 100%, $E$9)</f>
        <v>10.3127</v>
      </c>
      <c r="S257" s="10">
        <f>CHOOSE(CONTROL!$C$42, 8.719, 8.719) * CHOOSE(CONTROL!$C$21, $C$9, 100%, $E$9)</f>
        <v>8.7189999999999994</v>
      </c>
      <c r="T25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38">
        <f>(1000*CHOOSE(CONTROL!$C$42, 695, 695)*CHOOSE(CONTROL!$C$42, 0.5599, 0.5599)*CHOOSE(CONTROL!$C$42, 31, 31))/1000000</f>
        <v>12.063045499999998</v>
      </c>
      <c r="V257" s="38">
        <f>(1000*CHOOSE(CONTROL!$C$42, 500, 500)*CHOOSE(CONTROL!$C$42, 0.275, 0.275)*CHOOSE(CONTROL!$C$42, 31, 31))/1000000</f>
        <v>4.2625000000000002</v>
      </c>
      <c r="W257" s="38">
        <f>(1000*CHOOSE(CONTROL!$C$42, 0.1146, 0.1146)*CHOOSE(CONTROL!$C$42, 121.5, 121.5)*CHOOSE(CONTROL!$C$42, 31, 31))/1000000</f>
        <v>0.43164089999999994</v>
      </c>
      <c r="X257" s="38">
        <f>(31*0.1790888*245000/1000000)+(31*0.2374*100000/1000000)</f>
        <v>2.0961194359999999</v>
      </c>
      <c r="Y257" s="38">
        <f>(1000*600*CHOOSE(CONTROL!$C$42, 1.6511, 1.6511)*CHOOSE(CONTROL!$C$42, 31, 31))/1000000</f>
        <v>30.710460000000001</v>
      </c>
      <c r="Z257" s="38"/>
      <c r="AA257" s="10"/>
      <c r="AB257" s="39"/>
      <c r="AC257" s="33">
        <f>(B257*194.205+C257*267.466+D257*133.845+E257*53.484+F257*40+G257*185+H257*0+I257*100+J257*300)/(194.205+267.466+133.845+53.484+0+40+185+100+300)</f>
        <v>8.994005469937207</v>
      </c>
      <c r="AD257" s="27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8.9251100719424468</v>
      </c>
    </row>
    <row r="258" spans="1:30" ht="15" x14ac:dyDescent="0.2">
      <c r="A258" s="16">
        <v>49096</v>
      </c>
      <c r="B258" s="10">
        <f>CHOOSE(CONTROL!$C$42, 9.2448, 9.2448) * CHOOSE(CONTROL!$C$21, $C$9, 100%, $E$9)</f>
        <v>9.2447999999999997</v>
      </c>
      <c r="C258" s="10">
        <f>CHOOSE(CONTROL!$C$42, 9.2528, 9.2528) * CHOOSE(CONTROL!$C$21, $C$9, 100%, $E$9)</f>
        <v>9.2528000000000006</v>
      </c>
      <c r="D258" s="10">
        <f>CHOOSE(CONTROL!$C$42, 9.4279, 9.4279) * CHOOSE(CONTROL!$C$21, $C$9, 100%, $E$9)</f>
        <v>9.4278999999999993</v>
      </c>
      <c r="E258" s="10">
        <f>CHOOSE(CONTROL!$C$42, 9.4591, 9.4591) * CHOOSE(CONTROL!$C$21, $C$9, 100%, $E$9)</f>
        <v>9.4590999999999994</v>
      </c>
      <c r="F258" s="10">
        <f>CHOOSE(CONTROL!$C$42, 9.1867, 9.1867)*CHOOSE(CONTROL!$C$21, $C$9, 100%, $E$9)</f>
        <v>9.1867000000000001</v>
      </c>
      <c r="G258" s="10">
        <f>CHOOSE(CONTROL!$C$42, 9.2036, 9.2036)*CHOOSE(CONTROL!$C$21, $C$9, 100%, $E$9)</f>
        <v>9.2035999999999998</v>
      </c>
      <c r="H258" s="10">
        <f>CHOOSE(CONTROL!$C$42, 9.4475, 9.4475) * CHOOSE(CONTROL!$C$21, $C$9, 100%, $E$9)</f>
        <v>9.4474999999999998</v>
      </c>
      <c r="I258" s="10">
        <f>CHOOSE(CONTROL!$C$42, 9.2194, 9.2194)* CHOOSE(CONTROL!$C$21, $C$9, 100%, $E$9)</f>
        <v>9.2194000000000003</v>
      </c>
      <c r="J258" s="10">
        <f>CHOOSE(CONTROL!$C$42, 9.1793, 9.1793)* CHOOSE(CONTROL!$C$21, $C$9, 100%, $E$9)</f>
        <v>9.1792999999999996</v>
      </c>
      <c r="K258" s="10">
        <f>CHOOSE(CONTROL!$C$42, 9.0887, 9.0887) * CHOOSE(CONTROL!$C$21, $C$9, 100%, $E$9)</f>
        <v>9.0886999999999993</v>
      </c>
      <c r="L258" s="10">
        <f>CHOOSE(CONTROL!$C$42, 10.0345, 10.0345) * CHOOSE(CONTROL!$C$21, $C$9, 100%, $E$9)</f>
        <v>10.0345</v>
      </c>
      <c r="M258" s="10">
        <f>CHOOSE(CONTROL!$C$42, 9.0935, 9.0935) * CHOOSE(CONTROL!$C$21, $C$9, 100%, $E$9)</f>
        <v>9.0935000000000006</v>
      </c>
      <c r="N258" s="10">
        <f>CHOOSE(CONTROL!$C$42, 9.1102, 9.1102) * CHOOSE(CONTROL!$C$21, $C$9, 100%, $E$9)</f>
        <v>9.1102000000000007</v>
      </c>
      <c r="O258" s="10">
        <f>CHOOSE(CONTROL!$C$42, 9.3582, 9.3582) * CHOOSE(CONTROL!$C$21, $C$9, 100%, $E$9)</f>
        <v>9.3582000000000001</v>
      </c>
      <c r="P258" s="10">
        <f>CHOOSE(CONTROL!$C$42, 9.1332, 9.1332) * CHOOSE(CONTROL!$C$21, $C$9, 100%, $E$9)</f>
        <v>9.1332000000000004</v>
      </c>
      <c r="Q258" s="10">
        <f>CHOOSE(CONTROL!$C$42, 9.9535, 9.9535) * CHOOSE(CONTROL!$C$21, $C$9, 100%, $E$9)</f>
        <v>9.9535</v>
      </c>
      <c r="R258" s="10">
        <f>CHOOSE(CONTROL!$C$42, 10.5654, 10.5654) * CHOOSE(CONTROL!$C$21, $C$9, 100%, $E$9)</f>
        <v>10.5654</v>
      </c>
      <c r="S258" s="10">
        <f>CHOOSE(CONTROL!$C$42, 8.9663, 8.9663) * CHOOSE(CONTROL!$C$21, $C$9, 100%, $E$9)</f>
        <v>8.9663000000000004</v>
      </c>
      <c r="T25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38">
        <f>(1000*CHOOSE(CONTROL!$C$42, 695, 695)*CHOOSE(CONTROL!$C$42, 0.5599, 0.5599)*CHOOSE(CONTROL!$C$42, 30, 30))/1000000</f>
        <v>11.673914999999997</v>
      </c>
      <c r="V258" s="38">
        <f>(1000*CHOOSE(CONTROL!$C$42, 500, 500)*CHOOSE(CONTROL!$C$42, 0.275, 0.275)*CHOOSE(CONTROL!$C$42, 30, 30))/1000000</f>
        <v>4.125</v>
      </c>
      <c r="W258" s="38">
        <f>(1000*CHOOSE(CONTROL!$C$42, 0.1146, 0.1146)*CHOOSE(CONTROL!$C$42, 121.5, 121.5)*CHOOSE(CONTROL!$C$42, 30, 30))/1000000</f>
        <v>0.417717</v>
      </c>
      <c r="X258" s="38">
        <f>(30*0.1790888*245000/1000000)+(30*0.2374*100000/1000000)</f>
        <v>2.0285026799999999</v>
      </c>
      <c r="Y258" s="38">
        <f>(1000*600*CHOOSE(CONTROL!$C$42, 1.6511, 1.6511)*CHOOSE(CONTROL!$C$42, 30, 30))/1000000</f>
        <v>29.719799999999999</v>
      </c>
      <c r="Z258" s="38"/>
      <c r="AA258" s="10"/>
      <c r="AB258" s="39"/>
      <c r="AC258" s="33">
        <f>(B258*194.205+C258*267.466+D258*133.845+E258*53.484+F258*40+G258*185+H258*0+I258*100+J258*300)/(194.205+267.466+133.845+53.484+0+40+185+100+300)</f>
        <v>9.2494878875196225</v>
      </c>
      <c r="AD258" s="27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9.1773251798561155</v>
      </c>
    </row>
    <row r="259" spans="1:30" ht="15" x14ac:dyDescent="0.2">
      <c r="A259" s="16">
        <v>49126</v>
      </c>
      <c r="B259" s="10">
        <f>CHOOSE(CONTROL!$C$42, 9.0672, 9.0672) * CHOOSE(CONTROL!$C$21, $C$9, 100%, $E$9)</f>
        <v>9.0671999999999997</v>
      </c>
      <c r="C259" s="10">
        <f>CHOOSE(CONTROL!$C$42, 9.0752, 9.0752) * CHOOSE(CONTROL!$C$21, $C$9, 100%, $E$9)</f>
        <v>9.0752000000000006</v>
      </c>
      <c r="D259" s="10">
        <f>CHOOSE(CONTROL!$C$42, 9.2503, 9.2503) * CHOOSE(CONTROL!$C$21, $C$9, 100%, $E$9)</f>
        <v>9.2502999999999993</v>
      </c>
      <c r="E259" s="10">
        <f>CHOOSE(CONTROL!$C$42, 9.2815, 9.2815) * CHOOSE(CONTROL!$C$21, $C$9, 100%, $E$9)</f>
        <v>9.2814999999999994</v>
      </c>
      <c r="F259" s="10">
        <f>CHOOSE(CONTROL!$C$42, 9.0094, 9.0094)*CHOOSE(CONTROL!$C$21, $C$9, 100%, $E$9)</f>
        <v>9.0093999999999994</v>
      </c>
      <c r="G259" s="10">
        <f>CHOOSE(CONTROL!$C$42, 9.0264, 9.0264)*CHOOSE(CONTROL!$C$21, $C$9, 100%, $E$9)</f>
        <v>9.0264000000000006</v>
      </c>
      <c r="H259" s="10">
        <f>CHOOSE(CONTROL!$C$42, 9.2698, 9.2698) * CHOOSE(CONTROL!$C$21, $C$9, 100%, $E$9)</f>
        <v>9.2698</v>
      </c>
      <c r="I259" s="10">
        <f>CHOOSE(CONTROL!$C$42, 9.0418, 9.0418)* CHOOSE(CONTROL!$C$21, $C$9, 100%, $E$9)</f>
        <v>9.0418000000000003</v>
      </c>
      <c r="J259" s="10">
        <f>CHOOSE(CONTROL!$C$42, 9.002, 9.002)* CHOOSE(CONTROL!$C$21, $C$9, 100%, $E$9)</f>
        <v>9.0020000000000007</v>
      </c>
      <c r="K259" s="10">
        <f>CHOOSE(CONTROL!$C$42, 8.9173, 8.9173) * CHOOSE(CONTROL!$C$21, $C$9, 100%, $E$9)</f>
        <v>8.9172999999999991</v>
      </c>
      <c r="L259" s="10">
        <f>CHOOSE(CONTROL!$C$42, 9.8568, 9.8568) * CHOOSE(CONTROL!$C$21, $C$9, 100%, $E$9)</f>
        <v>9.8567999999999998</v>
      </c>
      <c r="M259" s="10">
        <f>CHOOSE(CONTROL!$C$42, 8.9185, 8.9185) * CHOOSE(CONTROL!$C$21, $C$9, 100%, $E$9)</f>
        <v>8.9184999999999999</v>
      </c>
      <c r="N259" s="10">
        <f>CHOOSE(CONTROL!$C$42, 8.9353, 8.9353) * CHOOSE(CONTROL!$C$21, $C$9, 100%, $E$9)</f>
        <v>8.9352999999999998</v>
      </c>
      <c r="O259" s="10">
        <f>CHOOSE(CONTROL!$C$42, 9.1829, 9.1829) * CHOOSE(CONTROL!$C$21, $C$9, 100%, $E$9)</f>
        <v>9.1829000000000001</v>
      </c>
      <c r="P259" s="10">
        <f>CHOOSE(CONTROL!$C$42, 8.9579, 8.9579) * CHOOSE(CONTROL!$C$21, $C$9, 100%, $E$9)</f>
        <v>8.9579000000000004</v>
      </c>
      <c r="Q259" s="10">
        <f>CHOOSE(CONTROL!$C$42, 9.7782, 9.7782) * CHOOSE(CONTROL!$C$21, $C$9, 100%, $E$9)</f>
        <v>9.7782</v>
      </c>
      <c r="R259" s="10">
        <f>CHOOSE(CONTROL!$C$42, 10.3896, 10.3896) * CHOOSE(CONTROL!$C$21, $C$9, 100%, $E$9)</f>
        <v>10.3896</v>
      </c>
      <c r="S259" s="10">
        <f>CHOOSE(CONTROL!$C$42, 8.7943, 8.7943) * CHOOSE(CONTROL!$C$21, $C$9, 100%, $E$9)</f>
        <v>8.7942999999999998</v>
      </c>
      <c r="T25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38">
        <f>(1000*CHOOSE(CONTROL!$C$42, 695, 695)*CHOOSE(CONTROL!$C$42, 0.5599, 0.5599)*CHOOSE(CONTROL!$C$42, 31, 31))/1000000</f>
        <v>12.063045499999998</v>
      </c>
      <c r="V259" s="38">
        <f>(1000*CHOOSE(CONTROL!$C$42, 500, 500)*CHOOSE(CONTROL!$C$42, 0.275, 0.275)*CHOOSE(CONTROL!$C$42, 31, 31))/1000000</f>
        <v>4.2625000000000002</v>
      </c>
      <c r="W259" s="38">
        <f>(1000*CHOOSE(CONTROL!$C$42, 0.1146, 0.1146)*CHOOSE(CONTROL!$C$42, 121.5, 121.5)*CHOOSE(CONTROL!$C$42, 31, 31))/1000000</f>
        <v>0.43164089999999994</v>
      </c>
      <c r="X259" s="38">
        <f>(31*0.1790888*245000/1000000)+(31*0.2374*100000/1000000)</f>
        <v>2.0961194359999999</v>
      </c>
      <c r="Y259" s="38">
        <f>(1000*600*CHOOSE(CONTROL!$C$42, 1.6511, 1.6511)*CHOOSE(CONTROL!$C$42, 31, 31))/1000000</f>
        <v>30.710460000000001</v>
      </c>
      <c r="Z259" s="38"/>
      <c r="AA259" s="10"/>
      <c r="AB259" s="39"/>
      <c r="AC259" s="33">
        <f>(B259*194.205+C259*267.466+D259*133.845+E259*53.484+F259*40+G259*185+H259*0+I259*100+J259*300)/(194.205+267.466+133.845+53.484+0+40+185+100+300)</f>
        <v>9.072026035086342</v>
      </c>
      <c r="AD259" s="27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9.0022208633093523</v>
      </c>
    </row>
    <row r="260" spans="1:30" ht="15" x14ac:dyDescent="0.2">
      <c r="A260" s="16">
        <v>49157</v>
      </c>
      <c r="B260" s="10">
        <f>CHOOSE(CONTROL!$C$42, 8.6186, 8.6186) * CHOOSE(CONTROL!$C$21, $C$9, 100%, $E$9)</f>
        <v>8.6186000000000007</v>
      </c>
      <c r="C260" s="10">
        <f>CHOOSE(CONTROL!$C$42, 8.6266, 8.6266) * CHOOSE(CONTROL!$C$21, $C$9, 100%, $E$9)</f>
        <v>8.6265999999999998</v>
      </c>
      <c r="D260" s="10">
        <f>CHOOSE(CONTROL!$C$42, 8.8017, 8.8017) * CHOOSE(CONTROL!$C$21, $C$9, 100%, $E$9)</f>
        <v>8.8017000000000003</v>
      </c>
      <c r="E260" s="10">
        <f>CHOOSE(CONTROL!$C$42, 8.8329, 8.8329) * CHOOSE(CONTROL!$C$21, $C$9, 100%, $E$9)</f>
        <v>8.8329000000000004</v>
      </c>
      <c r="F260" s="10">
        <f>CHOOSE(CONTROL!$C$42, 8.5607, 8.5607)*CHOOSE(CONTROL!$C$21, $C$9, 100%, $E$9)</f>
        <v>8.5607000000000006</v>
      </c>
      <c r="G260" s="10">
        <f>CHOOSE(CONTROL!$C$42, 8.5777, 8.5777)*CHOOSE(CONTROL!$C$21, $C$9, 100%, $E$9)</f>
        <v>8.5777000000000001</v>
      </c>
      <c r="H260" s="10">
        <f>CHOOSE(CONTROL!$C$42, 8.8213, 8.8213) * CHOOSE(CONTROL!$C$21, $C$9, 100%, $E$9)</f>
        <v>8.8213000000000008</v>
      </c>
      <c r="I260" s="10">
        <f>CHOOSE(CONTROL!$C$42, 8.5933, 8.5933)* CHOOSE(CONTROL!$C$21, $C$9, 100%, $E$9)</f>
        <v>8.5932999999999993</v>
      </c>
      <c r="J260" s="10">
        <f>CHOOSE(CONTROL!$C$42, 8.5533, 8.5533)* CHOOSE(CONTROL!$C$21, $C$9, 100%, $E$9)</f>
        <v>8.5533000000000001</v>
      </c>
      <c r="K260" s="10">
        <f>CHOOSE(CONTROL!$C$42, 8.4825, 8.4825) * CHOOSE(CONTROL!$C$21, $C$9, 100%, $E$9)</f>
        <v>8.4824999999999999</v>
      </c>
      <c r="L260" s="10">
        <f>CHOOSE(CONTROL!$C$42, 9.4083, 9.4083) * CHOOSE(CONTROL!$C$21, $C$9, 100%, $E$9)</f>
        <v>9.4083000000000006</v>
      </c>
      <c r="M260" s="10">
        <f>CHOOSE(CONTROL!$C$42, 8.4756, 8.4756) * CHOOSE(CONTROL!$C$21, $C$9, 100%, $E$9)</f>
        <v>8.4756</v>
      </c>
      <c r="N260" s="10">
        <f>CHOOSE(CONTROL!$C$42, 8.4924, 8.4924) * CHOOSE(CONTROL!$C$21, $C$9, 100%, $E$9)</f>
        <v>8.4923999999999999</v>
      </c>
      <c r="O260" s="10">
        <f>CHOOSE(CONTROL!$C$42, 8.7401, 8.7401) * CHOOSE(CONTROL!$C$21, $C$9, 100%, $E$9)</f>
        <v>8.7401</v>
      </c>
      <c r="P260" s="10">
        <f>CHOOSE(CONTROL!$C$42, 8.5151, 8.5151) * CHOOSE(CONTROL!$C$21, $C$9, 100%, $E$9)</f>
        <v>8.5151000000000003</v>
      </c>
      <c r="Q260" s="10">
        <f>CHOOSE(CONTROL!$C$42, 9.3354, 9.3354) * CHOOSE(CONTROL!$C$21, $C$9, 100%, $E$9)</f>
        <v>9.3353999999999999</v>
      </c>
      <c r="R260" s="10">
        <f>CHOOSE(CONTROL!$C$42, 9.9458, 9.9458) * CHOOSE(CONTROL!$C$21, $C$9, 100%, $E$9)</f>
        <v>9.9458000000000002</v>
      </c>
      <c r="S260" s="10">
        <f>CHOOSE(CONTROL!$C$42, 8.36, 8.36) * CHOOSE(CONTROL!$C$21, $C$9, 100%, $E$9)</f>
        <v>8.36</v>
      </c>
      <c r="T26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38">
        <f>(1000*CHOOSE(CONTROL!$C$42, 695, 695)*CHOOSE(CONTROL!$C$42, 0.5599, 0.5599)*CHOOSE(CONTROL!$C$42, 31, 31))/1000000</f>
        <v>12.063045499999998</v>
      </c>
      <c r="V260" s="38">
        <f>(1000*CHOOSE(CONTROL!$C$42, 500, 500)*CHOOSE(CONTROL!$C$42, 0.275, 0.275)*CHOOSE(CONTROL!$C$42, 31, 31))/1000000</f>
        <v>4.2625000000000002</v>
      </c>
      <c r="W260" s="38">
        <f>(1000*CHOOSE(CONTROL!$C$42, 0.1146, 0.1146)*CHOOSE(CONTROL!$C$42, 121.5, 121.5)*CHOOSE(CONTROL!$C$42, 31, 31))/1000000</f>
        <v>0.43164089999999994</v>
      </c>
      <c r="X260" s="38">
        <f>(31*0.1790888*245000/1000000)+(31*0.2374*100000/1000000)</f>
        <v>2.0961194359999999</v>
      </c>
      <c r="Y260" s="38">
        <f>(1000*600*CHOOSE(CONTROL!$C$42, 1.6511, 1.6511)*CHOOSE(CONTROL!$C$42, 31, 31))/1000000</f>
        <v>30.710460000000001</v>
      </c>
      <c r="Z260" s="38"/>
      <c r="AA260" s="10"/>
      <c r="AB260" s="39"/>
      <c r="AC260" s="33">
        <f>(B260*194.205+C260*267.466+D260*133.845+E260*53.484+F260*40+G260*185+H260*0+I260*100+J260*300)/(194.205+267.466+133.845+53.484+0+40+185+100+300)</f>
        <v>8.6233926755886969</v>
      </c>
      <c r="AD260" s="27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8.5593633093525181</v>
      </c>
    </row>
    <row r="261" spans="1:30" ht="15" x14ac:dyDescent="0.2">
      <c r="A261" s="16">
        <v>49188</v>
      </c>
      <c r="B261" s="10">
        <f>CHOOSE(CONTROL!$C$42, 8.0705, 8.0705) * CHOOSE(CONTROL!$C$21, $C$9, 100%, $E$9)</f>
        <v>8.0704999999999991</v>
      </c>
      <c r="C261" s="10">
        <f>CHOOSE(CONTROL!$C$42, 8.0785, 8.0785) * CHOOSE(CONTROL!$C$21, $C$9, 100%, $E$9)</f>
        <v>8.0785</v>
      </c>
      <c r="D261" s="10">
        <f>CHOOSE(CONTROL!$C$42, 8.2537, 8.2537) * CHOOSE(CONTROL!$C$21, $C$9, 100%, $E$9)</f>
        <v>8.2537000000000003</v>
      </c>
      <c r="E261" s="10">
        <f>CHOOSE(CONTROL!$C$42, 8.2849, 8.2849) * CHOOSE(CONTROL!$C$21, $C$9, 100%, $E$9)</f>
        <v>8.2849000000000004</v>
      </c>
      <c r="F261" s="10">
        <f>CHOOSE(CONTROL!$C$42, 8.0123, 8.0123)*CHOOSE(CONTROL!$C$21, $C$9, 100%, $E$9)</f>
        <v>8.0122999999999998</v>
      </c>
      <c r="G261" s="10">
        <f>CHOOSE(CONTROL!$C$42, 8.0293, 8.0293)*CHOOSE(CONTROL!$C$21, $C$9, 100%, $E$9)</f>
        <v>8.0292999999999992</v>
      </c>
      <c r="H261" s="10">
        <f>CHOOSE(CONTROL!$C$42, 8.2732, 8.2732) * CHOOSE(CONTROL!$C$21, $C$9, 100%, $E$9)</f>
        <v>8.2731999999999992</v>
      </c>
      <c r="I261" s="10">
        <f>CHOOSE(CONTROL!$C$42, 8.0452, 8.0452)* CHOOSE(CONTROL!$C$21, $C$9, 100%, $E$9)</f>
        <v>8.0451999999999995</v>
      </c>
      <c r="J261" s="10">
        <f>CHOOSE(CONTROL!$C$42, 8.0049, 8.0049)* CHOOSE(CONTROL!$C$21, $C$9, 100%, $E$9)</f>
        <v>8.0048999999999992</v>
      </c>
      <c r="K261" s="10">
        <f>CHOOSE(CONTROL!$C$42, 7.9509, 7.9509) * CHOOSE(CONTROL!$C$21, $C$9, 100%, $E$9)</f>
        <v>7.9508999999999999</v>
      </c>
      <c r="L261" s="10">
        <f>CHOOSE(CONTROL!$C$42, 8.8602, 8.8602) * CHOOSE(CONTROL!$C$21, $C$9, 100%, $E$9)</f>
        <v>8.8602000000000007</v>
      </c>
      <c r="M261" s="10">
        <f>CHOOSE(CONTROL!$C$42, 7.9344, 7.9344) * CHOOSE(CONTROL!$C$21, $C$9, 100%, $E$9)</f>
        <v>7.9344000000000001</v>
      </c>
      <c r="N261" s="10">
        <f>CHOOSE(CONTROL!$C$42, 7.9511, 7.9511) * CHOOSE(CONTROL!$C$21, $C$9, 100%, $E$9)</f>
        <v>7.9511000000000003</v>
      </c>
      <c r="O261" s="10">
        <f>CHOOSE(CONTROL!$C$42, 8.1992, 8.1992) * CHOOSE(CONTROL!$C$21, $C$9, 100%, $E$9)</f>
        <v>8.1991999999999994</v>
      </c>
      <c r="P261" s="10">
        <f>CHOOSE(CONTROL!$C$42, 7.9741, 7.9741) * CHOOSE(CONTROL!$C$21, $C$9, 100%, $E$9)</f>
        <v>7.9741</v>
      </c>
      <c r="Q261" s="10">
        <f>CHOOSE(CONTROL!$C$42, 8.7945, 8.7945) * CHOOSE(CONTROL!$C$21, $C$9, 100%, $E$9)</f>
        <v>8.7944999999999993</v>
      </c>
      <c r="R261" s="10">
        <f>CHOOSE(CONTROL!$C$42, 9.4035, 9.4035) * CHOOSE(CONTROL!$C$21, $C$9, 100%, $E$9)</f>
        <v>9.4034999999999993</v>
      </c>
      <c r="S261" s="10">
        <f>CHOOSE(CONTROL!$C$42, 7.8293, 7.8293) * CHOOSE(CONTROL!$C$21, $C$9, 100%, $E$9)</f>
        <v>7.8292999999999999</v>
      </c>
      <c r="T26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38">
        <f>(1000*CHOOSE(CONTROL!$C$42, 695, 695)*CHOOSE(CONTROL!$C$42, 0.5599, 0.5599)*CHOOSE(CONTROL!$C$42, 30, 30))/1000000</f>
        <v>11.673914999999997</v>
      </c>
      <c r="V261" s="38">
        <f>(1000*CHOOSE(CONTROL!$C$42, 500, 500)*CHOOSE(CONTROL!$C$42, 0.275, 0.275)*CHOOSE(CONTROL!$C$42, 30, 30))/1000000</f>
        <v>4.125</v>
      </c>
      <c r="W261" s="38">
        <f>(1000*CHOOSE(CONTROL!$C$42, 0.1146, 0.1146)*CHOOSE(CONTROL!$C$42, 121.5, 121.5)*CHOOSE(CONTROL!$C$42, 30, 30))/1000000</f>
        <v>0.417717</v>
      </c>
      <c r="X261" s="38">
        <f>(30*0.1790888*245000/1000000)+(30*0.2374*100000/1000000)</f>
        <v>2.0285026799999999</v>
      </c>
      <c r="Y261" s="38">
        <f>(1000*600*CHOOSE(CONTROL!$C$42, 1.6511, 1.6511)*CHOOSE(CONTROL!$C$42, 30, 30))/1000000</f>
        <v>29.719799999999999</v>
      </c>
      <c r="Z261" s="38"/>
      <c r="AA261" s="10"/>
      <c r="AB261" s="39"/>
      <c r="AC261" s="33">
        <f>(B261*194.205+C261*267.466+D261*133.845+E261*53.484+F261*40+G261*185+H261*0+I261*100+J261*300)/(194.205+267.466+133.845+53.484+0+40+185+100+300)</f>
        <v>8.0751837532182105</v>
      </c>
      <c r="AD261" s="27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8.0182532374100717</v>
      </c>
    </row>
    <row r="262" spans="1:30" ht="15" x14ac:dyDescent="0.2">
      <c r="A262" s="16">
        <v>49218</v>
      </c>
      <c r="B262" s="10">
        <f>CHOOSE(CONTROL!$C$42, 7.9043, 7.9043) * CHOOSE(CONTROL!$C$21, $C$9, 100%, $E$9)</f>
        <v>7.9043000000000001</v>
      </c>
      <c r="C262" s="10">
        <f>CHOOSE(CONTROL!$C$42, 7.9096, 7.9096) * CHOOSE(CONTROL!$C$21, $C$9, 100%, $E$9)</f>
        <v>7.9096000000000002</v>
      </c>
      <c r="D262" s="10">
        <f>CHOOSE(CONTROL!$C$42, 8.0896, 8.0896) * CHOOSE(CONTROL!$C$21, $C$9, 100%, $E$9)</f>
        <v>8.0896000000000008</v>
      </c>
      <c r="E262" s="10">
        <f>CHOOSE(CONTROL!$C$42, 8.1186, 8.1186) * CHOOSE(CONTROL!$C$21, $C$9, 100%, $E$9)</f>
        <v>8.1186000000000007</v>
      </c>
      <c r="F262" s="10">
        <f>CHOOSE(CONTROL!$C$42, 7.8481, 7.8481)*CHOOSE(CONTROL!$C$21, $C$9, 100%, $E$9)</f>
        <v>7.8480999999999996</v>
      </c>
      <c r="G262" s="10">
        <f>CHOOSE(CONTROL!$C$42, 7.8647, 7.8647)*CHOOSE(CONTROL!$C$21, $C$9, 100%, $E$9)</f>
        <v>7.8647</v>
      </c>
      <c r="H262" s="10">
        <f>CHOOSE(CONTROL!$C$42, 8.1087, 8.1087) * CHOOSE(CONTROL!$C$21, $C$9, 100%, $E$9)</f>
        <v>8.1087000000000007</v>
      </c>
      <c r="I262" s="10">
        <f>CHOOSE(CONTROL!$C$42, 7.8807, 7.8807)* CHOOSE(CONTROL!$C$21, $C$9, 100%, $E$9)</f>
        <v>7.8807</v>
      </c>
      <c r="J262" s="10">
        <f>CHOOSE(CONTROL!$C$42, 7.8407, 7.8407)* CHOOSE(CONTROL!$C$21, $C$9, 100%, $E$9)</f>
        <v>7.8407</v>
      </c>
      <c r="K262" s="10">
        <f>CHOOSE(CONTROL!$C$42, 7.7921, 7.7921) * CHOOSE(CONTROL!$C$21, $C$9, 100%, $E$9)</f>
        <v>7.7920999999999996</v>
      </c>
      <c r="L262" s="10">
        <f>CHOOSE(CONTROL!$C$42, 8.6957, 8.6957) * CHOOSE(CONTROL!$C$21, $C$9, 100%, $E$9)</f>
        <v>8.6957000000000004</v>
      </c>
      <c r="M262" s="10">
        <f>CHOOSE(CONTROL!$C$42, 7.7722, 7.7722) * CHOOSE(CONTROL!$C$21, $C$9, 100%, $E$9)</f>
        <v>7.7721999999999998</v>
      </c>
      <c r="N262" s="10">
        <f>CHOOSE(CONTROL!$C$42, 7.7886, 7.7886) * CHOOSE(CONTROL!$C$21, $C$9, 100%, $E$9)</f>
        <v>7.7885999999999997</v>
      </c>
      <c r="O262" s="10">
        <f>CHOOSE(CONTROL!$C$42, 8.0368, 8.0368) * CHOOSE(CONTROL!$C$21, $C$9, 100%, $E$9)</f>
        <v>8.0367999999999995</v>
      </c>
      <c r="P262" s="10">
        <f>CHOOSE(CONTROL!$C$42, 7.8117, 7.8117) * CHOOSE(CONTROL!$C$21, $C$9, 100%, $E$9)</f>
        <v>7.8117000000000001</v>
      </c>
      <c r="Q262" s="10">
        <f>CHOOSE(CONTROL!$C$42, 8.6321, 8.6321) * CHOOSE(CONTROL!$C$21, $C$9, 100%, $E$9)</f>
        <v>8.6320999999999994</v>
      </c>
      <c r="R262" s="10">
        <f>CHOOSE(CONTROL!$C$42, 9.2406, 9.2406) * CHOOSE(CONTROL!$C$21, $C$9, 100%, $E$9)</f>
        <v>9.2406000000000006</v>
      </c>
      <c r="S262" s="10">
        <f>CHOOSE(CONTROL!$C$42, 7.67, 7.67) * CHOOSE(CONTROL!$C$21, $C$9, 100%, $E$9)</f>
        <v>7.67</v>
      </c>
      <c r="T26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38">
        <f>(1000*CHOOSE(CONTROL!$C$42, 695, 695)*CHOOSE(CONTROL!$C$42, 0.5599, 0.5599)*CHOOSE(CONTROL!$C$42, 31, 31))/1000000</f>
        <v>12.063045499999998</v>
      </c>
      <c r="V262" s="38">
        <f>(1000*CHOOSE(CONTROL!$C$42, 500, 500)*CHOOSE(CONTROL!$C$42, 0.275, 0.275)*CHOOSE(CONTROL!$C$42, 31, 31))/1000000</f>
        <v>4.2625000000000002</v>
      </c>
      <c r="W262" s="38">
        <f>(1000*CHOOSE(CONTROL!$C$42, 0.1146, 0.1146)*CHOOSE(CONTROL!$C$42, 121.5, 121.5)*CHOOSE(CONTROL!$C$42, 31, 31))/1000000</f>
        <v>0.43164089999999994</v>
      </c>
      <c r="X262" s="38">
        <f>(31*0.1790888*245000/1000000)+(31*0.2374*100000/1000000)</f>
        <v>2.0961194359999999</v>
      </c>
      <c r="Y262" s="38">
        <f>(1000*600*CHOOSE(CONTROL!$C$42, 1.6511, 1.6511)*CHOOSE(CONTROL!$C$42, 31, 31))/1000000</f>
        <v>30.710460000000001</v>
      </c>
      <c r="Z262" s="38"/>
      <c r="AA262" s="10"/>
      <c r="AB262" s="39"/>
      <c r="AC262" s="33">
        <f>(B262*131.881+C262*277.167+D262*79.08+E262*125.872+F262*40+G262*185+H262*0+I262*100+J262*300)/(131.881+277.167+79.08+125.872+0+40+185+100+300)</f>
        <v>7.9140521216303465</v>
      </c>
      <c r="AD262" s="27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7.8558992805755397</v>
      </c>
    </row>
    <row r="263" spans="1:30" ht="15" x14ac:dyDescent="0.2">
      <c r="A263" s="16">
        <v>49249</v>
      </c>
      <c r="B263" s="10">
        <f>CHOOSE(CONTROL!$C$42, 8.1125, 8.1125) * CHOOSE(CONTROL!$C$21, $C$9, 100%, $E$9)</f>
        <v>8.1125000000000007</v>
      </c>
      <c r="C263" s="10">
        <f>CHOOSE(CONTROL!$C$42, 8.1176, 8.1176) * CHOOSE(CONTROL!$C$21, $C$9, 100%, $E$9)</f>
        <v>8.1175999999999995</v>
      </c>
      <c r="D263" s="10">
        <f>CHOOSE(CONTROL!$C$42, 8.1423, 8.1423) * CHOOSE(CONTROL!$C$21, $C$9, 100%, $E$9)</f>
        <v>8.1423000000000005</v>
      </c>
      <c r="E263" s="10">
        <f>CHOOSE(CONTROL!$C$42, 8.1761, 8.1761) * CHOOSE(CONTROL!$C$21, $C$9, 100%, $E$9)</f>
        <v>8.1760999999999999</v>
      </c>
      <c r="F263" s="10">
        <f>CHOOSE(CONTROL!$C$42, 8.0782, 8.0782)*CHOOSE(CONTROL!$C$21, $C$9, 100%, $E$9)</f>
        <v>8.0782000000000007</v>
      </c>
      <c r="G263" s="10">
        <f>CHOOSE(CONTROL!$C$42, 8.095, 8.095)*CHOOSE(CONTROL!$C$21, $C$9, 100%, $E$9)</f>
        <v>8.0950000000000006</v>
      </c>
      <c r="H263" s="10">
        <f>CHOOSE(CONTROL!$C$42, 8.165, 8.165) * CHOOSE(CONTROL!$C$21, $C$9, 100%, $E$9)</f>
        <v>8.1649999999999991</v>
      </c>
      <c r="I263" s="10">
        <f>CHOOSE(CONTROL!$C$42, 8.112, 8.112)* CHOOSE(CONTROL!$C$21, $C$9, 100%, $E$9)</f>
        <v>8.1120000000000001</v>
      </c>
      <c r="J263" s="10">
        <f>CHOOSE(CONTROL!$C$42, 8.0708, 8.0708)* CHOOSE(CONTROL!$C$21, $C$9, 100%, $E$9)</f>
        <v>8.0708000000000002</v>
      </c>
      <c r="K263" s="10">
        <f>CHOOSE(CONTROL!$C$42, 8.018, 8.018) * CHOOSE(CONTROL!$C$21, $C$9, 100%, $E$9)</f>
        <v>8.0180000000000007</v>
      </c>
      <c r="L263" s="10">
        <f>CHOOSE(CONTROL!$C$42, 8.752, 8.752) * CHOOSE(CONTROL!$C$21, $C$9, 100%, $E$9)</f>
        <v>8.7520000000000007</v>
      </c>
      <c r="M263" s="10">
        <f>CHOOSE(CONTROL!$C$42, 7.9993, 7.9993) * CHOOSE(CONTROL!$C$21, $C$9, 100%, $E$9)</f>
        <v>7.9992999999999999</v>
      </c>
      <c r="N263" s="10">
        <f>CHOOSE(CONTROL!$C$42, 8.0159, 8.0159) * CHOOSE(CONTROL!$C$21, $C$9, 100%, $E$9)</f>
        <v>8.0159000000000002</v>
      </c>
      <c r="O263" s="10">
        <f>CHOOSE(CONTROL!$C$42, 8.0924, 8.0924) * CHOOSE(CONTROL!$C$21, $C$9, 100%, $E$9)</f>
        <v>8.0923999999999996</v>
      </c>
      <c r="P263" s="10">
        <f>CHOOSE(CONTROL!$C$42, 8.0401, 8.0401) * CHOOSE(CONTROL!$C$21, $C$9, 100%, $E$9)</f>
        <v>8.0401000000000007</v>
      </c>
      <c r="Q263" s="10">
        <f>CHOOSE(CONTROL!$C$42, 8.6877, 8.6877) * CHOOSE(CONTROL!$C$21, $C$9, 100%, $E$9)</f>
        <v>8.6876999999999995</v>
      </c>
      <c r="R263" s="10">
        <f>CHOOSE(CONTROL!$C$42, 9.2964, 9.2964) * CHOOSE(CONTROL!$C$21, $C$9, 100%, $E$9)</f>
        <v>9.2964000000000002</v>
      </c>
      <c r="S263" s="10">
        <f>CHOOSE(CONTROL!$C$42, 7.872, 7.872) * CHOOSE(CONTROL!$C$21, $C$9, 100%, $E$9)</f>
        <v>7.8719999999999999</v>
      </c>
      <c r="T26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38">
        <f>(1000*CHOOSE(CONTROL!$C$42, 695, 695)*CHOOSE(CONTROL!$C$42, 0.5599, 0.5599)*CHOOSE(CONTROL!$C$42, 30, 30))/1000000</f>
        <v>11.673914999999997</v>
      </c>
      <c r="V263" s="38">
        <f>(1000*CHOOSE(CONTROL!$C$42, 500, 500)*CHOOSE(CONTROL!$C$42, 0.275, 0.275)*CHOOSE(CONTROL!$C$42, 30, 30))/1000000</f>
        <v>4.125</v>
      </c>
      <c r="W263" s="38">
        <f>(1000*CHOOSE(CONTROL!$C$42, 0.1146, 0.1146)*CHOOSE(CONTROL!$C$42, 121.5, 121.5)*CHOOSE(CONTROL!$C$42, 30, 30))/1000000</f>
        <v>0.417717</v>
      </c>
      <c r="X263" s="38">
        <f>(30*0.1790888*100000/1000000)+(30*0.2374*100000/1000000)</f>
        <v>1.2494664</v>
      </c>
      <c r="Y263" s="38">
        <f>(1000*600*CHOOSE(CONTROL!$C$42, 1.6511, 1.6511)*CHOOSE(CONTROL!$C$42, 30, 30))/1000000</f>
        <v>29.719799999999999</v>
      </c>
      <c r="Z263" s="38"/>
      <c r="AA263" s="10"/>
      <c r="AB263" s="39"/>
      <c r="AC263" s="33">
        <f>(B263*122.58+C263*297.941+D263*89.177+E263*40.302+F263*40+G263*160+H263*0+I263*100+J263*300)/(122.58+297.941+89.177+40.302+0+40+160+100+300)</f>
        <v>8.1038114616521746</v>
      </c>
      <c r="AD263" s="27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8.0483223021582724</v>
      </c>
    </row>
    <row r="264" spans="1:30" ht="15" x14ac:dyDescent="0.2">
      <c r="A264" s="16">
        <v>49279</v>
      </c>
      <c r="B264" s="10">
        <f>CHOOSE(CONTROL!$C$42, 8.6668, 8.6668) * CHOOSE(CONTROL!$C$21, $C$9, 100%, $E$9)</f>
        <v>8.6668000000000003</v>
      </c>
      <c r="C264" s="10">
        <f>CHOOSE(CONTROL!$C$42, 8.6719, 8.6719) * CHOOSE(CONTROL!$C$21, $C$9, 100%, $E$9)</f>
        <v>8.6719000000000008</v>
      </c>
      <c r="D264" s="10">
        <f>CHOOSE(CONTROL!$C$42, 8.6965, 8.6965) * CHOOSE(CONTROL!$C$21, $C$9, 100%, $E$9)</f>
        <v>8.6965000000000003</v>
      </c>
      <c r="E264" s="10">
        <f>CHOOSE(CONTROL!$C$42, 8.7304, 8.7304) * CHOOSE(CONTROL!$C$21, $C$9, 100%, $E$9)</f>
        <v>8.7303999999999995</v>
      </c>
      <c r="F264" s="10">
        <f>CHOOSE(CONTROL!$C$42, 8.6342, 8.6342)*CHOOSE(CONTROL!$C$21, $C$9, 100%, $E$9)</f>
        <v>8.6341999999999999</v>
      </c>
      <c r="G264" s="10">
        <f>CHOOSE(CONTROL!$C$42, 8.6515, 8.6515)*CHOOSE(CONTROL!$C$21, $C$9, 100%, $E$9)</f>
        <v>8.6515000000000004</v>
      </c>
      <c r="H264" s="10">
        <f>CHOOSE(CONTROL!$C$42, 8.7192, 8.7192) * CHOOSE(CONTROL!$C$21, $C$9, 100%, $E$9)</f>
        <v>8.7192000000000007</v>
      </c>
      <c r="I264" s="10">
        <f>CHOOSE(CONTROL!$C$42, 8.6663, 8.6663)* CHOOSE(CONTROL!$C$21, $C$9, 100%, $E$9)</f>
        <v>8.6662999999999997</v>
      </c>
      <c r="J264" s="10">
        <f>CHOOSE(CONTROL!$C$42, 8.6268, 8.6268)* CHOOSE(CONTROL!$C$21, $C$9, 100%, $E$9)</f>
        <v>8.6267999999999994</v>
      </c>
      <c r="K264" s="10">
        <f>CHOOSE(CONTROL!$C$42, 8.5588, 8.5588) * CHOOSE(CONTROL!$C$21, $C$9, 100%, $E$9)</f>
        <v>8.5587999999999997</v>
      </c>
      <c r="L264" s="10">
        <f>CHOOSE(CONTROL!$C$42, 9.3062, 9.3062) * CHOOSE(CONTROL!$C$21, $C$9, 100%, $E$9)</f>
        <v>9.3062000000000005</v>
      </c>
      <c r="M264" s="10">
        <f>CHOOSE(CONTROL!$C$42, 8.5482, 8.5482) * CHOOSE(CONTROL!$C$21, $C$9, 100%, $E$9)</f>
        <v>8.5481999999999996</v>
      </c>
      <c r="N264" s="10">
        <f>CHOOSE(CONTROL!$C$42, 8.5652, 8.5652) * CHOOSE(CONTROL!$C$21, $C$9, 100%, $E$9)</f>
        <v>8.5652000000000008</v>
      </c>
      <c r="O264" s="10">
        <f>CHOOSE(CONTROL!$C$42, 8.6394, 8.6394) * CHOOSE(CONTROL!$C$21, $C$9, 100%, $E$9)</f>
        <v>8.6394000000000002</v>
      </c>
      <c r="P264" s="10">
        <f>CHOOSE(CONTROL!$C$42, 8.5872, 8.5872) * CHOOSE(CONTROL!$C$21, $C$9, 100%, $E$9)</f>
        <v>8.5871999999999993</v>
      </c>
      <c r="Q264" s="10">
        <f>CHOOSE(CONTROL!$C$42, 9.2347, 9.2347) * CHOOSE(CONTROL!$C$21, $C$9, 100%, $E$9)</f>
        <v>9.2347000000000001</v>
      </c>
      <c r="R264" s="10">
        <f>CHOOSE(CONTROL!$C$42, 9.8448, 9.8448) * CHOOSE(CONTROL!$C$21, $C$9, 100%, $E$9)</f>
        <v>9.8447999999999993</v>
      </c>
      <c r="S264" s="10">
        <f>CHOOSE(CONTROL!$C$42, 8.4087, 8.4087) * CHOOSE(CONTROL!$C$21, $C$9, 100%, $E$9)</f>
        <v>8.4086999999999996</v>
      </c>
      <c r="T26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38">
        <f>(1000*CHOOSE(CONTROL!$C$42, 695, 695)*CHOOSE(CONTROL!$C$42, 0.5599, 0.5599)*CHOOSE(CONTROL!$C$42, 31, 31))/1000000</f>
        <v>12.063045499999998</v>
      </c>
      <c r="V264" s="38">
        <f>(1000*CHOOSE(CONTROL!$C$42, 500, 500)*CHOOSE(CONTROL!$C$42, 0.275, 0.275)*CHOOSE(CONTROL!$C$42, 31, 31))/1000000</f>
        <v>4.2625000000000002</v>
      </c>
      <c r="W264" s="38">
        <f>(1000*CHOOSE(CONTROL!$C$42, 0.1146, 0.1146)*CHOOSE(CONTROL!$C$42, 121.5, 121.5)*CHOOSE(CONTROL!$C$42, 31, 31))/1000000</f>
        <v>0.43164089999999994</v>
      </c>
      <c r="X264" s="38">
        <f>(31*0.1790888*100000/1000000)+(31*0.2374*100000/1000000)</f>
        <v>1.2911152800000001</v>
      </c>
      <c r="Y264" s="38">
        <f>(1000*600*CHOOSE(CONTROL!$C$42, 1.6511, 1.6511)*CHOOSE(CONTROL!$C$42, 31, 31))/1000000</f>
        <v>30.710460000000001</v>
      </c>
      <c r="Z264" s="38"/>
      <c r="AA264" s="10"/>
      <c r="AB264" s="39"/>
      <c r="AC264" s="33">
        <f>(B264*122.58+C264*297.941+D264*89.177+E264*40.302+F264*40+G264*160+H264*0+I264*100+J264*300)/(122.58+297.941+89.177+40.302+0+40+160+100+300)</f>
        <v>8.6589124027826081</v>
      </c>
      <c r="AD264" s="27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8.5961251798561147</v>
      </c>
    </row>
    <row r="265" spans="1:30" ht="15" x14ac:dyDescent="0.2">
      <c r="A265" s="16">
        <v>49310</v>
      </c>
      <c r="B265" s="10">
        <f>CHOOSE(CONTROL!$C$42, 9.2528, 9.2528) * CHOOSE(CONTROL!$C$21, $C$9, 100%, $E$9)</f>
        <v>9.2528000000000006</v>
      </c>
      <c r="C265" s="10">
        <f>CHOOSE(CONTROL!$C$42, 9.2579, 9.2579) * CHOOSE(CONTROL!$C$21, $C$9, 100%, $E$9)</f>
        <v>9.2578999999999994</v>
      </c>
      <c r="D265" s="10">
        <f>CHOOSE(CONTROL!$C$42, 9.2929, 9.2929) * CHOOSE(CONTROL!$C$21, $C$9, 100%, $E$9)</f>
        <v>9.2928999999999995</v>
      </c>
      <c r="E265" s="10">
        <f>CHOOSE(CONTROL!$C$42, 9.3267, 9.3267) * CHOOSE(CONTROL!$C$21, $C$9, 100%, $E$9)</f>
        <v>9.3267000000000007</v>
      </c>
      <c r="F265" s="10">
        <f>CHOOSE(CONTROL!$C$42, 9.2341, 9.2341)*CHOOSE(CONTROL!$C$21, $C$9, 100%, $E$9)</f>
        <v>9.2340999999999998</v>
      </c>
      <c r="G265" s="10">
        <f>CHOOSE(CONTROL!$C$42, 9.253, 9.253)*CHOOSE(CONTROL!$C$21, $C$9, 100%, $E$9)</f>
        <v>9.2530000000000001</v>
      </c>
      <c r="H265" s="10">
        <f>CHOOSE(CONTROL!$C$42, 9.3156, 9.3156) * CHOOSE(CONTROL!$C$21, $C$9, 100%, $E$9)</f>
        <v>9.3155999999999999</v>
      </c>
      <c r="I265" s="10">
        <f>CHOOSE(CONTROL!$C$42, 9.2601, 9.2601)* CHOOSE(CONTROL!$C$21, $C$9, 100%, $E$9)</f>
        <v>9.2600999999999996</v>
      </c>
      <c r="J265" s="10">
        <f>CHOOSE(CONTROL!$C$42, 9.2267, 9.2267)* CHOOSE(CONTROL!$C$21, $C$9, 100%, $E$9)</f>
        <v>9.2266999999999992</v>
      </c>
      <c r="K265" s="10">
        <f>CHOOSE(CONTROL!$C$42, 9.1474, 9.1474) * CHOOSE(CONTROL!$C$21, $C$9, 100%, $E$9)</f>
        <v>9.1473999999999993</v>
      </c>
      <c r="L265" s="10">
        <f>CHOOSE(CONTROL!$C$42, 9.9026, 9.9026) * CHOOSE(CONTROL!$C$21, $C$9, 100%, $E$9)</f>
        <v>9.9025999999999996</v>
      </c>
      <c r="M265" s="10">
        <f>CHOOSE(CONTROL!$C$42, 9.1403, 9.1403) * CHOOSE(CONTROL!$C$21, $C$9, 100%, $E$9)</f>
        <v>9.1402999999999999</v>
      </c>
      <c r="N265" s="10">
        <f>CHOOSE(CONTROL!$C$42, 9.159, 9.159) * CHOOSE(CONTROL!$C$21, $C$9, 100%, $E$9)</f>
        <v>9.1590000000000007</v>
      </c>
      <c r="O265" s="10">
        <f>CHOOSE(CONTROL!$C$42, 9.2281, 9.2281) * CHOOSE(CONTROL!$C$21, $C$9, 100%, $E$9)</f>
        <v>9.2280999999999995</v>
      </c>
      <c r="P265" s="10">
        <f>CHOOSE(CONTROL!$C$42, 9.1733, 9.1733) * CHOOSE(CONTROL!$C$21, $C$9, 100%, $E$9)</f>
        <v>9.1732999999999993</v>
      </c>
      <c r="Q265" s="10">
        <f>CHOOSE(CONTROL!$C$42, 9.8234, 9.8234) * CHOOSE(CONTROL!$C$21, $C$9, 100%, $E$9)</f>
        <v>9.8233999999999995</v>
      </c>
      <c r="R265" s="10">
        <f>CHOOSE(CONTROL!$C$42, 10.4349, 10.4349) * CHOOSE(CONTROL!$C$21, $C$9, 100%, $E$9)</f>
        <v>10.434900000000001</v>
      </c>
      <c r="S265" s="10">
        <f>CHOOSE(CONTROL!$C$42, 8.9762, 8.9762) * CHOOSE(CONTROL!$C$21, $C$9, 100%, $E$9)</f>
        <v>8.9762000000000004</v>
      </c>
      <c r="T26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38">
        <f>(1000*CHOOSE(CONTROL!$C$42, 695, 695)*CHOOSE(CONTROL!$C$42, 0.5599, 0.5599)*CHOOSE(CONTROL!$C$42, 31, 31))/1000000</f>
        <v>12.063045499999998</v>
      </c>
      <c r="V265" s="38">
        <f>(1000*CHOOSE(CONTROL!$C$42, 500, 500)*CHOOSE(CONTROL!$C$42, 0.275, 0.275)*CHOOSE(CONTROL!$C$42, 31, 31))/1000000</f>
        <v>4.2625000000000002</v>
      </c>
      <c r="W265" s="38">
        <f>(1000*CHOOSE(CONTROL!$C$42, 0.1146, 0.1146)*CHOOSE(CONTROL!$C$42, 121.5, 121.5)*CHOOSE(CONTROL!$C$42, 31, 31))/1000000</f>
        <v>0.43164089999999994</v>
      </c>
      <c r="X265" s="38">
        <f>(31*0.1790888*100000/1000000)+(31*0.2374*100000/1000000)</f>
        <v>1.2911152800000001</v>
      </c>
      <c r="Y265" s="38">
        <f>(1000*600*CHOOSE(CONTROL!$C$42, 1.6476, 1.6476)*CHOOSE(CONTROL!$C$42, 31, 31))/1000000</f>
        <v>30.64536</v>
      </c>
      <c r="Z265" s="38"/>
      <c r="AA265" s="10"/>
      <c r="AB265" s="39"/>
      <c r="AC265" s="33">
        <f>(B265*122.58+C265*297.941+D265*89.177+E265*40.302+F265*40+G265*160+H265*0+I265*100+J265*300)/(122.58+297.941+89.177+40.302+0+40+160+100+300)</f>
        <v>9.2530241866086946</v>
      </c>
      <c r="AD265" s="27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9.1859187050359719</v>
      </c>
    </row>
    <row r="266" spans="1:30" ht="15" x14ac:dyDescent="0.2">
      <c r="A266" s="16">
        <v>49341</v>
      </c>
      <c r="B266" s="10">
        <f>CHOOSE(CONTROL!$C$42, 9.4178, 9.4178) * CHOOSE(CONTROL!$C$21, $C$9, 100%, $E$9)</f>
        <v>9.4177999999999997</v>
      </c>
      <c r="C266" s="10">
        <f>CHOOSE(CONTROL!$C$42, 9.4229, 9.4229) * CHOOSE(CONTROL!$C$21, $C$9, 100%, $E$9)</f>
        <v>9.4229000000000003</v>
      </c>
      <c r="D266" s="10">
        <f>CHOOSE(CONTROL!$C$42, 9.4579, 9.4579) * CHOOSE(CONTROL!$C$21, $C$9, 100%, $E$9)</f>
        <v>9.4579000000000004</v>
      </c>
      <c r="E266" s="10">
        <f>CHOOSE(CONTROL!$C$42, 9.4918, 9.4918) * CHOOSE(CONTROL!$C$21, $C$9, 100%, $E$9)</f>
        <v>9.4917999999999996</v>
      </c>
      <c r="F266" s="10">
        <f>CHOOSE(CONTROL!$C$42, 9.3986, 9.3986)*CHOOSE(CONTROL!$C$21, $C$9, 100%, $E$9)</f>
        <v>9.3986000000000001</v>
      </c>
      <c r="G266" s="10">
        <f>CHOOSE(CONTROL!$C$42, 9.4173, 9.4173)*CHOOSE(CONTROL!$C$21, $C$9, 100%, $E$9)</f>
        <v>9.4172999999999991</v>
      </c>
      <c r="H266" s="10">
        <f>CHOOSE(CONTROL!$C$42, 9.4806, 9.4806) * CHOOSE(CONTROL!$C$21, $C$9, 100%, $E$9)</f>
        <v>9.4806000000000008</v>
      </c>
      <c r="I266" s="10">
        <f>CHOOSE(CONTROL!$C$42, 9.4251, 9.4251)* CHOOSE(CONTROL!$C$21, $C$9, 100%, $E$9)</f>
        <v>9.4251000000000005</v>
      </c>
      <c r="J266" s="10">
        <f>CHOOSE(CONTROL!$C$42, 9.3912, 9.3912)* CHOOSE(CONTROL!$C$21, $C$9, 100%, $E$9)</f>
        <v>9.3911999999999995</v>
      </c>
      <c r="K266" s="10">
        <f>CHOOSE(CONTROL!$C$42, 9.3061, 9.3061) * CHOOSE(CONTROL!$C$21, $C$9, 100%, $E$9)</f>
        <v>9.3061000000000007</v>
      </c>
      <c r="L266" s="10">
        <f>CHOOSE(CONTROL!$C$42, 10.0676, 10.0676) * CHOOSE(CONTROL!$C$21, $C$9, 100%, $E$9)</f>
        <v>10.067600000000001</v>
      </c>
      <c r="M266" s="10">
        <f>CHOOSE(CONTROL!$C$42, 9.3027, 9.3027) * CHOOSE(CONTROL!$C$21, $C$9, 100%, $E$9)</f>
        <v>9.3026999999999997</v>
      </c>
      <c r="N266" s="10">
        <f>CHOOSE(CONTROL!$C$42, 9.3212, 9.3212) * CHOOSE(CONTROL!$C$21, $C$9, 100%, $E$9)</f>
        <v>9.3211999999999993</v>
      </c>
      <c r="O266" s="10">
        <f>CHOOSE(CONTROL!$C$42, 9.3909, 9.3909) * CHOOSE(CONTROL!$C$21, $C$9, 100%, $E$9)</f>
        <v>9.3909000000000002</v>
      </c>
      <c r="P266" s="10">
        <f>CHOOSE(CONTROL!$C$42, 9.3362, 9.3362) * CHOOSE(CONTROL!$C$21, $C$9, 100%, $E$9)</f>
        <v>9.3361999999999998</v>
      </c>
      <c r="Q266" s="10">
        <f>CHOOSE(CONTROL!$C$42, 9.9862, 9.9862) * CHOOSE(CONTROL!$C$21, $C$9, 100%, $E$9)</f>
        <v>9.9862000000000002</v>
      </c>
      <c r="R266" s="10">
        <f>CHOOSE(CONTROL!$C$42, 10.5982, 10.5982) * CHOOSE(CONTROL!$C$21, $C$9, 100%, $E$9)</f>
        <v>10.5982</v>
      </c>
      <c r="S266" s="10">
        <f>CHOOSE(CONTROL!$C$42, 9.1359, 9.1359) * CHOOSE(CONTROL!$C$21, $C$9, 100%, $E$9)</f>
        <v>9.1358999999999995</v>
      </c>
      <c r="T26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38">
        <f>(1000*CHOOSE(CONTROL!$C$42, 695, 695)*CHOOSE(CONTROL!$C$42, 0.5599, 0.5599)*CHOOSE(CONTROL!$C$42, 28, 28))/1000000</f>
        <v>10.895653999999999</v>
      </c>
      <c r="V266" s="38">
        <f>(1000*CHOOSE(CONTROL!$C$42, 500, 500)*CHOOSE(CONTROL!$C$42, 0.275, 0.275)*CHOOSE(CONTROL!$C$42, 28, 28))/1000000</f>
        <v>3.85</v>
      </c>
      <c r="W266" s="38">
        <f>(1000*CHOOSE(CONTROL!$C$42, 0.1146, 0.1146)*CHOOSE(CONTROL!$C$42, 121.5, 121.5)*CHOOSE(CONTROL!$C$42, 28, 28))/1000000</f>
        <v>0.38986920000000003</v>
      </c>
      <c r="X266" s="38">
        <f>(28*0.1790888*100000/1000000)+(28*0.2374*100000/1000000)</f>
        <v>1.16616864</v>
      </c>
      <c r="Y266" s="38">
        <f>(1000*600*CHOOSE(CONTROL!$C$42, 1.6476, 1.6476)*CHOOSE(CONTROL!$C$42, 28, 28))/1000000</f>
        <v>27.679680000000001</v>
      </c>
      <c r="Z266" s="38"/>
      <c r="AA266" s="10"/>
      <c r="AB266" s="39"/>
      <c r="AC266" s="33">
        <f>(B266*122.58+C266*297.941+D266*89.177+E266*40.302+F266*40+G266*160+H266*0+I266*100+J266*300)/(122.58+297.941+89.177+40.302+0+40+160+100+300)</f>
        <v>9.4177824737391322</v>
      </c>
      <c r="AD266" s="27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9.3485604316546755</v>
      </c>
    </row>
    <row r="267" spans="1:30" ht="15" x14ac:dyDescent="0.2">
      <c r="A267" s="16">
        <v>49369</v>
      </c>
      <c r="B267" s="10">
        <f>CHOOSE(CONTROL!$C$42, 9.15, 9.15) * CHOOSE(CONTROL!$C$21, $C$9, 100%, $E$9)</f>
        <v>9.15</v>
      </c>
      <c r="C267" s="10">
        <f>CHOOSE(CONTROL!$C$42, 9.1551, 9.1551) * CHOOSE(CONTROL!$C$21, $C$9, 100%, $E$9)</f>
        <v>9.1550999999999991</v>
      </c>
      <c r="D267" s="10">
        <f>CHOOSE(CONTROL!$C$42, 9.1901, 9.1901) * CHOOSE(CONTROL!$C$21, $C$9, 100%, $E$9)</f>
        <v>9.1900999999999993</v>
      </c>
      <c r="E267" s="10">
        <f>CHOOSE(CONTROL!$C$42, 9.2239, 9.2239) * CHOOSE(CONTROL!$C$21, $C$9, 100%, $E$9)</f>
        <v>9.2239000000000004</v>
      </c>
      <c r="F267" s="10">
        <f>CHOOSE(CONTROL!$C$42, 9.1294, 9.1294)*CHOOSE(CONTROL!$C$21, $C$9, 100%, $E$9)</f>
        <v>9.1294000000000004</v>
      </c>
      <c r="G267" s="10">
        <f>CHOOSE(CONTROL!$C$42, 9.1477, 9.1477)*CHOOSE(CONTROL!$C$21, $C$9, 100%, $E$9)</f>
        <v>9.1477000000000004</v>
      </c>
      <c r="H267" s="10">
        <f>CHOOSE(CONTROL!$C$42, 9.2128, 9.2128) * CHOOSE(CONTROL!$C$21, $C$9, 100%, $E$9)</f>
        <v>9.2127999999999997</v>
      </c>
      <c r="I267" s="10">
        <f>CHOOSE(CONTROL!$C$42, 9.1572, 9.1572)* CHOOSE(CONTROL!$C$21, $C$9, 100%, $E$9)</f>
        <v>9.1571999999999996</v>
      </c>
      <c r="J267" s="10">
        <f>CHOOSE(CONTROL!$C$42, 9.122, 9.122)* CHOOSE(CONTROL!$C$21, $C$9, 100%, $E$9)</f>
        <v>9.1219999999999999</v>
      </c>
      <c r="K267" s="10">
        <f>CHOOSE(CONTROL!$C$42, 9.0436, 9.0436) * CHOOSE(CONTROL!$C$21, $C$9, 100%, $E$9)</f>
        <v>9.0435999999999996</v>
      </c>
      <c r="L267" s="10">
        <f>CHOOSE(CONTROL!$C$42, 9.7998, 9.7998) * CHOOSE(CONTROL!$C$21, $C$9, 100%, $E$9)</f>
        <v>9.7997999999999994</v>
      </c>
      <c r="M267" s="10">
        <f>CHOOSE(CONTROL!$C$42, 9.0369, 9.0369) * CHOOSE(CONTROL!$C$21, $C$9, 100%, $E$9)</f>
        <v>9.0368999999999993</v>
      </c>
      <c r="N267" s="10">
        <f>CHOOSE(CONTROL!$C$42, 9.0551, 9.0551) * CHOOSE(CONTROL!$C$21, $C$9, 100%, $E$9)</f>
        <v>9.0550999999999995</v>
      </c>
      <c r="O267" s="10">
        <f>CHOOSE(CONTROL!$C$42, 9.1266, 9.1266) * CHOOSE(CONTROL!$C$21, $C$9, 100%, $E$9)</f>
        <v>9.1265999999999998</v>
      </c>
      <c r="P267" s="10">
        <f>CHOOSE(CONTROL!$C$42, 9.0718, 9.0718) * CHOOSE(CONTROL!$C$21, $C$9, 100%, $E$9)</f>
        <v>9.0717999999999996</v>
      </c>
      <c r="Q267" s="10">
        <f>CHOOSE(CONTROL!$C$42, 9.7219, 9.7219) * CHOOSE(CONTROL!$C$21, $C$9, 100%, $E$9)</f>
        <v>9.7218999999999998</v>
      </c>
      <c r="R267" s="10">
        <f>CHOOSE(CONTROL!$C$42, 10.3332, 10.3332) * CHOOSE(CONTROL!$C$21, $C$9, 100%, $E$9)</f>
        <v>10.3332</v>
      </c>
      <c r="S267" s="10">
        <f>CHOOSE(CONTROL!$C$42, 8.8766, 8.8766) * CHOOSE(CONTROL!$C$21, $C$9, 100%, $E$9)</f>
        <v>8.8765999999999998</v>
      </c>
      <c r="T26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38">
        <f>(1000*CHOOSE(CONTROL!$C$42, 695, 695)*CHOOSE(CONTROL!$C$42, 0.5599, 0.5599)*CHOOSE(CONTROL!$C$42, 31, 31))/1000000</f>
        <v>12.063045499999998</v>
      </c>
      <c r="V267" s="38">
        <f>(1000*CHOOSE(CONTROL!$C$42, 500, 500)*CHOOSE(CONTROL!$C$42, 0.275, 0.275)*CHOOSE(CONTROL!$C$42, 31, 31))/1000000</f>
        <v>4.2625000000000002</v>
      </c>
      <c r="W267" s="38">
        <f>(1000*CHOOSE(CONTROL!$C$42, 0.1146, 0.1146)*CHOOSE(CONTROL!$C$42, 121.5, 121.5)*CHOOSE(CONTROL!$C$42, 31, 31))/1000000</f>
        <v>0.43164089999999994</v>
      </c>
      <c r="X267" s="38">
        <f>(31*0.1790888*100000/1000000)+(31*0.2374*100000/1000000)</f>
        <v>1.2911152800000001</v>
      </c>
      <c r="Y267" s="38">
        <f>(1000*600*CHOOSE(CONTROL!$C$42, 1.6476, 1.6476)*CHOOSE(CONTROL!$C$42, 31, 31))/1000000</f>
        <v>30.64536</v>
      </c>
      <c r="Z267" s="38"/>
      <c r="AA267" s="10"/>
      <c r="AB267" s="39"/>
      <c r="AC267" s="33">
        <f>(B267*122.58+C267*297.941+D267*89.177+E267*40.302+F267*40+G267*160+H267*0+I267*100+J267*300)/(122.58+297.941+89.177+40.302+0+40+160+100+300)</f>
        <v>9.1493059257391316</v>
      </c>
      <c r="AD267" s="27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9.0836244604316541</v>
      </c>
    </row>
    <row r="268" spans="1:30" ht="15" x14ac:dyDescent="0.2">
      <c r="A268" s="16">
        <v>49400</v>
      </c>
      <c r="B268" s="10">
        <f>CHOOSE(CONTROL!$C$42, 9.1233, 9.1233) * CHOOSE(CONTROL!$C$21, $C$9, 100%, $E$9)</f>
        <v>9.1233000000000004</v>
      </c>
      <c r="C268" s="10">
        <f>CHOOSE(CONTROL!$C$42, 9.1278, 9.1278) * CHOOSE(CONTROL!$C$21, $C$9, 100%, $E$9)</f>
        <v>9.1278000000000006</v>
      </c>
      <c r="D268" s="10">
        <f>CHOOSE(CONTROL!$C$42, 9.306, 9.306) * CHOOSE(CONTROL!$C$21, $C$9, 100%, $E$9)</f>
        <v>9.3059999999999992</v>
      </c>
      <c r="E268" s="10">
        <f>CHOOSE(CONTROL!$C$42, 9.3379, 9.3379) * CHOOSE(CONTROL!$C$21, $C$9, 100%, $E$9)</f>
        <v>9.3378999999999994</v>
      </c>
      <c r="F268" s="10">
        <f>CHOOSE(CONTROL!$C$42, 9.0668, 9.0668)*CHOOSE(CONTROL!$C$21, $C$9, 100%, $E$9)</f>
        <v>9.0668000000000006</v>
      </c>
      <c r="G268" s="10">
        <f>CHOOSE(CONTROL!$C$42, 9.0834, 9.0834)*CHOOSE(CONTROL!$C$21, $C$9, 100%, $E$9)</f>
        <v>9.0833999999999993</v>
      </c>
      <c r="H268" s="10">
        <f>CHOOSE(CONTROL!$C$42, 9.3273, 9.3273) * CHOOSE(CONTROL!$C$21, $C$9, 100%, $E$9)</f>
        <v>9.3272999999999993</v>
      </c>
      <c r="I268" s="10">
        <f>CHOOSE(CONTROL!$C$42, 9.0993, 9.0993)* CHOOSE(CONTROL!$C$21, $C$9, 100%, $E$9)</f>
        <v>9.0992999999999995</v>
      </c>
      <c r="J268" s="10">
        <f>CHOOSE(CONTROL!$C$42, 9.0594, 9.0594)* CHOOSE(CONTROL!$C$21, $C$9, 100%, $E$9)</f>
        <v>9.0594000000000001</v>
      </c>
      <c r="K268" s="10">
        <f>CHOOSE(CONTROL!$C$42, 8.9728, 8.9728) * CHOOSE(CONTROL!$C$21, $C$9, 100%, $E$9)</f>
        <v>8.9727999999999994</v>
      </c>
      <c r="L268" s="10">
        <f>CHOOSE(CONTROL!$C$42, 9.9143, 9.9143) * CHOOSE(CONTROL!$C$21, $C$9, 100%, $E$9)</f>
        <v>9.9143000000000008</v>
      </c>
      <c r="M268" s="10">
        <f>CHOOSE(CONTROL!$C$42, 8.9751, 8.9751) * CHOOSE(CONTROL!$C$21, $C$9, 100%, $E$9)</f>
        <v>8.9750999999999994</v>
      </c>
      <c r="N268" s="10">
        <f>CHOOSE(CONTROL!$C$42, 8.9915, 8.9915) * CHOOSE(CONTROL!$C$21, $C$9, 100%, $E$9)</f>
        <v>8.9915000000000003</v>
      </c>
      <c r="O268" s="10">
        <f>CHOOSE(CONTROL!$C$42, 9.2396, 9.2396) * CHOOSE(CONTROL!$C$21, $C$9, 100%, $E$9)</f>
        <v>9.2395999999999994</v>
      </c>
      <c r="P268" s="10">
        <f>CHOOSE(CONTROL!$C$42, 9.0146, 9.0146) * CHOOSE(CONTROL!$C$21, $C$9, 100%, $E$9)</f>
        <v>9.0145999999999997</v>
      </c>
      <c r="Q268" s="10">
        <f>CHOOSE(CONTROL!$C$42, 9.8349, 9.8349) * CHOOSE(CONTROL!$C$21, $C$9, 100%, $E$9)</f>
        <v>9.8348999999999993</v>
      </c>
      <c r="R268" s="10">
        <f>CHOOSE(CONTROL!$C$42, 10.4465, 10.4465) * CHOOSE(CONTROL!$C$21, $C$9, 100%, $E$9)</f>
        <v>10.4465</v>
      </c>
      <c r="S268" s="10">
        <f>CHOOSE(CONTROL!$C$42, 8.85, 8.85) * CHOOSE(CONTROL!$C$21, $C$9, 100%, $E$9)</f>
        <v>8.85</v>
      </c>
      <c r="T26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38">
        <f>(1000*CHOOSE(CONTROL!$C$42, 695, 695)*CHOOSE(CONTROL!$C$42, 0.5599, 0.5599)*CHOOSE(CONTROL!$C$42, 30, 30))/1000000</f>
        <v>11.673914999999997</v>
      </c>
      <c r="V268" s="38">
        <f>(1000*CHOOSE(CONTROL!$C$42, 500, 500)*CHOOSE(CONTROL!$C$42, 0.275, 0.275)*CHOOSE(CONTROL!$C$42, 30, 30))/1000000</f>
        <v>4.125</v>
      </c>
      <c r="W268" s="38">
        <f>(1000*CHOOSE(CONTROL!$C$42, 0.1146, 0.1146)*CHOOSE(CONTROL!$C$42, 121.5, 121.5)*CHOOSE(CONTROL!$C$42, 30, 30))/1000000</f>
        <v>0.417717</v>
      </c>
      <c r="X268" s="38">
        <f>(30*0.1790888*245000/1000000)+(30*0.2374*100000/1000000)</f>
        <v>2.0285026799999999</v>
      </c>
      <c r="Y268" s="38">
        <f>(1000*600*CHOOSE(CONTROL!$C$42, 1.6476, 1.6476)*CHOOSE(CONTROL!$C$42, 30, 30))/1000000</f>
        <v>29.6568</v>
      </c>
      <c r="Z268" s="38"/>
      <c r="AA268" s="10"/>
      <c r="AB268" s="39"/>
      <c r="AC268" s="33">
        <f>(B268*141.293+C268*267.993+D268*115.016+E268*89.698+F268*40+G268*185+H268*0+I268*100+J268*300)/(141.293+267.993+115.016+89.698+0+40+185+100+300)</f>
        <v>9.131578516949153</v>
      </c>
      <c r="AD268" s="27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9.0587712230215818</v>
      </c>
    </row>
    <row r="269" spans="1:30" ht="15" x14ac:dyDescent="0.2">
      <c r="A269" s="16">
        <v>49430</v>
      </c>
      <c r="B269" s="10">
        <f>CHOOSE(CONTROL!$C$42, 9.2057, 9.2057) * CHOOSE(CONTROL!$C$21, $C$9, 100%, $E$9)</f>
        <v>9.2057000000000002</v>
      </c>
      <c r="C269" s="10">
        <f>CHOOSE(CONTROL!$C$42, 9.2137, 9.2137) * CHOOSE(CONTROL!$C$21, $C$9, 100%, $E$9)</f>
        <v>9.2136999999999993</v>
      </c>
      <c r="D269" s="10">
        <f>CHOOSE(CONTROL!$C$42, 9.3888, 9.3888) * CHOOSE(CONTROL!$C$21, $C$9, 100%, $E$9)</f>
        <v>9.3887999999999998</v>
      </c>
      <c r="E269" s="10">
        <f>CHOOSE(CONTROL!$C$42, 9.4201, 9.4201) * CHOOSE(CONTROL!$C$21, $C$9, 100%, $E$9)</f>
        <v>9.4200999999999997</v>
      </c>
      <c r="F269" s="10">
        <f>CHOOSE(CONTROL!$C$42, 9.1474, 9.1474)*CHOOSE(CONTROL!$C$21, $C$9, 100%, $E$9)</f>
        <v>9.1473999999999993</v>
      </c>
      <c r="G269" s="10">
        <f>CHOOSE(CONTROL!$C$42, 9.1643, 9.1643)*CHOOSE(CONTROL!$C$21, $C$9, 100%, $E$9)</f>
        <v>9.1643000000000008</v>
      </c>
      <c r="H269" s="10">
        <f>CHOOSE(CONTROL!$C$42, 9.4084, 9.4084) * CHOOSE(CONTROL!$C$21, $C$9, 100%, $E$9)</f>
        <v>9.4084000000000003</v>
      </c>
      <c r="I269" s="10">
        <f>CHOOSE(CONTROL!$C$42, 9.1804, 9.1804)* CHOOSE(CONTROL!$C$21, $C$9, 100%, $E$9)</f>
        <v>9.1804000000000006</v>
      </c>
      <c r="J269" s="10">
        <f>CHOOSE(CONTROL!$C$42, 9.14, 9.14)* CHOOSE(CONTROL!$C$21, $C$9, 100%, $E$9)</f>
        <v>9.14</v>
      </c>
      <c r="K269" s="10">
        <f>CHOOSE(CONTROL!$C$42, 9.0504, 9.0504) * CHOOSE(CONTROL!$C$21, $C$9, 100%, $E$9)</f>
        <v>9.0503999999999998</v>
      </c>
      <c r="L269" s="10">
        <f>CHOOSE(CONTROL!$C$42, 9.9954, 9.9954) * CHOOSE(CONTROL!$C$21, $C$9, 100%, $E$9)</f>
        <v>9.9954000000000001</v>
      </c>
      <c r="M269" s="10">
        <f>CHOOSE(CONTROL!$C$42, 9.0547, 9.0547) * CHOOSE(CONTROL!$C$21, $C$9, 100%, $E$9)</f>
        <v>9.0547000000000004</v>
      </c>
      <c r="N269" s="10">
        <f>CHOOSE(CONTROL!$C$42, 9.0714, 9.0714) * CHOOSE(CONTROL!$C$21, $C$9, 100%, $E$9)</f>
        <v>9.0714000000000006</v>
      </c>
      <c r="O269" s="10">
        <f>CHOOSE(CONTROL!$C$42, 9.3196, 9.3196) * CHOOSE(CONTROL!$C$21, $C$9, 100%, $E$9)</f>
        <v>9.3195999999999994</v>
      </c>
      <c r="P269" s="10">
        <f>CHOOSE(CONTROL!$C$42, 9.0946, 9.0946) * CHOOSE(CONTROL!$C$21, $C$9, 100%, $E$9)</f>
        <v>9.0945999999999998</v>
      </c>
      <c r="Q269" s="10">
        <f>CHOOSE(CONTROL!$C$42, 9.9149, 9.9149) * CHOOSE(CONTROL!$C$21, $C$9, 100%, $E$9)</f>
        <v>9.9148999999999994</v>
      </c>
      <c r="R269" s="10">
        <f>CHOOSE(CONTROL!$C$42, 10.5267, 10.5267) * CHOOSE(CONTROL!$C$21, $C$9, 100%, $E$9)</f>
        <v>10.5267</v>
      </c>
      <c r="S269" s="10">
        <f>CHOOSE(CONTROL!$C$42, 8.9285, 8.9285) * CHOOSE(CONTROL!$C$21, $C$9, 100%, $E$9)</f>
        <v>8.9284999999999997</v>
      </c>
      <c r="T26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38">
        <f>(1000*CHOOSE(CONTROL!$C$42, 695, 695)*CHOOSE(CONTROL!$C$42, 0.5599, 0.5599)*CHOOSE(CONTROL!$C$42, 31, 31))/1000000</f>
        <v>12.063045499999998</v>
      </c>
      <c r="V269" s="38">
        <f>(1000*CHOOSE(CONTROL!$C$42, 500, 500)*CHOOSE(CONTROL!$C$42, 0.275, 0.275)*CHOOSE(CONTROL!$C$42, 31, 31))/1000000</f>
        <v>4.2625000000000002</v>
      </c>
      <c r="W269" s="38">
        <f>(1000*CHOOSE(CONTROL!$C$42, 0.1146, 0.1146)*CHOOSE(CONTROL!$C$42, 121.5, 121.5)*CHOOSE(CONTROL!$C$42, 31, 31))/1000000</f>
        <v>0.43164089999999994</v>
      </c>
      <c r="X269" s="38">
        <f>(31*0.1790888*245000/1000000)+(31*0.2374*100000/1000000)</f>
        <v>2.0961194359999999</v>
      </c>
      <c r="Y269" s="38">
        <f>(1000*600*CHOOSE(CONTROL!$C$42, 1.6476, 1.6476)*CHOOSE(CONTROL!$C$42, 31, 31))/1000000</f>
        <v>30.64536</v>
      </c>
      <c r="Z269" s="38"/>
      <c r="AA269" s="10"/>
      <c r="AB269" s="39"/>
      <c r="AC269" s="33">
        <f>(B269*194.205+C269*267.466+D269*133.845+E269*53.484+F269*40+G269*185+H269*0+I269*100+J269*300)/(194.205+267.466+133.845+53.484+0+40+185+100+300)</f>
        <v>9.2103175173469385</v>
      </c>
      <c r="AD269" s="27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9.1386100719424466</v>
      </c>
    </row>
    <row r="270" spans="1:30" ht="15" x14ac:dyDescent="0.2">
      <c r="A270" s="15">
        <v>49461</v>
      </c>
      <c r="B270" s="10">
        <f>CHOOSE(CONTROL!$C$42, 9.4673, 9.4673) * CHOOSE(CONTROL!$C$21, $C$9, 100%, $E$9)</f>
        <v>9.4672999999999998</v>
      </c>
      <c r="C270" s="10">
        <f>CHOOSE(CONTROL!$C$42, 9.4753, 9.4753) * CHOOSE(CONTROL!$C$21, $C$9, 100%, $E$9)</f>
        <v>9.4753000000000007</v>
      </c>
      <c r="D270" s="10">
        <f>CHOOSE(CONTROL!$C$42, 9.6504, 9.6504) * CHOOSE(CONTROL!$C$21, $C$9, 100%, $E$9)</f>
        <v>9.6503999999999994</v>
      </c>
      <c r="E270" s="10">
        <f>CHOOSE(CONTROL!$C$42, 9.6816, 9.6816) * CHOOSE(CONTROL!$C$21, $C$9, 100%, $E$9)</f>
        <v>9.6815999999999995</v>
      </c>
      <c r="F270" s="10">
        <f>CHOOSE(CONTROL!$C$42, 9.4091, 9.4091)*CHOOSE(CONTROL!$C$21, $C$9, 100%, $E$9)</f>
        <v>9.4091000000000005</v>
      </c>
      <c r="G270" s="10">
        <f>CHOOSE(CONTROL!$C$42, 9.4261, 9.4261)*CHOOSE(CONTROL!$C$21, $C$9, 100%, $E$9)</f>
        <v>9.4260999999999999</v>
      </c>
      <c r="H270" s="10">
        <f>CHOOSE(CONTROL!$C$42, 9.6699, 9.6699) * CHOOSE(CONTROL!$C$21, $C$9, 100%, $E$9)</f>
        <v>9.6699000000000002</v>
      </c>
      <c r="I270" s="10">
        <f>CHOOSE(CONTROL!$C$42, 9.4419, 9.4419)* CHOOSE(CONTROL!$C$21, $C$9, 100%, $E$9)</f>
        <v>9.4419000000000004</v>
      </c>
      <c r="J270" s="10">
        <f>CHOOSE(CONTROL!$C$42, 9.4017, 9.4017)* CHOOSE(CONTROL!$C$21, $C$9, 100%, $E$9)</f>
        <v>9.4016999999999999</v>
      </c>
      <c r="K270" s="10">
        <f>CHOOSE(CONTROL!$C$42, 9.3042, 9.3042) * CHOOSE(CONTROL!$C$21, $C$9, 100%, $E$9)</f>
        <v>9.3041999999999998</v>
      </c>
      <c r="L270" s="10">
        <f>CHOOSE(CONTROL!$C$42, 10.2569, 10.2569) * CHOOSE(CONTROL!$C$21, $C$9, 100%, $E$9)</f>
        <v>10.2569</v>
      </c>
      <c r="M270" s="10">
        <f>CHOOSE(CONTROL!$C$42, 9.3131, 9.3131) * CHOOSE(CONTROL!$C$21, $C$9, 100%, $E$9)</f>
        <v>9.3131000000000004</v>
      </c>
      <c r="N270" s="10">
        <f>CHOOSE(CONTROL!$C$42, 9.3298, 9.3298) * CHOOSE(CONTROL!$C$21, $C$9, 100%, $E$9)</f>
        <v>9.3298000000000005</v>
      </c>
      <c r="O270" s="10">
        <f>CHOOSE(CONTROL!$C$42, 9.5778, 9.5778) * CHOOSE(CONTROL!$C$21, $C$9, 100%, $E$9)</f>
        <v>9.5777999999999999</v>
      </c>
      <c r="P270" s="10">
        <f>CHOOSE(CONTROL!$C$42, 9.3528, 9.3528) * CHOOSE(CONTROL!$C$21, $C$9, 100%, $E$9)</f>
        <v>9.3528000000000002</v>
      </c>
      <c r="Q270" s="10">
        <f>CHOOSE(CONTROL!$C$42, 10.1731, 10.1731) * CHOOSE(CONTROL!$C$21, $C$9, 100%, $E$9)</f>
        <v>10.1731</v>
      </c>
      <c r="R270" s="10">
        <f>CHOOSE(CONTROL!$C$42, 10.7855, 10.7855) * CHOOSE(CONTROL!$C$21, $C$9, 100%, $E$9)</f>
        <v>10.785500000000001</v>
      </c>
      <c r="S270" s="10">
        <f>CHOOSE(CONTROL!$C$42, 9.1817, 9.1817) * CHOOSE(CONTROL!$C$21, $C$9, 100%, $E$9)</f>
        <v>9.1816999999999993</v>
      </c>
      <c r="T27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38">
        <f>(1000*CHOOSE(CONTROL!$C$42, 695, 695)*CHOOSE(CONTROL!$C$42, 0.5599, 0.5599)*CHOOSE(CONTROL!$C$42, 30, 30))/1000000</f>
        <v>11.673914999999997</v>
      </c>
      <c r="V270" s="38">
        <f>(1000*CHOOSE(CONTROL!$C$42, 500, 500)*CHOOSE(CONTROL!$C$42, 0.275, 0.275)*CHOOSE(CONTROL!$C$42, 30, 30))/1000000</f>
        <v>4.125</v>
      </c>
      <c r="W270" s="38">
        <f>(1000*CHOOSE(CONTROL!$C$42, 0.1146, 0.1146)*CHOOSE(CONTROL!$C$42, 121.5, 121.5)*CHOOSE(CONTROL!$C$42, 30, 30))/1000000</f>
        <v>0.417717</v>
      </c>
      <c r="X270" s="38">
        <f>(30*0.1790888*245000/1000000)+(30*0.2374*100000/1000000)</f>
        <v>2.0285026799999999</v>
      </c>
      <c r="Y270" s="38">
        <f>(1000*600*CHOOSE(CONTROL!$C$42, 1.6476, 1.6476)*CHOOSE(CONTROL!$C$42, 30, 30))/1000000</f>
        <v>29.6568</v>
      </c>
      <c r="Z270" s="38"/>
      <c r="AA270" s="10"/>
      <c r="AB270" s="39"/>
      <c r="AC270" s="33">
        <f>(B270*194.205+C270*267.466+D270*133.845+E270*53.484+F270*40+G270*185+H270*0+I270*100+J270*300)/(194.205+267.466+133.845+53.484+0+40+185+100+300)</f>
        <v>9.471961199921509</v>
      </c>
      <c r="AD270" s="27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9.3969251798561153</v>
      </c>
    </row>
    <row r="271" spans="1:30" ht="15" x14ac:dyDescent="0.2">
      <c r="A271" s="15">
        <v>49491</v>
      </c>
      <c r="B271" s="10">
        <f>CHOOSE(CONTROL!$C$42, 9.2854, 9.2854) * CHOOSE(CONTROL!$C$21, $C$9, 100%, $E$9)</f>
        <v>9.2853999999999992</v>
      </c>
      <c r="C271" s="10">
        <f>CHOOSE(CONTROL!$C$42, 9.2934, 9.2934) * CHOOSE(CONTROL!$C$21, $C$9, 100%, $E$9)</f>
        <v>9.2934000000000001</v>
      </c>
      <c r="D271" s="10">
        <f>CHOOSE(CONTROL!$C$42, 9.4685, 9.4685) * CHOOSE(CONTROL!$C$21, $C$9, 100%, $E$9)</f>
        <v>9.4685000000000006</v>
      </c>
      <c r="E271" s="10">
        <f>CHOOSE(CONTROL!$C$42, 9.4997, 9.4997) * CHOOSE(CONTROL!$C$21, $C$9, 100%, $E$9)</f>
        <v>9.4997000000000007</v>
      </c>
      <c r="F271" s="10">
        <f>CHOOSE(CONTROL!$C$42, 9.2276, 9.2276)*CHOOSE(CONTROL!$C$21, $C$9, 100%, $E$9)</f>
        <v>9.2276000000000007</v>
      </c>
      <c r="G271" s="10">
        <f>CHOOSE(CONTROL!$C$42, 9.2446, 9.2446)*CHOOSE(CONTROL!$C$21, $C$9, 100%, $E$9)</f>
        <v>9.2446000000000002</v>
      </c>
      <c r="H271" s="10">
        <f>CHOOSE(CONTROL!$C$42, 9.488, 9.488) * CHOOSE(CONTROL!$C$21, $C$9, 100%, $E$9)</f>
        <v>9.4879999999999995</v>
      </c>
      <c r="I271" s="10">
        <f>CHOOSE(CONTROL!$C$42, 9.26, 9.26)* CHOOSE(CONTROL!$C$21, $C$9, 100%, $E$9)</f>
        <v>9.26</v>
      </c>
      <c r="J271" s="10">
        <f>CHOOSE(CONTROL!$C$42, 9.2202, 9.2202)* CHOOSE(CONTROL!$C$21, $C$9, 100%, $E$9)</f>
        <v>9.2202000000000002</v>
      </c>
      <c r="K271" s="10">
        <f>CHOOSE(CONTROL!$C$42, 9.1287, 9.1287) * CHOOSE(CONTROL!$C$21, $C$9, 100%, $E$9)</f>
        <v>9.1287000000000003</v>
      </c>
      <c r="L271" s="10">
        <f>CHOOSE(CONTROL!$C$42, 10.075, 10.075) * CHOOSE(CONTROL!$C$21, $C$9, 100%, $E$9)</f>
        <v>10.074999999999999</v>
      </c>
      <c r="M271" s="10">
        <f>CHOOSE(CONTROL!$C$42, 9.1339, 9.1339) * CHOOSE(CONTROL!$C$21, $C$9, 100%, $E$9)</f>
        <v>9.1339000000000006</v>
      </c>
      <c r="N271" s="10">
        <f>CHOOSE(CONTROL!$C$42, 9.1507, 9.1507) * CHOOSE(CONTROL!$C$21, $C$9, 100%, $E$9)</f>
        <v>9.1507000000000005</v>
      </c>
      <c r="O271" s="10">
        <f>CHOOSE(CONTROL!$C$42, 9.3983, 9.3983) * CHOOSE(CONTROL!$C$21, $C$9, 100%, $E$9)</f>
        <v>9.3983000000000008</v>
      </c>
      <c r="P271" s="10">
        <f>CHOOSE(CONTROL!$C$42, 9.1732, 9.1732) * CHOOSE(CONTROL!$C$21, $C$9, 100%, $E$9)</f>
        <v>9.1731999999999996</v>
      </c>
      <c r="Q271" s="10">
        <f>CHOOSE(CONTROL!$C$42, 9.9936, 9.9936) * CHOOSE(CONTROL!$C$21, $C$9, 100%, $E$9)</f>
        <v>9.9936000000000007</v>
      </c>
      <c r="R271" s="10">
        <f>CHOOSE(CONTROL!$C$42, 10.6055, 10.6055) * CHOOSE(CONTROL!$C$21, $C$9, 100%, $E$9)</f>
        <v>10.605499999999999</v>
      </c>
      <c r="S271" s="10">
        <f>CHOOSE(CONTROL!$C$42, 9.0056, 9.0056) * CHOOSE(CONTROL!$C$21, $C$9, 100%, $E$9)</f>
        <v>9.0055999999999994</v>
      </c>
      <c r="T27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38">
        <f>(1000*CHOOSE(CONTROL!$C$42, 695, 695)*CHOOSE(CONTROL!$C$42, 0.5599, 0.5599)*CHOOSE(CONTROL!$C$42, 31, 31))/1000000</f>
        <v>12.063045499999998</v>
      </c>
      <c r="V271" s="38">
        <f>(1000*CHOOSE(CONTROL!$C$42, 500, 500)*CHOOSE(CONTROL!$C$42, 0.275, 0.275)*CHOOSE(CONTROL!$C$42, 31, 31))/1000000</f>
        <v>4.2625000000000002</v>
      </c>
      <c r="W271" s="38">
        <f>(1000*CHOOSE(CONTROL!$C$42, 0.1146, 0.1146)*CHOOSE(CONTROL!$C$42, 121.5, 121.5)*CHOOSE(CONTROL!$C$42, 31, 31))/1000000</f>
        <v>0.43164089999999994</v>
      </c>
      <c r="X271" s="38">
        <f>(31*0.1790888*245000/1000000)+(31*0.2374*100000/1000000)</f>
        <v>2.0961194359999999</v>
      </c>
      <c r="Y271" s="38">
        <f>(1000*600*CHOOSE(CONTROL!$C$42, 1.6476, 1.6476)*CHOOSE(CONTROL!$C$42, 31, 31))/1000000</f>
        <v>30.64536</v>
      </c>
      <c r="Z271" s="38"/>
      <c r="AA271" s="10"/>
      <c r="AB271" s="39"/>
      <c r="AC271" s="33">
        <f>(B271*194.205+C271*267.466+D271*133.845+E271*53.484+F271*40+G271*185+H271*0+I271*100+J271*300)/(194.205+267.466+133.845+53.484+0+40+185+100+300)</f>
        <v>9.2902260350863415</v>
      </c>
      <c r="AD271" s="27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9.2176064748201441</v>
      </c>
    </row>
    <row r="272" spans="1:30" ht="15" x14ac:dyDescent="0.2">
      <c r="A272" s="15">
        <v>49522</v>
      </c>
      <c r="B272" s="10">
        <f>CHOOSE(CONTROL!$C$42, 8.826, 8.826) * CHOOSE(CONTROL!$C$21, $C$9, 100%, $E$9)</f>
        <v>8.8260000000000005</v>
      </c>
      <c r="C272" s="10">
        <f>CHOOSE(CONTROL!$C$42, 8.834, 8.834) * CHOOSE(CONTROL!$C$21, $C$9, 100%, $E$9)</f>
        <v>8.8339999999999996</v>
      </c>
      <c r="D272" s="10">
        <f>CHOOSE(CONTROL!$C$42, 9.0091, 9.0091) * CHOOSE(CONTROL!$C$21, $C$9, 100%, $E$9)</f>
        <v>9.0091000000000001</v>
      </c>
      <c r="E272" s="10">
        <f>CHOOSE(CONTROL!$C$42, 9.0404, 9.0404) * CHOOSE(CONTROL!$C$21, $C$9, 100%, $E$9)</f>
        <v>9.0404</v>
      </c>
      <c r="F272" s="10">
        <f>CHOOSE(CONTROL!$C$42, 8.7681, 8.7681)*CHOOSE(CONTROL!$C$21, $C$9, 100%, $E$9)</f>
        <v>8.7681000000000004</v>
      </c>
      <c r="G272" s="10">
        <f>CHOOSE(CONTROL!$C$42, 8.7851, 8.7851)*CHOOSE(CONTROL!$C$21, $C$9, 100%, $E$9)</f>
        <v>8.7850999999999999</v>
      </c>
      <c r="H272" s="10">
        <f>CHOOSE(CONTROL!$C$42, 9.0287, 9.0287) * CHOOSE(CONTROL!$C$21, $C$9, 100%, $E$9)</f>
        <v>9.0287000000000006</v>
      </c>
      <c r="I272" s="10">
        <f>CHOOSE(CONTROL!$C$42, 8.8007, 8.8007)* CHOOSE(CONTROL!$C$21, $C$9, 100%, $E$9)</f>
        <v>8.8007000000000009</v>
      </c>
      <c r="J272" s="10">
        <f>CHOOSE(CONTROL!$C$42, 8.7607, 8.7607)* CHOOSE(CONTROL!$C$21, $C$9, 100%, $E$9)</f>
        <v>8.7606999999999999</v>
      </c>
      <c r="K272" s="10">
        <f>CHOOSE(CONTROL!$C$42, 8.6835, 8.6835) * CHOOSE(CONTROL!$C$21, $C$9, 100%, $E$9)</f>
        <v>8.6835000000000004</v>
      </c>
      <c r="L272" s="10">
        <f>CHOOSE(CONTROL!$C$42, 9.6157, 9.6157) * CHOOSE(CONTROL!$C$21, $C$9, 100%, $E$9)</f>
        <v>9.6157000000000004</v>
      </c>
      <c r="M272" s="10">
        <f>CHOOSE(CONTROL!$C$42, 8.6804, 8.6804) * CHOOSE(CONTROL!$C$21, $C$9, 100%, $E$9)</f>
        <v>8.6804000000000006</v>
      </c>
      <c r="N272" s="10">
        <f>CHOOSE(CONTROL!$C$42, 8.6972, 8.6972) * CHOOSE(CONTROL!$C$21, $C$9, 100%, $E$9)</f>
        <v>8.6972000000000005</v>
      </c>
      <c r="O272" s="10">
        <f>CHOOSE(CONTROL!$C$42, 8.9449, 8.9449) * CHOOSE(CONTROL!$C$21, $C$9, 100%, $E$9)</f>
        <v>8.9449000000000005</v>
      </c>
      <c r="P272" s="10">
        <f>CHOOSE(CONTROL!$C$42, 8.7198, 8.7198) * CHOOSE(CONTROL!$C$21, $C$9, 100%, $E$9)</f>
        <v>8.7197999999999993</v>
      </c>
      <c r="Q272" s="10">
        <f>CHOOSE(CONTROL!$C$42, 9.5402, 9.5402) * CHOOSE(CONTROL!$C$21, $C$9, 100%, $E$9)</f>
        <v>9.5402000000000005</v>
      </c>
      <c r="R272" s="10">
        <f>CHOOSE(CONTROL!$C$42, 10.151, 10.151) * CHOOSE(CONTROL!$C$21, $C$9, 100%, $E$9)</f>
        <v>10.151</v>
      </c>
      <c r="S272" s="10">
        <f>CHOOSE(CONTROL!$C$42, 8.5608, 8.5608) * CHOOSE(CONTROL!$C$21, $C$9, 100%, $E$9)</f>
        <v>8.5608000000000004</v>
      </c>
      <c r="T27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38">
        <f>(1000*CHOOSE(CONTROL!$C$42, 695, 695)*CHOOSE(CONTROL!$C$42, 0.5599, 0.5599)*CHOOSE(CONTROL!$C$42, 31, 31))/1000000</f>
        <v>12.063045499999998</v>
      </c>
      <c r="V272" s="38">
        <f>(1000*CHOOSE(CONTROL!$C$42, 500, 500)*CHOOSE(CONTROL!$C$42, 0.275, 0.275)*CHOOSE(CONTROL!$C$42, 31, 31))/1000000</f>
        <v>4.2625000000000002</v>
      </c>
      <c r="W272" s="38">
        <f>(1000*CHOOSE(CONTROL!$C$42, 0.1146, 0.1146)*CHOOSE(CONTROL!$C$42, 121.5, 121.5)*CHOOSE(CONTROL!$C$42, 31, 31))/1000000</f>
        <v>0.43164089999999994</v>
      </c>
      <c r="X272" s="38">
        <f>(31*0.1790888*245000/1000000)+(31*0.2374*100000/1000000)</f>
        <v>2.0961194359999999</v>
      </c>
      <c r="Y272" s="38">
        <f>(1000*600*CHOOSE(CONTROL!$C$42, 1.6476, 1.6476)*CHOOSE(CONTROL!$C$42, 31, 31))/1000000</f>
        <v>30.64536</v>
      </c>
      <c r="Z272" s="38"/>
      <c r="AA272" s="10"/>
      <c r="AB272" s="39"/>
      <c r="AC272" s="33">
        <f>(B272*194.205+C272*267.466+D272*133.845+E272*53.484+F272*40+G272*185+H272*0+I272*100+J272*300)/(194.205+267.466+133.845+53.484+0+40+185+100+300)</f>
        <v>8.8307968737048661</v>
      </c>
      <c r="AD272" s="27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8.7641489208633097</v>
      </c>
    </row>
    <row r="273" spans="1:30" ht="15" x14ac:dyDescent="0.2">
      <c r="A273" s="15">
        <v>49553</v>
      </c>
      <c r="B273" s="10">
        <f>CHOOSE(CONTROL!$C$42, 8.2648, 8.2648) * CHOOSE(CONTROL!$C$21, $C$9, 100%, $E$9)</f>
        <v>8.2647999999999993</v>
      </c>
      <c r="C273" s="10">
        <f>CHOOSE(CONTROL!$C$42, 8.2728, 8.2728) * CHOOSE(CONTROL!$C$21, $C$9, 100%, $E$9)</f>
        <v>8.2728000000000002</v>
      </c>
      <c r="D273" s="10">
        <f>CHOOSE(CONTROL!$C$42, 8.4479, 8.4479) * CHOOSE(CONTROL!$C$21, $C$9, 100%, $E$9)</f>
        <v>8.4479000000000006</v>
      </c>
      <c r="E273" s="10">
        <f>CHOOSE(CONTROL!$C$42, 8.4791, 8.4791) * CHOOSE(CONTROL!$C$21, $C$9, 100%, $E$9)</f>
        <v>8.4791000000000007</v>
      </c>
      <c r="F273" s="10">
        <f>CHOOSE(CONTROL!$C$42, 8.2066, 8.2066)*CHOOSE(CONTROL!$C$21, $C$9, 100%, $E$9)</f>
        <v>8.2065999999999999</v>
      </c>
      <c r="G273" s="10">
        <f>CHOOSE(CONTROL!$C$42, 8.2235, 8.2235)*CHOOSE(CONTROL!$C$21, $C$9, 100%, $E$9)</f>
        <v>8.2234999999999996</v>
      </c>
      <c r="H273" s="10">
        <f>CHOOSE(CONTROL!$C$42, 8.4675, 8.4675) * CHOOSE(CONTROL!$C$21, $C$9, 100%, $E$9)</f>
        <v>8.4674999999999994</v>
      </c>
      <c r="I273" s="10">
        <f>CHOOSE(CONTROL!$C$42, 8.2394, 8.2394)* CHOOSE(CONTROL!$C$21, $C$9, 100%, $E$9)</f>
        <v>8.2393999999999998</v>
      </c>
      <c r="J273" s="10">
        <f>CHOOSE(CONTROL!$C$42, 8.1992, 8.1992)* CHOOSE(CONTROL!$C$21, $C$9, 100%, $E$9)</f>
        <v>8.1991999999999994</v>
      </c>
      <c r="K273" s="10">
        <f>CHOOSE(CONTROL!$C$42, 8.1391, 8.1391) * CHOOSE(CONTROL!$C$21, $C$9, 100%, $E$9)</f>
        <v>8.1390999999999991</v>
      </c>
      <c r="L273" s="10">
        <f>CHOOSE(CONTROL!$C$42, 9.0545, 9.0545) * CHOOSE(CONTROL!$C$21, $C$9, 100%, $E$9)</f>
        <v>9.0545000000000009</v>
      </c>
      <c r="M273" s="10">
        <f>CHOOSE(CONTROL!$C$42, 8.1261, 8.1261) * CHOOSE(CONTROL!$C$21, $C$9, 100%, $E$9)</f>
        <v>8.1260999999999992</v>
      </c>
      <c r="N273" s="10">
        <f>CHOOSE(CONTROL!$C$42, 8.1428, 8.1428) * CHOOSE(CONTROL!$C$21, $C$9, 100%, $E$9)</f>
        <v>8.1427999999999994</v>
      </c>
      <c r="O273" s="10">
        <f>CHOOSE(CONTROL!$C$42, 8.3909, 8.3909) * CHOOSE(CONTROL!$C$21, $C$9, 100%, $E$9)</f>
        <v>8.3909000000000002</v>
      </c>
      <c r="P273" s="10">
        <f>CHOOSE(CONTROL!$C$42, 8.1659, 8.1659) * CHOOSE(CONTROL!$C$21, $C$9, 100%, $E$9)</f>
        <v>8.1659000000000006</v>
      </c>
      <c r="Q273" s="10">
        <f>CHOOSE(CONTROL!$C$42, 8.9862, 8.9862) * CHOOSE(CONTROL!$C$21, $C$9, 100%, $E$9)</f>
        <v>8.9862000000000002</v>
      </c>
      <c r="R273" s="10">
        <f>CHOOSE(CONTROL!$C$42, 9.5957, 9.5957) * CHOOSE(CONTROL!$C$21, $C$9, 100%, $E$9)</f>
        <v>9.5957000000000008</v>
      </c>
      <c r="S273" s="10">
        <f>CHOOSE(CONTROL!$C$42, 8.0174, 8.0174) * CHOOSE(CONTROL!$C$21, $C$9, 100%, $E$9)</f>
        <v>8.0174000000000003</v>
      </c>
      <c r="T27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38">
        <f>(1000*CHOOSE(CONTROL!$C$42, 695, 695)*CHOOSE(CONTROL!$C$42, 0.5599, 0.5599)*CHOOSE(CONTROL!$C$42, 30, 30))/1000000</f>
        <v>11.673914999999997</v>
      </c>
      <c r="V273" s="38">
        <f>(1000*CHOOSE(CONTROL!$C$42, 500, 500)*CHOOSE(CONTROL!$C$42, 0.275, 0.275)*CHOOSE(CONTROL!$C$42, 30, 30))/1000000</f>
        <v>4.125</v>
      </c>
      <c r="W273" s="38">
        <f>(1000*CHOOSE(CONTROL!$C$42, 0.1146, 0.1146)*CHOOSE(CONTROL!$C$42, 121.5, 121.5)*CHOOSE(CONTROL!$C$42, 30, 30))/1000000</f>
        <v>0.417717</v>
      </c>
      <c r="X273" s="38">
        <f>(30*0.1790888*245000/1000000)+(30*0.2374*100000/1000000)</f>
        <v>2.0285026799999999</v>
      </c>
      <c r="Y273" s="38">
        <f>(1000*600*CHOOSE(CONTROL!$C$42, 1.6476, 1.6476)*CHOOSE(CONTROL!$C$42, 30, 30))/1000000</f>
        <v>29.6568</v>
      </c>
      <c r="Z273" s="38"/>
      <c r="AA273" s="10"/>
      <c r="AB273" s="39"/>
      <c r="AC273" s="33">
        <f>(B273*194.205+C273*267.466+D273*133.845+E273*53.484+F273*40+G273*185+H273*0+I273*100+J273*300)/(194.205+267.466+133.845+53.484+0+40+185+100+300)</f>
        <v>8.2694466787284142</v>
      </c>
      <c r="AD273" s="27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8.2099676258992798</v>
      </c>
    </row>
    <row r="274" spans="1:30" ht="15" x14ac:dyDescent="0.2">
      <c r="A274" s="15">
        <v>49583</v>
      </c>
      <c r="B274" s="10">
        <f>CHOOSE(CONTROL!$C$42, 8.0946, 8.0946) * CHOOSE(CONTROL!$C$21, $C$9, 100%, $E$9)</f>
        <v>8.0945999999999998</v>
      </c>
      <c r="C274" s="10">
        <f>CHOOSE(CONTROL!$C$42, 8.0999, 8.0999) * CHOOSE(CONTROL!$C$21, $C$9, 100%, $E$9)</f>
        <v>8.0998999999999999</v>
      </c>
      <c r="D274" s="10">
        <f>CHOOSE(CONTROL!$C$42, 8.2799, 8.2799) * CHOOSE(CONTROL!$C$21, $C$9, 100%, $E$9)</f>
        <v>8.2798999999999996</v>
      </c>
      <c r="E274" s="10">
        <f>CHOOSE(CONTROL!$C$42, 8.3089, 8.3089) * CHOOSE(CONTROL!$C$21, $C$9, 100%, $E$9)</f>
        <v>8.3088999999999995</v>
      </c>
      <c r="F274" s="10">
        <f>CHOOSE(CONTROL!$C$42, 8.0384, 8.0384)*CHOOSE(CONTROL!$C$21, $C$9, 100%, $E$9)</f>
        <v>8.0383999999999993</v>
      </c>
      <c r="G274" s="10">
        <f>CHOOSE(CONTROL!$C$42, 8.055, 8.055)*CHOOSE(CONTROL!$C$21, $C$9, 100%, $E$9)</f>
        <v>8.0549999999999997</v>
      </c>
      <c r="H274" s="10">
        <f>CHOOSE(CONTROL!$C$42, 8.299, 8.299) * CHOOSE(CONTROL!$C$21, $C$9, 100%, $E$9)</f>
        <v>8.2989999999999995</v>
      </c>
      <c r="I274" s="10">
        <f>CHOOSE(CONTROL!$C$42, 8.071, 8.071)* CHOOSE(CONTROL!$C$21, $C$9, 100%, $E$9)</f>
        <v>8.0709999999999997</v>
      </c>
      <c r="J274" s="10">
        <f>CHOOSE(CONTROL!$C$42, 8.031, 8.031)* CHOOSE(CONTROL!$C$21, $C$9, 100%, $E$9)</f>
        <v>8.0310000000000006</v>
      </c>
      <c r="K274" s="10">
        <f>CHOOSE(CONTROL!$C$42, 7.9764, 7.9764) * CHOOSE(CONTROL!$C$21, $C$9, 100%, $E$9)</f>
        <v>7.9763999999999999</v>
      </c>
      <c r="L274" s="10">
        <f>CHOOSE(CONTROL!$C$42, 8.886, 8.886) * CHOOSE(CONTROL!$C$21, $C$9, 100%, $E$9)</f>
        <v>8.8859999999999992</v>
      </c>
      <c r="M274" s="10">
        <f>CHOOSE(CONTROL!$C$42, 7.9601, 7.9601) * CHOOSE(CONTROL!$C$21, $C$9, 100%, $E$9)</f>
        <v>7.9600999999999997</v>
      </c>
      <c r="N274" s="10">
        <f>CHOOSE(CONTROL!$C$42, 7.9764, 7.9764) * CHOOSE(CONTROL!$C$21, $C$9, 100%, $E$9)</f>
        <v>7.9763999999999999</v>
      </c>
      <c r="O274" s="10">
        <f>CHOOSE(CONTROL!$C$42, 8.2246, 8.2246) * CHOOSE(CONTROL!$C$21, $C$9, 100%, $E$9)</f>
        <v>8.2246000000000006</v>
      </c>
      <c r="P274" s="10">
        <f>CHOOSE(CONTROL!$C$42, 7.9996, 7.9996) * CHOOSE(CONTROL!$C$21, $C$9, 100%, $E$9)</f>
        <v>7.9996</v>
      </c>
      <c r="Q274" s="10">
        <f>CHOOSE(CONTROL!$C$42, 8.8199, 8.8199) * CHOOSE(CONTROL!$C$21, $C$9, 100%, $E$9)</f>
        <v>8.8199000000000005</v>
      </c>
      <c r="R274" s="10">
        <f>CHOOSE(CONTROL!$C$42, 9.4289, 9.4289) * CHOOSE(CONTROL!$C$21, $C$9, 100%, $E$9)</f>
        <v>9.4289000000000005</v>
      </c>
      <c r="S274" s="10">
        <f>CHOOSE(CONTROL!$C$42, 7.8543, 7.8543) * CHOOSE(CONTROL!$C$21, $C$9, 100%, $E$9)</f>
        <v>7.8543000000000003</v>
      </c>
      <c r="T27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38">
        <f>(1000*CHOOSE(CONTROL!$C$42, 695, 695)*CHOOSE(CONTROL!$C$42, 0.5599, 0.5599)*CHOOSE(CONTROL!$C$42, 31, 31))/1000000</f>
        <v>12.063045499999998</v>
      </c>
      <c r="V274" s="38">
        <f>(1000*CHOOSE(CONTROL!$C$42, 500, 500)*CHOOSE(CONTROL!$C$42, 0.275, 0.275)*CHOOSE(CONTROL!$C$42, 31, 31))/1000000</f>
        <v>4.2625000000000002</v>
      </c>
      <c r="W274" s="38">
        <f>(1000*CHOOSE(CONTROL!$C$42, 0.1146, 0.1146)*CHOOSE(CONTROL!$C$42, 121.5, 121.5)*CHOOSE(CONTROL!$C$42, 31, 31))/1000000</f>
        <v>0.43164089999999994</v>
      </c>
      <c r="X274" s="38">
        <f>(31*0.1790888*245000/1000000)+(31*0.2374*100000/1000000)</f>
        <v>2.0961194359999999</v>
      </c>
      <c r="Y274" s="38">
        <f>(1000*600*CHOOSE(CONTROL!$C$42, 1.6476, 1.6476)*CHOOSE(CONTROL!$C$42, 31, 31))/1000000</f>
        <v>30.64536</v>
      </c>
      <c r="Z274" s="38"/>
      <c r="AA274" s="10"/>
      <c r="AB274" s="39"/>
      <c r="AC274" s="33">
        <f>(B274*131.881+C274*277.167+D274*79.08+E274*125.872+F274*40+G274*185+H274*0+I274*100+J274*300)/(131.881+277.167+79.08+125.872+0+40+185+100+300)</f>
        <v>8.1043521216303471</v>
      </c>
      <c r="AD274" s="27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8.0437482014388486</v>
      </c>
    </row>
    <row r="275" spans="1:30" ht="15" x14ac:dyDescent="0.2">
      <c r="A275" s="15">
        <v>49614</v>
      </c>
      <c r="B275" s="10">
        <f>CHOOSE(CONTROL!$C$42, 8.3079, 8.3079) * CHOOSE(CONTROL!$C$21, $C$9, 100%, $E$9)</f>
        <v>8.3079000000000001</v>
      </c>
      <c r="C275" s="10">
        <f>CHOOSE(CONTROL!$C$42, 8.313, 8.313) * CHOOSE(CONTROL!$C$21, $C$9, 100%, $E$9)</f>
        <v>8.3130000000000006</v>
      </c>
      <c r="D275" s="10">
        <f>CHOOSE(CONTROL!$C$42, 8.3376, 8.3376) * CHOOSE(CONTROL!$C$21, $C$9, 100%, $E$9)</f>
        <v>8.3376000000000001</v>
      </c>
      <c r="E275" s="10">
        <f>CHOOSE(CONTROL!$C$42, 8.3714, 8.3714) * CHOOSE(CONTROL!$C$21, $C$9, 100%, $E$9)</f>
        <v>8.3713999999999995</v>
      </c>
      <c r="F275" s="10">
        <f>CHOOSE(CONTROL!$C$42, 8.2735, 8.2735)*CHOOSE(CONTROL!$C$21, $C$9, 100%, $E$9)</f>
        <v>8.2735000000000003</v>
      </c>
      <c r="G275" s="10">
        <f>CHOOSE(CONTROL!$C$42, 8.2903, 8.2903)*CHOOSE(CONTROL!$C$21, $C$9, 100%, $E$9)</f>
        <v>8.2903000000000002</v>
      </c>
      <c r="H275" s="10">
        <f>CHOOSE(CONTROL!$C$42, 8.3603, 8.3603) * CHOOSE(CONTROL!$C$21, $C$9, 100%, $E$9)</f>
        <v>8.3603000000000005</v>
      </c>
      <c r="I275" s="10">
        <f>CHOOSE(CONTROL!$C$42, 8.3074, 8.3074)* CHOOSE(CONTROL!$C$21, $C$9, 100%, $E$9)</f>
        <v>8.3073999999999995</v>
      </c>
      <c r="J275" s="10">
        <f>CHOOSE(CONTROL!$C$42, 8.2661, 8.2661)* CHOOSE(CONTROL!$C$21, $C$9, 100%, $E$9)</f>
        <v>8.2660999999999998</v>
      </c>
      <c r="K275" s="10">
        <f>CHOOSE(CONTROL!$C$42, 8.2072, 8.2072) * CHOOSE(CONTROL!$C$21, $C$9, 100%, $E$9)</f>
        <v>8.2072000000000003</v>
      </c>
      <c r="L275" s="10">
        <f>CHOOSE(CONTROL!$C$42, 8.9473, 8.9473) * CHOOSE(CONTROL!$C$21, $C$9, 100%, $E$9)</f>
        <v>8.9473000000000003</v>
      </c>
      <c r="M275" s="10">
        <f>CHOOSE(CONTROL!$C$42, 8.1921, 8.1921) * CHOOSE(CONTROL!$C$21, $C$9, 100%, $E$9)</f>
        <v>8.1920999999999999</v>
      </c>
      <c r="N275" s="10">
        <f>CHOOSE(CONTROL!$C$42, 8.2087, 8.2087) * CHOOSE(CONTROL!$C$21, $C$9, 100%, $E$9)</f>
        <v>8.2087000000000003</v>
      </c>
      <c r="O275" s="10">
        <f>CHOOSE(CONTROL!$C$42, 8.2851, 8.2851) * CHOOSE(CONTROL!$C$21, $C$9, 100%, $E$9)</f>
        <v>8.2850999999999999</v>
      </c>
      <c r="P275" s="10">
        <f>CHOOSE(CONTROL!$C$42, 8.2329, 8.2329) * CHOOSE(CONTROL!$C$21, $C$9, 100%, $E$9)</f>
        <v>8.2329000000000008</v>
      </c>
      <c r="Q275" s="10">
        <f>CHOOSE(CONTROL!$C$42, 8.8804, 8.8804) * CHOOSE(CONTROL!$C$21, $C$9, 100%, $E$9)</f>
        <v>8.8803999999999998</v>
      </c>
      <c r="R275" s="10">
        <f>CHOOSE(CONTROL!$C$42, 9.4896, 9.4896) * CHOOSE(CONTROL!$C$21, $C$9, 100%, $E$9)</f>
        <v>9.4895999999999994</v>
      </c>
      <c r="S275" s="10">
        <f>CHOOSE(CONTROL!$C$42, 8.0612, 8.0612) * CHOOSE(CONTROL!$C$21, $C$9, 100%, $E$9)</f>
        <v>8.0611999999999995</v>
      </c>
      <c r="T27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38">
        <f>(1000*CHOOSE(CONTROL!$C$42, 695, 695)*CHOOSE(CONTROL!$C$42, 0.5599, 0.5599)*CHOOSE(CONTROL!$C$42, 30, 30))/1000000</f>
        <v>11.673914999999997</v>
      </c>
      <c r="V275" s="38">
        <f>(1000*CHOOSE(CONTROL!$C$42, 500, 500)*CHOOSE(CONTROL!$C$42, 0.275, 0.275)*CHOOSE(CONTROL!$C$42, 30, 30))/1000000</f>
        <v>4.125</v>
      </c>
      <c r="W275" s="38">
        <f>(1000*CHOOSE(CONTROL!$C$42, 0.1146, 0.1146)*CHOOSE(CONTROL!$C$42, 121.5, 121.5)*CHOOSE(CONTROL!$C$42, 30, 30))/1000000</f>
        <v>0.417717</v>
      </c>
      <c r="X275" s="38">
        <f>(30*0.1790888*100000/1000000)+(30*0.2374*100000/1000000)</f>
        <v>1.2494664</v>
      </c>
      <c r="Y275" s="38">
        <f>(1000*600*CHOOSE(CONTROL!$C$42, 1.6476, 1.6476)*CHOOSE(CONTROL!$C$42, 30, 30))/1000000</f>
        <v>29.6568</v>
      </c>
      <c r="Z275" s="38"/>
      <c r="AA275" s="10"/>
      <c r="AB275" s="39"/>
      <c r="AC275" s="33">
        <f>(B275*122.58+C275*297.941+D275*89.177+E275*40.302+F275*40+G275*160+H275*0+I275*100+J275*300)/(122.58+297.941+89.177+40.302+0+40+160+100+300)</f>
        <v>8.2991567243478261</v>
      </c>
      <c r="AD275" s="27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8.2410769784172668</v>
      </c>
    </row>
    <row r="276" spans="1:30" ht="15" x14ac:dyDescent="0.2">
      <c r="A276" s="15">
        <v>49644</v>
      </c>
      <c r="B276" s="10">
        <f>CHOOSE(CONTROL!$C$42, 8.8754, 8.8754) * CHOOSE(CONTROL!$C$21, $C$9, 100%, $E$9)</f>
        <v>8.8754000000000008</v>
      </c>
      <c r="C276" s="10">
        <f>CHOOSE(CONTROL!$C$42, 8.8805, 8.8805) * CHOOSE(CONTROL!$C$21, $C$9, 100%, $E$9)</f>
        <v>8.8804999999999996</v>
      </c>
      <c r="D276" s="10">
        <f>CHOOSE(CONTROL!$C$42, 8.9052, 8.9052) * CHOOSE(CONTROL!$C$21, $C$9, 100%, $E$9)</f>
        <v>8.9052000000000007</v>
      </c>
      <c r="E276" s="10">
        <f>CHOOSE(CONTROL!$C$42, 8.939, 8.939) * CHOOSE(CONTROL!$C$21, $C$9, 100%, $E$9)</f>
        <v>8.9390000000000001</v>
      </c>
      <c r="F276" s="10">
        <f>CHOOSE(CONTROL!$C$42, 8.8428, 8.8428)*CHOOSE(CONTROL!$C$21, $C$9, 100%, $E$9)</f>
        <v>8.8428000000000004</v>
      </c>
      <c r="G276" s="10">
        <f>CHOOSE(CONTROL!$C$42, 8.8601, 8.8601)*CHOOSE(CONTROL!$C$21, $C$9, 100%, $E$9)</f>
        <v>8.8600999999999992</v>
      </c>
      <c r="H276" s="10">
        <f>CHOOSE(CONTROL!$C$42, 8.9279, 8.9279) * CHOOSE(CONTROL!$C$21, $C$9, 100%, $E$9)</f>
        <v>8.9278999999999993</v>
      </c>
      <c r="I276" s="10">
        <f>CHOOSE(CONTROL!$C$42, 8.8749, 8.8749)* CHOOSE(CONTROL!$C$21, $C$9, 100%, $E$9)</f>
        <v>8.8749000000000002</v>
      </c>
      <c r="J276" s="10">
        <f>CHOOSE(CONTROL!$C$42, 8.8354, 8.8354)* CHOOSE(CONTROL!$C$21, $C$9, 100%, $E$9)</f>
        <v>8.8353999999999999</v>
      </c>
      <c r="K276" s="10">
        <f>CHOOSE(CONTROL!$C$42, 8.7609, 8.7609) * CHOOSE(CONTROL!$C$21, $C$9, 100%, $E$9)</f>
        <v>8.7608999999999995</v>
      </c>
      <c r="L276" s="10">
        <f>CHOOSE(CONTROL!$C$42, 9.5149, 9.5149) * CHOOSE(CONTROL!$C$21, $C$9, 100%, $E$9)</f>
        <v>9.5149000000000008</v>
      </c>
      <c r="M276" s="10">
        <f>CHOOSE(CONTROL!$C$42, 8.7541, 8.7541) * CHOOSE(CONTROL!$C$21, $C$9, 100%, $E$9)</f>
        <v>8.7540999999999993</v>
      </c>
      <c r="N276" s="10">
        <f>CHOOSE(CONTROL!$C$42, 8.7711, 8.7711) * CHOOSE(CONTROL!$C$21, $C$9, 100%, $E$9)</f>
        <v>8.7711000000000006</v>
      </c>
      <c r="O276" s="10">
        <f>CHOOSE(CONTROL!$C$42, 8.8453, 8.8453) * CHOOSE(CONTROL!$C$21, $C$9, 100%, $E$9)</f>
        <v>8.8452999999999999</v>
      </c>
      <c r="P276" s="10">
        <f>CHOOSE(CONTROL!$C$42, 8.7931, 8.7931) * CHOOSE(CONTROL!$C$21, $C$9, 100%, $E$9)</f>
        <v>8.7931000000000008</v>
      </c>
      <c r="Q276" s="10">
        <f>CHOOSE(CONTROL!$C$42, 9.4406, 9.4406) * CHOOSE(CONTROL!$C$21, $C$9, 100%, $E$9)</f>
        <v>9.4405999999999999</v>
      </c>
      <c r="R276" s="10">
        <f>CHOOSE(CONTROL!$C$42, 10.0512, 10.0512) * CHOOSE(CONTROL!$C$21, $C$9, 100%, $E$9)</f>
        <v>10.0512</v>
      </c>
      <c r="S276" s="10">
        <f>CHOOSE(CONTROL!$C$42, 8.6107, 8.6107) * CHOOSE(CONTROL!$C$21, $C$9, 100%, $E$9)</f>
        <v>8.6106999999999996</v>
      </c>
      <c r="T27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38">
        <f>(1000*CHOOSE(CONTROL!$C$42, 695, 695)*CHOOSE(CONTROL!$C$42, 0.5599, 0.5599)*CHOOSE(CONTROL!$C$42, 31, 31))/1000000</f>
        <v>12.063045499999998</v>
      </c>
      <c r="V276" s="38">
        <f>(1000*CHOOSE(CONTROL!$C$42, 500, 500)*CHOOSE(CONTROL!$C$42, 0.275, 0.275)*CHOOSE(CONTROL!$C$42, 31, 31))/1000000</f>
        <v>4.2625000000000002</v>
      </c>
      <c r="W276" s="38">
        <f>(1000*CHOOSE(CONTROL!$C$42, 0.1146, 0.1146)*CHOOSE(CONTROL!$C$42, 121.5, 121.5)*CHOOSE(CONTROL!$C$42, 31, 31))/1000000</f>
        <v>0.43164089999999994</v>
      </c>
      <c r="X276" s="38">
        <f>(31*0.1790888*100000/1000000)+(31*0.2374*100000/1000000)</f>
        <v>1.2911152800000001</v>
      </c>
      <c r="Y276" s="38">
        <f>(1000*600*CHOOSE(CONTROL!$C$42, 1.6476, 1.6476)*CHOOSE(CONTROL!$C$42, 31, 31))/1000000</f>
        <v>30.64536</v>
      </c>
      <c r="Z276" s="38"/>
      <c r="AA276" s="10"/>
      <c r="AB276" s="39"/>
      <c r="AC276" s="33">
        <f>(B276*122.58+C276*297.941+D276*89.177+E276*40.302+F276*40+G276*160+H276*0+I276*100+J276*300)/(122.58+297.941+89.177+40.302+0+40+160+100+300)</f>
        <v>8.8675201573043481</v>
      </c>
      <c r="AD276" s="27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8.8020251798561162</v>
      </c>
    </row>
    <row r="277" spans="1:30" ht="15" x14ac:dyDescent="0.2">
      <c r="A277" s="15">
        <v>49675</v>
      </c>
      <c r="B277" s="10">
        <f>CHOOSE(CONTROL!$C$42, 9.4755, 9.4755) * CHOOSE(CONTROL!$C$21, $C$9, 100%, $E$9)</f>
        <v>9.4755000000000003</v>
      </c>
      <c r="C277" s="10">
        <f>CHOOSE(CONTROL!$C$42, 9.4806, 9.4806) * CHOOSE(CONTROL!$C$21, $C$9, 100%, $E$9)</f>
        <v>9.4806000000000008</v>
      </c>
      <c r="D277" s="10">
        <f>CHOOSE(CONTROL!$C$42, 9.5157, 9.5157) * CHOOSE(CONTROL!$C$21, $C$9, 100%, $E$9)</f>
        <v>9.5157000000000007</v>
      </c>
      <c r="E277" s="10">
        <f>CHOOSE(CONTROL!$C$42, 9.5495, 9.5495) * CHOOSE(CONTROL!$C$21, $C$9, 100%, $E$9)</f>
        <v>9.5495000000000001</v>
      </c>
      <c r="F277" s="10">
        <f>CHOOSE(CONTROL!$C$42, 9.4568, 9.4568)*CHOOSE(CONTROL!$C$21, $C$9, 100%, $E$9)</f>
        <v>9.4567999999999994</v>
      </c>
      <c r="G277" s="10">
        <f>CHOOSE(CONTROL!$C$42, 9.4757, 9.4757)*CHOOSE(CONTROL!$C$21, $C$9, 100%, $E$9)</f>
        <v>9.4756999999999998</v>
      </c>
      <c r="H277" s="10">
        <f>CHOOSE(CONTROL!$C$42, 9.5383, 9.5383) * CHOOSE(CONTROL!$C$21, $C$9, 100%, $E$9)</f>
        <v>9.5382999999999996</v>
      </c>
      <c r="I277" s="10">
        <f>CHOOSE(CONTROL!$C$42, 9.4828, 9.4828)* CHOOSE(CONTROL!$C$21, $C$9, 100%, $E$9)</f>
        <v>9.4827999999999992</v>
      </c>
      <c r="J277" s="10">
        <f>CHOOSE(CONTROL!$C$42, 9.4494, 9.4494)* CHOOSE(CONTROL!$C$21, $C$9, 100%, $E$9)</f>
        <v>9.4494000000000007</v>
      </c>
      <c r="K277" s="10">
        <f>CHOOSE(CONTROL!$C$42, 9.3631, 9.3631) * CHOOSE(CONTROL!$C$21, $C$9, 100%, $E$9)</f>
        <v>9.3630999999999993</v>
      </c>
      <c r="L277" s="10">
        <f>CHOOSE(CONTROL!$C$42, 10.1253, 10.1253) * CHOOSE(CONTROL!$C$21, $C$9, 100%, $E$9)</f>
        <v>10.125299999999999</v>
      </c>
      <c r="M277" s="10">
        <f>CHOOSE(CONTROL!$C$42, 9.3602, 9.3602) * CHOOSE(CONTROL!$C$21, $C$9, 100%, $E$9)</f>
        <v>9.3602000000000007</v>
      </c>
      <c r="N277" s="10">
        <f>CHOOSE(CONTROL!$C$42, 9.3788, 9.3788) * CHOOSE(CONTROL!$C$21, $C$9, 100%, $E$9)</f>
        <v>9.3788</v>
      </c>
      <c r="O277" s="10">
        <f>CHOOSE(CONTROL!$C$42, 9.4479, 9.4479) * CHOOSE(CONTROL!$C$21, $C$9, 100%, $E$9)</f>
        <v>9.4479000000000006</v>
      </c>
      <c r="P277" s="10">
        <f>CHOOSE(CONTROL!$C$42, 9.3931, 9.3931) * CHOOSE(CONTROL!$C$21, $C$9, 100%, $E$9)</f>
        <v>9.3931000000000004</v>
      </c>
      <c r="Q277" s="10">
        <f>CHOOSE(CONTROL!$C$42, 10.0432, 10.0432) * CHOOSE(CONTROL!$C$21, $C$9, 100%, $E$9)</f>
        <v>10.043200000000001</v>
      </c>
      <c r="R277" s="10">
        <f>CHOOSE(CONTROL!$C$42, 10.6553, 10.6553) * CHOOSE(CONTROL!$C$21, $C$9, 100%, $E$9)</f>
        <v>10.6553</v>
      </c>
      <c r="S277" s="10">
        <f>CHOOSE(CONTROL!$C$42, 9.1918, 9.1918) * CHOOSE(CONTROL!$C$21, $C$9, 100%, $E$9)</f>
        <v>9.1918000000000006</v>
      </c>
      <c r="T27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38">
        <f>(1000*CHOOSE(CONTROL!$C$42, 695, 695)*CHOOSE(CONTROL!$C$42, 0.5599, 0.5599)*CHOOSE(CONTROL!$C$42, 31, 31))/1000000</f>
        <v>12.063045499999998</v>
      </c>
      <c r="V277" s="38">
        <f>(1000*CHOOSE(CONTROL!$C$42, 500, 500)*CHOOSE(CONTROL!$C$42, 0.275, 0.275)*CHOOSE(CONTROL!$C$42, 31, 31))/1000000</f>
        <v>4.2625000000000002</v>
      </c>
      <c r="W277" s="38">
        <f>(1000*CHOOSE(CONTROL!$C$42, 0.1146, 0.1146)*CHOOSE(CONTROL!$C$42, 121.5, 121.5)*CHOOSE(CONTROL!$C$42, 31, 31))/1000000</f>
        <v>0.43164089999999994</v>
      </c>
      <c r="X277" s="38">
        <f>(31*0.1790888*100000/1000000)+(31*0.2374*100000/1000000)</f>
        <v>1.2911152800000001</v>
      </c>
      <c r="Y277" s="38">
        <f>(1000*600*CHOOSE(CONTROL!$C$42, 1.6441, 1.6441)*CHOOSE(CONTROL!$C$42, 31, 31))/1000000</f>
        <v>30.580259999999996</v>
      </c>
      <c r="Z277" s="38"/>
      <c r="AA277" s="10"/>
      <c r="AB277" s="39"/>
      <c r="AC277" s="33">
        <f>(B277*122.58+C277*297.941+D277*89.177+E277*40.302+F277*40+G277*160+H277*0+I277*100+J277*300)/(122.58+297.941+89.177+40.302+0+40+160+100+300)</f>
        <v>9.4757354456521732</v>
      </c>
      <c r="AD277" s="27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9.4057532374100727</v>
      </c>
    </row>
    <row r="278" spans="1:30" ht="15" x14ac:dyDescent="0.2">
      <c r="A278" s="15">
        <v>49706</v>
      </c>
      <c r="B278" s="10">
        <f>CHOOSE(CONTROL!$C$42, 9.6445, 9.6445) * CHOOSE(CONTROL!$C$21, $C$9, 100%, $E$9)</f>
        <v>9.6445000000000007</v>
      </c>
      <c r="C278" s="10">
        <f>CHOOSE(CONTROL!$C$42, 9.6496, 9.6496) * CHOOSE(CONTROL!$C$21, $C$9, 100%, $E$9)</f>
        <v>9.6495999999999995</v>
      </c>
      <c r="D278" s="10">
        <f>CHOOSE(CONTROL!$C$42, 9.6846, 9.6846) * CHOOSE(CONTROL!$C$21, $C$9, 100%, $E$9)</f>
        <v>9.6845999999999997</v>
      </c>
      <c r="E278" s="10">
        <f>CHOOSE(CONTROL!$C$42, 9.7184, 9.7184) * CHOOSE(CONTROL!$C$21, $C$9, 100%, $E$9)</f>
        <v>9.7184000000000008</v>
      </c>
      <c r="F278" s="10">
        <f>CHOOSE(CONTROL!$C$42, 9.6253, 9.6253)*CHOOSE(CONTROL!$C$21, $C$9, 100%, $E$9)</f>
        <v>9.6252999999999993</v>
      </c>
      <c r="G278" s="10">
        <f>CHOOSE(CONTROL!$C$42, 9.644, 9.644)*CHOOSE(CONTROL!$C$21, $C$9, 100%, $E$9)</f>
        <v>9.6440000000000001</v>
      </c>
      <c r="H278" s="10">
        <f>CHOOSE(CONTROL!$C$42, 9.7073, 9.7073) * CHOOSE(CONTROL!$C$21, $C$9, 100%, $E$9)</f>
        <v>9.7073</v>
      </c>
      <c r="I278" s="10">
        <f>CHOOSE(CONTROL!$C$42, 9.6518, 9.6518)* CHOOSE(CONTROL!$C$21, $C$9, 100%, $E$9)</f>
        <v>9.6517999999999997</v>
      </c>
      <c r="J278" s="10">
        <f>CHOOSE(CONTROL!$C$42, 9.6179, 9.6179)* CHOOSE(CONTROL!$C$21, $C$9, 100%, $E$9)</f>
        <v>9.6179000000000006</v>
      </c>
      <c r="K278" s="10">
        <f>CHOOSE(CONTROL!$C$42, 9.5257, 9.5257) * CHOOSE(CONTROL!$C$21, $C$9, 100%, $E$9)</f>
        <v>9.5257000000000005</v>
      </c>
      <c r="L278" s="10">
        <f>CHOOSE(CONTROL!$C$42, 10.2943, 10.2943) * CHOOSE(CONTROL!$C$21, $C$9, 100%, $E$9)</f>
        <v>10.2943</v>
      </c>
      <c r="M278" s="10">
        <f>CHOOSE(CONTROL!$C$42, 9.5264, 9.5264) * CHOOSE(CONTROL!$C$21, $C$9, 100%, $E$9)</f>
        <v>9.5264000000000006</v>
      </c>
      <c r="N278" s="10">
        <f>CHOOSE(CONTROL!$C$42, 9.5449, 9.5449) * CHOOSE(CONTROL!$C$21, $C$9, 100%, $E$9)</f>
        <v>9.5449000000000002</v>
      </c>
      <c r="O278" s="10">
        <f>CHOOSE(CONTROL!$C$42, 9.6147, 9.6147) * CHOOSE(CONTROL!$C$21, $C$9, 100%, $E$9)</f>
        <v>9.6146999999999991</v>
      </c>
      <c r="P278" s="10">
        <f>CHOOSE(CONTROL!$C$42, 9.5599, 9.5599) * CHOOSE(CONTROL!$C$21, $C$9, 100%, $E$9)</f>
        <v>9.5599000000000007</v>
      </c>
      <c r="Q278" s="10">
        <f>CHOOSE(CONTROL!$C$42, 10.21, 10.21) * CHOOSE(CONTROL!$C$21, $C$9, 100%, $E$9)</f>
        <v>10.210000000000001</v>
      </c>
      <c r="R278" s="10">
        <f>CHOOSE(CONTROL!$C$42, 10.8225, 10.8225) * CHOOSE(CONTROL!$C$21, $C$9, 100%, $E$9)</f>
        <v>10.8225</v>
      </c>
      <c r="S278" s="10">
        <f>CHOOSE(CONTROL!$C$42, 9.3554, 9.3554) * CHOOSE(CONTROL!$C$21, $C$9, 100%, $E$9)</f>
        <v>9.3553999999999995</v>
      </c>
      <c r="T27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78" s="38">
        <f>(1000*CHOOSE(CONTROL!$C$42, 695, 695)*CHOOSE(CONTROL!$C$42, 0.5599, 0.5599)*CHOOSE(CONTROL!$C$42, 29, 29))/1000000</f>
        <v>11.284784499999999</v>
      </c>
      <c r="V278" s="38">
        <f>(1000*CHOOSE(CONTROL!$C$42, 500, 500)*CHOOSE(CONTROL!$C$42, 0.275, 0.275)*CHOOSE(CONTROL!$C$42, 29, 29))/1000000</f>
        <v>3.9874999999999998</v>
      </c>
      <c r="W278" s="38">
        <f>(1000*CHOOSE(CONTROL!$C$42, 0.1146, 0.1146)*CHOOSE(CONTROL!$C$42, 121.5, 121.5)*CHOOSE(CONTROL!$C$42, 29, 29))/1000000</f>
        <v>0.40379309999999996</v>
      </c>
      <c r="X278" s="38">
        <f>(29*0.1790888*100000/1000000)+(29*0.2374*100000/1000000)</f>
        <v>1.2078175199999999</v>
      </c>
      <c r="Y278" s="38">
        <f>(1000*600*CHOOSE(CONTROL!$C$42, 1.6441, 1.6441)*CHOOSE(CONTROL!$C$42, 29, 29))/1000000</f>
        <v>28.607339999999997</v>
      </c>
      <c r="Z278" s="38"/>
      <c r="AA278" s="10"/>
      <c r="AB278" s="39"/>
      <c r="AC278" s="33">
        <f>(B278*122.58+C278*297.941+D278*89.177+E278*40.302+F278*40+G278*160+H278*0+I278*100+J278*300)/(122.58+297.941+89.177+40.302+0+40+160+100+300)</f>
        <v>9.6444789692173902</v>
      </c>
      <c r="AD278" s="27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9.5723057553956821</v>
      </c>
    </row>
    <row r="279" spans="1:30" ht="15" x14ac:dyDescent="0.2">
      <c r="A279" s="15">
        <v>49735</v>
      </c>
      <c r="B279" s="10">
        <f>CHOOSE(CONTROL!$C$42, 9.3702, 9.3702) * CHOOSE(CONTROL!$C$21, $C$9, 100%, $E$9)</f>
        <v>9.3702000000000005</v>
      </c>
      <c r="C279" s="10">
        <f>CHOOSE(CONTROL!$C$42, 9.3753, 9.3753) * CHOOSE(CONTROL!$C$21, $C$9, 100%, $E$9)</f>
        <v>9.3752999999999993</v>
      </c>
      <c r="D279" s="10">
        <f>CHOOSE(CONTROL!$C$42, 9.4103, 9.4103) * CHOOSE(CONTROL!$C$21, $C$9, 100%, $E$9)</f>
        <v>9.4102999999999994</v>
      </c>
      <c r="E279" s="10">
        <f>CHOOSE(CONTROL!$C$42, 9.4442, 9.4442) * CHOOSE(CONTROL!$C$21, $C$9, 100%, $E$9)</f>
        <v>9.4442000000000004</v>
      </c>
      <c r="F279" s="10">
        <f>CHOOSE(CONTROL!$C$42, 9.3496, 9.3496)*CHOOSE(CONTROL!$C$21, $C$9, 100%, $E$9)</f>
        <v>9.3496000000000006</v>
      </c>
      <c r="G279" s="10">
        <f>CHOOSE(CONTROL!$C$42, 9.368, 9.368)*CHOOSE(CONTROL!$C$21, $C$9, 100%, $E$9)</f>
        <v>9.3680000000000003</v>
      </c>
      <c r="H279" s="10">
        <f>CHOOSE(CONTROL!$C$42, 9.433, 9.433) * CHOOSE(CONTROL!$C$21, $C$9, 100%, $E$9)</f>
        <v>9.4329999999999998</v>
      </c>
      <c r="I279" s="10">
        <f>CHOOSE(CONTROL!$C$42, 9.3775, 9.3775)* CHOOSE(CONTROL!$C$21, $C$9, 100%, $E$9)</f>
        <v>9.3774999999999995</v>
      </c>
      <c r="J279" s="10">
        <f>CHOOSE(CONTROL!$C$42, 9.3422, 9.3422)* CHOOSE(CONTROL!$C$21, $C$9, 100%, $E$9)</f>
        <v>9.3422000000000001</v>
      </c>
      <c r="K279" s="10">
        <f>CHOOSE(CONTROL!$C$42, 9.2569, 9.2569) * CHOOSE(CONTROL!$C$21, $C$9, 100%, $E$9)</f>
        <v>9.2568999999999999</v>
      </c>
      <c r="L279" s="10">
        <f>CHOOSE(CONTROL!$C$42, 10.02, 10.02) * CHOOSE(CONTROL!$C$21, $C$9, 100%, $E$9)</f>
        <v>10.02</v>
      </c>
      <c r="M279" s="10">
        <f>CHOOSE(CONTROL!$C$42, 9.2543, 9.2543) * CHOOSE(CONTROL!$C$21, $C$9, 100%, $E$9)</f>
        <v>9.2543000000000006</v>
      </c>
      <c r="N279" s="10">
        <f>CHOOSE(CONTROL!$C$42, 9.2725, 9.2725) * CHOOSE(CONTROL!$C$21, $C$9, 100%, $E$9)</f>
        <v>9.2725000000000009</v>
      </c>
      <c r="O279" s="10">
        <f>CHOOSE(CONTROL!$C$42, 9.344, 9.344) * CHOOSE(CONTROL!$C$21, $C$9, 100%, $E$9)</f>
        <v>9.3439999999999994</v>
      </c>
      <c r="P279" s="10">
        <f>CHOOSE(CONTROL!$C$42, 9.2892, 9.2892) * CHOOSE(CONTROL!$C$21, $C$9, 100%, $E$9)</f>
        <v>9.2891999999999992</v>
      </c>
      <c r="Q279" s="10">
        <f>CHOOSE(CONTROL!$C$42, 9.9393, 9.9393) * CHOOSE(CONTROL!$C$21, $C$9, 100%, $E$9)</f>
        <v>9.9392999999999994</v>
      </c>
      <c r="R279" s="10">
        <f>CHOOSE(CONTROL!$C$42, 10.5511, 10.5511) * CHOOSE(CONTROL!$C$21, $C$9, 100%, $E$9)</f>
        <v>10.5511</v>
      </c>
      <c r="S279" s="10">
        <f>CHOOSE(CONTROL!$C$42, 9.0899, 9.0899) * CHOOSE(CONTROL!$C$21, $C$9, 100%, $E$9)</f>
        <v>9.0899000000000001</v>
      </c>
      <c r="T27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38">
        <f>(1000*CHOOSE(CONTROL!$C$42, 695, 695)*CHOOSE(CONTROL!$C$42, 0.5599, 0.5599)*CHOOSE(CONTROL!$C$42, 31, 31))/1000000</f>
        <v>12.063045499999998</v>
      </c>
      <c r="V279" s="38">
        <f>(1000*CHOOSE(CONTROL!$C$42, 500, 500)*CHOOSE(CONTROL!$C$42, 0.275, 0.275)*CHOOSE(CONTROL!$C$42, 31, 31))/1000000</f>
        <v>4.2625000000000002</v>
      </c>
      <c r="W279" s="38">
        <f>(1000*CHOOSE(CONTROL!$C$42, 0.1146, 0.1146)*CHOOSE(CONTROL!$C$42, 121.5, 121.5)*CHOOSE(CONTROL!$C$42, 31, 31))/1000000</f>
        <v>0.43164089999999994</v>
      </c>
      <c r="X279" s="38">
        <f>(31*0.1790888*100000/1000000)+(31*0.2374*100000/1000000)</f>
        <v>1.2911152800000001</v>
      </c>
      <c r="Y279" s="38">
        <f>(1000*600*CHOOSE(CONTROL!$C$42, 1.6441, 1.6441)*CHOOSE(CONTROL!$C$42, 31, 31))/1000000</f>
        <v>30.580259999999996</v>
      </c>
      <c r="Z279" s="38"/>
      <c r="AA279" s="10"/>
      <c r="AB279" s="39"/>
      <c r="AC279" s="33">
        <f>(B279*122.58+C279*297.941+D279*89.177+E279*40.302+F279*40+G279*160+H279*0+I279*100+J279*300)/(122.58+297.941+89.177+40.302+0+40+160+100+300)</f>
        <v>9.3695320389565211</v>
      </c>
      <c r="AD279" s="27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9.3010244604316537</v>
      </c>
    </row>
    <row r="280" spans="1:30" ht="15" x14ac:dyDescent="0.2">
      <c r="A280" s="15">
        <v>49766</v>
      </c>
      <c r="B280" s="10">
        <f>CHOOSE(CONTROL!$C$42, 9.3429, 9.3429) * CHOOSE(CONTROL!$C$21, $C$9, 100%, $E$9)</f>
        <v>9.3429000000000002</v>
      </c>
      <c r="C280" s="10">
        <f>CHOOSE(CONTROL!$C$42, 9.3474, 9.3474) * CHOOSE(CONTROL!$C$21, $C$9, 100%, $E$9)</f>
        <v>9.3474000000000004</v>
      </c>
      <c r="D280" s="10">
        <f>CHOOSE(CONTROL!$C$42, 9.5256, 9.5256) * CHOOSE(CONTROL!$C$21, $C$9, 100%, $E$9)</f>
        <v>9.5256000000000007</v>
      </c>
      <c r="E280" s="10">
        <f>CHOOSE(CONTROL!$C$42, 9.5575, 9.5575) * CHOOSE(CONTROL!$C$21, $C$9, 100%, $E$9)</f>
        <v>9.5574999999999992</v>
      </c>
      <c r="F280" s="10">
        <f>CHOOSE(CONTROL!$C$42, 9.2863, 9.2863)*CHOOSE(CONTROL!$C$21, $C$9, 100%, $E$9)</f>
        <v>9.2863000000000007</v>
      </c>
      <c r="G280" s="10">
        <f>CHOOSE(CONTROL!$C$42, 9.3029, 9.3029)*CHOOSE(CONTROL!$C$21, $C$9, 100%, $E$9)</f>
        <v>9.3028999999999993</v>
      </c>
      <c r="H280" s="10">
        <f>CHOOSE(CONTROL!$C$42, 9.5469, 9.5469) * CHOOSE(CONTROL!$C$21, $C$9, 100%, $E$9)</f>
        <v>9.5469000000000008</v>
      </c>
      <c r="I280" s="10">
        <f>CHOOSE(CONTROL!$C$42, 9.3189, 9.3189)* CHOOSE(CONTROL!$C$21, $C$9, 100%, $E$9)</f>
        <v>9.3188999999999993</v>
      </c>
      <c r="J280" s="10">
        <f>CHOOSE(CONTROL!$C$42, 9.2789, 9.2789)* CHOOSE(CONTROL!$C$21, $C$9, 100%, $E$9)</f>
        <v>9.2789000000000001</v>
      </c>
      <c r="K280" s="10">
        <f>CHOOSE(CONTROL!$C$42, 9.1855, 9.1855) * CHOOSE(CONTROL!$C$21, $C$9, 100%, $E$9)</f>
        <v>9.1854999999999993</v>
      </c>
      <c r="L280" s="10">
        <f>CHOOSE(CONTROL!$C$42, 10.1339, 10.1339) * CHOOSE(CONTROL!$C$21, $C$9, 100%, $E$9)</f>
        <v>10.133900000000001</v>
      </c>
      <c r="M280" s="10">
        <f>CHOOSE(CONTROL!$C$42, 9.1919, 9.1919) * CHOOSE(CONTROL!$C$21, $C$9, 100%, $E$9)</f>
        <v>9.1919000000000004</v>
      </c>
      <c r="N280" s="10">
        <f>CHOOSE(CONTROL!$C$42, 9.2083, 9.2083) * CHOOSE(CONTROL!$C$21, $C$9, 100%, $E$9)</f>
        <v>9.2082999999999995</v>
      </c>
      <c r="O280" s="10">
        <f>CHOOSE(CONTROL!$C$42, 9.4564, 9.4564) * CHOOSE(CONTROL!$C$21, $C$9, 100%, $E$9)</f>
        <v>9.4564000000000004</v>
      </c>
      <c r="P280" s="10">
        <f>CHOOSE(CONTROL!$C$42, 9.2314, 9.2314) * CHOOSE(CONTROL!$C$21, $C$9, 100%, $E$9)</f>
        <v>9.2314000000000007</v>
      </c>
      <c r="Q280" s="10">
        <f>CHOOSE(CONTROL!$C$42, 10.0517, 10.0517) * CHOOSE(CONTROL!$C$21, $C$9, 100%, $E$9)</f>
        <v>10.0517</v>
      </c>
      <c r="R280" s="10">
        <f>CHOOSE(CONTROL!$C$42, 10.6638, 10.6638) * CHOOSE(CONTROL!$C$21, $C$9, 100%, $E$9)</f>
        <v>10.6638</v>
      </c>
      <c r="S280" s="10">
        <f>CHOOSE(CONTROL!$C$42, 9.0626, 9.0626) * CHOOSE(CONTROL!$C$21, $C$9, 100%, $E$9)</f>
        <v>9.0625999999999998</v>
      </c>
      <c r="T28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38">
        <f>(1000*CHOOSE(CONTROL!$C$42, 695, 695)*CHOOSE(CONTROL!$C$42, 0.5599, 0.5599)*CHOOSE(CONTROL!$C$42, 30, 30))/1000000</f>
        <v>11.673914999999997</v>
      </c>
      <c r="V280" s="38">
        <f>(1000*CHOOSE(CONTROL!$C$42, 500, 500)*CHOOSE(CONTROL!$C$42, 0.275, 0.275)*CHOOSE(CONTROL!$C$42, 30, 30))/1000000</f>
        <v>4.125</v>
      </c>
      <c r="W280" s="38">
        <f>(1000*CHOOSE(CONTROL!$C$42, 0.1146, 0.1146)*CHOOSE(CONTROL!$C$42, 121.5, 121.5)*CHOOSE(CONTROL!$C$42, 30, 30))/1000000</f>
        <v>0.417717</v>
      </c>
      <c r="X280" s="38">
        <f>(30*0.1790888*245000/1000000)+(30*0.2374*100000/1000000)</f>
        <v>2.0285026799999999</v>
      </c>
      <c r="Y280" s="38">
        <f>(1000*600*CHOOSE(CONTROL!$C$42, 1.6441, 1.6441)*CHOOSE(CONTROL!$C$42, 30, 30))/1000000</f>
        <v>29.593799999999995</v>
      </c>
      <c r="Z280" s="38"/>
      <c r="AA280" s="10"/>
      <c r="AB280" s="39"/>
      <c r="AC280" s="33">
        <f>(B280*141.293+C280*267.993+D280*115.016+E280*89.698+F280*40+G280*185+H280*0+I280*100+J280*300)/(141.293+267.993+115.016+89.698+0+40+185+100+300)</f>
        <v>9.351136144067798</v>
      </c>
      <c r="AD280" s="27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9.2755712230215828</v>
      </c>
    </row>
    <row r="281" spans="1:30" ht="15" x14ac:dyDescent="0.2">
      <c r="A281" s="15">
        <v>49796</v>
      </c>
      <c r="B281" s="10">
        <f>CHOOSE(CONTROL!$C$42, 9.4273, 9.4273) * CHOOSE(CONTROL!$C$21, $C$9, 100%, $E$9)</f>
        <v>9.4273000000000007</v>
      </c>
      <c r="C281" s="10">
        <f>CHOOSE(CONTROL!$C$42, 9.4352, 9.4352) * CHOOSE(CONTROL!$C$21, $C$9, 100%, $E$9)</f>
        <v>9.4352</v>
      </c>
      <c r="D281" s="10">
        <f>CHOOSE(CONTROL!$C$42, 9.6104, 9.6104) * CHOOSE(CONTROL!$C$21, $C$9, 100%, $E$9)</f>
        <v>9.6104000000000003</v>
      </c>
      <c r="E281" s="10">
        <f>CHOOSE(CONTROL!$C$42, 9.6416, 9.6416) * CHOOSE(CONTROL!$C$21, $C$9, 100%, $E$9)</f>
        <v>9.6416000000000004</v>
      </c>
      <c r="F281" s="10">
        <f>CHOOSE(CONTROL!$C$42, 9.3689, 9.3689)*CHOOSE(CONTROL!$C$21, $C$9, 100%, $E$9)</f>
        <v>9.3689</v>
      </c>
      <c r="G281" s="10">
        <f>CHOOSE(CONTROL!$C$42, 9.3858, 9.3858)*CHOOSE(CONTROL!$C$21, $C$9, 100%, $E$9)</f>
        <v>9.3857999999999997</v>
      </c>
      <c r="H281" s="10">
        <f>CHOOSE(CONTROL!$C$42, 9.6299, 9.6299) * CHOOSE(CONTROL!$C$21, $C$9, 100%, $E$9)</f>
        <v>9.6298999999999992</v>
      </c>
      <c r="I281" s="10">
        <f>CHOOSE(CONTROL!$C$42, 9.4019, 9.4019)* CHOOSE(CONTROL!$C$21, $C$9, 100%, $E$9)</f>
        <v>9.4018999999999995</v>
      </c>
      <c r="J281" s="10">
        <f>CHOOSE(CONTROL!$C$42, 9.3615, 9.3615)* CHOOSE(CONTROL!$C$21, $C$9, 100%, $E$9)</f>
        <v>9.3614999999999995</v>
      </c>
      <c r="K281" s="10">
        <f>CHOOSE(CONTROL!$C$42, 9.265, 9.265) * CHOOSE(CONTROL!$C$21, $C$9, 100%, $E$9)</f>
        <v>9.2650000000000006</v>
      </c>
      <c r="L281" s="10">
        <f>CHOOSE(CONTROL!$C$42, 10.2169, 10.2169) * CHOOSE(CONTROL!$C$21, $C$9, 100%, $E$9)</f>
        <v>10.216900000000001</v>
      </c>
      <c r="M281" s="10">
        <f>CHOOSE(CONTROL!$C$42, 9.2734, 9.2734) * CHOOSE(CONTROL!$C$21, $C$9, 100%, $E$9)</f>
        <v>9.2734000000000005</v>
      </c>
      <c r="N281" s="10">
        <f>CHOOSE(CONTROL!$C$42, 9.2901, 9.2901) * CHOOSE(CONTROL!$C$21, $C$9, 100%, $E$9)</f>
        <v>9.2901000000000007</v>
      </c>
      <c r="O281" s="10">
        <f>CHOOSE(CONTROL!$C$42, 9.5383, 9.5383) * CHOOSE(CONTROL!$C$21, $C$9, 100%, $E$9)</f>
        <v>9.5382999999999996</v>
      </c>
      <c r="P281" s="10">
        <f>CHOOSE(CONTROL!$C$42, 9.3133, 9.3133) * CHOOSE(CONTROL!$C$21, $C$9, 100%, $E$9)</f>
        <v>9.3132999999999999</v>
      </c>
      <c r="Q281" s="10">
        <f>CHOOSE(CONTROL!$C$42, 10.1336, 10.1336) * CHOOSE(CONTROL!$C$21, $C$9, 100%, $E$9)</f>
        <v>10.133599999999999</v>
      </c>
      <c r="R281" s="10">
        <f>CHOOSE(CONTROL!$C$42, 10.7459, 10.7459) * CHOOSE(CONTROL!$C$21, $C$9, 100%, $E$9)</f>
        <v>10.745900000000001</v>
      </c>
      <c r="S281" s="10">
        <f>CHOOSE(CONTROL!$C$42, 9.143, 9.143) * CHOOSE(CONTROL!$C$21, $C$9, 100%, $E$9)</f>
        <v>9.1430000000000007</v>
      </c>
      <c r="T28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38">
        <f>(1000*CHOOSE(CONTROL!$C$42, 695, 695)*CHOOSE(CONTROL!$C$42, 0.5599, 0.5599)*CHOOSE(CONTROL!$C$42, 31, 31))/1000000</f>
        <v>12.063045499999998</v>
      </c>
      <c r="V281" s="38">
        <f>(1000*CHOOSE(CONTROL!$C$42, 500, 500)*CHOOSE(CONTROL!$C$42, 0.275, 0.275)*CHOOSE(CONTROL!$C$42, 31, 31))/1000000</f>
        <v>4.2625000000000002</v>
      </c>
      <c r="W281" s="38">
        <f>(1000*CHOOSE(CONTROL!$C$42, 0.1146, 0.1146)*CHOOSE(CONTROL!$C$42, 121.5, 121.5)*CHOOSE(CONTROL!$C$42, 31, 31))/1000000</f>
        <v>0.43164089999999994</v>
      </c>
      <c r="X281" s="38">
        <f>(31*0.1790888*245000/1000000)+(31*0.2374*100000/1000000)</f>
        <v>2.0961194359999999</v>
      </c>
      <c r="Y281" s="38">
        <f>(1000*600*CHOOSE(CONTROL!$C$42, 1.6441, 1.6441)*CHOOSE(CONTROL!$C$42, 31, 31))/1000000</f>
        <v>30.580259999999996</v>
      </c>
      <c r="Z281" s="38"/>
      <c r="AA281" s="10"/>
      <c r="AB281" s="39"/>
      <c r="AC281" s="33">
        <f>(B281*194.205+C281*267.466+D281*133.845+E281*53.484+F281*40+G281*185+H281*0+I281*100+J281*300)/(194.205+267.466+133.845+53.484+0+40+185+100+300)</f>
        <v>9.4318432669544752</v>
      </c>
      <c r="AD281" s="27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9.3573100719424467</v>
      </c>
    </row>
    <row r="282" spans="1:30" ht="15" x14ac:dyDescent="0.2">
      <c r="A282" s="15">
        <v>49827</v>
      </c>
      <c r="B282" s="10">
        <f>CHOOSE(CONTROL!$C$42, 9.6951, 9.6951) * CHOOSE(CONTROL!$C$21, $C$9, 100%, $E$9)</f>
        <v>9.6951000000000001</v>
      </c>
      <c r="C282" s="10">
        <f>CHOOSE(CONTROL!$C$42, 9.7031, 9.7031) * CHOOSE(CONTROL!$C$21, $C$9, 100%, $E$9)</f>
        <v>9.7030999999999992</v>
      </c>
      <c r="D282" s="10">
        <f>CHOOSE(CONTROL!$C$42, 9.8782, 9.8782) * CHOOSE(CONTROL!$C$21, $C$9, 100%, $E$9)</f>
        <v>9.8781999999999996</v>
      </c>
      <c r="E282" s="10">
        <f>CHOOSE(CONTROL!$C$42, 9.9094, 9.9094) * CHOOSE(CONTROL!$C$21, $C$9, 100%, $E$9)</f>
        <v>9.9093999999999998</v>
      </c>
      <c r="F282" s="10">
        <f>CHOOSE(CONTROL!$C$42, 9.6369, 9.6369)*CHOOSE(CONTROL!$C$21, $C$9, 100%, $E$9)</f>
        <v>9.6369000000000007</v>
      </c>
      <c r="G282" s="10">
        <f>CHOOSE(CONTROL!$C$42, 9.6539, 9.6539)*CHOOSE(CONTROL!$C$21, $C$9, 100%, $E$9)</f>
        <v>9.6539000000000001</v>
      </c>
      <c r="H282" s="10">
        <f>CHOOSE(CONTROL!$C$42, 9.8977, 9.8977) * CHOOSE(CONTROL!$C$21, $C$9, 100%, $E$9)</f>
        <v>9.8977000000000004</v>
      </c>
      <c r="I282" s="10">
        <f>CHOOSE(CONTROL!$C$42, 9.6697, 9.6697)* CHOOSE(CONTROL!$C$21, $C$9, 100%, $E$9)</f>
        <v>9.6697000000000006</v>
      </c>
      <c r="J282" s="10">
        <f>CHOOSE(CONTROL!$C$42, 9.6295, 9.6295)* CHOOSE(CONTROL!$C$21, $C$9, 100%, $E$9)</f>
        <v>9.6295000000000002</v>
      </c>
      <c r="K282" s="10">
        <f>CHOOSE(CONTROL!$C$42, 9.5249, 9.5249) * CHOOSE(CONTROL!$C$21, $C$9, 100%, $E$9)</f>
        <v>9.5249000000000006</v>
      </c>
      <c r="L282" s="10">
        <f>CHOOSE(CONTROL!$C$42, 10.4847, 10.4847) * CHOOSE(CONTROL!$C$21, $C$9, 100%, $E$9)</f>
        <v>10.4847</v>
      </c>
      <c r="M282" s="10">
        <f>CHOOSE(CONTROL!$C$42, 9.5379, 9.5379) * CHOOSE(CONTROL!$C$21, $C$9, 100%, $E$9)</f>
        <v>9.5379000000000005</v>
      </c>
      <c r="N282" s="10">
        <f>CHOOSE(CONTROL!$C$42, 9.5546, 9.5546) * CHOOSE(CONTROL!$C$21, $C$9, 100%, $E$9)</f>
        <v>9.5546000000000006</v>
      </c>
      <c r="O282" s="10">
        <f>CHOOSE(CONTROL!$C$42, 9.8026, 9.8026) * CHOOSE(CONTROL!$C$21, $C$9, 100%, $E$9)</f>
        <v>9.8026</v>
      </c>
      <c r="P282" s="10">
        <f>CHOOSE(CONTROL!$C$42, 9.5776, 9.5776) * CHOOSE(CONTROL!$C$21, $C$9, 100%, $E$9)</f>
        <v>9.5776000000000003</v>
      </c>
      <c r="Q282" s="10">
        <f>CHOOSE(CONTROL!$C$42, 10.3979, 10.3979) * CHOOSE(CONTROL!$C$21, $C$9, 100%, $E$9)</f>
        <v>10.3979</v>
      </c>
      <c r="R282" s="10">
        <f>CHOOSE(CONTROL!$C$42, 11.0109, 11.0109) * CHOOSE(CONTROL!$C$21, $C$9, 100%, $E$9)</f>
        <v>11.010899999999999</v>
      </c>
      <c r="S282" s="10">
        <f>CHOOSE(CONTROL!$C$42, 9.4023, 9.4023) * CHOOSE(CONTROL!$C$21, $C$9, 100%, $E$9)</f>
        <v>9.4023000000000003</v>
      </c>
      <c r="T28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38">
        <f>(1000*CHOOSE(CONTROL!$C$42, 695, 695)*CHOOSE(CONTROL!$C$42, 0.5599, 0.5599)*CHOOSE(CONTROL!$C$42, 30, 30))/1000000</f>
        <v>11.673914999999997</v>
      </c>
      <c r="V282" s="38">
        <f>(1000*CHOOSE(CONTROL!$C$42, 500, 500)*CHOOSE(CONTROL!$C$42, 0.275, 0.275)*CHOOSE(CONTROL!$C$42, 30, 30))/1000000</f>
        <v>4.125</v>
      </c>
      <c r="W282" s="38">
        <f>(1000*CHOOSE(CONTROL!$C$42, 0.1146, 0.1146)*CHOOSE(CONTROL!$C$42, 121.5, 121.5)*CHOOSE(CONTROL!$C$42, 30, 30))/1000000</f>
        <v>0.417717</v>
      </c>
      <c r="X282" s="38">
        <f>(30*0.1790888*245000/1000000)+(30*0.2374*100000/1000000)</f>
        <v>2.0285026799999999</v>
      </c>
      <c r="Y282" s="38">
        <f>(1000*600*CHOOSE(CONTROL!$C$42, 1.6441, 1.6441)*CHOOSE(CONTROL!$C$42, 30, 30))/1000000</f>
        <v>29.593799999999995</v>
      </c>
      <c r="Z282" s="38"/>
      <c r="AA282" s="10"/>
      <c r="AB282" s="39"/>
      <c r="AC282" s="33">
        <f>(B282*194.205+C282*267.466+D282*133.845+E282*53.484+F282*40+G282*185+H282*0+I282*100+J282*300)/(194.205+267.466+133.845+53.484+0+40+185+100+300)</f>
        <v>9.6997611999215056</v>
      </c>
      <c r="AD282" s="27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9.6217251798561154</v>
      </c>
    </row>
    <row r="283" spans="1:30" ht="15" x14ac:dyDescent="0.2">
      <c r="A283" s="15">
        <v>49857</v>
      </c>
      <c r="B283" s="10">
        <f>CHOOSE(CONTROL!$C$42, 9.5088, 9.5088) * CHOOSE(CONTROL!$C$21, $C$9, 100%, $E$9)</f>
        <v>9.5088000000000008</v>
      </c>
      <c r="C283" s="10">
        <f>CHOOSE(CONTROL!$C$42, 9.5168, 9.5168) * CHOOSE(CONTROL!$C$21, $C$9, 100%, $E$9)</f>
        <v>9.5167999999999999</v>
      </c>
      <c r="D283" s="10">
        <f>CHOOSE(CONTROL!$C$42, 9.6919, 9.6919) * CHOOSE(CONTROL!$C$21, $C$9, 100%, $E$9)</f>
        <v>9.6919000000000004</v>
      </c>
      <c r="E283" s="10">
        <f>CHOOSE(CONTROL!$C$42, 9.7231, 9.7231) * CHOOSE(CONTROL!$C$21, $C$9, 100%, $E$9)</f>
        <v>9.7231000000000005</v>
      </c>
      <c r="F283" s="10">
        <f>CHOOSE(CONTROL!$C$42, 9.451, 9.451)*CHOOSE(CONTROL!$C$21, $C$9, 100%, $E$9)</f>
        <v>9.4510000000000005</v>
      </c>
      <c r="G283" s="10">
        <f>CHOOSE(CONTROL!$C$42, 9.468, 9.468)*CHOOSE(CONTROL!$C$21, $C$9, 100%, $E$9)</f>
        <v>9.468</v>
      </c>
      <c r="H283" s="10">
        <f>CHOOSE(CONTROL!$C$42, 9.7115, 9.7115) * CHOOSE(CONTROL!$C$21, $C$9, 100%, $E$9)</f>
        <v>9.7114999999999991</v>
      </c>
      <c r="I283" s="10">
        <f>CHOOSE(CONTROL!$C$42, 9.4834, 9.4834)* CHOOSE(CONTROL!$C$21, $C$9, 100%, $E$9)</f>
        <v>9.4833999999999996</v>
      </c>
      <c r="J283" s="10">
        <f>CHOOSE(CONTROL!$C$42, 9.4436, 9.4436)* CHOOSE(CONTROL!$C$21, $C$9, 100%, $E$9)</f>
        <v>9.4436</v>
      </c>
      <c r="K283" s="10">
        <f>CHOOSE(CONTROL!$C$42, 9.3452, 9.3452) * CHOOSE(CONTROL!$C$21, $C$9, 100%, $E$9)</f>
        <v>9.3452000000000002</v>
      </c>
      <c r="L283" s="10">
        <f>CHOOSE(CONTROL!$C$42, 10.2985, 10.2985) * CHOOSE(CONTROL!$C$21, $C$9, 100%, $E$9)</f>
        <v>10.298500000000001</v>
      </c>
      <c r="M283" s="10">
        <f>CHOOSE(CONTROL!$C$42, 9.3544, 9.3544) * CHOOSE(CONTROL!$C$21, $C$9, 100%, $E$9)</f>
        <v>9.3544</v>
      </c>
      <c r="N283" s="10">
        <f>CHOOSE(CONTROL!$C$42, 9.3712, 9.3712) * CHOOSE(CONTROL!$C$21, $C$9, 100%, $E$9)</f>
        <v>9.3712</v>
      </c>
      <c r="O283" s="10">
        <f>CHOOSE(CONTROL!$C$42, 9.6188, 9.6188) * CHOOSE(CONTROL!$C$21, $C$9, 100%, $E$9)</f>
        <v>9.6188000000000002</v>
      </c>
      <c r="P283" s="10">
        <f>CHOOSE(CONTROL!$C$42, 9.3938, 9.3938) * CHOOSE(CONTROL!$C$21, $C$9, 100%, $E$9)</f>
        <v>9.3938000000000006</v>
      </c>
      <c r="Q283" s="10">
        <f>CHOOSE(CONTROL!$C$42, 10.2141, 10.2141) * CHOOSE(CONTROL!$C$21, $C$9, 100%, $E$9)</f>
        <v>10.2141</v>
      </c>
      <c r="R283" s="10">
        <f>CHOOSE(CONTROL!$C$42, 10.8266, 10.8266) * CHOOSE(CONTROL!$C$21, $C$9, 100%, $E$9)</f>
        <v>10.826599999999999</v>
      </c>
      <c r="S283" s="10">
        <f>CHOOSE(CONTROL!$C$42, 9.222, 9.222) * CHOOSE(CONTROL!$C$21, $C$9, 100%, $E$9)</f>
        <v>9.2219999999999995</v>
      </c>
      <c r="T28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38">
        <f>(1000*CHOOSE(CONTROL!$C$42, 695, 695)*CHOOSE(CONTROL!$C$42, 0.5599, 0.5599)*CHOOSE(CONTROL!$C$42, 31, 31))/1000000</f>
        <v>12.063045499999998</v>
      </c>
      <c r="V283" s="38">
        <f>(1000*CHOOSE(CONTROL!$C$42, 500, 500)*CHOOSE(CONTROL!$C$42, 0.275, 0.275)*CHOOSE(CONTROL!$C$42, 31, 31))/1000000</f>
        <v>4.2625000000000002</v>
      </c>
      <c r="W283" s="38">
        <f>(1000*CHOOSE(CONTROL!$C$42, 0.1146, 0.1146)*CHOOSE(CONTROL!$C$42, 121.5, 121.5)*CHOOSE(CONTROL!$C$42, 31, 31))/1000000</f>
        <v>0.43164089999999994</v>
      </c>
      <c r="X283" s="38">
        <f>(31*0.1790888*245000/1000000)+(31*0.2374*100000/1000000)</f>
        <v>2.0961194359999999</v>
      </c>
      <c r="Y283" s="38">
        <f>(1000*600*CHOOSE(CONTROL!$C$42, 1.6441, 1.6441)*CHOOSE(CONTROL!$C$42, 31, 31))/1000000</f>
        <v>30.580259999999996</v>
      </c>
      <c r="Z283" s="38"/>
      <c r="AA283" s="10"/>
      <c r="AB283" s="39"/>
      <c r="AC283" s="33">
        <f>(B283*194.205+C283*267.466+D283*133.845+E283*53.484+F283*40+G283*185+H283*0+I283*100+J283*300)/(194.205+267.466+133.845+53.484+0+40+185+100+300)</f>
        <v>9.5136260350863413</v>
      </c>
      <c r="AD283" s="27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9.4381208633093525</v>
      </c>
    </row>
    <row r="284" spans="1:30" ht="15" x14ac:dyDescent="0.2">
      <c r="A284" s="15">
        <v>49888</v>
      </c>
      <c r="B284" s="10">
        <f>CHOOSE(CONTROL!$C$42, 9.0384, 9.0384) * CHOOSE(CONTROL!$C$21, $C$9, 100%, $E$9)</f>
        <v>9.0383999999999993</v>
      </c>
      <c r="C284" s="10">
        <f>CHOOSE(CONTROL!$C$42, 9.0464, 9.0464) * CHOOSE(CONTROL!$C$21, $C$9, 100%, $E$9)</f>
        <v>9.0464000000000002</v>
      </c>
      <c r="D284" s="10">
        <f>CHOOSE(CONTROL!$C$42, 9.2215, 9.2215) * CHOOSE(CONTROL!$C$21, $C$9, 100%, $E$9)</f>
        <v>9.2215000000000007</v>
      </c>
      <c r="E284" s="10">
        <f>CHOOSE(CONTROL!$C$42, 9.2528, 9.2528) * CHOOSE(CONTROL!$C$21, $C$9, 100%, $E$9)</f>
        <v>9.2528000000000006</v>
      </c>
      <c r="F284" s="10">
        <f>CHOOSE(CONTROL!$C$42, 8.9805, 8.9805)*CHOOSE(CONTROL!$C$21, $C$9, 100%, $E$9)</f>
        <v>8.9804999999999993</v>
      </c>
      <c r="G284" s="10">
        <f>CHOOSE(CONTROL!$C$42, 8.9975, 8.9975)*CHOOSE(CONTROL!$C$21, $C$9, 100%, $E$9)</f>
        <v>8.9975000000000005</v>
      </c>
      <c r="H284" s="10">
        <f>CHOOSE(CONTROL!$C$42, 9.2411, 9.2411) * CHOOSE(CONTROL!$C$21, $C$9, 100%, $E$9)</f>
        <v>9.2410999999999994</v>
      </c>
      <c r="I284" s="10">
        <f>CHOOSE(CONTROL!$C$42, 9.0131, 9.0131)* CHOOSE(CONTROL!$C$21, $C$9, 100%, $E$9)</f>
        <v>9.0130999999999997</v>
      </c>
      <c r="J284" s="10">
        <f>CHOOSE(CONTROL!$C$42, 8.9731, 8.9731)* CHOOSE(CONTROL!$C$21, $C$9, 100%, $E$9)</f>
        <v>8.9731000000000005</v>
      </c>
      <c r="K284" s="10">
        <f>CHOOSE(CONTROL!$C$42, 8.8893, 8.8893) * CHOOSE(CONTROL!$C$21, $C$9, 100%, $E$9)</f>
        <v>8.8893000000000004</v>
      </c>
      <c r="L284" s="10">
        <f>CHOOSE(CONTROL!$C$42, 9.8281, 9.8281) * CHOOSE(CONTROL!$C$21, $C$9, 100%, $E$9)</f>
        <v>9.8280999999999992</v>
      </c>
      <c r="M284" s="10">
        <f>CHOOSE(CONTROL!$C$42, 8.89, 8.89) * CHOOSE(CONTROL!$C$21, $C$9, 100%, $E$9)</f>
        <v>8.89</v>
      </c>
      <c r="N284" s="10">
        <f>CHOOSE(CONTROL!$C$42, 8.9068, 8.9068) * CHOOSE(CONTROL!$C$21, $C$9, 100%, $E$9)</f>
        <v>8.9068000000000005</v>
      </c>
      <c r="O284" s="10">
        <f>CHOOSE(CONTROL!$C$42, 9.1545, 9.1545) * CHOOSE(CONTROL!$C$21, $C$9, 100%, $E$9)</f>
        <v>9.1545000000000005</v>
      </c>
      <c r="P284" s="10">
        <f>CHOOSE(CONTROL!$C$42, 8.9295, 8.9295) * CHOOSE(CONTROL!$C$21, $C$9, 100%, $E$9)</f>
        <v>8.9295000000000009</v>
      </c>
      <c r="Q284" s="10">
        <f>CHOOSE(CONTROL!$C$42, 9.7498, 9.7498) * CHOOSE(CONTROL!$C$21, $C$9, 100%, $E$9)</f>
        <v>9.7498000000000005</v>
      </c>
      <c r="R284" s="10">
        <f>CHOOSE(CONTROL!$C$42, 10.3612, 10.3612) * CHOOSE(CONTROL!$C$21, $C$9, 100%, $E$9)</f>
        <v>10.3612</v>
      </c>
      <c r="S284" s="10">
        <f>CHOOSE(CONTROL!$C$42, 8.7665, 8.7665) * CHOOSE(CONTROL!$C$21, $C$9, 100%, $E$9)</f>
        <v>8.7665000000000006</v>
      </c>
      <c r="T28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38">
        <f>(1000*CHOOSE(CONTROL!$C$42, 695, 695)*CHOOSE(CONTROL!$C$42, 0.5599, 0.5599)*CHOOSE(CONTROL!$C$42, 31, 31))/1000000</f>
        <v>12.063045499999998</v>
      </c>
      <c r="V284" s="38">
        <f>(1000*CHOOSE(CONTROL!$C$42, 500, 500)*CHOOSE(CONTROL!$C$42, 0.275, 0.275)*CHOOSE(CONTROL!$C$42, 31, 31))/1000000</f>
        <v>4.2625000000000002</v>
      </c>
      <c r="W284" s="38">
        <f>(1000*CHOOSE(CONTROL!$C$42, 0.1146, 0.1146)*CHOOSE(CONTROL!$C$42, 121.5, 121.5)*CHOOSE(CONTROL!$C$42, 31, 31))/1000000</f>
        <v>0.43164089999999994</v>
      </c>
      <c r="X284" s="38">
        <f>(31*0.1790888*245000/1000000)+(31*0.2374*100000/1000000)</f>
        <v>2.0961194359999999</v>
      </c>
      <c r="Y284" s="38">
        <f>(1000*600*CHOOSE(CONTROL!$C$42, 1.6441, 1.6441)*CHOOSE(CONTROL!$C$42, 31, 31))/1000000</f>
        <v>30.580259999999996</v>
      </c>
      <c r="Z284" s="38"/>
      <c r="AA284" s="10"/>
      <c r="AB284" s="39"/>
      <c r="AC284" s="33">
        <f>(B284*194.205+C284*267.466+D284*133.845+E284*53.484+F284*40+G284*185+H284*0+I284*100+J284*300)/(194.205+267.466+133.845+53.484+0+40+185+100+300)</f>
        <v>9.0431968737048667</v>
      </c>
      <c r="AD284" s="27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8.9737633093525186</v>
      </c>
    </row>
    <row r="285" spans="1:30" ht="15" x14ac:dyDescent="0.2">
      <c r="A285" s="15">
        <v>49919</v>
      </c>
      <c r="B285" s="10">
        <f>CHOOSE(CONTROL!$C$42, 8.4637, 8.4637) * CHOOSE(CONTROL!$C$21, $C$9, 100%, $E$9)</f>
        <v>8.4636999999999993</v>
      </c>
      <c r="C285" s="10">
        <f>CHOOSE(CONTROL!$C$42, 8.4717, 8.4717) * CHOOSE(CONTROL!$C$21, $C$9, 100%, $E$9)</f>
        <v>8.4717000000000002</v>
      </c>
      <c r="D285" s="10">
        <f>CHOOSE(CONTROL!$C$42, 8.6468, 8.6468) * CHOOSE(CONTROL!$C$21, $C$9, 100%, $E$9)</f>
        <v>8.6468000000000007</v>
      </c>
      <c r="E285" s="10">
        <f>CHOOSE(CONTROL!$C$42, 8.6781, 8.6781) * CHOOSE(CONTROL!$C$21, $C$9, 100%, $E$9)</f>
        <v>8.6781000000000006</v>
      </c>
      <c r="F285" s="10">
        <f>CHOOSE(CONTROL!$C$42, 8.4055, 8.4055)*CHOOSE(CONTROL!$C$21, $C$9, 100%, $E$9)</f>
        <v>8.4055</v>
      </c>
      <c r="G285" s="10">
        <f>CHOOSE(CONTROL!$C$42, 8.4224, 8.4224)*CHOOSE(CONTROL!$C$21, $C$9, 100%, $E$9)</f>
        <v>8.4223999999999997</v>
      </c>
      <c r="H285" s="10">
        <f>CHOOSE(CONTROL!$C$42, 8.6664, 8.6664) * CHOOSE(CONTROL!$C$21, $C$9, 100%, $E$9)</f>
        <v>8.6663999999999994</v>
      </c>
      <c r="I285" s="10">
        <f>CHOOSE(CONTROL!$C$42, 8.4384, 8.4384)* CHOOSE(CONTROL!$C$21, $C$9, 100%, $E$9)</f>
        <v>8.4383999999999997</v>
      </c>
      <c r="J285" s="10">
        <f>CHOOSE(CONTROL!$C$42, 8.3981, 8.3981)* CHOOSE(CONTROL!$C$21, $C$9, 100%, $E$9)</f>
        <v>8.3980999999999995</v>
      </c>
      <c r="K285" s="10">
        <f>CHOOSE(CONTROL!$C$42, 8.3318, 8.3318) * CHOOSE(CONTROL!$C$21, $C$9, 100%, $E$9)</f>
        <v>8.3317999999999994</v>
      </c>
      <c r="L285" s="10">
        <f>CHOOSE(CONTROL!$C$42, 9.2534, 9.2534) * CHOOSE(CONTROL!$C$21, $C$9, 100%, $E$9)</f>
        <v>9.2533999999999992</v>
      </c>
      <c r="M285" s="10">
        <f>CHOOSE(CONTROL!$C$42, 8.3224, 8.3224) * CHOOSE(CONTROL!$C$21, $C$9, 100%, $E$9)</f>
        <v>8.3224</v>
      </c>
      <c r="N285" s="10">
        <f>CHOOSE(CONTROL!$C$42, 8.3391, 8.3391) * CHOOSE(CONTROL!$C$21, $C$9, 100%, $E$9)</f>
        <v>8.3391000000000002</v>
      </c>
      <c r="O285" s="10">
        <f>CHOOSE(CONTROL!$C$42, 8.5872, 8.5872) * CHOOSE(CONTROL!$C$21, $C$9, 100%, $E$9)</f>
        <v>8.5871999999999993</v>
      </c>
      <c r="P285" s="10">
        <f>CHOOSE(CONTROL!$C$42, 8.3622, 8.3622) * CHOOSE(CONTROL!$C$21, $C$9, 100%, $E$9)</f>
        <v>8.3621999999999996</v>
      </c>
      <c r="Q285" s="10">
        <f>CHOOSE(CONTROL!$C$42, 9.1825, 9.1825) * CHOOSE(CONTROL!$C$21, $C$9, 100%, $E$9)</f>
        <v>9.1824999999999992</v>
      </c>
      <c r="R285" s="10">
        <f>CHOOSE(CONTROL!$C$42, 9.7925, 9.7925) * CHOOSE(CONTROL!$C$21, $C$9, 100%, $E$9)</f>
        <v>9.7925000000000004</v>
      </c>
      <c r="S285" s="10">
        <f>CHOOSE(CONTROL!$C$42, 8.21, 8.21) * CHOOSE(CONTROL!$C$21, $C$9, 100%, $E$9)</f>
        <v>8.2100000000000009</v>
      </c>
      <c r="T28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38">
        <f>(1000*CHOOSE(CONTROL!$C$42, 695, 695)*CHOOSE(CONTROL!$C$42, 0.5599, 0.5599)*CHOOSE(CONTROL!$C$42, 30, 30))/1000000</f>
        <v>11.673914999999997</v>
      </c>
      <c r="V285" s="38">
        <f>(1000*CHOOSE(CONTROL!$C$42, 500, 500)*CHOOSE(CONTROL!$C$42, 0.275, 0.275)*CHOOSE(CONTROL!$C$42, 30, 30))/1000000</f>
        <v>4.125</v>
      </c>
      <c r="W285" s="38">
        <f>(1000*CHOOSE(CONTROL!$C$42, 0.1146, 0.1146)*CHOOSE(CONTROL!$C$42, 121.5, 121.5)*CHOOSE(CONTROL!$C$42, 30, 30))/1000000</f>
        <v>0.417717</v>
      </c>
      <c r="X285" s="38">
        <f>(30*0.1790888*245000/1000000)+(30*0.2374*100000/1000000)</f>
        <v>2.0285026799999999</v>
      </c>
      <c r="Y285" s="38">
        <f>(1000*600*CHOOSE(CONTROL!$C$42, 1.6441, 1.6441)*CHOOSE(CONTROL!$C$42, 30, 30))/1000000</f>
        <v>29.593799999999995</v>
      </c>
      <c r="Z285" s="38"/>
      <c r="AA285" s="10"/>
      <c r="AB285" s="39"/>
      <c r="AC285" s="33">
        <f>(B285*194.205+C285*267.466+D285*133.845+E285*53.484+F285*40+G285*185+H285*0+I285*100+J285*300)/(194.205+267.466+133.845+53.484+0+40+185+100+300)</f>
        <v>8.468358726138149</v>
      </c>
      <c r="AD285" s="27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8.4062676258992823</v>
      </c>
    </row>
    <row r="286" spans="1:30" ht="15" x14ac:dyDescent="0.2">
      <c r="A286" s="15">
        <v>49949</v>
      </c>
      <c r="B286" s="10">
        <f>CHOOSE(CONTROL!$C$42, 8.2895, 8.2895) * CHOOSE(CONTROL!$C$21, $C$9, 100%, $E$9)</f>
        <v>8.2895000000000003</v>
      </c>
      <c r="C286" s="10">
        <f>CHOOSE(CONTROL!$C$42, 8.2948, 8.2948) * CHOOSE(CONTROL!$C$21, $C$9, 100%, $E$9)</f>
        <v>8.2948000000000004</v>
      </c>
      <c r="D286" s="10">
        <f>CHOOSE(CONTROL!$C$42, 8.4748, 8.4748) * CHOOSE(CONTROL!$C$21, $C$9, 100%, $E$9)</f>
        <v>8.4748000000000001</v>
      </c>
      <c r="E286" s="10">
        <f>CHOOSE(CONTROL!$C$42, 8.5037, 8.5037) * CHOOSE(CONTROL!$C$21, $C$9, 100%, $E$9)</f>
        <v>8.5037000000000003</v>
      </c>
      <c r="F286" s="10">
        <f>CHOOSE(CONTROL!$C$42, 8.2332, 8.2332)*CHOOSE(CONTROL!$C$21, $C$9, 100%, $E$9)</f>
        <v>8.2332000000000001</v>
      </c>
      <c r="G286" s="10">
        <f>CHOOSE(CONTROL!$C$42, 8.2498, 8.2498)*CHOOSE(CONTROL!$C$21, $C$9, 100%, $E$9)</f>
        <v>8.2498000000000005</v>
      </c>
      <c r="H286" s="10">
        <f>CHOOSE(CONTROL!$C$42, 8.4939, 8.4939) * CHOOSE(CONTROL!$C$21, $C$9, 100%, $E$9)</f>
        <v>8.4939</v>
      </c>
      <c r="I286" s="10">
        <f>CHOOSE(CONTROL!$C$42, 8.2658, 8.2658)* CHOOSE(CONTROL!$C$21, $C$9, 100%, $E$9)</f>
        <v>8.2658000000000005</v>
      </c>
      <c r="J286" s="10">
        <f>CHOOSE(CONTROL!$C$42, 8.2258, 8.2258)* CHOOSE(CONTROL!$C$21, $C$9, 100%, $E$9)</f>
        <v>8.2257999999999996</v>
      </c>
      <c r="K286" s="10">
        <f>CHOOSE(CONTROL!$C$42, 8.1652, 8.1652) * CHOOSE(CONTROL!$C$21, $C$9, 100%, $E$9)</f>
        <v>8.1652000000000005</v>
      </c>
      <c r="L286" s="10">
        <f>CHOOSE(CONTROL!$C$42, 9.0809, 9.0809) * CHOOSE(CONTROL!$C$21, $C$9, 100%, $E$9)</f>
        <v>9.0808999999999997</v>
      </c>
      <c r="M286" s="10">
        <f>CHOOSE(CONTROL!$C$42, 8.1524, 8.1524) * CHOOSE(CONTROL!$C$21, $C$9, 100%, $E$9)</f>
        <v>8.1524000000000001</v>
      </c>
      <c r="N286" s="10">
        <f>CHOOSE(CONTROL!$C$42, 8.1688, 8.1688) * CHOOSE(CONTROL!$C$21, $C$9, 100%, $E$9)</f>
        <v>8.1687999999999992</v>
      </c>
      <c r="O286" s="10">
        <f>CHOOSE(CONTROL!$C$42, 8.4169, 8.4169) * CHOOSE(CONTROL!$C$21, $C$9, 100%, $E$9)</f>
        <v>8.4169</v>
      </c>
      <c r="P286" s="10">
        <f>CHOOSE(CONTROL!$C$42, 8.1919, 8.1919) * CHOOSE(CONTROL!$C$21, $C$9, 100%, $E$9)</f>
        <v>8.1919000000000004</v>
      </c>
      <c r="Q286" s="10">
        <f>CHOOSE(CONTROL!$C$42, 9.0122, 9.0122) * CHOOSE(CONTROL!$C$21, $C$9, 100%, $E$9)</f>
        <v>9.0122</v>
      </c>
      <c r="R286" s="10">
        <f>CHOOSE(CONTROL!$C$42, 9.6218, 9.6218) * CHOOSE(CONTROL!$C$21, $C$9, 100%, $E$9)</f>
        <v>9.6218000000000004</v>
      </c>
      <c r="S286" s="10">
        <f>CHOOSE(CONTROL!$C$42, 8.043, 8.043) * CHOOSE(CONTROL!$C$21, $C$9, 100%, $E$9)</f>
        <v>8.0429999999999993</v>
      </c>
      <c r="T28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38">
        <f>(1000*CHOOSE(CONTROL!$C$42, 695, 695)*CHOOSE(CONTROL!$C$42, 0.5599, 0.5599)*CHOOSE(CONTROL!$C$42, 31, 31))/1000000</f>
        <v>12.063045499999998</v>
      </c>
      <c r="V286" s="38">
        <f>(1000*CHOOSE(CONTROL!$C$42, 500, 500)*CHOOSE(CONTROL!$C$42, 0.275, 0.275)*CHOOSE(CONTROL!$C$42, 31, 31))/1000000</f>
        <v>4.2625000000000002</v>
      </c>
      <c r="W286" s="38">
        <f>(1000*CHOOSE(CONTROL!$C$42, 0.1146, 0.1146)*CHOOSE(CONTROL!$C$42, 121.5, 121.5)*CHOOSE(CONTROL!$C$42, 31, 31))/1000000</f>
        <v>0.43164089999999994</v>
      </c>
      <c r="X286" s="38">
        <f>(31*0.1790888*245000/1000000)+(31*0.2374*100000/1000000)</f>
        <v>2.0961194359999999</v>
      </c>
      <c r="Y286" s="38">
        <f>(1000*600*CHOOSE(CONTROL!$C$42, 1.6441, 1.6441)*CHOOSE(CONTROL!$C$42, 31, 31))/1000000</f>
        <v>30.580259999999996</v>
      </c>
      <c r="Z286" s="38"/>
      <c r="AA286" s="10"/>
      <c r="AB286" s="39"/>
      <c r="AC286" s="33">
        <f>(B286*131.881+C286*277.167+D286*79.08+E286*125.872+F286*40+G286*185+H286*0+I286*100+J286*300)/(131.881+277.167+79.08+125.872+0+40+185+100+300)</f>
        <v>8.2991915185633562</v>
      </c>
      <c r="AD286" s="27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8.2360712230215825</v>
      </c>
    </row>
    <row r="287" spans="1:30" ht="15" x14ac:dyDescent="0.2">
      <c r="A287" s="15">
        <v>49980</v>
      </c>
      <c r="B287" s="10">
        <f>CHOOSE(CONTROL!$C$42, 8.5079, 8.5079) * CHOOSE(CONTROL!$C$21, $C$9, 100%, $E$9)</f>
        <v>8.5078999999999994</v>
      </c>
      <c r="C287" s="10">
        <f>CHOOSE(CONTROL!$C$42, 8.513, 8.513) * CHOOSE(CONTROL!$C$21, $C$9, 100%, $E$9)</f>
        <v>8.5129999999999999</v>
      </c>
      <c r="D287" s="10">
        <f>CHOOSE(CONTROL!$C$42, 8.5377, 8.5377) * CHOOSE(CONTROL!$C$21, $C$9, 100%, $E$9)</f>
        <v>8.5376999999999992</v>
      </c>
      <c r="E287" s="10">
        <f>CHOOSE(CONTROL!$C$42, 8.5715, 8.5715) * CHOOSE(CONTROL!$C$21, $C$9, 100%, $E$9)</f>
        <v>8.5715000000000003</v>
      </c>
      <c r="F287" s="10">
        <f>CHOOSE(CONTROL!$C$42, 8.4735, 8.4735)*CHOOSE(CONTROL!$C$21, $C$9, 100%, $E$9)</f>
        <v>8.4734999999999996</v>
      </c>
      <c r="G287" s="10">
        <f>CHOOSE(CONTROL!$C$42, 8.4903, 8.4903)*CHOOSE(CONTROL!$C$21, $C$9, 100%, $E$9)</f>
        <v>8.4902999999999995</v>
      </c>
      <c r="H287" s="10">
        <f>CHOOSE(CONTROL!$C$42, 8.5603, 8.5603) * CHOOSE(CONTROL!$C$21, $C$9, 100%, $E$9)</f>
        <v>8.5602999999999998</v>
      </c>
      <c r="I287" s="10">
        <f>CHOOSE(CONTROL!$C$42, 8.5074, 8.5074)* CHOOSE(CONTROL!$C$21, $C$9, 100%, $E$9)</f>
        <v>8.5074000000000005</v>
      </c>
      <c r="J287" s="10">
        <f>CHOOSE(CONTROL!$C$42, 8.4661, 8.4661)* CHOOSE(CONTROL!$C$21, $C$9, 100%, $E$9)</f>
        <v>8.4661000000000008</v>
      </c>
      <c r="K287" s="10">
        <f>CHOOSE(CONTROL!$C$42, 8.401, 8.401) * CHOOSE(CONTROL!$C$21, $C$9, 100%, $E$9)</f>
        <v>8.4009999999999998</v>
      </c>
      <c r="L287" s="10">
        <f>CHOOSE(CONTROL!$C$42, 9.1473, 9.1473) * CHOOSE(CONTROL!$C$21, $C$9, 100%, $E$9)</f>
        <v>9.1472999999999995</v>
      </c>
      <c r="M287" s="10">
        <f>CHOOSE(CONTROL!$C$42, 8.3896, 8.3896) * CHOOSE(CONTROL!$C$21, $C$9, 100%, $E$9)</f>
        <v>8.3895999999999997</v>
      </c>
      <c r="N287" s="10">
        <f>CHOOSE(CONTROL!$C$42, 8.4061, 8.4061) * CHOOSE(CONTROL!$C$21, $C$9, 100%, $E$9)</f>
        <v>8.4061000000000003</v>
      </c>
      <c r="O287" s="10">
        <f>CHOOSE(CONTROL!$C$42, 8.4826, 8.4826) * CHOOSE(CONTROL!$C$21, $C$9, 100%, $E$9)</f>
        <v>8.4825999999999997</v>
      </c>
      <c r="P287" s="10">
        <f>CHOOSE(CONTROL!$C$42, 8.4303, 8.4303) * CHOOSE(CONTROL!$C$21, $C$9, 100%, $E$9)</f>
        <v>8.4303000000000008</v>
      </c>
      <c r="Q287" s="10">
        <f>CHOOSE(CONTROL!$C$42, 9.0779, 9.0779) * CHOOSE(CONTROL!$C$21, $C$9, 100%, $E$9)</f>
        <v>9.0778999999999996</v>
      </c>
      <c r="R287" s="10">
        <f>CHOOSE(CONTROL!$C$42, 9.6876, 9.6876) * CHOOSE(CONTROL!$C$21, $C$9, 100%, $E$9)</f>
        <v>9.6875999999999998</v>
      </c>
      <c r="S287" s="10">
        <f>CHOOSE(CONTROL!$C$42, 8.2548, 8.2548) * CHOOSE(CONTROL!$C$21, $C$9, 100%, $E$9)</f>
        <v>8.2547999999999995</v>
      </c>
      <c r="T28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38">
        <f>(1000*CHOOSE(CONTROL!$C$42, 695, 695)*CHOOSE(CONTROL!$C$42, 0.5599, 0.5599)*CHOOSE(CONTROL!$C$42, 30, 30))/1000000</f>
        <v>11.673914999999997</v>
      </c>
      <c r="V287" s="38">
        <f>(1000*CHOOSE(CONTROL!$C$42, 500, 500)*CHOOSE(CONTROL!$C$42, 0.275, 0.275)*CHOOSE(CONTROL!$C$42, 30, 30))/1000000</f>
        <v>4.125</v>
      </c>
      <c r="W287" s="38">
        <f>(1000*CHOOSE(CONTROL!$C$42, 0.1146, 0.1146)*CHOOSE(CONTROL!$C$42, 121.5, 121.5)*CHOOSE(CONTROL!$C$42, 30, 30))/1000000</f>
        <v>0.417717</v>
      </c>
      <c r="X287" s="38">
        <f>(30*0.1790888*100000/1000000)+(30*0.2374*100000/1000000)</f>
        <v>1.2494664</v>
      </c>
      <c r="Y287" s="38">
        <f>(1000*600*CHOOSE(CONTROL!$C$42, 1.6441, 1.6441)*CHOOSE(CONTROL!$C$42, 30, 30))/1000000</f>
        <v>29.593799999999995</v>
      </c>
      <c r="Z287" s="38"/>
      <c r="AA287" s="10"/>
      <c r="AB287" s="39"/>
      <c r="AC287" s="33">
        <f>(B287*122.58+C287*297.941+D287*89.177+E287*40.302+F287*40+G287*160+H287*0+I287*100+J287*300)/(122.58+297.941+89.177+40.302+0+40+160+100+300)</f>
        <v>8.4991679833913025</v>
      </c>
      <c r="AD287" s="27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8.438556834532374</v>
      </c>
    </row>
    <row r="288" spans="1:30" ht="15" x14ac:dyDescent="0.2">
      <c r="A288" s="15">
        <v>50010</v>
      </c>
      <c r="B288" s="10">
        <f>CHOOSE(CONTROL!$C$42, 9.089, 9.089) * CHOOSE(CONTROL!$C$21, $C$9, 100%, $E$9)</f>
        <v>9.0890000000000004</v>
      </c>
      <c r="C288" s="10">
        <f>CHOOSE(CONTROL!$C$42, 9.0941, 9.0941) * CHOOSE(CONTROL!$C$21, $C$9, 100%, $E$9)</f>
        <v>9.0940999999999992</v>
      </c>
      <c r="D288" s="10">
        <f>CHOOSE(CONTROL!$C$42, 9.1188, 9.1188) * CHOOSE(CONTROL!$C$21, $C$9, 100%, $E$9)</f>
        <v>9.1188000000000002</v>
      </c>
      <c r="E288" s="10">
        <f>CHOOSE(CONTROL!$C$42, 9.1526, 9.1526) * CHOOSE(CONTROL!$C$21, $C$9, 100%, $E$9)</f>
        <v>9.1525999999999996</v>
      </c>
      <c r="F288" s="10">
        <f>CHOOSE(CONTROL!$C$42, 9.0565, 9.0565)*CHOOSE(CONTROL!$C$21, $C$9, 100%, $E$9)</f>
        <v>9.0564999999999998</v>
      </c>
      <c r="G288" s="10">
        <f>CHOOSE(CONTROL!$C$42, 9.0737, 9.0737)*CHOOSE(CONTROL!$C$21, $C$9, 100%, $E$9)</f>
        <v>9.0737000000000005</v>
      </c>
      <c r="H288" s="10">
        <f>CHOOSE(CONTROL!$C$42, 9.1415, 9.1415) * CHOOSE(CONTROL!$C$21, $C$9, 100%, $E$9)</f>
        <v>9.1415000000000006</v>
      </c>
      <c r="I288" s="10">
        <f>CHOOSE(CONTROL!$C$42, 9.0885, 9.0885)* CHOOSE(CONTROL!$C$21, $C$9, 100%, $E$9)</f>
        <v>9.0884999999999998</v>
      </c>
      <c r="J288" s="10">
        <f>CHOOSE(CONTROL!$C$42, 9.0491, 9.0491)* CHOOSE(CONTROL!$C$21, $C$9, 100%, $E$9)</f>
        <v>9.0490999999999993</v>
      </c>
      <c r="K288" s="10">
        <f>CHOOSE(CONTROL!$C$42, 8.9679, 8.9679) * CHOOSE(CONTROL!$C$21, $C$9, 100%, $E$9)</f>
        <v>8.9679000000000002</v>
      </c>
      <c r="L288" s="10">
        <f>CHOOSE(CONTROL!$C$42, 9.7285, 9.7285) * CHOOSE(CONTROL!$C$21, $C$9, 100%, $E$9)</f>
        <v>9.7285000000000004</v>
      </c>
      <c r="M288" s="10">
        <f>CHOOSE(CONTROL!$C$42, 8.965, 8.965) * CHOOSE(CONTROL!$C$21, $C$9, 100%, $E$9)</f>
        <v>8.9649999999999999</v>
      </c>
      <c r="N288" s="10">
        <f>CHOOSE(CONTROL!$C$42, 8.982, 8.982) * CHOOSE(CONTROL!$C$21, $C$9, 100%, $E$9)</f>
        <v>8.9819999999999993</v>
      </c>
      <c r="O288" s="10">
        <f>CHOOSE(CONTROL!$C$42, 9.0562, 9.0562) * CHOOSE(CONTROL!$C$21, $C$9, 100%, $E$9)</f>
        <v>9.0562000000000005</v>
      </c>
      <c r="P288" s="10">
        <f>CHOOSE(CONTROL!$C$42, 9.004, 9.004) * CHOOSE(CONTROL!$C$21, $C$9, 100%, $E$9)</f>
        <v>9.0039999999999996</v>
      </c>
      <c r="Q288" s="10">
        <f>CHOOSE(CONTROL!$C$42, 9.6515, 9.6515) * CHOOSE(CONTROL!$C$21, $C$9, 100%, $E$9)</f>
        <v>9.6515000000000004</v>
      </c>
      <c r="R288" s="10">
        <f>CHOOSE(CONTROL!$C$42, 10.2627, 10.2627) * CHOOSE(CONTROL!$C$21, $C$9, 100%, $E$9)</f>
        <v>10.262700000000001</v>
      </c>
      <c r="S288" s="10">
        <f>CHOOSE(CONTROL!$C$42, 8.8176, 8.8176) * CHOOSE(CONTROL!$C$21, $C$9, 100%, $E$9)</f>
        <v>8.8176000000000005</v>
      </c>
      <c r="T28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38">
        <f>(1000*CHOOSE(CONTROL!$C$42, 695, 695)*CHOOSE(CONTROL!$C$42, 0.5599, 0.5599)*CHOOSE(CONTROL!$C$42, 31, 31))/1000000</f>
        <v>12.063045499999998</v>
      </c>
      <c r="V288" s="38">
        <f>(1000*CHOOSE(CONTROL!$C$42, 500, 500)*CHOOSE(CONTROL!$C$42, 0.275, 0.275)*CHOOSE(CONTROL!$C$42, 31, 31))/1000000</f>
        <v>4.2625000000000002</v>
      </c>
      <c r="W288" s="38">
        <f>(1000*CHOOSE(CONTROL!$C$42, 0.1146, 0.1146)*CHOOSE(CONTROL!$C$42, 121.5, 121.5)*CHOOSE(CONTROL!$C$42, 31, 31))/1000000</f>
        <v>0.43164089999999994</v>
      </c>
      <c r="X288" s="38">
        <f>(31*0.1790888*100000/1000000)+(31*0.2374*100000/1000000)</f>
        <v>1.2911152800000001</v>
      </c>
      <c r="Y288" s="38">
        <f>(1000*600*CHOOSE(CONTROL!$C$42, 1.6441, 1.6441)*CHOOSE(CONTROL!$C$42, 31, 31))/1000000</f>
        <v>30.580259999999996</v>
      </c>
      <c r="Z288" s="38"/>
      <c r="AA288" s="10"/>
      <c r="AB288" s="39"/>
      <c r="AC288" s="33">
        <f>(B288*122.58+C288*297.941+D288*89.177+E288*40.302+F288*40+G288*160+H288*0+I288*100+J288*300)/(122.58+297.941+89.177+40.302+0+40+160+100+300)</f>
        <v>9.0811497225217384</v>
      </c>
      <c r="AD288" s="27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9.012925179856115</v>
      </c>
    </row>
    <row r="289" spans="1:30" ht="15" x14ac:dyDescent="0.2">
      <c r="A289" s="15">
        <v>50041</v>
      </c>
      <c r="B289" s="10">
        <f>CHOOSE(CONTROL!$C$42, 9.7036, 9.7036) * CHOOSE(CONTROL!$C$21, $C$9, 100%, $E$9)</f>
        <v>9.7035999999999998</v>
      </c>
      <c r="C289" s="10">
        <f>CHOOSE(CONTROL!$C$42, 9.7087, 9.7087) * CHOOSE(CONTROL!$C$21, $C$9, 100%, $E$9)</f>
        <v>9.7087000000000003</v>
      </c>
      <c r="D289" s="10">
        <f>CHOOSE(CONTROL!$C$42, 9.7437, 9.7437) * CHOOSE(CONTROL!$C$21, $C$9, 100%, $E$9)</f>
        <v>9.7437000000000005</v>
      </c>
      <c r="E289" s="10">
        <f>CHOOSE(CONTROL!$C$42, 9.7775, 9.7775) * CHOOSE(CONTROL!$C$21, $C$9, 100%, $E$9)</f>
        <v>9.7774999999999999</v>
      </c>
      <c r="F289" s="10">
        <f>CHOOSE(CONTROL!$C$42, 9.6849, 9.6849)*CHOOSE(CONTROL!$C$21, $C$9, 100%, $E$9)</f>
        <v>9.6849000000000007</v>
      </c>
      <c r="G289" s="10">
        <f>CHOOSE(CONTROL!$C$42, 9.7038, 9.7038)*CHOOSE(CONTROL!$C$21, $C$9, 100%, $E$9)</f>
        <v>9.7037999999999993</v>
      </c>
      <c r="H289" s="10">
        <f>CHOOSE(CONTROL!$C$42, 9.7664, 9.7664) * CHOOSE(CONTROL!$C$21, $C$9, 100%, $E$9)</f>
        <v>9.7664000000000009</v>
      </c>
      <c r="I289" s="10">
        <f>CHOOSE(CONTROL!$C$42, 9.7109, 9.7109)* CHOOSE(CONTROL!$C$21, $C$9, 100%, $E$9)</f>
        <v>9.7109000000000005</v>
      </c>
      <c r="J289" s="10">
        <f>CHOOSE(CONTROL!$C$42, 9.6775, 9.6775)* CHOOSE(CONTROL!$C$21, $C$9, 100%, $E$9)</f>
        <v>9.6775000000000002</v>
      </c>
      <c r="K289" s="10">
        <f>CHOOSE(CONTROL!$C$42, 9.5841, 9.5841) * CHOOSE(CONTROL!$C$21, $C$9, 100%, $E$9)</f>
        <v>9.5840999999999994</v>
      </c>
      <c r="L289" s="10">
        <f>CHOOSE(CONTROL!$C$42, 10.3534, 10.3534) * CHOOSE(CONTROL!$C$21, $C$9, 100%, $E$9)</f>
        <v>10.353400000000001</v>
      </c>
      <c r="M289" s="10">
        <f>CHOOSE(CONTROL!$C$42, 9.5853, 9.5853) * CHOOSE(CONTROL!$C$21, $C$9, 100%, $E$9)</f>
        <v>9.5853000000000002</v>
      </c>
      <c r="N289" s="10">
        <f>CHOOSE(CONTROL!$C$42, 9.6039, 9.6039) * CHOOSE(CONTROL!$C$21, $C$9, 100%, $E$9)</f>
        <v>9.6038999999999994</v>
      </c>
      <c r="O289" s="10">
        <f>CHOOSE(CONTROL!$C$42, 9.673, 9.673) * CHOOSE(CONTROL!$C$21, $C$9, 100%, $E$9)</f>
        <v>9.673</v>
      </c>
      <c r="P289" s="10">
        <f>CHOOSE(CONTROL!$C$42, 9.6182, 9.6182) * CHOOSE(CONTROL!$C$21, $C$9, 100%, $E$9)</f>
        <v>9.6181999999999999</v>
      </c>
      <c r="Q289" s="10">
        <f>CHOOSE(CONTROL!$C$42, 10.2683, 10.2683) * CHOOSE(CONTROL!$C$21, $C$9, 100%, $E$9)</f>
        <v>10.2683</v>
      </c>
      <c r="R289" s="10">
        <f>CHOOSE(CONTROL!$C$42, 10.881, 10.881) * CHOOSE(CONTROL!$C$21, $C$9, 100%, $E$9)</f>
        <v>10.881</v>
      </c>
      <c r="S289" s="10">
        <f>CHOOSE(CONTROL!$C$42, 9.4127, 9.4127) * CHOOSE(CONTROL!$C$21, $C$9, 100%, $E$9)</f>
        <v>9.4126999999999992</v>
      </c>
      <c r="T28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38">
        <f>(1000*CHOOSE(CONTROL!$C$42, 695, 695)*CHOOSE(CONTROL!$C$42, 0.5599, 0.5599)*CHOOSE(CONTROL!$C$42, 31, 31))/1000000</f>
        <v>12.063045499999998</v>
      </c>
      <c r="V289" s="38">
        <f>(1000*CHOOSE(CONTROL!$C$42, 500, 500)*CHOOSE(CONTROL!$C$42, 0.275, 0.275)*CHOOSE(CONTROL!$C$42, 31, 31))/1000000</f>
        <v>4.2625000000000002</v>
      </c>
      <c r="W289" s="38">
        <f>(1000*CHOOSE(CONTROL!$C$42, 0.1146, 0.1146)*CHOOSE(CONTROL!$C$42, 121.5, 121.5)*CHOOSE(CONTROL!$C$42, 31, 31))/1000000</f>
        <v>0.43164089999999994</v>
      </c>
      <c r="X289" s="38">
        <f>(31*0.1790888*100000/1000000)+(31*0.2374*100000/1000000)</f>
        <v>1.2911152800000001</v>
      </c>
      <c r="Y289" s="38">
        <f>(1000*600*CHOOSE(CONTROL!$C$42, 1.6406, 1.6406)*CHOOSE(CONTROL!$C$42, 31, 31))/1000000</f>
        <v>30.515160000000002</v>
      </c>
      <c r="Z289" s="38"/>
      <c r="AA289" s="10"/>
      <c r="AB289" s="39"/>
      <c r="AC289" s="33">
        <f>(B289*122.58+C289*297.941+D289*89.177+E289*40.302+F289*40+G289*160+H289*0+I289*100+J289*300)/(122.58+297.941+89.177+40.302+0+40+160+100+300)</f>
        <v>9.7038241866086956</v>
      </c>
      <c r="AD289" s="27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9.6308532374100704</v>
      </c>
    </row>
    <row r="290" spans="1:30" ht="15" x14ac:dyDescent="0.2">
      <c r="A290" s="15">
        <v>50072</v>
      </c>
      <c r="B290" s="10">
        <f>CHOOSE(CONTROL!$C$42, 9.8766, 9.8766) * CHOOSE(CONTROL!$C$21, $C$9, 100%, $E$9)</f>
        <v>9.8765999999999998</v>
      </c>
      <c r="C290" s="10">
        <f>CHOOSE(CONTROL!$C$42, 9.8817, 9.8817) * CHOOSE(CONTROL!$C$21, $C$9, 100%, $E$9)</f>
        <v>9.8817000000000004</v>
      </c>
      <c r="D290" s="10">
        <f>CHOOSE(CONTROL!$C$42, 9.9168, 9.9168) * CHOOSE(CONTROL!$C$21, $C$9, 100%, $E$9)</f>
        <v>9.9168000000000003</v>
      </c>
      <c r="E290" s="10">
        <f>CHOOSE(CONTROL!$C$42, 9.9506, 9.9506) * CHOOSE(CONTROL!$C$21, $C$9, 100%, $E$9)</f>
        <v>9.9505999999999997</v>
      </c>
      <c r="F290" s="10">
        <f>CHOOSE(CONTROL!$C$42, 9.8574, 9.8574)*CHOOSE(CONTROL!$C$21, $C$9, 100%, $E$9)</f>
        <v>9.8574000000000002</v>
      </c>
      <c r="G290" s="10">
        <f>CHOOSE(CONTROL!$C$42, 9.8761, 9.8761)*CHOOSE(CONTROL!$C$21, $C$9, 100%, $E$9)</f>
        <v>9.8760999999999992</v>
      </c>
      <c r="H290" s="10">
        <f>CHOOSE(CONTROL!$C$42, 9.9394, 9.9394) * CHOOSE(CONTROL!$C$21, $C$9, 100%, $E$9)</f>
        <v>9.9393999999999991</v>
      </c>
      <c r="I290" s="10">
        <f>CHOOSE(CONTROL!$C$42, 9.8839, 9.8839)* CHOOSE(CONTROL!$C$21, $C$9, 100%, $E$9)</f>
        <v>9.8839000000000006</v>
      </c>
      <c r="J290" s="10">
        <f>CHOOSE(CONTROL!$C$42, 9.85, 9.85)* CHOOSE(CONTROL!$C$21, $C$9, 100%, $E$9)</f>
        <v>9.85</v>
      </c>
      <c r="K290" s="10">
        <f>CHOOSE(CONTROL!$C$42, 9.7505, 9.7505) * CHOOSE(CONTROL!$C$21, $C$9, 100%, $E$9)</f>
        <v>9.7505000000000006</v>
      </c>
      <c r="L290" s="10">
        <f>CHOOSE(CONTROL!$C$42, 10.5264, 10.5264) * CHOOSE(CONTROL!$C$21, $C$9, 100%, $E$9)</f>
        <v>10.526400000000001</v>
      </c>
      <c r="M290" s="10">
        <f>CHOOSE(CONTROL!$C$42, 9.7555, 9.7555) * CHOOSE(CONTROL!$C$21, $C$9, 100%, $E$9)</f>
        <v>9.7554999999999996</v>
      </c>
      <c r="N290" s="10">
        <f>CHOOSE(CONTROL!$C$42, 9.774, 9.774) * CHOOSE(CONTROL!$C$21, $C$9, 100%, $E$9)</f>
        <v>9.7739999999999991</v>
      </c>
      <c r="O290" s="10">
        <f>CHOOSE(CONTROL!$C$42, 9.8438, 9.8438) * CHOOSE(CONTROL!$C$21, $C$9, 100%, $E$9)</f>
        <v>9.8437999999999999</v>
      </c>
      <c r="P290" s="10">
        <f>CHOOSE(CONTROL!$C$42, 9.789, 9.789) * CHOOSE(CONTROL!$C$21, $C$9, 100%, $E$9)</f>
        <v>9.7889999999999997</v>
      </c>
      <c r="Q290" s="10">
        <f>CHOOSE(CONTROL!$C$42, 10.4391, 10.4391) * CHOOSE(CONTROL!$C$21, $C$9, 100%, $E$9)</f>
        <v>10.4391</v>
      </c>
      <c r="R290" s="10">
        <f>CHOOSE(CONTROL!$C$42, 11.0522, 11.0522) * CHOOSE(CONTROL!$C$21, $C$9, 100%, $E$9)</f>
        <v>11.052199999999999</v>
      </c>
      <c r="S290" s="10">
        <f>CHOOSE(CONTROL!$C$42, 9.5802, 9.5802) * CHOOSE(CONTROL!$C$21, $C$9, 100%, $E$9)</f>
        <v>9.5801999999999996</v>
      </c>
      <c r="T29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90" s="38">
        <f>(1000*CHOOSE(CONTROL!$C$42, 695, 695)*CHOOSE(CONTROL!$C$42, 0.5599, 0.5599)*CHOOSE(CONTROL!$C$42, 28, 28))/1000000</f>
        <v>10.895653999999999</v>
      </c>
      <c r="V290" s="38">
        <f>(1000*CHOOSE(CONTROL!$C$42, 500, 500)*CHOOSE(CONTROL!$C$42, 0.275, 0.275)*CHOOSE(CONTROL!$C$42, 28, 28))/1000000</f>
        <v>3.85</v>
      </c>
      <c r="W290" s="38">
        <f>(1000*CHOOSE(CONTROL!$C$42, 0.1146, 0.1146)*CHOOSE(CONTROL!$C$42, 121.5, 121.5)*CHOOSE(CONTROL!$C$42, 28, 28))/1000000</f>
        <v>0.38986920000000003</v>
      </c>
      <c r="X290" s="38">
        <f>(28*0.1790888*100000/1000000)+(28*0.2374*100000/1000000)</f>
        <v>1.16616864</v>
      </c>
      <c r="Y290" s="38">
        <f>(1000*600*CHOOSE(CONTROL!$C$42, 1.6406, 1.6406)*CHOOSE(CONTROL!$C$42, 28, 28))/1000000</f>
        <v>27.562080000000002</v>
      </c>
      <c r="Z290" s="38"/>
      <c r="AA290" s="10"/>
      <c r="AB290" s="39"/>
      <c r="AC290" s="33">
        <f>(B290*122.58+C290*297.941+D290*89.177+E290*40.302+F290*40+G290*160+H290*0+I290*100+J290*300)/(122.58+297.941+89.177+40.302+0+40+160+100+300)</f>
        <v>9.87659022826087</v>
      </c>
      <c r="AD290" s="27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9.8014057553956828</v>
      </c>
    </row>
    <row r="291" spans="1:30" ht="15" x14ac:dyDescent="0.2">
      <c r="A291" s="15">
        <v>50100</v>
      </c>
      <c r="B291" s="10">
        <f>CHOOSE(CONTROL!$C$42, 9.5958, 9.5958) * CHOOSE(CONTROL!$C$21, $C$9, 100%, $E$9)</f>
        <v>9.5958000000000006</v>
      </c>
      <c r="C291" s="10">
        <f>CHOOSE(CONTROL!$C$42, 9.6009, 9.6009) * CHOOSE(CONTROL!$C$21, $C$9, 100%, $E$9)</f>
        <v>9.6008999999999993</v>
      </c>
      <c r="D291" s="10">
        <f>CHOOSE(CONTROL!$C$42, 9.6359, 9.6359) * CHOOSE(CONTROL!$C$21, $C$9, 100%, $E$9)</f>
        <v>9.6358999999999995</v>
      </c>
      <c r="E291" s="10">
        <f>CHOOSE(CONTROL!$C$42, 9.6697, 9.6697) * CHOOSE(CONTROL!$C$21, $C$9, 100%, $E$9)</f>
        <v>9.6697000000000006</v>
      </c>
      <c r="F291" s="10">
        <f>CHOOSE(CONTROL!$C$42, 9.5751, 9.5751)*CHOOSE(CONTROL!$C$21, $C$9, 100%, $E$9)</f>
        <v>9.5751000000000008</v>
      </c>
      <c r="G291" s="10">
        <f>CHOOSE(CONTROL!$C$42, 9.5935, 9.5935)*CHOOSE(CONTROL!$C$21, $C$9, 100%, $E$9)</f>
        <v>9.5935000000000006</v>
      </c>
      <c r="H291" s="10">
        <f>CHOOSE(CONTROL!$C$42, 9.6586, 9.6586) * CHOOSE(CONTROL!$C$21, $C$9, 100%, $E$9)</f>
        <v>9.6585999999999999</v>
      </c>
      <c r="I291" s="10">
        <f>CHOOSE(CONTROL!$C$42, 9.603, 9.603)* CHOOSE(CONTROL!$C$21, $C$9, 100%, $E$9)</f>
        <v>9.6029999999999998</v>
      </c>
      <c r="J291" s="10">
        <f>CHOOSE(CONTROL!$C$42, 9.5677, 9.5677)* CHOOSE(CONTROL!$C$21, $C$9, 100%, $E$9)</f>
        <v>9.5677000000000003</v>
      </c>
      <c r="K291" s="10">
        <f>CHOOSE(CONTROL!$C$42, 9.4754, 9.4754) * CHOOSE(CONTROL!$C$21, $C$9, 100%, $E$9)</f>
        <v>9.4754000000000005</v>
      </c>
      <c r="L291" s="10">
        <f>CHOOSE(CONTROL!$C$42, 10.2456, 10.2456) * CHOOSE(CONTROL!$C$21, $C$9, 100%, $E$9)</f>
        <v>10.2456</v>
      </c>
      <c r="M291" s="10">
        <f>CHOOSE(CONTROL!$C$42, 9.4769, 9.4769) * CHOOSE(CONTROL!$C$21, $C$9, 100%, $E$9)</f>
        <v>9.4769000000000005</v>
      </c>
      <c r="N291" s="10">
        <f>CHOOSE(CONTROL!$C$42, 9.4951, 9.4951) * CHOOSE(CONTROL!$C$21, $C$9, 100%, $E$9)</f>
        <v>9.4951000000000008</v>
      </c>
      <c r="O291" s="10">
        <f>CHOOSE(CONTROL!$C$42, 9.5666, 9.5666) * CHOOSE(CONTROL!$C$21, $C$9, 100%, $E$9)</f>
        <v>9.5665999999999993</v>
      </c>
      <c r="P291" s="10">
        <f>CHOOSE(CONTROL!$C$42, 9.5118, 9.5118) * CHOOSE(CONTROL!$C$21, $C$9, 100%, $E$9)</f>
        <v>9.5117999999999991</v>
      </c>
      <c r="Q291" s="10">
        <f>CHOOSE(CONTROL!$C$42, 10.1619, 10.1619) * CHOOSE(CONTROL!$C$21, $C$9, 100%, $E$9)</f>
        <v>10.161899999999999</v>
      </c>
      <c r="R291" s="10">
        <f>CHOOSE(CONTROL!$C$42, 10.7743, 10.7743) * CHOOSE(CONTROL!$C$21, $C$9, 100%, $E$9)</f>
        <v>10.7743</v>
      </c>
      <c r="S291" s="10">
        <f>CHOOSE(CONTROL!$C$42, 9.3082, 9.3082) * CHOOSE(CONTROL!$C$21, $C$9, 100%, $E$9)</f>
        <v>9.3081999999999994</v>
      </c>
      <c r="T29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38">
        <f>(1000*CHOOSE(CONTROL!$C$42, 695, 695)*CHOOSE(CONTROL!$C$42, 0.5599, 0.5599)*CHOOSE(CONTROL!$C$42, 31, 31))/1000000</f>
        <v>12.063045499999998</v>
      </c>
      <c r="V291" s="38">
        <f>(1000*CHOOSE(CONTROL!$C$42, 500, 500)*CHOOSE(CONTROL!$C$42, 0.275, 0.275)*CHOOSE(CONTROL!$C$42, 31, 31))/1000000</f>
        <v>4.2625000000000002</v>
      </c>
      <c r="W291" s="38">
        <f>(1000*CHOOSE(CONTROL!$C$42, 0.1146, 0.1146)*CHOOSE(CONTROL!$C$42, 121.5, 121.5)*CHOOSE(CONTROL!$C$42, 31, 31))/1000000</f>
        <v>0.43164089999999994</v>
      </c>
      <c r="X291" s="38">
        <f>(31*0.1790888*100000/1000000)+(31*0.2374*100000/1000000)</f>
        <v>1.2911152800000001</v>
      </c>
      <c r="Y291" s="38">
        <f>(1000*600*CHOOSE(CONTROL!$C$42, 1.6406, 1.6406)*CHOOSE(CONTROL!$C$42, 31, 31))/1000000</f>
        <v>30.515160000000002</v>
      </c>
      <c r="Z291" s="38"/>
      <c r="AA291" s="10"/>
      <c r="AB291" s="39"/>
      <c r="AC291" s="33">
        <f>(B291*122.58+C291*297.941+D291*89.177+E291*40.302+F291*40+G291*160+H291*0+I291*100+J291*300)/(122.58+297.941+89.177+40.302+0+40+160+100+300)</f>
        <v>9.5950763605217393</v>
      </c>
      <c r="AD291" s="27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9.5236244604316553</v>
      </c>
    </row>
    <row r="292" spans="1:30" ht="15" x14ac:dyDescent="0.2">
      <c r="A292" s="15">
        <v>50131</v>
      </c>
      <c r="B292" s="10">
        <f>CHOOSE(CONTROL!$C$42, 9.5678, 9.5678) * CHOOSE(CONTROL!$C$21, $C$9, 100%, $E$9)</f>
        <v>9.5678000000000001</v>
      </c>
      <c r="C292" s="10">
        <f>CHOOSE(CONTROL!$C$42, 9.5723, 9.5723) * CHOOSE(CONTROL!$C$21, $C$9, 100%, $E$9)</f>
        <v>9.5723000000000003</v>
      </c>
      <c r="D292" s="10">
        <f>CHOOSE(CONTROL!$C$42, 9.7505, 9.7505) * CHOOSE(CONTROL!$C$21, $C$9, 100%, $E$9)</f>
        <v>9.7505000000000006</v>
      </c>
      <c r="E292" s="10">
        <f>CHOOSE(CONTROL!$C$42, 9.7823, 9.7823) * CHOOSE(CONTROL!$C$21, $C$9, 100%, $E$9)</f>
        <v>9.7822999999999993</v>
      </c>
      <c r="F292" s="10">
        <f>CHOOSE(CONTROL!$C$42, 9.5112, 9.5112)*CHOOSE(CONTROL!$C$21, $C$9, 100%, $E$9)</f>
        <v>9.5112000000000005</v>
      </c>
      <c r="G292" s="10">
        <f>CHOOSE(CONTROL!$C$42, 9.5278, 9.5278)*CHOOSE(CONTROL!$C$21, $C$9, 100%, $E$9)</f>
        <v>9.5277999999999992</v>
      </c>
      <c r="H292" s="10">
        <f>CHOOSE(CONTROL!$C$42, 9.7718, 9.7718) * CHOOSE(CONTROL!$C$21, $C$9, 100%, $E$9)</f>
        <v>9.7718000000000007</v>
      </c>
      <c r="I292" s="10">
        <f>CHOOSE(CONTROL!$C$42, 9.5438, 9.5438)* CHOOSE(CONTROL!$C$21, $C$9, 100%, $E$9)</f>
        <v>9.5437999999999992</v>
      </c>
      <c r="J292" s="10">
        <f>CHOOSE(CONTROL!$C$42, 9.5038, 9.5038)* CHOOSE(CONTROL!$C$21, $C$9, 100%, $E$9)</f>
        <v>9.5038</v>
      </c>
      <c r="K292" s="10">
        <f>CHOOSE(CONTROL!$C$42, 9.4033, 9.4033) * CHOOSE(CONTROL!$C$21, $C$9, 100%, $E$9)</f>
        <v>9.4032999999999998</v>
      </c>
      <c r="L292" s="10">
        <f>CHOOSE(CONTROL!$C$42, 10.3588, 10.3588) * CHOOSE(CONTROL!$C$21, $C$9, 100%, $E$9)</f>
        <v>10.3588</v>
      </c>
      <c r="M292" s="10">
        <f>CHOOSE(CONTROL!$C$42, 9.4138, 9.4138) * CHOOSE(CONTROL!$C$21, $C$9, 100%, $E$9)</f>
        <v>9.4138000000000002</v>
      </c>
      <c r="N292" s="10">
        <f>CHOOSE(CONTROL!$C$42, 9.4302, 9.4302) * CHOOSE(CONTROL!$C$21, $C$9, 100%, $E$9)</f>
        <v>9.4301999999999992</v>
      </c>
      <c r="O292" s="10">
        <f>CHOOSE(CONTROL!$C$42, 9.6783, 9.6783) * CHOOSE(CONTROL!$C$21, $C$9, 100%, $E$9)</f>
        <v>9.6783000000000001</v>
      </c>
      <c r="P292" s="10">
        <f>CHOOSE(CONTROL!$C$42, 9.4533, 9.4533) * CHOOSE(CONTROL!$C$21, $C$9, 100%, $E$9)</f>
        <v>9.4533000000000005</v>
      </c>
      <c r="Q292" s="10">
        <f>CHOOSE(CONTROL!$C$42, 10.2736, 10.2736) * CHOOSE(CONTROL!$C$21, $C$9, 100%, $E$9)</f>
        <v>10.2736</v>
      </c>
      <c r="R292" s="10">
        <f>CHOOSE(CONTROL!$C$42, 10.8863, 10.8863) * CHOOSE(CONTROL!$C$21, $C$9, 100%, $E$9)</f>
        <v>10.8863</v>
      </c>
      <c r="S292" s="10">
        <f>CHOOSE(CONTROL!$C$42, 9.2804, 9.2804) * CHOOSE(CONTROL!$C$21, $C$9, 100%, $E$9)</f>
        <v>9.2804000000000002</v>
      </c>
      <c r="T29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38">
        <f>(1000*CHOOSE(CONTROL!$C$42, 695, 695)*CHOOSE(CONTROL!$C$42, 0.5599, 0.5599)*CHOOSE(CONTROL!$C$42, 30, 30))/1000000</f>
        <v>11.673914999999997</v>
      </c>
      <c r="V292" s="38">
        <f>(1000*CHOOSE(CONTROL!$C$42, 500, 500)*CHOOSE(CONTROL!$C$42, 0.275, 0.275)*CHOOSE(CONTROL!$C$42, 30, 30))/1000000</f>
        <v>4.125</v>
      </c>
      <c r="W292" s="38">
        <f>(1000*CHOOSE(CONTROL!$C$42, 0.1146, 0.1146)*CHOOSE(CONTROL!$C$42, 121.5, 121.5)*CHOOSE(CONTROL!$C$42, 30, 30))/1000000</f>
        <v>0.417717</v>
      </c>
      <c r="X292" s="38">
        <f>(30*0.1790888*245000/1000000)+(30*0.2374*100000/1000000)</f>
        <v>2.0285026799999999</v>
      </c>
      <c r="Y292" s="38">
        <f>(1000*600*CHOOSE(CONTROL!$C$42, 1.6406, 1.6406)*CHOOSE(CONTROL!$C$42, 30, 30))/1000000</f>
        <v>29.530799999999999</v>
      </c>
      <c r="Z292" s="38"/>
      <c r="AA292" s="10"/>
      <c r="AB292" s="39"/>
      <c r="AC292" s="33">
        <f>(B292*141.293+C292*267.993+D292*115.016+E292*89.698+F292*40+G292*185+H292*0+I292*100+J292*300)/(141.293+267.993+115.016+89.698+0+40+185+100+300)</f>
        <v>9.5760289045197737</v>
      </c>
      <c r="AD292" s="27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9.4974712230215825</v>
      </c>
    </row>
    <row r="293" spans="1:30" ht="15" x14ac:dyDescent="0.2">
      <c r="A293" s="15">
        <v>50161</v>
      </c>
      <c r="B293" s="10">
        <f>CHOOSE(CONTROL!$C$42, 9.6541, 9.6541) * CHOOSE(CONTROL!$C$21, $C$9, 100%, $E$9)</f>
        <v>9.6540999999999997</v>
      </c>
      <c r="C293" s="10">
        <f>CHOOSE(CONTROL!$C$42, 9.6621, 9.6621) * CHOOSE(CONTROL!$C$21, $C$9, 100%, $E$9)</f>
        <v>9.6621000000000006</v>
      </c>
      <c r="D293" s="10">
        <f>CHOOSE(CONTROL!$C$42, 9.8372, 9.8372) * CHOOSE(CONTROL!$C$21, $C$9, 100%, $E$9)</f>
        <v>9.8371999999999993</v>
      </c>
      <c r="E293" s="10">
        <f>CHOOSE(CONTROL!$C$42, 9.8684, 9.8684) * CHOOSE(CONTROL!$C$21, $C$9, 100%, $E$9)</f>
        <v>9.8683999999999994</v>
      </c>
      <c r="F293" s="10">
        <f>CHOOSE(CONTROL!$C$42, 9.5958, 9.5958)*CHOOSE(CONTROL!$C$21, $C$9, 100%, $E$9)</f>
        <v>9.5958000000000006</v>
      </c>
      <c r="G293" s="10">
        <f>CHOOSE(CONTROL!$C$42, 9.6127, 9.6127)*CHOOSE(CONTROL!$C$21, $C$9, 100%, $E$9)</f>
        <v>9.6127000000000002</v>
      </c>
      <c r="H293" s="10">
        <f>CHOOSE(CONTROL!$C$42, 9.8568, 9.8568) * CHOOSE(CONTROL!$C$21, $C$9, 100%, $E$9)</f>
        <v>9.8567999999999998</v>
      </c>
      <c r="I293" s="10">
        <f>CHOOSE(CONTROL!$C$42, 9.6287, 9.6287)* CHOOSE(CONTROL!$C$21, $C$9, 100%, $E$9)</f>
        <v>9.6287000000000003</v>
      </c>
      <c r="J293" s="10">
        <f>CHOOSE(CONTROL!$C$42, 9.5884, 9.5884)* CHOOSE(CONTROL!$C$21, $C$9, 100%, $E$9)</f>
        <v>9.5884</v>
      </c>
      <c r="K293" s="10">
        <f>CHOOSE(CONTROL!$C$42, 9.4848, 9.4848) * CHOOSE(CONTROL!$C$21, $C$9, 100%, $E$9)</f>
        <v>9.4847999999999999</v>
      </c>
      <c r="L293" s="10">
        <f>CHOOSE(CONTROL!$C$42, 10.4438, 10.4438) * CHOOSE(CONTROL!$C$21, $C$9, 100%, $E$9)</f>
        <v>10.4438</v>
      </c>
      <c r="M293" s="10">
        <f>CHOOSE(CONTROL!$C$42, 9.4973, 9.4973) * CHOOSE(CONTROL!$C$21, $C$9, 100%, $E$9)</f>
        <v>9.4972999999999992</v>
      </c>
      <c r="N293" s="10">
        <f>CHOOSE(CONTROL!$C$42, 9.514, 9.514) * CHOOSE(CONTROL!$C$21, $C$9, 100%, $E$9)</f>
        <v>9.5139999999999993</v>
      </c>
      <c r="O293" s="10">
        <f>CHOOSE(CONTROL!$C$42, 9.7622, 9.7622) * CHOOSE(CONTROL!$C$21, $C$9, 100%, $E$9)</f>
        <v>9.7622</v>
      </c>
      <c r="P293" s="10">
        <f>CHOOSE(CONTROL!$C$42, 9.5372, 9.5372) * CHOOSE(CONTROL!$C$21, $C$9, 100%, $E$9)</f>
        <v>9.5372000000000003</v>
      </c>
      <c r="Q293" s="10">
        <f>CHOOSE(CONTROL!$C$42, 10.3575, 10.3575) * CHOOSE(CONTROL!$C$21, $C$9, 100%, $E$9)</f>
        <v>10.3575</v>
      </c>
      <c r="R293" s="10">
        <f>CHOOSE(CONTROL!$C$42, 10.9704, 10.9704) * CHOOSE(CONTROL!$C$21, $C$9, 100%, $E$9)</f>
        <v>10.9704</v>
      </c>
      <c r="S293" s="10">
        <f>CHOOSE(CONTROL!$C$42, 9.3627, 9.3627) * CHOOSE(CONTROL!$C$21, $C$9, 100%, $E$9)</f>
        <v>9.3627000000000002</v>
      </c>
      <c r="T29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38">
        <f>(1000*CHOOSE(CONTROL!$C$42, 695, 695)*CHOOSE(CONTROL!$C$42, 0.5599, 0.5599)*CHOOSE(CONTROL!$C$42, 31, 31))/1000000</f>
        <v>12.063045499999998</v>
      </c>
      <c r="V293" s="38">
        <f>(1000*CHOOSE(CONTROL!$C$42, 500, 500)*CHOOSE(CONTROL!$C$42, 0.275, 0.275)*CHOOSE(CONTROL!$C$42, 31, 31))/1000000</f>
        <v>4.2625000000000002</v>
      </c>
      <c r="W293" s="38">
        <f>(1000*CHOOSE(CONTROL!$C$42, 0.1146, 0.1146)*CHOOSE(CONTROL!$C$42, 121.5, 121.5)*CHOOSE(CONTROL!$C$42, 31, 31))/1000000</f>
        <v>0.43164089999999994</v>
      </c>
      <c r="X293" s="38">
        <f>(31*0.1790888*245000/1000000)+(31*0.2374*100000/1000000)</f>
        <v>2.0961194359999999</v>
      </c>
      <c r="Y293" s="38">
        <f>(1000*600*CHOOSE(CONTROL!$C$42, 1.6406, 1.6406)*CHOOSE(CONTROL!$C$42, 31, 31))/1000000</f>
        <v>30.515160000000002</v>
      </c>
      <c r="Z293" s="38"/>
      <c r="AA293" s="10"/>
      <c r="AB293" s="39"/>
      <c r="AC293" s="33">
        <f>(B293*194.205+C293*267.466+D293*133.845+E293*53.484+F293*40+G293*185+H293*0+I293*100+J293*300)/(194.205+267.466+133.845+53.484+0+40+185+100+300)</f>
        <v>9.6587054699372068</v>
      </c>
      <c r="AD293" s="27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9.5812100719424453</v>
      </c>
    </row>
    <row r="294" spans="1:30" ht="15" x14ac:dyDescent="0.2">
      <c r="A294" s="15">
        <v>50192</v>
      </c>
      <c r="B294" s="10">
        <f>CHOOSE(CONTROL!$C$42, 9.9283, 9.9283) * CHOOSE(CONTROL!$C$21, $C$9, 100%, $E$9)</f>
        <v>9.9283000000000001</v>
      </c>
      <c r="C294" s="10">
        <f>CHOOSE(CONTROL!$C$42, 9.9363, 9.9363) * CHOOSE(CONTROL!$C$21, $C$9, 100%, $E$9)</f>
        <v>9.9362999999999992</v>
      </c>
      <c r="D294" s="10">
        <f>CHOOSE(CONTROL!$C$42, 10.1115, 10.1115) * CHOOSE(CONTROL!$C$21, $C$9, 100%, $E$9)</f>
        <v>10.111499999999999</v>
      </c>
      <c r="E294" s="10">
        <f>CHOOSE(CONTROL!$C$42, 10.1427, 10.1427) * CHOOSE(CONTROL!$C$21, $C$9, 100%, $E$9)</f>
        <v>10.1427</v>
      </c>
      <c r="F294" s="10">
        <f>CHOOSE(CONTROL!$C$42, 9.8702, 9.8702)*CHOOSE(CONTROL!$C$21, $C$9, 100%, $E$9)</f>
        <v>9.8702000000000005</v>
      </c>
      <c r="G294" s="10">
        <f>CHOOSE(CONTROL!$C$42, 9.8872, 9.8872)*CHOOSE(CONTROL!$C$21, $C$9, 100%, $E$9)</f>
        <v>9.8872</v>
      </c>
      <c r="H294" s="10">
        <f>CHOOSE(CONTROL!$C$42, 10.131, 10.131) * CHOOSE(CONTROL!$C$21, $C$9, 100%, $E$9)</f>
        <v>10.131</v>
      </c>
      <c r="I294" s="10">
        <f>CHOOSE(CONTROL!$C$42, 9.903, 9.903)* CHOOSE(CONTROL!$C$21, $C$9, 100%, $E$9)</f>
        <v>9.9030000000000005</v>
      </c>
      <c r="J294" s="10">
        <f>CHOOSE(CONTROL!$C$42, 9.8628, 9.8628)* CHOOSE(CONTROL!$C$21, $C$9, 100%, $E$9)</f>
        <v>9.8628</v>
      </c>
      <c r="K294" s="10">
        <f>CHOOSE(CONTROL!$C$42, 9.7509, 9.7509) * CHOOSE(CONTROL!$C$21, $C$9, 100%, $E$9)</f>
        <v>9.7508999999999997</v>
      </c>
      <c r="L294" s="10">
        <f>CHOOSE(CONTROL!$C$42, 10.718, 10.718) * CHOOSE(CONTROL!$C$21, $C$9, 100%, $E$9)</f>
        <v>10.718</v>
      </c>
      <c r="M294" s="10">
        <f>CHOOSE(CONTROL!$C$42, 9.7682, 9.7682) * CHOOSE(CONTROL!$C$21, $C$9, 100%, $E$9)</f>
        <v>9.7682000000000002</v>
      </c>
      <c r="N294" s="10">
        <f>CHOOSE(CONTROL!$C$42, 9.7849, 9.7849) * CHOOSE(CONTROL!$C$21, $C$9, 100%, $E$9)</f>
        <v>9.7849000000000004</v>
      </c>
      <c r="O294" s="10">
        <f>CHOOSE(CONTROL!$C$42, 10.0329, 10.0329) * CHOOSE(CONTROL!$C$21, $C$9, 100%, $E$9)</f>
        <v>10.0329</v>
      </c>
      <c r="P294" s="10">
        <f>CHOOSE(CONTROL!$C$42, 9.8079, 9.8079) * CHOOSE(CONTROL!$C$21, $C$9, 100%, $E$9)</f>
        <v>9.8079000000000001</v>
      </c>
      <c r="Q294" s="10">
        <f>CHOOSE(CONTROL!$C$42, 10.6282, 10.6282) * CHOOSE(CONTROL!$C$21, $C$9, 100%, $E$9)</f>
        <v>10.6282</v>
      </c>
      <c r="R294" s="10">
        <f>CHOOSE(CONTROL!$C$42, 11.2418, 11.2418) * CHOOSE(CONTROL!$C$21, $C$9, 100%, $E$9)</f>
        <v>11.2418</v>
      </c>
      <c r="S294" s="10">
        <f>CHOOSE(CONTROL!$C$42, 9.6282, 9.6282) * CHOOSE(CONTROL!$C$21, $C$9, 100%, $E$9)</f>
        <v>9.6281999999999996</v>
      </c>
      <c r="T29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38">
        <f>(1000*CHOOSE(CONTROL!$C$42, 695, 695)*CHOOSE(CONTROL!$C$42, 0.5599, 0.5599)*CHOOSE(CONTROL!$C$42, 30, 30))/1000000</f>
        <v>11.673914999999997</v>
      </c>
      <c r="V294" s="38">
        <f>(1000*CHOOSE(CONTROL!$C$42, 500, 500)*CHOOSE(CONTROL!$C$42, 0.275, 0.275)*CHOOSE(CONTROL!$C$42, 30, 30))/1000000</f>
        <v>4.125</v>
      </c>
      <c r="W294" s="38">
        <f>(1000*CHOOSE(CONTROL!$C$42, 0.1146, 0.1146)*CHOOSE(CONTROL!$C$42, 121.5, 121.5)*CHOOSE(CONTROL!$C$42, 30, 30))/1000000</f>
        <v>0.417717</v>
      </c>
      <c r="X294" s="38">
        <f>(30*0.1790888*245000/1000000)+(30*0.2374*100000/1000000)</f>
        <v>2.0285026799999999</v>
      </c>
      <c r="Y294" s="38">
        <f>(1000*600*CHOOSE(CONTROL!$C$42, 1.6406, 1.6406)*CHOOSE(CONTROL!$C$42, 30, 30))/1000000</f>
        <v>29.530799999999999</v>
      </c>
      <c r="Z294" s="38"/>
      <c r="AA294" s="10"/>
      <c r="AB294" s="39"/>
      <c r="AC294" s="33">
        <f>(B294*194.205+C294*267.466+D294*133.845+E294*53.484+F294*40+G294*185+H294*0+I294*100+J294*300)/(194.205+267.466+133.845+53.484+0+40+185+100+300)</f>
        <v>9.9330249620094193</v>
      </c>
      <c r="AD294" s="27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9.8520251798561151</v>
      </c>
    </row>
    <row r="295" spans="1:30" ht="15" x14ac:dyDescent="0.2">
      <c r="A295" s="15">
        <v>50222</v>
      </c>
      <c r="B295" s="10">
        <f>CHOOSE(CONTROL!$C$42, 9.7376, 9.7376) * CHOOSE(CONTROL!$C$21, $C$9, 100%, $E$9)</f>
        <v>9.7376000000000005</v>
      </c>
      <c r="C295" s="10">
        <f>CHOOSE(CONTROL!$C$42, 9.7456, 9.7456) * CHOOSE(CONTROL!$C$21, $C$9, 100%, $E$9)</f>
        <v>9.7455999999999996</v>
      </c>
      <c r="D295" s="10">
        <f>CHOOSE(CONTROL!$C$42, 9.9207, 9.9207) * CHOOSE(CONTROL!$C$21, $C$9, 100%, $E$9)</f>
        <v>9.9207000000000001</v>
      </c>
      <c r="E295" s="10">
        <f>CHOOSE(CONTROL!$C$42, 9.9519, 9.9519) * CHOOSE(CONTROL!$C$21, $C$9, 100%, $E$9)</f>
        <v>9.9519000000000002</v>
      </c>
      <c r="F295" s="10">
        <f>CHOOSE(CONTROL!$C$42, 9.6798, 9.6798)*CHOOSE(CONTROL!$C$21, $C$9, 100%, $E$9)</f>
        <v>9.6798000000000002</v>
      </c>
      <c r="G295" s="10">
        <f>CHOOSE(CONTROL!$C$42, 9.6969, 9.6969)*CHOOSE(CONTROL!$C$21, $C$9, 100%, $E$9)</f>
        <v>9.6968999999999994</v>
      </c>
      <c r="H295" s="10">
        <f>CHOOSE(CONTROL!$C$42, 9.9403, 9.9403) * CHOOSE(CONTROL!$C$21, $C$9, 100%, $E$9)</f>
        <v>9.9403000000000006</v>
      </c>
      <c r="I295" s="10">
        <f>CHOOSE(CONTROL!$C$42, 9.7123, 9.7123)* CHOOSE(CONTROL!$C$21, $C$9, 100%, $E$9)</f>
        <v>9.7123000000000008</v>
      </c>
      <c r="J295" s="10">
        <f>CHOOSE(CONTROL!$C$42, 9.6724, 9.6724)* CHOOSE(CONTROL!$C$21, $C$9, 100%, $E$9)</f>
        <v>9.6723999999999997</v>
      </c>
      <c r="K295" s="10">
        <f>CHOOSE(CONTROL!$C$42, 9.5668, 9.5668) * CHOOSE(CONTROL!$C$21, $C$9, 100%, $E$9)</f>
        <v>9.5668000000000006</v>
      </c>
      <c r="L295" s="10">
        <f>CHOOSE(CONTROL!$C$42, 10.5273, 10.5273) * CHOOSE(CONTROL!$C$21, $C$9, 100%, $E$9)</f>
        <v>10.5273</v>
      </c>
      <c r="M295" s="10">
        <f>CHOOSE(CONTROL!$C$42, 9.5803, 9.5803) * CHOOSE(CONTROL!$C$21, $C$9, 100%, $E$9)</f>
        <v>9.5802999999999994</v>
      </c>
      <c r="N295" s="10">
        <f>CHOOSE(CONTROL!$C$42, 9.5971, 9.5971) * CHOOSE(CONTROL!$C$21, $C$9, 100%, $E$9)</f>
        <v>9.5970999999999993</v>
      </c>
      <c r="O295" s="10">
        <f>CHOOSE(CONTROL!$C$42, 9.8446, 9.8446) * CHOOSE(CONTROL!$C$21, $C$9, 100%, $E$9)</f>
        <v>9.8445999999999998</v>
      </c>
      <c r="P295" s="10">
        <f>CHOOSE(CONTROL!$C$42, 9.6196, 9.6196) * CHOOSE(CONTROL!$C$21, $C$9, 100%, $E$9)</f>
        <v>9.6196000000000002</v>
      </c>
      <c r="Q295" s="10">
        <f>CHOOSE(CONTROL!$C$42, 10.4399, 10.4399) * CHOOSE(CONTROL!$C$21, $C$9, 100%, $E$9)</f>
        <v>10.4399</v>
      </c>
      <c r="R295" s="10">
        <f>CHOOSE(CONTROL!$C$42, 11.053, 11.053) * CHOOSE(CONTROL!$C$21, $C$9, 100%, $E$9)</f>
        <v>11.053000000000001</v>
      </c>
      <c r="S295" s="10">
        <f>CHOOSE(CONTROL!$C$42, 9.4435, 9.4435) * CHOOSE(CONTROL!$C$21, $C$9, 100%, $E$9)</f>
        <v>9.4435000000000002</v>
      </c>
      <c r="T29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38">
        <f>(1000*CHOOSE(CONTROL!$C$42, 695, 695)*CHOOSE(CONTROL!$C$42, 0.5599, 0.5599)*CHOOSE(CONTROL!$C$42, 31, 31))/1000000</f>
        <v>12.063045499999998</v>
      </c>
      <c r="V295" s="38">
        <f>(1000*CHOOSE(CONTROL!$C$42, 500, 500)*CHOOSE(CONTROL!$C$42, 0.275, 0.275)*CHOOSE(CONTROL!$C$42, 31, 31))/1000000</f>
        <v>4.2625000000000002</v>
      </c>
      <c r="W295" s="38">
        <f>(1000*CHOOSE(CONTROL!$C$42, 0.1146, 0.1146)*CHOOSE(CONTROL!$C$42, 121.5, 121.5)*CHOOSE(CONTROL!$C$42, 31, 31))/1000000</f>
        <v>0.43164089999999994</v>
      </c>
      <c r="X295" s="38">
        <f>(31*0.1790888*245000/1000000)+(31*0.2374*100000/1000000)</f>
        <v>2.0961194359999999</v>
      </c>
      <c r="Y295" s="38">
        <f>(1000*600*CHOOSE(CONTROL!$C$42, 1.6406, 1.6406)*CHOOSE(CONTROL!$C$42, 31, 31))/1000000</f>
        <v>30.515160000000002</v>
      </c>
      <c r="Z295" s="38"/>
      <c r="AA295" s="10"/>
      <c r="AB295" s="39"/>
      <c r="AC295" s="33">
        <f>(B295*194.205+C295*267.466+D295*133.845+E295*53.484+F295*40+G295*185+H295*0+I295*100+J295*300)/(194.205+267.466+133.845+53.484+0+40+185+100+300)</f>
        <v>9.742448405572997</v>
      </c>
      <c r="AD295" s="27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9.663978417266188</v>
      </c>
    </row>
    <row r="296" spans="1:30" ht="15" x14ac:dyDescent="0.2">
      <c r="A296" s="15">
        <v>50253</v>
      </c>
      <c r="B296" s="10">
        <f>CHOOSE(CONTROL!$C$42, 9.2559, 9.2559) * CHOOSE(CONTROL!$C$21, $C$9, 100%, $E$9)</f>
        <v>9.2559000000000005</v>
      </c>
      <c r="C296" s="10">
        <f>CHOOSE(CONTROL!$C$42, 9.2639, 9.2639) * CHOOSE(CONTROL!$C$21, $C$9, 100%, $E$9)</f>
        <v>9.2638999999999996</v>
      </c>
      <c r="D296" s="10">
        <f>CHOOSE(CONTROL!$C$42, 9.439, 9.439) * CHOOSE(CONTROL!$C$21, $C$9, 100%, $E$9)</f>
        <v>9.4390000000000001</v>
      </c>
      <c r="E296" s="10">
        <f>CHOOSE(CONTROL!$C$42, 9.4703, 9.4703) * CHOOSE(CONTROL!$C$21, $C$9, 100%, $E$9)</f>
        <v>9.4702999999999999</v>
      </c>
      <c r="F296" s="10">
        <f>CHOOSE(CONTROL!$C$42, 9.198, 9.198)*CHOOSE(CONTROL!$C$21, $C$9, 100%, $E$9)</f>
        <v>9.1980000000000004</v>
      </c>
      <c r="G296" s="10">
        <f>CHOOSE(CONTROL!$C$42, 9.215, 9.215)*CHOOSE(CONTROL!$C$21, $C$9, 100%, $E$9)</f>
        <v>9.2149999999999999</v>
      </c>
      <c r="H296" s="10">
        <f>CHOOSE(CONTROL!$C$42, 9.4586, 9.4586) * CHOOSE(CONTROL!$C$21, $C$9, 100%, $E$9)</f>
        <v>9.4586000000000006</v>
      </c>
      <c r="I296" s="10">
        <f>CHOOSE(CONTROL!$C$42, 9.2306, 9.2306)* CHOOSE(CONTROL!$C$21, $C$9, 100%, $E$9)</f>
        <v>9.2306000000000008</v>
      </c>
      <c r="J296" s="10">
        <f>CHOOSE(CONTROL!$C$42, 9.1906, 9.1906)* CHOOSE(CONTROL!$C$21, $C$9, 100%, $E$9)</f>
        <v>9.1905999999999999</v>
      </c>
      <c r="K296" s="10">
        <f>CHOOSE(CONTROL!$C$42, 9.1, 9.1) * CHOOSE(CONTROL!$C$21, $C$9, 100%, $E$9)</f>
        <v>9.1</v>
      </c>
      <c r="L296" s="10">
        <f>CHOOSE(CONTROL!$C$42, 10.0456, 10.0456) * CHOOSE(CONTROL!$C$21, $C$9, 100%, $E$9)</f>
        <v>10.0456</v>
      </c>
      <c r="M296" s="10">
        <f>CHOOSE(CONTROL!$C$42, 9.1047, 9.1047) * CHOOSE(CONTROL!$C$21, $C$9, 100%, $E$9)</f>
        <v>9.1046999999999993</v>
      </c>
      <c r="N296" s="10">
        <f>CHOOSE(CONTROL!$C$42, 9.1215, 9.1215) * CHOOSE(CONTROL!$C$21, $C$9, 100%, $E$9)</f>
        <v>9.1214999999999993</v>
      </c>
      <c r="O296" s="10">
        <f>CHOOSE(CONTROL!$C$42, 9.3692, 9.3692) * CHOOSE(CONTROL!$C$21, $C$9, 100%, $E$9)</f>
        <v>9.3691999999999993</v>
      </c>
      <c r="P296" s="10">
        <f>CHOOSE(CONTROL!$C$42, 9.1442, 9.1442) * CHOOSE(CONTROL!$C$21, $C$9, 100%, $E$9)</f>
        <v>9.1441999999999997</v>
      </c>
      <c r="Q296" s="10">
        <f>CHOOSE(CONTROL!$C$42, 9.9645, 9.9645) * CHOOSE(CONTROL!$C$21, $C$9, 100%, $E$9)</f>
        <v>9.9644999999999992</v>
      </c>
      <c r="R296" s="10">
        <f>CHOOSE(CONTROL!$C$42, 10.5764, 10.5764) * CHOOSE(CONTROL!$C$21, $C$9, 100%, $E$9)</f>
        <v>10.5764</v>
      </c>
      <c r="S296" s="10">
        <f>CHOOSE(CONTROL!$C$42, 8.9771, 8.9771) * CHOOSE(CONTROL!$C$21, $C$9, 100%, $E$9)</f>
        <v>8.9771000000000001</v>
      </c>
      <c r="T29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38">
        <f>(1000*CHOOSE(CONTROL!$C$42, 695, 695)*CHOOSE(CONTROL!$C$42, 0.5599, 0.5599)*CHOOSE(CONTROL!$C$42, 31, 31))/1000000</f>
        <v>12.063045499999998</v>
      </c>
      <c r="V296" s="38">
        <f>(1000*CHOOSE(CONTROL!$C$42, 500, 500)*CHOOSE(CONTROL!$C$42, 0.275, 0.275)*CHOOSE(CONTROL!$C$42, 31, 31))/1000000</f>
        <v>4.2625000000000002</v>
      </c>
      <c r="W296" s="38">
        <f>(1000*CHOOSE(CONTROL!$C$42, 0.1146, 0.1146)*CHOOSE(CONTROL!$C$42, 121.5, 121.5)*CHOOSE(CONTROL!$C$42, 31, 31))/1000000</f>
        <v>0.43164089999999994</v>
      </c>
      <c r="X296" s="38">
        <f>(31*0.1790888*245000/1000000)+(31*0.2374*100000/1000000)</f>
        <v>2.0961194359999999</v>
      </c>
      <c r="Y296" s="38">
        <f>(1000*600*CHOOSE(CONTROL!$C$42, 1.6406, 1.6406)*CHOOSE(CONTROL!$C$42, 31, 31))/1000000</f>
        <v>30.515160000000002</v>
      </c>
      <c r="Z296" s="38"/>
      <c r="AA296" s="10"/>
      <c r="AB296" s="39"/>
      <c r="AC296" s="33">
        <f>(B296*194.205+C296*267.466+D296*133.845+E296*53.484+F296*40+G296*185+H296*0+I296*100+J296*300)/(194.205+267.466+133.845+53.484+0+40+185+100+300)</f>
        <v>9.2606968737048678</v>
      </c>
      <c r="AD296" s="27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9.1884633093525174</v>
      </c>
    </row>
    <row r="297" spans="1:30" ht="15" x14ac:dyDescent="0.2">
      <c r="A297" s="15">
        <v>50284</v>
      </c>
      <c r="B297" s="10">
        <f>CHOOSE(CONTROL!$C$42, 8.6674, 8.6674) * CHOOSE(CONTROL!$C$21, $C$9, 100%, $E$9)</f>
        <v>8.6674000000000007</v>
      </c>
      <c r="C297" s="10">
        <f>CHOOSE(CONTROL!$C$42, 8.6754, 8.6754) * CHOOSE(CONTROL!$C$21, $C$9, 100%, $E$9)</f>
        <v>8.6753999999999998</v>
      </c>
      <c r="D297" s="10">
        <f>CHOOSE(CONTROL!$C$42, 8.8505, 8.8505) * CHOOSE(CONTROL!$C$21, $C$9, 100%, $E$9)</f>
        <v>8.8505000000000003</v>
      </c>
      <c r="E297" s="10">
        <f>CHOOSE(CONTROL!$C$42, 8.8817, 8.8817) * CHOOSE(CONTROL!$C$21, $C$9, 100%, $E$9)</f>
        <v>8.8817000000000004</v>
      </c>
      <c r="F297" s="10">
        <f>CHOOSE(CONTROL!$C$42, 8.6092, 8.6092)*CHOOSE(CONTROL!$C$21, $C$9, 100%, $E$9)</f>
        <v>8.6091999999999995</v>
      </c>
      <c r="G297" s="10">
        <f>CHOOSE(CONTROL!$C$42, 8.6261, 8.6261)*CHOOSE(CONTROL!$C$21, $C$9, 100%, $E$9)</f>
        <v>8.6260999999999992</v>
      </c>
      <c r="H297" s="10">
        <f>CHOOSE(CONTROL!$C$42, 8.8701, 8.8701) * CHOOSE(CONTROL!$C$21, $C$9, 100%, $E$9)</f>
        <v>8.8701000000000008</v>
      </c>
      <c r="I297" s="10">
        <f>CHOOSE(CONTROL!$C$42, 8.6421, 8.6421)* CHOOSE(CONTROL!$C$21, $C$9, 100%, $E$9)</f>
        <v>8.6420999999999992</v>
      </c>
      <c r="J297" s="10">
        <f>CHOOSE(CONTROL!$C$42, 8.6018, 8.6018)* CHOOSE(CONTROL!$C$21, $C$9, 100%, $E$9)</f>
        <v>8.6018000000000008</v>
      </c>
      <c r="K297" s="10">
        <f>CHOOSE(CONTROL!$C$42, 8.5291, 8.5291) * CHOOSE(CONTROL!$C$21, $C$9, 100%, $E$9)</f>
        <v>8.5290999999999997</v>
      </c>
      <c r="L297" s="10">
        <f>CHOOSE(CONTROL!$C$42, 9.4571, 9.4571) * CHOOSE(CONTROL!$C$21, $C$9, 100%, $E$9)</f>
        <v>9.4571000000000005</v>
      </c>
      <c r="M297" s="10">
        <f>CHOOSE(CONTROL!$C$42, 8.5235, 8.5235) * CHOOSE(CONTROL!$C$21, $C$9, 100%, $E$9)</f>
        <v>8.5235000000000003</v>
      </c>
      <c r="N297" s="10">
        <f>CHOOSE(CONTROL!$C$42, 8.5402, 8.5402) * CHOOSE(CONTROL!$C$21, $C$9, 100%, $E$9)</f>
        <v>8.5402000000000005</v>
      </c>
      <c r="O297" s="10">
        <f>CHOOSE(CONTROL!$C$42, 8.7883, 8.7883) * CHOOSE(CONTROL!$C$21, $C$9, 100%, $E$9)</f>
        <v>8.7882999999999996</v>
      </c>
      <c r="P297" s="10">
        <f>CHOOSE(CONTROL!$C$42, 8.5633, 8.5633) * CHOOSE(CONTROL!$C$21, $C$9, 100%, $E$9)</f>
        <v>8.5632999999999999</v>
      </c>
      <c r="Q297" s="10">
        <f>CHOOSE(CONTROL!$C$42, 9.3836, 9.3836) * CHOOSE(CONTROL!$C$21, $C$9, 100%, $E$9)</f>
        <v>9.3835999999999995</v>
      </c>
      <c r="R297" s="10">
        <f>CHOOSE(CONTROL!$C$42, 9.9941, 9.9941) * CHOOSE(CONTROL!$C$21, $C$9, 100%, $E$9)</f>
        <v>9.9940999999999995</v>
      </c>
      <c r="S297" s="10">
        <f>CHOOSE(CONTROL!$C$42, 8.4072, 8.4072) * CHOOSE(CONTROL!$C$21, $C$9, 100%, $E$9)</f>
        <v>8.4071999999999996</v>
      </c>
      <c r="T29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38">
        <f>(1000*CHOOSE(CONTROL!$C$42, 695, 695)*CHOOSE(CONTROL!$C$42, 0.5599, 0.5599)*CHOOSE(CONTROL!$C$42, 30, 30))/1000000</f>
        <v>11.673914999999997</v>
      </c>
      <c r="V297" s="38">
        <f>(1000*CHOOSE(CONTROL!$C$42, 500, 500)*CHOOSE(CONTROL!$C$42, 0.275, 0.275)*CHOOSE(CONTROL!$C$42, 30, 30))/1000000</f>
        <v>4.125</v>
      </c>
      <c r="W297" s="38">
        <f>(1000*CHOOSE(CONTROL!$C$42, 0.1146, 0.1146)*CHOOSE(CONTROL!$C$42, 121.5, 121.5)*CHOOSE(CONTROL!$C$42, 30, 30))/1000000</f>
        <v>0.417717</v>
      </c>
      <c r="X297" s="38">
        <f>(30*0.1790888*245000/1000000)+(30*0.2374*100000/1000000)</f>
        <v>2.0285026799999999</v>
      </c>
      <c r="Y297" s="38">
        <f>(1000*600*CHOOSE(CONTROL!$C$42, 1.6406, 1.6406)*CHOOSE(CONTROL!$C$42, 30, 30))/1000000</f>
        <v>29.530799999999999</v>
      </c>
      <c r="Z297" s="38"/>
      <c r="AA297" s="10"/>
      <c r="AB297" s="39"/>
      <c r="AC297" s="33">
        <f>(B297*194.205+C297*267.466+D297*133.845+E297*53.484+F297*40+G297*185+H297*0+I297*100+J297*300)/(194.205+267.466+133.845+53.484+0+40+185+100+300)</f>
        <v>8.6720545280219774</v>
      </c>
      <c r="AD297" s="27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8.6073676258992808</v>
      </c>
    </row>
    <row r="298" spans="1:30" ht="15" x14ac:dyDescent="0.2">
      <c r="A298" s="15">
        <v>50314</v>
      </c>
      <c r="B298" s="10">
        <f>CHOOSE(CONTROL!$C$42, 8.489, 8.489) * CHOOSE(CONTROL!$C$21, $C$9, 100%, $E$9)</f>
        <v>8.4890000000000008</v>
      </c>
      <c r="C298" s="10">
        <f>CHOOSE(CONTROL!$C$42, 8.4944, 8.4944) * CHOOSE(CONTROL!$C$21, $C$9, 100%, $E$9)</f>
        <v>8.4944000000000006</v>
      </c>
      <c r="D298" s="10">
        <f>CHOOSE(CONTROL!$C$42, 8.6744, 8.6744) * CHOOSE(CONTROL!$C$21, $C$9, 100%, $E$9)</f>
        <v>8.6744000000000003</v>
      </c>
      <c r="E298" s="10">
        <f>CHOOSE(CONTROL!$C$42, 8.7033, 8.7033) * CHOOSE(CONTROL!$C$21, $C$9, 100%, $E$9)</f>
        <v>8.7033000000000005</v>
      </c>
      <c r="F298" s="10">
        <f>CHOOSE(CONTROL!$C$42, 8.4328, 8.4328)*CHOOSE(CONTROL!$C$21, $C$9, 100%, $E$9)</f>
        <v>8.4328000000000003</v>
      </c>
      <c r="G298" s="10">
        <f>CHOOSE(CONTROL!$C$42, 8.4494, 8.4494)*CHOOSE(CONTROL!$C$21, $C$9, 100%, $E$9)</f>
        <v>8.4494000000000007</v>
      </c>
      <c r="H298" s="10">
        <f>CHOOSE(CONTROL!$C$42, 8.6934, 8.6934) * CHOOSE(CONTROL!$C$21, $C$9, 100%, $E$9)</f>
        <v>8.6934000000000005</v>
      </c>
      <c r="I298" s="10">
        <f>CHOOSE(CONTROL!$C$42, 8.4654, 8.4654)* CHOOSE(CONTROL!$C$21, $C$9, 100%, $E$9)</f>
        <v>8.4654000000000007</v>
      </c>
      <c r="J298" s="10">
        <f>CHOOSE(CONTROL!$C$42, 8.4254, 8.4254)* CHOOSE(CONTROL!$C$21, $C$9, 100%, $E$9)</f>
        <v>8.4253999999999998</v>
      </c>
      <c r="K298" s="10">
        <f>CHOOSE(CONTROL!$C$42, 8.3586, 8.3586) * CHOOSE(CONTROL!$C$21, $C$9, 100%, $E$9)</f>
        <v>8.3585999999999991</v>
      </c>
      <c r="L298" s="10">
        <f>CHOOSE(CONTROL!$C$42, 9.2804, 9.2804) * CHOOSE(CONTROL!$C$21, $C$9, 100%, $E$9)</f>
        <v>9.2804000000000002</v>
      </c>
      <c r="M298" s="10">
        <f>CHOOSE(CONTROL!$C$42, 8.3494, 8.3494) * CHOOSE(CONTROL!$C$21, $C$9, 100%, $E$9)</f>
        <v>8.3493999999999993</v>
      </c>
      <c r="N298" s="10">
        <f>CHOOSE(CONTROL!$C$42, 8.3658, 8.3658) * CHOOSE(CONTROL!$C$21, $C$9, 100%, $E$9)</f>
        <v>8.3658000000000001</v>
      </c>
      <c r="O298" s="10">
        <f>CHOOSE(CONTROL!$C$42, 8.6139, 8.6139) * CHOOSE(CONTROL!$C$21, $C$9, 100%, $E$9)</f>
        <v>8.6138999999999992</v>
      </c>
      <c r="P298" s="10">
        <f>CHOOSE(CONTROL!$C$42, 8.3889, 8.3889) * CHOOSE(CONTROL!$C$21, $C$9, 100%, $E$9)</f>
        <v>8.3888999999999996</v>
      </c>
      <c r="Q298" s="10">
        <f>CHOOSE(CONTROL!$C$42, 9.2092, 9.2092) * CHOOSE(CONTROL!$C$21, $C$9, 100%, $E$9)</f>
        <v>9.2091999999999992</v>
      </c>
      <c r="R298" s="10">
        <f>CHOOSE(CONTROL!$C$42, 9.8192, 9.8192) * CHOOSE(CONTROL!$C$21, $C$9, 100%, $E$9)</f>
        <v>9.8192000000000004</v>
      </c>
      <c r="S298" s="10">
        <f>CHOOSE(CONTROL!$C$42, 8.2362, 8.2362) * CHOOSE(CONTROL!$C$21, $C$9, 100%, $E$9)</f>
        <v>8.2362000000000002</v>
      </c>
      <c r="T29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38">
        <f>(1000*CHOOSE(CONTROL!$C$42, 695, 695)*CHOOSE(CONTROL!$C$42, 0.5599, 0.5599)*CHOOSE(CONTROL!$C$42, 31, 31))/1000000</f>
        <v>12.063045499999998</v>
      </c>
      <c r="V298" s="38">
        <f>(1000*CHOOSE(CONTROL!$C$42, 500, 500)*CHOOSE(CONTROL!$C$42, 0.275, 0.275)*CHOOSE(CONTROL!$C$42, 31, 31))/1000000</f>
        <v>4.2625000000000002</v>
      </c>
      <c r="W298" s="38">
        <f>(1000*CHOOSE(CONTROL!$C$42, 0.1146, 0.1146)*CHOOSE(CONTROL!$C$42, 121.5, 121.5)*CHOOSE(CONTROL!$C$42, 31, 31))/1000000</f>
        <v>0.43164089999999994</v>
      </c>
      <c r="X298" s="38">
        <f>(31*0.1790888*245000/1000000)+(31*0.2374*100000/1000000)</f>
        <v>2.0961194359999999</v>
      </c>
      <c r="Y298" s="38">
        <f>(1000*600*CHOOSE(CONTROL!$C$42, 1.6406, 1.6406)*CHOOSE(CONTROL!$C$42, 31, 31))/1000000</f>
        <v>30.515160000000002</v>
      </c>
      <c r="Z298" s="38"/>
      <c r="AA298" s="10"/>
      <c r="AB298" s="39"/>
      <c r="AC298" s="33">
        <f>(B298*131.881+C298*277.167+D298*79.08+E298*125.872+F298*40+G298*185+H298*0+I298*100+J298*300)/(131.881+277.167+79.08+125.872+0+40+185+100+300)</f>
        <v>8.4987808744148516</v>
      </c>
      <c r="AD298" s="27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8.4330712230215834</v>
      </c>
    </row>
    <row r="299" spans="1:30" ht="15" x14ac:dyDescent="0.2">
      <c r="A299" s="15">
        <v>50345</v>
      </c>
      <c r="B299" s="10">
        <f>CHOOSE(CONTROL!$C$42, 8.7127, 8.7127) * CHOOSE(CONTROL!$C$21, $C$9, 100%, $E$9)</f>
        <v>8.7126999999999999</v>
      </c>
      <c r="C299" s="10">
        <f>CHOOSE(CONTROL!$C$42, 8.7178, 8.7178) * CHOOSE(CONTROL!$C$21, $C$9, 100%, $E$9)</f>
        <v>8.7178000000000004</v>
      </c>
      <c r="D299" s="10">
        <f>CHOOSE(CONTROL!$C$42, 8.7425, 8.7425) * CHOOSE(CONTROL!$C$21, $C$9, 100%, $E$9)</f>
        <v>8.7424999999999997</v>
      </c>
      <c r="E299" s="10">
        <f>CHOOSE(CONTROL!$C$42, 8.7763, 8.7763) * CHOOSE(CONTROL!$C$21, $C$9, 100%, $E$9)</f>
        <v>8.7763000000000009</v>
      </c>
      <c r="F299" s="10">
        <f>CHOOSE(CONTROL!$C$42, 8.6783, 8.6783)*CHOOSE(CONTROL!$C$21, $C$9, 100%, $E$9)</f>
        <v>8.6783000000000001</v>
      </c>
      <c r="G299" s="10">
        <f>CHOOSE(CONTROL!$C$42, 8.6951, 8.6951)*CHOOSE(CONTROL!$C$21, $C$9, 100%, $E$9)</f>
        <v>8.6951000000000001</v>
      </c>
      <c r="H299" s="10">
        <f>CHOOSE(CONTROL!$C$42, 8.7651, 8.7651) * CHOOSE(CONTROL!$C$21, $C$9, 100%, $E$9)</f>
        <v>8.7651000000000003</v>
      </c>
      <c r="I299" s="10">
        <f>CHOOSE(CONTROL!$C$42, 8.7122, 8.7122)* CHOOSE(CONTROL!$C$21, $C$9, 100%, $E$9)</f>
        <v>8.7121999999999993</v>
      </c>
      <c r="J299" s="10">
        <f>CHOOSE(CONTROL!$C$42, 8.6709, 8.6709)* CHOOSE(CONTROL!$C$21, $C$9, 100%, $E$9)</f>
        <v>8.6708999999999996</v>
      </c>
      <c r="K299" s="10">
        <f>CHOOSE(CONTROL!$C$42, 8.5994, 8.5994) * CHOOSE(CONTROL!$C$21, $C$9, 100%, $E$9)</f>
        <v>8.5993999999999993</v>
      </c>
      <c r="L299" s="10">
        <f>CHOOSE(CONTROL!$C$42, 9.3521, 9.3521) * CHOOSE(CONTROL!$C$21, $C$9, 100%, $E$9)</f>
        <v>9.3521000000000001</v>
      </c>
      <c r="M299" s="10">
        <f>CHOOSE(CONTROL!$C$42, 8.5917, 8.5917) * CHOOSE(CONTROL!$C$21, $C$9, 100%, $E$9)</f>
        <v>8.5916999999999994</v>
      </c>
      <c r="N299" s="10">
        <f>CHOOSE(CONTROL!$C$42, 8.6083, 8.6083) * CHOOSE(CONTROL!$C$21, $C$9, 100%, $E$9)</f>
        <v>8.6082999999999998</v>
      </c>
      <c r="O299" s="10">
        <f>CHOOSE(CONTROL!$C$42, 8.6847, 8.6847) * CHOOSE(CONTROL!$C$21, $C$9, 100%, $E$9)</f>
        <v>8.6846999999999994</v>
      </c>
      <c r="P299" s="10">
        <f>CHOOSE(CONTROL!$C$42, 8.6325, 8.6325) * CHOOSE(CONTROL!$C$21, $C$9, 100%, $E$9)</f>
        <v>8.6325000000000003</v>
      </c>
      <c r="Q299" s="10">
        <f>CHOOSE(CONTROL!$C$42, 9.28, 9.28) * CHOOSE(CONTROL!$C$21, $C$9, 100%, $E$9)</f>
        <v>9.2799999999999994</v>
      </c>
      <c r="R299" s="10">
        <f>CHOOSE(CONTROL!$C$42, 9.8902, 9.8902) * CHOOSE(CONTROL!$C$21, $C$9, 100%, $E$9)</f>
        <v>9.8902000000000001</v>
      </c>
      <c r="S299" s="10">
        <f>CHOOSE(CONTROL!$C$42, 8.4531, 8.4531) * CHOOSE(CONTROL!$C$21, $C$9, 100%, $E$9)</f>
        <v>8.4530999999999992</v>
      </c>
      <c r="T29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38">
        <f>(1000*CHOOSE(CONTROL!$C$42, 695, 695)*CHOOSE(CONTROL!$C$42, 0.5599, 0.5599)*CHOOSE(CONTROL!$C$42, 30, 30))/1000000</f>
        <v>11.673914999999997</v>
      </c>
      <c r="V299" s="38">
        <f>(1000*CHOOSE(CONTROL!$C$42, 500, 500)*CHOOSE(CONTROL!$C$42, 0.275, 0.275)*CHOOSE(CONTROL!$C$42, 30, 30))/1000000</f>
        <v>4.125</v>
      </c>
      <c r="W299" s="38">
        <f>(1000*CHOOSE(CONTROL!$C$42, 0.1146, 0.1146)*CHOOSE(CONTROL!$C$42, 121.5, 121.5)*CHOOSE(CONTROL!$C$42, 30, 30))/1000000</f>
        <v>0.417717</v>
      </c>
      <c r="X299" s="38">
        <f>(30*0.1790888*100000/1000000)+(30*0.2374*100000/1000000)</f>
        <v>1.2494664</v>
      </c>
      <c r="Y299" s="38">
        <f>(1000*600*CHOOSE(CONTROL!$C$42, 1.6406, 1.6406)*CHOOSE(CONTROL!$C$42, 30, 30))/1000000</f>
        <v>29.530799999999999</v>
      </c>
      <c r="Z299" s="38"/>
      <c r="AA299" s="10"/>
      <c r="AB299" s="39"/>
      <c r="AC299" s="33">
        <f>(B299*122.58+C299*297.941+D299*89.177+E299*40.302+F299*40+G299*160+H299*0+I299*100+J299*300)/(122.58+297.941+89.177+40.302+0+40+160+100+300)</f>
        <v>8.7039679833913031</v>
      </c>
      <c r="AD299" s="27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8.6406769784172663</v>
      </c>
    </row>
    <row r="300" spans="1:30" ht="15" x14ac:dyDescent="0.2">
      <c r="A300" s="15">
        <v>50375</v>
      </c>
      <c r="B300" s="10">
        <f>CHOOSE(CONTROL!$C$42, 9.3078, 9.3078) * CHOOSE(CONTROL!$C$21, $C$9, 100%, $E$9)</f>
        <v>9.3078000000000003</v>
      </c>
      <c r="C300" s="10">
        <f>CHOOSE(CONTROL!$C$42, 9.3129, 9.3129) * CHOOSE(CONTROL!$C$21, $C$9, 100%, $E$9)</f>
        <v>9.3129000000000008</v>
      </c>
      <c r="D300" s="10">
        <f>CHOOSE(CONTROL!$C$42, 9.3376, 9.3376) * CHOOSE(CONTROL!$C$21, $C$9, 100%, $E$9)</f>
        <v>9.3376000000000001</v>
      </c>
      <c r="E300" s="10">
        <f>CHOOSE(CONTROL!$C$42, 9.3714, 9.3714) * CHOOSE(CONTROL!$C$21, $C$9, 100%, $E$9)</f>
        <v>9.3713999999999995</v>
      </c>
      <c r="F300" s="10">
        <f>CHOOSE(CONTROL!$C$42, 9.2752, 9.2752)*CHOOSE(CONTROL!$C$21, $C$9, 100%, $E$9)</f>
        <v>9.2751999999999999</v>
      </c>
      <c r="G300" s="10">
        <f>CHOOSE(CONTROL!$C$42, 9.2925, 9.2925)*CHOOSE(CONTROL!$C$21, $C$9, 100%, $E$9)</f>
        <v>9.2925000000000004</v>
      </c>
      <c r="H300" s="10">
        <f>CHOOSE(CONTROL!$C$42, 9.3603, 9.3603) * CHOOSE(CONTROL!$C$21, $C$9, 100%, $E$9)</f>
        <v>9.3603000000000005</v>
      </c>
      <c r="I300" s="10">
        <f>CHOOSE(CONTROL!$C$42, 9.3073, 9.3073)* CHOOSE(CONTROL!$C$21, $C$9, 100%, $E$9)</f>
        <v>9.3072999999999997</v>
      </c>
      <c r="J300" s="10">
        <f>CHOOSE(CONTROL!$C$42, 9.2678, 9.2678)* CHOOSE(CONTROL!$C$21, $C$9, 100%, $E$9)</f>
        <v>9.2677999999999994</v>
      </c>
      <c r="K300" s="10">
        <f>CHOOSE(CONTROL!$C$42, 9.1799, 9.1799) * CHOOSE(CONTROL!$C$21, $C$9, 100%, $E$9)</f>
        <v>9.1798999999999999</v>
      </c>
      <c r="L300" s="10">
        <f>CHOOSE(CONTROL!$C$42, 9.9473, 9.9473) * CHOOSE(CONTROL!$C$21, $C$9, 100%, $E$9)</f>
        <v>9.9473000000000003</v>
      </c>
      <c r="M300" s="10">
        <f>CHOOSE(CONTROL!$C$42, 9.1809, 9.1809) * CHOOSE(CONTROL!$C$21, $C$9, 100%, $E$9)</f>
        <v>9.1808999999999994</v>
      </c>
      <c r="N300" s="10">
        <f>CHOOSE(CONTROL!$C$42, 9.198, 9.198) * CHOOSE(CONTROL!$C$21, $C$9, 100%, $E$9)</f>
        <v>9.1980000000000004</v>
      </c>
      <c r="O300" s="10">
        <f>CHOOSE(CONTROL!$C$42, 9.2722, 9.2722) * CHOOSE(CONTROL!$C$21, $C$9, 100%, $E$9)</f>
        <v>9.2721999999999998</v>
      </c>
      <c r="P300" s="10">
        <f>CHOOSE(CONTROL!$C$42, 9.2199, 9.2199) * CHOOSE(CONTROL!$C$21, $C$9, 100%, $E$9)</f>
        <v>9.2199000000000009</v>
      </c>
      <c r="Q300" s="10">
        <f>CHOOSE(CONTROL!$C$42, 9.8675, 9.8675) * CHOOSE(CONTROL!$C$21, $C$9, 100%, $E$9)</f>
        <v>9.8674999999999997</v>
      </c>
      <c r="R300" s="10">
        <f>CHOOSE(CONTROL!$C$42, 10.4791, 10.4791) * CHOOSE(CONTROL!$C$21, $C$9, 100%, $E$9)</f>
        <v>10.479100000000001</v>
      </c>
      <c r="S300" s="10">
        <f>CHOOSE(CONTROL!$C$42, 9.0294, 9.0294) * CHOOSE(CONTROL!$C$21, $C$9, 100%, $E$9)</f>
        <v>9.0294000000000008</v>
      </c>
      <c r="T30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38">
        <f>(1000*CHOOSE(CONTROL!$C$42, 695, 695)*CHOOSE(CONTROL!$C$42, 0.5599, 0.5599)*CHOOSE(CONTROL!$C$42, 31, 31))/1000000</f>
        <v>12.063045499999998</v>
      </c>
      <c r="V300" s="38">
        <f>(1000*CHOOSE(CONTROL!$C$42, 500, 500)*CHOOSE(CONTROL!$C$42, 0.275, 0.275)*CHOOSE(CONTROL!$C$42, 31, 31))/1000000</f>
        <v>4.2625000000000002</v>
      </c>
      <c r="W300" s="38">
        <f>(1000*CHOOSE(CONTROL!$C$42, 0.1146, 0.1146)*CHOOSE(CONTROL!$C$42, 121.5, 121.5)*CHOOSE(CONTROL!$C$42, 31, 31))/1000000</f>
        <v>0.43164089999999994</v>
      </c>
      <c r="X300" s="38">
        <f>(31*0.1790888*100000/1000000)+(31*0.2374*100000/1000000)</f>
        <v>1.2911152800000001</v>
      </c>
      <c r="Y300" s="38">
        <f>(1000*600*CHOOSE(CONTROL!$C$42, 1.6406, 1.6406)*CHOOSE(CONTROL!$C$42, 31, 31))/1000000</f>
        <v>30.515160000000002</v>
      </c>
      <c r="Z300" s="38"/>
      <c r="AA300" s="10"/>
      <c r="AB300" s="39"/>
      <c r="AC300" s="33">
        <f>(B300*122.58+C300*297.941+D300*89.177+E300*40.302+F300*40+G300*160+H300*0+I300*100+J300*300)/(122.58+297.941+89.177+40.302+0+40+160+100+300)</f>
        <v>9.2999201573043475</v>
      </c>
      <c r="AD300" s="27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9.2288762589928055</v>
      </c>
    </row>
    <row r="301" spans="1:30" ht="15.75" x14ac:dyDescent="0.25">
      <c r="A301" s="14">
        <v>50436</v>
      </c>
      <c r="B301" s="10">
        <f>CHOOSE(CONTROL!$C$42, 9.9372, 9.9372) * CHOOSE(CONTROL!$C$21, $C$9, 100%, $E$9)</f>
        <v>9.9372000000000007</v>
      </c>
      <c r="C301" s="10">
        <f>CHOOSE(CONTROL!$C$42, 9.9423, 9.9423) * CHOOSE(CONTROL!$C$21, $C$9, 100%, $E$9)</f>
        <v>9.9422999999999995</v>
      </c>
      <c r="D301" s="10">
        <f>CHOOSE(CONTROL!$C$42, 9.9773, 9.9773) * CHOOSE(CONTROL!$C$21, $C$9, 100%, $E$9)</f>
        <v>9.9772999999999996</v>
      </c>
      <c r="E301" s="10">
        <f>CHOOSE(CONTROL!$C$42, 10.0111, 10.0111) * CHOOSE(CONTROL!$C$21, $C$9, 100%, $E$9)</f>
        <v>10.011100000000001</v>
      </c>
      <c r="F301" s="10">
        <f>CHOOSE(CONTROL!$C$42, 9.9184, 9.9184)*CHOOSE(CONTROL!$C$21, $C$9, 100%, $E$9)</f>
        <v>9.9184000000000001</v>
      </c>
      <c r="G301" s="10">
        <f>CHOOSE(CONTROL!$C$42, 9.9373, 9.9373)*CHOOSE(CONTROL!$C$21, $C$9, 100%, $E$9)</f>
        <v>9.9373000000000005</v>
      </c>
      <c r="H301" s="10">
        <f>CHOOSE(CONTROL!$C$42, 10, 10) * CHOOSE(CONTROL!$C$21, $C$9, 100%, $E$9)</f>
        <v>10</v>
      </c>
      <c r="I301" s="10">
        <f>CHOOSE(CONTROL!$C$42, 9.9444, 9.9444)* CHOOSE(CONTROL!$C$21, $C$9, 100%, $E$9)</f>
        <v>9.9443999999999999</v>
      </c>
      <c r="J301" s="10">
        <f>CHOOSE(CONTROL!$C$42, 9.911, 9.911)* CHOOSE(CONTROL!$C$21, $C$9, 100%, $E$9)</f>
        <v>9.9109999999999996</v>
      </c>
      <c r="K301" s="10">
        <f>CHOOSE(CONTROL!$C$42, 9.8103, 9.8103) * CHOOSE(CONTROL!$C$21, $C$9, 100%, $E$9)</f>
        <v>9.8102999999999998</v>
      </c>
      <c r="L301" s="10">
        <f>CHOOSE(CONTROL!$C$42, 10.587, 10.587) * CHOOSE(CONTROL!$C$21, $C$9, 100%, $E$9)</f>
        <v>10.587</v>
      </c>
      <c r="M301" s="10">
        <f>CHOOSE(CONTROL!$C$42, 9.8158, 9.8158) * CHOOSE(CONTROL!$C$21, $C$9, 100%, $E$9)</f>
        <v>9.8157999999999994</v>
      </c>
      <c r="N301" s="10">
        <f>CHOOSE(CONTROL!$C$42, 9.8344, 9.8344) * CHOOSE(CONTROL!$C$21, $C$9, 100%, $E$9)</f>
        <v>9.8344000000000005</v>
      </c>
      <c r="O301" s="10">
        <f>CHOOSE(CONTROL!$C$42, 9.9035, 9.9035) * CHOOSE(CONTROL!$C$21, $C$9, 100%, $E$9)</f>
        <v>9.9034999999999993</v>
      </c>
      <c r="P301" s="10">
        <f>CHOOSE(CONTROL!$C$42, 9.8488, 9.8488) * CHOOSE(CONTROL!$C$21, $C$9, 100%, $E$9)</f>
        <v>9.8488000000000007</v>
      </c>
      <c r="Q301" s="10">
        <f>CHOOSE(CONTROL!$C$42, 10.4988, 10.4988) * CHOOSE(CONTROL!$C$21, $C$9, 100%, $E$9)</f>
        <v>10.498799999999999</v>
      </c>
      <c r="R301" s="10">
        <f>CHOOSE(CONTROL!$C$42, 11.1121, 11.1121) * CHOOSE(CONTROL!$C$21, $C$9, 100%, $E$9)</f>
        <v>11.1121</v>
      </c>
      <c r="S301" s="10">
        <f>CHOOSE(CONTROL!$C$42, 9.6388, 9.6388) * CHOOSE(CONTROL!$C$21, $C$9, 100%, $E$9)</f>
        <v>9.6387999999999998</v>
      </c>
      <c r="T30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38">
        <f>(1000*CHOOSE(CONTROL!$C$42, 695, 695)*CHOOSE(CONTROL!$C$42, 0.5599, 0.5599)*CHOOSE(CONTROL!$C$42, 31, 31))/1000000</f>
        <v>12.063045499999998</v>
      </c>
      <c r="V301" s="38">
        <f>(1000*CHOOSE(CONTROL!$C$42, 500, 500)*CHOOSE(CONTROL!$C$42, 0.275, 0.275)*CHOOSE(CONTROL!$C$42, 31, 31))/1000000</f>
        <v>4.2625000000000002</v>
      </c>
      <c r="W301" s="38">
        <f>(1000*CHOOSE(CONTROL!$C$42, 0.1146, 0.1146)*CHOOSE(CONTROL!$C$42, 121.5, 121.5)*CHOOSE(CONTROL!$C$42, 31, 31))/1000000</f>
        <v>0.43164089999999994</v>
      </c>
      <c r="X301" s="38">
        <f>(31*0.1790888*100000/1000000)+(31*0.2374*100000/1000000)</f>
        <v>1.2911152800000001</v>
      </c>
      <c r="Y301" s="38">
        <f>(1000*600*CHOOSE(CONTROL!$C$42, 1.6372, 1.6372)*CHOOSE(CONTROL!$C$42, 31, 31))/1000000</f>
        <v>30.451920000000001</v>
      </c>
      <c r="Z301" s="38"/>
      <c r="AA301" s="10"/>
      <c r="AB301" s="39"/>
      <c r="AC301" s="33">
        <f>(B301*122.58+C301*297.941+D301*89.177+E301*40.302+F301*40+G301*160+H301*0+I301*100+J301*300)/(122.58+297.941+89.177+40.302+0+40+160+100+300)</f>
        <v>9.9373720126956506</v>
      </c>
      <c r="AD301" s="27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9.8613676258992822</v>
      </c>
    </row>
    <row r="302" spans="1:30" ht="15.75" x14ac:dyDescent="0.25">
      <c r="A302" s="14">
        <v>50464</v>
      </c>
      <c r="B302" s="10">
        <f>CHOOSE(CONTROL!$C$42, 10.1143, 10.1143) * CHOOSE(CONTROL!$C$21, $C$9, 100%, $E$9)</f>
        <v>10.1143</v>
      </c>
      <c r="C302" s="10">
        <f>CHOOSE(CONTROL!$C$42, 10.1194, 10.1194) * CHOOSE(CONTROL!$C$21, $C$9, 100%, $E$9)</f>
        <v>10.119400000000001</v>
      </c>
      <c r="D302" s="10">
        <f>CHOOSE(CONTROL!$C$42, 10.1545, 10.1545) * CHOOSE(CONTROL!$C$21, $C$9, 100%, $E$9)</f>
        <v>10.154500000000001</v>
      </c>
      <c r="E302" s="10">
        <f>CHOOSE(CONTROL!$C$42, 10.1883, 10.1883) * CHOOSE(CONTROL!$C$21, $C$9, 100%, $E$9)</f>
        <v>10.1883</v>
      </c>
      <c r="F302" s="10">
        <f>CHOOSE(CONTROL!$C$42, 10.0951, 10.0951)*CHOOSE(CONTROL!$C$21, $C$9, 100%, $E$9)</f>
        <v>10.0951</v>
      </c>
      <c r="G302" s="10">
        <f>CHOOSE(CONTROL!$C$42, 10.1139, 10.1139)*CHOOSE(CONTROL!$C$21, $C$9, 100%, $E$9)</f>
        <v>10.113899999999999</v>
      </c>
      <c r="H302" s="10">
        <f>CHOOSE(CONTROL!$C$42, 10.1771, 10.1771) * CHOOSE(CONTROL!$C$21, $C$9, 100%, $E$9)</f>
        <v>10.177099999999999</v>
      </c>
      <c r="I302" s="10">
        <f>CHOOSE(CONTROL!$C$42, 10.1216, 10.1216)* CHOOSE(CONTROL!$C$21, $C$9, 100%, $E$9)</f>
        <v>10.121600000000001</v>
      </c>
      <c r="J302" s="10">
        <f>CHOOSE(CONTROL!$C$42, 10.0877, 10.0877)* CHOOSE(CONTROL!$C$21, $C$9, 100%, $E$9)</f>
        <v>10.0877</v>
      </c>
      <c r="K302" s="10">
        <f>CHOOSE(CONTROL!$C$42, 9.9808, 9.9808) * CHOOSE(CONTROL!$C$21, $C$9, 100%, $E$9)</f>
        <v>9.9808000000000003</v>
      </c>
      <c r="L302" s="10">
        <f>CHOOSE(CONTROL!$C$42, 10.7641, 10.7641) * CHOOSE(CONTROL!$C$21, $C$9, 100%, $E$9)</f>
        <v>10.764099999999999</v>
      </c>
      <c r="M302" s="10">
        <f>CHOOSE(CONTROL!$C$42, 9.9902, 9.9902) * CHOOSE(CONTROL!$C$21, $C$9, 100%, $E$9)</f>
        <v>9.9901999999999997</v>
      </c>
      <c r="N302" s="10">
        <f>CHOOSE(CONTROL!$C$42, 10.0087, 10.0087) * CHOOSE(CONTROL!$C$21, $C$9, 100%, $E$9)</f>
        <v>10.008699999999999</v>
      </c>
      <c r="O302" s="10">
        <f>CHOOSE(CONTROL!$C$42, 10.0784, 10.0784) * CHOOSE(CONTROL!$C$21, $C$9, 100%, $E$9)</f>
        <v>10.0784</v>
      </c>
      <c r="P302" s="10">
        <f>CHOOSE(CONTROL!$C$42, 10.0237, 10.0237) * CHOOSE(CONTROL!$C$21, $C$9, 100%, $E$9)</f>
        <v>10.0237</v>
      </c>
      <c r="Q302" s="10">
        <f>CHOOSE(CONTROL!$C$42, 10.6737, 10.6737) * CHOOSE(CONTROL!$C$21, $C$9, 100%, $E$9)</f>
        <v>10.6737</v>
      </c>
      <c r="R302" s="10">
        <f>CHOOSE(CONTROL!$C$42, 11.2874, 11.2874) * CHOOSE(CONTROL!$C$21, $C$9, 100%, $E$9)</f>
        <v>11.2874</v>
      </c>
      <c r="S302" s="10">
        <f>CHOOSE(CONTROL!$C$42, 9.8104, 9.8104) * CHOOSE(CONTROL!$C$21, $C$9, 100%, $E$9)</f>
        <v>9.8103999999999996</v>
      </c>
      <c r="T30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38">
        <f>(1000*CHOOSE(CONTROL!$C$42, 695, 695)*CHOOSE(CONTROL!$C$42, 0.5599, 0.5599)*CHOOSE(CONTROL!$C$42, 28, 28))/1000000</f>
        <v>10.895653999999999</v>
      </c>
      <c r="V302" s="38">
        <f>(1000*CHOOSE(CONTROL!$C$42, 500, 500)*CHOOSE(CONTROL!$C$42, 0.275, 0.275)*CHOOSE(CONTROL!$C$42, 28, 28))/1000000</f>
        <v>3.85</v>
      </c>
      <c r="W302" s="38">
        <f>(1000*CHOOSE(CONTROL!$C$42, 0.1146, 0.1146)*CHOOSE(CONTROL!$C$42, 121.5, 121.5)*CHOOSE(CONTROL!$C$42, 28, 28))/1000000</f>
        <v>0.38986920000000003</v>
      </c>
      <c r="X302" s="38">
        <f>(28*0.1790888*100000/1000000)+(28*0.2374*100000/1000000)</f>
        <v>1.16616864</v>
      </c>
      <c r="Y302" s="38">
        <f>(1000*600*CHOOSE(CONTROL!$C$42, 1.6372, 1.6372)*CHOOSE(CONTROL!$C$42, 28, 28))/1000000</f>
        <v>27.504960000000001</v>
      </c>
      <c r="Z302" s="38"/>
      <c r="AA302" s="10"/>
      <c r="AB302" s="39"/>
      <c r="AC302" s="33">
        <f>(B302*122.58+C302*297.941+D302*89.177+E302*40.302+F302*40+G302*160+H302*0+I302*100+J302*300)/(122.58+297.941+89.177+40.302+0+40+160+100+300)</f>
        <v>10.114304141304347</v>
      </c>
      <c r="AD302" s="27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10.036060431654676</v>
      </c>
    </row>
    <row r="303" spans="1:30" ht="15.75" x14ac:dyDescent="0.25">
      <c r="A303" s="14">
        <v>50495</v>
      </c>
      <c r="B303" s="10">
        <f>CHOOSE(CONTROL!$C$42, 9.8267, 9.8267) * CHOOSE(CONTROL!$C$21, $C$9, 100%, $E$9)</f>
        <v>9.8267000000000007</v>
      </c>
      <c r="C303" s="10">
        <f>CHOOSE(CONTROL!$C$42, 9.8318, 9.8318) * CHOOSE(CONTROL!$C$21, $C$9, 100%, $E$9)</f>
        <v>9.8317999999999994</v>
      </c>
      <c r="D303" s="10">
        <f>CHOOSE(CONTROL!$C$42, 9.8668, 9.8668) * CHOOSE(CONTROL!$C$21, $C$9, 100%, $E$9)</f>
        <v>9.8667999999999996</v>
      </c>
      <c r="E303" s="10">
        <f>CHOOSE(CONTROL!$C$42, 9.9006, 9.9006) * CHOOSE(CONTROL!$C$21, $C$9, 100%, $E$9)</f>
        <v>9.9006000000000007</v>
      </c>
      <c r="F303" s="10">
        <f>CHOOSE(CONTROL!$C$42, 9.8061, 9.8061)*CHOOSE(CONTROL!$C$21, $C$9, 100%, $E$9)</f>
        <v>9.8061000000000007</v>
      </c>
      <c r="G303" s="10">
        <f>CHOOSE(CONTROL!$C$42, 9.8245, 9.8245)*CHOOSE(CONTROL!$C$21, $C$9, 100%, $E$9)</f>
        <v>9.8245000000000005</v>
      </c>
      <c r="H303" s="10">
        <f>CHOOSE(CONTROL!$C$42, 9.8895, 9.8895) * CHOOSE(CONTROL!$C$21, $C$9, 100%, $E$9)</f>
        <v>9.8895</v>
      </c>
      <c r="I303" s="10">
        <f>CHOOSE(CONTROL!$C$42, 9.834, 9.834)* CHOOSE(CONTROL!$C$21, $C$9, 100%, $E$9)</f>
        <v>9.8339999999999996</v>
      </c>
      <c r="J303" s="10">
        <f>CHOOSE(CONTROL!$C$42, 9.7987, 9.7987)* CHOOSE(CONTROL!$C$21, $C$9, 100%, $E$9)</f>
        <v>9.7987000000000002</v>
      </c>
      <c r="K303" s="10">
        <f>CHOOSE(CONTROL!$C$42, 9.6992, 9.6992) * CHOOSE(CONTROL!$C$21, $C$9, 100%, $E$9)</f>
        <v>9.6991999999999994</v>
      </c>
      <c r="L303" s="10">
        <f>CHOOSE(CONTROL!$C$42, 10.4765, 10.4765) * CHOOSE(CONTROL!$C$21, $C$9, 100%, $E$9)</f>
        <v>10.4765</v>
      </c>
      <c r="M303" s="10">
        <f>CHOOSE(CONTROL!$C$42, 9.7049, 9.7049) * CHOOSE(CONTROL!$C$21, $C$9, 100%, $E$9)</f>
        <v>9.7049000000000003</v>
      </c>
      <c r="N303" s="10">
        <f>CHOOSE(CONTROL!$C$42, 9.723, 9.723) * CHOOSE(CONTROL!$C$21, $C$9, 100%, $E$9)</f>
        <v>9.7230000000000008</v>
      </c>
      <c r="O303" s="10">
        <f>CHOOSE(CONTROL!$C$42, 9.7945, 9.7945) * CHOOSE(CONTROL!$C$21, $C$9, 100%, $E$9)</f>
        <v>9.7944999999999993</v>
      </c>
      <c r="P303" s="10">
        <f>CHOOSE(CONTROL!$C$42, 9.7398, 9.7398) * CHOOSE(CONTROL!$C$21, $C$9, 100%, $E$9)</f>
        <v>9.7398000000000007</v>
      </c>
      <c r="Q303" s="10">
        <f>CHOOSE(CONTROL!$C$42, 10.3898, 10.3898) * CHOOSE(CONTROL!$C$21, $C$9, 100%, $E$9)</f>
        <v>10.389799999999999</v>
      </c>
      <c r="R303" s="10">
        <f>CHOOSE(CONTROL!$C$42, 11.0028, 11.0028) * CHOOSE(CONTROL!$C$21, $C$9, 100%, $E$9)</f>
        <v>11.002800000000001</v>
      </c>
      <c r="S303" s="10">
        <f>CHOOSE(CONTROL!$C$42, 9.5319, 9.5319) * CHOOSE(CONTROL!$C$21, $C$9, 100%, $E$9)</f>
        <v>9.5319000000000003</v>
      </c>
      <c r="T30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38">
        <f>(1000*CHOOSE(CONTROL!$C$42, 695, 695)*CHOOSE(CONTROL!$C$42, 0.5599, 0.5599)*CHOOSE(CONTROL!$C$42, 31, 31))/1000000</f>
        <v>12.063045499999998</v>
      </c>
      <c r="V303" s="38">
        <f>(1000*CHOOSE(CONTROL!$C$42, 500, 500)*CHOOSE(CONTROL!$C$42, 0.275, 0.275)*CHOOSE(CONTROL!$C$42, 31, 31))/1000000</f>
        <v>4.2625000000000002</v>
      </c>
      <c r="W303" s="38">
        <f>(1000*CHOOSE(CONTROL!$C$42, 0.1146, 0.1146)*CHOOSE(CONTROL!$C$42, 121.5, 121.5)*CHOOSE(CONTROL!$C$42, 31, 31))/1000000</f>
        <v>0.43164089999999994</v>
      </c>
      <c r="X303" s="38">
        <f>(31*0.1790888*100000/1000000)+(31*0.2374*100000/1000000)</f>
        <v>1.2911152800000001</v>
      </c>
      <c r="Y303" s="38">
        <f>(1000*600*CHOOSE(CONTROL!$C$42, 1.6372, 1.6372)*CHOOSE(CONTROL!$C$42, 31, 31))/1000000</f>
        <v>30.451920000000001</v>
      </c>
      <c r="Z303" s="38"/>
      <c r="AA303" s="10"/>
      <c r="AB303" s="39"/>
      <c r="AC303" s="33">
        <f>(B303*122.58+C303*297.941+D303*89.177+E303*40.302+F303*40+G303*160+H303*0+I303*100+J303*300)/(122.58+297.941+89.177+40.302+0+40+160+100+300)</f>
        <v>9.8260285344347835</v>
      </c>
      <c r="AD303" s="27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9.7515733812949623</v>
      </c>
    </row>
    <row r="304" spans="1:30" ht="15.75" x14ac:dyDescent="0.25">
      <c r="A304" s="14">
        <v>50525</v>
      </c>
      <c r="B304" s="10">
        <f>CHOOSE(CONTROL!$C$42, 9.798, 9.798) * CHOOSE(CONTROL!$C$21, $C$9, 100%, $E$9)</f>
        <v>9.798</v>
      </c>
      <c r="C304" s="10">
        <f>CHOOSE(CONTROL!$C$42, 9.8025, 9.8025) * CHOOSE(CONTROL!$C$21, $C$9, 100%, $E$9)</f>
        <v>9.8025000000000002</v>
      </c>
      <c r="D304" s="10">
        <f>CHOOSE(CONTROL!$C$42, 9.9807, 9.9807) * CHOOSE(CONTROL!$C$21, $C$9, 100%, $E$9)</f>
        <v>9.9807000000000006</v>
      </c>
      <c r="E304" s="10">
        <f>CHOOSE(CONTROL!$C$42, 10.0126, 10.0126) * CHOOSE(CONTROL!$C$21, $C$9, 100%, $E$9)</f>
        <v>10.012600000000001</v>
      </c>
      <c r="F304" s="10">
        <f>CHOOSE(CONTROL!$C$42, 9.7415, 9.7415)*CHOOSE(CONTROL!$C$21, $C$9, 100%, $E$9)</f>
        <v>9.7415000000000003</v>
      </c>
      <c r="G304" s="10">
        <f>CHOOSE(CONTROL!$C$42, 9.7581, 9.7581)*CHOOSE(CONTROL!$C$21, $C$9, 100%, $E$9)</f>
        <v>9.7581000000000007</v>
      </c>
      <c r="H304" s="10">
        <f>CHOOSE(CONTROL!$C$42, 10.0021, 10.0021) * CHOOSE(CONTROL!$C$21, $C$9, 100%, $E$9)</f>
        <v>10.0021</v>
      </c>
      <c r="I304" s="10">
        <f>CHOOSE(CONTROL!$C$42, 9.774, 9.774)* CHOOSE(CONTROL!$C$21, $C$9, 100%, $E$9)</f>
        <v>9.7739999999999991</v>
      </c>
      <c r="J304" s="10">
        <f>CHOOSE(CONTROL!$C$42, 9.7341, 9.7341)* CHOOSE(CONTROL!$C$21, $C$9, 100%, $E$9)</f>
        <v>9.7340999999999998</v>
      </c>
      <c r="K304" s="10">
        <f>CHOOSE(CONTROL!$C$42, 9.6264, 9.6264) * CHOOSE(CONTROL!$C$21, $C$9, 100%, $E$9)</f>
        <v>9.6264000000000003</v>
      </c>
      <c r="L304" s="10">
        <f>CHOOSE(CONTROL!$C$42, 10.5891, 10.5891) * CHOOSE(CONTROL!$C$21, $C$9, 100%, $E$9)</f>
        <v>10.5891</v>
      </c>
      <c r="M304" s="10">
        <f>CHOOSE(CONTROL!$C$42, 9.6411, 9.6411) * CHOOSE(CONTROL!$C$21, $C$9, 100%, $E$9)</f>
        <v>9.6410999999999998</v>
      </c>
      <c r="N304" s="10">
        <f>CHOOSE(CONTROL!$C$42, 9.6575, 9.6575) * CHOOSE(CONTROL!$C$21, $C$9, 100%, $E$9)</f>
        <v>9.6575000000000006</v>
      </c>
      <c r="O304" s="10">
        <f>CHOOSE(CONTROL!$C$42, 9.9056, 9.9056) * CHOOSE(CONTROL!$C$21, $C$9, 100%, $E$9)</f>
        <v>9.9055999999999997</v>
      </c>
      <c r="P304" s="10">
        <f>CHOOSE(CONTROL!$C$42, 9.6806, 9.6806) * CHOOSE(CONTROL!$C$21, $C$9, 100%, $E$9)</f>
        <v>9.6806000000000001</v>
      </c>
      <c r="Q304" s="10">
        <f>CHOOSE(CONTROL!$C$42, 10.5009, 10.5009) * CHOOSE(CONTROL!$C$21, $C$9, 100%, $E$9)</f>
        <v>10.5009</v>
      </c>
      <c r="R304" s="10">
        <f>CHOOSE(CONTROL!$C$42, 11.1142, 11.1142) * CHOOSE(CONTROL!$C$21, $C$9, 100%, $E$9)</f>
        <v>11.1142</v>
      </c>
      <c r="S304" s="10">
        <f>CHOOSE(CONTROL!$C$42, 9.5033, 9.5033) * CHOOSE(CONTROL!$C$21, $C$9, 100%, $E$9)</f>
        <v>9.5032999999999994</v>
      </c>
      <c r="T30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38">
        <f>(1000*CHOOSE(CONTROL!$C$42, 695, 695)*CHOOSE(CONTROL!$C$42, 0.5599, 0.5599)*CHOOSE(CONTROL!$C$42, 30, 30))/1000000</f>
        <v>11.673914999999997</v>
      </c>
      <c r="V304" s="38">
        <f>(1000*CHOOSE(CONTROL!$C$42, 500, 500)*CHOOSE(CONTROL!$C$42, 0.275, 0.275)*CHOOSE(CONTROL!$C$42, 30, 30))/1000000</f>
        <v>4.125</v>
      </c>
      <c r="W304" s="38">
        <f>(1000*CHOOSE(CONTROL!$C$42, 0.1146, 0.1146)*CHOOSE(CONTROL!$C$42, 121.5, 121.5)*CHOOSE(CONTROL!$C$42, 30, 30))/1000000</f>
        <v>0.417717</v>
      </c>
      <c r="X304" s="38">
        <f>(30*0.1790888*245000/1000000)+(30*0.2374*100000/1000000)</f>
        <v>2.0285026799999999</v>
      </c>
      <c r="Y304" s="38">
        <f>(1000*600*CHOOSE(CONTROL!$C$42, 1.6372, 1.6372)*CHOOSE(CONTROL!$C$42, 30, 30))/1000000</f>
        <v>29.4696</v>
      </c>
      <c r="Z304" s="38"/>
      <c r="AA304" s="10"/>
      <c r="AB304" s="39"/>
      <c r="AC304" s="33">
        <f>(B304*141.293+C304*267.993+D304*115.016+E304*89.698+F304*40+G304*185+H304*0+I304*100+J304*300)/(141.293+267.993+115.016+89.698+0+40+185+100+300)</f>
        <v>9.8062785169491526</v>
      </c>
      <c r="AD304" s="27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9.7247712230215839</v>
      </c>
    </row>
    <row r="305" spans="1:30" ht="15.75" x14ac:dyDescent="0.25">
      <c r="A305" s="14">
        <v>50556</v>
      </c>
      <c r="B305" s="10">
        <f>CHOOSE(CONTROL!$C$42, 9.8864, 9.8864) * CHOOSE(CONTROL!$C$21, $C$9, 100%, $E$9)</f>
        <v>9.8864000000000001</v>
      </c>
      <c r="C305" s="10">
        <f>CHOOSE(CONTROL!$C$42, 9.8944, 9.8944) * CHOOSE(CONTROL!$C$21, $C$9, 100%, $E$9)</f>
        <v>9.8943999999999992</v>
      </c>
      <c r="D305" s="10">
        <f>CHOOSE(CONTROL!$C$42, 10.0695, 10.0695) * CHOOSE(CONTROL!$C$21, $C$9, 100%, $E$9)</f>
        <v>10.0695</v>
      </c>
      <c r="E305" s="10">
        <f>CHOOSE(CONTROL!$C$42, 10.1007, 10.1007) * CHOOSE(CONTROL!$C$21, $C$9, 100%, $E$9)</f>
        <v>10.1007</v>
      </c>
      <c r="F305" s="10">
        <f>CHOOSE(CONTROL!$C$42, 9.8281, 9.8281)*CHOOSE(CONTROL!$C$21, $C$9, 100%, $E$9)</f>
        <v>9.8280999999999992</v>
      </c>
      <c r="G305" s="10">
        <f>CHOOSE(CONTROL!$C$42, 9.845, 9.845)*CHOOSE(CONTROL!$C$21, $C$9, 100%, $E$9)</f>
        <v>9.8450000000000006</v>
      </c>
      <c r="H305" s="10">
        <f>CHOOSE(CONTROL!$C$42, 10.0891, 10.0891) * CHOOSE(CONTROL!$C$21, $C$9, 100%, $E$9)</f>
        <v>10.0891</v>
      </c>
      <c r="I305" s="10">
        <f>CHOOSE(CONTROL!$C$42, 9.861, 9.861)* CHOOSE(CONTROL!$C$21, $C$9, 100%, $E$9)</f>
        <v>9.8610000000000007</v>
      </c>
      <c r="J305" s="10">
        <f>CHOOSE(CONTROL!$C$42, 9.8207, 9.8207)* CHOOSE(CONTROL!$C$21, $C$9, 100%, $E$9)</f>
        <v>9.8207000000000004</v>
      </c>
      <c r="K305" s="10">
        <f>CHOOSE(CONTROL!$C$42, 9.7098, 9.7098) * CHOOSE(CONTROL!$C$21, $C$9, 100%, $E$9)</f>
        <v>9.7097999999999995</v>
      </c>
      <c r="L305" s="10">
        <f>CHOOSE(CONTROL!$C$42, 10.6761, 10.6761) * CHOOSE(CONTROL!$C$21, $C$9, 100%, $E$9)</f>
        <v>10.6761</v>
      </c>
      <c r="M305" s="10">
        <f>CHOOSE(CONTROL!$C$42, 9.7266, 9.7266) * CHOOSE(CONTROL!$C$21, $C$9, 100%, $E$9)</f>
        <v>9.7265999999999995</v>
      </c>
      <c r="N305" s="10">
        <f>CHOOSE(CONTROL!$C$42, 9.7433, 9.7433) * CHOOSE(CONTROL!$C$21, $C$9, 100%, $E$9)</f>
        <v>9.7432999999999996</v>
      </c>
      <c r="O305" s="10">
        <f>CHOOSE(CONTROL!$C$42, 9.9915, 9.9915) * CHOOSE(CONTROL!$C$21, $C$9, 100%, $E$9)</f>
        <v>9.9915000000000003</v>
      </c>
      <c r="P305" s="10">
        <f>CHOOSE(CONTROL!$C$42, 9.7665, 9.7665) * CHOOSE(CONTROL!$C$21, $C$9, 100%, $E$9)</f>
        <v>9.7665000000000006</v>
      </c>
      <c r="Q305" s="10">
        <f>CHOOSE(CONTROL!$C$42, 10.5868, 10.5868) * CHOOSE(CONTROL!$C$21, $C$9, 100%, $E$9)</f>
        <v>10.5868</v>
      </c>
      <c r="R305" s="10">
        <f>CHOOSE(CONTROL!$C$42, 11.2003, 11.2003) * CHOOSE(CONTROL!$C$21, $C$9, 100%, $E$9)</f>
        <v>11.2003</v>
      </c>
      <c r="S305" s="10">
        <f>CHOOSE(CONTROL!$C$42, 9.5876, 9.5876) * CHOOSE(CONTROL!$C$21, $C$9, 100%, $E$9)</f>
        <v>9.5876000000000001</v>
      </c>
      <c r="T30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38">
        <f>(1000*CHOOSE(CONTROL!$C$42, 695, 695)*CHOOSE(CONTROL!$C$42, 0.5599, 0.5599)*CHOOSE(CONTROL!$C$42, 31, 31))/1000000</f>
        <v>12.063045499999998</v>
      </c>
      <c r="V305" s="38">
        <f>(1000*CHOOSE(CONTROL!$C$42, 500, 500)*CHOOSE(CONTROL!$C$42, 0.275, 0.275)*CHOOSE(CONTROL!$C$42, 31, 31))/1000000</f>
        <v>4.2625000000000002</v>
      </c>
      <c r="W305" s="38">
        <f>(1000*CHOOSE(CONTROL!$C$42, 0.1146, 0.1146)*CHOOSE(CONTROL!$C$42, 121.5, 121.5)*CHOOSE(CONTROL!$C$42, 31, 31))/1000000</f>
        <v>0.43164089999999994</v>
      </c>
      <c r="X305" s="38">
        <f>(31*0.1790888*245000/1000000)+(31*0.2374*100000/1000000)</f>
        <v>2.0961194359999999</v>
      </c>
      <c r="Y305" s="38">
        <f>(1000*600*CHOOSE(CONTROL!$C$42, 1.6372, 1.6372)*CHOOSE(CONTROL!$C$42, 31, 31))/1000000</f>
        <v>30.451920000000001</v>
      </c>
      <c r="Z305" s="38"/>
      <c r="AA305" s="10"/>
      <c r="AB305" s="39"/>
      <c r="AC305" s="33">
        <f>(B305*194.205+C305*267.466+D305*133.845+E305*53.484+F305*40+G305*185+H305*0+I305*100+J305*300)/(194.205+267.466+133.845+53.484+0+40+185+100+300)</f>
        <v>9.8910054699372072</v>
      </c>
      <c r="AD305" s="27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9.8105100719424456</v>
      </c>
    </row>
    <row r="306" spans="1:30" ht="15.75" x14ac:dyDescent="0.25">
      <c r="A306" s="14">
        <v>50586</v>
      </c>
      <c r="B306" s="10">
        <f>CHOOSE(CONTROL!$C$42, 10.1672, 10.1672) * CHOOSE(CONTROL!$C$21, $C$9, 100%, $E$9)</f>
        <v>10.167199999999999</v>
      </c>
      <c r="C306" s="10">
        <f>CHOOSE(CONTROL!$C$42, 10.1752, 10.1752) * CHOOSE(CONTROL!$C$21, $C$9, 100%, $E$9)</f>
        <v>10.1752</v>
      </c>
      <c r="D306" s="10">
        <f>CHOOSE(CONTROL!$C$42, 10.3503, 10.3503) * CHOOSE(CONTROL!$C$21, $C$9, 100%, $E$9)</f>
        <v>10.350300000000001</v>
      </c>
      <c r="E306" s="10">
        <f>CHOOSE(CONTROL!$C$42, 10.3816, 10.3816) * CHOOSE(CONTROL!$C$21, $C$9, 100%, $E$9)</f>
        <v>10.381600000000001</v>
      </c>
      <c r="F306" s="10">
        <f>CHOOSE(CONTROL!$C$42, 10.1091, 10.1091)*CHOOSE(CONTROL!$C$21, $C$9, 100%, $E$9)</f>
        <v>10.1091</v>
      </c>
      <c r="G306" s="10">
        <f>CHOOSE(CONTROL!$C$42, 10.126, 10.126)*CHOOSE(CONTROL!$C$21, $C$9, 100%, $E$9)</f>
        <v>10.125999999999999</v>
      </c>
      <c r="H306" s="10">
        <f>CHOOSE(CONTROL!$C$42, 10.3699, 10.3699) * CHOOSE(CONTROL!$C$21, $C$9, 100%, $E$9)</f>
        <v>10.369899999999999</v>
      </c>
      <c r="I306" s="10">
        <f>CHOOSE(CONTROL!$C$42, 10.1419, 10.1419)* CHOOSE(CONTROL!$C$21, $C$9, 100%, $E$9)</f>
        <v>10.1419</v>
      </c>
      <c r="J306" s="10">
        <f>CHOOSE(CONTROL!$C$42, 10.1017, 10.1017)* CHOOSE(CONTROL!$C$21, $C$9, 100%, $E$9)</f>
        <v>10.101699999999999</v>
      </c>
      <c r="K306" s="10">
        <f>CHOOSE(CONTROL!$C$42, 9.9823, 9.9823) * CHOOSE(CONTROL!$C$21, $C$9, 100%, $E$9)</f>
        <v>9.9823000000000004</v>
      </c>
      <c r="L306" s="10">
        <f>CHOOSE(CONTROL!$C$42, 10.9569, 10.9569) * CHOOSE(CONTROL!$C$21, $C$9, 100%, $E$9)</f>
        <v>10.956899999999999</v>
      </c>
      <c r="M306" s="10">
        <f>CHOOSE(CONTROL!$C$42, 10.004, 10.004) * CHOOSE(CONTROL!$C$21, $C$9, 100%, $E$9)</f>
        <v>10.004</v>
      </c>
      <c r="N306" s="10">
        <f>CHOOSE(CONTROL!$C$42, 10.0207, 10.0207) * CHOOSE(CONTROL!$C$21, $C$9, 100%, $E$9)</f>
        <v>10.0207</v>
      </c>
      <c r="O306" s="10">
        <f>CHOOSE(CONTROL!$C$42, 10.2687, 10.2687) * CHOOSE(CONTROL!$C$21, $C$9, 100%, $E$9)</f>
        <v>10.268700000000001</v>
      </c>
      <c r="P306" s="10">
        <f>CHOOSE(CONTROL!$C$42, 10.0437, 10.0437) * CHOOSE(CONTROL!$C$21, $C$9, 100%, $E$9)</f>
        <v>10.043699999999999</v>
      </c>
      <c r="Q306" s="10">
        <f>CHOOSE(CONTROL!$C$42, 10.864, 10.864) * CHOOSE(CONTROL!$C$21, $C$9, 100%, $E$9)</f>
        <v>10.864000000000001</v>
      </c>
      <c r="R306" s="10">
        <f>CHOOSE(CONTROL!$C$42, 11.4782, 11.4782) * CHOOSE(CONTROL!$C$21, $C$9, 100%, $E$9)</f>
        <v>11.478199999999999</v>
      </c>
      <c r="S306" s="10">
        <f>CHOOSE(CONTROL!$C$42, 9.8595, 9.8595) * CHOOSE(CONTROL!$C$21, $C$9, 100%, $E$9)</f>
        <v>9.8595000000000006</v>
      </c>
      <c r="T30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38">
        <f>(1000*CHOOSE(CONTROL!$C$42, 695, 695)*CHOOSE(CONTROL!$C$42, 0.5599, 0.5599)*CHOOSE(CONTROL!$C$42, 30, 30))/1000000</f>
        <v>11.673914999999997</v>
      </c>
      <c r="V306" s="38">
        <f>(1000*CHOOSE(CONTROL!$C$42, 500, 500)*CHOOSE(CONTROL!$C$42, 0.275, 0.275)*CHOOSE(CONTROL!$C$42, 30, 30))/1000000</f>
        <v>4.125</v>
      </c>
      <c r="W306" s="38">
        <f>(1000*CHOOSE(CONTROL!$C$42, 0.1146, 0.1146)*CHOOSE(CONTROL!$C$42, 121.5, 121.5)*CHOOSE(CONTROL!$C$42, 30, 30))/1000000</f>
        <v>0.417717</v>
      </c>
      <c r="X306" s="38">
        <f>(30*0.1790888*245000/1000000)+(30*0.2374*100000/1000000)</f>
        <v>2.0285026799999999</v>
      </c>
      <c r="Y306" s="38">
        <f>(1000*600*CHOOSE(CONTROL!$C$42, 1.6372, 1.6372)*CHOOSE(CONTROL!$C$42, 30, 30))/1000000</f>
        <v>29.4696</v>
      </c>
      <c r="Z306" s="38"/>
      <c r="AA306" s="10"/>
      <c r="AB306" s="39"/>
      <c r="AC306" s="33">
        <f>(B306*194.205+C306*267.466+D306*133.845+E306*53.484+F306*40+G306*185+H306*0+I306*100+J306*300)/(194.205+267.466+133.845+53.484+0+40+185+100+300)</f>
        <v>10.171899934929357</v>
      </c>
      <c r="AD306" s="27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10.087825179856114</v>
      </c>
    </row>
    <row r="307" spans="1:30" ht="15.75" x14ac:dyDescent="0.25">
      <c r="A307" s="14">
        <v>50617</v>
      </c>
      <c r="B307" s="10">
        <f>CHOOSE(CONTROL!$C$42, 9.9719, 9.9719) * CHOOSE(CONTROL!$C$21, $C$9, 100%, $E$9)</f>
        <v>9.9718999999999998</v>
      </c>
      <c r="C307" s="10">
        <f>CHOOSE(CONTROL!$C$42, 9.9799, 9.9799) * CHOOSE(CONTROL!$C$21, $C$9, 100%, $E$9)</f>
        <v>9.9799000000000007</v>
      </c>
      <c r="D307" s="10">
        <f>CHOOSE(CONTROL!$C$42, 10.155, 10.155) * CHOOSE(CONTROL!$C$21, $C$9, 100%, $E$9)</f>
        <v>10.154999999999999</v>
      </c>
      <c r="E307" s="10">
        <f>CHOOSE(CONTROL!$C$42, 10.1862, 10.1862) * CHOOSE(CONTROL!$C$21, $C$9, 100%, $E$9)</f>
        <v>10.186199999999999</v>
      </c>
      <c r="F307" s="10">
        <f>CHOOSE(CONTROL!$C$42, 9.9141, 9.9141)*CHOOSE(CONTROL!$C$21, $C$9, 100%, $E$9)</f>
        <v>9.9140999999999995</v>
      </c>
      <c r="G307" s="10">
        <f>CHOOSE(CONTROL!$C$42, 9.9312, 9.9312)*CHOOSE(CONTROL!$C$21, $C$9, 100%, $E$9)</f>
        <v>9.9312000000000005</v>
      </c>
      <c r="H307" s="10">
        <f>CHOOSE(CONTROL!$C$42, 10.1746, 10.1746) * CHOOSE(CONTROL!$C$21, $C$9, 100%, $E$9)</f>
        <v>10.1746</v>
      </c>
      <c r="I307" s="10">
        <f>CHOOSE(CONTROL!$C$42, 9.9466, 9.9466)* CHOOSE(CONTROL!$C$21, $C$9, 100%, $E$9)</f>
        <v>9.9466000000000001</v>
      </c>
      <c r="J307" s="10">
        <f>CHOOSE(CONTROL!$C$42, 9.9067, 9.9067)* CHOOSE(CONTROL!$C$21, $C$9, 100%, $E$9)</f>
        <v>9.9067000000000007</v>
      </c>
      <c r="K307" s="10">
        <f>CHOOSE(CONTROL!$C$42, 9.7938, 9.7938) * CHOOSE(CONTROL!$C$21, $C$9, 100%, $E$9)</f>
        <v>9.7937999999999992</v>
      </c>
      <c r="L307" s="10">
        <f>CHOOSE(CONTROL!$C$42, 10.7616, 10.7616) * CHOOSE(CONTROL!$C$21, $C$9, 100%, $E$9)</f>
        <v>10.7616</v>
      </c>
      <c r="M307" s="10">
        <f>CHOOSE(CONTROL!$C$42, 9.8115, 9.8115) * CHOOSE(CONTROL!$C$21, $C$9, 100%, $E$9)</f>
        <v>9.8115000000000006</v>
      </c>
      <c r="N307" s="10">
        <f>CHOOSE(CONTROL!$C$42, 9.8283, 9.8283) * CHOOSE(CONTROL!$C$21, $C$9, 100%, $E$9)</f>
        <v>9.8283000000000005</v>
      </c>
      <c r="O307" s="10">
        <f>CHOOSE(CONTROL!$C$42, 10.0759, 10.0759) * CHOOSE(CONTROL!$C$21, $C$9, 100%, $E$9)</f>
        <v>10.075900000000001</v>
      </c>
      <c r="P307" s="10">
        <f>CHOOSE(CONTROL!$C$42, 9.8509, 9.8509) * CHOOSE(CONTROL!$C$21, $C$9, 100%, $E$9)</f>
        <v>9.8508999999999993</v>
      </c>
      <c r="Q307" s="10">
        <f>CHOOSE(CONTROL!$C$42, 10.6712, 10.6712) * CHOOSE(CONTROL!$C$21, $C$9, 100%, $E$9)</f>
        <v>10.671200000000001</v>
      </c>
      <c r="R307" s="10">
        <f>CHOOSE(CONTROL!$C$42, 11.2849, 11.2849) * CHOOSE(CONTROL!$C$21, $C$9, 100%, $E$9)</f>
        <v>11.2849</v>
      </c>
      <c r="S307" s="10">
        <f>CHOOSE(CONTROL!$C$42, 9.6704, 9.6704) * CHOOSE(CONTROL!$C$21, $C$9, 100%, $E$9)</f>
        <v>9.6704000000000008</v>
      </c>
      <c r="T30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38">
        <f>(1000*CHOOSE(CONTROL!$C$42, 695, 695)*CHOOSE(CONTROL!$C$42, 0.5599, 0.5599)*CHOOSE(CONTROL!$C$42, 31, 31))/1000000</f>
        <v>12.063045499999998</v>
      </c>
      <c r="V307" s="38">
        <f>(1000*CHOOSE(CONTROL!$C$42, 500, 500)*CHOOSE(CONTROL!$C$42, 0.275, 0.275)*CHOOSE(CONTROL!$C$42, 31, 31))/1000000</f>
        <v>4.2625000000000002</v>
      </c>
      <c r="W307" s="38">
        <f>(1000*CHOOSE(CONTROL!$C$42, 0.1146, 0.1146)*CHOOSE(CONTROL!$C$42, 121.5, 121.5)*CHOOSE(CONTROL!$C$42, 31, 31))/1000000</f>
        <v>0.43164089999999994</v>
      </c>
      <c r="X307" s="38">
        <f>(31*0.1790888*245000/1000000)+(31*0.2374*100000/1000000)</f>
        <v>2.0961194359999999</v>
      </c>
      <c r="Y307" s="38">
        <f>(1000*600*CHOOSE(CONTROL!$C$42, 1.6372, 1.6372)*CHOOSE(CONTROL!$C$42, 31, 31))/1000000</f>
        <v>30.451920000000001</v>
      </c>
      <c r="Z307" s="38"/>
      <c r="AA307" s="10"/>
      <c r="AB307" s="39"/>
      <c r="AC307" s="33">
        <f>(B307*194.205+C307*267.466+D307*133.845+E307*53.484+F307*40+G307*185+H307*0+I307*100+J307*300)/(194.205+267.466+133.845+53.484+0+40+185+100+300)</f>
        <v>9.9767484055729998</v>
      </c>
      <c r="AD307" s="27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9.895220863309353</v>
      </c>
    </row>
    <row r="308" spans="1:30" ht="15.75" x14ac:dyDescent="0.25">
      <c r="A308" s="14">
        <v>50648</v>
      </c>
      <c r="B308" s="10">
        <f>CHOOSE(CONTROL!$C$42, 9.4787, 9.4787) * CHOOSE(CONTROL!$C$21, $C$9, 100%, $E$9)</f>
        <v>9.4786999999999999</v>
      </c>
      <c r="C308" s="10">
        <f>CHOOSE(CONTROL!$C$42, 9.4867, 9.4867) * CHOOSE(CONTROL!$C$21, $C$9, 100%, $E$9)</f>
        <v>9.4867000000000008</v>
      </c>
      <c r="D308" s="10">
        <f>CHOOSE(CONTROL!$C$42, 9.6618, 9.6618) * CHOOSE(CONTROL!$C$21, $C$9, 100%, $E$9)</f>
        <v>9.6617999999999995</v>
      </c>
      <c r="E308" s="10">
        <f>CHOOSE(CONTROL!$C$42, 9.693, 9.693) * CHOOSE(CONTROL!$C$21, $C$9, 100%, $E$9)</f>
        <v>9.6929999999999996</v>
      </c>
      <c r="F308" s="10">
        <f>CHOOSE(CONTROL!$C$42, 9.4208, 9.4208)*CHOOSE(CONTROL!$C$21, $C$9, 100%, $E$9)</f>
        <v>9.4207999999999998</v>
      </c>
      <c r="G308" s="10">
        <f>CHOOSE(CONTROL!$C$42, 9.4378, 9.4378)*CHOOSE(CONTROL!$C$21, $C$9, 100%, $E$9)</f>
        <v>9.4377999999999993</v>
      </c>
      <c r="H308" s="10">
        <f>CHOOSE(CONTROL!$C$42, 9.6813, 9.6813) * CHOOSE(CONTROL!$C$21, $C$9, 100%, $E$9)</f>
        <v>9.6813000000000002</v>
      </c>
      <c r="I308" s="10">
        <f>CHOOSE(CONTROL!$C$42, 9.4533, 9.4533)* CHOOSE(CONTROL!$C$21, $C$9, 100%, $E$9)</f>
        <v>9.4533000000000005</v>
      </c>
      <c r="J308" s="10">
        <f>CHOOSE(CONTROL!$C$42, 9.4134, 9.4134)* CHOOSE(CONTROL!$C$21, $C$9, 100%, $E$9)</f>
        <v>9.4133999999999993</v>
      </c>
      <c r="K308" s="10">
        <f>CHOOSE(CONTROL!$C$42, 9.3157, 9.3157) * CHOOSE(CONTROL!$C$21, $C$9, 100%, $E$9)</f>
        <v>9.3156999999999996</v>
      </c>
      <c r="L308" s="10">
        <f>CHOOSE(CONTROL!$C$42, 10.2683, 10.2683) * CHOOSE(CONTROL!$C$21, $C$9, 100%, $E$9)</f>
        <v>10.2683</v>
      </c>
      <c r="M308" s="10">
        <f>CHOOSE(CONTROL!$C$42, 9.3246, 9.3246) * CHOOSE(CONTROL!$C$21, $C$9, 100%, $E$9)</f>
        <v>9.3246000000000002</v>
      </c>
      <c r="N308" s="10">
        <f>CHOOSE(CONTROL!$C$42, 9.3413, 9.3413) * CHOOSE(CONTROL!$C$21, $C$9, 100%, $E$9)</f>
        <v>9.3413000000000004</v>
      </c>
      <c r="O308" s="10">
        <f>CHOOSE(CONTROL!$C$42, 9.589, 9.589) * CHOOSE(CONTROL!$C$21, $C$9, 100%, $E$9)</f>
        <v>9.5890000000000004</v>
      </c>
      <c r="P308" s="10">
        <f>CHOOSE(CONTROL!$C$42, 9.364, 9.364) * CHOOSE(CONTROL!$C$21, $C$9, 100%, $E$9)</f>
        <v>9.3640000000000008</v>
      </c>
      <c r="Q308" s="10">
        <f>CHOOSE(CONTROL!$C$42, 10.1843, 10.1843) * CHOOSE(CONTROL!$C$21, $C$9, 100%, $E$9)</f>
        <v>10.1843</v>
      </c>
      <c r="R308" s="10">
        <f>CHOOSE(CONTROL!$C$42, 10.7968, 10.7968) * CHOOSE(CONTROL!$C$21, $C$9, 100%, $E$9)</f>
        <v>10.796799999999999</v>
      </c>
      <c r="S308" s="10">
        <f>CHOOSE(CONTROL!$C$42, 9.1928, 9.1928) * CHOOSE(CONTROL!$C$21, $C$9, 100%, $E$9)</f>
        <v>9.1928000000000001</v>
      </c>
      <c r="T30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38">
        <f>(1000*CHOOSE(CONTROL!$C$42, 695, 695)*CHOOSE(CONTROL!$C$42, 0.5599, 0.5599)*CHOOSE(CONTROL!$C$42, 31, 31))/1000000</f>
        <v>12.063045499999998</v>
      </c>
      <c r="V308" s="38">
        <f>(1000*CHOOSE(CONTROL!$C$42, 500, 500)*CHOOSE(CONTROL!$C$42, 0.275, 0.275)*CHOOSE(CONTROL!$C$42, 31, 31))/1000000</f>
        <v>4.2625000000000002</v>
      </c>
      <c r="W308" s="38">
        <f>(1000*CHOOSE(CONTROL!$C$42, 0.1146, 0.1146)*CHOOSE(CONTROL!$C$42, 121.5, 121.5)*CHOOSE(CONTROL!$C$42, 31, 31))/1000000</f>
        <v>0.43164089999999994</v>
      </c>
      <c r="X308" s="38">
        <f>(31*0.1790888*245000/1000000)+(31*0.2374*100000/1000000)</f>
        <v>2.0961194359999999</v>
      </c>
      <c r="Y308" s="38">
        <f>(1000*600*CHOOSE(CONTROL!$C$42, 1.6372, 1.6372)*CHOOSE(CONTROL!$C$42, 31, 31))/1000000</f>
        <v>30.451920000000001</v>
      </c>
      <c r="Z308" s="38"/>
      <c r="AA308" s="10"/>
      <c r="AB308" s="39"/>
      <c r="AC308" s="33">
        <f>(B308*194.205+C308*267.466+D308*133.845+E308*53.484+F308*40+G308*185+H308*0+I308*100+J308*300)/(194.205+267.466+133.845+53.484+0+40+185+100+300)</f>
        <v>9.4834848262951343</v>
      </c>
      <c r="AD308" s="27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9.4082978417266183</v>
      </c>
    </row>
    <row r="309" spans="1:30" ht="15.75" x14ac:dyDescent="0.25">
      <c r="A309" s="14">
        <v>50678</v>
      </c>
      <c r="B309" s="10">
        <f>CHOOSE(CONTROL!$C$42, 8.876, 8.876) * CHOOSE(CONTROL!$C$21, $C$9, 100%, $E$9)</f>
        <v>8.8759999999999994</v>
      </c>
      <c r="C309" s="10">
        <f>CHOOSE(CONTROL!$C$42, 8.884, 8.884) * CHOOSE(CONTROL!$C$21, $C$9, 100%, $E$9)</f>
        <v>8.8840000000000003</v>
      </c>
      <c r="D309" s="10">
        <f>CHOOSE(CONTROL!$C$42, 9.0591, 9.0591) * CHOOSE(CONTROL!$C$21, $C$9, 100%, $E$9)</f>
        <v>9.0591000000000008</v>
      </c>
      <c r="E309" s="10">
        <f>CHOOSE(CONTROL!$C$42, 9.0903, 9.0903) * CHOOSE(CONTROL!$C$21, $C$9, 100%, $E$9)</f>
        <v>9.0902999999999992</v>
      </c>
      <c r="F309" s="10">
        <f>CHOOSE(CONTROL!$C$42, 8.8178, 8.8178)*CHOOSE(CONTROL!$C$21, $C$9, 100%, $E$9)</f>
        <v>8.8178000000000001</v>
      </c>
      <c r="G309" s="10">
        <f>CHOOSE(CONTROL!$C$42, 8.8347, 8.8347)*CHOOSE(CONTROL!$C$21, $C$9, 100%, $E$9)</f>
        <v>8.8346999999999998</v>
      </c>
      <c r="H309" s="10">
        <f>CHOOSE(CONTROL!$C$42, 9.0787, 9.0787) * CHOOSE(CONTROL!$C$21, $C$9, 100%, $E$9)</f>
        <v>9.0786999999999995</v>
      </c>
      <c r="I309" s="10">
        <f>CHOOSE(CONTROL!$C$42, 8.8506, 8.8506)* CHOOSE(CONTROL!$C$21, $C$9, 100%, $E$9)</f>
        <v>8.8506</v>
      </c>
      <c r="J309" s="10">
        <f>CHOOSE(CONTROL!$C$42, 8.8104, 8.8104)* CHOOSE(CONTROL!$C$21, $C$9, 100%, $E$9)</f>
        <v>8.8103999999999996</v>
      </c>
      <c r="K309" s="10">
        <f>CHOOSE(CONTROL!$C$42, 8.7312, 8.7312) * CHOOSE(CONTROL!$C$21, $C$9, 100%, $E$9)</f>
        <v>8.7311999999999994</v>
      </c>
      <c r="L309" s="10">
        <f>CHOOSE(CONTROL!$C$42, 9.6657, 9.6657) * CHOOSE(CONTROL!$C$21, $C$9, 100%, $E$9)</f>
        <v>9.6656999999999993</v>
      </c>
      <c r="M309" s="10">
        <f>CHOOSE(CONTROL!$C$42, 8.7294, 8.7294) * CHOOSE(CONTROL!$C$21, $C$9, 100%, $E$9)</f>
        <v>8.7294</v>
      </c>
      <c r="N309" s="10">
        <f>CHOOSE(CONTROL!$C$42, 8.7461, 8.7461) * CHOOSE(CONTROL!$C$21, $C$9, 100%, $E$9)</f>
        <v>8.7461000000000002</v>
      </c>
      <c r="O309" s="10">
        <f>CHOOSE(CONTROL!$C$42, 8.9942, 8.9942) * CHOOSE(CONTROL!$C$21, $C$9, 100%, $E$9)</f>
        <v>8.9941999999999993</v>
      </c>
      <c r="P309" s="10">
        <f>CHOOSE(CONTROL!$C$42, 8.7692, 8.7692) * CHOOSE(CONTROL!$C$21, $C$9, 100%, $E$9)</f>
        <v>8.7691999999999997</v>
      </c>
      <c r="Q309" s="10">
        <f>CHOOSE(CONTROL!$C$42, 9.5895, 9.5895) * CHOOSE(CONTROL!$C$21, $C$9, 100%, $E$9)</f>
        <v>9.5894999999999992</v>
      </c>
      <c r="R309" s="10">
        <f>CHOOSE(CONTROL!$C$42, 10.2005, 10.2005) * CHOOSE(CONTROL!$C$21, $C$9, 100%, $E$9)</f>
        <v>10.2005</v>
      </c>
      <c r="S309" s="10">
        <f>CHOOSE(CONTROL!$C$42, 8.6092, 8.6092) * CHOOSE(CONTROL!$C$21, $C$9, 100%, $E$9)</f>
        <v>8.6091999999999995</v>
      </c>
      <c r="T30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38">
        <f>(1000*CHOOSE(CONTROL!$C$42, 695, 695)*CHOOSE(CONTROL!$C$42, 0.5599, 0.5599)*CHOOSE(CONTROL!$C$42, 30, 30))/1000000</f>
        <v>11.673914999999997</v>
      </c>
      <c r="V309" s="38">
        <f>(1000*CHOOSE(CONTROL!$C$42, 500, 500)*CHOOSE(CONTROL!$C$42, 0.275, 0.275)*CHOOSE(CONTROL!$C$42, 30, 30))/1000000</f>
        <v>4.125</v>
      </c>
      <c r="W309" s="38">
        <f>(1000*CHOOSE(CONTROL!$C$42, 0.1146, 0.1146)*CHOOSE(CONTROL!$C$42, 121.5, 121.5)*CHOOSE(CONTROL!$C$42, 30, 30))/1000000</f>
        <v>0.417717</v>
      </c>
      <c r="X309" s="38">
        <f>(30*0.1790888*245000/1000000)+(30*0.2374*100000/1000000)</f>
        <v>2.0285026799999999</v>
      </c>
      <c r="Y309" s="38">
        <f>(1000*600*CHOOSE(CONTROL!$C$42, 1.6372, 1.6372)*CHOOSE(CONTROL!$C$42, 30, 30))/1000000</f>
        <v>29.4696</v>
      </c>
      <c r="Z309" s="38"/>
      <c r="AA309" s="10"/>
      <c r="AB309" s="39"/>
      <c r="AC309" s="33">
        <f>(B309*194.205+C309*267.466+D309*133.845+E309*53.484+F309*40+G309*185+H309*0+I309*100+J309*300)/(194.205+267.466+133.845+53.484+0+40+185+100+300)</f>
        <v>8.8806466787284144</v>
      </c>
      <c r="AD309" s="27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8.8132676258992806</v>
      </c>
    </row>
    <row r="310" spans="1:30" ht="15.75" x14ac:dyDescent="0.25">
      <c r="A310" s="14">
        <v>50709</v>
      </c>
      <c r="B310" s="10">
        <f>CHOOSE(CONTROL!$C$42, 8.6934, 8.6934) * CHOOSE(CONTROL!$C$21, $C$9, 100%, $E$9)</f>
        <v>8.6934000000000005</v>
      </c>
      <c r="C310" s="10">
        <f>CHOOSE(CONTROL!$C$42, 8.6987, 8.6987) * CHOOSE(CONTROL!$C$21, $C$9, 100%, $E$9)</f>
        <v>8.6987000000000005</v>
      </c>
      <c r="D310" s="10">
        <f>CHOOSE(CONTROL!$C$42, 8.8787, 8.8787) * CHOOSE(CONTROL!$C$21, $C$9, 100%, $E$9)</f>
        <v>8.8787000000000003</v>
      </c>
      <c r="E310" s="10">
        <f>CHOOSE(CONTROL!$C$42, 8.9076, 8.9076) * CHOOSE(CONTROL!$C$21, $C$9, 100%, $E$9)</f>
        <v>8.9076000000000004</v>
      </c>
      <c r="F310" s="10">
        <f>CHOOSE(CONTROL!$C$42, 8.6372, 8.6372)*CHOOSE(CONTROL!$C$21, $C$9, 100%, $E$9)</f>
        <v>8.6372</v>
      </c>
      <c r="G310" s="10">
        <f>CHOOSE(CONTROL!$C$42, 8.6538, 8.6538)*CHOOSE(CONTROL!$C$21, $C$9, 100%, $E$9)</f>
        <v>8.6538000000000004</v>
      </c>
      <c r="H310" s="10">
        <f>CHOOSE(CONTROL!$C$42, 8.8978, 8.8978) * CHOOSE(CONTROL!$C$21, $C$9, 100%, $E$9)</f>
        <v>8.8978000000000002</v>
      </c>
      <c r="I310" s="10">
        <f>CHOOSE(CONTROL!$C$42, 8.6697, 8.6697)* CHOOSE(CONTROL!$C$21, $C$9, 100%, $E$9)</f>
        <v>8.6697000000000006</v>
      </c>
      <c r="J310" s="10">
        <f>CHOOSE(CONTROL!$C$42, 8.6298, 8.6298)* CHOOSE(CONTROL!$C$21, $C$9, 100%, $E$9)</f>
        <v>8.6297999999999995</v>
      </c>
      <c r="K310" s="10">
        <f>CHOOSE(CONTROL!$C$42, 8.5565, 8.5565) * CHOOSE(CONTROL!$C$21, $C$9, 100%, $E$9)</f>
        <v>8.5564999999999998</v>
      </c>
      <c r="L310" s="10">
        <f>CHOOSE(CONTROL!$C$42, 9.4848, 9.4848) * CHOOSE(CONTROL!$C$21, $C$9, 100%, $E$9)</f>
        <v>9.4847999999999999</v>
      </c>
      <c r="M310" s="10">
        <f>CHOOSE(CONTROL!$C$42, 8.5511, 8.5511) * CHOOSE(CONTROL!$C$21, $C$9, 100%, $E$9)</f>
        <v>8.5510999999999999</v>
      </c>
      <c r="N310" s="10">
        <f>CHOOSE(CONTROL!$C$42, 8.5675, 8.5675) * CHOOSE(CONTROL!$C$21, $C$9, 100%, $E$9)</f>
        <v>8.5675000000000008</v>
      </c>
      <c r="O310" s="10">
        <f>CHOOSE(CONTROL!$C$42, 8.8156, 8.8156) * CHOOSE(CONTROL!$C$21, $C$9, 100%, $E$9)</f>
        <v>8.8155999999999999</v>
      </c>
      <c r="P310" s="10">
        <f>CHOOSE(CONTROL!$C$42, 8.5906, 8.5906) * CHOOSE(CONTROL!$C$21, $C$9, 100%, $E$9)</f>
        <v>8.5906000000000002</v>
      </c>
      <c r="Q310" s="10">
        <f>CHOOSE(CONTROL!$C$42, 9.4109, 9.4109) * CHOOSE(CONTROL!$C$21, $C$9, 100%, $E$9)</f>
        <v>9.4108999999999998</v>
      </c>
      <c r="R310" s="10">
        <f>CHOOSE(CONTROL!$C$42, 10.0215, 10.0215) * CHOOSE(CONTROL!$C$21, $C$9, 100%, $E$9)</f>
        <v>10.0215</v>
      </c>
      <c r="S310" s="10">
        <f>CHOOSE(CONTROL!$C$42, 8.4341, 8.4341) * CHOOSE(CONTROL!$C$21, $C$9, 100%, $E$9)</f>
        <v>8.4341000000000008</v>
      </c>
      <c r="T31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38">
        <f>(1000*CHOOSE(CONTROL!$C$42, 695, 695)*CHOOSE(CONTROL!$C$42, 0.5599, 0.5599)*CHOOSE(CONTROL!$C$42, 31, 31))/1000000</f>
        <v>12.063045499999998</v>
      </c>
      <c r="V310" s="38">
        <f>(1000*CHOOSE(CONTROL!$C$42, 500, 500)*CHOOSE(CONTROL!$C$42, 0.275, 0.275)*CHOOSE(CONTROL!$C$42, 31, 31))/1000000</f>
        <v>4.2625000000000002</v>
      </c>
      <c r="W310" s="38">
        <f>(1000*CHOOSE(CONTROL!$C$42, 0.1146, 0.1146)*CHOOSE(CONTROL!$C$42, 121.5, 121.5)*CHOOSE(CONTROL!$C$42, 31, 31))/1000000</f>
        <v>0.43164089999999994</v>
      </c>
      <c r="X310" s="38">
        <f>(31*0.1790888*245000/1000000)+(31*0.2374*100000/1000000)</f>
        <v>2.0961194359999999</v>
      </c>
      <c r="Y310" s="38">
        <f>(1000*600*CHOOSE(CONTROL!$C$42, 1.6372, 1.6372)*CHOOSE(CONTROL!$C$42, 31, 31))/1000000</f>
        <v>30.451920000000001</v>
      </c>
      <c r="Z310" s="38"/>
      <c r="AA310" s="10"/>
      <c r="AB310" s="39"/>
      <c r="AC310" s="33">
        <f>(B310*131.881+C310*277.167+D310*79.08+E310*125.872+F310*40+G310*185+H310*0+I310*100+J310*300)/(131.881+277.167+79.08+125.872+0+40+185+100+300)</f>
        <v>8.7031338914447147</v>
      </c>
      <c r="AD310" s="27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8.6347712230215823</v>
      </c>
    </row>
    <row r="311" spans="1:30" ht="15.75" x14ac:dyDescent="0.25">
      <c r="A311" s="14">
        <v>50739</v>
      </c>
      <c r="B311" s="10">
        <f>CHOOSE(CONTROL!$C$42, 8.9224, 8.9224) * CHOOSE(CONTROL!$C$21, $C$9, 100%, $E$9)</f>
        <v>8.9223999999999997</v>
      </c>
      <c r="C311" s="10">
        <f>CHOOSE(CONTROL!$C$42, 8.9275, 8.9275) * CHOOSE(CONTROL!$C$21, $C$9, 100%, $E$9)</f>
        <v>8.9275000000000002</v>
      </c>
      <c r="D311" s="10">
        <f>CHOOSE(CONTROL!$C$42, 8.9522, 8.9522) * CHOOSE(CONTROL!$C$21, $C$9, 100%, $E$9)</f>
        <v>8.9521999999999995</v>
      </c>
      <c r="E311" s="10">
        <f>CHOOSE(CONTROL!$C$42, 8.986, 8.986) * CHOOSE(CONTROL!$C$21, $C$9, 100%, $E$9)</f>
        <v>8.9860000000000007</v>
      </c>
      <c r="F311" s="10">
        <f>CHOOSE(CONTROL!$C$42, 8.8881, 8.8881)*CHOOSE(CONTROL!$C$21, $C$9, 100%, $E$9)</f>
        <v>8.8880999999999997</v>
      </c>
      <c r="G311" s="10">
        <f>CHOOSE(CONTROL!$C$42, 8.9049, 8.9049)*CHOOSE(CONTROL!$C$21, $C$9, 100%, $E$9)</f>
        <v>8.9048999999999996</v>
      </c>
      <c r="H311" s="10">
        <f>CHOOSE(CONTROL!$C$42, 8.9749, 8.9749) * CHOOSE(CONTROL!$C$21, $C$9, 100%, $E$9)</f>
        <v>8.9748999999999999</v>
      </c>
      <c r="I311" s="10">
        <f>CHOOSE(CONTROL!$C$42, 8.9219, 8.9219)* CHOOSE(CONTROL!$C$21, $C$9, 100%, $E$9)</f>
        <v>8.9219000000000008</v>
      </c>
      <c r="J311" s="10">
        <f>CHOOSE(CONTROL!$C$42, 8.8807, 8.8807)* CHOOSE(CONTROL!$C$21, $C$9, 100%, $E$9)</f>
        <v>8.8806999999999992</v>
      </c>
      <c r="K311" s="10">
        <f>CHOOSE(CONTROL!$C$42, 8.8026, 8.8026) * CHOOSE(CONTROL!$C$21, $C$9, 100%, $E$9)</f>
        <v>8.8026</v>
      </c>
      <c r="L311" s="10">
        <f>CHOOSE(CONTROL!$C$42, 9.5619, 9.5619) * CHOOSE(CONTROL!$C$21, $C$9, 100%, $E$9)</f>
        <v>9.5618999999999996</v>
      </c>
      <c r="M311" s="10">
        <f>CHOOSE(CONTROL!$C$42, 8.7987, 8.7987) * CHOOSE(CONTROL!$C$21, $C$9, 100%, $E$9)</f>
        <v>8.7987000000000002</v>
      </c>
      <c r="N311" s="10">
        <f>CHOOSE(CONTROL!$C$42, 8.8153, 8.8153) * CHOOSE(CONTROL!$C$21, $C$9, 100%, $E$9)</f>
        <v>8.8153000000000006</v>
      </c>
      <c r="O311" s="10">
        <f>CHOOSE(CONTROL!$C$42, 8.8918, 8.8918) * CHOOSE(CONTROL!$C$21, $C$9, 100%, $E$9)</f>
        <v>8.8917999999999999</v>
      </c>
      <c r="P311" s="10">
        <f>CHOOSE(CONTROL!$C$42, 8.8395, 8.8395) * CHOOSE(CONTROL!$C$21, $C$9, 100%, $E$9)</f>
        <v>8.8394999999999992</v>
      </c>
      <c r="Q311" s="10">
        <f>CHOOSE(CONTROL!$C$42, 9.4871, 9.4871) * CHOOSE(CONTROL!$C$21, $C$9, 100%, $E$9)</f>
        <v>9.4870999999999999</v>
      </c>
      <c r="R311" s="10">
        <f>CHOOSE(CONTROL!$C$42, 10.0978, 10.0978) * CHOOSE(CONTROL!$C$21, $C$9, 100%, $E$9)</f>
        <v>10.097799999999999</v>
      </c>
      <c r="S311" s="10">
        <f>CHOOSE(CONTROL!$C$42, 8.6562, 8.6562) * CHOOSE(CONTROL!$C$21, $C$9, 100%, $E$9)</f>
        <v>8.6562000000000001</v>
      </c>
      <c r="T31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38">
        <f>(1000*CHOOSE(CONTROL!$C$42, 695, 695)*CHOOSE(CONTROL!$C$42, 0.5599, 0.5599)*CHOOSE(CONTROL!$C$42, 30, 30))/1000000</f>
        <v>11.673914999999997</v>
      </c>
      <c r="V311" s="38">
        <f>(1000*CHOOSE(CONTROL!$C$42, 500, 500)*CHOOSE(CONTROL!$C$42, 0.275, 0.275)*CHOOSE(CONTROL!$C$42, 30, 30))/1000000</f>
        <v>4.125</v>
      </c>
      <c r="W311" s="38">
        <f>(1000*CHOOSE(CONTROL!$C$42, 0.1146, 0.1146)*CHOOSE(CONTROL!$C$42, 121.5, 121.5)*CHOOSE(CONTROL!$C$42, 30, 30))/1000000</f>
        <v>0.417717</v>
      </c>
      <c r="X311" s="38">
        <f>(30*0.1790888*100000/1000000)+(30*0.2374*100000/1000000)</f>
        <v>1.2494664</v>
      </c>
      <c r="Y311" s="38">
        <f>(1000*600*CHOOSE(CONTROL!$C$42, 1.6372, 1.6372)*CHOOSE(CONTROL!$C$42, 30, 30))/1000000</f>
        <v>29.4696</v>
      </c>
      <c r="Z311" s="38"/>
      <c r="AA311" s="10"/>
      <c r="AB311" s="39"/>
      <c r="AC311" s="33">
        <f>(B311*122.58+C311*297.941+D311*89.177+E311*40.302+F311*40+G311*160+H311*0+I311*100+J311*300)/(122.58+297.941+89.177+40.302+0+40+160+100+300)</f>
        <v>8.9137114616521735</v>
      </c>
      <c r="AD311" s="27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8.8477223021582745</v>
      </c>
    </row>
    <row r="312" spans="1:30" ht="15.75" x14ac:dyDescent="0.25">
      <c r="A312" s="14">
        <v>50770</v>
      </c>
      <c r="B312" s="10">
        <f>CHOOSE(CONTROL!$C$42, 9.5319, 9.5319) * CHOOSE(CONTROL!$C$21, $C$9, 100%, $E$9)</f>
        <v>9.5319000000000003</v>
      </c>
      <c r="C312" s="10">
        <f>CHOOSE(CONTROL!$C$42, 9.537, 9.537) * CHOOSE(CONTROL!$C$21, $C$9, 100%, $E$9)</f>
        <v>9.5370000000000008</v>
      </c>
      <c r="D312" s="10">
        <f>CHOOSE(CONTROL!$C$42, 9.5616, 9.5616) * CHOOSE(CONTROL!$C$21, $C$9, 100%, $E$9)</f>
        <v>9.5616000000000003</v>
      </c>
      <c r="E312" s="10">
        <f>CHOOSE(CONTROL!$C$42, 9.5955, 9.5955) * CHOOSE(CONTROL!$C$21, $C$9, 100%, $E$9)</f>
        <v>9.5954999999999995</v>
      </c>
      <c r="F312" s="10">
        <f>CHOOSE(CONTROL!$C$42, 9.4993, 9.4993)*CHOOSE(CONTROL!$C$21, $C$9, 100%, $E$9)</f>
        <v>9.4992999999999999</v>
      </c>
      <c r="G312" s="10">
        <f>CHOOSE(CONTROL!$C$42, 9.5166, 9.5166)*CHOOSE(CONTROL!$C$21, $C$9, 100%, $E$9)</f>
        <v>9.5166000000000004</v>
      </c>
      <c r="H312" s="10">
        <f>CHOOSE(CONTROL!$C$42, 9.5843, 9.5843) * CHOOSE(CONTROL!$C$21, $C$9, 100%, $E$9)</f>
        <v>9.5843000000000007</v>
      </c>
      <c r="I312" s="10">
        <f>CHOOSE(CONTROL!$C$42, 9.5314, 9.5314)* CHOOSE(CONTROL!$C$21, $C$9, 100%, $E$9)</f>
        <v>9.5313999999999997</v>
      </c>
      <c r="J312" s="10">
        <f>CHOOSE(CONTROL!$C$42, 9.4919, 9.4919)* CHOOSE(CONTROL!$C$21, $C$9, 100%, $E$9)</f>
        <v>9.4918999999999993</v>
      </c>
      <c r="K312" s="10">
        <f>CHOOSE(CONTROL!$C$42, 9.3969, 9.3969) * CHOOSE(CONTROL!$C$21, $C$9, 100%, $E$9)</f>
        <v>9.3969000000000005</v>
      </c>
      <c r="L312" s="10">
        <f>CHOOSE(CONTROL!$C$42, 10.1713, 10.1713) * CHOOSE(CONTROL!$C$21, $C$9, 100%, $E$9)</f>
        <v>10.1713</v>
      </c>
      <c r="M312" s="10">
        <f>CHOOSE(CONTROL!$C$42, 9.4021, 9.4021) * CHOOSE(CONTROL!$C$21, $C$9, 100%, $E$9)</f>
        <v>9.4021000000000008</v>
      </c>
      <c r="N312" s="10">
        <f>CHOOSE(CONTROL!$C$42, 9.4191, 9.4191) * CHOOSE(CONTROL!$C$21, $C$9, 100%, $E$9)</f>
        <v>9.4191000000000003</v>
      </c>
      <c r="O312" s="10">
        <f>CHOOSE(CONTROL!$C$42, 9.4933, 9.4933) * CHOOSE(CONTROL!$C$21, $C$9, 100%, $E$9)</f>
        <v>9.4932999999999996</v>
      </c>
      <c r="P312" s="10">
        <f>CHOOSE(CONTROL!$C$42, 9.4411, 9.4411) * CHOOSE(CONTROL!$C$21, $C$9, 100%, $E$9)</f>
        <v>9.4411000000000005</v>
      </c>
      <c r="Q312" s="10">
        <f>CHOOSE(CONTROL!$C$42, 10.0886, 10.0886) * CHOOSE(CONTROL!$C$21, $C$9, 100%, $E$9)</f>
        <v>10.0886</v>
      </c>
      <c r="R312" s="10">
        <f>CHOOSE(CONTROL!$C$42, 10.7008, 10.7008) * CHOOSE(CONTROL!$C$21, $C$9, 100%, $E$9)</f>
        <v>10.700799999999999</v>
      </c>
      <c r="S312" s="10">
        <f>CHOOSE(CONTROL!$C$42, 9.2464, 9.2464) * CHOOSE(CONTROL!$C$21, $C$9, 100%, $E$9)</f>
        <v>9.2463999999999995</v>
      </c>
      <c r="T31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38">
        <f>(1000*CHOOSE(CONTROL!$C$42, 695, 695)*CHOOSE(CONTROL!$C$42, 0.5599, 0.5599)*CHOOSE(CONTROL!$C$42, 31, 31))/1000000</f>
        <v>12.063045499999998</v>
      </c>
      <c r="V312" s="38">
        <f>(1000*CHOOSE(CONTROL!$C$42, 500, 500)*CHOOSE(CONTROL!$C$42, 0.275, 0.275)*CHOOSE(CONTROL!$C$42, 31, 31))/1000000</f>
        <v>4.2625000000000002</v>
      </c>
      <c r="W312" s="38">
        <f>(1000*CHOOSE(CONTROL!$C$42, 0.1146, 0.1146)*CHOOSE(CONTROL!$C$42, 121.5, 121.5)*CHOOSE(CONTROL!$C$42, 31, 31))/1000000</f>
        <v>0.43164089999999994</v>
      </c>
      <c r="X312" s="38">
        <f>(31*0.1790888*100000/1000000)+(31*0.2374*100000/1000000)</f>
        <v>1.2911152800000001</v>
      </c>
      <c r="Y312" s="38">
        <f>(1000*600*CHOOSE(CONTROL!$C$42, 1.6372, 1.6372)*CHOOSE(CONTROL!$C$42, 31, 31))/1000000</f>
        <v>30.451920000000001</v>
      </c>
      <c r="Z312" s="38"/>
      <c r="AA312" s="10"/>
      <c r="AB312" s="39"/>
      <c r="AC312" s="33">
        <f>(B312*122.58+C312*297.941+D312*89.177+E312*40.302+F312*40+G312*160+H312*0+I312*100+J312*300)/(122.58+297.941+89.177+40.302+0+40+160+100+300)</f>
        <v>9.5240124027826081</v>
      </c>
      <c r="AD312" s="27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9.4500251798561141</v>
      </c>
    </row>
    <row r="313" spans="1:30" ht="15.75" x14ac:dyDescent="0.25">
      <c r="A313" s="14">
        <v>50801</v>
      </c>
      <c r="B313" s="10">
        <f>CHOOSE(CONTROL!$C$42, 10.1763, 10.1763) * CHOOSE(CONTROL!$C$21, $C$9, 100%, $E$9)</f>
        <v>10.176299999999999</v>
      </c>
      <c r="C313" s="10">
        <f>CHOOSE(CONTROL!$C$42, 10.1814, 10.1814) * CHOOSE(CONTROL!$C$21, $C$9, 100%, $E$9)</f>
        <v>10.1814</v>
      </c>
      <c r="D313" s="10">
        <f>CHOOSE(CONTROL!$C$42, 10.2164, 10.2164) * CHOOSE(CONTROL!$C$21, $C$9, 100%, $E$9)</f>
        <v>10.2164</v>
      </c>
      <c r="E313" s="10">
        <f>CHOOSE(CONTROL!$C$42, 10.2502, 10.2502) * CHOOSE(CONTROL!$C$21, $C$9, 100%, $E$9)</f>
        <v>10.2502</v>
      </c>
      <c r="F313" s="10">
        <f>CHOOSE(CONTROL!$C$42, 10.1576, 10.1576)*CHOOSE(CONTROL!$C$21, $C$9, 100%, $E$9)</f>
        <v>10.1576</v>
      </c>
      <c r="G313" s="10">
        <f>CHOOSE(CONTROL!$C$42, 10.1765, 10.1765)*CHOOSE(CONTROL!$C$21, $C$9, 100%, $E$9)</f>
        <v>10.176500000000001</v>
      </c>
      <c r="H313" s="10">
        <f>CHOOSE(CONTROL!$C$42, 10.2391, 10.2391) * CHOOSE(CONTROL!$C$21, $C$9, 100%, $E$9)</f>
        <v>10.239100000000001</v>
      </c>
      <c r="I313" s="10">
        <f>CHOOSE(CONTROL!$C$42, 10.1836, 10.1836)* CHOOSE(CONTROL!$C$21, $C$9, 100%, $E$9)</f>
        <v>10.1836</v>
      </c>
      <c r="J313" s="10">
        <f>CHOOSE(CONTROL!$C$42, 10.1502, 10.1502)* CHOOSE(CONTROL!$C$21, $C$9, 100%, $E$9)</f>
        <v>10.1502</v>
      </c>
      <c r="K313" s="10">
        <f>CHOOSE(CONTROL!$C$42, 10.042, 10.042) * CHOOSE(CONTROL!$C$21, $C$9, 100%, $E$9)</f>
        <v>10.042</v>
      </c>
      <c r="L313" s="10">
        <f>CHOOSE(CONTROL!$C$42, 10.8261, 10.8261) * CHOOSE(CONTROL!$C$21, $C$9, 100%, $E$9)</f>
        <v>10.8261</v>
      </c>
      <c r="M313" s="10">
        <f>CHOOSE(CONTROL!$C$42, 10.0518, 10.0518) * CHOOSE(CONTROL!$C$21, $C$9, 100%, $E$9)</f>
        <v>10.0518</v>
      </c>
      <c r="N313" s="10">
        <f>CHOOSE(CONTROL!$C$42, 10.0705, 10.0705) * CHOOSE(CONTROL!$C$21, $C$9, 100%, $E$9)</f>
        <v>10.070499999999999</v>
      </c>
      <c r="O313" s="10">
        <f>CHOOSE(CONTROL!$C$42, 10.1396, 10.1396) * CHOOSE(CONTROL!$C$21, $C$9, 100%, $E$9)</f>
        <v>10.1396</v>
      </c>
      <c r="P313" s="10">
        <f>CHOOSE(CONTROL!$C$42, 10.0848, 10.0848) * CHOOSE(CONTROL!$C$21, $C$9, 100%, $E$9)</f>
        <v>10.0848</v>
      </c>
      <c r="Q313" s="10">
        <f>CHOOSE(CONTROL!$C$42, 10.7349, 10.7349) * CHOOSE(CONTROL!$C$21, $C$9, 100%, $E$9)</f>
        <v>10.7349</v>
      </c>
      <c r="R313" s="10">
        <f>CHOOSE(CONTROL!$C$42, 11.3487, 11.3487) * CHOOSE(CONTROL!$C$21, $C$9, 100%, $E$9)</f>
        <v>11.348699999999999</v>
      </c>
      <c r="S313" s="10">
        <f>CHOOSE(CONTROL!$C$42, 9.8704, 9.8704) * CHOOSE(CONTROL!$C$21, $C$9, 100%, $E$9)</f>
        <v>9.8704000000000001</v>
      </c>
      <c r="T31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38">
        <f>(1000*CHOOSE(CONTROL!$C$42, 695, 695)*CHOOSE(CONTROL!$C$42, 0.5599, 0.5599)*CHOOSE(CONTROL!$C$42, 31, 31))/1000000</f>
        <v>12.063045499999998</v>
      </c>
      <c r="V313" s="38">
        <f>(1000*CHOOSE(CONTROL!$C$42, 500, 500)*CHOOSE(CONTROL!$C$42, 0.275, 0.275)*CHOOSE(CONTROL!$C$42, 31, 31))/1000000</f>
        <v>4.2625000000000002</v>
      </c>
      <c r="W313" s="38">
        <f>(1000*CHOOSE(CONTROL!$C$42, 0.1146, 0.1146)*CHOOSE(CONTROL!$C$42, 121.5, 121.5)*CHOOSE(CONTROL!$C$42, 31, 31))/1000000</f>
        <v>0.43164089999999994</v>
      </c>
      <c r="X313" s="38">
        <f>(31*0.1790888*100000/1000000)+(31*0.2374*100000/1000000)</f>
        <v>1.2911152800000001</v>
      </c>
      <c r="Y313" s="38">
        <f>(1000*600*CHOOSE(CONTROL!$C$42, 1.6337, 1.6337)*CHOOSE(CONTROL!$C$42, 31, 31))/1000000</f>
        <v>30.38682</v>
      </c>
      <c r="Z313" s="38"/>
      <c r="AA313" s="10"/>
      <c r="AB313" s="39"/>
      <c r="AC313" s="33">
        <f>(B313*122.58+C313*297.941+D313*89.177+E313*40.302+F313*40+G313*160+H313*0+I313*100+J313*300)/(122.58+297.941+89.177+40.302+0+40+160+100+300)</f>
        <v>10.176524186608695</v>
      </c>
      <c r="AD313" s="27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10.097418705035969</v>
      </c>
    </row>
    <row r="314" spans="1:30" ht="15.75" x14ac:dyDescent="0.25">
      <c r="A314" s="14">
        <v>50829</v>
      </c>
      <c r="B314" s="10">
        <f>CHOOSE(CONTROL!$C$42, 10.3578, 10.3578) * CHOOSE(CONTROL!$C$21, $C$9, 100%, $E$9)</f>
        <v>10.357799999999999</v>
      </c>
      <c r="C314" s="10">
        <f>CHOOSE(CONTROL!$C$42, 10.3629, 10.3629) * CHOOSE(CONTROL!$C$21, $C$9, 100%, $E$9)</f>
        <v>10.3629</v>
      </c>
      <c r="D314" s="10">
        <f>CHOOSE(CONTROL!$C$42, 10.3979, 10.3979) * CHOOSE(CONTROL!$C$21, $C$9, 100%, $E$9)</f>
        <v>10.3979</v>
      </c>
      <c r="E314" s="10">
        <f>CHOOSE(CONTROL!$C$42, 10.4317, 10.4317) * CHOOSE(CONTROL!$C$21, $C$9, 100%, $E$9)</f>
        <v>10.431699999999999</v>
      </c>
      <c r="F314" s="10">
        <f>CHOOSE(CONTROL!$C$42, 10.3385, 10.3385)*CHOOSE(CONTROL!$C$21, $C$9, 100%, $E$9)</f>
        <v>10.3385</v>
      </c>
      <c r="G314" s="10">
        <f>CHOOSE(CONTROL!$C$42, 10.3573, 10.3573)*CHOOSE(CONTROL!$C$21, $C$9, 100%, $E$9)</f>
        <v>10.3573</v>
      </c>
      <c r="H314" s="10">
        <f>CHOOSE(CONTROL!$C$42, 10.4206, 10.4206) * CHOOSE(CONTROL!$C$21, $C$9, 100%, $E$9)</f>
        <v>10.4206</v>
      </c>
      <c r="I314" s="10">
        <f>CHOOSE(CONTROL!$C$42, 10.365, 10.365)* CHOOSE(CONTROL!$C$21, $C$9, 100%, $E$9)</f>
        <v>10.365</v>
      </c>
      <c r="J314" s="10">
        <f>CHOOSE(CONTROL!$C$42, 10.3311, 10.3311)* CHOOSE(CONTROL!$C$21, $C$9, 100%, $E$9)</f>
        <v>10.331099999999999</v>
      </c>
      <c r="K314" s="10">
        <f>CHOOSE(CONTROL!$C$42, 10.2166, 10.2166) * CHOOSE(CONTROL!$C$21, $C$9, 100%, $E$9)</f>
        <v>10.2166</v>
      </c>
      <c r="L314" s="10">
        <f>CHOOSE(CONTROL!$C$42, 11.0076, 11.0076) * CHOOSE(CONTROL!$C$21, $C$9, 100%, $E$9)</f>
        <v>11.0076</v>
      </c>
      <c r="M314" s="10">
        <f>CHOOSE(CONTROL!$C$42, 10.2304, 10.2304) * CHOOSE(CONTROL!$C$21, $C$9, 100%, $E$9)</f>
        <v>10.230399999999999</v>
      </c>
      <c r="N314" s="10">
        <f>CHOOSE(CONTROL!$C$42, 10.2489, 10.2489) * CHOOSE(CONTROL!$C$21, $C$9, 100%, $E$9)</f>
        <v>10.248900000000001</v>
      </c>
      <c r="O314" s="10">
        <f>CHOOSE(CONTROL!$C$42, 10.3187, 10.3187) * CHOOSE(CONTROL!$C$21, $C$9, 100%, $E$9)</f>
        <v>10.3187</v>
      </c>
      <c r="P314" s="10">
        <f>CHOOSE(CONTROL!$C$42, 10.2639, 10.2639) * CHOOSE(CONTROL!$C$21, $C$9, 100%, $E$9)</f>
        <v>10.2639</v>
      </c>
      <c r="Q314" s="10">
        <f>CHOOSE(CONTROL!$C$42, 10.914, 10.914) * CHOOSE(CONTROL!$C$21, $C$9, 100%, $E$9)</f>
        <v>10.914</v>
      </c>
      <c r="R314" s="10">
        <f>CHOOSE(CONTROL!$C$42, 11.5283, 11.5283) * CHOOSE(CONTROL!$C$21, $C$9, 100%, $E$9)</f>
        <v>11.5283</v>
      </c>
      <c r="S314" s="10">
        <f>CHOOSE(CONTROL!$C$42, 10.0461, 10.0461) * CHOOSE(CONTROL!$C$21, $C$9, 100%, $E$9)</f>
        <v>10.046099999999999</v>
      </c>
      <c r="T31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38">
        <f>(1000*CHOOSE(CONTROL!$C$42, 695, 695)*CHOOSE(CONTROL!$C$42, 0.5599, 0.5599)*CHOOSE(CONTROL!$C$42, 28, 28))/1000000</f>
        <v>10.895653999999999</v>
      </c>
      <c r="V314" s="38">
        <f>(1000*CHOOSE(CONTROL!$C$42, 500, 500)*CHOOSE(CONTROL!$C$42, 0.275, 0.275)*CHOOSE(CONTROL!$C$42, 28, 28))/1000000</f>
        <v>3.85</v>
      </c>
      <c r="W314" s="38">
        <f>(1000*CHOOSE(CONTROL!$C$42, 0.1146, 0.1146)*CHOOSE(CONTROL!$C$42, 121.5, 121.5)*CHOOSE(CONTROL!$C$42, 28, 28))/1000000</f>
        <v>0.38986920000000003</v>
      </c>
      <c r="X314" s="38">
        <f>(28*0.1790888*100000/1000000)+(28*0.2374*100000/1000000)</f>
        <v>1.16616864</v>
      </c>
      <c r="Y314" s="38">
        <f>(1000*600*CHOOSE(CONTROL!$C$42, 1.6337, 1.6337)*CHOOSE(CONTROL!$C$42, 28, 28))/1000000</f>
        <v>27.446159999999999</v>
      </c>
      <c r="Z314" s="38"/>
      <c r="AA314" s="10"/>
      <c r="AB314" s="39"/>
      <c r="AC314" s="33">
        <f>(B314*122.58+C314*297.941+D314*89.177+E314*40.302+F314*40+G314*160+H314*0+I314*100+J314*300)/(122.58+297.941+89.177+40.302+0+40+160+100+300)</f>
        <v>10.357740708347826</v>
      </c>
      <c r="AD314" s="27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10.276305755395683</v>
      </c>
    </row>
    <row r="315" spans="1:30" ht="15.75" x14ac:dyDescent="0.25">
      <c r="A315" s="14">
        <v>50860</v>
      </c>
      <c r="B315" s="10">
        <f>CHOOSE(CONTROL!$C$42, 10.0632, 10.0632) * CHOOSE(CONTROL!$C$21, $C$9, 100%, $E$9)</f>
        <v>10.0632</v>
      </c>
      <c r="C315" s="10">
        <f>CHOOSE(CONTROL!$C$42, 10.0683, 10.0683) * CHOOSE(CONTROL!$C$21, $C$9, 100%, $E$9)</f>
        <v>10.068300000000001</v>
      </c>
      <c r="D315" s="10">
        <f>CHOOSE(CONTROL!$C$42, 10.1033, 10.1033) * CHOOSE(CONTROL!$C$21, $C$9, 100%, $E$9)</f>
        <v>10.103300000000001</v>
      </c>
      <c r="E315" s="10">
        <f>CHOOSE(CONTROL!$C$42, 10.1371, 10.1371) * CHOOSE(CONTROL!$C$21, $C$9, 100%, $E$9)</f>
        <v>10.1371</v>
      </c>
      <c r="F315" s="10">
        <f>CHOOSE(CONTROL!$C$42, 10.0426, 10.0426)*CHOOSE(CONTROL!$C$21, $C$9, 100%, $E$9)</f>
        <v>10.0426</v>
      </c>
      <c r="G315" s="10">
        <f>CHOOSE(CONTROL!$C$42, 10.061, 10.061)*CHOOSE(CONTROL!$C$21, $C$9, 100%, $E$9)</f>
        <v>10.061</v>
      </c>
      <c r="H315" s="10">
        <f>CHOOSE(CONTROL!$C$42, 10.126, 10.126) * CHOOSE(CONTROL!$C$21, $C$9, 100%, $E$9)</f>
        <v>10.125999999999999</v>
      </c>
      <c r="I315" s="10">
        <f>CHOOSE(CONTROL!$C$42, 10.0705, 10.0705)* CHOOSE(CONTROL!$C$21, $C$9, 100%, $E$9)</f>
        <v>10.070499999999999</v>
      </c>
      <c r="J315" s="10">
        <f>CHOOSE(CONTROL!$C$42, 10.0352, 10.0352)* CHOOSE(CONTROL!$C$21, $C$9, 100%, $E$9)</f>
        <v>10.0352</v>
      </c>
      <c r="K315" s="10">
        <f>CHOOSE(CONTROL!$C$42, 9.9283, 9.9283) * CHOOSE(CONTROL!$C$21, $C$9, 100%, $E$9)</f>
        <v>9.9283000000000001</v>
      </c>
      <c r="L315" s="10">
        <f>CHOOSE(CONTROL!$C$42, 10.713, 10.713) * CHOOSE(CONTROL!$C$21, $C$9, 100%, $E$9)</f>
        <v>10.712999999999999</v>
      </c>
      <c r="M315" s="10">
        <f>CHOOSE(CONTROL!$C$42, 9.9383, 9.9383) * CHOOSE(CONTROL!$C$21, $C$9, 100%, $E$9)</f>
        <v>9.9382999999999999</v>
      </c>
      <c r="N315" s="10">
        <f>CHOOSE(CONTROL!$C$42, 9.9565, 9.9565) * CHOOSE(CONTROL!$C$21, $C$9, 100%, $E$9)</f>
        <v>9.9565000000000001</v>
      </c>
      <c r="O315" s="10">
        <f>CHOOSE(CONTROL!$C$42, 10.028, 10.028) * CHOOSE(CONTROL!$C$21, $C$9, 100%, $E$9)</f>
        <v>10.028</v>
      </c>
      <c r="P315" s="10">
        <f>CHOOSE(CONTROL!$C$42, 9.9732, 9.9732) * CHOOSE(CONTROL!$C$21, $C$9, 100%, $E$9)</f>
        <v>9.9732000000000003</v>
      </c>
      <c r="Q315" s="10">
        <f>CHOOSE(CONTROL!$C$42, 10.6233, 10.6233) * CHOOSE(CONTROL!$C$21, $C$9, 100%, $E$9)</f>
        <v>10.6233</v>
      </c>
      <c r="R315" s="10">
        <f>CHOOSE(CONTROL!$C$42, 11.2368, 11.2368) * CHOOSE(CONTROL!$C$21, $C$9, 100%, $E$9)</f>
        <v>11.236800000000001</v>
      </c>
      <c r="S315" s="10">
        <f>CHOOSE(CONTROL!$C$42, 9.7609, 9.7609) * CHOOSE(CONTROL!$C$21, $C$9, 100%, $E$9)</f>
        <v>9.7608999999999995</v>
      </c>
      <c r="T31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38">
        <f>(1000*CHOOSE(CONTROL!$C$42, 695, 695)*CHOOSE(CONTROL!$C$42, 0.5599, 0.5599)*CHOOSE(CONTROL!$C$42, 31, 31))/1000000</f>
        <v>12.063045499999998</v>
      </c>
      <c r="V315" s="38">
        <f>(1000*CHOOSE(CONTROL!$C$42, 500, 500)*CHOOSE(CONTROL!$C$42, 0.275, 0.275)*CHOOSE(CONTROL!$C$42, 31, 31))/1000000</f>
        <v>4.2625000000000002</v>
      </c>
      <c r="W315" s="38">
        <f>(1000*CHOOSE(CONTROL!$C$42, 0.1146, 0.1146)*CHOOSE(CONTROL!$C$42, 121.5, 121.5)*CHOOSE(CONTROL!$C$42, 31, 31))/1000000</f>
        <v>0.43164089999999994</v>
      </c>
      <c r="X315" s="38">
        <f>(31*0.1790888*100000/1000000)+(31*0.2374*100000/1000000)</f>
        <v>1.2911152800000001</v>
      </c>
      <c r="Y315" s="38">
        <f>(1000*600*CHOOSE(CONTROL!$C$42, 1.6337, 1.6337)*CHOOSE(CONTROL!$C$42, 31, 31))/1000000</f>
        <v>30.38682</v>
      </c>
      <c r="Z315" s="38"/>
      <c r="AA315" s="10"/>
      <c r="AB315" s="39"/>
      <c r="AC315" s="33">
        <f>(B315*122.58+C315*297.941+D315*89.177+E315*40.302+F315*40+G315*160+H315*0+I315*100+J315*300)/(122.58+297.941+89.177+40.302+0+40+160+100+300)</f>
        <v>10.062528534434781</v>
      </c>
      <c r="AD315" s="27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9.9850244604316547</v>
      </c>
    </row>
    <row r="316" spans="1:30" ht="15.75" x14ac:dyDescent="0.25">
      <c r="A316" s="14">
        <v>50890</v>
      </c>
      <c r="B316" s="10">
        <f>CHOOSE(CONTROL!$C$42, 10.0338, 10.0338) * CHOOSE(CONTROL!$C$21, $C$9, 100%, $E$9)</f>
        <v>10.033799999999999</v>
      </c>
      <c r="C316" s="10">
        <f>CHOOSE(CONTROL!$C$42, 10.0383, 10.0383) * CHOOSE(CONTROL!$C$21, $C$9, 100%, $E$9)</f>
        <v>10.0383</v>
      </c>
      <c r="D316" s="10">
        <f>CHOOSE(CONTROL!$C$42, 10.2165, 10.2165) * CHOOSE(CONTROL!$C$21, $C$9, 100%, $E$9)</f>
        <v>10.2165</v>
      </c>
      <c r="E316" s="10">
        <f>CHOOSE(CONTROL!$C$42, 10.2484, 10.2484) * CHOOSE(CONTROL!$C$21, $C$9, 100%, $E$9)</f>
        <v>10.2484</v>
      </c>
      <c r="F316" s="10">
        <f>CHOOSE(CONTROL!$C$42, 9.9773, 9.9773)*CHOOSE(CONTROL!$C$21, $C$9, 100%, $E$9)</f>
        <v>9.9772999999999996</v>
      </c>
      <c r="G316" s="10">
        <f>CHOOSE(CONTROL!$C$42, 9.9939, 9.9939)*CHOOSE(CONTROL!$C$21, $C$9, 100%, $E$9)</f>
        <v>9.9939</v>
      </c>
      <c r="H316" s="10">
        <f>CHOOSE(CONTROL!$C$42, 10.2378, 10.2378) * CHOOSE(CONTROL!$C$21, $C$9, 100%, $E$9)</f>
        <v>10.2378</v>
      </c>
      <c r="I316" s="10">
        <f>CHOOSE(CONTROL!$C$42, 10.0098, 10.0098)* CHOOSE(CONTROL!$C$21, $C$9, 100%, $E$9)</f>
        <v>10.0098</v>
      </c>
      <c r="J316" s="10">
        <f>CHOOSE(CONTROL!$C$42, 9.9699, 9.9699)* CHOOSE(CONTROL!$C$21, $C$9, 100%, $E$9)</f>
        <v>9.9699000000000009</v>
      </c>
      <c r="K316" s="10">
        <f>CHOOSE(CONTROL!$C$42, 9.8548, 9.8548) * CHOOSE(CONTROL!$C$21, $C$9, 100%, $E$9)</f>
        <v>9.8547999999999991</v>
      </c>
      <c r="L316" s="10">
        <f>CHOOSE(CONTROL!$C$42, 10.8248, 10.8248) * CHOOSE(CONTROL!$C$21, $C$9, 100%, $E$9)</f>
        <v>10.8248</v>
      </c>
      <c r="M316" s="10">
        <f>CHOOSE(CONTROL!$C$42, 9.8739, 9.8739) * CHOOSE(CONTROL!$C$21, $C$9, 100%, $E$9)</f>
        <v>9.8739000000000008</v>
      </c>
      <c r="N316" s="10">
        <f>CHOOSE(CONTROL!$C$42, 9.8902, 9.8902) * CHOOSE(CONTROL!$C$21, $C$9, 100%, $E$9)</f>
        <v>9.8902000000000001</v>
      </c>
      <c r="O316" s="10">
        <f>CHOOSE(CONTROL!$C$42, 10.1384, 10.1384) * CHOOSE(CONTROL!$C$21, $C$9, 100%, $E$9)</f>
        <v>10.138400000000001</v>
      </c>
      <c r="P316" s="10">
        <f>CHOOSE(CONTROL!$C$42, 9.9133, 9.9133) * CHOOSE(CONTROL!$C$21, $C$9, 100%, $E$9)</f>
        <v>9.9132999999999996</v>
      </c>
      <c r="Q316" s="10">
        <f>CHOOSE(CONTROL!$C$42, 10.7337, 10.7337) * CHOOSE(CONTROL!$C$21, $C$9, 100%, $E$9)</f>
        <v>10.733700000000001</v>
      </c>
      <c r="R316" s="10">
        <f>CHOOSE(CONTROL!$C$42, 11.3475, 11.3475) * CHOOSE(CONTROL!$C$21, $C$9, 100%, $E$9)</f>
        <v>11.3475</v>
      </c>
      <c r="S316" s="10">
        <f>CHOOSE(CONTROL!$C$42, 9.7317, 9.7317) * CHOOSE(CONTROL!$C$21, $C$9, 100%, $E$9)</f>
        <v>9.7317</v>
      </c>
      <c r="T3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38">
        <f>(1000*CHOOSE(CONTROL!$C$42, 695, 695)*CHOOSE(CONTROL!$C$42, 0.5599, 0.5599)*CHOOSE(CONTROL!$C$42, 30, 30))/1000000</f>
        <v>11.673914999999997</v>
      </c>
      <c r="V316" s="38">
        <f>(1000*CHOOSE(CONTROL!$C$42, 500, 500)*CHOOSE(CONTROL!$C$42, 0.275, 0.275)*CHOOSE(CONTROL!$C$42, 30, 30))/1000000</f>
        <v>4.125</v>
      </c>
      <c r="W316" s="38">
        <f>(1000*CHOOSE(CONTROL!$C$42, 0.1146, 0.1146)*CHOOSE(CONTROL!$C$42, 121.5, 121.5)*CHOOSE(CONTROL!$C$42, 30, 30))/1000000</f>
        <v>0.417717</v>
      </c>
      <c r="X316" s="38">
        <f>(30*0.1790888*245000/1000000)+(30*0.2374*100000/1000000)</f>
        <v>2.0285026799999999</v>
      </c>
      <c r="Y316" s="38">
        <f>(1000*600*CHOOSE(CONTROL!$C$42, 1.6337, 1.6337)*CHOOSE(CONTROL!$C$42, 30, 30))/1000000</f>
        <v>29.406600000000001</v>
      </c>
      <c r="Z316" s="38"/>
      <c r="AA316" s="10"/>
      <c r="AB316" s="39"/>
      <c r="AC316" s="33">
        <f>(B316*141.293+C316*267.993+D316*115.016+E316*89.698+F316*40+G316*185+H316*0+I316*100+J316*300)/(141.293+267.993+115.016+89.698+0+40+185+100+300)</f>
        <v>10.042078516949152</v>
      </c>
      <c r="AD316" s="27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9.9575338129496416</v>
      </c>
    </row>
    <row r="317" spans="1:30" ht="15.75" x14ac:dyDescent="0.25">
      <c r="A317" s="14">
        <v>50921</v>
      </c>
      <c r="B317" s="10">
        <f>CHOOSE(CONTROL!$C$42, 10.1243, 10.1243) * CHOOSE(CONTROL!$C$21, $C$9, 100%, $E$9)</f>
        <v>10.1243</v>
      </c>
      <c r="C317" s="10">
        <f>CHOOSE(CONTROL!$C$42, 10.1323, 10.1323) * CHOOSE(CONTROL!$C$21, $C$9, 100%, $E$9)</f>
        <v>10.132300000000001</v>
      </c>
      <c r="D317" s="10">
        <f>CHOOSE(CONTROL!$C$42, 10.3074, 10.3074) * CHOOSE(CONTROL!$C$21, $C$9, 100%, $E$9)</f>
        <v>10.307399999999999</v>
      </c>
      <c r="E317" s="10">
        <f>CHOOSE(CONTROL!$C$42, 10.3386, 10.3386) * CHOOSE(CONTROL!$C$21, $C$9, 100%, $E$9)</f>
        <v>10.3386</v>
      </c>
      <c r="F317" s="10">
        <f>CHOOSE(CONTROL!$C$42, 10.066, 10.066)*CHOOSE(CONTROL!$C$21, $C$9, 100%, $E$9)</f>
        <v>10.066000000000001</v>
      </c>
      <c r="G317" s="10">
        <f>CHOOSE(CONTROL!$C$42, 10.0828, 10.0828)*CHOOSE(CONTROL!$C$21, $C$9, 100%, $E$9)</f>
        <v>10.082800000000001</v>
      </c>
      <c r="H317" s="10">
        <f>CHOOSE(CONTROL!$C$42, 10.3269, 10.3269) * CHOOSE(CONTROL!$C$21, $C$9, 100%, $E$9)</f>
        <v>10.3269</v>
      </c>
      <c r="I317" s="10">
        <f>CHOOSE(CONTROL!$C$42, 10.0989, 10.0989)* CHOOSE(CONTROL!$C$21, $C$9, 100%, $E$9)</f>
        <v>10.0989</v>
      </c>
      <c r="J317" s="10">
        <f>CHOOSE(CONTROL!$C$42, 10.0586, 10.0586)* CHOOSE(CONTROL!$C$21, $C$9, 100%, $E$9)</f>
        <v>10.0586</v>
      </c>
      <c r="K317" s="10">
        <f>CHOOSE(CONTROL!$C$42, 9.9403, 9.9403) * CHOOSE(CONTROL!$C$21, $C$9, 100%, $E$9)</f>
        <v>9.9403000000000006</v>
      </c>
      <c r="L317" s="10">
        <f>CHOOSE(CONTROL!$C$42, 10.9139, 10.9139) * CHOOSE(CONTROL!$C$21, $C$9, 100%, $E$9)</f>
        <v>10.9139</v>
      </c>
      <c r="M317" s="10">
        <f>CHOOSE(CONTROL!$C$42, 9.9614, 9.9614) * CHOOSE(CONTROL!$C$21, $C$9, 100%, $E$9)</f>
        <v>9.9613999999999994</v>
      </c>
      <c r="N317" s="10">
        <f>CHOOSE(CONTROL!$C$42, 9.9781, 9.9781) * CHOOSE(CONTROL!$C$21, $C$9, 100%, $E$9)</f>
        <v>9.9780999999999995</v>
      </c>
      <c r="O317" s="10">
        <f>CHOOSE(CONTROL!$C$42, 10.2263, 10.2263) * CHOOSE(CONTROL!$C$21, $C$9, 100%, $E$9)</f>
        <v>10.2263</v>
      </c>
      <c r="P317" s="10">
        <f>CHOOSE(CONTROL!$C$42, 10.0013, 10.0013) * CHOOSE(CONTROL!$C$21, $C$9, 100%, $E$9)</f>
        <v>10.001300000000001</v>
      </c>
      <c r="Q317" s="10">
        <f>CHOOSE(CONTROL!$C$42, 10.8216, 10.8216) * CHOOSE(CONTROL!$C$21, $C$9, 100%, $E$9)</f>
        <v>10.8216</v>
      </c>
      <c r="R317" s="10">
        <f>CHOOSE(CONTROL!$C$42, 11.4357, 11.4357) * CHOOSE(CONTROL!$C$21, $C$9, 100%, $E$9)</f>
        <v>11.435700000000001</v>
      </c>
      <c r="S317" s="10">
        <f>CHOOSE(CONTROL!$C$42, 9.8179, 9.8179) * CHOOSE(CONTROL!$C$21, $C$9, 100%, $E$9)</f>
        <v>9.8178999999999998</v>
      </c>
      <c r="T31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38">
        <f>(1000*CHOOSE(CONTROL!$C$42, 695, 695)*CHOOSE(CONTROL!$C$42, 0.5599, 0.5599)*CHOOSE(CONTROL!$C$42, 31, 31))/1000000</f>
        <v>12.063045499999998</v>
      </c>
      <c r="V317" s="38">
        <f>(1000*CHOOSE(CONTROL!$C$42, 500, 500)*CHOOSE(CONTROL!$C$42, 0.275, 0.275)*CHOOSE(CONTROL!$C$42, 31, 31))/1000000</f>
        <v>4.2625000000000002</v>
      </c>
      <c r="W317" s="38">
        <f>(1000*CHOOSE(CONTROL!$C$42, 0.1146, 0.1146)*CHOOSE(CONTROL!$C$42, 121.5, 121.5)*CHOOSE(CONTROL!$C$42, 31, 31))/1000000</f>
        <v>0.43164089999999994</v>
      </c>
      <c r="X317" s="38">
        <f>(31*0.1790888*245000/1000000)+(31*0.2374*100000/1000000)</f>
        <v>2.0961194359999999</v>
      </c>
      <c r="Y317" s="38">
        <f>(1000*600*CHOOSE(CONTROL!$C$42, 1.6337, 1.6337)*CHOOSE(CONTROL!$C$42, 31, 31))/1000000</f>
        <v>30.38682</v>
      </c>
      <c r="Z317" s="38"/>
      <c r="AA317" s="10"/>
      <c r="AB317" s="39"/>
      <c r="AC317" s="33">
        <f>(B317*194.205+C317*267.466+D317*133.845+E317*53.484+F317*40+G317*185+H317*0+I317*100+J317*300)/(194.205+267.466+133.845+53.484+0+40+185+100+300)</f>
        <v>10.128890948744113</v>
      </c>
      <c r="AD317" s="27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10.045310071942446</v>
      </c>
    </row>
    <row r="318" spans="1:30" ht="15.75" x14ac:dyDescent="0.25">
      <c r="A318" s="14">
        <v>50951</v>
      </c>
      <c r="B318" s="10">
        <f>CHOOSE(CONTROL!$C$42, 10.4119, 10.4119) * CHOOSE(CONTROL!$C$21, $C$9, 100%, $E$9)</f>
        <v>10.411899999999999</v>
      </c>
      <c r="C318" s="10">
        <f>CHOOSE(CONTROL!$C$42, 10.4199, 10.4199) * CHOOSE(CONTROL!$C$21, $C$9, 100%, $E$9)</f>
        <v>10.4199</v>
      </c>
      <c r="D318" s="10">
        <f>CHOOSE(CONTROL!$C$42, 10.595, 10.595) * CHOOSE(CONTROL!$C$21, $C$9, 100%, $E$9)</f>
        <v>10.595000000000001</v>
      </c>
      <c r="E318" s="10">
        <f>CHOOSE(CONTROL!$C$42, 10.6262, 10.6262) * CHOOSE(CONTROL!$C$21, $C$9, 100%, $E$9)</f>
        <v>10.626200000000001</v>
      </c>
      <c r="F318" s="10">
        <f>CHOOSE(CONTROL!$C$42, 10.3537, 10.3537)*CHOOSE(CONTROL!$C$21, $C$9, 100%, $E$9)</f>
        <v>10.3537</v>
      </c>
      <c r="G318" s="10">
        <f>CHOOSE(CONTROL!$C$42, 10.3707, 10.3707)*CHOOSE(CONTROL!$C$21, $C$9, 100%, $E$9)</f>
        <v>10.370699999999999</v>
      </c>
      <c r="H318" s="10">
        <f>CHOOSE(CONTROL!$C$42, 10.6145, 10.6145) * CHOOSE(CONTROL!$C$21, $C$9, 100%, $E$9)</f>
        <v>10.6145</v>
      </c>
      <c r="I318" s="10">
        <f>CHOOSE(CONTROL!$C$42, 10.3865, 10.3865)* CHOOSE(CONTROL!$C$21, $C$9, 100%, $E$9)</f>
        <v>10.3865</v>
      </c>
      <c r="J318" s="10">
        <f>CHOOSE(CONTROL!$C$42, 10.3463, 10.3463)* CHOOSE(CONTROL!$C$21, $C$9, 100%, $E$9)</f>
        <v>10.346299999999999</v>
      </c>
      <c r="K318" s="10">
        <f>CHOOSE(CONTROL!$C$42, 10.2193, 10.2193) * CHOOSE(CONTROL!$C$21, $C$9, 100%, $E$9)</f>
        <v>10.2193</v>
      </c>
      <c r="L318" s="10">
        <f>CHOOSE(CONTROL!$C$42, 11.2015, 11.2015) * CHOOSE(CONTROL!$C$21, $C$9, 100%, $E$9)</f>
        <v>11.201499999999999</v>
      </c>
      <c r="M318" s="10">
        <f>CHOOSE(CONTROL!$C$42, 10.2454, 10.2454) * CHOOSE(CONTROL!$C$21, $C$9, 100%, $E$9)</f>
        <v>10.2454</v>
      </c>
      <c r="N318" s="10">
        <f>CHOOSE(CONTROL!$C$42, 10.2622, 10.2622) * CHOOSE(CONTROL!$C$21, $C$9, 100%, $E$9)</f>
        <v>10.2622</v>
      </c>
      <c r="O318" s="10">
        <f>CHOOSE(CONTROL!$C$42, 10.5102, 10.5102) * CHOOSE(CONTROL!$C$21, $C$9, 100%, $E$9)</f>
        <v>10.510199999999999</v>
      </c>
      <c r="P318" s="10">
        <f>CHOOSE(CONTROL!$C$42, 10.2851, 10.2851) * CHOOSE(CONTROL!$C$21, $C$9, 100%, $E$9)</f>
        <v>10.2851</v>
      </c>
      <c r="Q318" s="10">
        <f>CHOOSE(CONTROL!$C$42, 11.1055, 11.1055) * CHOOSE(CONTROL!$C$21, $C$9, 100%, $E$9)</f>
        <v>11.105499999999999</v>
      </c>
      <c r="R318" s="10">
        <f>CHOOSE(CONTROL!$C$42, 11.7202, 11.7202) * CHOOSE(CONTROL!$C$21, $C$9, 100%, $E$9)</f>
        <v>11.7202</v>
      </c>
      <c r="S318" s="10">
        <f>CHOOSE(CONTROL!$C$42, 10.0964, 10.0964) * CHOOSE(CONTROL!$C$21, $C$9, 100%, $E$9)</f>
        <v>10.096399999999999</v>
      </c>
      <c r="T31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38">
        <f>(1000*CHOOSE(CONTROL!$C$42, 695, 695)*CHOOSE(CONTROL!$C$42, 0.5599, 0.5599)*CHOOSE(CONTROL!$C$42, 30, 30))/1000000</f>
        <v>11.673914999999997</v>
      </c>
      <c r="V318" s="38">
        <f>(1000*CHOOSE(CONTROL!$C$42, 500, 500)*CHOOSE(CONTROL!$C$42, 0.275, 0.275)*CHOOSE(CONTROL!$C$42, 30, 30))/1000000</f>
        <v>4.125</v>
      </c>
      <c r="W318" s="38">
        <f>(1000*CHOOSE(CONTROL!$C$42, 0.1146, 0.1146)*CHOOSE(CONTROL!$C$42, 121.5, 121.5)*CHOOSE(CONTROL!$C$42, 30, 30))/1000000</f>
        <v>0.417717</v>
      </c>
      <c r="X318" s="38">
        <f>(30*0.1790888*245000/1000000)+(30*0.2374*100000/1000000)</f>
        <v>2.0285026799999999</v>
      </c>
      <c r="Y318" s="38">
        <f>(1000*600*CHOOSE(CONTROL!$C$42, 1.6337, 1.6337)*CHOOSE(CONTROL!$C$42, 30, 30))/1000000</f>
        <v>29.406600000000001</v>
      </c>
      <c r="Z318" s="38"/>
      <c r="AA318" s="10"/>
      <c r="AB318" s="39"/>
      <c r="AC318" s="33">
        <f>(B318*194.205+C318*267.466+D318*133.845+E318*53.484+F318*40+G318*185+H318*0+I318*100+J318*300)/(194.205+267.466+133.845+53.484+0+40+185+100+300)</f>
        <v>10.416561199921507</v>
      </c>
      <c r="AD318" s="27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10.329276258992806</v>
      </c>
    </row>
    <row r="319" spans="1:30" ht="15.75" x14ac:dyDescent="0.25">
      <c r="A319" s="14">
        <v>50982</v>
      </c>
      <c r="B319" s="10">
        <f>CHOOSE(CONTROL!$C$42, 10.2118, 10.2118) * CHOOSE(CONTROL!$C$21, $C$9, 100%, $E$9)</f>
        <v>10.2118</v>
      </c>
      <c r="C319" s="10">
        <f>CHOOSE(CONTROL!$C$42, 10.2198, 10.2198) * CHOOSE(CONTROL!$C$21, $C$9, 100%, $E$9)</f>
        <v>10.219799999999999</v>
      </c>
      <c r="D319" s="10">
        <f>CHOOSE(CONTROL!$C$42, 10.395, 10.395) * CHOOSE(CONTROL!$C$21, $C$9, 100%, $E$9)</f>
        <v>10.395</v>
      </c>
      <c r="E319" s="10">
        <f>CHOOSE(CONTROL!$C$42, 10.4262, 10.4262) * CHOOSE(CONTROL!$C$21, $C$9, 100%, $E$9)</f>
        <v>10.4262</v>
      </c>
      <c r="F319" s="10">
        <f>CHOOSE(CONTROL!$C$42, 10.1541, 10.1541)*CHOOSE(CONTROL!$C$21, $C$9, 100%, $E$9)</f>
        <v>10.1541</v>
      </c>
      <c r="G319" s="10">
        <f>CHOOSE(CONTROL!$C$42, 10.1711, 10.1711)*CHOOSE(CONTROL!$C$21, $C$9, 100%, $E$9)</f>
        <v>10.171099999999999</v>
      </c>
      <c r="H319" s="10">
        <f>CHOOSE(CONTROL!$C$42, 10.4145, 10.4145) * CHOOSE(CONTROL!$C$21, $C$9, 100%, $E$9)</f>
        <v>10.4145</v>
      </c>
      <c r="I319" s="10">
        <f>CHOOSE(CONTROL!$C$42, 10.1865, 10.1865)* CHOOSE(CONTROL!$C$21, $C$9, 100%, $E$9)</f>
        <v>10.186500000000001</v>
      </c>
      <c r="J319" s="10">
        <f>CHOOSE(CONTROL!$C$42, 10.1467, 10.1467)* CHOOSE(CONTROL!$C$21, $C$9, 100%, $E$9)</f>
        <v>10.146699999999999</v>
      </c>
      <c r="K319" s="10">
        <f>CHOOSE(CONTROL!$C$42, 10.0263, 10.0263) * CHOOSE(CONTROL!$C$21, $C$9, 100%, $E$9)</f>
        <v>10.026300000000001</v>
      </c>
      <c r="L319" s="10">
        <f>CHOOSE(CONTROL!$C$42, 11.0015, 11.0015) * CHOOSE(CONTROL!$C$21, $C$9, 100%, $E$9)</f>
        <v>11.0015</v>
      </c>
      <c r="M319" s="10">
        <f>CHOOSE(CONTROL!$C$42, 10.0484, 10.0484) * CHOOSE(CONTROL!$C$21, $C$9, 100%, $E$9)</f>
        <v>10.048400000000001</v>
      </c>
      <c r="N319" s="10">
        <f>CHOOSE(CONTROL!$C$42, 10.0652, 10.0652) * CHOOSE(CONTROL!$C$21, $C$9, 100%, $E$9)</f>
        <v>10.065200000000001</v>
      </c>
      <c r="O319" s="10">
        <f>CHOOSE(CONTROL!$C$42, 10.3127, 10.3127) * CHOOSE(CONTROL!$C$21, $C$9, 100%, $E$9)</f>
        <v>10.3127</v>
      </c>
      <c r="P319" s="10">
        <f>CHOOSE(CONTROL!$C$42, 10.0877, 10.0877) * CHOOSE(CONTROL!$C$21, $C$9, 100%, $E$9)</f>
        <v>10.0877</v>
      </c>
      <c r="Q319" s="10">
        <f>CHOOSE(CONTROL!$C$42, 10.908, 10.908) * CHOOSE(CONTROL!$C$21, $C$9, 100%, $E$9)</f>
        <v>10.907999999999999</v>
      </c>
      <c r="R319" s="10">
        <f>CHOOSE(CONTROL!$C$42, 11.5223, 11.5223) * CHOOSE(CONTROL!$C$21, $C$9, 100%, $E$9)</f>
        <v>11.5223</v>
      </c>
      <c r="S319" s="10">
        <f>CHOOSE(CONTROL!$C$42, 9.9027, 9.9027) * CHOOSE(CONTROL!$C$21, $C$9, 100%, $E$9)</f>
        <v>9.9026999999999994</v>
      </c>
      <c r="T31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38">
        <f>(1000*CHOOSE(CONTROL!$C$42, 695, 695)*CHOOSE(CONTROL!$C$42, 0.5599, 0.5599)*CHOOSE(CONTROL!$C$42, 31, 31))/1000000</f>
        <v>12.063045499999998</v>
      </c>
      <c r="V319" s="38">
        <f>(1000*CHOOSE(CONTROL!$C$42, 500, 500)*CHOOSE(CONTROL!$C$42, 0.275, 0.275)*CHOOSE(CONTROL!$C$42, 31, 31))/1000000</f>
        <v>4.2625000000000002</v>
      </c>
      <c r="W319" s="38">
        <f>(1000*CHOOSE(CONTROL!$C$42, 0.1146, 0.1146)*CHOOSE(CONTROL!$C$42, 121.5, 121.5)*CHOOSE(CONTROL!$C$42, 31, 31))/1000000</f>
        <v>0.43164089999999994</v>
      </c>
      <c r="X319" s="38">
        <f>(31*0.1790888*245000/1000000)+(31*0.2374*100000/1000000)</f>
        <v>2.0961194359999999</v>
      </c>
      <c r="Y319" s="38">
        <f>(1000*600*CHOOSE(CONTROL!$C$42, 1.6337, 1.6337)*CHOOSE(CONTROL!$C$42, 31, 31))/1000000</f>
        <v>30.38682</v>
      </c>
      <c r="Z319" s="38"/>
      <c r="AA319" s="10"/>
      <c r="AB319" s="39"/>
      <c r="AC319" s="33">
        <f>(B319*194.205+C319*267.466+D319*133.845+E319*53.484+F319*40+G319*185+H319*0+I319*100+J319*300)/(194.205+267.466+133.845+53.484+0+40+185+100+300)</f>
        <v>10.216689797174254</v>
      </c>
      <c r="AD319" s="27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10.132078417266188</v>
      </c>
    </row>
    <row r="320" spans="1:30" ht="15.75" x14ac:dyDescent="0.25">
      <c r="A320" s="14">
        <v>51013</v>
      </c>
      <c r="B320" s="10">
        <f>CHOOSE(CONTROL!$C$42, 9.7067, 9.7067) * CHOOSE(CONTROL!$C$21, $C$9, 100%, $E$9)</f>
        <v>9.7066999999999997</v>
      </c>
      <c r="C320" s="10">
        <f>CHOOSE(CONTROL!$C$42, 9.7147, 9.7147) * CHOOSE(CONTROL!$C$21, $C$9, 100%, $E$9)</f>
        <v>9.7147000000000006</v>
      </c>
      <c r="D320" s="10">
        <f>CHOOSE(CONTROL!$C$42, 9.8899, 9.8899) * CHOOSE(CONTROL!$C$21, $C$9, 100%, $E$9)</f>
        <v>9.8899000000000008</v>
      </c>
      <c r="E320" s="10">
        <f>CHOOSE(CONTROL!$C$42, 9.9211, 9.9211) * CHOOSE(CONTROL!$C$21, $C$9, 100%, $E$9)</f>
        <v>9.9210999999999991</v>
      </c>
      <c r="F320" s="10">
        <f>CHOOSE(CONTROL!$C$42, 9.6488, 9.6488)*CHOOSE(CONTROL!$C$21, $C$9, 100%, $E$9)</f>
        <v>9.6487999999999996</v>
      </c>
      <c r="G320" s="10">
        <f>CHOOSE(CONTROL!$C$42, 9.6659, 9.6659)*CHOOSE(CONTROL!$C$21, $C$9, 100%, $E$9)</f>
        <v>9.6659000000000006</v>
      </c>
      <c r="H320" s="10">
        <f>CHOOSE(CONTROL!$C$42, 9.9094, 9.9094) * CHOOSE(CONTROL!$C$21, $C$9, 100%, $E$9)</f>
        <v>9.9093999999999998</v>
      </c>
      <c r="I320" s="10">
        <f>CHOOSE(CONTROL!$C$42, 9.6814, 9.6814)* CHOOSE(CONTROL!$C$21, $C$9, 100%, $E$9)</f>
        <v>9.6814</v>
      </c>
      <c r="J320" s="10">
        <f>CHOOSE(CONTROL!$C$42, 9.6414, 9.6414)* CHOOSE(CONTROL!$C$21, $C$9, 100%, $E$9)</f>
        <v>9.6414000000000009</v>
      </c>
      <c r="K320" s="10">
        <f>CHOOSE(CONTROL!$C$42, 9.5367, 9.5367) * CHOOSE(CONTROL!$C$21, $C$9, 100%, $E$9)</f>
        <v>9.5366999999999997</v>
      </c>
      <c r="L320" s="10">
        <f>CHOOSE(CONTROL!$C$42, 10.4964, 10.4964) * CHOOSE(CONTROL!$C$21, $C$9, 100%, $E$9)</f>
        <v>10.4964</v>
      </c>
      <c r="M320" s="10">
        <f>CHOOSE(CONTROL!$C$42, 9.5497, 9.5497) * CHOOSE(CONTROL!$C$21, $C$9, 100%, $E$9)</f>
        <v>9.5496999999999996</v>
      </c>
      <c r="N320" s="10">
        <f>CHOOSE(CONTROL!$C$42, 9.5665, 9.5665) * CHOOSE(CONTROL!$C$21, $C$9, 100%, $E$9)</f>
        <v>9.5664999999999996</v>
      </c>
      <c r="O320" s="10">
        <f>CHOOSE(CONTROL!$C$42, 9.8142, 9.8142) * CHOOSE(CONTROL!$C$21, $C$9, 100%, $E$9)</f>
        <v>9.8141999999999996</v>
      </c>
      <c r="P320" s="10">
        <f>CHOOSE(CONTROL!$C$42, 9.5892, 9.5892) * CHOOSE(CONTROL!$C$21, $C$9, 100%, $E$9)</f>
        <v>9.5891999999999999</v>
      </c>
      <c r="Q320" s="10">
        <f>CHOOSE(CONTROL!$C$42, 10.4095, 10.4095) * CHOOSE(CONTROL!$C$21, $C$9, 100%, $E$9)</f>
        <v>10.4095</v>
      </c>
      <c r="R320" s="10">
        <f>CHOOSE(CONTROL!$C$42, 11.0225, 11.0225) * CHOOSE(CONTROL!$C$21, $C$9, 100%, $E$9)</f>
        <v>11.022500000000001</v>
      </c>
      <c r="S320" s="10">
        <f>CHOOSE(CONTROL!$C$42, 9.4136, 9.4136) * CHOOSE(CONTROL!$C$21, $C$9, 100%, $E$9)</f>
        <v>9.4136000000000006</v>
      </c>
      <c r="T32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38">
        <f>(1000*CHOOSE(CONTROL!$C$42, 695, 695)*CHOOSE(CONTROL!$C$42, 0.5599, 0.5599)*CHOOSE(CONTROL!$C$42, 31, 31))/1000000</f>
        <v>12.063045499999998</v>
      </c>
      <c r="V320" s="38">
        <f>(1000*CHOOSE(CONTROL!$C$42, 500, 500)*CHOOSE(CONTROL!$C$42, 0.275, 0.275)*CHOOSE(CONTROL!$C$42, 31, 31))/1000000</f>
        <v>4.2625000000000002</v>
      </c>
      <c r="W320" s="38">
        <f>(1000*CHOOSE(CONTROL!$C$42, 0.1146, 0.1146)*CHOOSE(CONTROL!$C$42, 121.5, 121.5)*CHOOSE(CONTROL!$C$42, 31, 31))/1000000</f>
        <v>0.43164089999999994</v>
      </c>
      <c r="X320" s="38">
        <f>(31*0.1790888*245000/1000000)+(31*0.2374*100000/1000000)</f>
        <v>2.0961194359999999</v>
      </c>
      <c r="Y320" s="38">
        <f>(1000*600*CHOOSE(CONTROL!$C$42, 1.6337, 1.6337)*CHOOSE(CONTROL!$C$42, 31, 31))/1000000</f>
        <v>30.38682</v>
      </c>
      <c r="Z320" s="38"/>
      <c r="AA320" s="10"/>
      <c r="AB320" s="39"/>
      <c r="AC320" s="33">
        <f>(B320*194.205+C320*267.466+D320*133.845+E320*53.484+F320*40+G320*185+H320*0+I320*100+J320*300)/(194.205+267.466+133.845+53.484+0+40+185+100+300)</f>
        <v>9.7115219007849305</v>
      </c>
      <c r="AD320" s="27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9.6334633093525177</v>
      </c>
    </row>
    <row r="321" spans="1:30" ht="15.75" x14ac:dyDescent="0.25">
      <c r="A321" s="14">
        <v>51043</v>
      </c>
      <c r="B321" s="10">
        <f>CHOOSE(CONTROL!$C$42, 9.0896, 9.0896) * CHOOSE(CONTROL!$C$21, $C$9, 100%, $E$9)</f>
        <v>9.0896000000000008</v>
      </c>
      <c r="C321" s="10">
        <f>CHOOSE(CONTROL!$C$42, 9.0976, 9.0976) * CHOOSE(CONTROL!$C$21, $C$9, 100%, $E$9)</f>
        <v>9.0975999999999999</v>
      </c>
      <c r="D321" s="10">
        <f>CHOOSE(CONTROL!$C$42, 9.2727, 9.2727) * CHOOSE(CONTROL!$C$21, $C$9, 100%, $E$9)</f>
        <v>9.2727000000000004</v>
      </c>
      <c r="E321" s="10">
        <f>CHOOSE(CONTROL!$C$42, 9.3039, 9.3039) * CHOOSE(CONTROL!$C$21, $C$9, 100%, $E$9)</f>
        <v>9.3039000000000005</v>
      </c>
      <c r="F321" s="10">
        <f>CHOOSE(CONTROL!$C$42, 9.0314, 9.0314)*CHOOSE(CONTROL!$C$21, $C$9, 100%, $E$9)</f>
        <v>9.0313999999999997</v>
      </c>
      <c r="G321" s="10">
        <f>CHOOSE(CONTROL!$C$42, 9.0483, 9.0483)*CHOOSE(CONTROL!$C$21, $C$9, 100%, $E$9)</f>
        <v>9.0482999999999993</v>
      </c>
      <c r="H321" s="10">
        <f>CHOOSE(CONTROL!$C$42, 9.2923, 9.2923) * CHOOSE(CONTROL!$C$21, $C$9, 100%, $E$9)</f>
        <v>9.2922999999999991</v>
      </c>
      <c r="I321" s="10">
        <f>CHOOSE(CONTROL!$C$42, 9.0642, 9.0642)* CHOOSE(CONTROL!$C$21, $C$9, 100%, $E$9)</f>
        <v>9.0641999999999996</v>
      </c>
      <c r="J321" s="10">
        <f>CHOOSE(CONTROL!$C$42, 9.024, 9.024)* CHOOSE(CONTROL!$C$21, $C$9, 100%, $E$9)</f>
        <v>9.0239999999999991</v>
      </c>
      <c r="K321" s="10">
        <f>CHOOSE(CONTROL!$C$42, 8.9381, 8.9381) * CHOOSE(CONTROL!$C$21, $C$9, 100%, $E$9)</f>
        <v>8.9381000000000004</v>
      </c>
      <c r="L321" s="10">
        <f>CHOOSE(CONTROL!$C$42, 9.8793, 9.8793) * CHOOSE(CONTROL!$C$21, $C$9, 100%, $E$9)</f>
        <v>9.8793000000000006</v>
      </c>
      <c r="M321" s="10">
        <f>CHOOSE(CONTROL!$C$42, 8.9402, 8.9402) * CHOOSE(CONTROL!$C$21, $C$9, 100%, $E$9)</f>
        <v>8.9402000000000008</v>
      </c>
      <c r="N321" s="10">
        <f>CHOOSE(CONTROL!$C$42, 8.9569, 8.9569) * CHOOSE(CONTROL!$C$21, $C$9, 100%, $E$9)</f>
        <v>8.9568999999999992</v>
      </c>
      <c r="O321" s="10">
        <f>CHOOSE(CONTROL!$C$42, 9.205, 9.205) * CHOOSE(CONTROL!$C$21, $C$9, 100%, $E$9)</f>
        <v>9.2050000000000001</v>
      </c>
      <c r="P321" s="10">
        <f>CHOOSE(CONTROL!$C$42, 8.98, 8.98) * CHOOSE(CONTROL!$C$21, $C$9, 100%, $E$9)</f>
        <v>8.98</v>
      </c>
      <c r="Q321" s="10">
        <f>CHOOSE(CONTROL!$C$42, 9.8003, 9.8003) * CHOOSE(CONTROL!$C$21, $C$9, 100%, $E$9)</f>
        <v>9.8003</v>
      </c>
      <c r="R321" s="10">
        <f>CHOOSE(CONTROL!$C$42, 10.4118, 10.4118) * CHOOSE(CONTROL!$C$21, $C$9, 100%, $E$9)</f>
        <v>10.411799999999999</v>
      </c>
      <c r="S321" s="10">
        <f>CHOOSE(CONTROL!$C$42, 8.8161, 8.8161) * CHOOSE(CONTROL!$C$21, $C$9, 100%, $E$9)</f>
        <v>8.8161000000000005</v>
      </c>
      <c r="T32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38">
        <f>(1000*CHOOSE(CONTROL!$C$42, 695, 695)*CHOOSE(CONTROL!$C$42, 0.5599, 0.5599)*CHOOSE(CONTROL!$C$42, 30, 30))/1000000</f>
        <v>11.673914999999997</v>
      </c>
      <c r="V321" s="38">
        <f>(1000*CHOOSE(CONTROL!$C$42, 500, 500)*CHOOSE(CONTROL!$C$42, 0.275, 0.275)*CHOOSE(CONTROL!$C$42, 30, 30))/1000000</f>
        <v>4.125</v>
      </c>
      <c r="W321" s="38">
        <f>(1000*CHOOSE(CONTROL!$C$42, 0.1146, 0.1146)*CHOOSE(CONTROL!$C$42, 121.5, 121.5)*CHOOSE(CONTROL!$C$42, 30, 30))/1000000</f>
        <v>0.417717</v>
      </c>
      <c r="X321" s="38">
        <f>(30*0.1790888*245000/1000000)+(30*0.2374*100000/1000000)</f>
        <v>2.0285026799999999</v>
      </c>
      <c r="Y321" s="38">
        <f>(1000*600*CHOOSE(CONTROL!$C$42, 1.6337, 1.6337)*CHOOSE(CONTROL!$C$42, 30, 30))/1000000</f>
        <v>29.406600000000001</v>
      </c>
      <c r="Z321" s="38"/>
      <c r="AA321" s="10"/>
      <c r="AB321" s="39"/>
      <c r="AC321" s="33">
        <f>(B321*194.205+C321*267.466+D321*133.845+E321*53.484+F321*40+G321*185+H321*0+I321*100+J321*300)/(194.205+267.466+133.845+53.484+0+40+185+100+300)</f>
        <v>9.0942466787284157</v>
      </c>
      <c r="AD321" s="27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9.0240676258992796</v>
      </c>
    </row>
    <row r="322" spans="1:30" ht="15.75" x14ac:dyDescent="0.25">
      <c r="A322" s="14">
        <v>51074</v>
      </c>
      <c r="B322" s="10">
        <f>CHOOSE(CONTROL!$C$42, 8.9026, 8.9026) * CHOOSE(CONTROL!$C$21, $C$9, 100%, $E$9)</f>
        <v>8.9025999999999996</v>
      </c>
      <c r="C322" s="10">
        <f>CHOOSE(CONTROL!$C$42, 8.908, 8.908) * CHOOSE(CONTROL!$C$21, $C$9, 100%, $E$9)</f>
        <v>8.9079999999999995</v>
      </c>
      <c r="D322" s="10">
        <f>CHOOSE(CONTROL!$C$42, 9.088, 9.088) * CHOOSE(CONTROL!$C$21, $C$9, 100%, $E$9)</f>
        <v>9.0879999999999992</v>
      </c>
      <c r="E322" s="10">
        <f>CHOOSE(CONTROL!$C$42, 9.1169, 9.1169) * CHOOSE(CONTROL!$C$21, $C$9, 100%, $E$9)</f>
        <v>9.1168999999999993</v>
      </c>
      <c r="F322" s="10">
        <f>CHOOSE(CONTROL!$C$42, 8.8464, 8.8464)*CHOOSE(CONTROL!$C$21, $C$9, 100%, $E$9)</f>
        <v>8.8463999999999992</v>
      </c>
      <c r="G322" s="10">
        <f>CHOOSE(CONTROL!$C$42, 8.863, 8.863)*CHOOSE(CONTROL!$C$21, $C$9, 100%, $E$9)</f>
        <v>8.8629999999999995</v>
      </c>
      <c r="H322" s="10">
        <f>CHOOSE(CONTROL!$C$42, 9.107, 9.107) * CHOOSE(CONTROL!$C$21, $C$9, 100%, $E$9)</f>
        <v>9.1069999999999993</v>
      </c>
      <c r="I322" s="10">
        <f>CHOOSE(CONTROL!$C$42, 8.879, 8.879)* CHOOSE(CONTROL!$C$21, $C$9, 100%, $E$9)</f>
        <v>8.8789999999999996</v>
      </c>
      <c r="J322" s="10">
        <f>CHOOSE(CONTROL!$C$42, 8.839, 8.839)* CHOOSE(CONTROL!$C$21, $C$9, 100%, $E$9)</f>
        <v>8.8390000000000004</v>
      </c>
      <c r="K322" s="10">
        <f>CHOOSE(CONTROL!$C$42, 8.7593, 8.7593) * CHOOSE(CONTROL!$C$21, $C$9, 100%, $E$9)</f>
        <v>8.7592999999999996</v>
      </c>
      <c r="L322" s="10">
        <f>CHOOSE(CONTROL!$C$42, 9.694, 9.694) * CHOOSE(CONTROL!$C$21, $C$9, 100%, $E$9)</f>
        <v>9.6940000000000008</v>
      </c>
      <c r="M322" s="10">
        <f>CHOOSE(CONTROL!$C$42, 8.7576, 8.7576) * CHOOSE(CONTROL!$C$21, $C$9, 100%, $E$9)</f>
        <v>8.7576000000000001</v>
      </c>
      <c r="N322" s="10">
        <f>CHOOSE(CONTROL!$C$42, 8.774, 8.774) * CHOOSE(CONTROL!$C$21, $C$9, 100%, $E$9)</f>
        <v>8.7739999999999991</v>
      </c>
      <c r="O322" s="10">
        <f>CHOOSE(CONTROL!$C$42, 9.0222, 9.0222) * CHOOSE(CONTROL!$C$21, $C$9, 100%, $E$9)</f>
        <v>9.0221999999999998</v>
      </c>
      <c r="P322" s="10">
        <f>CHOOSE(CONTROL!$C$42, 8.7972, 8.7972) * CHOOSE(CONTROL!$C$21, $C$9, 100%, $E$9)</f>
        <v>8.7972000000000001</v>
      </c>
      <c r="Q322" s="10">
        <f>CHOOSE(CONTROL!$C$42, 9.6175, 9.6175) * CHOOSE(CONTROL!$C$21, $C$9, 100%, $E$9)</f>
        <v>9.6174999999999997</v>
      </c>
      <c r="R322" s="10">
        <f>CHOOSE(CONTROL!$C$42, 10.2285, 10.2285) * CHOOSE(CONTROL!$C$21, $C$9, 100%, $E$9)</f>
        <v>10.2285</v>
      </c>
      <c r="S322" s="10">
        <f>CHOOSE(CONTROL!$C$42, 8.6367, 8.6367) * CHOOSE(CONTROL!$C$21, $C$9, 100%, $E$9)</f>
        <v>8.6366999999999994</v>
      </c>
      <c r="T3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38">
        <f>(1000*CHOOSE(CONTROL!$C$42, 695, 695)*CHOOSE(CONTROL!$C$42, 0.5599, 0.5599)*CHOOSE(CONTROL!$C$42, 31, 31))/1000000</f>
        <v>12.063045499999998</v>
      </c>
      <c r="V322" s="38">
        <f>(1000*CHOOSE(CONTROL!$C$42, 500, 500)*CHOOSE(CONTROL!$C$42, 0.275, 0.275)*CHOOSE(CONTROL!$C$42, 31, 31))/1000000</f>
        <v>4.2625000000000002</v>
      </c>
      <c r="W322" s="38">
        <f>(1000*CHOOSE(CONTROL!$C$42, 0.1146, 0.1146)*CHOOSE(CONTROL!$C$42, 121.5, 121.5)*CHOOSE(CONTROL!$C$42, 31, 31))/1000000</f>
        <v>0.43164089999999994</v>
      </c>
      <c r="X322" s="38">
        <f>(31*0.1790888*245000/1000000)+(31*0.2374*100000/1000000)</f>
        <v>2.0961194359999999</v>
      </c>
      <c r="Y322" s="38">
        <f>(1000*600*CHOOSE(CONTROL!$C$42, 1.6337, 1.6337)*CHOOSE(CONTROL!$C$42, 31, 31))/1000000</f>
        <v>30.38682</v>
      </c>
      <c r="Z322" s="38"/>
      <c r="AA322" s="10"/>
      <c r="AB322" s="39"/>
      <c r="AC322" s="33">
        <f>(B322*131.881+C322*277.167+D322*79.08+E322*125.872+F322*40+G322*185+H322*0+I322*100+J322*300)/(131.881+277.167+79.08+125.872+0+40+185+100+300)</f>
        <v>8.9123808744148505</v>
      </c>
      <c r="AD322" s="27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8.841313669064748</v>
      </c>
    </row>
    <row r="323" spans="1:30" ht="15.75" x14ac:dyDescent="0.25">
      <c r="A323" s="14">
        <v>51104</v>
      </c>
      <c r="B323" s="10">
        <f>CHOOSE(CONTROL!$C$42, 9.1372, 9.1372) * CHOOSE(CONTROL!$C$21, $C$9, 100%, $E$9)</f>
        <v>9.1372</v>
      </c>
      <c r="C323" s="10">
        <f>CHOOSE(CONTROL!$C$42, 9.1423, 9.1423) * CHOOSE(CONTROL!$C$21, $C$9, 100%, $E$9)</f>
        <v>9.1423000000000005</v>
      </c>
      <c r="D323" s="10">
        <f>CHOOSE(CONTROL!$C$42, 9.167, 9.167) * CHOOSE(CONTROL!$C$21, $C$9, 100%, $E$9)</f>
        <v>9.1669999999999998</v>
      </c>
      <c r="E323" s="10">
        <f>CHOOSE(CONTROL!$C$42, 9.2008, 9.2008) * CHOOSE(CONTROL!$C$21, $C$9, 100%, $E$9)</f>
        <v>9.2007999999999992</v>
      </c>
      <c r="F323" s="10">
        <f>CHOOSE(CONTROL!$C$42, 9.1028, 9.1028)*CHOOSE(CONTROL!$C$21, $C$9, 100%, $E$9)</f>
        <v>9.1028000000000002</v>
      </c>
      <c r="G323" s="10">
        <f>CHOOSE(CONTROL!$C$42, 9.1196, 9.1196)*CHOOSE(CONTROL!$C$21, $C$9, 100%, $E$9)</f>
        <v>9.1196000000000002</v>
      </c>
      <c r="H323" s="10">
        <f>CHOOSE(CONTROL!$C$42, 9.1897, 9.1897) * CHOOSE(CONTROL!$C$21, $C$9, 100%, $E$9)</f>
        <v>9.1897000000000002</v>
      </c>
      <c r="I323" s="10">
        <f>CHOOSE(CONTROL!$C$42, 9.1367, 9.1367)* CHOOSE(CONTROL!$C$21, $C$9, 100%, $E$9)</f>
        <v>9.1366999999999994</v>
      </c>
      <c r="J323" s="10">
        <f>CHOOSE(CONTROL!$C$42, 9.0954, 9.0954)* CHOOSE(CONTROL!$C$21, $C$9, 100%, $E$9)</f>
        <v>9.0953999999999997</v>
      </c>
      <c r="K323" s="10">
        <f>CHOOSE(CONTROL!$C$42, 9.0107, 9.0107) * CHOOSE(CONTROL!$C$21, $C$9, 100%, $E$9)</f>
        <v>9.0106999999999999</v>
      </c>
      <c r="L323" s="10">
        <f>CHOOSE(CONTROL!$C$42, 9.7767, 9.7767) * CHOOSE(CONTROL!$C$21, $C$9, 100%, $E$9)</f>
        <v>9.7766999999999999</v>
      </c>
      <c r="M323" s="10">
        <f>CHOOSE(CONTROL!$C$42, 9.0107, 9.0107) * CHOOSE(CONTROL!$C$21, $C$9, 100%, $E$9)</f>
        <v>9.0106999999999999</v>
      </c>
      <c r="N323" s="10">
        <f>CHOOSE(CONTROL!$C$42, 9.0273, 9.0273) * CHOOSE(CONTROL!$C$21, $C$9, 100%, $E$9)</f>
        <v>9.0273000000000003</v>
      </c>
      <c r="O323" s="10">
        <f>CHOOSE(CONTROL!$C$42, 9.1037, 9.1037) * CHOOSE(CONTROL!$C$21, $C$9, 100%, $E$9)</f>
        <v>9.1036999999999999</v>
      </c>
      <c r="P323" s="10">
        <f>CHOOSE(CONTROL!$C$42, 9.0515, 9.0515) * CHOOSE(CONTROL!$C$21, $C$9, 100%, $E$9)</f>
        <v>9.0515000000000008</v>
      </c>
      <c r="Q323" s="10">
        <f>CHOOSE(CONTROL!$C$42, 9.699, 9.699) * CHOOSE(CONTROL!$C$21, $C$9, 100%, $E$9)</f>
        <v>9.6989999999999998</v>
      </c>
      <c r="R323" s="10">
        <f>CHOOSE(CONTROL!$C$42, 10.3103, 10.3103) * CHOOSE(CONTROL!$C$21, $C$9, 100%, $E$9)</f>
        <v>10.3103</v>
      </c>
      <c r="S323" s="10">
        <f>CHOOSE(CONTROL!$C$42, 8.8642, 8.8642) * CHOOSE(CONTROL!$C$21, $C$9, 100%, $E$9)</f>
        <v>8.8642000000000003</v>
      </c>
      <c r="T3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38">
        <f>(1000*CHOOSE(CONTROL!$C$42, 695, 695)*CHOOSE(CONTROL!$C$42, 0.5599, 0.5599)*CHOOSE(CONTROL!$C$42, 30, 30))/1000000</f>
        <v>11.673914999999997</v>
      </c>
      <c r="V323" s="38">
        <f>(1000*CHOOSE(CONTROL!$C$42, 500, 500)*CHOOSE(CONTROL!$C$42, 0.275, 0.275)*CHOOSE(CONTROL!$C$42, 30, 30))/1000000</f>
        <v>4.125</v>
      </c>
      <c r="W323" s="38">
        <f>(1000*CHOOSE(CONTROL!$C$42, 0.1146, 0.1146)*CHOOSE(CONTROL!$C$42, 121.5, 121.5)*CHOOSE(CONTROL!$C$42, 30, 30))/1000000</f>
        <v>0.417717</v>
      </c>
      <c r="X323" s="38">
        <f>(30*0.1790888*100000/1000000)+(30*0.2374*100000/1000000)</f>
        <v>1.2494664</v>
      </c>
      <c r="Y323" s="38">
        <f>(1000*600*CHOOSE(CONTROL!$C$42, 1.6337, 1.6337)*CHOOSE(CONTROL!$C$42, 30, 30))/1000000</f>
        <v>29.406600000000001</v>
      </c>
      <c r="Z323" s="38"/>
      <c r="AA323" s="10"/>
      <c r="AB323" s="39"/>
      <c r="AC323" s="33">
        <f>(B323*122.58+C323*297.941+D323*89.177+E323*40.302+F323*40+G323*160+H323*0+I323*100+J323*300)/(122.58+297.941+89.177+40.302+0+40+160+100+300)</f>
        <v>9.1284679833913049</v>
      </c>
      <c r="AD323" s="27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9.0596769784172668</v>
      </c>
    </row>
    <row r="324" spans="1:30" ht="15.75" x14ac:dyDescent="0.25">
      <c r="A324" s="14">
        <v>51135</v>
      </c>
      <c r="B324" s="10">
        <f>CHOOSE(CONTROL!$C$42, 9.7613, 9.7613) * CHOOSE(CONTROL!$C$21, $C$9, 100%, $E$9)</f>
        <v>9.7613000000000003</v>
      </c>
      <c r="C324" s="10">
        <f>CHOOSE(CONTROL!$C$42, 9.7664, 9.7664) * CHOOSE(CONTROL!$C$21, $C$9, 100%, $E$9)</f>
        <v>9.7664000000000009</v>
      </c>
      <c r="D324" s="10">
        <f>CHOOSE(CONTROL!$C$42, 9.7911, 9.7911) * CHOOSE(CONTROL!$C$21, $C$9, 100%, $E$9)</f>
        <v>9.7911000000000001</v>
      </c>
      <c r="E324" s="10">
        <f>CHOOSE(CONTROL!$C$42, 9.8249, 9.8249) * CHOOSE(CONTROL!$C$21, $C$9, 100%, $E$9)</f>
        <v>9.8248999999999995</v>
      </c>
      <c r="F324" s="10">
        <f>CHOOSE(CONTROL!$C$42, 9.7287, 9.7287)*CHOOSE(CONTROL!$C$21, $C$9, 100%, $E$9)</f>
        <v>9.7286999999999999</v>
      </c>
      <c r="G324" s="10">
        <f>CHOOSE(CONTROL!$C$42, 9.746, 9.746)*CHOOSE(CONTROL!$C$21, $C$9, 100%, $E$9)</f>
        <v>9.7460000000000004</v>
      </c>
      <c r="H324" s="10">
        <f>CHOOSE(CONTROL!$C$42, 9.8138, 9.8138) * CHOOSE(CONTROL!$C$21, $C$9, 100%, $E$9)</f>
        <v>9.8138000000000005</v>
      </c>
      <c r="I324" s="10">
        <f>CHOOSE(CONTROL!$C$42, 9.7608, 9.7608)* CHOOSE(CONTROL!$C$21, $C$9, 100%, $E$9)</f>
        <v>9.7607999999999997</v>
      </c>
      <c r="J324" s="10">
        <f>CHOOSE(CONTROL!$C$42, 9.7213, 9.7213)* CHOOSE(CONTROL!$C$21, $C$9, 100%, $E$9)</f>
        <v>9.7212999999999994</v>
      </c>
      <c r="K324" s="10">
        <f>CHOOSE(CONTROL!$C$42, 9.6192, 9.6192) * CHOOSE(CONTROL!$C$21, $C$9, 100%, $E$9)</f>
        <v>9.6191999999999993</v>
      </c>
      <c r="L324" s="10">
        <f>CHOOSE(CONTROL!$C$42, 10.4008, 10.4008) * CHOOSE(CONTROL!$C$21, $C$9, 100%, $E$9)</f>
        <v>10.4008</v>
      </c>
      <c r="M324" s="10">
        <f>CHOOSE(CONTROL!$C$42, 9.6285, 9.6285) * CHOOSE(CONTROL!$C$21, $C$9, 100%, $E$9)</f>
        <v>9.6285000000000007</v>
      </c>
      <c r="N324" s="10">
        <f>CHOOSE(CONTROL!$C$42, 9.6456, 9.6456) * CHOOSE(CONTROL!$C$21, $C$9, 100%, $E$9)</f>
        <v>9.6456</v>
      </c>
      <c r="O324" s="10">
        <f>CHOOSE(CONTROL!$C$42, 9.7198, 9.7198) * CHOOSE(CONTROL!$C$21, $C$9, 100%, $E$9)</f>
        <v>9.7197999999999993</v>
      </c>
      <c r="P324" s="10">
        <f>CHOOSE(CONTROL!$C$42, 9.6675, 9.6675) * CHOOSE(CONTROL!$C$21, $C$9, 100%, $E$9)</f>
        <v>9.6675000000000004</v>
      </c>
      <c r="Q324" s="10">
        <f>CHOOSE(CONTROL!$C$42, 10.3151, 10.3151) * CHOOSE(CONTROL!$C$21, $C$9, 100%, $E$9)</f>
        <v>10.315099999999999</v>
      </c>
      <c r="R324" s="10">
        <f>CHOOSE(CONTROL!$C$42, 10.9278, 10.9278) * CHOOSE(CONTROL!$C$21, $C$9, 100%, $E$9)</f>
        <v>10.9278</v>
      </c>
      <c r="S324" s="10">
        <f>CHOOSE(CONTROL!$C$42, 9.4685, 9.4685) * CHOOSE(CONTROL!$C$21, $C$9, 100%, $E$9)</f>
        <v>9.4685000000000006</v>
      </c>
      <c r="T3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38">
        <f>(1000*CHOOSE(CONTROL!$C$42, 695, 695)*CHOOSE(CONTROL!$C$42, 0.5599, 0.5599)*CHOOSE(CONTROL!$C$42, 31, 31))/1000000</f>
        <v>12.063045499999998</v>
      </c>
      <c r="V324" s="38">
        <f>(1000*CHOOSE(CONTROL!$C$42, 500, 500)*CHOOSE(CONTROL!$C$42, 0.275, 0.275)*CHOOSE(CONTROL!$C$42, 31, 31))/1000000</f>
        <v>4.2625000000000002</v>
      </c>
      <c r="W324" s="38">
        <f>(1000*CHOOSE(CONTROL!$C$42, 0.1146, 0.1146)*CHOOSE(CONTROL!$C$42, 121.5, 121.5)*CHOOSE(CONTROL!$C$42, 31, 31))/1000000</f>
        <v>0.43164089999999994</v>
      </c>
      <c r="X324" s="38">
        <f>(31*0.1790888*100000/1000000)+(31*0.2374*100000/1000000)</f>
        <v>1.2911152800000001</v>
      </c>
      <c r="Y324" s="38">
        <f>(1000*600*CHOOSE(CONTROL!$C$42, 1.6337, 1.6337)*CHOOSE(CONTROL!$C$42, 31, 31))/1000000</f>
        <v>30.38682</v>
      </c>
      <c r="Z324" s="38"/>
      <c r="AA324" s="10"/>
      <c r="AB324" s="39"/>
      <c r="AC324" s="33">
        <f>(B324*122.58+C324*297.941+D324*89.177+E324*40.302+F324*40+G324*160+H324*0+I324*100+J324*300)/(122.58+297.941+89.177+40.302+0+40+160+100+300)</f>
        <v>9.7534201573043475</v>
      </c>
      <c r="AD324" s="27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9.6764762589928051</v>
      </c>
    </row>
    <row r="325" spans="1:30" ht="15.75" x14ac:dyDescent="0.25">
      <c r="A325" s="14">
        <v>51166</v>
      </c>
      <c r="B325" s="10">
        <f>CHOOSE(CONTROL!$C$42, 10.4212, 10.4212) * CHOOSE(CONTROL!$C$21, $C$9, 100%, $E$9)</f>
        <v>10.421200000000001</v>
      </c>
      <c r="C325" s="10">
        <f>CHOOSE(CONTROL!$C$42, 10.4263, 10.4263) * CHOOSE(CONTROL!$C$21, $C$9, 100%, $E$9)</f>
        <v>10.426299999999999</v>
      </c>
      <c r="D325" s="10">
        <f>CHOOSE(CONTROL!$C$42, 10.4613, 10.4613) * CHOOSE(CONTROL!$C$21, $C$9, 100%, $E$9)</f>
        <v>10.4613</v>
      </c>
      <c r="E325" s="10">
        <f>CHOOSE(CONTROL!$C$42, 10.4951, 10.4951) * CHOOSE(CONTROL!$C$21, $C$9, 100%, $E$9)</f>
        <v>10.495100000000001</v>
      </c>
      <c r="F325" s="10">
        <f>CHOOSE(CONTROL!$C$42, 10.4025, 10.4025)*CHOOSE(CONTROL!$C$21, $C$9, 100%, $E$9)</f>
        <v>10.4025</v>
      </c>
      <c r="G325" s="10">
        <f>CHOOSE(CONTROL!$C$42, 10.4214, 10.4214)*CHOOSE(CONTROL!$C$21, $C$9, 100%, $E$9)</f>
        <v>10.4214</v>
      </c>
      <c r="H325" s="10">
        <f>CHOOSE(CONTROL!$C$42, 10.484, 10.484) * CHOOSE(CONTROL!$C$21, $C$9, 100%, $E$9)</f>
        <v>10.484</v>
      </c>
      <c r="I325" s="10">
        <f>CHOOSE(CONTROL!$C$42, 10.4285, 10.4285)* CHOOSE(CONTROL!$C$21, $C$9, 100%, $E$9)</f>
        <v>10.4285</v>
      </c>
      <c r="J325" s="10">
        <f>CHOOSE(CONTROL!$C$42, 10.3951, 10.3951)* CHOOSE(CONTROL!$C$21, $C$9, 100%, $E$9)</f>
        <v>10.395099999999999</v>
      </c>
      <c r="K325" s="10">
        <f>CHOOSE(CONTROL!$C$42, 10.2793, 10.2793) * CHOOSE(CONTROL!$C$21, $C$9, 100%, $E$9)</f>
        <v>10.279299999999999</v>
      </c>
      <c r="L325" s="10">
        <f>CHOOSE(CONTROL!$C$42, 11.071, 11.071) * CHOOSE(CONTROL!$C$21, $C$9, 100%, $E$9)</f>
        <v>11.071</v>
      </c>
      <c r="M325" s="10">
        <f>CHOOSE(CONTROL!$C$42, 10.2936, 10.2936) * CHOOSE(CONTROL!$C$21, $C$9, 100%, $E$9)</f>
        <v>10.2936</v>
      </c>
      <c r="N325" s="10">
        <f>CHOOSE(CONTROL!$C$42, 10.3122, 10.3122) * CHOOSE(CONTROL!$C$21, $C$9, 100%, $E$9)</f>
        <v>10.312200000000001</v>
      </c>
      <c r="O325" s="10">
        <f>CHOOSE(CONTROL!$C$42, 10.3813, 10.3813) * CHOOSE(CONTROL!$C$21, $C$9, 100%, $E$9)</f>
        <v>10.3813</v>
      </c>
      <c r="P325" s="10">
        <f>CHOOSE(CONTROL!$C$42, 10.3266, 10.3266) * CHOOSE(CONTROL!$C$21, $C$9, 100%, $E$9)</f>
        <v>10.326599999999999</v>
      </c>
      <c r="Q325" s="10">
        <f>CHOOSE(CONTROL!$C$42, 10.9766, 10.9766) * CHOOSE(CONTROL!$C$21, $C$9, 100%, $E$9)</f>
        <v>10.976599999999999</v>
      </c>
      <c r="R325" s="10">
        <f>CHOOSE(CONTROL!$C$42, 11.5911, 11.5911) * CHOOSE(CONTROL!$C$21, $C$9, 100%, $E$9)</f>
        <v>11.591100000000001</v>
      </c>
      <c r="S325" s="10">
        <f>CHOOSE(CONTROL!$C$42, 10.1075, 10.1075) * CHOOSE(CONTROL!$C$21, $C$9, 100%, $E$9)</f>
        <v>10.1075</v>
      </c>
      <c r="T3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38">
        <f>(1000*CHOOSE(CONTROL!$C$42, 695, 695)*CHOOSE(CONTROL!$C$42, 0.5599, 0.5599)*CHOOSE(CONTROL!$C$42, 31, 31))/1000000</f>
        <v>12.063045499999998</v>
      </c>
      <c r="V325" s="38">
        <f>(1000*CHOOSE(CONTROL!$C$42, 500, 500)*CHOOSE(CONTROL!$C$42, 0.275, 0.275)*CHOOSE(CONTROL!$C$42, 31, 31))/1000000</f>
        <v>4.2625000000000002</v>
      </c>
      <c r="W325" s="38">
        <f>(1000*CHOOSE(CONTROL!$C$42, 0.1146, 0.1146)*CHOOSE(CONTROL!$C$42, 121.5, 121.5)*CHOOSE(CONTROL!$C$42, 31, 31))/1000000</f>
        <v>0.43164089999999994</v>
      </c>
      <c r="X325" s="38">
        <f>(31*0.1790888*100000/1000000)+(31*0.2374*100000/1000000)</f>
        <v>1.2911152800000001</v>
      </c>
      <c r="Y325" s="38">
        <f>(1000*600*CHOOSE(CONTROL!$C$42, 1.6302, 1.6302)*CHOOSE(CONTROL!$C$42, 31, 31))/1000000</f>
        <v>30.321719999999999</v>
      </c>
      <c r="Z325" s="38"/>
      <c r="AA325" s="10"/>
      <c r="AB325" s="39"/>
      <c r="AC325" s="33">
        <f>(B325*122.58+C325*297.941+D325*89.177+E325*40.302+F325*40+G325*160+H325*0+I325*100+J325*300)/(122.58+297.941+89.177+40.302+0+40+160+100+300)</f>
        <v>10.421424186608695</v>
      </c>
      <c r="AD325" s="27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10.339167625899281</v>
      </c>
    </row>
    <row r="326" spans="1:30" ht="15.75" x14ac:dyDescent="0.25">
      <c r="A326" s="14">
        <v>51194</v>
      </c>
      <c r="B326" s="10">
        <f>CHOOSE(CONTROL!$C$42, 10.607, 10.607) * CHOOSE(CONTROL!$C$21, $C$9, 100%, $E$9)</f>
        <v>10.606999999999999</v>
      </c>
      <c r="C326" s="10">
        <f>CHOOSE(CONTROL!$C$42, 10.6121, 10.6121) * CHOOSE(CONTROL!$C$21, $C$9, 100%, $E$9)</f>
        <v>10.6121</v>
      </c>
      <c r="D326" s="10">
        <f>CHOOSE(CONTROL!$C$42, 10.6471, 10.6471) * CHOOSE(CONTROL!$C$21, $C$9, 100%, $E$9)</f>
        <v>10.6471</v>
      </c>
      <c r="E326" s="10">
        <f>CHOOSE(CONTROL!$C$42, 10.6809, 10.6809) * CHOOSE(CONTROL!$C$21, $C$9, 100%, $E$9)</f>
        <v>10.680899999999999</v>
      </c>
      <c r="F326" s="10">
        <f>CHOOSE(CONTROL!$C$42, 10.5878, 10.5878)*CHOOSE(CONTROL!$C$21, $C$9, 100%, $E$9)</f>
        <v>10.5878</v>
      </c>
      <c r="G326" s="10">
        <f>CHOOSE(CONTROL!$C$42, 10.6065, 10.6065)*CHOOSE(CONTROL!$C$21, $C$9, 100%, $E$9)</f>
        <v>10.6065</v>
      </c>
      <c r="H326" s="10">
        <f>CHOOSE(CONTROL!$C$42, 10.6698, 10.6698) * CHOOSE(CONTROL!$C$21, $C$9, 100%, $E$9)</f>
        <v>10.6698</v>
      </c>
      <c r="I326" s="10">
        <f>CHOOSE(CONTROL!$C$42, 10.6143, 10.6143)* CHOOSE(CONTROL!$C$21, $C$9, 100%, $E$9)</f>
        <v>10.6143</v>
      </c>
      <c r="J326" s="10">
        <f>CHOOSE(CONTROL!$C$42, 10.5804, 10.5804)* CHOOSE(CONTROL!$C$21, $C$9, 100%, $E$9)</f>
        <v>10.580399999999999</v>
      </c>
      <c r="K326" s="10">
        <f>CHOOSE(CONTROL!$C$42, 10.4581, 10.4581) * CHOOSE(CONTROL!$C$21, $C$9, 100%, $E$9)</f>
        <v>10.4581</v>
      </c>
      <c r="L326" s="10">
        <f>CHOOSE(CONTROL!$C$42, 11.2568, 11.2568) * CHOOSE(CONTROL!$C$21, $C$9, 100%, $E$9)</f>
        <v>11.2568</v>
      </c>
      <c r="M326" s="10">
        <f>CHOOSE(CONTROL!$C$42, 10.4765, 10.4765) * CHOOSE(CONTROL!$C$21, $C$9, 100%, $E$9)</f>
        <v>10.4765</v>
      </c>
      <c r="N326" s="10">
        <f>CHOOSE(CONTROL!$C$42, 10.495, 10.495) * CHOOSE(CONTROL!$C$21, $C$9, 100%, $E$9)</f>
        <v>10.494999999999999</v>
      </c>
      <c r="O326" s="10">
        <f>CHOOSE(CONTROL!$C$42, 10.5647, 10.5647) * CHOOSE(CONTROL!$C$21, $C$9, 100%, $E$9)</f>
        <v>10.5647</v>
      </c>
      <c r="P326" s="10">
        <f>CHOOSE(CONTROL!$C$42, 10.51, 10.51) * CHOOSE(CONTROL!$C$21, $C$9, 100%, $E$9)</f>
        <v>10.51</v>
      </c>
      <c r="Q326" s="10">
        <f>CHOOSE(CONTROL!$C$42, 11.16, 11.16) * CHOOSE(CONTROL!$C$21, $C$9, 100%, $E$9)</f>
        <v>11.16</v>
      </c>
      <c r="R326" s="10">
        <f>CHOOSE(CONTROL!$C$42, 11.7749, 11.7749) * CHOOSE(CONTROL!$C$21, $C$9, 100%, $E$9)</f>
        <v>11.774900000000001</v>
      </c>
      <c r="S326" s="10">
        <f>CHOOSE(CONTROL!$C$42, 10.2874, 10.2874) * CHOOSE(CONTROL!$C$21, $C$9, 100%, $E$9)</f>
        <v>10.2874</v>
      </c>
      <c r="T32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26" s="38">
        <f>(1000*CHOOSE(CONTROL!$C$42, 695, 695)*CHOOSE(CONTROL!$C$42, 0.5599, 0.5599)*CHOOSE(CONTROL!$C$42, 29, 29))/1000000</f>
        <v>11.284784499999999</v>
      </c>
      <c r="V326" s="38">
        <f>(1000*CHOOSE(CONTROL!$C$42, 500, 500)*CHOOSE(CONTROL!$C$42, 0.275, 0.275)*CHOOSE(CONTROL!$C$42, 29, 29))/1000000</f>
        <v>3.9874999999999998</v>
      </c>
      <c r="W326" s="38">
        <f>(1000*CHOOSE(CONTROL!$C$42, 0.1146, 0.1146)*CHOOSE(CONTROL!$C$42, 121.5, 121.5)*CHOOSE(CONTROL!$C$42, 29, 29))/1000000</f>
        <v>0.40379309999999996</v>
      </c>
      <c r="X326" s="38">
        <f>(29*0.1790888*100000/1000000)+(29*0.2374*100000/1000000)</f>
        <v>1.2078175199999999</v>
      </c>
      <c r="Y326" s="38">
        <f>(1000*600*CHOOSE(CONTROL!$C$42, 1.6302, 1.6302)*CHOOSE(CONTROL!$C$42, 29, 29))/1000000</f>
        <v>28.365480000000002</v>
      </c>
      <c r="Z326" s="38"/>
      <c r="AA326" s="10"/>
      <c r="AB326" s="39"/>
      <c r="AC326" s="33">
        <f>(B326*122.58+C326*297.941+D326*89.177+E326*40.302+F326*40+G326*160+H326*0+I326*100+J326*300)/(122.58+297.941+89.177+40.302+0+40+160+100+300)</f>
        <v>10.606978969217389</v>
      </c>
      <c r="AD326" s="27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10.522360431654675</v>
      </c>
    </row>
    <row r="327" spans="1:30" ht="15.75" x14ac:dyDescent="0.25">
      <c r="A327" s="14">
        <v>51226</v>
      </c>
      <c r="B327" s="10">
        <f>CHOOSE(CONTROL!$C$42, 10.3054, 10.3054) * CHOOSE(CONTROL!$C$21, $C$9, 100%, $E$9)</f>
        <v>10.305400000000001</v>
      </c>
      <c r="C327" s="10">
        <f>CHOOSE(CONTROL!$C$42, 10.3105, 10.3105) * CHOOSE(CONTROL!$C$21, $C$9, 100%, $E$9)</f>
        <v>10.310499999999999</v>
      </c>
      <c r="D327" s="10">
        <f>CHOOSE(CONTROL!$C$42, 10.3455, 10.3455) * CHOOSE(CONTROL!$C$21, $C$9, 100%, $E$9)</f>
        <v>10.345499999999999</v>
      </c>
      <c r="E327" s="10">
        <f>CHOOSE(CONTROL!$C$42, 10.3793, 10.3793) * CHOOSE(CONTROL!$C$21, $C$9, 100%, $E$9)</f>
        <v>10.379300000000001</v>
      </c>
      <c r="F327" s="10">
        <f>CHOOSE(CONTROL!$C$42, 10.2848, 10.2848)*CHOOSE(CONTROL!$C$21, $C$9, 100%, $E$9)</f>
        <v>10.284800000000001</v>
      </c>
      <c r="G327" s="10">
        <f>CHOOSE(CONTROL!$C$42, 10.3032, 10.3032)*CHOOSE(CONTROL!$C$21, $C$9, 100%, $E$9)</f>
        <v>10.3032</v>
      </c>
      <c r="H327" s="10">
        <f>CHOOSE(CONTROL!$C$42, 10.3682, 10.3682) * CHOOSE(CONTROL!$C$21, $C$9, 100%, $E$9)</f>
        <v>10.3682</v>
      </c>
      <c r="I327" s="10">
        <f>CHOOSE(CONTROL!$C$42, 10.3127, 10.3127)* CHOOSE(CONTROL!$C$21, $C$9, 100%, $E$9)</f>
        <v>10.3127</v>
      </c>
      <c r="J327" s="10">
        <f>CHOOSE(CONTROL!$C$42, 10.2774, 10.2774)* CHOOSE(CONTROL!$C$21, $C$9, 100%, $E$9)</f>
        <v>10.2774</v>
      </c>
      <c r="K327" s="10">
        <f>CHOOSE(CONTROL!$C$42, 10.1629, 10.1629) * CHOOSE(CONTROL!$C$21, $C$9, 100%, $E$9)</f>
        <v>10.1629</v>
      </c>
      <c r="L327" s="10">
        <f>CHOOSE(CONTROL!$C$42, 10.9552, 10.9552) * CHOOSE(CONTROL!$C$21, $C$9, 100%, $E$9)</f>
        <v>10.9552</v>
      </c>
      <c r="M327" s="10">
        <f>CHOOSE(CONTROL!$C$42, 10.1774, 10.1774) * CHOOSE(CONTROL!$C$21, $C$9, 100%, $E$9)</f>
        <v>10.1774</v>
      </c>
      <c r="N327" s="10">
        <f>CHOOSE(CONTROL!$C$42, 10.1955, 10.1955) * CHOOSE(CONTROL!$C$21, $C$9, 100%, $E$9)</f>
        <v>10.195499999999999</v>
      </c>
      <c r="O327" s="10">
        <f>CHOOSE(CONTROL!$C$42, 10.267, 10.267) * CHOOSE(CONTROL!$C$21, $C$9, 100%, $E$9)</f>
        <v>10.266999999999999</v>
      </c>
      <c r="P327" s="10">
        <f>CHOOSE(CONTROL!$C$42, 10.2123, 10.2123) * CHOOSE(CONTROL!$C$21, $C$9, 100%, $E$9)</f>
        <v>10.212300000000001</v>
      </c>
      <c r="Q327" s="10">
        <f>CHOOSE(CONTROL!$C$42, 10.8623, 10.8623) * CHOOSE(CONTROL!$C$21, $C$9, 100%, $E$9)</f>
        <v>10.862299999999999</v>
      </c>
      <c r="R327" s="10">
        <f>CHOOSE(CONTROL!$C$42, 11.4765, 11.4765) * CHOOSE(CONTROL!$C$21, $C$9, 100%, $E$9)</f>
        <v>11.4765</v>
      </c>
      <c r="S327" s="10">
        <f>CHOOSE(CONTROL!$C$42, 9.9954, 9.9954) * CHOOSE(CONTROL!$C$21, $C$9, 100%, $E$9)</f>
        <v>9.9954000000000001</v>
      </c>
      <c r="T3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38">
        <f>(1000*CHOOSE(CONTROL!$C$42, 695, 695)*CHOOSE(CONTROL!$C$42, 0.5599, 0.5599)*CHOOSE(CONTROL!$C$42, 31, 31))/1000000</f>
        <v>12.063045499999998</v>
      </c>
      <c r="V327" s="38">
        <f>(1000*CHOOSE(CONTROL!$C$42, 500, 500)*CHOOSE(CONTROL!$C$42, 0.275, 0.275)*CHOOSE(CONTROL!$C$42, 31, 31))/1000000</f>
        <v>4.2625000000000002</v>
      </c>
      <c r="W327" s="38">
        <f>(1000*CHOOSE(CONTROL!$C$42, 0.1146, 0.1146)*CHOOSE(CONTROL!$C$42, 121.5, 121.5)*CHOOSE(CONTROL!$C$42, 31, 31))/1000000</f>
        <v>0.43164089999999994</v>
      </c>
      <c r="X327" s="38">
        <f>(31*0.1790888*100000/1000000)+(31*0.2374*100000/1000000)</f>
        <v>1.2911152800000001</v>
      </c>
      <c r="Y327" s="38">
        <f>(1000*600*CHOOSE(CONTROL!$C$42, 1.6302, 1.6302)*CHOOSE(CONTROL!$C$42, 31, 31))/1000000</f>
        <v>30.321719999999999</v>
      </c>
      <c r="Z327" s="38"/>
      <c r="AA327" s="10"/>
      <c r="AB327" s="39"/>
      <c r="AC327" s="33">
        <f>(B327*122.58+C327*297.941+D327*89.177+E327*40.302+F327*40+G327*160+H327*0+I327*100+J327*300)/(122.58+297.941+89.177+40.302+0+40+160+100+300)</f>
        <v>10.304728534434783</v>
      </c>
      <c r="AD327" s="27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10.224073381294964</v>
      </c>
    </row>
    <row r="328" spans="1:30" ht="15.75" x14ac:dyDescent="0.25">
      <c r="A328" s="14">
        <v>51256</v>
      </c>
      <c r="B328" s="10">
        <f>CHOOSE(CONTROL!$C$42, 10.2753, 10.2753) * CHOOSE(CONTROL!$C$21, $C$9, 100%, $E$9)</f>
        <v>10.2753</v>
      </c>
      <c r="C328" s="10">
        <f>CHOOSE(CONTROL!$C$42, 10.2798, 10.2798) * CHOOSE(CONTROL!$C$21, $C$9, 100%, $E$9)</f>
        <v>10.2798</v>
      </c>
      <c r="D328" s="10">
        <f>CHOOSE(CONTROL!$C$42, 10.458, 10.458) * CHOOSE(CONTROL!$C$21, $C$9, 100%, $E$9)</f>
        <v>10.458</v>
      </c>
      <c r="E328" s="10">
        <f>CHOOSE(CONTROL!$C$42, 10.4899, 10.4899) * CHOOSE(CONTROL!$C$21, $C$9, 100%, $E$9)</f>
        <v>10.4899</v>
      </c>
      <c r="F328" s="10">
        <f>CHOOSE(CONTROL!$C$42, 10.2187, 10.2187)*CHOOSE(CONTROL!$C$21, $C$9, 100%, $E$9)</f>
        <v>10.2187</v>
      </c>
      <c r="G328" s="10">
        <f>CHOOSE(CONTROL!$C$42, 10.2353, 10.2353)*CHOOSE(CONTROL!$C$21, $C$9, 100%, $E$9)</f>
        <v>10.235300000000001</v>
      </c>
      <c r="H328" s="10">
        <f>CHOOSE(CONTROL!$C$42, 10.4793, 10.4793) * CHOOSE(CONTROL!$C$21, $C$9, 100%, $E$9)</f>
        <v>10.4793</v>
      </c>
      <c r="I328" s="10">
        <f>CHOOSE(CONTROL!$C$42, 10.2513, 10.2513)* CHOOSE(CONTROL!$C$21, $C$9, 100%, $E$9)</f>
        <v>10.251300000000001</v>
      </c>
      <c r="J328" s="10">
        <f>CHOOSE(CONTROL!$C$42, 10.2113, 10.2113)* CHOOSE(CONTROL!$C$21, $C$9, 100%, $E$9)</f>
        <v>10.2113</v>
      </c>
      <c r="K328" s="10">
        <f>CHOOSE(CONTROL!$C$42, 10.0888, 10.0888) * CHOOSE(CONTROL!$C$21, $C$9, 100%, $E$9)</f>
        <v>10.088800000000001</v>
      </c>
      <c r="L328" s="10">
        <f>CHOOSE(CONTROL!$C$42, 11.0663, 11.0663) * CHOOSE(CONTROL!$C$21, $C$9, 100%, $E$9)</f>
        <v>11.0663</v>
      </c>
      <c r="M328" s="10">
        <f>CHOOSE(CONTROL!$C$42, 10.1122, 10.1122) * CHOOSE(CONTROL!$C$21, $C$9, 100%, $E$9)</f>
        <v>10.1122</v>
      </c>
      <c r="N328" s="10">
        <f>CHOOSE(CONTROL!$C$42, 10.1286, 10.1286) * CHOOSE(CONTROL!$C$21, $C$9, 100%, $E$9)</f>
        <v>10.1286</v>
      </c>
      <c r="O328" s="10">
        <f>CHOOSE(CONTROL!$C$42, 10.3767, 10.3767) * CHOOSE(CONTROL!$C$21, $C$9, 100%, $E$9)</f>
        <v>10.3767</v>
      </c>
      <c r="P328" s="10">
        <f>CHOOSE(CONTROL!$C$42, 10.1517, 10.1517) * CHOOSE(CONTROL!$C$21, $C$9, 100%, $E$9)</f>
        <v>10.1517</v>
      </c>
      <c r="Q328" s="10">
        <f>CHOOSE(CONTROL!$C$42, 10.972, 10.972) * CHOOSE(CONTROL!$C$21, $C$9, 100%, $E$9)</f>
        <v>10.972</v>
      </c>
      <c r="R328" s="10">
        <f>CHOOSE(CONTROL!$C$42, 11.5864, 11.5864) * CHOOSE(CONTROL!$C$21, $C$9, 100%, $E$9)</f>
        <v>11.586399999999999</v>
      </c>
      <c r="S328" s="10">
        <f>CHOOSE(CONTROL!$C$42, 9.9655, 9.9655) * CHOOSE(CONTROL!$C$21, $C$9, 100%, $E$9)</f>
        <v>9.9655000000000005</v>
      </c>
      <c r="T3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38">
        <f>(1000*CHOOSE(CONTROL!$C$42, 695, 695)*CHOOSE(CONTROL!$C$42, 0.5599, 0.5599)*CHOOSE(CONTROL!$C$42, 30, 30))/1000000</f>
        <v>11.673914999999997</v>
      </c>
      <c r="V328" s="38">
        <f>(1000*CHOOSE(CONTROL!$C$42, 500, 500)*CHOOSE(CONTROL!$C$42, 0.275, 0.275)*CHOOSE(CONTROL!$C$42, 30, 30))/1000000</f>
        <v>4.125</v>
      </c>
      <c r="W328" s="38">
        <f>(1000*CHOOSE(CONTROL!$C$42, 0.1146, 0.1146)*CHOOSE(CONTROL!$C$42, 121.5, 121.5)*CHOOSE(CONTROL!$C$42, 30, 30))/1000000</f>
        <v>0.417717</v>
      </c>
      <c r="X328" s="38">
        <f>(30*0.1790888*245000/1000000)+(30*0.2374*100000/1000000)</f>
        <v>2.0285026799999999</v>
      </c>
      <c r="Y328" s="38">
        <f>(1000*600*CHOOSE(CONTROL!$C$42, 1.6302, 1.6302)*CHOOSE(CONTROL!$C$42, 30, 30))/1000000</f>
        <v>29.343599999999999</v>
      </c>
      <c r="Z328" s="38"/>
      <c r="AA328" s="10"/>
      <c r="AB328" s="39"/>
      <c r="AC328" s="33">
        <f>(B328*141.293+C328*267.993+D328*115.016+E328*89.698+F328*40+G328*185+H328*0+I328*100+J328*300)/(141.293+267.993+115.016+89.698+0+40+185+100+300)</f>
        <v>10.283536144067797</v>
      </c>
      <c r="AD328" s="27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10.195871223021584</v>
      </c>
    </row>
    <row r="329" spans="1:30" ht="15.75" x14ac:dyDescent="0.25">
      <c r="A329" s="14">
        <v>51287</v>
      </c>
      <c r="B329" s="10">
        <f>CHOOSE(CONTROL!$C$42, 10.3679, 10.3679) * CHOOSE(CONTROL!$C$21, $C$9, 100%, $E$9)</f>
        <v>10.367900000000001</v>
      </c>
      <c r="C329" s="10">
        <f>CHOOSE(CONTROL!$C$42, 10.3759, 10.3759) * CHOOSE(CONTROL!$C$21, $C$9, 100%, $E$9)</f>
        <v>10.3759</v>
      </c>
      <c r="D329" s="10">
        <f>CHOOSE(CONTROL!$C$42, 10.551, 10.551) * CHOOSE(CONTROL!$C$21, $C$9, 100%, $E$9)</f>
        <v>10.551</v>
      </c>
      <c r="E329" s="10">
        <f>CHOOSE(CONTROL!$C$42, 10.5822, 10.5822) * CHOOSE(CONTROL!$C$21, $C$9, 100%, $E$9)</f>
        <v>10.5822</v>
      </c>
      <c r="F329" s="10">
        <f>CHOOSE(CONTROL!$C$42, 10.3096, 10.3096)*CHOOSE(CONTROL!$C$21, $C$9, 100%, $E$9)</f>
        <v>10.3096</v>
      </c>
      <c r="G329" s="10">
        <f>CHOOSE(CONTROL!$C$42, 10.3264, 10.3264)*CHOOSE(CONTROL!$C$21, $C$9, 100%, $E$9)</f>
        <v>10.3264</v>
      </c>
      <c r="H329" s="10">
        <f>CHOOSE(CONTROL!$C$42, 10.5705, 10.5705) * CHOOSE(CONTROL!$C$21, $C$9, 100%, $E$9)</f>
        <v>10.570499999999999</v>
      </c>
      <c r="I329" s="10">
        <f>CHOOSE(CONTROL!$C$42, 10.3425, 10.3425)* CHOOSE(CONTROL!$C$21, $C$9, 100%, $E$9)</f>
        <v>10.342499999999999</v>
      </c>
      <c r="J329" s="10">
        <f>CHOOSE(CONTROL!$C$42, 10.3022, 10.3022)* CHOOSE(CONTROL!$C$21, $C$9, 100%, $E$9)</f>
        <v>10.302199999999999</v>
      </c>
      <c r="K329" s="10">
        <f>CHOOSE(CONTROL!$C$42, 10.1763, 10.1763) * CHOOSE(CONTROL!$C$21, $C$9, 100%, $E$9)</f>
        <v>10.176299999999999</v>
      </c>
      <c r="L329" s="10">
        <f>CHOOSE(CONTROL!$C$42, 11.1575, 11.1575) * CHOOSE(CONTROL!$C$21, $C$9, 100%, $E$9)</f>
        <v>11.157500000000001</v>
      </c>
      <c r="M329" s="10">
        <f>CHOOSE(CONTROL!$C$42, 10.2018, 10.2018) * CHOOSE(CONTROL!$C$21, $C$9, 100%, $E$9)</f>
        <v>10.2018</v>
      </c>
      <c r="N329" s="10">
        <f>CHOOSE(CONTROL!$C$42, 10.2185, 10.2185) * CHOOSE(CONTROL!$C$21, $C$9, 100%, $E$9)</f>
        <v>10.218500000000001</v>
      </c>
      <c r="O329" s="10">
        <f>CHOOSE(CONTROL!$C$42, 10.4667, 10.4667) * CHOOSE(CONTROL!$C$21, $C$9, 100%, $E$9)</f>
        <v>10.466699999999999</v>
      </c>
      <c r="P329" s="10">
        <f>CHOOSE(CONTROL!$C$42, 10.2417, 10.2417) * CHOOSE(CONTROL!$C$21, $C$9, 100%, $E$9)</f>
        <v>10.2417</v>
      </c>
      <c r="Q329" s="10">
        <f>CHOOSE(CONTROL!$C$42, 11.062, 11.062) * CHOOSE(CONTROL!$C$21, $C$9, 100%, $E$9)</f>
        <v>11.061999999999999</v>
      </c>
      <c r="R329" s="10">
        <f>CHOOSE(CONTROL!$C$42, 11.6767, 11.6767) * CHOOSE(CONTROL!$C$21, $C$9, 100%, $E$9)</f>
        <v>11.6767</v>
      </c>
      <c r="S329" s="10">
        <f>CHOOSE(CONTROL!$C$42, 10.0538, 10.0538) * CHOOSE(CONTROL!$C$21, $C$9, 100%, $E$9)</f>
        <v>10.053800000000001</v>
      </c>
      <c r="T32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38">
        <f>(1000*CHOOSE(CONTROL!$C$42, 695, 695)*CHOOSE(CONTROL!$C$42, 0.5599, 0.5599)*CHOOSE(CONTROL!$C$42, 31, 31))/1000000</f>
        <v>12.063045499999998</v>
      </c>
      <c r="V329" s="38">
        <f>(1000*CHOOSE(CONTROL!$C$42, 500, 500)*CHOOSE(CONTROL!$C$42, 0.275, 0.275)*CHOOSE(CONTROL!$C$42, 31, 31))/1000000</f>
        <v>4.2625000000000002</v>
      </c>
      <c r="W329" s="38">
        <f>(1000*CHOOSE(CONTROL!$C$42, 0.1146, 0.1146)*CHOOSE(CONTROL!$C$42, 121.5, 121.5)*CHOOSE(CONTROL!$C$42, 31, 31))/1000000</f>
        <v>0.43164089999999994</v>
      </c>
      <c r="X329" s="38">
        <f>(31*0.1790888*245000/1000000)+(31*0.2374*100000/1000000)</f>
        <v>2.0961194359999999</v>
      </c>
      <c r="Y329" s="38">
        <f>(1000*600*CHOOSE(CONTROL!$C$42, 1.6302, 1.6302)*CHOOSE(CONTROL!$C$42, 31, 31))/1000000</f>
        <v>30.321719999999999</v>
      </c>
      <c r="Z329" s="38"/>
      <c r="AA329" s="10"/>
      <c r="AB329" s="39"/>
      <c r="AC329" s="33">
        <f>(B329*194.205+C329*267.466+D329*133.845+E329*53.484+F329*40+G329*185+H329*0+I329*100+J329*300)/(194.205+267.466+133.845+53.484+0+40+185+100+300)</f>
        <v>10.372490948744113</v>
      </c>
      <c r="AD329" s="27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10.285710071942447</v>
      </c>
    </row>
    <row r="330" spans="1:30" ht="15.75" x14ac:dyDescent="0.25">
      <c r="A330" s="14">
        <v>51317</v>
      </c>
      <c r="B330" s="10">
        <f>CHOOSE(CONTROL!$C$42, 10.6624, 10.6624) * CHOOSE(CONTROL!$C$21, $C$9, 100%, $E$9)</f>
        <v>10.6624</v>
      </c>
      <c r="C330" s="10">
        <f>CHOOSE(CONTROL!$C$42, 10.6704, 10.6704) * CHOOSE(CONTROL!$C$21, $C$9, 100%, $E$9)</f>
        <v>10.670400000000001</v>
      </c>
      <c r="D330" s="10">
        <f>CHOOSE(CONTROL!$C$42, 10.8455, 10.8455) * CHOOSE(CONTROL!$C$21, $C$9, 100%, $E$9)</f>
        <v>10.845499999999999</v>
      </c>
      <c r="E330" s="10">
        <f>CHOOSE(CONTROL!$C$42, 10.8767, 10.8767) * CHOOSE(CONTROL!$C$21, $C$9, 100%, $E$9)</f>
        <v>10.8767</v>
      </c>
      <c r="F330" s="10">
        <f>CHOOSE(CONTROL!$C$42, 10.6042, 10.6042)*CHOOSE(CONTROL!$C$21, $C$9, 100%, $E$9)</f>
        <v>10.604200000000001</v>
      </c>
      <c r="G330" s="10">
        <f>CHOOSE(CONTROL!$C$42, 10.6212, 10.6212)*CHOOSE(CONTROL!$C$21, $C$9, 100%, $E$9)</f>
        <v>10.6212</v>
      </c>
      <c r="H330" s="10">
        <f>CHOOSE(CONTROL!$C$42, 10.865, 10.865) * CHOOSE(CONTROL!$C$21, $C$9, 100%, $E$9)</f>
        <v>10.865</v>
      </c>
      <c r="I330" s="10">
        <f>CHOOSE(CONTROL!$C$42, 10.637, 10.637)* CHOOSE(CONTROL!$C$21, $C$9, 100%, $E$9)</f>
        <v>10.637</v>
      </c>
      <c r="J330" s="10">
        <f>CHOOSE(CONTROL!$C$42, 10.5968, 10.5968)* CHOOSE(CONTROL!$C$21, $C$9, 100%, $E$9)</f>
        <v>10.5968</v>
      </c>
      <c r="K330" s="10">
        <f>CHOOSE(CONTROL!$C$42, 10.462, 10.462) * CHOOSE(CONTROL!$C$21, $C$9, 100%, $E$9)</f>
        <v>10.462</v>
      </c>
      <c r="L330" s="10">
        <f>CHOOSE(CONTROL!$C$42, 11.452, 11.452) * CHOOSE(CONTROL!$C$21, $C$9, 100%, $E$9)</f>
        <v>11.452</v>
      </c>
      <c r="M330" s="10">
        <f>CHOOSE(CONTROL!$C$42, 10.4927, 10.4927) * CHOOSE(CONTROL!$C$21, $C$9, 100%, $E$9)</f>
        <v>10.492699999999999</v>
      </c>
      <c r="N330" s="10">
        <f>CHOOSE(CONTROL!$C$42, 10.5094, 10.5094) * CHOOSE(CONTROL!$C$21, $C$9, 100%, $E$9)</f>
        <v>10.509399999999999</v>
      </c>
      <c r="O330" s="10">
        <f>CHOOSE(CONTROL!$C$42, 10.7574, 10.7574) * CHOOSE(CONTROL!$C$21, $C$9, 100%, $E$9)</f>
        <v>10.757400000000001</v>
      </c>
      <c r="P330" s="10">
        <f>CHOOSE(CONTROL!$C$42, 10.5324, 10.5324) * CHOOSE(CONTROL!$C$21, $C$9, 100%, $E$9)</f>
        <v>10.532400000000001</v>
      </c>
      <c r="Q330" s="10">
        <f>CHOOSE(CONTROL!$C$42, 11.3527, 11.3527) * CHOOSE(CONTROL!$C$21, $C$9, 100%, $E$9)</f>
        <v>11.3527</v>
      </c>
      <c r="R330" s="10">
        <f>CHOOSE(CONTROL!$C$42, 11.9681, 11.9681) * CHOOSE(CONTROL!$C$21, $C$9, 100%, $E$9)</f>
        <v>11.9681</v>
      </c>
      <c r="S330" s="10">
        <f>CHOOSE(CONTROL!$C$42, 10.339, 10.339) * CHOOSE(CONTROL!$C$21, $C$9, 100%, $E$9)</f>
        <v>10.339</v>
      </c>
      <c r="T33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38">
        <f>(1000*CHOOSE(CONTROL!$C$42, 695, 695)*CHOOSE(CONTROL!$C$42, 0.5599, 0.5599)*CHOOSE(CONTROL!$C$42, 30, 30))/1000000</f>
        <v>11.673914999999997</v>
      </c>
      <c r="V330" s="38">
        <f>(1000*CHOOSE(CONTROL!$C$42, 500, 500)*CHOOSE(CONTROL!$C$42, 0.275, 0.275)*CHOOSE(CONTROL!$C$42, 30, 30))/1000000</f>
        <v>4.125</v>
      </c>
      <c r="W330" s="38">
        <f>(1000*CHOOSE(CONTROL!$C$42, 0.1146, 0.1146)*CHOOSE(CONTROL!$C$42, 121.5, 121.5)*CHOOSE(CONTROL!$C$42, 30, 30))/1000000</f>
        <v>0.417717</v>
      </c>
      <c r="X330" s="38">
        <f>(30*0.1790888*245000/1000000)+(30*0.2374*100000/1000000)</f>
        <v>2.0285026799999999</v>
      </c>
      <c r="Y330" s="38">
        <f>(1000*600*CHOOSE(CONTROL!$C$42, 1.6302, 1.6302)*CHOOSE(CONTROL!$C$42, 30, 30))/1000000</f>
        <v>29.343599999999999</v>
      </c>
      <c r="Z330" s="38"/>
      <c r="AA330" s="10"/>
      <c r="AB330" s="39"/>
      <c r="AC330" s="33">
        <f>(B330*194.205+C330*267.466+D330*133.845+E330*53.484+F330*40+G330*185+H330*0+I330*100+J330*300)/(194.205+267.466+133.845+53.484+0+40+185+100+300)</f>
        <v>10.667061199921507</v>
      </c>
      <c r="AD330" s="27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10.576525179856114</v>
      </c>
    </row>
    <row r="331" spans="1:30" ht="15.75" x14ac:dyDescent="0.25">
      <c r="A331" s="14">
        <v>51348</v>
      </c>
      <c r="B331" s="10">
        <f>CHOOSE(CONTROL!$C$42, 10.4575, 10.4575) * CHOOSE(CONTROL!$C$21, $C$9, 100%, $E$9)</f>
        <v>10.4575</v>
      </c>
      <c r="C331" s="10">
        <f>CHOOSE(CONTROL!$C$42, 10.4655, 10.4655) * CHOOSE(CONTROL!$C$21, $C$9, 100%, $E$9)</f>
        <v>10.4655</v>
      </c>
      <c r="D331" s="10">
        <f>CHOOSE(CONTROL!$C$42, 10.6407, 10.6407) * CHOOSE(CONTROL!$C$21, $C$9, 100%, $E$9)</f>
        <v>10.640700000000001</v>
      </c>
      <c r="E331" s="10">
        <f>CHOOSE(CONTROL!$C$42, 10.6719, 10.6719) * CHOOSE(CONTROL!$C$21, $C$9, 100%, $E$9)</f>
        <v>10.671900000000001</v>
      </c>
      <c r="F331" s="10">
        <f>CHOOSE(CONTROL!$C$42, 10.3998, 10.3998)*CHOOSE(CONTROL!$C$21, $C$9, 100%, $E$9)</f>
        <v>10.399800000000001</v>
      </c>
      <c r="G331" s="10">
        <f>CHOOSE(CONTROL!$C$42, 10.4168, 10.4168)*CHOOSE(CONTROL!$C$21, $C$9, 100%, $E$9)</f>
        <v>10.4168</v>
      </c>
      <c r="H331" s="10">
        <f>CHOOSE(CONTROL!$C$42, 10.6602, 10.6602) * CHOOSE(CONTROL!$C$21, $C$9, 100%, $E$9)</f>
        <v>10.6602</v>
      </c>
      <c r="I331" s="10">
        <f>CHOOSE(CONTROL!$C$42, 10.4322, 10.4322)* CHOOSE(CONTROL!$C$21, $C$9, 100%, $E$9)</f>
        <v>10.4322</v>
      </c>
      <c r="J331" s="10">
        <f>CHOOSE(CONTROL!$C$42, 10.3924, 10.3924)* CHOOSE(CONTROL!$C$21, $C$9, 100%, $E$9)</f>
        <v>10.3924</v>
      </c>
      <c r="K331" s="10">
        <f>CHOOSE(CONTROL!$C$42, 10.2643, 10.2643) * CHOOSE(CONTROL!$C$21, $C$9, 100%, $E$9)</f>
        <v>10.2643</v>
      </c>
      <c r="L331" s="10">
        <f>CHOOSE(CONTROL!$C$42, 11.2472, 11.2472) * CHOOSE(CONTROL!$C$21, $C$9, 100%, $E$9)</f>
        <v>11.247199999999999</v>
      </c>
      <c r="M331" s="10">
        <f>CHOOSE(CONTROL!$C$42, 10.2909, 10.2909) * CHOOSE(CONTROL!$C$21, $C$9, 100%, $E$9)</f>
        <v>10.290900000000001</v>
      </c>
      <c r="N331" s="10">
        <f>CHOOSE(CONTROL!$C$42, 10.3077, 10.3077) * CHOOSE(CONTROL!$C$21, $C$9, 100%, $E$9)</f>
        <v>10.307700000000001</v>
      </c>
      <c r="O331" s="10">
        <f>CHOOSE(CONTROL!$C$42, 10.5553, 10.5553) * CHOOSE(CONTROL!$C$21, $C$9, 100%, $E$9)</f>
        <v>10.555300000000001</v>
      </c>
      <c r="P331" s="10">
        <f>CHOOSE(CONTROL!$C$42, 10.3302, 10.3302) * CHOOSE(CONTROL!$C$21, $C$9, 100%, $E$9)</f>
        <v>10.3302</v>
      </c>
      <c r="Q331" s="10">
        <f>CHOOSE(CONTROL!$C$42, 11.1506, 11.1506) * CHOOSE(CONTROL!$C$21, $C$9, 100%, $E$9)</f>
        <v>11.150600000000001</v>
      </c>
      <c r="R331" s="10">
        <f>CHOOSE(CONTROL!$C$42, 11.7654, 11.7654) * CHOOSE(CONTROL!$C$21, $C$9, 100%, $E$9)</f>
        <v>11.7654</v>
      </c>
      <c r="S331" s="10">
        <f>CHOOSE(CONTROL!$C$42, 10.1406, 10.1406) * CHOOSE(CONTROL!$C$21, $C$9, 100%, $E$9)</f>
        <v>10.140599999999999</v>
      </c>
      <c r="T33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38">
        <f>(1000*CHOOSE(CONTROL!$C$42, 695, 695)*CHOOSE(CONTROL!$C$42, 0.5599, 0.5599)*CHOOSE(CONTROL!$C$42, 31, 31))/1000000</f>
        <v>12.063045499999998</v>
      </c>
      <c r="V331" s="38">
        <f>(1000*CHOOSE(CONTROL!$C$42, 500, 500)*CHOOSE(CONTROL!$C$42, 0.275, 0.275)*CHOOSE(CONTROL!$C$42, 31, 31))/1000000</f>
        <v>4.2625000000000002</v>
      </c>
      <c r="W331" s="38">
        <f>(1000*CHOOSE(CONTROL!$C$42, 0.1146, 0.1146)*CHOOSE(CONTROL!$C$42, 121.5, 121.5)*CHOOSE(CONTROL!$C$42, 31, 31))/1000000</f>
        <v>0.43164089999999994</v>
      </c>
      <c r="X331" s="38">
        <f>(31*0.1790888*245000/1000000)+(31*0.2374*100000/1000000)</f>
        <v>2.0961194359999999</v>
      </c>
      <c r="Y331" s="38">
        <f>(1000*600*CHOOSE(CONTROL!$C$42, 1.6302, 1.6302)*CHOOSE(CONTROL!$C$42, 31, 31))/1000000</f>
        <v>30.321719999999999</v>
      </c>
      <c r="Z331" s="38"/>
      <c r="AA331" s="10"/>
      <c r="AB331" s="39"/>
      <c r="AC331" s="33">
        <f>(B331*194.205+C331*267.466+D331*133.845+E331*53.484+F331*40+G331*185+H331*0+I331*100+J331*300)/(194.205+267.466+133.845+53.484+0+40+185+100+300)</f>
        <v>10.462389797174254</v>
      </c>
      <c r="AD331" s="27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10.374606474820144</v>
      </c>
    </row>
    <row r="332" spans="1:30" ht="15.75" x14ac:dyDescent="0.25">
      <c r="A332" s="14">
        <v>51379</v>
      </c>
      <c r="B332" s="10">
        <f>CHOOSE(CONTROL!$C$42, 9.9403, 9.9403) * CHOOSE(CONTROL!$C$21, $C$9, 100%, $E$9)</f>
        <v>9.9403000000000006</v>
      </c>
      <c r="C332" s="10">
        <f>CHOOSE(CONTROL!$C$42, 9.9483, 9.9483) * CHOOSE(CONTROL!$C$21, $C$9, 100%, $E$9)</f>
        <v>9.9482999999999997</v>
      </c>
      <c r="D332" s="10">
        <f>CHOOSE(CONTROL!$C$42, 10.1234, 10.1234) * CHOOSE(CONTROL!$C$21, $C$9, 100%, $E$9)</f>
        <v>10.1234</v>
      </c>
      <c r="E332" s="10">
        <f>CHOOSE(CONTROL!$C$42, 10.1546, 10.1546) * CHOOSE(CONTROL!$C$21, $C$9, 100%, $E$9)</f>
        <v>10.1546</v>
      </c>
      <c r="F332" s="10">
        <f>CHOOSE(CONTROL!$C$42, 9.8824, 9.8824)*CHOOSE(CONTROL!$C$21, $C$9, 100%, $E$9)</f>
        <v>9.8824000000000005</v>
      </c>
      <c r="G332" s="10">
        <f>CHOOSE(CONTROL!$C$42, 9.8994, 9.8994)*CHOOSE(CONTROL!$C$21, $C$9, 100%, $E$9)</f>
        <v>9.8994</v>
      </c>
      <c r="H332" s="10">
        <f>CHOOSE(CONTROL!$C$42, 10.143, 10.143) * CHOOSE(CONTROL!$C$21, $C$9, 100%, $E$9)</f>
        <v>10.143000000000001</v>
      </c>
      <c r="I332" s="10">
        <f>CHOOSE(CONTROL!$C$42, 9.9149, 9.9149)* CHOOSE(CONTROL!$C$21, $C$9, 100%, $E$9)</f>
        <v>9.9148999999999994</v>
      </c>
      <c r="J332" s="10">
        <f>CHOOSE(CONTROL!$C$42, 9.875, 9.875)* CHOOSE(CONTROL!$C$21, $C$9, 100%, $E$9)</f>
        <v>9.875</v>
      </c>
      <c r="K332" s="10">
        <f>CHOOSE(CONTROL!$C$42, 9.763, 9.763) * CHOOSE(CONTROL!$C$21, $C$9, 100%, $E$9)</f>
        <v>9.7629999999999999</v>
      </c>
      <c r="L332" s="10">
        <f>CHOOSE(CONTROL!$C$42, 10.73, 10.73) * CHOOSE(CONTROL!$C$21, $C$9, 100%, $E$9)</f>
        <v>10.73</v>
      </c>
      <c r="M332" s="10">
        <f>CHOOSE(CONTROL!$C$42, 9.7802, 9.7802) * CHOOSE(CONTROL!$C$21, $C$9, 100%, $E$9)</f>
        <v>9.7802000000000007</v>
      </c>
      <c r="N332" s="10">
        <f>CHOOSE(CONTROL!$C$42, 9.797, 9.797) * CHOOSE(CONTROL!$C$21, $C$9, 100%, $E$9)</f>
        <v>9.7970000000000006</v>
      </c>
      <c r="O332" s="10">
        <f>CHOOSE(CONTROL!$C$42, 10.0447, 10.0447) * CHOOSE(CONTROL!$C$21, $C$9, 100%, $E$9)</f>
        <v>10.044700000000001</v>
      </c>
      <c r="P332" s="10">
        <f>CHOOSE(CONTROL!$C$42, 9.8197, 9.8197) * CHOOSE(CONTROL!$C$21, $C$9, 100%, $E$9)</f>
        <v>9.8196999999999992</v>
      </c>
      <c r="Q332" s="10">
        <f>CHOOSE(CONTROL!$C$42, 10.64, 10.64) * CHOOSE(CONTROL!$C$21, $C$9, 100%, $E$9)</f>
        <v>10.64</v>
      </c>
      <c r="R332" s="10">
        <f>CHOOSE(CONTROL!$C$42, 11.2536, 11.2536) * CHOOSE(CONTROL!$C$21, $C$9, 100%, $E$9)</f>
        <v>11.2536</v>
      </c>
      <c r="S332" s="10">
        <f>CHOOSE(CONTROL!$C$42, 9.6398, 9.6398) * CHOOSE(CONTROL!$C$21, $C$9, 100%, $E$9)</f>
        <v>9.6397999999999993</v>
      </c>
      <c r="T33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38">
        <f>(1000*CHOOSE(CONTROL!$C$42, 695, 695)*CHOOSE(CONTROL!$C$42, 0.5599, 0.5599)*CHOOSE(CONTROL!$C$42, 31, 31))/1000000</f>
        <v>12.063045499999998</v>
      </c>
      <c r="V332" s="38">
        <f>(1000*CHOOSE(CONTROL!$C$42, 500, 500)*CHOOSE(CONTROL!$C$42, 0.275, 0.275)*CHOOSE(CONTROL!$C$42, 31, 31))/1000000</f>
        <v>4.2625000000000002</v>
      </c>
      <c r="W332" s="38">
        <f>(1000*CHOOSE(CONTROL!$C$42, 0.1146, 0.1146)*CHOOSE(CONTROL!$C$42, 121.5, 121.5)*CHOOSE(CONTROL!$C$42, 31, 31))/1000000</f>
        <v>0.43164089999999994</v>
      </c>
      <c r="X332" s="38">
        <f>(31*0.1790888*245000/1000000)+(31*0.2374*100000/1000000)</f>
        <v>2.0961194359999999</v>
      </c>
      <c r="Y332" s="38">
        <f>(1000*600*CHOOSE(CONTROL!$C$42, 1.6302, 1.6302)*CHOOSE(CONTROL!$C$42, 31, 31))/1000000</f>
        <v>30.321719999999999</v>
      </c>
      <c r="Z332" s="38"/>
      <c r="AA332" s="10"/>
      <c r="AB332" s="39"/>
      <c r="AC332" s="33">
        <f>(B332*194.205+C332*267.466+D332*133.845+E332*53.484+F332*40+G332*185+H332*0+I332*100+J332*300)/(194.205+267.466+133.845+53.484+0+40+185+100+300)</f>
        <v>9.9450848262951332</v>
      </c>
      <c r="AD332" s="27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9.8639633093525187</v>
      </c>
    </row>
    <row r="333" spans="1:30" ht="15.75" x14ac:dyDescent="0.25">
      <c r="A333" s="14">
        <v>51409</v>
      </c>
      <c r="B333" s="10">
        <f>CHOOSE(CONTROL!$C$42, 9.3083, 9.3083) * CHOOSE(CONTROL!$C$21, $C$9, 100%, $E$9)</f>
        <v>9.3082999999999991</v>
      </c>
      <c r="C333" s="10">
        <f>CHOOSE(CONTROL!$C$42, 9.3163, 9.3163) * CHOOSE(CONTROL!$C$21, $C$9, 100%, $E$9)</f>
        <v>9.3163</v>
      </c>
      <c r="D333" s="10">
        <f>CHOOSE(CONTROL!$C$42, 9.4914, 9.4914) * CHOOSE(CONTROL!$C$21, $C$9, 100%, $E$9)</f>
        <v>9.4914000000000005</v>
      </c>
      <c r="E333" s="10">
        <f>CHOOSE(CONTROL!$C$42, 9.5227, 9.5227) * CHOOSE(CONTROL!$C$21, $C$9, 100%, $E$9)</f>
        <v>9.5227000000000004</v>
      </c>
      <c r="F333" s="10">
        <f>CHOOSE(CONTROL!$C$42, 9.2501, 9.2501)*CHOOSE(CONTROL!$C$21, $C$9, 100%, $E$9)</f>
        <v>9.2500999999999998</v>
      </c>
      <c r="G333" s="10">
        <f>CHOOSE(CONTROL!$C$42, 9.267, 9.267)*CHOOSE(CONTROL!$C$21, $C$9, 100%, $E$9)</f>
        <v>9.2669999999999995</v>
      </c>
      <c r="H333" s="10">
        <f>CHOOSE(CONTROL!$C$42, 9.511, 9.511) * CHOOSE(CONTROL!$C$21, $C$9, 100%, $E$9)</f>
        <v>9.5109999999999992</v>
      </c>
      <c r="I333" s="10">
        <f>CHOOSE(CONTROL!$C$42, 9.283, 9.283)* CHOOSE(CONTROL!$C$21, $C$9, 100%, $E$9)</f>
        <v>9.2829999999999995</v>
      </c>
      <c r="J333" s="10">
        <f>CHOOSE(CONTROL!$C$42, 9.2427, 9.2427)* CHOOSE(CONTROL!$C$21, $C$9, 100%, $E$9)</f>
        <v>9.2426999999999992</v>
      </c>
      <c r="K333" s="10">
        <f>CHOOSE(CONTROL!$C$42, 9.15, 9.15) * CHOOSE(CONTROL!$C$21, $C$9, 100%, $E$9)</f>
        <v>9.15</v>
      </c>
      <c r="L333" s="10">
        <f>CHOOSE(CONTROL!$C$42, 10.098, 10.098) * CHOOSE(CONTROL!$C$21, $C$9, 100%, $E$9)</f>
        <v>10.098000000000001</v>
      </c>
      <c r="M333" s="10">
        <f>CHOOSE(CONTROL!$C$42, 9.1561, 9.1561) * CHOOSE(CONTROL!$C$21, $C$9, 100%, $E$9)</f>
        <v>9.1561000000000003</v>
      </c>
      <c r="N333" s="10">
        <f>CHOOSE(CONTROL!$C$42, 9.1728, 9.1728) * CHOOSE(CONTROL!$C$21, $C$9, 100%, $E$9)</f>
        <v>9.1728000000000005</v>
      </c>
      <c r="O333" s="10">
        <f>CHOOSE(CONTROL!$C$42, 9.4209, 9.4209) * CHOOSE(CONTROL!$C$21, $C$9, 100%, $E$9)</f>
        <v>9.4208999999999996</v>
      </c>
      <c r="P333" s="10">
        <f>CHOOSE(CONTROL!$C$42, 9.1959, 9.1959) * CHOOSE(CONTROL!$C$21, $C$9, 100%, $E$9)</f>
        <v>9.1959</v>
      </c>
      <c r="Q333" s="10">
        <f>CHOOSE(CONTROL!$C$42, 10.0162, 10.0162) * CHOOSE(CONTROL!$C$21, $C$9, 100%, $E$9)</f>
        <v>10.0162</v>
      </c>
      <c r="R333" s="10">
        <f>CHOOSE(CONTROL!$C$42, 10.6283, 10.6283) * CHOOSE(CONTROL!$C$21, $C$9, 100%, $E$9)</f>
        <v>10.628299999999999</v>
      </c>
      <c r="S333" s="10">
        <f>CHOOSE(CONTROL!$C$42, 9.0278, 9.0278) * CHOOSE(CONTROL!$C$21, $C$9, 100%, $E$9)</f>
        <v>9.0277999999999992</v>
      </c>
      <c r="T33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38">
        <f>(1000*CHOOSE(CONTROL!$C$42, 695, 695)*CHOOSE(CONTROL!$C$42, 0.5599, 0.5599)*CHOOSE(CONTROL!$C$42, 30, 30))/1000000</f>
        <v>11.673914999999997</v>
      </c>
      <c r="V333" s="38">
        <f>(1000*CHOOSE(CONTROL!$C$42, 500, 500)*CHOOSE(CONTROL!$C$42, 0.275, 0.275)*CHOOSE(CONTROL!$C$42, 30, 30))/1000000</f>
        <v>4.125</v>
      </c>
      <c r="W333" s="38">
        <f>(1000*CHOOSE(CONTROL!$C$42, 0.1146, 0.1146)*CHOOSE(CONTROL!$C$42, 121.5, 121.5)*CHOOSE(CONTROL!$C$42, 30, 30))/1000000</f>
        <v>0.417717</v>
      </c>
      <c r="X333" s="38">
        <f>(30*0.1790888*245000/1000000)+(30*0.2374*100000/1000000)</f>
        <v>2.0285026799999999</v>
      </c>
      <c r="Y333" s="38">
        <f>(1000*600*CHOOSE(CONTROL!$C$42, 1.6302, 1.6302)*CHOOSE(CONTROL!$C$42, 30, 30))/1000000</f>
        <v>29.343599999999999</v>
      </c>
      <c r="Z333" s="38"/>
      <c r="AA333" s="10"/>
      <c r="AB333" s="39"/>
      <c r="AC333" s="33">
        <f>(B333*194.205+C333*267.466+D333*133.845+E333*53.484+F333*40+G333*185+H333*0+I333*100+J333*300)/(194.205+267.466+133.845+53.484+0+40+185+100+300)</f>
        <v>9.312958726138147</v>
      </c>
      <c r="AD333" s="27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9.2399676258992809</v>
      </c>
    </row>
    <row r="334" spans="1:30" ht="15.75" x14ac:dyDescent="0.25">
      <c r="A334" s="14">
        <v>51440</v>
      </c>
      <c r="B334" s="10">
        <f>CHOOSE(CONTROL!$C$42, 9.1169, 9.1169) * CHOOSE(CONTROL!$C$21, $C$9, 100%, $E$9)</f>
        <v>9.1168999999999993</v>
      </c>
      <c r="C334" s="10">
        <f>CHOOSE(CONTROL!$C$42, 9.1223, 9.1223) * CHOOSE(CONTROL!$C$21, $C$9, 100%, $E$9)</f>
        <v>9.1222999999999992</v>
      </c>
      <c r="D334" s="10">
        <f>CHOOSE(CONTROL!$C$42, 9.3023, 9.3023) * CHOOSE(CONTROL!$C$21, $C$9, 100%, $E$9)</f>
        <v>9.3023000000000007</v>
      </c>
      <c r="E334" s="10">
        <f>CHOOSE(CONTROL!$C$42, 9.3312, 9.3312) * CHOOSE(CONTROL!$C$21, $C$9, 100%, $E$9)</f>
        <v>9.3312000000000008</v>
      </c>
      <c r="F334" s="10">
        <f>CHOOSE(CONTROL!$C$42, 9.0607, 9.0607)*CHOOSE(CONTROL!$C$21, $C$9, 100%, $E$9)</f>
        <v>9.0607000000000006</v>
      </c>
      <c r="G334" s="10">
        <f>CHOOSE(CONTROL!$C$42, 9.0773, 9.0773)*CHOOSE(CONTROL!$C$21, $C$9, 100%, $E$9)</f>
        <v>9.0772999999999993</v>
      </c>
      <c r="H334" s="10">
        <f>CHOOSE(CONTROL!$C$42, 9.3213, 9.3213) * CHOOSE(CONTROL!$C$21, $C$9, 100%, $E$9)</f>
        <v>9.3213000000000008</v>
      </c>
      <c r="I334" s="10">
        <f>CHOOSE(CONTROL!$C$42, 9.0933, 9.0933)* CHOOSE(CONTROL!$C$21, $C$9, 100%, $E$9)</f>
        <v>9.0932999999999993</v>
      </c>
      <c r="J334" s="10">
        <f>CHOOSE(CONTROL!$C$42, 9.0533, 9.0533)* CHOOSE(CONTROL!$C$21, $C$9, 100%, $E$9)</f>
        <v>9.0533000000000001</v>
      </c>
      <c r="K334" s="10">
        <f>CHOOSE(CONTROL!$C$42, 8.9669, 8.9669) * CHOOSE(CONTROL!$C$21, $C$9, 100%, $E$9)</f>
        <v>8.9669000000000008</v>
      </c>
      <c r="L334" s="10">
        <f>CHOOSE(CONTROL!$C$42, 9.9083, 9.9083) * CHOOSE(CONTROL!$C$21, $C$9, 100%, $E$9)</f>
        <v>9.9083000000000006</v>
      </c>
      <c r="M334" s="10">
        <f>CHOOSE(CONTROL!$C$42, 8.9692, 8.9692) * CHOOSE(CONTROL!$C$21, $C$9, 100%, $E$9)</f>
        <v>8.9692000000000007</v>
      </c>
      <c r="N334" s="10">
        <f>CHOOSE(CONTROL!$C$42, 8.9855, 8.9855) * CHOOSE(CONTROL!$C$21, $C$9, 100%, $E$9)</f>
        <v>8.9855</v>
      </c>
      <c r="O334" s="10">
        <f>CHOOSE(CONTROL!$C$42, 9.2337, 9.2337) * CHOOSE(CONTROL!$C$21, $C$9, 100%, $E$9)</f>
        <v>9.2337000000000007</v>
      </c>
      <c r="P334" s="10">
        <f>CHOOSE(CONTROL!$C$42, 9.0087, 9.0087) * CHOOSE(CONTROL!$C$21, $C$9, 100%, $E$9)</f>
        <v>9.0086999999999993</v>
      </c>
      <c r="Q334" s="10">
        <f>CHOOSE(CONTROL!$C$42, 9.829, 9.829) * CHOOSE(CONTROL!$C$21, $C$9, 100%, $E$9)</f>
        <v>9.8290000000000006</v>
      </c>
      <c r="R334" s="10">
        <f>CHOOSE(CONTROL!$C$42, 10.4406, 10.4406) * CHOOSE(CONTROL!$C$21, $C$9, 100%, $E$9)</f>
        <v>10.4406</v>
      </c>
      <c r="S334" s="10">
        <f>CHOOSE(CONTROL!$C$42, 8.8442, 8.8442) * CHOOSE(CONTROL!$C$21, $C$9, 100%, $E$9)</f>
        <v>8.8442000000000007</v>
      </c>
      <c r="T3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38">
        <f>(1000*CHOOSE(CONTROL!$C$42, 695, 695)*CHOOSE(CONTROL!$C$42, 0.5599, 0.5599)*CHOOSE(CONTROL!$C$42, 31, 31))/1000000</f>
        <v>12.063045499999998</v>
      </c>
      <c r="V334" s="38">
        <f>(1000*CHOOSE(CONTROL!$C$42, 500, 500)*CHOOSE(CONTROL!$C$42, 0.275, 0.275)*CHOOSE(CONTROL!$C$42, 31, 31))/1000000</f>
        <v>4.2625000000000002</v>
      </c>
      <c r="W334" s="38">
        <f>(1000*CHOOSE(CONTROL!$C$42, 0.1146, 0.1146)*CHOOSE(CONTROL!$C$42, 121.5, 121.5)*CHOOSE(CONTROL!$C$42, 31, 31))/1000000</f>
        <v>0.43164089999999994</v>
      </c>
      <c r="X334" s="38">
        <f>(31*0.1790888*245000/1000000)+(31*0.2374*100000/1000000)</f>
        <v>2.0961194359999999</v>
      </c>
      <c r="Y334" s="38">
        <f>(1000*600*CHOOSE(CONTROL!$C$42, 1.6302, 1.6302)*CHOOSE(CONTROL!$C$42, 31, 31))/1000000</f>
        <v>30.321719999999999</v>
      </c>
      <c r="Z334" s="38"/>
      <c r="AA334" s="10"/>
      <c r="AB334" s="39"/>
      <c r="AC334" s="33">
        <f>(B334*131.881+C334*277.167+D334*79.08+E334*125.872+F334*40+G334*185+H334*0+I334*100+J334*300)/(131.881+277.167+79.08+125.872+0+40+185+100+300)</f>
        <v>9.1266808744148502</v>
      </c>
      <c r="AD334" s="27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9.0528482014388487</v>
      </c>
    </row>
    <row r="335" spans="1:30" ht="15.75" x14ac:dyDescent="0.25">
      <c r="A335" s="14">
        <v>51470</v>
      </c>
      <c r="B335" s="10">
        <f>CHOOSE(CONTROL!$C$42, 9.3571, 9.3571) * CHOOSE(CONTROL!$C$21, $C$9, 100%, $E$9)</f>
        <v>9.3571000000000009</v>
      </c>
      <c r="C335" s="10">
        <f>CHOOSE(CONTROL!$C$42, 9.3622, 9.3622) * CHOOSE(CONTROL!$C$21, $C$9, 100%, $E$9)</f>
        <v>9.3621999999999996</v>
      </c>
      <c r="D335" s="10">
        <f>CHOOSE(CONTROL!$C$42, 9.3869, 9.3869) * CHOOSE(CONTROL!$C$21, $C$9, 100%, $E$9)</f>
        <v>9.3869000000000007</v>
      </c>
      <c r="E335" s="10">
        <f>CHOOSE(CONTROL!$C$42, 9.4207, 9.4207) * CHOOSE(CONTROL!$C$21, $C$9, 100%, $E$9)</f>
        <v>9.4207000000000001</v>
      </c>
      <c r="F335" s="10">
        <f>CHOOSE(CONTROL!$C$42, 9.3228, 9.3228)*CHOOSE(CONTROL!$C$21, $C$9, 100%, $E$9)</f>
        <v>9.3228000000000009</v>
      </c>
      <c r="G335" s="10">
        <f>CHOOSE(CONTROL!$C$42, 9.3396, 9.3396)*CHOOSE(CONTROL!$C$21, $C$9, 100%, $E$9)</f>
        <v>9.3396000000000008</v>
      </c>
      <c r="H335" s="10">
        <f>CHOOSE(CONTROL!$C$42, 9.4096, 9.4096) * CHOOSE(CONTROL!$C$21, $C$9, 100%, $E$9)</f>
        <v>9.4095999999999993</v>
      </c>
      <c r="I335" s="10">
        <f>CHOOSE(CONTROL!$C$42, 9.3566, 9.3566)* CHOOSE(CONTROL!$C$21, $C$9, 100%, $E$9)</f>
        <v>9.3566000000000003</v>
      </c>
      <c r="J335" s="10">
        <f>CHOOSE(CONTROL!$C$42, 9.3154, 9.3154)* CHOOSE(CONTROL!$C$21, $C$9, 100%, $E$9)</f>
        <v>9.3154000000000003</v>
      </c>
      <c r="K335" s="10">
        <f>CHOOSE(CONTROL!$C$42, 9.2238, 9.2238) * CHOOSE(CONTROL!$C$21, $C$9, 100%, $E$9)</f>
        <v>9.2238000000000007</v>
      </c>
      <c r="L335" s="10">
        <f>CHOOSE(CONTROL!$C$42, 9.9966, 9.9966) * CHOOSE(CONTROL!$C$21, $C$9, 100%, $E$9)</f>
        <v>9.9966000000000008</v>
      </c>
      <c r="M335" s="10">
        <f>CHOOSE(CONTROL!$C$42, 9.2278, 9.2278) * CHOOSE(CONTROL!$C$21, $C$9, 100%, $E$9)</f>
        <v>9.2278000000000002</v>
      </c>
      <c r="N335" s="10">
        <f>CHOOSE(CONTROL!$C$42, 9.2444, 9.2444) * CHOOSE(CONTROL!$C$21, $C$9, 100%, $E$9)</f>
        <v>9.2444000000000006</v>
      </c>
      <c r="O335" s="10">
        <f>CHOOSE(CONTROL!$C$42, 9.3208, 9.3208) * CHOOSE(CONTROL!$C$21, $C$9, 100%, $E$9)</f>
        <v>9.3208000000000002</v>
      </c>
      <c r="P335" s="10">
        <f>CHOOSE(CONTROL!$C$42, 9.2686, 9.2686) * CHOOSE(CONTROL!$C$21, $C$9, 100%, $E$9)</f>
        <v>9.2685999999999993</v>
      </c>
      <c r="Q335" s="10">
        <f>CHOOSE(CONTROL!$C$42, 9.9161, 9.9161) * CHOOSE(CONTROL!$C$21, $C$9, 100%, $E$9)</f>
        <v>9.9161000000000001</v>
      </c>
      <c r="R335" s="10">
        <f>CHOOSE(CONTROL!$C$42, 10.5279, 10.5279) * CHOOSE(CONTROL!$C$21, $C$9, 100%, $E$9)</f>
        <v>10.527900000000001</v>
      </c>
      <c r="S335" s="10">
        <f>CHOOSE(CONTROL!$C$42, 9.0772, 9.0772) * CHOOSE(CONTROL!$C$21, $C$9, 100%, $E$9)</f>
        <v>9.0771999999999995</v>
      </c>
      <c r="T3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38">
        <f>(1000*CHOOSE(CONTROL!$C$42, 695, 695)*CHOOSE(CONTROL!$C$42, 0.5599, 0.5599)*CHOOSE(CONTROL!$C$42, 30, 30))/1000000</f>
        <v>11.673914999999997</v>
      </c>
      <c r="V335" s="38">
        <f>(1000*CHOOSE(CONTROL!$C$42, 500, 500)*CHOOSE(CONTROL!$C$42, 0.275, 0.275)*CHOOSE(CONTROL!$C$42, 30, 30))/1000000</f>
        <v>4.125</v>
      </c>
      <c r="W335" s="38">
        <f>(1000*CHOOSE(CONTROL!$C$42, 0.1146, 0.1146)*CHOOSE(CONTROL!$C$42, 121.5, 121.5)*CHOOSE(CONTROL!$C$42, 30, 30))/1000000</f>
        <v>0.417717</v>
      </c>
      <c r="X335" s="38">
        <f>(30*0.1790888*100000/1000000)+(30*0.2374*100000/1000000)</f>
        <v>1.2494664</v>
      </c>
      <c r="Y335" s="38">
        <f>(1000*600*CHOOSE(CONTROL!$C$42, 1.6302, 1.6302)*CHOOSE(CONTROL!$C$42, 30, 30))/1000000</f>
        <v>29.343599999999999</v>
      </c>
      <c r="Z335" s="38"/>
      <c r="AA335" s="10"/>
      <c r="AB335" s="39"/>
      <c r="AC335" s="33">
        <f>(B335*122.58+C335*297.941+D335*89.177+E335*40.302+F335*40+G335*160+H335*0+I335*100+J335*300)/(122.58+297.941+89.177+40.302+0+40+160+100+300)</f>
        <v>9.3484114616521747</v>
      </c>
      <c r="AD335" s="27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9.2767769784172653</v>
      </c>
    </row>
    <row r="336" spans="1:30" ht="15.75" x14ac:dyDescent="0.25">
      <c r="A336" s="14">
        <v>51501</v>
      </c>
      <c r="B336" s="10">
        <f>CHOOSE(CONTROL!$C$42, 9.9962, 9.9962) * CHOOSE(CONTROL!$C$21, $C$9, 100%, $E$9)</f>
        <v>9.9962</v>
      </c>
      <c r="C336" s="10">
        <f>CHOOSE(CONTROL!$C$42, 10.0013, 10.0013) * CHOOSE(CONTROL!$C$21, $C$9, 100%, $E$9)</f>
        <v>10.001300000000001</v>
      </c>
      <c r="D336" s="10">
        <f>CHOOSE(CONTROL!$C$42, 10.026, 10.026) * CHOOSE(CONTROL!$C$21, $C$9, 100%, $E$9)</f>
        <v>10.026</v>
      </c>
      <c r="E336" s="10">
        <f>CHOOSE(CONTROL!$C$42, 10.0598, 10.0598) * CHOOSE(CONTROL!$C$21, $C$9, 100%, $E$9)</f>
        <v>10.059799999999999</v>
      </c>
      <c r="F336" s="10">
        <f>CHOOSE(CONTROL!$C$42, 9.9636, 9.9636)*CHOOSE(CONTROL!$C$21, $C$9, 100%, $E$9)</f>
        <v>9.9635999999999996</v>
      </c>
      <c r="G336" s="10">
        <f>CHOOSE(CONTROL!$C$42, 9.9809, 9.9809)*CHOOSE(CONTROL!$C$21, $C$9, 100%, $E$9)</f>
        <v>9.9809000000000001</v>
      </c>
      <c r="H336" s="10">
        <f>CHOOSE(CONTROL!$C$42, 10.0487, 10.0487) * CHOOSE(CONTROL!$C$21, $C$9, 100%, $E$9)</f>
        <v>10.0487</v>
      </c>
      <c r="I336" s="10">
        <f>CHOOSE(CONTROL!$C$42, 9.9957, 9.9957)* CHOOSE(CONTROL!$C$21, $C$9, 100%, $E$9)</f>
        <v>9.9956999999999994</v>
      </c>
      <c r="J336" s="10">
        <f>CHOOSE(CONTROL!$C$42, 9.9562, 9.9562)* CHOOSE(CONTROL!$C$21, $C$9, 100%, $E$9)</f>
        <v>9.9562000000000008</v>
      </c>
      <c r="K336" s="10">
        <f>CHOOSE(CONTROL!$C$42, 9.8468, 9.8468) * CHOOSE(CONTROL!$C$21, $C$9, 100%, $E$9)</f>
        <v>9.8468</v>
      </c>
      <c r="L336" s="10">
        <f>CHOOSE(CONTROL!$C$42, 10.6357, 10.6357) * CHOOSE(CONTROL!$C$21, $C$9, 100%, $E$9)</f>
        <v>10.6357</v>
      </c>
      <c r="M336" s="10">
        <f>CHOOSE(CONTROL!$C$42, 9.8604, 9.8604) * CHOOSE(CONTROL!$C$21, $C$9, 100%, $E$9)</f>
        <v>9.8604000000000003</v>
      </c>
      <c r="N336" s="10">
        <f>CHOOSE(CONTROL!$C$42, 9.8775, 9.8775) * CHOOSE(CONTROL!$C$21, $C$9, 100%, $E$9)</f>
        <v>9.8774999999999995</v>
      </c>
      <c r="O336" s="10">
        <f>CHOOSE(CONTROL!$C$42, 9.9516, 9.9516) * CHOOSE(CONTROL!$C$21, $C$9, 100%, $E$9)</f>
        <v>9.9515999999999991</v>
      </c>
      <c r="P336" s="10">
        <f>CHOOSE(CONTROL!$C$42, 9.8994, 9.8994) * CHOOSE(CONTROL!$C$21, $C$9, 100%, $E$9)</f>
        <v>9.8994</v>
      </c>
      <c r="Q336" s="10">
        <f>CHOOSE(CONTROL!$C$42, 10.5469, 10.5469) * CHOOSE(CONTROL!$C$21, $C$9, 100%, $E$9)</f>
        <v>10.546900000000001</v>
      </c>
      <c r="R336" s="10">
        <f>CHOOSE(CONTROL!$C$42, 11.1603, 11.1603) * CHOOSE(CONTROL!$C$21, $C$9, 100%, $E$9)</f>
        <v>11.160299999999999</v>
      </c>
      <c r="S336" s="10">
        <f>CHOOSE(CONTROL!$C$42, 9.696, 9.696) * CHOOSE(CONTROL!$C$21, $C$9, 100%, $E$9)</f>
        <v>9.6959999999999997</v>
      </c>
      <c r="T3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38">
        <f>(1000*CHOOSE(CONTROL!$C$42, 695, 695)*CHOOSE(CONTROL!$C$42, 0.5599, 0.5599)*CHOOSE(CONTROL!$C$42, 31, 31))/1000000</f>
        <v>12.063045499999998</v>
      </c>
      <c r="V336" s="38">
        <f>(1000*CHOOSE(CONTROL!$C$42, 500, 500)*CHOOSE(CONTROL!$C$42, 0.275, 0.275)*CHOOSE(CONTROL!$C$42, 31, 31))/1000000</f>
        <v>4.2625000000000002</v>
      </c>
      <c r="W336" s="38">
        <f>(1000*CHOOSE(CONTROL!$C$42, 0.1146, 0.1146)*CHOOSE(CONTROL!$C$42, 121.5, 121.5)*CHOOSE(CONTROL!$C$42, 31, 31))/1000000</f>
        <v>0.43164089999999994</v>
      </c>
      <c r="X336" s="38">
        <f>(31*0.1790888*100000/1000000)+(31*0.2374*100000/1000000)</f>
        <v>1.2911152800000001</v>
      </c>
      <c r="Y336" s="38">
        <f>(1000*600*CHOOSE(CONTROL!$C$42, 1.6302, 1.6302)*CHOOSE(CONTROL!$C$42, 31, 31))/1000000</f>
        <v>30.321719999999999</v>
      </c>
      <c r="Z336" s="38"/>
      <c r="AA336" s="10"/>
      <c r="AB336" s="39"/>
      <c r="AC336" s="33">
        <f>(B336*122.58+C336*297.941+D336*89.177+E336*40.302+F336*40+G336*160+H336*0+I336*100+J336*300)/(122.58+297.941+89.177+40.302+0+40+160+100+300)</f>
        <v>9.9883201573043472</v>
      </c>
      <c r="AD336" s="27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9.908330935251799</v>
      </c>
    </row>
    <row r="337" spans="1:30" ht="15.75" x14ac:dyDescent="0.25">
      <c r="A337" s="14">
        <v>51532</v>
      </c>
      <c r="B337" s="10">
        <f>CHOOSE(CONTROL!$C$42, 10.672, 10.672) * CHOOSE(CONTROL!$C$21, $C$9, 100%, $E$9)</f>
        <v>10.672000000000001</v>
      </c>
      <c r="C337" s="10">
        <f>CHOOSE(CONTROL!$C$42, 10.6771, 10.6771) * CHOOSE(CONTROL!$C$21, $C$9, 100%, $E$9)</f>
        <v>10.677099999999999</v>
      </c>
      <c r="D337" s="10">
        <f>CHOOSE(CONTROL!$C$42, 10.7121, 10.7121) * CHOOSE(CONTROL!$C$21, $C$9, 100%, $E$9)</f>
        <v>10.7121</v>
      </c>
      <c r="E337" s="10">
        <f>CHOOSE(CONTROL!$C$42, 10.7459, 10.7459) * CHOOSE(CONTROL!$C$21, $C$9, 100%, $E$9)</f>
        <v>10.745900000000001</v>
      </c>
      <c r="F337" s="10">
        <f>CHOOSE(CONTROL!$C$42, 10.6533, 10.6533)*CHOOSE(CONTROL!$C$21, $C$9, 100%, $E$9)</f>
        <v>10.6533</v>
      </c>
      <c r="G337" s="10">
        <f>CHOOSE(CONTROL!$C$42, 10.6722, 10.6722)*CHOOSE(CONTROL!$C$21, $C$9, 100%, $E$9)</f>
        <v>10.6722</v>
      </c>
      <c r="H337" s="10">
        <f>CHOOSE(CONTROL!$C$42, 10.7348, 10.7348) * CHOOSE(CONTROL!$C$21, $C$9, 100%, $E$9)</f>
        <v>10.7348</v>
      </c>
      <c r="I337" s="10">
        <f>CHOOSE(CONTROL!$C$42, 10.6793, 10.6793)* CHOOSE(CONTROL!$C$21, $C$9, 100%, $E$9)</f>
        <v>10.6793</v>
      </c>
      <c r="J337" s="10">
        <f>CHOOSE(CONTROL!$C$42, 10.6459, 10.6459)* CHOOSE(CONTROL!$C$21, $C$9, 100%, $E$9)</f>
        <v>10.645899999999999</v>
      </c>
      <c r="K337" s="10">
        <f>CHOOSE(CONTROL!$C$42, 10.5222, 10.5222) * CHOOSE(CONTROL!$C$21, $C$9, 100%, $E$9)</f>
        <v>10.5222</v>
      </c>
      <c r="L337" s="10">
        <f>CHOOSE(CONTROL!$C$42, 11.3218, 11.3218) * CHOOSE(CONTROL!$C$21, $C$9, 100%, $E$9)</f>
        <v>11.3218</v>
      </c>
      <c r="M337" s="10">
        <f>CHOOSE(CONTROL!$C$42, 10.5411, 10.5411) * CHOOSE(CONTROL!$C$21, $C$9, 100%, $E$9)</f>
        <v>10.5411</v>
      </c>
      <c r="N337" s="10">
        <f>CHOOSE(CONTROL!$C$42, 10.5598, 10.5598) * CHOOSE(CONTROL!$C$21, $C$9, 100%, $E$9)</f>
        <v>10.559799999999999</v>
      </c>
      <c r="O337" s="10">
        <f>CHOOSE(CONTROL!$C$42, 10.6289, 10.6289) * CHOOSE(CONTROL!$C$21, $C$9, 100%, $E$9)</f>
        <v>10.6289</v>
      </c>
      <c r="P337" s="10">
        <f>CHOOSE(CONTROL!$C$42, 10.5741, 10.5741) * CHOOSE(CONTROL!$C$21, $C$9, 100%, $E$9)</f>
        <v>10.5741</v>
      </c>
      <c r="Q337" s="10">
        <f>CHOOSE(CONTROL!$C$42, 11.2242, 11.2242) * CHOOSE(CONTROL!$C$21, $C$9, 100%, $E$9)</f>
        <v>11.2242</v>
      </c>
      <c r="R337" s="10">
        <f>CHOOSE(CONTROL!$C$42, 11.8392, 11.8392) * CHOOSE(CONTROL!$C$21, $C$9, 100%, $E$9)</f>
        <v>11.8392</v>
      </c>
      <c r="S337" s="10">
        <f>CHOOSE(CONTROL!$C$42, 10.3504, 10.3504) * CHOOSE(CONTROL!$C$21, $C$9, 100%, $E$9)</f>
        <v>10.3504</v>
      </c>
      <c r="T3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38">
        <f>(1000*CHOOSE(CONTROL!$C$42, 695, 695)*CHOOSE(CONTROL!$C$42, 0.5599, 0.5599)*CHOOSE(CONTROL!$C$42, 31, 31))/1000000</f>
        <v>12.063045499999998</v>
      </c>
      <c r="V337" s="38">
        <f>(1000*CHOOSE(CONTROL!$C$42, 500, 500)*CHOOSE(CONTROL!$C$42, 0.275, 0.275)*CHOOSE(CONTROL!$C$42, 31, 31))/1000000</f>
        <v>4.2625000000000002</v>
      </c>
      <c r="W337" s="38">
        <f>(1000*CHOOSE(CONTROL!$C$42, 0.1146, 0.1146)*CHOOSE(CONTROL!$C$42, 121.5, 121.5)*CHOOSE(CONTROL!$C$42, 31, 31))/1000000</f>
        <v>0.43164089999999994</v>
      </c>
      <c r="X337" s="38">
        <f>(31*0.1790888*100000/1000000)+(31*0.2374*100000/1000000)</f>
        <v>1.2911152800000001</v>
      </c>
      <c r="Y337" s="38">
        <f>(1000*600*CHOOSE(CONTROL!$C$42, 1.6268, 1.6268)*CHOOSE(CONTROL!$C$42, 31, 31))/1000000</f>
        <v>30.258479999999999</v>
      </c>
      <c r="Z337" s="38"/>
      <c r="AA337" s="10"/>
      <c r="AB337" s="39"/>
      <c r="AC337" s="33">
        <f>(B337*122.58+C337*297.941+D337*89.177+E337*40.302+F337*40+G337*160+H337*0+I337*100+J337*300)/(122.58+297.941+89.177+40.302+0+40+160+100+300)</f>
        <v>10.672224186608696</v>
      </c>
      <c r="AD337" s="27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10.58671870503597</v>
      </c>
    </row>
    <row r="338" spans="1:30" ht="15.75" x14ac:dyDescent="0.25">
      <c r="A338" s="14">
        <v>51560</v>
      </c>
      <c r="B338" s="10">
        <f>CHOOSE(CONTROL!$C$42, 10.8623, 10.8623) * CHOOSE(CONTROL!$C$21, $C$9, 100%, $E$9)</f>
        <v>10.862299999999999</v>
      </c>
      <c r="C338" s="10">
        <f>CHOOSE(CONTROL!$C$42, 10.8674, 10.8674) * CHOOSE(CONTROL!$C$21, $C$9, 100%, $E$9)</f>
        <v>10.8674</v>
      </c>
      <c r="D338" s="10">
        <f>CHOOSE(CONTROL!$C$42, 10.9024, 10.9024) * CHOOSE(CONTROL!$C$21, $C$9, 100%, $E$9)</f>
        <v>10.9024</v>
      </c>
      <c r="E338" s="10">
        <f>CHOOSE(CONTROL!$C$42, 10.9362, 10.9362) * CHOOSE(CONTROL!$C$21, $C$9, 100%, $E$9)</f>
        <v>10.936199999999999</v>
      </c>
      <c r="F338" s="10">
        <f>CHOOSE(CONTROL!$C$42, 10.843, 10.843)*CHOOSE(CONTROL!$C$21, $C$9, 100%, $E$9)</f>
        <v>10.843</v>
      </c>
      <c r="G338" s="10">
        <f>CHOOSE(CONTROL!$C$42, 10.8618, 10.8618)*CHOOSE(CONTROL!$C$21, $C$9, 100%, $E$9)</f>
        <v>10.861800000000001</v>
      </c>
      <c r="H338" s="10">
        <f>CHOOSE(CONTROL!$C$42, 10.9251, 10.9251) * CHOOSE(CONTROL!$C$21, $C$9, 100%, $E$9)</f>
        <v>10.9251</v>
      </c>
      <c r="I338" s="10">
        <f>CHOOSE(CONTROL!$C$42, 10.8695, 10.8695)* CHOOSE(CONTROL!$C$21, $C$9, 100%, $E$9)</f>
        <v>10.8695</v>
      </c>
      <c r="J338" s="10">
        <f>CHOOSE(CONTROL!$C$42, 10.8356, 10.8356)* CHOOSE(CONTROL!$C$21, $C$9, 100%, $E$9)</f>
        <v>10.835599999999999</v>
      </c>
      <c r="K338" s="10">
        <f>CHOOSE(CONTROL!$C$42, 10.7054, 10.7054) * CHOOSE(CONTROL!$C$21, $C$9, 100%, $E$9)</f>
        <v>10.705399999999999</v>
      </c>
      <c r="L338" s="10">
        <f>CHOOSE(CONTROL!$C$42, 11.5121, 11.5121) * CHOOSE(CONTROL!$C$21, $C$9, 100%, $E$9)</f>
        <v>11.5121</v>
      </c>
      <c r="M338" s="10">
        <f>CHOOSE(CONTROL!$C$42, 10.7284, 10.7284) * CHOOSE(CONTROL!$C$21, $C$9, 100%, $E$9)</f>
        <v>10.728400000000001</v>
      </c>
      <c r="N338" s="10">
        <f>CHOOSE(CONTROL!$C$42, 10.7469, 10.7469) * CHOOSE(CONTROL!$C$21, $C$9, 100%, $E$9)</f>
        <v>10.7469</v>
      </c>
      <c r="O338" s="10">
        <f>CHOOSE(CONTROL!$C$42, 10.8167, 10.8167) * CHOOSE(CONTROL!$C$21, $C$9, 100%, $E$9)</f>
        <v>10.816700000000001</v>
      </c>
      <c r="P338" s="10">
        <f>CHOOSE(CONTROL!$C$42, 10.7619, 10.7619) * CHOOSE(CONTROL!$C$21, $C$9, 100%, $E$9)</f>
        <v>10.761900000000001</v>
      </c>
      <c r="Q338" s="10">
        <f>CHOOSE(CONTROL!$C$42, 11.412, 11.412) * CHOOSE(CONTROL!$C$21, $C$9, 100%, $E$9)</f>
        <v>11.412000000000001</v>
      </c>
      <c r="R338" s="10">
        <f>CHOOSE(CONTROL!$C$42, 12.0275, 12.0275) * CHOOSE(CONTROL!$C$21, $C$9, 100%, $E$9)</f>
        <v>12.0275</v>
      </c>
      <c r="S338" s="10">
        <f>CHOOSE(CONTROL!$C$42, 10.5346, 10.5346) * CHOOSE(CONTROL!$C$21, $C$9, 100%, $E$9)</f>
        <v>10.534599999999999</v>
      </c>
      <c r="T33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38" s="38">
        <f>(1000*CHOOSE(CONTROL!$C$42, 695, 695)*CHOOSE(CONTROL!$C$42, 0.5599, 0.5599)*CHOOSE(CONTROL!$C$42, 28, 28))/1000000</f>
        <v>10.895653999999999</v>
      </c>
      <c r="V338" s="38">
        <f>(1000*CHOOSE(CONTROL!$C$42, 500, 500)*CHOOSE(CONTROL!$C$42, 0.275, 0.275)*CHOOSE(CONTROL!$C$42, 28, 28))/1000000</f>
        <v>3.85</v>
      </c>
      <c r="W338" s="38">
        <f>(1000*CHOOSE(CONTROL!$C$42, 0.1146, 0.1146)*CHOOSE(CONTROL!$C$42, 121.5, 121.5)*CHOOSE(CONTROL!$C$42, 28, 28))/1000000</f>
        <v>0.38986920000000003</v>
      </c>
      <c r="X338" s="38">
        <f>(28*0.1790888*100000/1000000)+(28*0.2374*100000/1000000)</f>
        <v>1.16616864</v>
      </c>
      <c r="Y338" s="38">
        <f>(1000*600*CHOOSE(CONTROL!$C$42, 1.6268, 1.6268)*CHOOSE(CONTROL!$C$42, 28, 28))/1000000</f>
        <v>27.33024</v>
      </c>
      <c r="Z338" s="38"/>
      <c r="AA338" s="10"/>
      <c r="AB338" s="39"/>
      <c r="AC338" s="33">
        <f>(B338*122.58+C338*297.941+D338*89.177+E338*40.302+F338*40+G338*160+H338*0+I338*100+J338*300)/(122.58+297.941+89.177+40.302+0+40+160+100+300)</f>
        <v>10.862240708347825</v>
      </c>
      <c r="AD338" s="27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10.774305755395684</v>
      </c>
    </row>
    <row r="339" spans="1:30" ht="15.75" x14ac:dyDescent="0.25">
      <c r="A339" s="14">
        <v>51591</v>
      </c>
      <c r="B339" s="10">
        <f>CHOOSE(CONTROL!$C$42, 10.5534, 10.5534) * CHOOSE(CONTROL!$C$21, $C$9, 100%, $E$9)</f>
        <v>10.5534</v>
      </c>
      <c r="C339" s="10">
        <f>CHOOSE(CONTROL!$C$42, 10.5585, 10.5585) * CHOOSE(CONTROL!$C$21, $C$9, 100%, $E$9)</f>
        <v>10.5585</v>
      </c>
      <c r="D339" s="10">
        <f>CHOOSE(CONTROL!$C$42, 10.5935, 10.5935) * CHOOSE(CONTROL!$C$21, $C$9, 100%, $E$9)</f>
        <v>10.593500000000001</v>
      </c>
      <c r="E339" s="10">
        <f>CHOOSE(CONTROL!$C$42, 10.6273, 10.6273) * CHOOSE(CONTROL!$C$21, $C$9, 100%, $E$9)</f>
        <v>10.6273</v>
      </c>
      <c r="F339" s="10">
        <f>CHOOSE(CONTROL!$C$42, 10.5328, 10.5328)*CHOOSE(CONTROL!$C$21, $C$9, 100%, $E$9)</f>
        <v>10.5328</v>
      </c>
      <c r="G339" s="10">
        <f>CHOOSE(CONTROL!$C$42, 10.5512, 10.5512)*CHOOSE(CONTROL!$C$21, $C$9, 100%, $E$9)</f>
        <v>10.5512</v>
      </c>
      <c r="H339" s="10">
        <f>CHOOSE(CONTROL!$C$42, 10.6162, 10.6162) * CHOOSE(CONTROL!$C$21, $C$9, 100%, $E$9)</f>
        <v>10.616199999999999</v>
      </c>
      <c r="I339" s="10">
        <f>CHOOSE(CONTROL!$C$42, 10.5607, 10.5607)* CHOOSE(CONTROL!$C$21, $C$9, 100%, $E$9)</f>
        <v>10.560700000000001</v>
      </c>
      <c r="J339" s="10">
        <f>CHOOSE(CONTROL!$C$42, 10.5254, 10.5254)* CHOOSE(CONTROL!$C$21, $C$9, 100%, $E$9)</f>
        <v>10.525399999999999</v>
      </c>
      <c r="K339" s="10">
        <f>CHOOSE(CONTROL!$C$42, 10.4032, 10.4032) * CHOOSE(CONTROL!$C$21, $C$9, 100%, $E$9)</f>
        <v>10.4032</v>
      </c>
      <c r="L339" s="10">
        <f>CHOOSE(CONTROL!$C$42, 11.2032, 11.2032) * CHOOSE(CONTROL!$C$21, $C$9, 100%, $E$9)</f>
        <v>11.203200000000001</v>
      </c>
      <c r="M339" s="10">
        <f>CHOOSE(CONTROL!$C$42, 10.4222, 10.4222) * CHOOSE(CONTROL!$C$21, $C$9, 100%, $E$9)</f>
        <v>10.4222</v>
      </c>
      <c r="N339" s="10">
        <f>CHOOSE(CONTROL!$C$42, 10.4403, 10.4403) * CHOOSE(CONTROL!$C$21, $C$9, 100%, $E$9)</f>
        <v>10.440300000000001</v>
      </c>
      <c r="O339" s="10">
        <f>CHOOSE(CONTROL!$C$42, 10.5118, 10.5118) * CHOOSE(CONTROL!$C$21, $C$9, 100%, $E$9)</f>
        <v>10.511799999999999</v>
      </c>
      <c r="P339" s="10">
        <f>CHOOSE(CONTROL!$C$42, 10.4571, 10.4571) * CHOOSE(CONTROL!$C$21, $C$9, 100%, $E$9)</f>
        <v>10.457100000000001</v>
      </c>
      <c r="Q339" s="10">
        <f>CHOOSE(CONTROL!$C$42, 11.1071, 11.1071) * CHOOSE(CONTROL!$C$21, $C$9, 100%, $E$9)</f>
        <v>11.107100000000001</v>
      </c>
      <c r="R339" s="10">
        <f>CHOOSE(CONTROL!$C$42, 11.7219, 11.7219) * CHOOSE(CONTROL!$C$21, $C$9, 100%, $E$9)</f>
        <v>11.7219</v>
      </c>
      <c r="S339" s="10">
        <f>CHOOSE(CONTROL!$C$42, 10.2355, 10.2355) * CHOOSE(CONTROL!$C$21, $C$9, 100%, $E$9)</f>
        <v>10.2355</v>
      </c>
      <c r="T3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38">
        <f>(1000*CHOOSE(CONTROL!$C$42, 695, 695)*CHOOSE(CONTROL!$C$42, 0.5599, 0.5599)*CHOOSE(CONTROL!$C$42, 31, 31))/1000000</f>
        <v>12.063045499999998</v>
      </c>
      <c r="V339" s="38">
        <f>(1000*CHOOSE(CONTROL!$C$42, 500, 500)*CHOOSE(CONTROL!$C$42, 0.275, 0.275)*CHOOSE(CONTROL!$C$42, 31, 31))/1000000</f>
        <v>4.2625000000000002</v>
      </c>
      <c r="W339" s="38">
        <f>(1000*CHOOSE(CONTROL!$C$42, 0.1146, 0.1146)*CHOOSE(CONTROL!$C$42, 121.5, 121.5)*CHOOSE(CONTROL!$C$42, 31, 31))/1000000</f>
        <v>0.43164089999999994</v>
      </c>
      <c r="X339" s="38">
        <f>(31*0.1790888*100000/1000000)+(31*0.2374*100000/1000000)</f>
        <v>1.2911152800000001</v>
      </c>
      <c r="Y339" s="38">
        <f>(1000*600*CHOOSE(CONTROL!$C$42, 1.6268, 1.6268)*CHOOSE(CONTROL!$C$42, 31, 31))/1000000</f>
        <v>30.258479999999999</v>
      </c>
      <c r="Z339" s="38"/>
      <c r="AA339" s="10"/>
      <c r="AB339" s="39"/>
      <c r="AC339" s="33">
        <f>(B339*122.58+C339*297.941+D339*89.177+E339*40.302+F339*40+G339*160+H339*0+I339*100+J339*300)/(122.58+297.941+89.177+40.302+0+40+160+100+300)</f>
        <v>10.552728534434781</v>
      </c>
      <c r="AD339" s="27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10.468873381294962</v>
      </c>
    </row>
    <row r="340" spans="1:30" ht="15.75" x14ac:dyDescent="0.25">
      <c r="A340" s="14">
        <v>51621</v>
      </c>
      <c r="B340" s="10">
        <f>CHOOSE(CONTROL!$C$42, 10.5225, 10.5225) * CHOOSE(CONTROL!$C$21, $C$9, 100%, $E$9)</f>
        <v>10.522500000000001</v>
      </c>
      <c r="C340" s="10">
        <f>CHOOSE(CONTROL!$C$42, 10.5271, 10.5271) * CHOOSE(CONTROL!$C$21, $C$9, 100%, $E$9)</f>
        <v>10.527100000000001</v>
      </c>
      <c r="D340" s="10">
        <f>CHOOSE(CONTROL!$C$42, 10.7053, 10.7053) * CHOOSE(CONTROL!$C$21, $C$9, 100%, $E$9)</f>
        <v>10.705299999999999</v>
      </c>
      <c r="E340" s="10">
        <f>CHOOSE(CONTROL!$C$42, 10.7371, 10.7371) * CHOOSE(CONTROL!$C$21, $C$9, 100%, $E$9)</f>
        <v>10.7371</v>
      </c>
      <c r="F340" s="10">
        <f>CHOOSE(CONTROL!$C$42, 10.466, 10.466)*CHOOSE(CONTROL!$C$21, $C$9, 100%, $E$9)</f>
        <v>10.465999999999999</v>
      </c>
      <c r="G340" s="10">
        <f>CHOOSE(CONTROL!$C$42, 10.4826, 10.4826)*CHOOSE(CONTROL!$C$21, $C$9, 100%, $E$9)</f>
        <v>10.4826</v>
      </c>
      <c r="H340" s="10">
        <f>CHOOSE(CONTROL!$C$42, 10.7266, 10.7266) * CHOOSE(CONTROL!$C$21, $C$9, 100%, $E$9)</f>
        <v>10.726599999999999</v>
      </c>
      <c r="I340" s="10">
        <f>CHOOSE(CONTROL!$C$42, 10.4986, 10.4986)* CHOOSE(CONTROL!$C$21, $C$9, 100%, $E$9)</f>
        <v>10.4986</v>
      </c>
      <c r="J340" s="10">
        <f>CHOOSE(CONTROL!$C$42, 10.4586, 10.4586)* CHOOSE(CONTROL!$C$21, $C$9, 100%, $E$9)</f>
        <v>10.458600000000001</v>
      </c>
      <c r="K340" s="10">
        <f>CHOOSE(CONTROL!$C$42, 10.3283, 10.3283) * CHOOSE(CONTROL!$C$21, $C$9, 100%, $E$9)</f>
        <v>10.3283</v>
      </c>
      <c r="L340" s="10">
        <f>CHOOSE(CONTROL!$C$42, 11.3136, 11.3136) * CHOOSE(CONTROL!$C$21, $C$9, 100%, $E$9)</f>
        <v>11.313599999999999</v>
      </c>
      <c r="M340" s="10">
        <f>CHOOSE(CONTROL!$C$42, 10.3563, 10.3563) * CHOOSE(CONTROL!$C$21, $C$9, 100%, $E$9)</f>
        <v>10.356299999999999</v>
      </c>
      <c r="N340" s="10">
        <f>CHOOSE(CONTROL!$C$42, 10.3726, 10.3726) * CHOOSE(CONTROL!$C$21, $C$9, 100%, $E$9)</f>
        <v>10.3726</v>
      </c>
      <c r="O340" s="10">
        <f>CHOOSE(CONTROL!$C$42, 10.6208, 10.6208) * CHOOSE(CONTROL!$C$21, $C$9, 100%, $E$9)</f>
        <v>10.620799999999999</v>
      </c>
      <c r="P340" s="10">
        <f>CHOOSE(CONTROL!$C$42, 10.3957, 10.3957) * CHOOSE(CONTROL!$C$21, $C$9, 100%, $E$9)</f>
        <v>10.3957</v>
      </c>
      <c r="Q340" s="10">
        <f>CHOOSE(CONTROL!$C$42, 11.2161, 11.2161) * CHOOSE(CONTROL!$C$21, $C$9, 100%, $E$9)</f>
        <v>11.216100000000001</v>
      </c>
      <c r="R340" s="10">
        <f>CHOOSE(CONTROL!$C$42, 11.8311, 11.8311) * CHOOSE(CONTROL!$C$21, $C$9, 100%, $E$9)</f>
        <v>11.831099999999999</v>
      </c>
      <c r="S340" s="10">
        <f>CHOOSE(CONTROL!$C$42, 10.2049, 10.2049) * CHOOSE(CONTROL!$C$21, $C$9, 100%, $E$9)</f>
        <v>10.2049</v>
      </c>
      <c r="T3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38">
        <f>(1000*CHOOSE(CONTROL!$C$42, 695, 695)*CHOOSE(CONTROL!$C$42, 0.5599, 0.5599)*CHOOSE(CONTROL!$C$42, 30, 30))/1000000</f>
        <v>11.673914999999997</v>
      </c>
      <c r="V340" s="38">
        <f>(1000*CHOOSE(CONTROL!$C$42, 500, 500)*CHOOSE(CONTROL!$C$42, 0.275, 0.275)*CHOOSE(CONTROL!$C$42, 30, 30))/1000000</f>
        <v>4.125</v>
      </c>
      <c r="W340" s="38">
        <f>(1000*CHOOSE(CONTROL!$C$42, 0.1146, 0.1146)*CHOOSE(CONTROL!$C$42, 121.5, 121.5)*CHOOSE(CONTROL!$C$42, 30, 30))/1000000</f>
        <v>0.417717</v>
      </c>
      <c r="X340" s="38">
        <f>(30*0.1790888*245000/1000000)+(30*0.2374*100000/1000000)</f>
        <v>2.0285026799999999</v>
      </c>
      <c r="Y340" s="38">
        <f>(1000*600*CHOOSE(CONTROL!$C$42, 1.6268, 1.6268)*CHOOSE(CONTROL!$C$42, 30, 30))/1000000</f>
        <v>29.282399999999999</v>
      </c>
      <c r="Z340" s="38"/>
      <c r="AA340" s="10"/>
      <c r="AB340" s="39"/>
      <c r="AC340" s="33">
        <f>(B340*141.293+C340*267.993+D340*115.016+E340*89.698+F340*40+G340*185+H340*0+I340*100+J340*300)/(141.293+267.993+115.016+89.698+0+40+185+100+300)</f>
        <v>10.530817500726394</v>
      </c>
      <c r="AD340" s="27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10.439933812949638</v>
      </c>
    </row>
    <row r="341" spans="1:30" ht="15.75" x14ac:dyDescent="0.25">
      <c r="A341" s="14">
        <v>51652</v>
      </c>
      <c r="B341" s="10">
        <f>CHOOSE(CONTROL!$C$42, 10.6173, 10.6173) * CHOOSE(CONTROL!$C$21, $C$9, 100%, $E$9)</f>
        <v>10.6173</v>
      </c>
      <c r="C341" s="10">
        <f>CHOOSE(CONTROL!$C$42, 10.6253, 10.6253) * CHOOSE(CONTROL!$C$21, $C$9, 100%, $E$9)</f>
        <v>10.625299999999999</v>
      </c>
      <c r="D341" s="10">
        <f>CHOOSE(CONTROL!$C$42, 10.8004, 10.8004) * CHOOSE(CONTROL!$C$21, $C$9, 100%, $E$9)</f>
        <v>10.8004</v>
      </c>
      <c r="E341" s="10">
        <f>CHOOSE(CONTROL!$C$42, 10.8317, 10.8317) * CHOOSE(CONTROL!$C$21, $C$9, 100%, $E$9)</f>
        <v>10.8317</v>
      </c>
      <c r="F341" s="10">
        <f>CHOOSE(CONTROL!$C$42, 10.559, 10.559)*CHOOSE(CONTROL!$C$21, $C$9, 100%, $E$9)</f>
        <v>10.558999999999999</v>
      </c>
      <c r="G341" s="10">
        <f>CHOOSE(CONTROL!$C$42, 10.5759, 10.5759)*CHOOSE(CONTROL!$C$21, $C$9, 100%, $E$9)</f>
        <v>10.575900000000001</v>
      </c>
      <c r="H341" s="10">
        <f>CHOOSE(CONTROL!$C$42, 10.82, 10.82) * CHOOSE(CONTROL!$C$21, $C$9, 100%, $E$9)</f>
        <v>10.82</v>
      </c>
      <c r="I341" s="10">
        <f>CHOOSE(CONTROL!$C$42, 10.592, 10.592)* CHOOSE(CONTROL!$C$21, $C$9, 100%, $E$9)</f>
        <v>10.592000000000001</v>
      </c>
      <c r="J341" s="10">
        <f>CHOOSE(CONTROL!$C$42, 10.5516, 10.5516)* CHOOSE(CONTROL!$C$21, $C$9, 100%, $E$9)</f>
        <v>10.551600000000001</v>
      </c>
      <c r="K341" s="10">
        <f>CHOOSE(CONTROL!$C$42, 10.4179, 10.4179) * CHOOSE(CONTROL!$C$21, $C$9, 100%, $E$9)</f>
        <v>10.417899999999999</v>
      </c>
      <c r="L341" s="10">
        <f>CHOOSE(CONTROL!$C$42, 11.407, 11.407) * CHOOSE(CONTROL!$C$21, $C$9, 100%, $E$9)</f>
        <v>11.407</v>
      </c>
      <c r="M341" s="10">
        <f>CHOOSE(CONTROL!$C$42, 10.4481, 10.4481) * CHOOSE(CONTROL!$C$21, $C$9, 100%, $E$9)</f>
        <v>10.4481</v>
      </c>
      <c r="N341" s="10">
        <f>CHOOSE(CONTROL!$C$42, 10.4647, 10.4647) * CHOOSE(CONTROL!$C$21, $C$9, 100%, $E$9)</f>
        <v>10.464700000000001</v>
      </c>
      <c r="O341" s="10">
        <f>CHOOSE(CONTROL!$C$42, 10.713, 10.713) * CHOOSE(CONTROL!$C$21, $C$9, 100%, $E$9)</f>
        <v>10.712999999999999</v>
      </c>
      <c r="P341" s="10">
        <f>CHOOSE(CONTROL!$C$42, 10.4879, 10.4879) * CHOOSE(CONTROL!$C$21, $C$9, 100%, $E$9)</f>
        <v>10.4879</v>
      </c>
      <c r="Q341" s="10">
        <f>CHOOSE(CONTROL!$C$42, 11.3083, 11.3083) * CHOOSE(CONTROL!$C$21, $C$9, 100%, $E$9)</f>
        <v>11.308299999999999</v>
      </c>
      <c r="R341" s="10">
        <f>CHOOSE(CONTROL!$C$42, 11.9235, 11.9235) * CHOOSE(CONTROL!$C$21, $C$9, 100%, $E$9)</f>
        <v>11.923500000000001</v>
      </c>
      <c r="S341" s="10">
        <f>CHOOSE(CONTROL!$C$42, 10.2953, 10.2953) * CHOOSE(CONTROL!$C$21, $C$9, 100%, $E$9)</f>
        <v>10.295299999999999</v>
      </c>
      <c r="T3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38">
        <f>(1000*CHOOSE(CONTROL!$C$42, 695, 695)*CHOOSE(CONTROL!$C$42, 0.5599, 0.5599)*CHOOSE(CONTROL!$C$42, 31, 31))/1000000</f>
        <v>12.063045499999998</v>
      </c>
      <c r="V341" s="38">
        <f>(1000*CHOOSE(CONTROL!$C$42, 500, 500)*CHOOSE(CONTROL!$C$42, 0.275, 0.275)*CHOOSE(CONTROL!$C$42, 31, 31))/1000000</f>
        <v>4.2625000000000002</v>
      </c>
      <c r="W341" s="38">
        <f>(1000*CHOOSE(CONTROL!$C$42, 0.1146, 0.1146)*CHOOSE(CONTROL!$C$42, 121.5, 121.5)*CHOOSE(CONTROL!$C$42, 31, 31))/1000000</f>
        <v>0.43164089999999994</v>
      </c>
      <c r="X341" s="38">
        <f>(31*0.1790888*245000/1000000)+(31*0.2374*100000/1000000)</f>
        <v>2.0961194359999999</v>
      </c>
      <c r="Y341" s="38">
        <f>(1000*600*CHOOSE(CONTROL!$C$42, 1.6268, 1.6268)*CHOOSE(CONTROL!$C$42, 31, 31))/1000000</f>
        <v>30.258479999999999</v>
      </c>
      <c r="Z341" s="38"/>
      <c r="AA341" s="10"/>
      <c r="AB341" s="39"/>
      <c r="AC341" s="33">
        <f>(B341*194.205+C341*267.466+D341*133.845+E341*53.484+F341*40+G341*185+H341*0+I341*100+J341*300)/(194.205+267.466+133.845+53.484+0+40+185+100+300)</f>
        <v>10.621917517346938</v>
      </c>
      <c r="AD341" s="27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10.531972661870503</v>
      </c>
    </row>
    <row r="342" spans="1:30" ht="15.75" x14ac:dyDescent="0.25">
      <c r="A342" s="14">
        <v>51682</v>
      </c>
      <c r="B342" s="10">
        <f>CHOOSE(CONTROL!$C$42, 10.9189, 10.9189) * CHOOSE(CONTROL!$C$21, $C$9, 100%, $E$9)</f>
        <v>10.918900000000001</v>
      </c>
      <c r="C342" s="10">
        <f>CHOOSE(CONTROL!$C$42, 10.9269, 10.9269) * CHOOSE(CONTROL!$C$21, $C$9, 100%, $E$9)</f>
        <v>10.9269</v>
      </c>
      <c r="D342" s="10">
        <f>CHOOSE(CONTROL!$C$42, 11.102, 11.102) * CHOOSE(CONTROL!$C$21, $C$9, 100%, $E$9)</f>
        <v>11.102</v>
      </c>
      <c r="E342" s="10">
        <f>CHOOSE(CONTROL!$C$42, 11.1332, 11.1332) * CHOOSE(CONTROL!$C$21, $C$9, 100%, $E$9)</f>
        <v>11.1332</v>
      </c>
      <c r="F342" s="10">
        <f>CHOOSE(CONTROL!$C$42, 10.8608, 10.8608)*CHOOSE(CONTROL!$C$21, $C$9, 100%, $E$9)</f>
        <v>10.860799999999999</v>
      </c>
      <c r="G342" s="10">
        <f>CHOOSE(CONTROL!$C$42, 10.8777, 10.8777)*CHOOSE(CONTROL!$C$21, $C$9, 100%, $E$9)</f>
        <v>10.877700000000001</v>
      </c>
      <c r="H342" s="10">
        <f>CHOOSE(CONTROL!$C$42, 11.1215, 11.1215) * CHOOSE(CONTROL!$C$21, $C$9, 100%, $E$9)</f>
        <v>11.121499999999999</v>
      </c>
      <c r="I342" s="10">
        <f>CHOOSE(CONTROL!$C$42, 10.8935, 10.8935)* CHOOSE(CONTROL!$C$21, $C$9, 100%, $E$9)</f>
        <v>10.8935</v>
      </c>
      <c r="J342" s="10">
        <f>CHOOSE(CONTROL!$C$42, 10.8534, 10.8534)* CHOOSE(CONTROL!$C$21, $C$9, 100%, $E$9)</f>
        <v>10.853400000000001</v>
      </c>
      <c r="K342" s="10">
        <f>CHOOSE(CONTROL!$C$42, 10.7105, 10.7105) * CHOOSE(CONTROL!$C$21, $C$9, 100%, $E$9)</f>
        <v>10.7105</v>
      </c>
      <c r="L342" s="10">
        <f>CHOOSE(CONTROL!$C$42, 11.7085, 11.7085) * CHOOSE(CONTROL!$C$21, $C$9, 100%, $E$9)</f>
        <v>11.708500000000001</v>
      </c>
      <c r="M342" s="10">
        <f>CHOOSE(CONTROL!$C$42, 10.7459, 10.7459) * CHOOSE(CONTROL!$C$21, $C$9, 100%, $E$9)</f>
        <v>10.745900000000001</v>
      </c>
      <c r="N342" s="10">
        <f>CHOOSE(CONTROL!$C$42, 10.7626, 10.7626) * CHOOSE(CONTROL!$C$21, $C$9, 100%, $E$9)</f>
        <v>10.762600000000001</v>
      </c>
      <c r="O342" s="10">
        <f>CHOOSE(CONTROL!$C$42, 11.0106, 11.0106) * CHOOSE(CONTROL!$C$21, $C$9, 100%, $E$9)</f>
        <v>11.0106</v>
      </c>
      <c r="P342" s="10">
        <f>CHOOSE(CONTROL!$C$42, 10.7856, 10.7856) * CHOOSE(CONTROL!$C$21, $C$9, 100%, $E$9)</f>
        <v>10.785600000000001</v>
      </c>
      <c r="Q342" s="10">
        <f>CHOOSE(CONTROL!$C$42, 11.6059, 11.6059) * CHOOSE(CONTROL!$C$21, $C$9, 100%, $E$9)</f>
        <v>11.6059</v>
      </c>
      <c r="R342" s="10">
        <f>CHOOSE(CONTROL!$C$42, 12.2219, 12.2219) * CHOOSE(CONTROL!$C$21, $C$9, 100%, $E$9)</f>
        <v>12.2219</v>
      </c>
      <c r="S342" s="10">
        <f>CHOOSE(CONTROL!$C$42, 10.5873, 10.5873) * CHOOSE(CONTROL!$C$21, $C$9, 100%, $E$9)</f>
        <v>10.587300000000001</v>
      </c>
      <c r="T3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38">
        <f>(1000*CHOOSE(CONTROL!$C$42, 695, 695)*CHOOSE(CONTROL!$C$42, 0.5599, 0.5599)*CHOOSE(CONTROL!$C$42, 30, 30))/1000000</f>
        <v>11.673914999999997</v>
      </c>
      <c r="V342" s="38">
        <f>(1000*CHOOSE(CONTROL!$C$42, 500, 500)*CHOOSE(CONTROL!$C$42, 0.275, 0.275)*CHOOSE(CONTROL!$C$42, 30, 30))/1000000</f>
        <v>4.125</v>
      </c>
      <c r="W342" s="38">
        <f>(1000*CHOOSE(CONTROL!$C$42, 0.1146, 0.1146)*CHOOSE(CONTROL!$C$42, 121.5, 121.5)*CHOOSE(CONTROL!$C$42, 30, 30))/1000000</f>
        <v>0.417717</v>
      </c>
      <c r="X342" s="38">
        <f>(30*0.1790888*245000/1000000)+(30*0.2374*100000/1000000)</f>
        <v>2.0285026799999999</v>
      </c>
      <c r="Y342" s="38">
        <f>(1000*600*CHOOSE(CONTROL!$C$42, 1.6268, 1.6268)*CHOOSE(CONTROL!$C$42, 30, 30))/1000000</f>
        <v>29.282399999999999</v>
      </c>
      <c r="Z342" s="38"/>
      <c r="AA342" s="10"/>
      <c r="AB342" s="39"/>
      <c r="AC342" s="33">
        <f>(B342*194.205+C342*267.466+D342*133.845+E342*53.484+F342*40+G342*185+H342*0+I342*100+J342*300)/(194.205+267.466+133.845+53.484+0+40+185+100+300)</f>
        <v>10.923587887519625</v>
      </c>
      <c r="AD342" s="27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10.829725179856114</v>
      </c>
    </row>
    <row r="343" spans="1:30" ht="15.75" x14ac:dyDescent="0.25">
      <c r="A343" s="14">
        <v>51713</v>
      </c>
      <c r="B343" s="10">
        <f>CHOOSE(CONTROL!$C$42, 10.7091, 10.7091) * CHOOSE(CONTROL!$C$21, $C$9, 100%, $E$9)</f>
        <v>10.709099999999999</v>
      </c>
      <c r="C343" s="10">
        <f>CHOOSE(CONTROL!$C$42, 10.7171, 10.7171) * CHOOSE(CONTROL!$C$21, $C$9, 100%, $E$9)</f>
        <v>10.7171</v>
      </c>
      <c r="D343" s="10">
        <f>CHOOSE(CONTROL!$C$42, 10.8923, 10.8923) * CHOOSE(CONTROL!$C$21, $C$9, 100%, $E$9)</f>
        <v>10.892300000000001</v>
      </c>
      <c r="E343" s="10">
        <f>CHOOSE(CONTROL!$C$42, 10.9235, 10.9235) * CHOOSE(CONTROL!$C$21, $C$9, 100%, $E$9)</f>
        <v>10.923500000000001</v>
      </c>
      <c r="F343" s="10">
        <f>CHOOSE(CONTROL!$C$42, 10.6514, 10.6514)*CHOOSE(CONTROL!$C$21, $C$9, 100%, $E$9)</f>
        <v>10.651400000000001</v>
      </c>
      <c r="G343" s="10">
        <f>CHOOSE(CONTROL!$C$42, 10.6684, 10.6684)*CHOOSE(CONTROL!$C$21, $C$9, 100%, $E$9)</f>
        <v>10.6684</v>
      </c>
      <c r="H343" s="10">
        <f>CHOOSE(CONTROL!$C$42, 10.9118, 10.9118) * CHOOSE(CONTROL!$C$21, $C$9, 100%, $E$9)</f>
        <v>10.911799999999999</v>
      </c>
      <c r="I343" s="10">
        <f>CHOOSE(CONTROL!$C$42, 10.6838, 10.6838)* CHOOSE(CONTROL!$C$21, $C$9, 100%, $E$9)</f>
        <v>10.6838</v>
      </c>
      <c r="J343" s="10">
        <f>CHOOSE(CONTROL!$C$42, 10.644, 10.644)* CHOOSE(CONTROL!$C$21, $C$9, 100%, $E$9)</f>
        <v>10.644</v>
      </c>
      <c r="K343" s="10">
        <f>CHOOSE(CONTROL!$C$42, 10.508, 10.508) * CHOOSE(CONTROL!$C$21, $C$9, 100%, $E$9)</f>
        <v>10.507999999999999</v>
      </c>
      <c r="L343" s="10">
        <f>CHOOSE(CONTROL!$C$42, 11.4988, 11.4988) * CHOOSE(CONTROL!$C$21, $C$9, 100%, $E$9)</f>
        <v>11.498799999999999</v>
      </c>
      <c r="M343" s="10">
        <f>CHOOSE(CONTROL!$C$42, 10.5392, 10.5392) * CHOOSE(CONTROL!$C$21, $C$9, 100%, $E$9)</f>
        <v>10.539199999999999</v>
      </c>
      <c r="N343" s="10">
        <f>CHOOSE(CONTROL!$C$42, 10.556, 10.556) * CHOOSE(CONTROL!$C$21, $C$9, 100%, $E$9)</f>
        <v>10.555999999999999</v>
      </c>
      <c r="O343" s="10">
        <f>CHOOSE(CONTROL!$C$42, 10.8036, 10.8036) * CHOOSE(CONTROL!$C$21, $C$9, 100%, $E$9)</f>
        <v>10.803599999999999</v>
      </c>
      <c r="P343" s="10">
        <f>CHOOSE(CONTROL!$C$42, 10.5786, 10.5786) * CHOOSE(CONTROL!$C$21, $C$9, 100%, $E$9)</f>
        <v>10.5786</v>
      </c>
      <c r="Q343" s="10">
        <f>CHOOSE(CONTROL!$C$42, 11.3989, 11.3989) * CHOOSE(CONTROL!$C$21, $C$9, 100%, $E$9)</f>
        <v>11.398899999999999</v>
      </c>
      <c r="R343" s="10">
        <f>CHOOSE(CONTROL!$C$42, 12.0144, 12.0144) * CHOOSE(CONTROL!$C$21, $C$9, 100%, $E$9)</f>
        <v>12.0144</v>
      </c>
      <c r="S343" s="10">
        <f>CHOOSE(CONTROL!$C$42, 10.3843, 10.3843) * CHOOSE(CONTROL!$C$21, $C$9, 100%, $E$9)</f>
        <v>10.3843</v>
      </c>
      <c r="T3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38">
        <f>(1000*CHOOSE(CONTROL!$C$42, 695, 695)*CHOOSE(CONTROL!$C$42, 0.5599, 0.5599)*CHOOSE(CONTROL!$C$42, 31, 31))/1000000</f>
        <v>12.063045499999998</v>
      </c>
      <c r="V343" s="38">
        <f>(1000*CHOOSE(CONTROL!$C$42, 500, 500)*CHOOSE(CONTROL!$C$42, 0.275, 0.275)*CHOOSE(CONTROL!$C$42, 31, 31))/1000000</f>
        <v>4.2625000000000002</v>
      </c>
      <c r="W343" s="38">
        <f>(1000*CHOOSE(CONTROL!$C$42, 0.1146, 0.1146)*CHOOSE(CONTROL!$C$42, 121.5, 121.5)*CHOOSE(CONTROL!$C$42, 31, 31))/1000000</f>
        <v>0.43164089999999994</v>
      </c>
      <c r="X343" s="38">
        <f>(31*0.1790888*245000/1000000)+(31*0.2374*100000/1000000)</f>
        <v>2.0961194359999999</v>
      </c>
      <c r="Y343" s="38">
        <f>(1000*600*CHOOSE(CONTROL!$C$42, 1.6268, 1.6268)*CHOOSE(CONTROL!$C$42, 31, 31))/1000000</f>
        <v>30.258479999999999</v>
      </c>
      <c r="Z343" s="38"/>
      <c r="AA343" s="10"/>
      <c r="AB343" s="39"/>
      <c r="AC343" s="33">
        <f>(B343*194.205+C343*267.466+D343*133.845+E343*53.484+F343*40+G343*185+H343*0+I343*100+J343*300)/(194.205+267.466+133.845+53.484+0+40+185+100+300)</f>
        <v>10.713989797174255</v>
      </c>
      <c r="AD343" s="27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10.622920863309352</v>
      </c>
    </row>
    <row r="344" spans="1:30" ht="15.75" x14ac:dyDescent="0.25">
      <c r="A344" s="14">
        <v>51744</v>
      </c>
      <c r="B344" s="10">
        <f>CHOOSE(CONTROL!$C$42, 10.1795, 10.1795) * CHOOSE(CONTROL!$C$21, $C$9, 100%, $E$9)</f>
        <v>10.179500000000001</v>
      </c>
      <c r="C344" s="10">
        <f>CHOOSE(CONTROL!$C$42, 10.1875, 10.1875) * CHOOSE(CONTROL!$C$21, $C$9, 100%, $E$9)</f>
        <v>10.1875</v>
      </c>
      <c r="D344" s="10">
        <f>CHOOSE(CONTROL!$C$42, 10.3626, 10.3626) * CHOOSE(CONTROL!$C$21, $C$9, 100%, $E$9)</f>
        <v>10.3626</v>
      </c>
      <c r="E344" s="10">
        <f>CHOOSE(CONTROL!$C$42, 10.3938, 10.3938) * CHOOSE(CONTROL!$C$21, $C$9, 100%, $E$9)</f>
        <v>10.393800000000001</v>
      </c>
      <c r="F344" s="10">
        <f>CHOOSE(CONTROL!$C$42, 10.1216, 10.1216)*CHOOSE(CONTROL!$C$21, $C$9, 100%, $E$9)</f>
        <v>10.121600000000001</v>
      </c>
      <c r="G344" s="10">
        <f>CHOOSE(CONTROL!$C$42, 10.1386, 10.1386)*CHOOSE(CONTROL!$C$21, $C$9, 100%, $E$9)</f>
        <v>10.1386</v>
      </c>
      <c r="H344" s="10">
        <f>CHOOSE(CONTROL!$C$42, 10.3821, 10.3821) * CHOOSE(CONTROL!$C$21, $C$9, 100%, $E$9)</f>
        <v>10.382099999999999</v>
      </c>
      <c r="I344" s="10">
        <f>CHOOSE(CONTROL!$C$42, 10.1541, 10.1541)* CHOOSE(CONTROL!$C$21, $C$9, 100%, $E$9)</f>
        <v>10.1541</v>
      </c>
      <c r="J344" s="10">
        <f>CHOOSE(CONTROL!$C$42, 10.1142, 10.1142)* CHOOSE(CONTROL!$C$21, $C$9, 100%, $E$9)</f>
        <v>10.1142</v>
      </c>
      <c r="K344" s="10">
        <f>CHOOSE(CONTROL!$C$42, 9.9947, 9.9947) * CHOOSE(CONTROL!$C$21, $C$9, 100%, $E$9)</f>
        <v>9.9946999999999999</v>
      </c>
      <c r="L344" s="10">
        <f>CHOOSE(CONTROL!$C$42, 10.9691, 10.9691) * CHOOSE(CONTROL!$C$21, $C$9, 100%, $E$9)</f>
        <v>10.969099999999999</v>
      </c>
      <c r="M344" s="10">
        <f>CHOOSE(CONTROL!$C$42, 10.0163, 10.0163) * CHOOSE(CONTROL!$C$21, $C$9, 100%, $E$9)</f>
        <v>10.016299999999999</v>
      </c>
      <c r="N344" s="10">
        <f>CHOOSE(CONTROL!$C$42, 10.0331, 10.0331) * CHOOSE(CONTROL!$C$21, $C$9, 100%, $E$9)</f>
        <v>10.033099999999999</v>
      </c>
      <c r="O344" s="10">
        <f>CHOOSE(CONTROL!$C$42, 10.2808, 10.2808) * CHOOSE(CONTROL!$C$21, $C$9, 100%, $E$9)</f>
        <v>10.280799999999999</v>
      </c>
      <c r="P344" s="10">
        <f>CHOOSE(CONTROL!$C$42, 10.0558, 10.0558) * CHOOSE(CONTROL!$C$21, $C$9, 100%, $E$9)</f>
        <v>10.0558</v>
      </c>
      <c r="Q344" s="10">
        <f>CHOOSE(CONTROL!$C$42, 10.8761, 10.8761) * CHOOSE(CONTROL!$C$21, $C$9, 100%, $E$9)</f>
        <v>10.876099999999999</v>
      </c>
      <c r="R344" s="10">
        <f>CHOOSE(CONTROL!$C$42, 11.4903, 11.4903) * CHOOSE(CONTROL!$C$21, $C$9, 100%, $E$9)</f>
        <v>11.4903</v>
      </c>
      <c r="S344" s="10">
        <f>CHOOSE(CONTROL!$C$42, 9.8714, 9.8714) * CHOOSE(CONTROL!$C$21, $C$9, 100%, $E$9)</f>
        <v>9.8713999999999995</v>
      </c>
      <c r="T3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38">
        <f>(1000*CHOOSE(CONTROL!$C$42, 695, 695)*CHOOSE(CONTROL!$C$42, 0.5599, 0.5599)*CHOOSE(CONTROL!$C$42, 31, 31))/1000000</f>
        <v>12.063045499999998</v>
      </c>
      <c r="V344" s="38">
        <f>(1000*CHOOSE(CONTROL!$C$42, 500, 500)*CHOOSE(CONTROL!$C$42, 0.275, 0.275)*CHOOSE(CONTROL!$C$42, 31, 31))/1000000</f>
        <v>4.2625000000000002</v>
      </c>
      <c r="W344" s="38">
        <f>(1000*CHOOSE(CONTROL!$C$42, 0.1146, 0.1146)*CHOOSE(CONTROL!$C$42, 121.5, 121.5)*CHOOSE(CONTROL!$C$42, 31, 31))/1000000</f>
        <v>0.43164089999999994</v>
      </c>
      <c r="X344" s="38">
        <f>(31*0.1790888*245000/1000000)+(31*0.2374*100000/1000000)</f>
        <v>2.0961194359999999</v>
      </c>
      <c r="Y344" s="38">
        <f>(1000*600*CHOOSE(CONTROL!$C$42, 1.6268, 1.6268)*CHOOSE(CONTROL!$C$42, 31, 31))/1000000</f>
        <v>30.258479999999999</v>
      </c>
      <c r="Z344" s="38"/>
      <c r="AA344" s="10"/>
      <c r="AB344" s="39"/>
      <c r="AC344" s="33">
        <f>(B344*194.205+C344*267.466+D344*133.845+E344*53.484+F344*40+G344*185+H344*0+I344*100+J344*300)/(194.205+267.466+133.845+53.484+0+40+185+100+300)</f>
        <v>10.184284826295134</v>
      </c>
      <c r="AD344" s="27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10.100063309352517</v>
      </c>
    </row>
    <row r="345" spans="1:30" ht="15.75" x14ac:dyDescent="0.25">
      <c r="A345" s="14">
        <v>51774</v>
      </c>
      <c r="B345" s="10">
        <f>CHOOSE(CONTROL!$C$42, 9.5323, 9.5323) * CHOOSE(CONTROL!$C$21, $C$9, 100%, $E$9)</f>
        <v>9.5322999999999993</v>
      </c>
      <c r="C345" s="10">
        <f>CHOOSE(CONTROL!$C$42, 9.5403, 9.5403) * CHOOSE(CONTROL!$C$21, $C$9, 100%, $E$9)</f>
        <v>9.5403000000000002</v>
      </c>
      <c r="D345" s="10">
        <f>CHOOSE(CONTROL!$C$42, 9.7154, 9.7154) * CHOOSE(CONTROL!$C$21, $C$9, 100%, $E$9)</f>
        <v>9.7154000000000007</v>
      </c>
      <c r="E345" s="10">
        <f>CHOOSE(CONTROL!$C$42, 9.7467, 9.7467) * CHOOSE(CONTROL!$C$21, $C$9, 100%, $E$9)</f>
        <v>9.7467000000000006</v>
      </c>
      <c r="F345" s="10">
        <f>CHOOSE(CONTROL!$C$42, 9.4741, 9.4741)*CHOOSE(CONTROL!$C$21, $C$9, 100%, $E$9)</f>
        <v>9.4741</v>
      </c>
      <c r="G345" s="10">
        <f>CHOOSE(CONTROL!$C$42, 9.491, 9.491)*CHOOSE(CONTROL!$C$21, $C$9, 100%, $E$9)</f>
        <v>9.4909999999999997</v>
      </c>
      <c r="H345" s="10">
        <f>CHOOSE(CONTROL!$C$42, 9.735, 9.735) * CHOOSE(CONTROL!$C$21, $C$9, 100%, $E$9)</f>
        <v>9.7349999999999994</v>
      </c>
      <c r="I345" s="10">
        <f>CHOOSE(CONTROL!$C$42, 9.507, 9.507)* CHOOSE(CONTROL!$C$21, $C$9, 100%, $E$9)</f>
        <v>9.5069999999999997</v>
      </c>
      <c r="J345" s="10">
        <f>CHOOSE(CONTROL!$C$42, 9.4667, 9.4667)* CHOOSE(CONTROL!$C$21, $C$9, 100%, $E$9)</f>
        <v>9.4666999999999994</v>
      </c>
      <c r="K345" s="10">
        <f>CHOOSE(CONTROL!$C$42, 9.367, 9.367) * CHOOSE(CONTROL!$C$21, $C$9, 100%, $E$9)</f>
        <v>9.3670000000000009</v>
      </c>
      <c r="L345" s="10">
        <f>CHOOSE(CONTROL!$C$42, 10.322, 10.322) * CHOOSE(CONTROL!$C$21, $C$9, 100%, $E$9)</f>
        <v>10.321999999999999</v>
      </c>
      <c r="M345" s="10">
        <f>CHOOSE(CONTROL!$C$42, 9.3772, 9.3772) * CHOOSE(CONTROL!$C$21, $C$9, 100%, $E$9)</f>
        <v>9.3772000000000002</v>
      </c>
      <c r="N345" s="10">
        <f>CHOOSE(CONTROL!$C$42, 9.3939, 9.3939) * CHOOSE(CONTROL!$C$21, $C$9, 100%, $E$9)</f>
        <v>9.3939000000000004</v>
      </c>
      <c r="O345" s="10">
        <f>CHOOSE(CONTROL!$C$42, 9.642, 9.642) * CHOOSE(CONTROL!$C$21, $C$9, 100%, $E$9)</f>
        <v>9.6419999999999995</v>
      </c>
      <c r="P345" s="10">
        <f>CHOOSE(CONTROL!$C$42, 9.417, 9.417) * CHOOSE(CONTROL!$C$21, $C$9, 100%, $E$9)</f>
        <v>9.4169999999999998</v>
      </c>
      <c r="Q345" s="10">
        <f>CHOOSE(CONTROL!$C$42, 10.2373, 10.2373) * CHOOSE(CONTROL!$C$21, $C$9, 100%, $E$9)</f>
        <v>10.237299999999999</v>
      </c>
      <c r="R345" s="10">
        <f>CHOOSE(CONTROL!$C$42, 10.8499, 10.8499) * CHOOSE(CONTROL!$C$21, $C$9, 100%, $E$9)</f>
        <v>10.8499</v>
      </c>
      <c r="S345" s="10">
        <f>CHOOSE(CONTROL!$C$42, 9.2447, 9.2447) * CHOOSE(CONTROL!$C$21, $C$9, 100%, $E$9)</f>
        <v>9.2446999999999999</v>
      </c>
      <c r="T3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38">
        <f>(1000*CHOOSE(CONTROL!$C$42, 695, 695)*CHOOSE(CONTROL!$C$42, 0.5599, 0.5599)*CHOOSE(CONTROL!$C$42, 30, 30))/1000000</f>
        <v>11.673914999999997</v>
      </c>
      <c r="V345" s="38">
        <f>(1000*CHOOSE(CONTROL!$C$42, 500, 500)*CHOOSE(CONTROL!$C$42, 0.275, 0.275)*CHOOSE(CONTROL!$C$42, 30, 30))/1000000</f>
        <v>4.125</v>
      </c>
      <c r="W345" s="38">
        <f>(1000*CHOOSE(CONTROL!$C$42, 0.1146, 0.1146)*CHOOSE(CONTROL!$C$42, 121.5, 121.5)*CHOOSE(CONTROL!$C$42, 30, 30))/1000000</f>
        <v>0.417717</v>
      </c>
      <c r="X345" s="38">
        <f>(30*0.1790888*245000/1000000)+(30*0.2374*100000/1000000)</f>
        <v>2.0285026799999999</v>
      </c>
      <c r="Y345" s="38">
        <f>(1000*600*CHOOSE(CONTROL!$C$42, 1.6268, 1.6268)*CHOOSE(CONTROL!$C$42, 30, 30))/1000000</f>
        <v>29.282399999999999</v>
      </c>
      <c r="Z345" s="38"/>
      <c r="AA345" s="10"/>
      <c r="AB345" s="39"/>
      <c r="AC345" s="33">
        <f>(B345*194.205+C345*267.466+D345*133.845+E345*53.484+F345*40+G345*185+H345*0+I345*100+J345*300)/(194.205+267.466+133.845+53.484+0+40+185+100+300)</f>
        <v>9.536958726138149</v>
      </c>
      <c r="AD345" s="27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9.4610676258992807</v>
      </c>
    </row>
    <row r="346" spans="1:30" ht="15.75" x14ac:dyDescent="0.25">
      <c r="A346" s="14">
        <v>51805</v>
      </c>
      <c r="B346" s="10">
        <f>CHOOSE(CONTROL!$C$42, 9.3364, 9.3364) * CHOOSE(CONTROL!$C$21, $C$9, 100%, $E$9)</f>
        <v>9.3363999999999994</v>
      </c>
      <c r="C346" s="10">
        <f>CHOOSE(CONTROL!$C$42, 9.3417, 9.3417) * CHOOSE(CONTROL!$C$21, $C$9, 100%, $E$9)</f>
        <v>9.3416999999999994</v>
      </c>
      <c r="D346" s="10">
        <f>CHOOSE(CONTROL!$C$42, 9.5217, 9.5217) * CHOOSE(CONTROL!$C$21, $C$9, 100%, $E$9)</f>
        <v>9.5216999999999992</v>
      </c>
      <c r="E346" s="10">
        <f>CHOOSE(CONTROL!$C$42, 9.5506, 9.5506) * CHOOSE(CONTROL!$C$21, $C$9, 100%, $E$9)</f>
        <v>9.5505999999999993</v>
      </c>
      <c r="F346" s="10">
        <f>CHOOSE(CONTROL!$C$42, 9.2802, 9.2802)*CHOOSE(CONTROL!$C$21, $C$9, 100%, $E$9)</f>
        <v>9.2802000000000007</v>
      </c>
      <c r="G346" s="10">
        <f>CHOOSE(CONTROL!$C$42, 9.2968, 9.2968)*CHOOSE(CONTROL!$C$21, $C$9, 100%, $E$9)</f>
        <v>9.2967999999999993</v>
      </c>
      <c r="H346" s="10">
        <f>CHOOSE(CONTROL!$C$42, 9.5408, 9.5408) * CHOOSE(CONTROL!$C$21, $C$9, 100%, $E$9)</f>
        <v>9.5408000000000008</v>
      </c>
      <c r="I346" s="10">
        <f>CHOOSE(CONTROL!$C$42, 9.3127, 9.3127)* CHOOSE(CONTROL!$C$21, $C$9, 100%, $E$9)</f>
        <v>9.3126999999999995</v>
      </c>
      <c r="J346" s="10">
        <f>CHOOSE(CONTROL!$C$42, 9.2728, 9.2728)* CHOOSE(CONTROL!$C$21, $C$9, 100%, $E$9)</f>
        <v>9.2728000000000002</v>
      </c>
      <c r="K346" s="10">
        <f>CHOOSE(CONTROL!$C$42, 9.1795, 9.1795) * CHOOSE(CONTROL!$C$21, $C$9, 100%, $E$9)</f>
        <v>9.1795000000000009</v>
      </c>
      <c r="L346" s="10">
        <f>CHOOSE(CONTROL!$C$42, 10.1278, 10.1278) * CHOOSE(CONTROL!$C$21, $C$9, 100%, $E$9)</f>
        <v>10.127800000000001</v>
      </c>
      <c r="M346" s="10">
        <f>CHOOSE(CONTROL!$C$42, 9.1858, 9.1858) * CHOOSE(CONTROL!$C$21, $C$9, 100%, $E$9)</f>
        <v>9.1858000000000004</v>
      </c>
      <c r="N346" s="10">
        <f>CHOOSE(CONTROL!$C$42, 9.2021, 9.2021) * CHOOSE(CONTROL!$C$21, $C$9, 100%, $E$9)</f>
        <v>9.2020999999999997</v>
      </c>
      <c r="O346" s="10">
        <f>CHOOSE(CONTROL!$C$42, 9.4503, 9.4503) * CHOOSE(CONTROL!$C$21, $C$9, 100%, $E$9)</f>
        <v>9.4503000000000004</v>
      </c>
      <c r="P346" s="10">
        <f>CHOOSE(CONTROL!$C$42, 9.2253, 9.2253) * CHOOSE(CONTROL!$C$21, $C$9, 100%, $E$9)</f>
        <v>9.2253000000000007</v>
      </c>
      <c r="Q346" s="10">
        <f>CHOOSE(CONTROL!$C$42, 10.0456, 10.0456) * CHOOSE(CONTROL!$C$21, $C$9, 100%, $E$9)</f>
        <v>10.0456</v>
      </c>
      <c r="R346" s="10">
        <f>CHOOSE(CONTROL!$C$42, 10.6577, 10.6577) * CHOOSE(CONTROL!$C$21, $C$9, 100%, $E$9)</f>
        <v>10.6577</v>
      </c>
      <c r="S346" s="10">
        <f>CHOOSE(CONTROL!$C$42, 9.0567, 9.0567) * CHOOSE(CONTROL!$C$21, $C$9, 100%, $E$9)</f>
        <v>9.0566999999999993</v>
      </c>
      <c r="T3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38">
        <f>(1000*CHOOSE(CONTROL!$C$42, 695, 695)*CHOOSE(CONTROL!$C$42, 0.5599, 0.5599)*CHOOSE(CONTROL!$C$42, 31, 31))/1000000</f>
        <v>12.063045499999998</v>
      </c>
      <c r="V346" s="38">
        <f>(1000*CHOOSE(CONTROL!$C$42, 500, 500)*CHOOSE(CONTROL!$C$42, 0.275, 0.275)*CHOOSE(CONTROL!$C$42, 31, 31))/1000000</f>
        <v>4.2625000000000002</v>
      </c>
      <c r="W346" s="38">
        <f>(1000*CHOOSE(CONTROL!$C$42, 0.1146, 0.1146)*CHOOSE(CONTROL!$C$42, 121.5, 121.5)*CHOOSE(CONTROL!$C$42, 31, 31))/1000000</f>
        <v>0.43164089999999994</v>
      </c>
      <c r="X346" s="38">
        <f>(31*0.1790888*245000/1000000)+(31*0.2374*100000/1000000)</f>
        <v>2.0961194359999999</v>
      </c>
      <c r="Y346" s="38">
        <f>(1000*600*CHOOSE(CONTROL!$C$42, 1.6268, 1.6268)*CHOOSE(CONTROL!$C$42, 31, 31))/1000000</f>
        <v>30.258479999999999</v>
      </c>
      <c r="Z346" s="38"/>
      <c r="AA346" s="10"/>
      <c r="AB346" s="39"/>
      <c r="AC346" s="33">
        <f>(B346*131.881+C346*277.167+D346*79.08+E346*125.872+F346*40+G346*185+H346*0+I346*100+J346*300)/(131.881+277.167+79.08+125.872+0+40+185+100+300)</f>
        <v>9.3461338914447118</v>
      </c>
      <c r="AD346" s="27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9.2694482014388484</v>
      </c>
    </row>
    <row r="347" spans="1:30" ht="15.75" x14ac:dyDescent="0.25">
      <c r="A347" s="14">
        <v>51835</v>
      </c>
      <c r="B347" s="10">
        <f>CHOOSE(CONTROL!$C$42, 9.5824, 9.5824) * CHOOSE(CONTROL!$C$21, $C$9, 100%, $E$9)</f>
        <v>9.5823999999999998</v>
      </c>
      <c r="C347" s="10">
        <f>CHOOSE(CONTROL!$C$42, 9.5875, 9.5875) * CHOOSE(CONTROL!$C$21, $C$9, 100%, $E$9)</f>
        <v>9.5875000000000004</v>
      </c>
      <c r="D347" s="10">
        <f>CHOOSE(CONTROL!$C$42, 9.6121, 9.6121) * CHOOSE(CONTROL!$C$21, $C$9, 100%, $E$9)</f>
        <v>9.6120999999999999</v>
      </c>
      <c r="E347" s="10">
        <f>CHOOSE(CONTROL!$C$42, 9.6459, 9.6459) * CHOOSE(CONTROL!$C$21, $C$9, 100%, $E$9)</f>
        <v>9.6458999999999993</v>
      </c>
      <c r="F347" s="10">
        <f>CHOOSE(CONTROL!$C$42, 9.548, 9.548)*CHOOSE(CONTROL!$C$21, $C$9, 100%, $E$9)</f>
        <v>9.548</v>
      </c>
      <c r="G347" s="10">
        <f>CHOOSE(CONTROL!$C$42, 9.5648, 9.5648)*CHOOSE(CONTROL!$C$21, $C$9, 100%, $E$9)</f>
        <v>9.5648</v>
      </c>
      <c r="H347" s="10">
        <f>CHOOSE(CONTROL!$C$42, 9.6348, 9.6348) * CHOOSE(CONTROL!$C$21, $C$9, 100%, $E$9)</f>
        <v>9.6348000000000003</v>
      </c>
      <c r="I347" s="10">
        <f>CHOOSE(CONTROL!$C$42, 9.5819, 9.5819)* CHOOSE(CONTROL!$C$21, $C$9, 100%, $E$9)</f>
        <v>9.5818999999999992</v>
      </c>
      <c r="J347" s="10">
        <f>CHOOSE(CONTROL!$C$42, 9.5406, 9.5406)* CHOOSE(CONTROL!$C$21, $C$9, 100%, $E$9)</f>
        <v>9.5405999999999995</v>
      </c>
      <c r="K347" s="10">
        <f>CHOOSE(CONTROL!$C$42, 9.442, 9.442) * CHOOSE(CONTROL!$C$21, $C$9, 100%, $E$9)</f>
        <v>9.4420000000000002</v>
      </c>
      <c r="L347" s="10">
        <f>CHOOSE(CONTROL!$C$42, 10.2218, 10.2218) * CHOOSE(CONTROL!$C$21, $C$9, 100%, $E$9)</f>
        <v>10.2218</v>
      </c>
      <c r="M347" s="10">
        <f>CHOOSE(CONTROL!$C$42, 9.4501, 9.4501) * CHOOSE(CONTROL!$C$21, $C$9, 100%, $E$9)</f>
        <v>9.4501000000000008</v>
      </c>
      <c r="N347" s="10">
        <f>CHOOSE(CONTROL!$C$42, 9.4667, 9.4667) * CHOOSE(CONTROL!$C$21, $C$9, 100%, $E$9)</f>
        <v>9.4666999999999994</v>
      </c>
      <c r="O347" s="10">
        <f>CHOOSE(CONTROL!$C$42, 9.5431, 9.5431) * CHOOSE(CONTROL!$C$21, $C$9, 100%, $E$9)</f>
        <v>9.5431000000000008</v>
      </c>
      <c r="P347" s="10">
        <f>CHOOSE(CONTROL!$C$42, 9.4909, 9.4909) * CHOOSE(CONTROL!$C$21, $C$9, 100%, $E$9)</f>
        <v>9.4908999999999999</v>
      </c>
      <c r="Q347" s="10">
        <f>CHOOSE(CONTROL!$C$42, 10.1384, 10.1384) * CHOOSE(CONTROL!$C$21, $C$9, 100%, $E$9)</f>
        <v>10.138400000000001</v>
      </c>
      <c r="R347" s="10">
        <f>CHOOSE(CONTROL!$C$42, 10.7508, 10.7508) * CHOOSE(CONTROL!$C$21, $C$9, 100%, $E$9)</f>
        <v>10.7508</v>
      </c>
      <c r="S347" s="10">
        <f>CHOOSE(CONTROL!$C$42, 9.2953, 9.2953) * CHOOSE(CONTROL!$C$21, $C$9, 100%, $E$9)</f>
        <v>9.2952999999999992</v>
      </c>
      <c r="T3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38">
        <f>(1000*CHOOSE(CONTROL!$C$42, 695, 695)*CHOOSE(CONTROL!$C$42, 0.5599, 0.5599)*CHOOSE(CONTROL!$C$42, 30, 30))/1000000</f>
        <v>11.673914999999997</v>
      </c>
      <c r="V347" s="38">
        <f>(1000*CHOOSE(CONTROL!$C$42, 500, 500)*CHOOSE(CONTROL!$C$42, 0.275, 0.275)*CHOOSE(CONTROL!$C$42, 30, 30))/1000000</f>
        <v>4.125</v>
      </c>
      <c r="W347" s="38">
        <f>(1000*CHOOSE(CONTROL!$C$42, 0.1146, 0.1146)*CHOOSE(CONTROL!$C$42, 121.5, 121.5)*CHOOSE(CONTROL!$C$42, 30, 30))/1000000</f>
        <v>0.417717</v>
      </c>
      <c r="X347" s="38">
        <f>(30*0.1790888*100000/1000000)+(30*0.2374*100000/1000000)</f>
        <v>1.2494664</v>
      </c>
      <c r="Y347" s="38">
        <f>(1000*600*CHOOSE(CONTROL!$C$42, 1.6268, 1.6268)*CHOOSE(CONTROL!$C$42, 30, 30))/1000000</f>
        <v>29.282399999999999</v>
      </c>
      <c r="Z347" s="38"/>
      <c r="AA347" s="10"/>
      <c r="AB347" s="39"/>
      <c r="AC347" s="33">
        <f>(B347*122.58+C347*297.941+D347*89.177+E347*40.302+F347*40+G347*160+H347*0+I347*100+J347*300)/(122.58+297.941+89.177+40.302+0+40+160+100+300)</f>
        <v>9.5736567243478259</v>
      </c>
      <c r="AD347" s="27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9.4990769784172659</v>
      </c>
    </row>
    <row r="348" spans="1:30" ht="15.75" x14ac:dyDescent="0.25">
      <c r="A348" s="14">
        <v>51866</v>
      </c>
      <c r="B348" s="10">
        <f>CHOOSE(CONTROL!$C$42, 10.2368, 10.2368) * CHOOSE(CONTROL!$C$21, $C$9, 100%, $E$9)</f>
        <v>10.236800000000001</v>
      </c>
      <c r="C348" s="10">
        <f>CHOOSE(CONTROL!$C$42, 10.2419, 10.2419) * CHOOSE(CONTROL!$C$21, $C$9, 100%, $E$9)</f>
        <v>10.241899999999999</v>
      </c>
      <c r="D348" s="10">
        <f>CHOOSE(CONTROL!$C$42, 10.2666, 10.2666) * CHOOSE(CONTROL!$C$21, $C$9, 100%, $E$9)</f>
        <v>10.2666</v>
      </c>
      <c r="E348" s="10">
        <f>CHOOSE(CONTROL!$C$42, 10.3004, 10.3004) * CHOOSE(CONTROL!$C$21, $C$9, 100%, $E$9)</f>
        <v>10.3004</v>
      </c>
      <c r="F348" s="10">
        <f>CHOOSE(CONTROL!$C$42, 10.2042, 10.2042)*CHOOSE(CONTROL!$C$21, $C$9, 100%, $E$9)</f>
        <v>10.2042</v>
      </c>
      <c r="G348" s="10">
        <f>CHOOSE(CONTROL!$C$42, 10.2215, 10.2215)*CHOOSE(CONTROL!$C$21, $C$9, 100%, $E$9)</f>
        <v>10.221500000000001</v>
      </c>
      <c r="H348" s="10">
        <f>CHOOSE(CONTROL!$C$42, 10.2893, 10.2893) * CHOOSE(CONTROL!$C$21, $C$9, 100%, $E$9)</f>
        <v>10.289300000000001</v>
      </c>
      <c r="I348" s="10">
        <f>CHOOSE(CONTROL!$C$42, 10.2363, 10.2363)* CHOOSE(CONTROL!$C$21, $C$9, 100%, $E$9)</f>
        <v>10.2363</v>
      </c>
      <c r="J348" s="10">
        <f>CHOOSE(CONTROL!$C$42, 10.1968, 10.1968)* CHOOSE(CONTROL!$C$21, $C$9, 100%, $E$9)</f>
        <v>10.1968</v>
      </c>
      <c r="K348" s="10">
        <f>CHOOSE(CONTROL!$C$42, 10.0798, 10.0798) * CHOOSE(CONTROL!$C$21, $C$9, 100%, $E$9)</f>
        <v>10.079800000000001</v>
      </c>
      <c r="L348" s="10">
        <f>CHOOSE(CONTROL!$C$42, 10.8763, 10.8763) * CHOOSE(CONTROL!$C$21, $C$9, 100%, $E$9)</f>
        <v>10.876300000000001</v>
      </c>
      <c r="M348" s="10">
        <f>CHOOSE(CONTROL!$C$42, 10.0979, 10.0979) * CHOOSE(CONTROL!$C$21, $C$9, 100%, $E$9)</f>
        <v>10.097899999999999</v>
      </c>
      <c r="N348" s="10">
        <f>CHOOSE(CONTROL!$C$42, 10.1149, 10.1149) * CHOOSE(CONTROL!$C$21, $C$9, 100%, $E$9)</f>
        <v>10.1149</v>
      </c>
      <c r="O348" s="10">
        <f>CHOOSE(CONTROL!$C$42, 10.1891, 10.1891) * CHOOSE(CONTROL!$C$21, $C$9, 100%, $E$9)</f>
        <v>10.1891</v>
      </c>
      <c r="P348" s="10">
        <f>CHOOSE(CONTROL!$C$42, 10.1369, 10.1369) * CHOOSE(CONTROL!$C$21, $C$9, 100%, $E$9)</f>
        <v>10.136900000000001</v>
      </c>
      <c r="Q348" s="10">
        <f>CHOOSE(CONTROL!$C$42, 10.7844, 10.7844) * CHOOSE(CONTROL!$C$21, $C$9, 100%, $E$9)</f>
        <v>10.7844</v>
      </c>
      <c r="R348" s="10">
        <f>CHOOSE(CONTROL!$C$42, 11.3984, 11.3984) * CHOOSE(CONTROL!$C$21, $C$9, 100%, $E$9)</f>
        <v>11.398400000000001</v>
      </c>
      <c r="S348" s="10">
        <f>CHOOSE(CONTROL!$C$42, 9.9289, 9.9289) * CHOOSE(CONTROL!$C$21, $C$9, 100%, $E$9)</f>
        <v>9.9289000000000005</v>
      </c>
      <c r="T3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38">
        <f>(1000*CHOOSE(CONTROL!$C$42, 695, 695)*CHOOSE(CONTROL!$C$42, 0.5599, 0.5599)*CHOOSE(CONTROL!$C$42, 31, 31))/1000000</f>
        <v>12.063045499999998</v>
      </c>
      <c r="V348" s="38">
        <f>(1000*CHOOSE(CONTROL!$C$42, 500, 500)*CHOOSE(CONTROL!$C$42, 0.275, 0.275)*CHOOSE(CONTROL!$C$42, 31, 31))/1000000</f>
        <v>4.2625000000000002</v>
      </c>
      <c r="W348" s="38">
        <f>(1000*CHOOSE(CONTROL!$C$42, 0.1146, 0.1146)*CHOOSE(CONTROL!$C$42, 121.5, 121.5)*CHOOSE(CONTROL!$C$42, 31, 31))/1000000</f>
        <v>0.43164089999999994</v>
      </c>
      <c r="X348" s="38">
        <f>(31*0.1790888*100000/1000000)+(31*0.2374*100000/1000000)</f>
        <v>1.2911152800000001</v>
      </c>
      <c r="Y348" s="38">
        <f>(1000*600*CHOOSE(CONTROL!$C$42, 1.6268, 1.6268)*CHOOSE(CONTROL!$C$42, 31, 31))/1000000</f>
        <v>30.258479999999999</v>
      </c>
      <c r="Z348" s="38"/>
      <c r="AA348" s="10"/>
      <c r="AB348" s="39"/>
      <c r="AC348" s="33">
        <f>(B348*122.58+C348*297.941+D348*89.177+E348*40.302+F348*40+G348*160+H348*0+I348*100+J348*300)/(122.58+297.941+89.177+40.302+0+40+160+100+300)</f>
        <v>10.228920157304348</v>
      </c>
      <c r="AD348" s="27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10.145825179856114</v>
      </c>
    </row>
    <row r="349" spans="1:30" ht="15.75" x14ac:dyDescent="0.25">
      <c r="A349" s="14">
        <v>51897</v>
      </c>
      <c r="B349" s="10">
        <f>CHOOSE(CONTROL!$C$42, 10.9288, 10.9288) * CHOOSE(CONTROL!$C$21, $C$9, 100%, $E$9)</f>
        <v>10.928800000000001</v>
      </c>
      <c r="C349" s="10">
        <f>CHOOSE(CONTROL!$C$42, 10.9339, 10.9339) * CHOOSE(CONTROL!$C$21, $C$9, 100%, $E$9)</f>
        <v>10.9339</v>
      </c>
      <c r="D349" s="10">
        <f>CHOOSE(CONTROL!$C$42, 10.9689, 10.9689) * CHOOSE(CONTROL!$C$21, $C$9, 100%, $E$9)</f>
        <v>10.9689</v>
      </c>
      <c r="E349" s="10">
        <f>CHOOSE(CONTROL!$C$42, 11.0027, 11.0027) * CHOOSE(CONTROL!$C$21, $C$9, 100%, $E$9)</f>
        <v>11.002700000000001</v>
      </c>
      <c r="F349" s="10">
        <f>CHOOSE(CONTROL!$C$42, 10.9101, 10.9101)*CHOOSE(CONTROL!$C$21, $C$9, 100%, $E$9)</f>
        <v>10.9101</v>
      </c>
      <c r="G349" s="10">
        <f>CHOOSE(CONTROL!$C$42, 10.929, 10.929)*CHOOSE(CONTROL!$C$21, $C$9, 100%, $E$9)</f>
        <v>10.929</v>
      </c>
      <c r="H349" s="10">
        <f>CHOOSE(CONTROL!$C$42, 10.9916, 10.9916) * CHOOSE(CONTROL!$C$21, $C$9, 100%, $E$9)</f>
        <v>10.9916</v>
      </c>
      <c r="I349" s="10">
        <f>CHOOSE(CONTROL!$C$42, 10.9361, 10.9361)* CHOOSE(CONTROL!$C$21, $C$9, 100%, $E$9)</f>
        <v>10.9361</v>
      </c>
      <c r="J349" s="10">
        <f>CHOOSE(CONTROL!$C$42, 10.9027, 10.9027)* CHOOSE(CONTROL!$C$21, $C$9, 100%, $E$9)</f>
        <v>10.902699999999999</v>
      </c>
      <c r="K349" s="10">
        <f>CHOOSE(CONTROL!$C$42, 10.771, 10.771) * CHOOSE(CONTROL!$C$21, $C$9, 100%, $E$9)</f>
        <v>10.771000000000001</v>
      </c>
      <c r="L349" s="10">
        <f>CHOOSE(CONTROL!$C$42, 11.5786, 11.5786) * CHOOSE(CONTROL!$C$21, $C$9, 100%, $E$9)</f>
        <v>11.5786</v>
      </c>
      <c r="M349" s="10">
        <f>CHOOSE(CONTROL!$C$42, 10.7946, 10.7946) * CHOOSE(CONTROL!$C$21, $C$9, 100%, $E$9)</f>
        <v>10.794600000000001</v>
      </c>
      <c r="N349" s="10">
        <f>CHOOSE(CONTROL!$C$42, 10.8133, 10.8133) * CHOOSE(CONTROL!$C$21, $C$9, 100%, $E$9)</f>
        <v>10.8133</v>
      </c>
      <c r="O349" s="10">
        <f>CHOOSE(CONTROL!$C$42, 10.8824, 10.8824) * CHOOSE(CONTROL!$C$21, $C$9, 100%, $E$9)</f>
        <v>10.882400000000001</v>
      </c>
      <c r="P349" s="10">
        <f>CHOOSE(CONTROL!$C$42, 10.8276, 10.8276) * CHOOSE(CONTROL!$C$21, $C$9, 100%, $E$9)</f>
        <v>10.8276</v>
      </c>
      <c r="Q349" s="10">
        <f>CHOOSE(CONTROL!$C$42, 11.4777, 11.4777) * CHOOSE(CONTROL!$C$21, $C$9, 100%, $E$9)</f>
        <v>11.4777</v>
      </c>
      <c r="R349" s="10">
        <f>CHOOSE(CONTROL!$C$42, 12.0934, 12.0934) * CHOOSE(CONTROL!$C$21, $C$9, 100%, $E$9)</f>
        <v>12.093400000000001</v>
      </c>
      <c r="S349" s="10">
        <f>CHOOSE(CONTROL!$C$42, 10.599, 10.599) * CHOOSE(CONTROL!$C$21, $C$9, 100%, $E$9)</f>
        <v>10.599</v>
      </c>
      <c r="T3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38">
        <f>(1000*CHOOSE(CONTROL!$C$42, 695, 695)*CHOOSE(CONTROL!$C$42, 0.5599, 0.5599)*CHOOSE(CONTROL!$C$42, 31, 31))/1000000</f>
        <v>12.063045499999998</v>
      </c>
      <c r="V349" s="38">
        <f>(1000*CHOOSE(CONTROL!$C$42, 500, 500)*CHOOSE(CONTROL!$C$42, 0.275, 0.275)*CHOOSE(CONTROL!$C$42, 31, 31))/1000000</f>
        <v>4.2625000000000002</v>
      </c>
      <c r="W349" s="38">
        <f>(1000*CHOOSE(CONTROL!$C$42, 0.1146, 0.1146)*CHOOSE(CONTROL!$C$42, 121.5, 121.5)*CHOOSE(CONTROL!$C$42, 31, 31))/1000000</f>
        <v>0.43164089999999994</v>
      </c>
      <c r="X349" s="38">
        <f>(31*0.1790888*100000/1000000)+(31*0.2374*100000/1000000)</f>
        <v>1.2911152800000001</v>
      </c>
      <c r="Y349" s="38">
        <f>(1000*600*CHOOSE(CONTROL!$C$42, 1.1072, 1.1072)*CHOOSE(CONTROL!$C$42, 31, 31))/1000000</f>
        <v>20.593920000000001</v>
      </c>
      <c r="Z349" s="38"/>
      <c r="AA349" s="10"/>
      <c r="AB349" s="39"/>
      <c r="AC349" s="33">
        <f>(B349*122.58+C349*297.941+D349*89.177+E349*40.302+F349*40+G349*160+H349*0+I349*100+J349*300)/(122.58+297.941+89.177+40.302+0+40+160+100+300)</f>
        <v>10.929024186608695</v>
      </c>
      <c r="AD349" s="27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10.840218705035973</v>
      </c>
    </row>
    <row r="350" spans="1:30" ht="15.75" x14ac:dyDescent="0.25">
      <c r="A350" s="14">
        <v>51925</v>
      </c>
      <c r="B350" s="10">
        <f>CHOOSE(CONTROL!$C$42, 11.1237, 11.1237) * CHOOSE(CONTROL!$C$21, $C$9, 100%, $E$9)</f>
        <v>11.123699999999999</v>
      </c>
      <c r="C350" s="10">
        <f>CHOOSE(CONTROL!$C$42, 11.1288, 11.1288) * CHOOSE(CONTROL!$C$21, $C$9, 100%, $E$9)</f>
        <v>11.1288</v>
      </c>
      <c r="D350" s="10">
        <f>CHOOSE(CONTROL!$C$42, 11.1638, 11.1638) * CHOOSE(CONTROL!$C$21, $C$9, 100%, $E$9)</f>
        <v>11.1638</v>
      </c>
      <c r="E350" s="10">
        <f>CHOOSE(CONTROL!$C$42, 11.1976, 11.1976) * CHOOSE(CONTROL!$C$21, $C$9, 100%, $E$9)</f>
        <v>11.1976</v>
      </c>
      <c r="F350" s="10">
        <f>CHOOSE(CONTROL!$C$42, 11.1044, 11.1044)*CHOOSE(CONTROL!$C$21, $C$9, 100%, $E$9)</f>
        <v>11.1044</v>
      </c>
      <c r="G350" s="10">
        <f>CHOOSE(CONTROL!$C$42, 11.1232, 11.1232)*CHOOSE(CONTROL!$C$21, $C$9, 100%, $E$9)</f>
        <v>11.123200000000001</v>
      </c>
      <c r="H350" s="10">
        <f>CHOOSE(CONTROL!$C$42, 11.1865, 11.1865) * CHOOSE(CONTROL!$C$21, $C$9, 100%, $E$9)</f>
        <v>11.186500000000001</v>
      </c>
      <c r="I350" s="10">
        <f>CHOOSE(CONTROL!$C$42, 11.1309, 11.1309)* CHOOSE(CONTROL!$C$21, $C$9, 100%, $E$9)</f>
        <v>11.1309</v>
      </c>
      <c r="J350" s="10">
        <f>CHOOSE(CONTROL!$C$42, 11.097, 11.097)* CHOOSE(CONTROL!$C$21, $C$9, 100%, $E$9)</f>
        <v>11.097</v>
      </c>
      <c r="K350" s="10">
        <f>CHOOSE(CONTROL!$C$42, 10.9586, 10.9586) * CHOOSE(CONTROL!$C$21, $C$9, 100%, $E$9)</f>
        <v>10.958600000000001</v>
      </c>
      <c r="L350" s="10">
        <f>CHOOSE(CONTROL!$C$42, 11.7735, 11.7735) * CHOOSE(CONTROL!$C$21, $C$9, 100%, $E$9)</f>
        <v>11.7735</v>
      </c>
      <c r="M350" s="10">
        <f>CHOOSE(CONTROL!$C$42, 10.9864, 10.9864) * CHOOSE(CONTROL!$C$21, $C$9, 100%, $E$9)</f>
        <v>10.9864</v>
      </c>
      <c r="N350" s="10">
        <f>CHOOSE(CONTROL!$C$42, 11.0049, 11.0049) * CHOOSE(CONTROL!$C$21, $C$9, 100%, $E$9)</f>
        <v>11.004899999999999</v>
      </c>
      <c r="O350" s="10">
        <f>CHOOSE(CONTROL!$C$42, 11.0747, 11.0747) * CHOOSE(CONTROL!$C$21, $C$9, 100%, $E$9)</f>
        <v>11.0747</v>
      </c>
      <c r="P350" s="10">
        <f>CHOOSE(CONTROL!$C$42, 11.0199, 11.0199) * CHOOSE(CONTROL!$C$21, $C$9, 100%, $E$9)</f>
        <v>11.0199</v>
      </c>
      <c r="Q350" s="10">
        <f>CHOOSE(CONTROL!$C$42, 11.67, 11.67) * CHOOSE(CONTROL!$C$21, $C$9, 100%, $E$9)</f>
        <v>11.67</v>
      </c>
      <c r="R350" s="10">
        <f>CHOOSE(CONTROL!$C$42, 12.2862, 12.2862) * CHOOSE(CONTROL!$C$21, $C$9, 100%, $E$9)</f>
        <v>12.286199999999999</v>
      </c>
      <c r="S350" s="10">
        <f>CHOOSE(CONTROL!$C$42, 10.7877, 10.7877) * CHOOSE(CONTROL!$C$21, $C$9, 100%, $E$9)</f>
        <v>10.787699999999999</v>
      </c>
      <c r="T35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38">
        <f>(1000*CHOOSE(CONTROL!$C$42, 695, 695)*CHOOSE(CONTROL!$C$42, 0.5599, 0.5599)*CHOOSE(CONTROL!$C$42, 28, 28))/1000000</f>
        <v>10.895653999999999</v>
      </c>
      <c r="V350" s="38">
        <f>(1000*CHOOSE(CONTROL!$C$42, 500, 500)*CHOOSE(CONTROL!$C$42, 0.275, 0.275)*CHOOSE(CONTROL!$C$42, 28, 28))/1000000</f>
        <v>3.85</v>
      </c>
      <c r="W350" s="38">
        <f>(1000*CHOOSE(CONTROL!$C$42, 0.1146, 0.1146)*CHOOSE(CONTROL!$C$42, 121.5, 121.5)*CHOOSE(CONTROL!$C$42, 28, 28))/1000000</f>
        <v>0.38986920000000003</v>
      </c>
      <c r="X350" s="38">
        <f>(28*0.1790888*100000/1000000)+(28*0.2374*100000/1000000)</f>
        <v>1.16616864</v>
      </c>
      <c r="Y350" s="38">
        <f>(1000*600*CHOOSE(CONTROL!$C$42, 1.1072, 1.1072)*CHOOSE(CONTROL!$C$42, 28, 28))/1000000</f>
        <v>18.600960000000001</v>
      </c>
      <c r="Z350" s="38"/>
      <c r="AA350" s="10"/>
      <c r="AB350" s="39"/>
      <c r="AC350" s="33">
        <f>(B350*122.58+C350*297.941+D350*89.177+E350*40.302+F350*40+G350*160+H350*0+I350*100+J350*300)/(122.58+297.941+89.177+40.302+0+40+160+100+300)</f>
        <v>11.123640708347827</v>
      </c>
      <c r="AD350" s="27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11.032305755395683</v>
      </c>
    </row>
    <row r="351" spans="1:30" ht="15.75" x14ac:dyDescent="0.25">
      <c r="A351" s="14">
        <v>51956</v>
      </c>
      <c r="B351" s="10">
        <f>CHOOSE(CONTROL!$C$42, 10.8074, 10.8074) * CHOOSE(CONTROL!$C$21, $C$9, 100%, $E$9)</f>
        <v>10.807399999999999</v>
      </c>
      <c r="C351" s="10">
        <f>CHOOSE(CONTROL!$C$42, 10.8125, 10.8125) * CHOOSE(CONTROL!$C$21, $C$9, 100%, $E$9)</f>
        <v>10.8125</v>
      </c>
      <c r="D351" s="10">
        <f>CHOOSE(CONTROL!$C$42, 10.8475, 10.8475) * CHOOSE(CONTROL!$C$21, $C$9, 100%, $E$9)</f>
        <v>10.8475</v>
      </c>
      <c r="E351" s="10">
        <f>CHOOSE(CONTROL!$C$42, 10.8813, 10.8813) * CHOOSE(CONTROL!$C$21, $C$9, 100%, $E$9)</f>
        <v>10.8813</v>
      </c>
      <c r="F351" s="10">
        <f>CHOOSE(CONTROL!$C$42, 10.7868, 10.7868)*CHOOSE(CONTROL!$C$21, $C$9, 100%, $E$9)</f>
        <v>10.786799999999999</v>
      </c>
      <c r="G351" s="10">
        <f>CHOOSE(CONTROL!$C$42, 10.8052, 10.8052)*CHOOSE(CONTROL!$C$21, $C$9, 100%, $E$9)</f>
        <v>10.805199999999999</v>
      </c>
      <c r="H351" s="10">
        <f>CHOOSE(CONTROL!$C$42, 10.8702, 10.8702) * CHOOSE(CONTROL!$C$21, $C$9, 100%, $E$9)</f>
        <v>10.870200000000001</v>
      </c>
      <c r="I351" s="10">
        <f>CHOOSE(CONTROL!$C$42, 10.8146, 10.8146)* CHOOSE(CONTROL!$C$21, $C$9, 100%, $E$9)</f>
        <v>10.8146</v>
      </c>
      <c r="J351" s="10">
        <f>CHOOSE(CONTROL!$C$42, 10.7794, 10.7794)* CHOOSE(CONTROL!$C$21, $C$9, 100%, $E$9)</f>
        <v>10.779400000000001</v>
      </c>
      <c r="K351" s="10">
        <f>CHOOSE(CONTROL!$C$42, 10.6492, 10.6492) * CHOOSE(CONTROL!$C$21, $C$9, 100%, $E$9)</f>
        <v>10.6492</v>
      </c>
      <c r="L351" s="10">
        <f>CHOOSE(CONTROL!$C$42, 11.4572, 11.4572) * CHOOSE(CONTROL!$C$21, $C$9, 100%, $E$9)</f>
        <v>11.4572</v>
      </c>
      <c r="M351" s="10">
        <f>CHOOSE(CONTROL!$C$42, 10.6729, 10.6729) * CHOOSE(CONTROL!$C$21, $C$9, 100%, $E$9)</f>
        <v>10.6729</v>
      </c>
      <c r="N351" s="10">
        <f>CHOOSE(CONTROL!$C$42, 10.691, 10.691) * CHOOSE(CONTROL!$C$21, $C$9, 100%, $E$9)</f>
        <v>10.691000000000001</v>
      </c>
      <c r="O351" s="10">
        <f>CHOOSE(CONTROL!$C$42, 10.7625, 10.7625) * CHOOSE(CONTROL!$C$21, $C$9, 100%, $E$9)</f>
        <v>10.762499999999999</v>
      </c>
      <c r="P351" s="10">
        <f>CHOOSE(CONTROL!$C$42, 10.7077, 10.7077) * CHOOSE(CONTROL!$C$21, $C$9, 100%, $E$9)</f>
        <v>10.707700000000001</v>
      </c>
      <c r="Q351" s="10">
        <f>CHOOSE(CONTROL!$C$42, 11.3578, 11.3578) * CHOOSE(CONTROL!$C$21, $C$9, 100%, $E$9)</f>
        <v>11.357799999999999</v>
      </c>
      <c r="R351" s="10">
        <f>CHOOSE(CONTROL!$C$42, 11.9732, 11.9732) * CHOOSE(CONTROL!$C$21, $C$9, 100%, $E$9)</f>
        <v>11.9732</v>
      </c>
      <c r="S351" s="10">
        <f>CHOOSE(CONTROL!$C$42, 10.4815, 10.4815) * CHOOSE(CONTROL!$C$21, $C$9, 100%, $E$9)</f>
        <v>10.4815</v>
      </c>
      <c r="T3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38">
        <f>(1000*CHOOSE(CONTROL!$C$42, 695, 695)*CHOOSE(CONTROL!$C$42, 0.5599, 0.5599)*CHOOSE(CONTROL!$C$42, 31, 31))/1000000</f>
        <v>12.063045499999998</v>
      </c>
      <c r="V351" s="38">
        <f>(1000*CHOOSE(CONTROL!$C$42, 500, 500)*CHOOSE(CONTROL!$C$42, 0.275, 0.275)*CHOOSE(CONTROL!$C$42, 31, 31))/1000000</f>
        <v>4.2625000000000002</v>
      </c>
      <c r="W351" s="38">
        <f>(1000*CHOOSE(CONTROL!$C$42, 0.1146, 0.1146)*CHOOSE(CONTROL!$C$42, 121.5, 121.5)*CHOOSE(CONTROL!$C$42, 31, 31))/1000000</f>
        <v>0.43164089999999994</v>
      </c>
      <c r="X351" s="38">
        <f>(31*0.1790888*100000/1000000)+(31*0.2374*100000/1000000)</f>
        <v>1.2911152800000001</v>
      </c>
      <c r="Y351" s="38">
        <f>(1000*600*CHOOSE(CONTROL!$C$42, 1.1072, 1.1072)*CHOOSE(CONTROL!$C$42, 31, 31))/1000000</f>
        <v>20.593920000000001</v>
      </c>
      <c r="Z351" s="38"/>
      <c r="AA351" s="10"/>
      <c r="AB351" s="39"/>
      <c r="AC351" s="33">
        <f>(B351*122.58+C351*297.941+D351*89.177+E351*40.302+F351*40+G351*160+H351*0+I351*100+J351*300)/(122.58+297.941+89.177+40.302+0+40+160+100+300)</f>
        <v>10.806719838782607</v>
      </c>
      <c r="AD351" s="27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10.719558992805757</v>
      </c>
    </row>
    <row r="352" spans="1:30" ht="15.75" x14ac:dyDescent="0.25">
      <c r="A352" s="14">
        <v>51986</v>
      </c>
      <c r="B352" s="10">
        <f>CHOOSE(CONTROL!$C$42, 10.7757, 10.7757) * CHOOSE(CONTROL!$C$21, $C$9, 100%, $E$9)</f>
        <v>10.775700000000001</v>
      </c>
      <c r="C352" s="10">
        <f>CHOOSE(CONTROL!$C$42, 10.7803, 10.7803) * CHOOSE(CONTROL!$C$21, $C$9, 100%, $E$9)</f>
        <v>10.7803</v>
      </c>
      <c r="D352" s="10">
        <f>CHOOSE(CONTROL!$C$42, 10.9585, 10.9585) * CHOOSE(CONTROL!$C$21, $C$9, 100%, $E$9)</f>
        <v>10.958500000000001</v>
      </c>
      <c r="E352" s="10">
        <f>CHOOSE(CONTROL!$C$42, 10.9903, 10.9903) * CHOOSE(CONTROL!$C$21, $C$9, 100%, $E$9)</f>
        <v>10.9903</v>
      </c>
      <c r="F352" s="10">
        <f>CHOOSE(CONTROL!$C$42, 10.7192, 10.7192)*CHOOSE(CONTROL!$C$21, $C$9, 100%, $E$9)</f>
        <v>10.719200000000001</v>
      </c>
      <c r="G352" s="10">
        <f>CHOOSE(CONTROL!$C$42, 10.7358, 10.7358)*CHOOSE(CONTROL!$C$21, $C$9, 100%, $E$9)</f>
        <v>10.735799999999999</v>
      </c>
      <c r="H352" s="10">
        <f>CHOOSE(CONTROL!$C$42, 10.9798, 10.9798) * CHOOSE(CONTROL!$C$21, $C$9, 100%, $E$9)</f>
        <v>10.979799999999999</v>
      </c>
      <c r="I352" s="10">
        <f>CHOOSE(CONTROL!$C$42, 10.7518, 10.7518)* CHOOSE(CONTROL!$C$21, $C$9, 100%, $E$9)</f>
        <v>10.751799999999999</v>
      </c>
      <c r="J352" s="10">
        <f>CHOOSE(CONTROL!$C$42, 10.7118, 10.7118)* CHOOSE(CONTROL!$C$21, $C$9, 100%, $E$9)</f>
        <v>10.7118</v>
      </c>
      <c r="K352" s="10">
        <f>CHOOSE(CONTROL!$C$42, 10.5736, 10.5736) * CHOOSE(CONTROL!$C$21, $C$9, 100%, $E$9)</f>
        <v>10.573600000000001</v>
      </c>
      <c r="L352" s="10">
        <f>CHOOSE(CONTROL!$C$42, 11.5668, 11.5668) * CHOOSE(CONTROL!$C$21, $C$9, 100%, $E$9)</f>
        <v>11.566800000000001</v>
      </c>
      <c r="M352" s="10">
        <f>CHOOSE(CONTROL!$C$42, 10.6062, 10.6062) * CHOOSE(CONTROL!$C$21, $C$9, 100%, $E$9)</f>
        <v>10.606199999999999</v>
      </c>
      <c r="N352" s="10">
        <f>CHOOSE(CONTROL!$C$42, 10.6226, 10.6226) * CHOOSE(CONTROL!$C$21, $C$9, 100%, $E$9)</f>
        <v>10.6226</v>
      </c>
      <c r="O352" s="10">
        <f>CHOOSE(CONTROL!$C$42, 10.8707, 10.8707) * CHOOSE(CONTROL!$C$21, $C$9, 100%, $E$9)</f>
        <v>10.870699999999999</v>
      </c>
      <c r="P352" s="10">
        <f>CHOOSE(CONTROL!$C$42, 10.6457, 10.6457) * CHOOSE(CONTROL!$C$21, $C$9, 100%, $E$9)</f>
        <v>10.6457</v>
      </c>
      <c r="Q352" s="10">
        <f>CHOOSE(CONTROL!$C$42, 11.466, 11.466) * CHOOSE(CONTROL!$C$21, $C$9, 100%, $E$9)</f>
        <v>11.465999999999999</v>
      </c>
      <c r="R352" s="10">
        <f>CHOOSE(CONTROL!$C$42, 12.0817, 12.0817) * CHOOSE(CONTROL!$C$21, $C$9, 100%, $E$9)</f>
        <v>12.0817</v>
      </c>
      <c r="S352" s="10">
        <f>CHOOSE(CONTROL!$C$42, 10.4501, 10.4501) * CHOOSE(CONTROL!$C$21, $C$9, 100%, $E$9)</f>
        <v>10.450100000000001</v>
      </c>
      <c r="T3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38">
        <f>(1000*CHOOSE(CONTROL!$C$42, 695, 695)*CHOOSE(CONTROL!$C$42, 0.5599, 0.5599)*CHOOSE(CONTROL!$C$42, 30, 30))/1000000</f>
        <v>11.673914999999997</v>
      </c>
      <c r="V352" s="38">
        <f>(1000*CHOOSE(CONTROL!$C$42, 500, 500)*CHOOSE(CONTROL!$C$42, 0.275, 0.275)*CHOOSE(CONTROL!$C$42, 30, 30))/1000000</f>
        <v>4.125</v>
      </c>
      <c r="W352" s="38">
        <f>(1000*CHOOSE(CONTROL!$C$42, 0.1146, 0.1146)*CHOOSE(CONTROL!$C$42, 121.5, 121.5)*CHOOSE(CONTROL!$C$42, 30, 30))/1000000</f>
        <v>0.417717</v>
      </c>
      <c r="X352" s="38">
        <f>(30*0.1790888*245000/1000000)+(30*0.2374*100000/1000000)</f>
        <v>2.0285026799999999</v>
      </c>
      <c r="Y352" s="38">
        <f>(1000*600*CHOOSE(CONTROL!$C$42, 1.1072, 1.1072)*CHOOSE(CONTROL!$C$42, 30, 30))/1000000</f>
        <v>19.929600000000001</v>
      </c>
      <c r="Z352" s="38"/>
      <c r="AA352" s="10"/>
      <c r="AB352" s="39"/>
      <c r="AC352" s="33">
        <f>(B352*141.293+C352*267.993+D352*115.016+E352*89.698+F352*40+G352*185+H352*0+I352*100+J352*300)/(141.293+267.993+115.016+89.698+0+40+185+100+300)</f>
        <v>10.784017500726394</v>
      </c>
      <c r="AD352" s="27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10.689871223021582</v>
      </c>
    </row>
    <row r="353" spans="1:30" ht="15.75" x14ac:dyDescent="0.25">
      <c r="A353" s="14">
        <v>52017</v>
      </c>
      <c r="B353" s="10">
        <f>CHOOSE(CONTROL!$C$42, 10.8728, 10.8728) * CHOOSE(CONTROL!$C$21, $C$9, 100%, $E$9)</f>
        <v>10.8728</v>
      </c>
      <c r="C353" s="10">
        <f>CHOOSE(CONTROL!$C$42, 10.8807, 10.8807) * CHOOSE(CONTROL!$C$21, $C$9, 100%, $E$9)</f>
        <v>10.880699999999999</v>
      </c>
      <c r="D353" s="10">
        <f>CHOOSE(CONTROL!$C$42, 11.0559, 11.0559) * CHOOSE(CONTROL!$C$21, $C$9, 100%, $E$9)</f>
        <v>11.055899999999999</v>
      </c>
      <c r="E353" s="10">
        <f>CHOOSE(CONTROL!$C$42, 11.0871, 11.0871) * CHOOSE(CONTROL!$C$21, $C$9, 100%, $E$9)</f>
        <v>11.0871</v>
      </c>
      <c r="F353" s="10">
        <f>CHOOSE(CONTROL!$C$42, 10.8144, 10.8144)*CHOOSE(CONTROL!$C$21, $C$9, 100%, $E$9)</f>
        <v>10.814399999999999</v>
      </c>
      <c r="G353" s="10">
        <f>CHOOSE(CONTROL!$C$42, 10.8313, 10.8313)*CHOOSE(CONTROL!$C$21, $C$9, 100%, $E$9)</f>
        <v>10.831300000000001</v>
      </c>
      <c r="H353" s="10">
        <f>CHOOSE(CONTROL!$C$42, 11.0754, 11.0754) * CHOOSE(CONTROL!$C$21, $C$9, 100%, $E$9)</f>
        <v>11.0754</v>
      </c>
      <c r="I353" s="10">
        <f>CHOOSE(CONTROL!$C$42, 10.8474, 10.8474)* CHOOSE(CONTROL!$C$21, $C$9, 100%, $E$9)</f>
        <v>10.8474</v>
      </c>
      <c r="J353" s="10">
        <f>CHOOSE(CONTROL!$C$42, 10.807, 10.807)* CHOOSE(CONTROL!$C$21, $C$9, 100%, $E$9)</f>
        <v>10.807</v>
      </c>
      <c r="K353" s="10">
        <f>CHOOSE(CONTROL!$C$42, 10.6654, 10.6654) * CHOOSE(CONTROL!$C$21, $C$9, 100%, $E$9)</f>
        <v>10.6654</v>
      </c>
      <c r="L353" s="10">
        <f>CHOOSE(CONTROL!$C$42, 11.6624, 11.6624) * CHOOSE(CONTROL!$C$21, $C$9, 100%, $E$9)</f>
        <v>11.6624</v>
      </c>
      <c r="M353" s="10">
        <f>CHOOSE(CONTROL!$C$42, 10.7002, 10.7002) * CHOOSE(CONTROL!$C$21, $C$9, 100%, $E$9)</f>
        <v>10.700200000000001</v>
      </c>
      <c r="N353" s="10">
        <f>CHOOSE(CONTROL!$C$42, 10.7169, 10.7169) * CHOOSE(CONTROL!$C$21, $C$9, 100%, $E$9)</f>
        <v>10.716900000000001</v>
      </c>
      <c r="O353" s="10">
        <f>CHOOSE(CONTROL!$C$42, 10.9651, 10.9651) * CHOOSE(CONTROL!$C$21, $C$9, 100%, $E$9)</f>
        <v>10.9651</v>
      </c>
      <c r="P353" s="10">
        <f>CHOOSE(CONTROL!$C$42, 10.7401, 10.7401) * CHOOSE(CONTROL!$C$21, $C$9, 100%, $E$9)</f>
        <v>10.7401</v>
      </c>
      <c r="Q353" s="10">
        <f>CHOOSE(CONTROL!$C$42, 11.5604, 11.5604) * CHOOSE(CONTROL!$C$21, $C$9, 100%, $E$9)</f>
        <v>11.5604</v>
      </c>
      <c r="R353" s="10">
        <f>CHOOSE(CONTROL!$C$42, 12.1763, 12.1763) * CHOOSE(CONTROL!$C$21, $C$9, 100%, $E$9)</f>
        <v>12.176299999999999</v>
      </c>
      <c r="S353" s="10">
        <f>CHOOSE(CONTROL!$C$42, 10.5427, 10.5427) * CHOOSE(CONTROL!$C$21, $C$9, 100%, $E$9)</f>
        <v>10.5427</v>
      </c>
      <c r="T3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38">
        <f>(1000*CHOOSE(CONTROL!$C$42, 695, 695)*CHOOSE(CONTROL!$C$42, 0.5599, 0.5599)*CHOOSE(CONTROL!$C$42, 31, 31))/1000000</f>
        <v>12.063045499999998</v>
      </c>
      <c r="V353" s="38">
        <f>(1000*CHOOSE(CONTROL!$C$42, 500, 500)*CHOOSE(CONTROL!$C$42, 0.275, 0.275)*CHOOSE(CONTROL!$C$42, 31, 31))/1000000</f>
        <v>4.2625000000000002</v>
      </c>
      <c r="W353" s="38">
        <f>(1000*CHOOSE(CONTROL!$C$42, 0.1146, 0.1146)*CHOOSE(CONTROL!$C$42, 121.5, 121.5)*CHOOSE(CONTROL!$C$42, 31, 31))/1000000</f>
        <v>0.43164089999999994</v>
      </c>
      <c r="X353" s="38">
        <f>(31*0.1790888*245000/1000000)+(31*0.2374*100000/1000000)</f>
        <v>2.0961194359999999</v>
      </c>
      <c r="Y353" s="38">
        <f>(1000*600*CHOOSE(CONTROL!$C$42, 1.1072, 1.1072)*CHOOSE(CONTROL!$C$42, 31, 31))/1000000</f>
        <v>20.593920000000001</v>
      </c>
      <c r="Z353" s="38"/>
      <c r="AA353" s="10"/>
      <c r="AB353" s="39"/>
      <c r="AC353" s="33">
        <f>(B353*194.205+C353*267.466+D353*133.845+E353*53.484+F353*40+G353*185+H353*0+I353*100+J353*300)/(194.205+267.466+133.845+53.484+0+40+185+100+300)</f>
        <v>10.877343266954474</v>
      </c>
      <c r="AD353" s="27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10.784110071942447</v>
      </c>
    </row>
    <row r="354" spans="1:30" ht="15.75" x14ac:dyDescent="0.25">
      <c r="A354" s="14">
        <v>52047</v>
      </c>
      <c r="B354" s="10">
        <f>CHOOSE(CONTROL!$C$42, 11.1816, 11.1816) * CHOOSE(CONTROL!$C$21, $C$9, 100%, $E$9)</f>
        <v>11.1816</v>
      </c>
      <c r="C354" s="10">
        <f>CHOOSE(CONTROL!$C$42, 11.1896, 11.1896) * CHOOSE(CONTROL!$C$21, $C$9, 100%, $E$9)</f>
        <v>11.1896</v>
      </c>
      <c r="D354" s="10">
        <f>CHOOSE(CONTROL!$C$42, 11.3647, 11.3647) * CHOOSE(CONTROL!$C$21, $C$9, 100%, $E$9)</f>
        <v>11.364699999999999</v>
      </c>
      <c r="E354" s="10">
        <f>CHOOSE(CONTROL!$C$42, 11.3959, 11.3959) * CHOOSE(CONTROL!$C$21, $C$9, 100%, $E$9)</f>
        <v>11.395899999999999</v>
      </c>
      <c r="F354" s="10">
        <f>CHOOSE(CONTROL!$C$42, 11.1234, 11.1234)*CHOOSE(CONTROL!$C$21, $C$9, 100%, $E$9)</f>
        <v>11.1234</v>
      </c>
      <c r="G354" s="10">
        <f>CHOOSE(CONTROL!$C$42, 11.1404, 11.1404)*CHOOSE(CONTROL!$C$21, $C$9, 100%, $E$9)</f>
        <v>11.1404</v>
      </c>
      <c r="H354" s="10">
        <f>CHOOSE(CONTROL!$C$42, 11.3842, 11.3842) * CHOOSE(CONTROL!$C$21, $C$9, 100%, $E$9)</f>
        <v>11.3842</v>
      </c>
      <c r="I354" s="10">
        <f>CHOOSE(CONTROL!$C$42, 11.1562, 11.1562)* CHOOSE(CONTROL!$C$21, $C$9, 100%, $E$9)</f>
        <v>11.1562</v>
      </c>
      <c r="J354" s="10">
        <f>CHOOSE(CONTROL!$C$42, 11.116, 11.116)* CHOOSE(CONTROL!$C$21, $C$9, 100%, $E$9)</f>
        <v>11.116</v>
      </c>
      <c r="K354" s="10">
        <f>CHOOSE(CONTROL!$C$42, 10.965, 10.965) * CHOOSE(CONTROL!$C$21, $C$9, 100%, $E$9)</f>
        <v>10.965</v>
      </c>
      <c r="L354" s="10">
        <f>CHOOSE(CONTROL!$C$42, 11.9712, 11.9712) * CHOOSE(CONTROL!$C$21, $C$9, 100%, $E$9)</f>
        <v>11.9712</v>
      </c>
      <c r="M354" s="10">
        <f>CHOOSE(CONTROL!$C$42, 11.0052, 11.0052) * CHOOSE(CONTROL!$C$21, $C$9, 100%, $E$9)</f>
        <v>11.0052</v>
      </c>
      <c r="N354" s="10">
        <f>CHOOSE(CONTROL!$C$42, 11.0219, 11.0219) * CHOOSE(CONTROL!$C$21, $C$9, 100%, $E$9)</f>
        <v>11.0219</v>
      </c>
      <c r="O354" s="10">
        <f>CHOOSE(CONTROL!$C$42, 11.2699, 11.2699) * CHOOSE(CONTROL!$C$21, $C$9, 100%, $E$9)</f>
        <v>11.2699</v>
      </c>
      <c r="P354" s="10">
        <f>CHOOSE(CONTROL!$C$42, 11.0449, 11.0449) * CHOOSE(CONTROL!$C$21, $C$9, 100%, $E$9)</f>
        <v>11.0449</v>
      </c>
      <c r="Q354" s="10">
        <f>CHOOSE(CONTROL!$C$42, 11.8652, 11.8652) * CHOOSE(CONTROL!$C$21, $C$9, 100%, $E$9)</f>
        <v>11.8652</v>
      </c>
      <c r="R354" s="10">
        <f>CHOOSE(CONTROL!$C$42, 12.4819, 12.4819) * CHOOSE(CONTROL!$C$21, $C$9, 100%, $E$9)</f>
        <v>12.4819</v>
      </c>
      <c r="S354" s="10">
        <f>CHOOSE(CONTROL!$C$42, 10.8417, 10.8417) * CHOOSE(CONTROL!$C$21, $C$9, 100%, $E$9)</f>
        <v>10.841699999999999</v>
      </c>
      <c r="T3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38">
        <f>(1000*CHOOSE(CONTROL!$C$42, 695, 695)*CHOOSE(CONTROL!$C$42, 0.5599, 0.5599)*CHOOSE(CONTROL!$C$42, 30, 30))/1000000</f>
        <v>11.673914999999997</v>
      </c>
      <c r="V354" s="38">
        <f>(1000*CHOOSE(CONTROL!$C$42, 500, 500)*CHOOSE(CONTROL!$C$42, 0.275, 0.275)*CHOOSE(CONTROL!$C$42, 30, 30))/1000000</f>
        <v>4.125</v>
      </c>
      <c r="W354" s="38">
        <f>(1000*CHOOSE(CONTROL!$C$42, 0.1146, 0.1146)*CHOOSE(CONTROL!$C$42, 121.5, 121.5)*CHOOSE(CONTROL!$C$42, 30, 30))/1000000</f>
        <v>0.417717</v>
      </c>
      <c r="X354" s="38">
        <f>(30*0.1790888*245000/1000000)+(30*0.2374*100000/1000000)</f>
        <v>2.0285026799999999</v>
      </c>
      <c r="Y354" s="38">
        <f>(1000*600*CHOOSE(CONTROL!$C$42, 1.1072, 1.1072)*CHOOSE(CONTROL!$C$42, 30, 30))/1000000</f>
        <v>19.929600000000001</v>
      </c>
      <c r="Z354" s="38"/>
      <c r="AA354" s="10"/>
      <c r="AB354" s="39"/>
      <c r="AC354" s="33">
        <f>(B354*194.205+C354*267.466+D354*133.845+E354*53.484+F354*40+G354*185+H354*0+I354*100+J354*300)/(194.205+267.466+133.845+53.484+0+40+185+100+300)</f>
        <v>11.186261199921507</v>
      </c>
      <c r="AD354" s="27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11.089025179856115</v>
      </c>
    </row>
    <row r="355" spans="1:30" ht="15.75" x14ac:dyDescent="0.25">
      <c r="A355" s="14">
        <v>52078</v>
      </c>
      <c r="B355" s="10">
        <f>CHOOSE(CONTROL!$C$42, 10.9668, 10.9668) * CHOOSE(CONTROL!$C$21, $C$9, 100%, $E$9)</f>
        <v>10.966799999999999</v>
      </c>
      <c r="C355" s="10">
        <f>CHOOSE(CONTROL!$C$42, 10.9748, 10.9748) * CHOOSE(CONTROL!$C$21, $C$9, 100%, $E$9)</f>
        <v>10.9748</v>
      </c>
      <c r="D355" s="10">
        <f>CHOOSE(CONTROL!$C$42, 11.1499, 11.1499) * CHOOSE(CONTROL!$C$21, $C$9, 100%, $E$9)</f>
        <v>11.149900000000001</v>
      </c>
      <c r="E355" s="10">
        <f>CHOOSE(CONTROL!$C$42, 11.1811, 11.1811) * CHOOSE(CONTROL!$C$21, $C$9, 100%, $E$9)</f>
        <v>11.181100000000001</v>
      </c>
      <c r="F355" s="10">
        <f>CHOOSE(CONTROL!$C$42, 10.909, 10.909)*CHOOSE(CONTROL!$C$21, $C$9, 100%, $E$9)</f>
        <v>10.909000000000001</v>
      </c>
      <c r="G355" s="10">
        <f>CHOOSE(CONTROL!$C$42, 10.926, 10.926)*CHOOSE(CONTROL!$C$21, $C$9, 100%, $E$9)</f>
        <v>10.926</v>
      </c>
      <c r="H355" s="10">
        <f>CHOOSE(CONTROL!$C$42, 11.1695, 11.1695) * CHOOSE(CONTROL!$C$21, $C$9, 100%, $E$9)</f>
        <v>11.169499999999999</v>
      </c>
      <c r="I355" s="10">
        <f>CHOOSE(CONTROL!$C$42, 10.9414, 10.9414)* CHOOSE(CONTROL!$C$21, $C$9, 100%, $E$9)</f>
        <v>10.9414</v>
      </c>
      <c r="J355" s="10">
        <f>CHOOSE(CONTROL!$C$42, 10.9016, 10.9016)* CHOOSE(CONTROL!$C$21, $C$9, 100%, $E$9)</f>
        <v>10.9016</v>
      </c>
      <c r="K355" s="10">
        <f>CHOOSE(CONTROL!$C$42, 10.7577, 10.7577) * CHOOSE(CONTROL!$C$21, $C$9, 100%, $E$9)</f>
        <v>10.7577</v>
      </c>
      <c r="L355" s="10">
        <f>CHOOSE(CONTROL!$C$42, 11.7565, 11.7565) * CHOOSE(CONTROL!$C$21, $C$9, 100%, $E$9)</f>
        <v>11.756500000000001</v>
      </c>
      <c r="M355" s="10">
        <f>CHOOSE(CONTROL!$C$42, 10.7935, 10.7935) * CHOOSE(CONTROL!$C$21, $C$9, 100%, $E$9)</f>
        <v>10.7935</v>
      </c>
      <c r="N355" s="10">
        <f>CHOOSE(CONTROL!$C$42, 10.8103, 10.8103) * CHOOSE(CONTROL!$C$21, $C$9, 100%, $E$9)</f>
        <v>10.8103</v>
      </c>
      <c r="O355" s="10">
        <f>CHOOSE(CONTROL!$C$42, 11.0579, 11.0579) * CHOOSE(CONTROL!$C$21, $C$9, 100%, $E$9)</f>
        <v>11.0579</v>
      </c>
      <c r="P355" s="10">
        <f>CHOOSE(CONTROL!$C$42, 10.8329, 10.8329) * CHOOSE(CONTROL!$C$21, $C$9, 100%, $E$9)</f>
        <v>10.8329</v>
      </c>
      <c r="Q355" s="10">
        <f>CHOOSE(CONTROL!$C$42, 11.6532, 11.6532) * CHOOSE(CONTROL!$C$21, $C$9, 100%, $E$9)</f>
        <v>11.6532</v>
      </c>
      <c r="R355" s="10">
        <f>CHOOSE(CONTROL!$C$42, 12.2693, 12.2693) * CHOOSE(CONTROL!$C$21, $C$9, 100%, $E$9)</f>
        <v>12.269299999999999</v>
      </c>
      <c r="S355" s="10">
        <f>CHOOSE(CONTROL!$C$42, 10.6337, 10.6337) * CHOOSE(CONTROL!$C$21, $C$9, 100%, $E$9)</f>
        <v>10.633699999999999</v>
      </c>
      <c r="T3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38">
        <f>(1000*CHOOSE(CONTROL!$C$42, 695, 695)*CHOOSE(CONTROL!$C$42, 0.5599, 0.5599)*CHOOSE(CONTROL!$C$42, 31, 31))/1000000</f>
        <v>12.063045499999998</v>
      </c>
      <c r="V355" s="38">
        <f>(1000*CHOOSE(CONTROL!$C$42, 500, 500)*CHOOSE(CONTROL!$C$42, 0.275, 0.275)*CHOOSE(CONTROL!$C$42, 31, 31))/1000000</f>
        <v>4.2625000000000002</v>
      </c>
      <c r="W355" s="38">
        <f>(1000*CHOOSE(CONTROL!$C$42, 0.1146, 0.1146)*CHOOSE(CONTROL!$C$42, 121.5, 121.5)*CHOOSE(CONTROL!$C$42, 31, 31))/1000000</f>
        <v>0.43164089999999994</v>
      </c>
      <c r="X355" s="38">
        <f>(31*0.1790888*245000/1000000)+(31*0.2374*100000/1000000)</f>
        <v>2.0961194359999999</v>
      </c>
      <c r="Y355" s="38">
        <f>(1000*600*CHOOSE(CONTROL!$C$42, 1.1072, 1.1072)*CHOOSE(CONTROL!$C$42, 31, 31))/1000000</f>
        <v>20.593920000000001</v>
      </c>
      <c r="Z355" s="38"/>
      <c r="AA355" s="10"/>
      <c r="AB355" s="39"/>
      <c r="AC355" s="33">
        <f>(B355*194.205+C355*267.466+D355*133.845+E355*53.484+F355*40+G355*185+H355*0+I355*100+J355*300)/(194.205+267.466+133.845+53.484+0+40+185+100+300)</f>
        <v>10.971626035086341</v>
      </c>
      <c r="AD355" s="27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10.877220863309352</v>
      </c>
    </row>
    <row r="356" spans="1:30" ht="15.75" x14ac:dyDescent="0.25">
      <c r="A356" s="14">
        <v>52109</v>
      </c>
      <c r="B356" s="10">
        <f>CHOOSE(CONTROL!$C$42, 10.4244, 10.4244) * CHOOSE(CONTROL!$C$21, $C$9, 100%, $E$9)</f>
        <v>10.4244</v>
      </c>
      <c r="C356" s="10">
        <f>CHOOSE(CONTROL!$C$42, 10.4324, 10.4324) * CHOOSE(CONTROL!$C$21, $C$9, 100%, $E$9)</f>
        <v>10.432399999999999</v>
      </c>
      <c r="D356" s="10">
        <f>CHOOSE(CONTROL!$C$42, 10.6075, 10.6075) * CHOOSE(CONTROL!$C$21, $C$9, 100%, $E$9)</f>
        <v>10.6075</v>
      </c>
      <c r="E356" s="10">
        <f>CHOOSE(CONTROL!$C$42, 10.6387, 10.6387) * CHOOSE(CONTROL!$C$21, $C$9, 100%, $E$9)</f>
        <v>10.6387</v>
      </c>
      <c r="F356" s="10">
        <f>CHOOSE(CONTROL!$C$42, 10.3665, 10.3665)*CHOOSE(CONTROL!$C$21, $C$9, 100%, $E$9)</f>
        <v>10.3665</v>
      </c>
      <c r="G356" s="10">
        <f>CHOOSE(CONTROL!$C$42, 10.3835, 10.3835)*CHOOSE(CONTROL!$C$21, $C$9, 100%, $E$9)</f>
        <v>10.3835</v>
      </c>
      <c r="H356" s="10">
        <f>CHOOSE(CONTROL!$C$42, 10.6271, 10.6271) * CHOOSE(CONTROL!$C$21, $C$9, 100%, $E$9)</f>
        <v>10.6271</v>
      </c>
      <c r="I356" s="10">
        <f>CHOOSE(CONTROL!$C$42, 10.399, 10.399)* CHOOSE(CONTROL!$C$21, $C$9, 100%, $E$9)</f>
        <v>10.398999999999999</v>
      </c>
      <c r="J356" s="10">
        <f>CHOOSE(CONTROL!$C$42, 10.3591, 10.3591)* CHOOSE(CONTROL!$C$21, $C$9, 100%, $E$9)</f>
        <v>10.3591</v>
      </c>
      <c r="K356" s="10">
        <f>CHOOSE(CONTROL!$C$42, 10.232, 10.232) * CHOOSE(CONTROL!$C$21, $C$9, 100%, $E$9)</f>
        <v>10.231999999999999</v>
      </c>
      <c r="L356" s="10">
        <f>CHOOSE(CONTROL!$C$42, 11.2141, 11.2141) * CHOOSE(CONTROL!$C$21, $C$9, 100%, $E$9)</f>
        <v>11.2141</v>
      </c>
      <c r="M356" s="10">
        <f>CHOOSE(CONTROL!$C$42, 10.258, 10.258) * CHOOSE(CONTROL!$C$21, $C$9, 100%, $E$9)</f>
        <v>10.257999999999999</v>
      </c>
      <c r="N356" s="10">
        <f>CHOOSE(CONTROL!$C$42, 10.2748, 10.2748) * CHOOSE(CONTROL!$C$21, $C$9, 100%, $E$9)</f>
        <v>10.274800000000001</v>
      </c>
      <c r="O356" s="10">
        <f>CHOOSE(CONTROL!$C$42, 10.5225, 10.5225) * CHOOSE(CONTROL!$C$21, $C$9, 100%, $E$9)</f>
        <v>10.522500000000001</v>
      </c>
      <c r="P356" s="10">
        <f>CHOOSE(CONTROL!$C$42, 10.2975, 10.2975) * CHOOSE(CONTROL!$C$21, $C$9, 100%, $E$9)</f>
        <v>10.297499999999999</v>
      </c>
      <c r="Q356" s="10">
        <f>CHOOSE(CONTROL!$C$42, 11.1178, 11.1178) * CHOOSE(CONTROL!$C$21, $C$9, 100%, $E$9)</f>
        <v>11.117800000000001</v>
      </c>
      <c r="R356" s="10">
        <f>CHOOSE(CONTROL!$C$42, 11.7326, 11.7326) * CHOOSE(CONTROL!$C$21, $C$9, 100%, $E$9)</f>
        <v>11.7326</v>
      </c>
      <c r="S356" s="10">
        <f>CHOOSE(CONTROL!$C$42, 10.1085, 10.1085) * CHOOSE(CONTROL!$C$21, $C$9, 100%, $E$9)</f>
        <v>10.108499999999999</v>
      </c>
      <c r="T3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38">
        <f>(1000*CHOOSE(CONTROL!$C$42, 695, 695)*CHOOSE(CONTROL!$C$42, 0.5599, 0.5599)*CHOOSE(CONTROL!$C$42, 31, 31))/1000000</f>
        <v>12.063045499999998</v>
      </c>
      <c r="V356" s="38">
        <f>(1000*CHOOSE(CONTROL!$C$42, 500, 500)*CHOOSE(CONTROL!$C$42, 0.275, 0.275)*CHOOSE(CONTROL!$C$42, 31, 31))/1000000</f>
        <v>4.2625000000000002</v>
      </c>
      <c r="W356" s="38">
        <f>(1000*CHOOSE(CONTROL!$C$42, 0.1146, 0.1146)*CHOOSE(CONTROL!$C$42, 121.5, 121.5)*CHOOSE(CONTROL!$C$42, 31, 31))/1000000</f>
        <v>0.43164089999999994</v>
      </c>
      <c r="X356" s="38">
        <f>(31*0.1790888*245000/1000000)+(31*0.2374*100000/1000000)</f>
        <v>2.0961194359999999</v>
      </c>
      <c r="Y356" s="38">
        <f>(1000*600*CHOOSE(CONTROL!$C$42, 1.1072, 1.1072)*CHOOSE(CONTROL!$C$42, 31, 31))/1000000</f>
        <v>20.593920000000001</v>
      </c>
      <c r="Z356" s="38"/>
      <c r="AA356" s="10"/>
      <c r="AB356" s="39"/>
      <c r="AC356" s="33">
        <f>(B356*194.205+C356*267.466+D356*133.845+E356*53.484+F356*40+G356*185+H356*0+I356*100+J356*300)/(194.205+267.466+133.845+53.484+0+40+185+100+300)</f>
        <v>10.429184826295133</v>
      </c>
      <c r="AD356" s="27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10.341763309352517</v>
      </c>
    </row>
    <row r="357" spans="1:30" ht="15.75" x14ac:dyDescent="0.25">
      <c r="A357" s="14">
        <v>52139</v>
      </c>
      <c r="B357" s="10">
        <f>CHOOSE(CONTROL!$C$42, 9.7617, 9.7617) * CHOOSE(CONTROL!$C$21, $C$9, 100%, $E$9)</f>
        <v>9.7616999999999994</v>
      </c>
      <c r="C357" s="10">
        <f>CHOOSE(CONTROL!$C$42, 9.7697, 9.7697) * CHOOSE(CONTROL!$C$21, $C$9, 100%, $E$9)</f>
        <v>9.7697000000000003</v>
      </c>
      <c r="D357" s="10">
        <f>CHOOSE(CONTROL!$C$42, 9.9448, 9.9448) * CHOOSE(CONTROL!$C$21, $C$9, 100%, $E$9)</f>
        <v>9.9448000000000008</v>
      </c>
      <c r="E357" s="10">
        <f>CHOOSE(CONTROL!$C$42, 9.976, 9.976) * CHOOSE(CONTROL!$C$21, $C$9, 100%, $E$9)</f>
        <v>9.9760000000000009</v>
      </c>
      <c r="F357" s="10">
        <f>CHOOSE(CONTROL!$C$42, 9.7035, 9.7035)*CHOOSE(CONTROL!$C$21, $C$9, 100%, $E$9)</f>
        <v>9.7035</v>
      </c>
      <c r="G357" s="10">
        <f>CHOOSE(CONTROL!$C$42, 9.7204, 9.7204)*CHOOSE(CONTROL!$C$21, $C$9, 100%, $E$9)</f>
        <v>9.7203999999999997</v>
      </c>
      <c r="H357" s="10">
        <f>CHOOSE(CONTROL!$C$42, 9.9644, 9.9644) * CHOOSE(CONTROL!$C$21, $C$9, 100%, $E$9)</f>
        <v>9.9643999999999995</v>
      </c>
      <c r="I357" s="10">
        <f>CHOOSE(CONTROL!$C$42, 9.7363, 9.7363)* CHOOSE(CONTROL!$C$21, $C$9, 100%, $E$9)</f>
        <v>9.7363</v>
      </c>
      <c r="J357" s="10">
        <f>CHOOSE(CONTROL!$C$42, 9.6961, 9.6961)* CHOOSE(CONTROL!$C$21, $C$9, 100%, $E$9)</f>
        <v>9.6960999999999995</v>
      </c>
      <c r="K357" s="10">
        <f>CHOOSE(CONTROL!$C$42, 9.5892, 9.5892) * CHOOSE(CONTROL!$C$21, $C$9, 100%, $E$9)</f>
        <v>9.5891999999999999</v>
      </c>
      <c r="L357" s="10">
        <f>CHOOSE(CONTROL!$C$42, 10.5514, 10.5514) * CHOOSE(CONTROL!$C$21, $C$9, 100%, $E$9)</f>
        <v>10.551399999999999</v>
      </c>
      <c r="M357" s="10">
        <f>CHOOSE(CONTROL!$C$42, 9.6036, 9.6036) * CHOOSE(CONTROL!$C$21, $C$9, 100%, $E$9)</f>
        <v>9.6036000000000001</v>
      </c>
      <c r="N357" s="10">
        <f>CHOOSE(CONTROL!$C$42, 9.6203, 9.6203) * CHOOSE(CONTROL!$C$21, $C$9, 100%, $E$9)</f>
        <v>9.6203000000000003</v>
      </c>
      <c r="O357" s="10">
        <f>CHOOSE(CONTROL!$C$42, 9.8684, 9.8684) * CHOOSE(CONTROL!$C$21, $C$9, 100%, $E$9)</f>
        <v>9.8683999999999994</v>
      </c>
      <c r="P357" s="10">
        <f>CHOOSE(CONTROL!$C$42, 9.6434, 9.6434) * CHOOSE(CONTROL!$C$21, $C$9, 100%, $E$9)</f>
        <v>9.6433999999999997</v>
      </c>
      <c r="Q357" s="10">
        <f>CHOOSE(CONTROL!$C$42, 10.4637, 10.4637) * CHOOSE(CONTROL!$C$21, $C$9, 100%, $E$9)</f>
        <v>10.463699999999999</v>
      </c>
      <c r="R357" s="10">
        <f>CHOOSE(CONTROL!$C$42, 11.0769, 11.0769) * CHOOSE(CONTROL!$C$21, $C$9, 100%, $E$9)</f>
        <v>11.0769</v>
      </c>
      <c r="S357" s="10">
        <f>CHOOSE(CONTROL!$C$42, 9.4668, 9.4668) * CHOOSE(CONTROL!$C$21, $C$9, 100%, $E$9)</f>
        <v>9.4667999999999992</v>
      </c>
      <c r="T3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38">
        <f>(1000*CHOOSE(CONTROL!$C$42, 695, 695)*CHOOSE(CONTROL!$C$42, 0.5599, 0.5599)*CHOOSE(CONTROL!$C$42, 30, 30))/1000000</f>
        <v>11.673914999999997</v>
      </c>
      <c r="V357" s="38">
        <f>(1000*CHOOSE(CONTROL!$C$42, 500, 500)*CHOOSE(CONTROL!$C$42, 0.275, 0.275)*CHOOSE(CONTROL!$C$42, 30, 30))/1000000</f>
        <v>4.125</v>
      </c>
      <c r="W357" s="38">
        <f>(1000*CHOOSE(CONTROL!$C$42, 0.1146, 0.1146)*CHOOSE(CONTROL!$C$42, 121.5, 121.5)*CHOOSE(CONTROL!$C$42, 30, 30))/1000000</f>
        <v>0.417717</v>
      </c>
      <c r="X357" s="38">
        <f>(30*0.1790888*245000/1000000)+(30*0.2374*100000/1000000)</f>
        <v>2.0285026799999999</v>
      </c>
      <c r="Y357" s="38">
        <f>(1000*600*CHOOSE(CONTROL!$C$42, 1.1072, 1.1072)*CHOOSE(CONTROL!$C$42, 30, 30))/1000000</f>
        <v>19.929600000000001</v>
      </c>
      <c r="Z357" s="38"/>
      <c r="AA357" s="10"/>
      <c r="AB357" s="39"/>
      <c r="AC357" s="33">
        <f>(B357*194.205+C357*267.466+D357*133.845+E357*53.484+F357*40+G357*185+H357*0+I357*100+J357*300)/(194.205+267.466+133.845+53.484+0+40+185+100+300)</f>
        <v>9.7663466787284143</v>
      </c>
      <c r="AD357" s="27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9.6874676258992807</v>
      </c>
    </row>
    <row r="358" spans="1:30" ht="15.75" x14ac:dyDescent="0.25">
      <c r="A358" s="14">
        <v>52170</v>
      </c>
      <c r="B358" s="10">
        <f>CHOOSE(CONTROL!$C$42, 9.5611, 9.5611) * CHOOSE(CONTROL!$C$21, $C$9, 100%, $E$9)</f>
        <v>9.5610999999999997</v>
      </c>
      <c r="C358" s="10">
        <f>CHOOSE(CONTROL!$C$42, 9.5664, 9.5664) * CHOOSE(CONTROL!$C$21, $C$9, 100%, $E$9)</f>
        <v>9.5663999999999998</v>
      </c>
      <c r="D358" s="10">
        <f>CHOOSE(CONTROL!$C$42, 9.7464, 9.7464) * CHOOSE(CONTROL!$C$21, $C$9, 100%, $E$9)</f>
        <v>9.7463999999999995</v>
      </c>
      <c r="E358" s="10">
        <f>CHOOSE(CONTROL!$C$42, 9.7754, 9.7754) * CHOOSE(CONTROL!$C$21, $C$9, 100%, $E$9)</f>
        <v>9.7753999999999994</v>
      </c>
      <c r="F358" s="10">
        <f>CHOOSE(CONTROL!$C$42, 9.5049, 9.5049)*CHOOSE(CONTROL!$C$21, $C$9, 100%, $E$9)</f>
        <v>9.5048999999999992</v>
      </c>
      <c r="G358" s="10">
        <f>CHOOSE(CONTROL!$C$42, 9.5215, 9.5215)*CHOOSE(CONTROL!$C$21, $C$9, 100%, $E$9)</f>
        <v>9.5214999999999996</v>
      </c>
      <c r="H358" s="10">
        <f>CHOOSE(CONTROL!$C$42, 9.7655, 9.7655) * CHOOSE(CONTROL!$C$21, $C$9, 100%, $E$9)</f>
        <v>9.7654999999999994</v>
      </c>
      <c r="I358" s="10">
        <f>CHOOSE(CONTROL!$C$42, 9.5375, 9.5375)* CHOOSE(CONTROL!$C$21, $C$9, 100%, $E$9)</f>
        <v>9.5374999999999996</v>
      </c>
      <c r="J358" s="10">
        <f>CHOOSE(CONTROL!$C$42, 9.4975, 9.4975)* CHOOSE(CONTROL!$C$21, $C$9, 100%, $E$9)</f>
        <v>9.4975000000000005</v>
      </c>
      <c r="K358" s="10">
        <f>CHOOSE(CONTROL!$C$42, 9.3972, 9.3972) * CHOOSE(CONTROL!$C$21, $C$9, 100%, $E$9)</f>
        <v>9.3971999999999998</v>
      </c>
      <c r="L358" s="10">
        <f>CHOOSE(CONTROL!$C$42, 10.3525, 10.3525) * CHOOSE(CONTROL!$C$21, $C$9, 100%, $E$9)</f>
        <v>10.352499999999999</v>
      </c>
      <c r="M358" s="10">
        <f>CHOOSE(CONTROL!$C$42, 9.4076, 9.4076) * CHOOSE(CONTROL!$C$21, $C$9, 100%, $E$9)</f>
        <v>9.4076000000000004</v>
      </c>
      <c r="N358" s="10">
        <f>CHOOSE(CONTROL!$C$42, 9.424, 9.424) * CHOOSE(CONTROL!$C$21, $C$9, 100%, $E$9)</f>
        <v>9.4239999999999995</v>
      </c>
      <c r="O358" s="10">
        <f>CHOOSE(CONTROL!$C$42, 9.6721, 9.6721) * CHOOSE(CONTROL!$C$21, $C$9, 100%, $E$9)</f>
        <v>9.6721000000000004</v>
      </c>
      <c r="P358" s="10">
        <f>CHOOSE(CONTROL!$C$42, 9.4471, 9.4471) * CHOOSE(CONTROL!$C$21, $C$9, 100%, $E$9)</f>
        <v>9.4471000000000007</v>
      </c>
      <c r="Q358" s="10">
        <f>CHOOSE(CONTROL!$C$42, 10.2674, 10.2674) * CHOOSE(CONTROL!$C$21, $C$9, 100%, $E$9)</f>
        <v>10.2674</v>
      </c>
      <c r="R358" s="10">
        <f>CHOOSE(CONTROL!$C$42, 10.8801, 10.8801) * CHOOSE(CONTROL!$C$21, $C$9, 100%, $E$9)</f>
        <v>10.880100000000001</v>
      </c>
      <c r="S358" s="10">
        <f>CHOOSE(CONTROL!$C$42, 9.2743, 9.2743) * CHOOSE(CONTROL!$C$21, $C$9, 100%, $E$9)</f>
        <v>9.2743000000000002</v>
      </c>
      <c r="T3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38">
        <f>(1000*CHOOSE(CONTROL!$C$42, 695, 695)*CHOOSE(CONTROL!$C$42, 0.5599, 0.5599)*CHOOSE(CONTROL!$C$42, 31, 31))/1000000</f>
        <v>12.063045499999998</v>
      </c>
      <c r="V358" s="38">
        <f>(1000*CHOOSE(CONTROL!$C$42, 500, 500)*CHOOSE(CONTROL!$C$42, 0.275, 0.275)*CHOOSE(CONTROL!$C$42, 31, 31))/1000000</f>
        <v>4.2625000000000002</v>
      </c>
      <c r="W358" s="38">
        <f>(1000*CHOOSE(CONTROL!$C$42, 0.1146, 0.1146)*CHOOSE(CONTROL!$C$42, 121.5, 121.5)*CHOOSE(CONTROL!$C$42, 31, 31))/1000000</f>
        <v>0.43164089999999994</v>
      </c>
      <c r="X358" s="38">
        <f>(31*0.1790888*245000/1000000)+(31*0.2374*100000/1000000)</f>
        <v>2.0961194359999999</v>
      </c>
      <c r="Y358" s="38">
        <f>(1000*600*CHOOSE(CONTROL!$C$42, 1.1072, 1.1072)*CHOOSE(CONTROL!$C$42, 31, 31))/1000000</f>
        <v>20.593920000000001</v>
      </c>
      <c r="Z358" s="38"/>
      <c r="AA358" s="10"/>
      <c r="AB358" s="39"/>
      <c r="AC358" s="33">
        <f>(B358*131.881+C358*277.167+D358*79.08+E358*125.872+F358*40+G358*185+H358*0+I358*100+J358*300)/(131.881+277.167+79.08+125.872+0+40+185+100+300)</f>
        <v>9.570852121630347</v>
      </c>
      <c r="AD358" s="27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9.4912712230215828</v>
      </c>
    </row>
    <row r="359" spans="1:30" ht="15.75" x14ac:dyDescent="0.25">
      <c r="A359" s="14">
        <v>52200</v>
      </c>
      <c r="B359" s="10">
        <f>CHOOSE(CONTROL!$C$42, 9.813, 9.813) * CHOOSE(CONTROL!$C$21, $C$9, 100%, $E$9)</f>
        <v>9.8130000000000006</v>
      </c>
      <c r="C359" s="10">
        <f>CHOOSE(CONTROL!$C$42, 9.8181, 9.8181) * CHOOSE(CONTROL!$C$21, $C$9, 100%, $E$9)</f>
        <v>9.8180999999999994</v>
      </c>
      <c r="D359" s="10">
        <f>CHOOSE(CONTROL!$C$42, 9.8428, 9.8428) * CHOOSE(CONTROL!$C$21, $C$9, 100%, $E$9)</f>
        <v>9.8428000000000004</v>
      </c>
      <c r="E359" s="10">
        <f>CHOOSE(CONTROL!$C$42, 9.8766, 9.8766) * CHOOSE(CONTROL!$C$21, $C$9, 100%, $E$9)</f>
        <v>9.8765999999999998</v>
      </c>
      <c r="F359" s="10">
        <f>CHOOSE(CONTROL!$C$42, 9.7786, 9.7786)*CHOOSE(CONTROL!$C$21, $C$9, 100%, $E$9)</f>
        <v>9.7786000000000008</v>
      </c>
      <c r="G359" s="10">
        <f>CHOOSE(CONTROL!$C$42, 9.7954, 9.7954)*CHOOSE(CONTROL!$C$21, $C$9, 100%, $E$9)</f>
        <v>9.7954000000000008</v>
      </c>
      <c r="H359" s="10">
        <f>CHOOSE(CONTROL!$C$42, 9.8655, 9.8655) * CHOOSE(CONTROL!$C$21, $C$9, 100%, $E$9)</f>
        <v>9.8655000000000008</v>
      </c>
      <c r="I359" s="10">
        <f>CHOOSE(CONTROL!$C$42, 9.8125, 9.8125)* CHOOSE(CONTROL!$C$21, $C$9, 100%, $E$9)</f>
        <v>9.8125</v>
      </c>
      <c r="J359" s="10">
        <f>CHOOSE(CONTROL!$C$42, 9.7712, 9.7712)* CHOOSE(CONTROL!$C$21, $C$9, 100%, $E$9)</f>
        <v>9.7712000000000003</v>
      </c>
      <c r="K359" s="10">
        <f>CHOOSE(CONTROL!$C$42, 9.6654, 9.6654) * CHOOSE(CONTROL!$C$21, $C$9, 100%, $E$9)</f>
        <v>9.6654</v>
      </c>
      <c r="L359" s="10">
        <f>CHOOSE(CONTROL!$C$42, 10.4525, 10.4525) * CHOOSE(CONTROL!$C$21, $C$9, 100%, $E$9)</f>
        <v>10.452500000000001</v>
      </c>
      <c r="M359" s="10">
        <f>CHOOSE(CONTROL!$C$42, 9.6778, 9.6778) * CHOOSE(CONTROL!$C$21, $C$9, 100%, $E$9)</f>
        <v>9.6777999999999995</v>
      </c>
      <c r="N359" s="10">
        <f>CHOOSE(CONTROL!$C$42, 9.6944, 9.6944) * CHOOSE(CONTROL!$C$21, $C$9, 100%, $E$9)</f>
        <v>9.6943999999999999</v>
      </c>
      <c r="O359" s="10">
        <f>CHOOSE(CONTROL!$C$42, 9.7708, 9.7708) * CHOOSE(CONTROL!$C$21, $C$9, 100%, $E$9)</f>
        <v>9.7707999999999995</v>
      </c>
      <c r="P359" s="10">
        <f>CHOOSE(CONTROL!$C$42, 9.7186, 9.7186) * CHOOSE(CONTROL!$C$21, $C$9, 100%, $E$9)</f>
        <v>9.7186000000000003</v>
      </c>
      <c r="Q359" s="10">
        <f>CHOOSE(CONTROL!$C$42, 10.3661, 10.3661) * CHOOSE(CONTROL!$C$21, $C$9, 100%, $E$9)</f>
        <v>10.366099999999999</v>
      </c>
      <c r="R359" s="10">
        <f>CHOOSE(CONTROL!$C$42, 10.979, 10.979) * CHOOSE(CONTROL!$C$21, $C$9, 100%, $E$9)</f>
        <v>10.978999999999999</v>
      </c>
      <c r="S359" s="10">
        <f>CHOOSE(CONTROL!$C$42, 9.5186, 9.5186) * CHOOSE(CONTROL!$C$21, $C$9, 100%, $E$9)</f>
        <v>9.5185999999999993</v>
      </c>
      <c r="T3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38">
        <f>(1000*CHOOSE(CONTROL!$C$42, 695, 695)*CHOOSE(CONTROL!$C$42, 0.5599, 0.5599)*CHOOSE(CONTROL!$C$42, 30, 30))/1000000</f>
        <v>11.673914999999997</v>
      </c>
      <c r="V359" s="38">
        <f>(1000*CHOOSE(CONTROL!$C$42, 500, 500)*CHOOSE(CONTROL!$C$42, 0.275, 0.275)*CHOOSE(CONTROL!$C$42, 30, 30))/1000000</f>
        <v>4.125</v>
      </c>
      <c r="W359" s="38">
        <f>(1000*CHOOSE(CONTROL!$C$42, 0.1146, 0.1146)*CHOOSE(CONTROL!$C$42, 121.5, 121.5)*CHOOSE(CONTROL!$C$42, 30, 30))/1000000</f>
        <v>0.417717</v>
      </c>
      <c r="X359" s="38">
        <f>(30*0.1790888*100000/1000000)+(30*0.2374*100000/1000000)</f>
        <v>1.2494664</v>
      </c>
      <c r="Y359" s="38">
        <f>(1000*600*CHOOSE(CONTROL!$C$42, 1.1072, 1.1072)*CHOOSE(CONTROL!$C$42, 30, 30))/1000000</f>
        <v>19.929600000000001</v>
      </c>
      <c r="Z359" s="38"/>
      <c r="AA359" s="10"/>
      <c r="AB359" s="39"/>
      <c r="AC359" s="33">
        <f>(B359*122.58+C359*297.941+D359*89.177+E359*40.302+F359*40+G359*160+H359*0+I359*100+J359*300)/(122.58+297.941+89.177+40.302+0+40+160+100+300)</f>
        <v>9.8042679833913038</v>
      </c>
      <c r="AD359" s="27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9.7267769784172664</v>
      </c>
    </row>
    <row r="360" spans="1:30" ht="15.75" x14ac:dyDescent="0.25">
      <c r="A360" s="14">
        <v>52231</v>
      </c>
      <c r="B360" s="10">
        <f>CHOOSE(CONTROL!$C$42, 10.4831, 10.4831) * CHOOSE(CONTROL!$C$21, $C$9, 100%, $E$9)</f>
        <v>10.4831</v>
      </c>
      <c r="C360" s="10">
        <f>CHOOSE(CONTROL!$C$42, 10.4882, 10.4882) * CHOOSE(CONTROL!$C$21, $C$9, 100%, $E$9)</f>
        <v>10.488200000000001</v>
      </c>
      <c r="D360" s="10">
        <f>CHOOSE(CONTROL!$C$42, 10.5129, 10.5129) * CHOOSE(CONTROL!$C$21, $C$9, 100%, $E$9)</f>
        <v>10.5129</v>
      </c>
      <c r="E360" s="10">
        <f>CHOOSE(CONTROL!$C$42, 10.5467, 10.5467) * CHOOSE(CONTROL!$C$21, $C$9, 100%, $E$9)</f>
        <v>10.5467</v>
      </c>
      <c r="F360" s="10">
        <f>CHOOSE(CONTROL!$C$42, 10.4506, 10.4506)*CHOOSE(CONTROL!$C$21, $C$9, 100%, $E$9)</f>
        <v>10.4506</v>
      </c>
      <c r="G360" s="10">
        <f>CHOOSE(CONTROL!$C$42, 10.4678, 10.4678)*CHOOSE(CONTROL!$C$21, $C$9, 100%, $E$9)</f>
        <v>10.4678</v>
      </c>
      <c r="H360" s="10">
        <f>CHOOSE(CONTROL!$C$42, 10.5356, 10.5356) * CHOOSE(CONTROL!$C$21, $C$9, 100%, $E$9)</f>
        <v>10.535600000000001</v>
      </c>
      <c r="I360" s="10">
        <f>CHOOSE(CONTROL!$C$42, 10.4826, 10.4826)* CHOOSE(CONTROL!$C$21, $C$9, 100%, $E$9)</f>
        <v>10.4826</v>
      </c>
      <c r="J360" s="10">
        <f>CHOOSE(CONTROL!$C$42, 10.4432, 10.4432)* CHOOSE(CONTROL!$C$21, $C$9, 100%, $E$9)</f>
        <v>10.443199999999999</v>
      </c>
      <c r="K360" s="10">
        <f>CHOOSE(CONTROL!$C$42, 10.3185, 10.3185) * CHOOSE(CONTROL!$C$21, $C$9, 100%, $E$9)</f>
        <v>10.3185</v>
      </c>
      <c r="L360" s="10">
        <f>CHOOSE(CONTROL!$C$42, 11.1226, 11.1226) * CHOOSE(CONTROL!$C$21, $C$9, 100%, $E$9)</f>
        <v>11.1226</v>
      </c>
      <c r="M360" s="10">
        <f>CHOOSE(CONTROL!$C$42, 10.341, 10.341) * CHOOSE(CONTROL!$C$21, $C$9, 100%, $E$9)</f>
        <v>10.340999999999999</v>
      </c>
      <c r="N360" s="10">
        <f>CHOOSE(CONTROL!$C$42, 10.3581, 10.3581) * CHOOSE(CONTROL!$C$21, $C$9, 100%, $E$9)</f>
        <v>10.3581</v>
      </c>
      <c r="O360" s="10">
        <f>CHOOSE(CONTROL!$C$42, 10.4323, 10.4323) * CHOOSE(CONTROL!$C$21, $C$9, 100%, $E$9)</f>
        <v>10.4323</v>
      </c>
      <c r="P360" s="10">
        <f>CHOOSE(CONTROL!$C$42, 10.38, 10.38) * CHOOSE(CONTROL!$C$21, $C$9, 100%, $E$9)</f>
        <v>10.38</v>
      </c>
      <c r="Q360" s="10">
        <f>CHOOSE(CONTROL!$C$42, 11.0276, 11.0276) * CHOOSE(CONTROL!$C$21, $C$9, 100%, $E$9)</f>
        <v>11.0276</v>
      </c>
      <c r="R360" s="10">
        <f>CHOOSE(CONTROL!$C$42, 11.6421, 11.6421) * CHOOSE(CONTROL!$C$21, $C$9, 100%, $E$9)</f>
        <v>11.642099999999999</v>
      </c>
      <c r="S360" s="10">
        <f>CHOOSE(CONTROL!$C$42, 10.1675, 10.1675) * CHOOSE(CONTROL!$C$21, $C$9, 100%, $E$9)</f>
        <v>10.1675</v>
      </c>
      <c r="T3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38">
        <f>(1000*CHOOSE(CONTROL!$C$42, 695, 695)*CHOOSE(CONTROL!$C$42, 0.5599, 0.5599)*CHOOSE(CONTROL!$C$42, 31, 31))/1000000</f>
        <v>12.063045499999998</v>
      </c>
      <c r="V360" s="38">
        <f>(1000*CHOOSE(CONTROL!$C$42, 500, 500)*CHOOSE(CONTROL!$C$42, 0.275, 0.275)*CHOOSE(CONTROL!$C$42, 31, 31))/1000000</f>
        <v>4.2625000000000002</v>
      </c>
      <c r="W360" s="38">
        <f>(1000*CHOOSE(CONTROL!$C$42, 0.1146, 0.1146)*CHOOSE(CONTROL!$C$42, 121.5, 121.5)*CHOOSE(CONTROL!$C$42, 31, 31))/1000000</f>
        <v>0.43164089999999994</v>
      </c>
      <c r="X360" s="38">
        <f>(31*0.1790888*100000/1000000)+(31*0.2374*100000/1000000)</f>
        <v>1.2911152800000001</v>
      </c>
      <c r="Y360" s="38">
        <f>(1000*600*CHOOSE(CONTROL!$C$42, 1.1072, 1.1072)*CHOOSE(CONTROL!$C$42, 31, 31))/1000000</f>
        <v>20.593920000000001</v>
      </c>
      <c r="Z360" s="38"/>
      <c r="AA360" s="10"/>
      <c r="AB360" s="39"/>
      <c r="AC360" s="33">
        <f>(B360*122.58+C360*297.941+D360*89.177+E360*40.302+F360*40+G360*160+H360*0+I360*100+J360*300)/(122.58+297.941+89.177+40.302+0+40+160+100+300)</f>
        <v>10.475249722521738</v>
      </c>
      <c r="AD360" s="27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10.388976258992805</v>
      </c>
    </row>
    <row r="361" spans="1:30" ht="15.75" x14ac:dyDescent="0.25">
      <c r="A361" s="14">
        <v>52262</v>
      </c>
      <c r="B361" s="10">
        <f>CHOOSE(CONTROL!$C$42, 11.1918, 11.1918) * CHOOSE(CONTROL!$C$21, $C$9, 100%, $E$9)</f>
        <v>11.191800000000001</v>
      </c>
      <c r="C361" s="10">
        <f>CHOOSE(CONTROL!$C$42, 11.1969, 11.1969) * CHOOSE(CONTROL!$C$21, $C$9, 100%, $E$9)</f>
        <v>11.196899999999999</v>
      </c>
      <c r="D361" s="10">
        <f>CHOOSE(CONTROL!$C$42, 11.2319, 11.2319) * CHOOSE(CONTROL!$C$21, $C$9, 100%, $E$9)</f>
        <v>11.2319</v>
      </c>
      <c r="E361" s="10">
        <f>CHOOSE(CONTROL!$C$42, 11.2657, 11.2657) * CHOOSE(CONTROL!$C$21, $C$9, 100%, $E$9)</f>
        <v>11.265700000000001</v>
      </c>
      <c r="F361" s="10">
        <f>CHOOSE(CONTROL!$C$42, 11.1731, 11.1731)*CHOOSE(CONTROL!$C$21, $C$9, 100%, $E$9)</f>
        <v>11.1731</v>
      </c>
      <c r="G361" s="10">
        <f>CHOOSE(CONTROL!$C$42, 11.192, 11.192)*CHOOSE(CONTROL!$C$21, $C$9, 100%, $E$9)</f>
        <v>11.192</v>
      </c>
      <c r="H361" s="10">
        <f>CHOOSE(CONTROL!$C$42, 11.2546, 11.2546) * CHOOSE(CONTROL!$C$21, $C$9, 100%, $E$9)</f>
        <v>11.2546</v>
      </c>
      <c r="I361" s="10">
        <f>CHOOSE(CONTROL!$C$42, 11.1991, 11.1991)* CHOOSE(CONTROL!$C$21, $C$9, 100%, $E$9)</f>
        <v>11.1991</v>
      </c>
      <c r="J361" s="10">
        <f>CHOOSE(CONTROL!$C$42, 11.1657, 11.1657)* CHOOSE(CONTROL!$C$21, $C$9, 100%, $E$9)</f>
        <v>11.165699999999999</v>
      </c>
      <c r="K361" s="10">
        <f>CHOOSE(CONTROL!$C$42, 11.0258, 11.0258) * CHOOSE(CONTROL!$C$21, $C$9, 100%, $E$9)</f>
        <v>11.0258</v>
      </c>
      <c r="L361" s="10">
        <f>CHOOSE(CONTROL!$C$42, 11.8416, 11.8416) * CHOOSE(CONTROL!$C$21, $C$9, 100%, $E$9)</f>
        <v>11.8416</v>
      </c>
      <c r="M361" s="10">
        <f>CHOOSE(CONTROL!$C$42, 11.0542, 11.0542) * CHOOSE(CONTROL!$C$21, $C$9, 100%, $E$9)</f>
        <v>11.0542</v>
      </c>
      <c r="N361" s="10">
        <f>CHOOSE(CONTROL!$C$42, 11.0728, 11.0728) * CHOOSE(CONTROL!$C$21, $C$9, 100%, $E$9)</f>
        <v>11.072800000000001</v>
      </c>
      <c r="O361" s="10">
        <f>CHOOSE(CONTROL!$C$42, 11.142, 11.142) * CHOOSE(CONTROL!$C$21, $C$9, 100%, $E$9)</f>
        <v>11.141999999999999</v>
      </c>
      <c r="P361" s="10">
        <f>CHOOSE(CONTROL!$C$42, 11.0872, 11.0872) * CHOOSE(CONTROL!$C$21, $C$9, 100%, $E$9)</f>
        <v>11.087199999999999</v>
      </c>
      <c r="Q361" s="10">
        <f>CHOOSE(CONTROL!$C$42, 11.7373, 11.7373) * CHOOSE(CONTROL!$C$21, $C$9, 100%, $E$9)</f>
        <v>11.737299999999999</v>
      </c>
      <c r="R361" s="10">
        <f>CHOOSE(CONTROL!$C$42, 12.3536, 12.3536) * CHOOSE(CONTROL!$C$21, $C$9, 100%, $E$9)</f>
        <v>12.3536</v>
      </c>
      <c r="S361" s="10">
        <f>CHOOSE(CONTROL!$C$42, 10.8537, 10.8537) * CHOOSE(CONTROL!$C$21, $C$9, 100%, $E$9)</f>
        <v>10.8537</v>
      </c>
      <c r="T3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38">
        <f>(1000*CHOOSE(CONTROL!$C$42, 695, 695)*CHOOSE(CONTROL!$C$42, 0.5599, 0.5599)*CHOOSE(CONTROL!$C$42, 31, 31))/1000000</f>
        <v>12.063045499999998</v>
      </c>
      <c r="V361" s="38">
        <f>(1000*CHOOSE(CONTROL!$C$42, 500, 500)*CHOOSE(CONTROL!$C$42, 0.275, 0.275)*CHOOSE(CONTROL!$C$42, 31, 31))/1000000</f>
        <v>4.2625000000000002</v>
      </c>
      <c r="W361" s="38">
        <f>(1000*CHOOSE(CONTROL!$C$42, 0.1146, 0.1146)*CHOOSE(CONTROL!$C$42, 121.5, 121.5)*CHOOSE(CONTROL!$C$42, 31, 31))/1000000</f>
        <v>0.43164089999999994</v>
      </c>
      <c r="X361" s="38">
        <f>(31*0.1790888*100000/1000000)+(31*0.2374*100000/1000000)</f>
        <v>1.2911152800000001</v>
      </c>
      <c r="Y361" s="38">
        <f>(1000*600*CHOOSE(CONTROL!$C$42, 1.1037, 1.1037)*CHOOSE(CONTROL!$C$42, 31, 31))/1000000</f>
        <v>20.52882</v>
      </c>
      <c r="Z361" s="38"/>
      <c r="AA361" s="10"/>
      <c r="AB361" s="39"/>
      <c r="AC361" s="33">
        <f>(B361*122.58+C361*297.941+D361*89.177+E361*40.302+F361*40+G361*160+H361*0+I361*100+J361*300)/(122.58+297.941+89.177+40.302+0+40+160+100+300)</f>
        <v>11.192024186608693</v>
      </c>
      <c r="AD361" s="27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11.099812949640288</v>
      </c>
    </row>
    <row r="362" spans="1:30" ht="15.75" x14ac:dyDescent="0.25">
      <c r="A362" s="14">
        <v>52290</v>
      </c>
      <c r="B362" s="10">
        <f>CHOOSE(CONTROL!$C$42, 11.3913, 11.3913) * CHOOSE(CONTROL!$C$21, $C$9, 100%, $E$9)</f>
        <v>11.391299999999999</v>
      </c>
      <c r="C362" s="10">
        <f>CHOOSE(CONTROL!$C$42, 11.3964, 11.3964) * CHOOSE(CONTROL!$C$21, $C$9, 100%, $E$9)</f>
        <v>11.3964</v>
      </c>
      <c r="D362" s="10">
        <f>CHOOSE(CONTROL!$C$42, 11.4314, 11.4314) * CHOOSE(CONTROL!$C$21, $C$9, 100%, $E$9)</f>
        <v>11.4314</v>
      </c>
      <c r="E362" s="10">
        <f>CHOOSE(CONTROL!$C$42, 11.4652, 11.4652) * CHOOSE(CONTROL!$C$21, $C$9, 100%, $E$9)</f>
        <v>11.465199999999999</v>
      </c>
      <c r="F362" s="10">
        <f>CHOOSE(CONTROL!$C$42, 11.3721, 11.3721)*CHOOSE(CONTROL!$C$21, $C$9, 100%, $E$9)</f>
        <v>11.3721</v>
      </c>
      <c r="G362" s="10">
        <f>CHOOSE(CONTROL!$C$42, 11.3908, 11.3908)*CHOOSE(CONTROL!$C$21, $C$9, 100%, $E$9)</f>
        <v>11.3908</v>
      </c>
      <c r="H362" s="10">
        <f>CHOOSE(CONTROL!$C$42, 11.4541, 11.4541) * CHOOSE(CONTROL!$C$21, $C$9, 100%, $E$9)</f>
        <v>11.4541</v>
      </c>
      <c r="I362" s="10">
        <f>CHOOSE(CONTROL!$C$42, 11.3986, 11.3986)* CHOOSE(CONTROL!$C$21, $C$9, 100%, $E$9)</f>
        <v>11.3986</v>
      </c>
      <c r="J362" s="10">
        <f>CHOOSE(CONTROL!$C$42, 11.3647, 11.3647)* CHOOSE(CONTROL!$C$21, $C$9, 100%, $E$9)</f>
        <v>11.364699999999999</v>
      </c>
      <c r="K362" s="10">
        <f>CHOOSE(CONTROL!$C$42, 11.2179, 11.2179) * CHOOSE(CONTROL!$C$21, $C$9, 100%, $E$9)</f>
        <v>11.2179</v>
      </c>
      <c r="L362" s="10">
        <f>CHOOSE(CONTROL!$C$42, 12.0411, 12.0411) * CHOOSE(CONTROL!$C$21, $C$9, 100%, $E$9)</f>
        <v>12.0411</v>
      </c>
      <c r="M362" s="10">
        <f>CHOOSE(CONTROL!$C$42, 11.2506, 11.2506) * CHOOSE(CONTROL!$C$21, $C$9, 100%, $E$9)</f>
        <v>11.2506</v>
      </c>
      <c r="N362" s="10">
        <f>CHOOSE(CONTROL!$C$42, 11.2691, 11.2691) * CHOOSE(CONTROL!$C$21, $C$9, 100%, $E$9)</f>
        <v>11.2691</v>
      </c>
      <c r="O362" s="10">
        <f>CHOOSE(CONTROL!$C$42, 11.3389, 11.3389) * CHOOSE(CONTROL!$C$21, $C$9, 100%, $E$9)</f>
        <v>11.338900000000001</v>
      </c>
      <c r="P362" s="10">
        <f>CHOOSE(CONTROL!$C$42, 11.2841, 11.2841) * CHOOSE(CONTROL!$C$21, $C$9, 100%, $E$9)</f>
        <v>11.2841</v>
      </c>
      <c r="Q362" s="10">
        <f>CHOOSE(CONTROL!$C$42, 11.9342, 11.9342) * CHOOSE(CONTROL!$C$21, $C$9, 100%, $E$9)</f>
        <v>11.934200000000001</v>
      </c>
      <c r="R362" s="10">
        <f>CHOOSE(CONTROL!$C$42, 12.551, 12.551) * CHOOSE(CONTROL!$C$21, $C$9, 100%, $E$9)</f>
        <v>12.551</v>
      </c>
      <c r="S362" s="10">
        <f>CHOOSE(CONTROL!$C$42, 11.0469, 11.0469) * CHOOSE(CONTROL!$C$21, $C$9, 100%, $E$9)</f>
        <v>11.046900000000001</v>
      </c>
      <c r="T36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38">
        <f>(1000*CHOOSE(CONTROL!$C$42, 695, 695)*CHOOSE(CONTROL!$C$42, 0.5599, 0.5599)*CHOOSE(CONTROL!$C$42, 28, 28))/1000000</f>
        <v>10.895653999999999</v>
      </c>
      <c r="V362" s="38">
        <f>(1000*CHOOSE(CONTROL!$C$42, 500, 500)*CHOOSE(CONTROL!$C$42, 0.275, 0.275)*CHOOSE(CONTROL!$C$42, 28, 28))/1000000</f>
        <v>3.85</v>
      </c>
      <c r="W362" s="38">
        <f>(1000*CHOOSE(CONTROL!$C$42, 0.1146, 0.1146)*CHOOSE(CONTROL!$C$42, 121.5, 121.5)*CHOOSE(CONTROL!$C$42, 28, 28))/1000000</f>
        <v>0.38986920000000003</v>
      </c>
      <c r="X362" s="38">
        <f>(28*0.1790888*100000/1000000)+(28*0.2374*100000/1000000)</f>
        <v>1.16616864</v>
      </c>
      <c r="Y362" s="38">
        <f>(1000*600*CHOOSE(CONTROL!$C$42, 1.1037, 1.1037)*CHOOSE(CONTROL!$C$42, 28, 28))/1000000</f>
        <v>18.542159999999999</v>
      </c>
      <c r="Z362" s="38"/>
      <c r="AA362" s="10"/>
      <c r="AB362" s="39"/>
      <c r="AC362" s="33">
        <f>(B362*122.58+C362*297.941+D362*89.177+E362*40.302+F362*40+G362*160+H362*0+I362*100+J362*300)/(122.58+297.941+89.177+40.302+0+40+160+100+300)</f>
        <v>11.391278969217392</v>
      </c>
      <c r="AD362" s="27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11.296505755395684</v>
      </c>
    </row>
    <row r="363" spans="1:30" ht="15.75" x14ac:dyDescent="0.25">
      <c r="A363" s="14">
        <v>52321</v>
      </c>
      <c r="B363" s="10">
        <f>CHOOSE(CONTROL!$C$42, 11.0675, 11.0675) * CHOOSE(CONTROL!$C$21, $C$9, 100%, $E$9)</f>
        <v>11.067500000000001</v>
      </c>
      <c r="C363" s="10">
        <f>CHOOSE(CONTROL!$C$42, 11.0726, 11.0726) * CHOOSE(CONTROL!$C$21, $C$9, 100%, $E$9)</f>
        <v>11.0726</v>
      </c>
      <c r="D363" s="10">
        <f>CHOOSE(CONTROL!$C$42, 11.1076, 11.1076) * CHOOSE(CONTROL!$C$21, $C$9, 100%, $E$9)</f>
        <v>11.1076</v>
      </c>
      <c r="E363" s="10">
        <f>CHOOSE(CONTROL!$C$42, 11.1414, 11.1414) * CHOOSE(CONTROL!$C$21, $C$9, 100%, $E$9)</f>
        <v>11.141400000000001</v>
      </c>
      <c r="F363" s="10">
        <f>CHOOSE(CONTROL!$C$42, 11.0468, 11.0468)*CHOOSE(CONTROL!$C$21, $C$9, 100%, $E$9)</f>
        <v>11.046799999999999</v>
      </c>
      <c r="G363" s="10">
        <f>CHOOSE(CONTROL!$C$42, 11.0652, 11.0652)*CHOOSE(CONTROL!$C$21, $C$9, 100%, $E$9)</f>
        <v>11.065200000000001</v>
      </c>
      <c r="H363" s="10">
        <f>CHOOSE(CONTROL!$C$42, 11.1303, 11.1303) * CHOOSE(CONTROL!$C$21, $C$9, 100%, $E$9)</f>
        <v>11.1303</v>
      </c>
      <c r="I363" s="10">
        <f>CHOOSE(CONTROL!$C$42, 11.0747, 11.0747)* CHOOSE(CONTROL!$C$21, $C$9, 100%, $E$9)</f>
        <v>11.0747</v>
      </c>
      <c r="J363" s="10">
        <f>CHOOSE(CONTROL!$C$42, 11.0394, 11.0394)* CHOOSE(CONTROL!$C$21, $C$9, 100%, $E$9)</f>
        <v>11.039400000000001</v>
      </c>
      <c r="K363" s="10">
        <f>CHOOSE(CONTROL!$C$42, 10.9012, 10.9012) * CHOOSE(CONTROL!$C$21, $C$9, 100%, $E$9)</f>
        <v>10.901199999999999</v>
      </c>
      <c r="L363" s="10">
        <f>CHOOSE(CONTROL!$C$42, 11.7173, 11.7173) * CHOOSE(CONTROL!$C$21, $C$9, 100%, $E$9)</f>
        <v>11.7173</v>
      </c>
      <c r="M363" s="10">
        <f>CHOOSE(CONTROL!$C$42, 10.9296, 10.9296) * CHOOSE(CONTROL!$C$21, $C$9, 100%, $E$9)</f>
        <v>10.929600000000001</v>
      </c>
      <c r="N363" s="10">
        <f>CHOOSE(CONTROL!$C$42, 10.9477, 10.9477) * CHOOSE(CONTROL!$C$21, $C$9, 100%, $E$9)</f>
        <v>10.947699999999999</v>
      </c>
      <c r="O363" s="10">
        <f>CHOOSE(CONTROL!$C$42, 11.0192, 11.0192) * CHOOSE(CONTROL!$C$21, $C$9, 100%, $E$9)</f>
        <v>11.0192</v>
      </c>
      <c r="P363" s="10">
        <f>CHOOSE(CONTROL!$C$42, 10.9644, 10.9644) * CHOOSE(CONTROL!$C$21, $C$9, 100%, $E$9)</f>
        <v>10.964399999999999</v>
      </c>
      <c r="Q363" s="10">
        <f>CHOOSE(CONTROL!$C$42, 11.6145, 11.6145) * CHOOSE(CONTROL!$C$21, $C$9, 100%, $E$9)</f>
        <v>11.6145</v>
      </c>
      <c r="R363" s="10">
        <f>CHOOSE(CONTROL!$C$42, 12.2306, 12.2306) * CHOOSE(CONTROL!$C$21, $C$9, 100%, $E$9)</f>
        <v>12.230600000000001</v>
      </c>
      <c r="S363" s="10">
        <f>CHOOSE(CONTROL!$C$42, 10.7333, 10.7333) * CHOOSE(CONTROL!$C$21, $C$9, 100%, $E$9)</f>
        <v>10.7333</v>
      </c>
      <c r="T3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38">
        <f>(1000*CHOOSE(CONTROL!$C$42, 695, 695)*CHOOSE(CONTROL!$C$42, 0.5599, 0.5599)*CHOOSE(CONTROL!$C$42, 31, 31))/1000000</f>
        <v>12.063045499999998</v>
      </c>
      <c r="V363" s="38">
        <f>(1000*CHOOSE(CONTROL!$C$42, 500, 500)*CHOOSE(CONTROL!$C$42, 0.275, 0.275)*CHOOSE(CONTROL!$C$42, 31, 31))/1000000</f>
        <v>4.2625000000000002</v>
      </c>
      <c r="W363" s="38">
        <f>(1000*CHOOSE(CONTROL!$C$42, 0.1146, 0.1146)*CHOOSE(CONTROL!$C$42, 121.5, 121.5)*CHOOSE(CONTROL!$C$42, 31, 31))/1000000</f>
        <v>0.43164089999999994</v>
      </c>
      <c r="X363" s="38">
        <f>(31*0.1790888*100000/1000000)+(31*0.2374*100000/1000000)</f>
        <v>1.2911152800000001</v>
      </c>
      <c r="Y363" s="38">
        <f>(1000*600*CHOOSE(CONTROL!$C$42, 1.1037, 1.1037)*CHOOSE(CONTROL!$C$42, 31, 31))/1000000</f>
        <v>20.52882</v>
      </c>
      <c r="Z363" s="38"/>
      <c r="AA363" s="10"/>
      <c r="AB363" s="39"/>
      <c r="AC363" s="33">
        <f>(B363*122.58+C363*297.941+D363*89.177+E363*40.302+F363*40+G363*160+H363*0+I363*100+J363*300)/(122.58+297.941+89.177+40.302+0+40+160+100+300)</f>
        <v>11.06677636052174</v>
      </c>
      <c r="AD363" s="27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10.976258992805755</v>
      </c>
    </row>
    <row r="364" spans="1:30" ht="15.75" x14ac:dyDescent="0.25">
      <c r="A364" s="14">
        <v>52351</v>
      </c>
      <c r="B364" s="10">
        <f>CHOOSE(CONTROL!$C$42, 11.035, 11.035) * CHOOSE(CONTROL!$C$21, $C$9, 100%, $E$9)</f>
        <v>11.035</v>
      </c>
      <c r="C364" s="10">
        <f>CHOOSE(CONTROL!$C$42, 11.0396, 11.0396) * CHOOSE(CONTROL!$C$21, $C$9, 100%, $E$9)</f>
        <v>11.0396</v>
      </c>
      <c r="D364" s="10">
        <f>CHOOSE(CONTROL!$C$42, 11.2178, 11.2178) * CHOOSE(CONTROL!$C$21, $C$9, 100%, $E$9)</f>
        <v>11.2178</v>
      </c>
      <c r="E364" s="10">
        <f>CHOOSE(CONTROL!$C$42, 11.2496, 11.2496) * CHOOSE(CONTROL!$C$21, $C$9, 100%, $E$9)</f>
        <v>11.249599999999999</v>
      </c>
      <c r="F364" s="10">
        <f>CHOOSE(CONTROL!$C$42, 10.9785, 10.9785)*CHOOSE(CONTROL!$C$21, $C$9, 100%, $E$9)</f>
        <v>10.9785</v>
      </c>
      <c r="G364" s="10">
        <f>CHOOSE(CONTROL!$C$42, 10.9951, 10.9951)*CHOOSE(CONTROL!$C$21, $C$9, 100%, $E$9)</f>
        <v>10.995100000000001</v>
      </c>
      <c r="H364" s="10">
        <f>CHOOSE(CONTROL!$C$42, 11.2391, 11.2391) * CHOOSE(CONTROL!$C$21, $C$9, 100%, $E$9)</f>
        <v>11.239100000000001</v>
      </c>
      <c r="I364" s="10">
        <f>CHOOSE(CONTROL!$C$42, 11.011, 11.011)* CHOOSE(CONTROL!$C$21, $C$9, 100%, $E$9)</f>
        <v>11.010999999999999</v>
      </c>
      <c r="J364" s="10">
        <f>CHOOSE(CONTROL!$C$42, 10.9711, 10.9711)* CHOOSE(CONTROL!$C$21, $C$9, 100%, $E$9)</f>
        <v>10.9711</v>
      </c>
      <c r="K364" s="10">
        <f>CHOOSE(CONTROL!$C$42, 10.8248, 10.8248) * CHOOSE(CONTROL!$C$21, $C$9, 100%, $E$9)</f>
        <v>10.8248</v>
      </c>
      <c r="L364" s="10">
        <f>CHOOSE(CONTROL!$C$42, 11.8261, 11.8261) * CHOOSE(CONTROL!$C$21, $C$9, 100%, $E$9)</f>
        <v>11.8261</v>
      </c>
      <c r="M364" s="10">
        <f>CHOOSE(CONTROL!$C$42, 10.8621, 10.8621) * CHOOSE(CONTROL!$C$21, $C$9, 100%, $E$9)</f>
        <v>10.8621</v>
      </c>
      <c r="N364" s="10">
        <f>CHOOSE(CONTROL!$C$42, 10.8785, 10.8785) * CHOOSE(CONTROL!$C$21, $C$9, 100%, $E$9)</f>
        <v>10.878500000000001</v>
      </c>
      <c r="O364" s="10">
        <f>CHOOSE(CONTROL!$C$42, 11.1266, 11.1266) * CHOOSE(CONTROL!$C$21, $C$9, 100%, $E$9)</f>
        <v>11.1266</v>
      </c>
      <c r="P364" s="10">
        <f>CHOOSE(CONTROL!$C$42, 10.9016, 10.9016) * CHOOSE(CONTROL!$C$21, $C$9, 100%, $E$9)</f>
        <v>10.9016</v>
      </c>
      <c r="Q364" s="10">
        <f>CHOOSE(CONTROL!$C$42, 11.7219, 11.7219) * CHOOSE(CONTROL!$C$21, $C$9, 100%, $E$9)</f>
        <v>11.7219</v>
      </c>
      <c r="R364" s="10">
        <f>CHOOSE(CONTROL!$C$42, 12.3382, 12.3382) * CHOOSE(CONTROL!$C$21, $C$9, 100%, $E$9)</f>
        <v>12.338200000000001</v>
      </c>
      <c r="S364" s="10">
        <f>CHOOSE(CONTROL!$C$42, 10.7011, 10.7011) * CHOOSE(CONTROL!$C$21, $C$9, 100%, $E$9)</f>
        <v>10.7011</v>
      </c>
      <c r="T3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38">
        <f>(1000*CHOOSE(CONTROL!$C$42, 695, 695)*CHOOSE(CONTROL!$C$42, 0.5599, 0.5599)*CHOOSE(CONTROL!$C$42, 30, 30))/1000000</f>
        <v>11.673914999999997</v>
      </c>
      <c r="V364" s="38">
        <f>(1000*CHOOSE(CONTROL!$C$42, 500, 500)*CHOOSE(CONTROL!$C$42, 0.275, 0.275)*CHOOSE(CONTROL!$C$42, 30, 30))/1000000</f>
        <v>4.125</v>
      </c>
      <c r="W364" s="38">
        <f>(1000*CHOOSE(CONTROL!$C$42, 0.1146, 0.1146)*CHOOSE(CONTROL!$C$42, 121.5, 121.5)*CHOOSE(CONTROL!$C$42, 30, 30))/1000000</f>
        <v>0.417717</v>
      </c>
      <c r="X364" s="38">
        <f>(30*0.1790888*245000/1000000)+(30*0.2374*100000/1000000)</f>
        <v>2.0285026799999999</v>
      </c>
      <c r="Y364" s="38">
        <f>(1000*600*CHOOSE(CONTROL!$C$42, 1.1037, 1.1037)*CHOOSE(CONTROL!$C$42, 30, 30))/1000000</f>
        <v>19.866599999999998</v>
      </c>
      <c r="Z364" s="38"/>
      <c r="AA364" s="10"/>
      <c r="AB364" s="39"/>
      <c r="AC364" s="33">
        <f>(B364*141.293+C364*267.993+D364*115.016+E364*89.698+F364*40+G364*185+H364*0+I364*100+J364*300)/(141.293+267.993+115.016+89.698+0+40+185+100+300)</f>
        <v>11.043309429701374</v>
      </c>
      <c r="AD364" s="27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10.945771223021582</v>
      </c>
    </row>
    <row r="365" spans="1:30" ht="15.75" x14ac:dyDescent="0.25">
      <c r="A365" s="14">
        <v>52382</v>
      </c>
      <c r="B365" s="10">
        <f>CHOOSE(CONTROL!$C$42, 11.1343, 11.1343) * CHOOSE(CONTROL!$C$21, $C$9, 100%, $E$9)</f>
        <v>11.1343</v>
      </c>
      <c r="C365" s="10">
        <f>CHOOSE(CONTROL!$C$42, 11.1423, 11.1423) * CHOOSE(CONTROL!$C$21, $C$9, 100%, $E$9)</f>
        <v>11.142300000000001</v>
      </c>
      <c r="D365" s="10">
        <f>CHOOSE(CONTROL!$C$42, 11.3174, 11.3174) * CHOOSE(CONTROL!$C$21, $C$9, 100%, $E$9)</f>
        <v>11.317399999999999</v>
      </c>
      <c r="E365" s="10">
        <f>CHOOSE(CONTROL!$C$42, 11.3487, 11.3487) * CHOOSE(CONTROL!$C$21, $C$9, 100%, $E$9)</f>
        <v>11.348699999999999</v>
      </c>
      <c r="F365" s="10">
        <f>CHOOSE(CONTROL!$C$42, 11.076, 11.076)*CHOOSE(CONTROL!$C$21, $C$9, 100%, $E$9)</f>
        <v>11.076000000000001</v>
      </c>
      <c r="G365" s="10">
        <f>CHOOSE(CONTROL!$C$42, 11.0929, 11.0929)*CHOOSE(CONTROL!$C$21, $C$9, 100%, $E$9)</f>
        <v>11.0929</v>
      </c>
      <c r="H365" s="10">
        <f>CHOOSE(CONTROL!$C$42, 11.337, 11.337) * CHOOSE(CONTROL!$C$21, $C$9, 100%, $E$9)</f>
        <v>11.337</v>
      </c>
      <c r="I365" s="10">
        <f>CHOOSE(CONTROL!$C$42, 11.109, 11.109)* CHOOSE(CONTROL!$C$21, $C$9, 100%, $E$9)</f>
        <v>11.109</v>
      </c>
      <c r="J365" s="10">
        <f>CHOOSE(CONTROL!$C$42, 11.0686, 11.0686)* CHOOSE(CONTROL!$C$21, $C$9, 100%, $E$9)</f>
        <v>11.0686</v>
      </c>
      <c r="K365" s="10">
        <f>CHOOSE(CONTROL!$C$42, 10.9188, 10.9188) * CHOOSE(CONTROL!$C$21, $C$9, 100%, $E$9)</f>
        <v>10.918799999999999</v>
      </c>
      <c r="L365" s="10">
        <f>CHOOSE(CONTROL!$C$42, 11.924, 11.924) * CHOOSE(CONTROL!$C$21, $C$9, 100%, $E$9)</f>
        <v>11.923999999999999</v>
      </c>
      <c r="M365" s="10">
        <f>CHOOSE(CONTROL!$C$42, 10.9584, 10.9584) * CHOOSE(CONTROL!$C$21, $C$9, 100%, $E$9)</f>
        <v>10.958399999999999</v>
      </c>
      <c r="N365" s="10">
        <f>CHOOSE(CONTROL!$C$42, 10.975, 10.975) * CHOOSE(CONTROL!$C$21, $C$9, 100%, $E$9)</f>
        <v>10.975</v>
      </c>
      <c r="O365" s="10">
        <f>CHOOSE(CONTROL!$C$42, 11.2233, 11.2233) * CHOOSE(CONTROL!$C$21, $C$9, 100%, $E$9)</f>
        <v>11.2233</v>
      </c>
      <c r="P365" s="10">
        <f>CHOOSE(CONTROL!$C$42, 10.9983, 10.9983) * CHOOSE(CONTROL!$C$21, $C$9, 100%, $E$9)</f>
        <v>10.9983</v>
      </c>
      <c r="Q365" s="10">
        <f>CHOOSE(CONTROL!$C$42, 11.8186, 11.8186) * CHOOSE(CONTROL!$C$21, $C$9, 100%, $E$9)</f>
        <v>11.8186</v>
      </c>
      <c r="R365" s="10">
        <f>CHOOSE(CONTROL!$C$42, 12.4351, 12.4351) * CHOOSE(CONTROL!$C$21, $C$9, 100%, $E$9)</f>
        <v>12.4351</v>
      </c>
      <c r="S365" s="10">
        <f>CHOOSE(CONTROL!$C$42, 10.796, 10.796) * CHOOSE(CONTROL!$C$21, $C$9, 100%, $E$9)</f>
        <v>10.795999999999999</v>
      </c>
      <c r="T3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38">
        <f>(1000*CHOOSE(CONTROL!$C$42, 695, 695)*CHOOSE(CONTROL!$C$42, 0.5599, 0.5599)*CHOOSE(CONTROL!$C$42, 31, 31))/1000000</f>
        <v>12.063045499999998</v>
      </c>
      <c r="V365" s="38">
        <f>(1000*CHOOSE(CONTROL!$C$42, 500, 500)*CHOOSE(CONTROL!$C$42, 0.275, 0.275)*CHOOSE(CONTROL!$C$42, 31, 31))/1000000</f>
        <v>4.2625000000000002</v>
      </c>
      <c r="W365" s="38">
        <f>(1000*CHOOSE(CONTROL!$C$42, 0.1146, 0.1146)*CHOOSE(CONTROL!$C$42, 121.5, 121.5)*CHOOSE(CONTROL!$C$42, 31, 31))/1000000</f>
        <v>0.43164089999999994</v>
      </c>
      <c r="X365" s="38">
        <f>(31*0.1790888*245000/1000000)+(31*0.2374*100000/1000000)</f>
        <v>2.0961194359999999</v>
      </c>
      <c r="Y365" s="38">
        <f>(1000*600*CHOOSE(CONTROL!$C$42, 1.1037, 1.1037)*CHOOSE(CONTROL!$C$42, 31, 31))/1000000</f>
        <v>20.52882</v>
      </c>
      <c r="Z365" s="38"/>
      <c r="AA365" s="10"/>
      <c r="AB365" s="39"/>
      <c r="AC365" s="33">
        <f>(B365*194.205+C365*267.466+D365*133.845+E365*53.484+F365*40+G365*185+H365*0+I365*100+J365*300)/(194.205+267.466+133.845+53.484+0+40+185+100+300)</f>
        <v>11.13891751734694</v>
      </c>
      <c r="AD365" s="27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11.042287050359711</v>
      </c>
    </row>
    <row r="366" spans="1:30" ht="15.75" x14ac:dyDescent="0.25">
      <c r="A366" s="14">
        <v>52412</v>
      </c>
      <c r="B366" s="10">
        <f>CHOOSE(CONTROL!$C$42, 11.4506, 11.4506) * CHOOSE(CONTROL!$C$21, $C$9, 100%, $E$9)</f>
        <v>11.4506</v>
      </c>
      <c r="C366" s="10">
        <f>CHOOSE(CONTROL!$C$42, 11.4586, 11.4586) * CHOOSE(CONTROL!$C$21, $C$9, 100%, $E$9)</f>
        <v>11.458600000000001</v>
      </c>
      <c r="D366" s="10">
        <f>CHOOSE(CONTROL!$C$42, 11.6337, 11.6337) * CHOOSE(CONTROL!$C$21, $C$9, 100%, $E$9)</f>
        <v>11.633699999999999</v>
      </c>
      <c r="E366" s="10">
        <f>CHOOSE(CONTROL!$C$42, 11.6649, 11.6649) * CHOOSE(CONTROL!$C$21, $C$9, 100%, $E$9)</f>
        <v>11.664899999999999</v>
      </c>
      <c r="F366" s="10">
        <f>CHOOSE(CONTROL!$C$42, 11.3924, 11.3924)*CHOOSE(CONTROL!$C$21, $C$9, 100%, $E$9)</f>
        <v>11.3924</v>
      </c>
      <c r="G366" s="10">
        <f>CHOOSE(CONTROL!$C$42, 11.4094, 11.4094)*CHOOSE(CONTROL!$C$21, $C$9, 100%, $E$9)</f>
        <v>11.4094</v>
      </c>
      <c r="H366" s="10">
        <f>CHOOSE(CONTROL!$C$42, 11.6532, 11.6532) * CHOOSE(CONTROL!$C$21, $C$9, 100%, $E$9)</f>
        <v>11.6532</v>
      </c>
      <c r="I366" s="10">
        <f>CHOOSE(CONTROL!$C$42, 11.4252, 11.4252)* CHOOSE(CONTROL!$C$21, $C$9, 100%, $E$9)</f>
        <v>11.4252</v>
      </c>
      <c r="J366" s="10">
        <f>CHOOSE(CONTROL!$C$42, 11.385, 11.385)* CHOOSE(CONTROL!$C$21, $C$9, 100%, $E$9)</f>
        <v>11.385</v>
      </c>
      <c r="K366" s="10">
        <f>CHOOSE(CONTROL!$C$42, 11.2256, 11.2256) * CHOOSE(CONTROL!$C$21, $C$9, 100%, $E$9)</f>
        <v>11.2256</v>
      </c>
      <c r="L366" s="10">
        <f>CHOOSE(CONTROL!$C$42, 12.2402, 12.2402) * CHOOSE(CONTROL!$C$21, $C$9, 100%, $E$9)</f>
        <v>12.2402</v>
      </c>
      <c r="M366" s="10">
        <f>CHOOSE(CONTROL!$C$42, 11.2707, 11.2707) * CHOOSE(CONTROL!$C$21, $C$9, 100%, $E$9)</f>
        <v>11.2707</v>
      </c>
      <c r="N366" s="10">
        <f>CHOOSE(CONTROL!$C$42, 11.2874, 11.2874) * CHOOSE(CONTROL!$C$21, $C$9, 100%, $E$9)</f>
        <v>11.2874</v>
      </c>
      <c r="O366" s="10">
        <f>CHOOSE(CONTROL!$C$42, 11.5354, 11.5354) * CHOOSE(CONTROL!$C$21, $C$9, 100%, $E$9)</f>
        <v>11.535399999999999</v>
      </c>
      <c r="P366" s="10">
        <f>CHOOSE(CONTROL!$C$42, 11.3104, 11.3104) * CHOOSE(CONTROL!$C$21, $C$9, 100%, $E$9)</f>
        <v>11.3104</v>
      </c>
      <c r="Q366" s="10">
        <f>CHOOSE(CONTROL!$C$42, 12.1307, 12.1307) * CHOOSE(CONTROL!$C$21, $C$9, 100%, $E$9)</f>
        <v>12.130699999999999</v>
      </c>
      <c r="R366" s="10">
        <f>CHOOSE(CONTROL!$C$42, 12.748, 12.748) * CHOOSE(CONTROL!$C$21, $C$9, 100%, $E$9)</f>
        <v>12.747999999999999</v>
      </c>
      <c r="S366" s="10">
        <f>CHOOSE(CONTROL!$C$42, 11.1022, 11.1022) * CHOOSE(CONTROL!$C$21, $C$9, 100%, $E$9)</f>
        <v>11.1022</v>
      </c>
      <c r="T3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38">
        <f>(1000*CHOOSE(CONTROL!$C$42, 695, 695)*CHOOSE(CONTROL!$C$42, 0.5599, 0.5599)*CHOOSE(CONTROL!$C$42, 30, 30))/1000000</f>
        <v>11.673914999999997</v>
      </c>
      <c r="V366" s="38">
        <f>(1000*CHOOSE(CONTROL!$C$42, 500, 500)*CHOOSE(CONTROL!$C$42, 0.275, 0.275)*CHOOSE(CONTROL!$C$42, 30, 30))/1000000</f>
        <v>4.125</v>
      </c>
      <c r="W366" s="38">
        <f>(1000*CHOOSE(CONTROL!$C$42, 0.1146, 0.1146)*CHOOSE(CONTROL!$C$42, 121.5, 121.5)*CHOOSE(CONTROL!$C$42, 30, 30))/1000000</f>
        <v>0.417717</v>
      </c>
      <c r="X366" s="38">
        <f>(30*0.1790888*245000/1000000)+(30*0.2374*100000/1000000)</f>
        <v>2.0285026799999999</v>
      </c>
      <c r="Y366" s="38">
        <f>(1000*600*CHOOSE(CONTROL!$C$42, 1.1037, 1.1037)*CHOOSE(CONTROL!$C$42, 30, 30))/1000000</f>
        <v>19.866599999999998</v>
      </c>
      <c r="Z366" s="38"/>
      <c r="AA366" s="10"/>
      <c r="AB366" s="39"/>
      <c r="AC366" s="33">
        <f>(B366*194.205+C366*267.466+D366*133.845+E366*53.484+F366*40+G366*185+H366*0+I366*100+J366*300)/(194.205+267.466+133.845+53.484+0+40+185+100+300)</f>
        <v>11.455261199921507</v>
      </c>
      <c r="AD366" s="27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11.354525179856115</v>
      </c>
    </row>
    <row r="367" spans="1:30" ht="15.75" x14ac:dyDescent="0.25">
      <c r="A367" s="14">
        <v>52443</v>
      </c>
      <c r="B367" s="10">
        <f>CHOOSE(CONTROL!$C$42, 11.2306, 11.2306) * CHOOSE(CONTROL!$C$21, $C$9, 100%, $E$9)</f>
        <v>11.230600000000001</v>
      </c>
      <c r="C367" s="10">
        <f>CHOOSE(CONTROL!$C$42, 11.2386, 11.2386) * CHOOSE(CONTROL!$C$21, $C$9, 100%, $E$9)</f>
        <v>11.2386</v>
      </c>
      <c r="D367" s="10">
        <f>CHOOSE(CONTROL!$C$42, 11.4137, 11.4137) * CHOOSE(CONTROL!$C$21, $C$9, 100%, $E$9)</f>
        <v>11.4137</v>
      </c>
      <c r="E367" s="10">
        <f>CHOOSE(CONTROL!$C$42, 11.445, 11.445) * CHOOSE(CONTROL!$C$21, $C$9, 100%, $E$9)</f>
        <v>11.445</v>
      </c>
      <c r="F367" s="10">
        <f>CHOOSE(CONTROL!$C$42, 11.1728, 11.1728)*CHOOSE(CONTROL!$C$21, $C$9, 100%, $E$9)</f>
        <v>11.172800000000001</v>
      </c>
      <c r="G367" s="10">
        <f>CHOOSE(CONTROL!$C$42, 11.1899, 11.1899)*CHOOSE(CONTROL!$C$21, $C$9, 100%, $E$9)</f>
        <v>11.1899</v>
      </c>
      <c r="H367" s="10">
        <f>CHOOSE(CONTROL!$C$42, 11.4333, 11.4333) * CHOOSE(CONTROL!$C$21, $C$9, 100%, $E$9)</f>
        <v>11.433299999999999</v>
      </c>
      <c r="I367" s="10">
        <f>CHOOSE(CONTROL!$C$42, 11.2053, 11.2053)* CHOOSE(CONTROL!$C$21, $C$9, 100%, $E$9)</f>
        <v>11.205299999999999</v>
      </c>
      <c r="J367" s="10">
        <f>CHOOSE(CONTROL!$C$42, 11.1654, 11.1654)* CHOOSE(CONTROL!$C$21, $C$9, 100%, $E$9)</f>
        <v>11.1654</v>
      </c>
      <c r="K367" s="10">
        <f>CHOOSE(CONTROL!$C$42, 11.0133, 11.0133) * CHOOSE(CONTROL!$C$21, $C$9, 100%, $E$9)</f>
        <v>11.013299999999999</v>
      </c>
      <c r="L367" s="10">
        <f>CHOOSE(CONTROL!$C$42, 12.0203, 12.0203) * CHOOSE(CONTROL!$C$21, $C$9, 100%, $E$9)</f>
        <v>12.020300000000001</v>
      </c>
      <c r="M367" s="10">
        <f>CHOOSE(CONTROL!$C$42, 11.0539, 11.0539) * CHOOSE(CONTROL!$C$21, $C$9, 100%, $E$9)</f>
        <v>11.053900000000001</v>
      </c>
      <c r="N367" s="10">
        <f>CHOOSE(CONTROL!$C$42, 11.0708, 11.0708) * CHOOSE(CONTROL!$C$21, $C$9, 100%, $E$9)</f>
        <v>11.0708</v>
      </c>
      <c r="O367" s="10">
        <f>CHOOSE(CONTROL!$C$42, 11.3183, 11.3183) * CHOOSE(CONTROL!$C$21, $C$9, 100%, $E$9)</f>
        <v>11.318300000000001</v>
      </c>
      <c r="P367" s="10">
        <f>CHOOSE(CONTROL!$C$42, 11.0933, 11.0933) * CHOOSE(CONTROL!$C$21, $C$9, 100%, $E$9)</f>
        <v>11.093299999999999</v>
      </c>
      <c r="Q367" s="10">
        <f>CHOOSE(CONTROL!$C$42, 11.9136, 11.9136) * CHOOSE(CONTROL!$C$21, $C$9, 100%, $E$9)</f>
        <v>11.913600000000001</v>
      </c>
      <c r="R367" s="10">
        <f>CHOOSE(CONTROL!$C$42, 12.5304, 12.5304) * CHOOSE(CONTROL!$C$21, $C$9, 100%, $E$9)</f>
        <v>12.5304</v>
      </c>
      <c r="S367" s="10">
        <f>CHOOSE(CONTROL!$C$42, 10.8892, 10.8892) * CHOOSE(CONTROL!$C$21, $C$9, 100%, $E$9)</f>
        <v>10.889200000000001</v>
      </c>
      <c r="T3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38">
        <f>(1000*CHOOSE(CONTROL!$C$42, 695, 695)*CHOOSE(CONTROL!$C$42, 0.5599, 0.5599)*CHOOSE(CONTROL!$C$42, 31, 31))/1000000</f>
        <v>12.063045499999998</v>
      </c>
      <c r="V367" s="38">
        <f>(1000*CHOOSE(CONTROL!$C$42, 500, 500)*CHOOSE(CONTROL!$C$42, 0.275, 0.275)*CHOOSE(CONTROL!$C$42, 31, 31))/1000000</f>
        <v>4.2625000000000002</v>
      </c>
      <c r="W367" s="38">
        <f>(1000*CHOOSE(CONTROL!$C$42, 0.1146, 0.1146)*CHOOSE(CONTROL!$C$42, 121.5, 121.5)*CHOOSE(CONTROL!$C$42, 31, 31))/1000000</f>
        <v>0.43164089999999994</v>
      </c>
      <c r="X367" s="38">
        <f>(31*0.1790888*245000/1000000)+(31*0.2374*100000/1000000)</f>
        <v>2.0961194359999999</v>
      </c>
      <c r="Y367" s="38">
        <f>(1000*600*CHOOSE(CONTROL!$C$42, 1.1037, 1.1037)*CHOOSE(CONTROL!$C$42, 31, 31))/1000000</f>
        <v>20.52882</v>
      </c>
      <c r="Z367" s="38"/>
      <c r="AA367" s="10"/>
      <c r="AB367" s="39"/>
      <c r="AC367" s="33">
        <f>(B367*194.205+C367*267.466+D367*133.845+E367*53.484+F367*40+G367*185+H367*0+I367*100+J367*300)/(194.205+267.466+133.845+53.484+0+40+185+100+300)</f>
        <v>11.23545260368917</v>
      </c>
      <c r="AD367" s="27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11.137643884892087</v>
      </c>
    </row>
    <row r="368" spans="1:30" ht="15.75" x14ac:dyDescent="0.25">
      <c r="A368" s="14">
        <v>52474</v>
      </c>
      <c r="B368" s="10">
        <f>CHOOSE(CONTROL!$C$42, 10.6752, 10.6752) * CHOOSE(CONTROL!$C$21, $C$9, 100%, $E$9)</f>
        <v>10.6752</v>
      </c>
      <c r="C368" s="10">
        <f>CHOOSE(CONTROL!$C$42, 10.6832, 10.6832) * CHOOSE(CONTROL!$C$21, $C$9, 100%, $E$9)</f>
        <v>10.683199999999999</v>
      </c>
      <c r="D368" s="10">
        <f>CHOOSE(CONTROL!$C$42, 10.8583, 10.8583) * CHOOSE(CONTROL!$C$21, $C$9, 100%, $E$9)</f>
        <v>10.8583</v>
      </c>
      <c r="E368" s="10">
        <f>CHOOSE(CONTROL!$C$42, 10.8895, 10.8895) * CHOOSE(CONTROL!$C$21, $C$9, 100%, $E$9)</f>
        <v>10.8895</v>
      </c>
      <c r="F368" s="10">
        <f>CHOOSE(CONTROL!$C$42, 10.6173, 10.6173)*CHOOSE(CONTROL!$C$21, $C$9, 100%, $E$9)</f>
        <v>10.6173</v>
      </c>
      <c r="G368" s="10">
        <f>CHOOSE(CONTROL!$C$42, 10.6343, 10.6343)*CHOOSE(CONTROL!$C$21, $C$9, 100%, $E$9)</f>
        <v>10.6343</v>
      </c>
      <c r="H368" s="10">
        <f>CHOOSE(CONTROL!$C$42, 10.8779, 10.8779) * CHOOSE(CONTROL!$C$21, $C$9, 100%, $E$9)</f>
        <v>10.8779</v>
      </c>
      <c r="I368" s="10">
        <f>CHOOSE(CONTROL!$C$42, 10.6498, 10.6498)* CHOOSE(CONTROL!$C$21, $C$9, 100%, $E$9)</f>
        <v>10.649800000000001</v>
      </c>
      <c r="J368" s="10">
        <f>CHOOSE(CONTROL!$C$42, 10.6099, 10.6099)* CHOOSE(CONTROL!$C$21, $C$9, 100%, $E$9)</f>
        <v>10.6099</v>
      </c>
      <c r="K368" s="10">
        <f>CHOOSE(CONTROL!$C$42, 10.4749, 10.4749) * CHOOSE(CONTROL!$C$21, $C$9, 100%, $E$9)</f>
        <v>10.4749</v>
      </c>
      <c r="L368" s="10">
        <f>CHOOSE(CONTROL!$C$42, 11.4649, 11.4649) * CHOOSE(CONTROL!$C$21, $C$9, 100%, $E$9)</f>
        <v>11.4649</v>
      </c>
      <c r="M368" s="10">
        <f>CHOOSE(CONTROL!$C$42, 10.5056, 10.5056) * CHOOSE(CONTROL!$C$21, $C$9, 100%, $E$9)</f>
        <v>10.505599999999999</v>
      </c>
      <c r="N368" s="10">
        <f>CHOOSE(CONTROL!$C$42, 10.5224, 10.5224) * CHOOSE(CONTROL!$C$21, $C$9, 100%, $E$9)</f>
        <v>10.522399999999999</v>
      </c>
      <c r="O368" s="10">
        <f>CHOOSE(CONTROL!$C$42, 10.7701, 10.7701) * CHOOSE(CONTROL!$C$21, $C$9, 100%, $E$9)</f>
        <v>10.770099999999999</v>
      </c>
      <c r="P368" s="10">
        <f>CHOOSE(CONTROL!$C$42, 10.5451, 10.5451) * CHOOSE(CONTROL!$C$21, $C$9, 100%, $E$9)</f>
        <v>10.5451</v>
      </c>
      <c r="Q368" s="10">
        <f>CHOOSE(CONTROL!$C$42, 11.3654, 11.3654) * CHOOSE(CONTROL!$C$21, $C$9, 100%, $E$9)</f>
        <v>11.365399999999999</v>
      </c>
      <c r="R368" s="10">
        <f>CHOOSE(CONTROL!$C$42, 11.9808, 11.9808) * CHOOSE(CONTROL!$C$21, $C$9, 100%, $E$9)</f>
        <v>11.9808</v>
      </c>
      <c r="S368" s="10">
        <f>CHOOSE(CONTROL!$C$42, 10.3514, 10.3514) * CHOOSE(CONTROL!$C$21, $C$9, 100%, $E$9)</f>
        <v>10.3514</v>
      </c>
      <c r="T3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38">
        <f>(1000*CHOOSE(CONTROL!$C$42, 695, 695)*CHOOSE(CONTROL!$C$42, 0.5599, 0.5599)*CHOOSE(CONTROL!$C$42, 31, 31))/1000000</f>
        <v>12.063045499999998</v>
      </c>
      <c r="V368" s="38">
        <f>(1000*CHOOSE(CONTROL!$C$42, 500, 500)*CHOOSE(CONTROL!$C$42, 0.275, 0.275)*CHOOSE(CONTROL!$C$42, 31, 31))/1000000</f>
        <v>4.2625000000000002</v>
      </c>
      <c r="W368" s="38">
        <f>(1000*CHOOSE(CONTROL!$C$42, 0.1146, 0.1146)*CHOOSE(CONTROL!$C$42, 121.5, 121.5)*CHOOSE(CONTROL!$C$42, 31, 31))/1000000</f>
        <v>0.43164089999999994</v>
      </c>
      <c r="X368" s="38">
        <f>(31*0.1790888*245000/1000000)+(31*0.2374*100000/1000000)</f>
        <v>2.0961194359999999</v>
      </c>
      <c r="Y368" s="38">
        <f>(1000*600*CHOOSE(CONTROL!$C$42, 1.1037, 1.1037)*CHOOSE(CONTROL!$C$42, 31, 31))/1000000</f>
        <v>20.52882</v>
      </c>
      <c r="Z368" s="38"/>
      <c r="AA368" s="10"/>
      <c r="AB368" s="39"/>
      <c r="AC368" s="33">
        <f>(B368*194.205+C368*267.466+D368*133.845+E368*53.484+F368*40+G368*185+H368*0+I368*100+J368*300)/(194.205+267.466+133.845+53.484+0+40+185+100+300)</f>
        <v>10.679984826295133</v>
      </c>
      <c r="AD368" s="27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10.589363309352517</v>
      </c>
    </row>
    <row r="369" spans="1:30" ht="15.75" x14ac:dyDescent="0.25">
      <c r="A369" s="14">
        <v>52504</v>
      </c>
      <c r="B369" s="10">
        <f>CHOOSE(CONTROL!$C$42, 9.9966, 9.9966) * CHOOSE(CONTROL!$C$21, $C$9, 100%, $E$9)</f>
        <v>9.9966000000000008</v>
      </c>
      <c r="C369" s="10">
        <f>CHOOSE(CONTROL!$C$42, 10.0046, 10.0046) * CHOOSE(CONTROL!$C$21, $C$9, 100%, $E$9)</f>
        <v>10.0046</v>
      </c>
      <c r="D369" s="10">
        <f>CHOOSE(CONTROL!$C$42, 10.1797, 10.1797) * CHOOSE(CONTROL!$C$21, $C$9, 100%, $E$9)</f>
        <v>10.1797</v>
      </c>
      <c r="E369" s="10">
        <f>CHOOSE(CONTROL!$C$42, 10.2109, 10.2109) * CHOOSE(CONTROL!$C$21, $C$9, 100%, $E$9)</f>
        <v>10.210900000000001</v>
      </c>
      <c r="F369" s="10">
        <f>CHOOSE(CONTROL!$C$42, 9.9384, 9.9384)*CHOOSE(CONTROL!$C$21, $C$9, 100%, $E$9)</f>
        <v>9.9383999999999997</v>
      </c>
      <c r="G369" s="10">
        <f>CHOOSE(CONTROL!$C$42, 9.9553, 9.9553)*CHOOSE(CONTROL!$C$21, $C$9, 100%, $E$9)</f>
        <v>9.9552999999999994</v>
      </c>
      <c r="H369" s="10">
        <f>CHOOSE(CONTROL!$C$42, 10.1992, 10.1992) * CHOOSE(CONTROL!$C$21, $C$9, 100%, $E$9)</f>
        <v>10.199199999999999</v>
      </c>
      <c r="I369" s="10">
        <f>CHOOSE(CONTROL!$C$42, 9.9712, 9.9712)* CHOOSE(CONTROL!$C$21, $C$9, 100%, $E$9)</f>
        <v>9.9711999999999996</v>
      </c>
      <c r="J369" s="10">
        <f>CHOOSE(CONTROL!$C$42, 9.931, 9.931)* CHOOSE(CONTROL!$C$21, $C$9, 100%, $E$9)</f>
        <v>9.9309999999999992</v>
      </c>
      <c r="K369" s="10">
        <f>CHOOSE(CONTROL!$C$42, 9.8168, 9.8168) * CHOOSE(CONTROL!$C$21, $C$9, 100%, $E$9)</f>
        <v>9.8168000000000006</v>
      </c>
      <c r="L369" s="10">
        <f>CHOOSE(CONTROL!$C$42, 10.7862, 10.7862) * CHOOSE(CONTROL!$C$21, $C$9, 100%, $E$9)</f>
        <v>10.786199999999999</v>
      </c>
      <c r="M369" s="10">
        <f>CHOOSE(CONTROL!$C$42, 9.8354, 9.8354) * CHOOSE(CONTROL!$C$21, $C$9, 100%, $E$9)</f>
        <v>9.8353999999999999</v>
      </c>
      <c r="N369" s="10">
        <f>CHOOSE(CONTROL!$C$42, 9.8522, 9.8522) * CHOOSE(CONTROL!$C$21, $C$9, 100%, $E$9)</f>
        <v>9.8521999999999998</v>
      </c>
      <c r="O369" s="10">
        <f>CHOOSE(CONTROL!$C$42, 10.1003, 10.1003) * CHOOSE(CONTROL!$C$21, $C$9, 100%, $E$9)</f>
        <v>10.100300000000001</v>
      </c>
      <c r="P369" s="10">
        <f>CHOOSE(CONTROL!$C$42, 9.8752, 9.8752) * CHOOSE(CONTROL!$C$21, $C$9, 100%, $E$9)</f>
        <v>9.8751999999999995</v>
      </c>
      <c r="Q369" s="10">
        <f>CHOOSE(CONTROL!$C$42, 10.6956, 10.6956) * CHOOSE(CONTROL!$C$21, $C$9, 100%, $E$9)</f>
        <v>10.695600000000001</v>
      </c>
      <c r="R369" s="10">
        <f>CHOOSE(CONTROL!$C$42, 11.3093, 11.3093) * CHOOSE(CONTROL!$C$21, $C$9, 100%, $E$9)</f>
        <v>11.3093</v>
      </c>
      <c r="S369" s="10">
        <f>CHOOSE(CONTROL!$C$42, 9.6943, 9.6943) * CHOOSE(CONTROL!$C$21, $C$9, 100%, $E$9)</f>
        <v>9.6943000000000001</v>
      </c>
      <c r="T3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38">
        <f>(1000*CHOOSE(CONTROL!$C$42, 695, 695)*CHOOSE(CONTROL!$C$42, 0.5599, 0.5599)*CHOOSE(CONTROL!$C$42, 30, 30))/1000000</f>
        <v>11.673914999999997</v>
      </c>
      <c r="V369" s="38">
        <f>(1000*CHOOSE(CONTROL!$C$42, 500, 500)*CHOOSE(CONTROL!$C$42, 0.275, 0.275)*CHOOSE(CONTROL!$C$42, 30, 30))/1000000</f>
        <v>4.125</v>
      </c>
      <c r="W369" s="38">
        <f>(1000*CHOOSE(CONTROL!$C$42, 0.1146, 0.1146)*CHOOSE(CONTROL!$C$42, 121.5, 121.5)*CHOOSE(CONTROL!$C$42, 30, 30))/1000000</f>
        <v>0.417717</v>
      </c>
      <c r="X369" s="38">
        <f>(30*0.1790888*245000/1000000)+(30*0.2374*100000/1000000)</f>
        <v>2.0285026799999999</v>
      </c>
      <c r="Y369" s="38">
        <f>(1000*600*CHOOSE(CONTROL!$C$42, 1.1037, 1.1037)*CHOOSE(CONTROL!$C$42, 30, 30))/1000000</f>
        <v>19.866599999999998</v>
      </c>
      <c r="Z369" s="38"/>
      <c r="AA369" s="10"/>
      <c r="AB369" s="39"/>
      <c r="AC369" s="33">
        <f>(B369*194.205+C369*267.466+D369*133.845+E369*53.484+F369*40+G369*185+H369*0+I369*100+J369*300)/(194.205+267.466+133.845+53.484+0+40+185+100+300)</f>
        <v>10.001246678728416</v>
      </c>
      <c r="AD369" s="27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9.9193187050359715</v>
      </c>
    </row>
    <row r="370" spans="1:30" ht="15.75" x14ac:dyDescent="0.25">
      <c r="A370" s="14">
        <v>52535</v>
      </c>
      <c r="B370" s="10">
        <f>CHOOSE(CONTROL!$C$42, 9.7912, 9.7912) * CHOOSE(CONTROL!$C$21, $C$9, 100%, $E$9)</f>
        <v>9.7911999999999999</v>
      </c>
      <c r="C370" s="10">
        <f>CHOOSE(CONTROL!$C$42, 9.7966, 9.7966) * CHOOSE(CONTROL!$C$21, $C$9, 100%, $E$9)</f>
        <v>9.7965999999999998</v>
      </c>
      <c r="D370" s="10">
        <f>CHOOSE(CONTROL!$C$42, 9.9765, 9.9765) * CHOOSE(CONTROL!$C$21, $C$9, 100%, $E$9)</f>
        <v>9.9764999999999997</v>
      </c>
      <c r="E370" s="10">
        <f>CHOOSE(CONTROL!$C$42, 10.0055, 10.0055) * CHOOSE(CONTROL!$C$21, $C$9, 100%, $E$9)</f>
        <v>10.0055</v>
      </c>
      <c r="F370" s="10">
        <f>CHOOSE(CONTROL!$C$42, 9.735, 9.735)*CHOOSE(CONTROL!$C$21, $C$9, 100%, $E$9)</f>
        <v>9.7349999999999994</v>
      </c>
      <c r="G370" s="10">
        <f>CHOOSE(CONTROL!$C$42, 9.7516, 9.7516)*CHOOSE(CONTROL!$C$21, $C$9, 100%, $E$9)</f>
        <v>9.7515999999999998</v>
      </c>
      <c r="H370" s="10">
        <f>CHOOSE(CONTROL!$C$42, 9.9956, 9.9956) * CHOOSE(CONTROL!$C$21, $C$9, 100%, $E$9)</f>
        <v>9.9955999999999996</v>
      </c>
      <c r="I370" s="10">
        <f>CHOOSE(CONTROL!$C$42, 9.7676, 9.7676)* CHOOSE(CONTROL!$C$21, $C$9, 100%, $E$9)</f>
        <v>9.7675999999999998</v>
      </c>
      <c r="J370" s="10">
        <f>CHOOSE(CONTROL!$C$42, 9.7276, 9.7276)* CHOOSE(CONTROL!$C$21, $C$9, 100%, $E$9)</f>
        <v>9.7276000000000007</v>
      </c>
      <c r="K370" s="10">
        <f>CHOOSE(CONTROL!$C$42, 9.6201, 9.6201) * CHOOSE(CONTROL!$C$21, $C$9, 100%, $E$9)</f>
        <v>9.6201000000000008</v>
      </c>
      <c r="L370" s="10">
        <f>CHOOSE(CONTROL!$C$42, 10.5826, 10.5826) * CHOOSE(CONTROL!$C$21, $C$9, 100%, $E$9)</f>
        <v>10.582599999999999</v>
      </c>
      <c r="M370" s="10">
        <f>CHOOSE(CONTROL!$C$42, 9.6347, 9.6347) * CHOOSE(CONTROL!$C$21, $C$9, 100%, $E$9)</f>
        <v>9.6347000000000005</v>
      </c>
      <c r="N370" s="10">
        <f>CHOOSE(CONTROL!$C$42, 9.6511, 9.6511) * CHOOSE(CONTROL!$C$21, $C$9, 100%, $E$9)</f>
        <v>9.6510999999999996</v>
      </c>
      <c r="O370" s="10">
        <f>CHOOSE(CONTROL!$C$42, 9.8992, 9.8992) * CHOOSE(CONTROL!$C$21, $C$9, 100%, $E$9)</f>
        <v>9.8992000000000004</v>
      </c>
      <c r="P370" s="10">
        <f>CHOOSE(CONTROL!$C$42, 9.6742, 9.6742) * CHOOSE(CONTROL!$C$21, $C$9, 100%, $E$9)</f>
        <v>9.6742000000000008</v>
      </c>
      <c r="Q370" s="10">
        <f>CHOOSE(CONTROL!$C$42, 10.4945, 10.4945) * CHOOSE(CONTROL!$C$21, $C$9, 100%, $E$9)</f>
        <v>10.4945</v>
      </c>
      <c r="R370" s="10">
        <f>CHOOSE(CONTROL!$C$42, 11.1078, 11.1078) * CHOOSE(CONTROL!$C$21, $C$9, 100%, $E$9)</f>
        <v>11.107799999999999</v>
      </c>
      <c r="S370" s="10">
        <f>CHOOSE(CONTROL!$C$42, 9.4971, 9.4971) * CHOOSE(CONTROL!$C$21, $C$9, 100%, $E$9)</f>
        <v>9.4970999999999997</v>
      </c>
      <c r="T3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38">
        <f>(1000*CHOOSE(CONTROL!$C$42, 695, 695)*CHOOSE(CONTROL!$C$42, 0.5599, 0.5599)*CHOOSE(CONTROL!$C$42, 31, 31))/1000000</f>
        <v>12.063045499999998</v>
      </c>
      <c r="V370" s="38">
        <f>(1000*CHOOSE(CONTROL!$C$42, 500, 500)*CHOOSE(CONTROL!$C$42, 0.275, 0.275)*CHOOSE(CONTROL!$C$42, 31, 31))/1000000</f>
        <v>4.2625000000000002</v>
      </c>
      <c r="W370" s="38">
        <f>(1000*CHOOSE(CONTROL!$C$42, 0.1146, 0.1146)*CHOOSE(CONTROL!$C$42, 121.5, 121.5)*CHOOSE(CONTROL!$C$42, 31, 31))/1000000</f>
        <v>0.43164089999999994</v>
      </c>
      <c r="X370" s="38">
        <f>(31*0.1790888*245000/1000000)+(31*0.2374*100000/1000000)</f>
        <v>2.0961194359999999</v>
      </c>
      <c r="Y370" s="38">
        <f>(1000*600*CHOOSE(CONTROL!$C$42, 1.1037, 1.1037)*CHOOSE(CONTROL!$C$42, 31, 31))/1000000</f>
        <v>20.52882</v>
      </c>
      <c r="Z370" s="38"/>
      <c r="AA370" s="10"/>
      <c r="AB370" s="39"/>
      <c r="AC370" s="33">
        <f>(B370*131.881+C370*277.167+D370*79.08+E370*125.872+F370*40+G370*185+H370*0+I370*100+J370*300)/(131.881+277.167+79.08+125.872+0+40+185+100+300)</f>
        <v>9.8009744918482635</v>
      </c>
      <c r="AD370" s="27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9.7183712230215828</v>
      </c>
    </row>
    <row r="371" spans="1:30" ht="15.75" x14ac:dyDescent="0.25">
      <c r="A371" s="14">
        <v>52565</v>
      </c>
      <c r="B371" s="10">
        <f>CHOOSE(CONTROL!$C$42, 10.0492, 10.0492) * CHOOSE(CONTROL!$C$21, $C$9, 100%, $E$9)</f>
        <v>10.049200000000001</v>
      </c>
      <c r="C371" s="10">
        <f>CHOOSE(CONTROL!$C$42, 10.0543, 10.0543) * CHOOSE(CONTROL!$C$21, $C$9, 100%, $E$9)</f>
        <v>10.0543</v>
      </c>
      <c r="D371" s="10">
        <f>CHOOSE(CONTROL!$C$42, 10.0789, 10.0789) * CHOOSE(CONTROL!$C$21, $C$9, 100%, $E$9)</f>
        <v>10.078900000000001</v>
      </c>
      <c r="E371" s="10">
        <f>CHOOSE(CONTROL!$C$42, 10.1128, 10.1128) * CHOOSE(CONTROL!$C$21, $C$9, 100%, $E$9)</f>
        <v>10.1128</v>
      </c>
      <c r="F371" s="10">
        <f>CHOOSE(CONTROL!$C$42, 10.0148, 10.0148)*CHOOSE(CONTROL!$C$21, $C$9, 100%, $E$9)</f>
        <v>10.014799999999999</v>
      </c>
      <c r="G371" s="10">
        <f>CHOOSE(CONTROL!$C$42, 10.0316, 10.0316)*CHOOSE(CONTROL!$C$21, $C$9, 100%, $E$9)</f>
        <v>10.031599999999999</v>
      </c>
      <c r="H371" s="10">
        <f>CHOOSE(CONTROL!$C$42, 10.1016, 10.1016) * CHOOSE(CONTROL!$C$21, $C$9, 100%, $E$9)</f>
        <v>10.101599999999999</v>
      </c>
      <c r="I371" s="10">
        <f>CHOOSE(CONTROL!$C$42, 10.0487, 10.0487)* CHOOSE(CONTROL!$C$21, $C$9, 100%, $E$9)</f>
        <v>10.0487</v>
      </c>
      <c r="J371" s="10">
        <f>CHOOSE(CONTROL!$C$42, 10.0074, 10.0074)* CHOOSE(CONTROL!$C$21, $C$9, 100%, $E$9)</f>
        <v>10.007400000000001</v>
      </c>
      <c r="K371" s="10">
        <f>CHOOSE(CONTROL!$C$42, 9.8942, 9.8942) * CHOOSE(CONTROL!$C$21, $C$9, 100%, $E$9)</f>
        <v>9.8941999999999997</v>
      </c>
      <c r="L371" s="10">
        <f>CHOOSE(CONTROL!$C$42, 10.6886, 10.6886) * CHOOSE(CONTROL!$C$21, $C$9, 100%, $E$9)</f>
        <v>10.688599999999999</v>
      </c>
      <c r="M371" s="10">
        <f>CHOOSE(CONTROL!$C$42, 9.9109, 9.9109) * CHOOSE(CONTROL!$C$21, $C$9, 100%, $E$9)</f>
        <v>9.9108999999999998</v>
      </c>
      <c r="N371" s="10">
        <f>CHOOSE(CONTROL!$C$42, 9.9275, 9.9275) * CHOOSE(CONTROL!$C$21, $C$9, 100%, $E$9)</f>
        <v>9.9275000000000002</v>
      </c>
      <c r="O371" s="10">
        <f>CHOOSE(CONTROL!$C$42, 10.0039, 10.0039) * CHOOSE(CONTROL!$C$21, $C$9, 100%, $E$9)</f>
        <v>10.0039</v>
      </c>
      <c r="P371" s="10">
        <f>CHOOSE(CONTROL!$C$42, 9.9517, 9.9517) * CHOOSE(CONTROL!$C$21, $C$9, 100%, $E$9)</f>
        <v>9.9517000000000007</v>
      </c>
      <c r="Q371" s="10">
        <f>CHOOSE(CONTROL!$C$42, 10.5992, 10.5992) * CHOOSE(CONTROL!$C$21, $C$9, 100%, $E$9)</f>
        <v>10.5992</v>
      </c>
      <c r="R371" s="10">
        <f>CHOOSE(CONTROL!$C$42, 11.2127, 11.2127) * CHOOSE(CONTROL!$C$21, $C$9, 100%, $E$9)</f>
        <v>11.2127</v>
      </c>
      <c r="S371" s="10">
        <f>CHOOSE(CONTROL!$C$42, 9.7473, 9.7473) * CHOOSE(CONTROL!$C$21, $C$9, 100%, $E$9)</f>
        <v>9.7472999999999992</v>
      </c>
      <c r="T3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38">
        <f>(1000*CHOOSE(CONTROL!$C$42, 695, 695)*CHOOSE(CONTROL!$C$42, 0.5599, 0.5599)*CHOOSE(CONTROL!$C$42, 30, 30))/1000000</f>
        <v>11.673914999999997</v>
      </c>
      <c r="V371" s="38">
        <f>(1000*CHOOSE(CONTROL!$C$42, 500, 500)*CHOOSE(CONTROL!$C$42, 0.275, 0.275)*CHOOSE(CONTROL!$C$42, 30, 30))/1000000</f>
        <v>4.125</v>
      </c>
      <c r="W371" s="38">
        <f>(1000*CHOOSE(CONTROL!$C$42, 0.1146, 0.1146)*CHOOSE(CONTROL!$C$42, 121.5, 121.5)*CHOOSE(CONTROL!$C$42, 30, 30))/1000000</f>
        <v>0.417717</v>
      </c>
      <c r="X371" s="38">
        <f>(30*0.1790888*100000/1000000)+(30*0.2374*100000/1000000)</f>
        <v>1.2494664</v>
      </c>
      <c r="Y371" s="38">
        <f>(1000*600*CHOOSE(CONTROL!$C$42, 1.1037, 1.1037)*CHOOSE(CONTROL!$C$42, 30, 30))/1000000</f>
        <v>19.866599999999998</v>
      </c>
      <c r="Z371" s="38"/>
      <c r="AA371" s="10"/>
      <c r="AB371" s="39"/>
      <c r="AC371" s="33">
        <f>(B371*122.58+C371*297.941+D371*89.177+E371*40.302+F371*40+G371*160+H371*0+I371*100+J371*300)/(122.58+297.941+89.177+40.302+0+40+160+100+300)</f>
        <v>10.040460228869565</v>
      </c>
      <c r="AD371" s="27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9.9598769784172649</v>
      </c>
    </row>
    <row r="372" spans="1:30" ht="15.75" x14ac:dyDescent="0.25">
      <c r="A372" s="14">
        <v>52596</v>
      </c>
      <c r="B372" s="10">
        <f>CHOOSE(CONTROL!$C$42, 10.7354, 10.7354) * CHOOSE(CONTROL!$C$21, $C$9, 100%, $E$9)</f>
        <v>10.7354</v>
      </c>
      <c r="C372" s="10">
        <f>CHOOSE(CONTROL!$C$42, 10.7405, 10.7405) * CHOOSE(CONTROL!$C$21, $C$9, 100%, $E$9)</f>
        <v>10.740500000000001</v>
      </c>
      <c r="D372" s="10">
        <f>CHOOSE(CONTROL!$C$42, 10.7652, 10.7652) * CHOOSE(CONTROL!$C$21, $C$9, 100%, $E$9)</f>
        <v>10.7652</v>
      </c>
      <c r="E372" s="10">
        <f>CHOOSE(CONTROL!$C$42, 10.799, 10.799) * CHOOSE(CONTROL!$C$21, $C$9, 100%, $E$9)</f>
        <v>10.798999999999999</v>
      </c>
      <c r="F372" s="10">
        <f>CHOOSE(CONTROL!$C$42, 10.7028, 10.7028)*CHOOSE(CONTROL!$C$21, $C$9, 100%, $E$9)</f>
        <v>10.7028</v>
      </c>
      <c r="G372" s="10">
        <f>CHOOSE(CONTROL!$C$42, 10.7201, 10.7201)*CHOOSE(CONTROL!$C$21, $C$9, 100%, $E$9)</f>
        <v>10.7201</v>
      </c>
      <c r="H372" s="10">
        <f>CHOOSE(CONTROL!$C$42, 10.7879, 10.7879) * CHOOSE(CONTROL!$C$21, $C$9, 100%, $E$9)</f>
        <v>10.7879</v>
      </c>
      <c r="I372" s="10">
        <f>CHOOSE(CONTROL!$C$42, 10.7349, 10.7349)* CHOOSE(CONTROL!$C$21, $C$9, 100%, $E$9)</f>
        <v>10.7349</v>
      </c>
      <c r="J372" s="10">
        <f>CHOOSE(CONTROL!$C$42, 10.6954, 10.6954)* CHOOSE(CONTROL!$C$21, $C$9, 100%, $E$9)</f>
        <v>10.695399999999999</v>
      </c>
      <c r="K372" s="10">
        <f>CHOOSE(CONTROL!$C$42, 10.5629, 10.5629) * CHOOSE(CONTROL!$C$21, $C$9, 100%, $E$9)</f>
        <v>10.562900000000001</v>
      </c>
      <c r="L372" s="10">
        <f>CHOOSE(CONTROL!$C$42, 11.3749, 11.3749) * CHOOSE(CONTROL!$C$21, $C$9, 100%, $E$9)</f>
        <v>11.3749</v>
      </c>
      <c r="M372" s="10">
        <f>CHOOSE(CONTROL!$C$42, 10.59, 10.59) * CHOOSE(CONTROL!$C$21, $C$9, 100%, $E$9)</f>
        <v>10.59</v>
      </c>
      <c r="N372" s="10">
        <f>CHOOSE(CONTROL!$C$42, 10.6071, 10.6071) * CHOOSE(CONTROL!$C$21, $C$9, 100%, $E$9)</f>
        <v>10.607100000000001</v>
      </c>
      <c r="O372" s="10">
        <f>CHOOSE(CONTROL!$C$42, 10.6813, 10.6813) * CHOOSE(CONTROL!$C$21, $C$9, 100%, $E$9)</f>
        <v>10.6813</v>
      </c>
      <c r="P372" s="10">
        <f>CHOOSE(CONTROL!$C$42, 10.6291, 10.6291) * CHOOSE(CONTROL!$C$21, $C$9, 100%, $E$9)</f>
        <v>10.629099999999999</v>
      </c>
      <c r="Q372" s="10">
        <f>CHOOSE(CONTROL!$C$42, 11.2766, 11.2766) * CHOOSE(CONTROL!$C$21, $C$9, 100%, $E$9)</f>
        <v>11.2766</v>
      </c>
      <c r="R372" s="10">
        <f>CHOOSE(CONTROL!$C$42, 11.8918, 11.8918) * CHOOSE(CONTROL!$C$21, $C$9, 100%, $E$9)</f>
        <v>11.8918</v>
      </c>
      <c r="S372" s="10">
        <f>CHOOSE(CONTROL!$C$42, 10.4118, 10.4118) * CHOOSE(CONTROL!$C$21, $C$9, 100%, $E$9)</f>
        <v>10.411799999999999</v>
      </c>
      <c r="T3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38">
        <f>(1000*CHOOSE(CONTROL!$C$42, 695, 695)*CHOOSE(CONTROL!$C$42, 0.5599, 0.5599)*CHOOSE(CONTROL!$C$42, 31, 31))/1000000</f>
        <v>12.063045499999998</v>
      </c>
      <c r="V372" s="38">
        <f>(1000*CHOOSE(CONTROL!$C$42, 500, 500)*CHOOSE(CONTROL!$C$42, 0.275, 0.275)*CHOOSE(CONTROL!$C$42, 31, 31))/1000000</f>
        <v>4.2625000000000002</v>
      </c>
      <c r="W372" s="38">
        <f>(1000*CHOOSE(CONTROL!$C$42, 0.1146, 0.1146)*CHOOSE(CONTROL!$C$42, 121.5, 121.5)*CHOOSE(CONTROL!$C$42, 31, 31))/1000000</f>
        <v>0.43164089999999994</v>
      </c>
      <c r="X372" s="38">
        <f>(31*0.1790888*100000/1000000)+(31*0.2374*100000/1000000)</f>
        <v>1.2911152800000001</v>
      </c>
      <c r="Y372" s="38">
        <f>(1000*600*CHOOSE(CONTROL!$C$42, 1.1037, 1.1037)*CHOOSE(CONTROL!$C$42, 31, 31))/1000000</f>
        <v>20.52882</v>
      </c>
      <c r="Z372" s="38"/>
      <c r="AA372" s="10"/>
      <c r="AB372" s="39"/>
      <c r="AC372" s="33">
        <f>(B372*122.58+C372*297.941+D372*89.177+E372*40.302+F372*40+G372*160+H372*0+I372*100+J372*300)/(122.58+297.941+89.177+40.302+0+40+160+100+300)</f>
        <v>10.727520157304347</v>
      </c>
      <c r="AD372" s="27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10.637990647482015</v>
      </c>
    </row>
    <row r="373" spans="1:30" ht="15.75" x14ac:dyDescent="0.25">
      <c r="A373" s="14">
        <v>52627</v>
      </c>
      <c r="B373" s="10">
        <f>CHOOSE(CONTROL!$C$42, 11.4611, 11.4611) * CHOOSE(CONTROL!$C$21, $C$9, 100%, $E$9)</f>
        <v>11.4611</v>
      </c>
      <c r="C373" s="10">
        <f>CHOOSE(CONTROL!$C$42, 11.4662, 11.4662) * CHOOSE(CONTROL!$C$21, $C$9, 100%, $E$9)</f>
        <v>11.466200000000001</v>
      </c>
      <c r="D373" s="10">
        <f>CHOOSE(CONTROL!$C$42, 11.5012, 11.5012) * CHOOSE(CONTROL!$C$21, $C$9, 100%, $E$9)</f>
        <v>11.501200000000001</v>
      </c>
      <c r="E373" s="10">
        <f>CHOOSE(CONTROL!$C$42, 11.535, 11.535) * CHOOSE(CONTROL!$C$21, $C$9, 100%, $E$9)</f>
        <v>11.535</v>
      </c>
      <c r="F373" s="10">
        <f>CHOOSE(CONTROL!$C$42, 11.4424, 11.4424)*CHOOSE(CONTROL!$C$21, $C$9, 100%, $E$9)</f>
        <v>11.442399999999999</v>
      </c>
      <c r="G373" s="10">
        <f>CHOOSE(CONTROL!$C$42, 11.4613, 11.4613)*CHOOSE(CONTROL!$C$21, $C$9, 100%, $E$9)</f>
        <v>11.4613</v>
      </c>
      <c r="H373" s="10">
        <f>CHOOSE(CONTROL!$C$42, 11.5239, 11.5239) * CHOOSE(CONTROL!$C$21, $C$9, 100%, $E$9)</f>
        <v>11.523899999999999</v>
      </c>
      <c r="I373" s="10">
        <f>CHOOSE(CONTROL!$C$42, 11.4684, 11.4684)* CHOOSE(CONTROL!$C$21, $C$9, 100%, $E$9)</f>
        <v>11.468400000000001</v>
      </c>
      <c r="J373" s="10">
        <f>CHOOSE(CONTROL!$C$42, 11.435, 11.435)* CHOOSE(CONTROL!$C$21, $C$9, 100%, $E$9)</f>
        <v>11.435</v>
      </c>
      <c r="K373" s="10">
        <f>CHOOSE(CONTROL!$C$42, 11.2867, 11.2867) * CHOOSE(CONTROL!$C$21, $C$9, 100%, $E$9)</f>
        <v>11.2867</v>
      </c>
      <c r="L373" s="10">
        <f>CHOOSE(CONTROL!$C$42, 12.1109, 12.1109) * CHOOSE(CONTROL!$C$21, $C$9, 100%, $E$9)</f>
        <v>12.110900000000001</v>
      </c>
      <c r="M373" s="10">
        <f>CHOOSE(CONTROL!$C$42, 11.32, 11.32) * CHOOSE(CONTROL!$C$21, $C$9, 100%, $E$9)</f>
        <v>11.32</v>
      </c>
      <c r="N373" s="10">
        <f>CHOOSE(CONTROL!$C$42, 11.3387, 11.3387) * CHOOSE(CONTROL!$C$21, $C$9, 100%, $E$9)</f>
        <v>11.338699999999999</v>
      </c>
      <c r="O373" s="10">
        <f>CHOOSE(CONTROL!$C$42, 11.4078, 11.4078) * CHOOSE(CONTROL!$C$21, $C$9, 100%, $E$9)</f>
        <v>11.4078</v>
      </c>
      <c r="P373" s="10">
        <f>CHOOSE(CONTROL!$C$42, 11.353, 11.353) * CHOOSE(CONTROL!$C$21, $C$9, 100%, $E$9)</f>
        <v>11.353</v>
      </c>
      <c r="Q373" s="10">
        <f>CHOOSE(CONTROL!$C$42, 12.0031, 12.0031) * CHOOSE(CONTROL!$C$21, $C$9, 100%, $E$9)</f>
        <v>12.0031</v>
      </c>
      <c r="R373" s="10">
        <f>CHOOSE(CONTROL!$C$42, 12.6201, 12.6201) * CHOOSE(CONTROL!$C$21, $C$9, 100%, $E$9)</f>
        <v>12.620100000000001</v>
      </c>
      <c r="S373" s="10">
        <f>CHOOSE(CONTROL!$C$42, 11.1145, 11.1145) * CHOOSE(CONTROL!$C$21, $C$9, 100%, $E$9)</f>
        <v>11.1145</v>
      </c>
      <c r="T3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38">
        <f>(1000*CHOOSE(CONTROL!$C$42, 695, 695)*CHOOSE(CONTROL!$C$42, 0.5599, 0.5599)*CHOOSE(CONTROL!$C$42, 31, 31))/1000000</f>
        <v>12.063045499999998</v>
      </c>
      <c r="V373" s="38">
        <f>(1000*CHOOSE(CONTROL!$C$42, 500, 500)*CHOOSE(CONTROL!$C$42, 0.275, 0.275)*CHOOSE(CONTROL!$C$42, 31, 31))/1000000</f>
        <v>4.2625000000000002</v>
      </c>
      <c r="W373" s="38">
        <f>(1000*CHOOSE(CONTROL!$C$42, 0.1146, 0.1146)*CHOOSE(CONTROL!$C$42, 121.5, 121.5)*CHOOSE(CONTROL!$C$42, 31, 31))/1000000</f>
        <v>0.43164089999999994</v>
      </c>
      <c r="X373" s="38">
        <f>(31*0.1790888*100000/1000000)+(31*0.2374*100000/1000000)</f>
        <v>1.2911152800000001</v>
      </c>
      <c r="Y373" s="38">
        <f>(1000*600*CHOOSE(CONTROL!$C$42, 1.1001, 1.1001)*CHOOSE(CONTROL!$C$42, 31, 31))/1000000</f>
        <v>20.461860000000001</v>
      </c>
      <c r="Z373" s="38"/>
      <c r="AA373" s="10"/>
      <c r="AB373" s="39"/>
      <c r="AC373" s="33">
        <f>(B373*122.58+C373*297.941+D373*89.177+E373*40.302+F373*40+G373*160+H373*0+I373*100+J373*300)/(122.58+297.941+89.177+40.302+0+40+160+100+300)</f>
        <v>11.461324186608696</v>
      </c>
      <c r="AD373" s="27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11.365618705035972</v>
      </c>
    </row>
    <row r="374" spans="1:30" ht="15.75" x14ac:dyDescent="0.25">
      <c r="A374" s="14">
        <v>52655</v>
      </c>
      <c r="B374" s="10">
        <f>CHOOSE(CONTROL!$C$42, 11.6654, 11.6654) * CHOOSE(CONTROL!$C$21, $C$9, 100%, $E$9)</f>
        <v>11.6654</v>
      </c>
      <c r="C374" s="10">
        <f>CHOOSE(CONTROL!$C$42, 11.6705, 11.6705) * CHOOSE(CONTROL!$C$21, $C$9, 100%, $E$9)</f>
        <v>11.670500000000001</v>
      </c>
      <c r="D374" s="10">
        <f>CHOOSE(CONTROL!$C$42, 11.7055, 11.7055) * CHOOSE(CONTROL!$C$21, $C$9, 100%, $E$9)</f>
        <v>11.705500000000001</v>
      </c>
      <c r="E374" s="10">
        <f>CHOOSE(CONTROL!$C$42, 11.7393, 11.7393) * CHOOSE(CONTROL!$C$21, $C$9, 100%, $E$9)</f>
        <v>11.7393</v>
      </c>
      <c r="F374" s="10">
        <f>CHOOSE(CONTROL!$C$42, 11.6462, 11.6462)*CHOOSE(CONTROL!$C$21, $C$9, 100%, $E$9)</f>
        <v>11.6462</v>
      </c>
      <c r="G374" s="10">
        <f>CHOOSE(CONTROL!$C$42, 11.6649, 11.6649)*CHOOSE(CONTROL!$C$21, $C$9, 100%, $E$9)</f>
        <v>11.664899999999999</v>
      </c>
      <c r="H374" s="10">
        <f>CHOOSE(CONTROL!$C$42, 11.7282, 11.7282) * CHOOSE(CONTROL!$C$21, $C$9, 100%, $E$9)</f>
        <v>11.728199999999999</v>
      </c>
      <c r="I374" s="10">
        <f>CHOOSE(CONTROL!$C$42, 11.6727, 11.6727)* CHOOSE(CONTROL!$C$21, $C$9, 100%, $E$9)</f>
        <v>11.672700000000001</v>
      </c>
      <c r="J374" s="10">
        <f>CHOOSE(CONTROL!$C$42, 11.6388, 11.6388)* CHOOSE(CONTROL!$C$21, $C$9, 100%, $E$9)</f>
        <v>11.6388</v>
      </c>
      <c r="K374" s="10">
        <f>CHOOSE(CONTROL!$C$42, 11.4835, 11.4835) * CHOOSE(CONTROL!$C$21, $C$9, 100%, $E$9)</f>
        <v>11.483499999999999</v>
      </c>
      <c r="L374" s="10">
        <f>CHOOSE(CONTROL!$C$42, 12.3152, 12.3152) * CHOOSE(CONTROL!$C$21, $C$9, 100%, $E$9)</f>
        <v>12.315200000000001</v>
      </c>
      <c r="M374" s="10">
        <f>CHOOSE(CONTROL!$C$42, 11.5212, 11.5212) * CHOOSE(CONTROL!$C$21, $C$9, 100%, $E$9)</f>
        <v>11.5212</v>
      </c>
      <c r="N374" s="10">
        <f>CHOOSE(CONTROL!$C$42, 11.5397, 11.5397) * CHOOSE(CONTROL!$C$21, $C$9, 100%, $E$9)</f>
        <v>11.5397</v>
      </c>
      <c r="O374" s="10">
        <f>CHOOSE(CONTROL!$C$42, 11.6094, 11.6094) * CHOOSE(CONTROL!$C$21, $C$9, 100%, $E$9)</f>
        <v>11.609400000000001</v>
      </c>
      <c r="P374" s="10">
        <f>CHOOSE(CONTROL!$C$42, 11.5547, 11.5547) * CHOOSE(CONTROL!$C$21, $C$9, 100%, $E$9)</f>
        <v>11.5547</v>
      </c>
      <c r="Q374" s="10">
        <f>CHOOSE(CONTROL!$C$42, 12.2047, 12.2047) * CHOOSE(CONTROL!$C$21, $C$9, 100%, $E$9)</f>
        <v>12.204700000000001</v>
      </c>
      <c r="R374" s="10">
        <f>CHOOSE(CONTROL!$C$42, 12.8223, 12.8223) * CHOOSE(CONTROL!$C$21, $C$9, 100%, $E$9)</f>
        <v>12.8223</v>
      </c>
      <c r="S374" s="10">
        <f>CHOOSE(CONTROL!$C$42, 11.3123, 11.3123) * CHOOSE(CONTROL!$C$21, $C$9, 100%, $E$9)</f>
        <v>11.3123</v>
      </c>
      <c r="T37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74" s="38">
        <f>(1000*CHOOSE(CONTROL!$C$42, 695, 695)*CHOOSE(CONTROL!$C$42, 0.5599, 0.5599)*CHOOSE(CONTROL!$C$42, 29, 29))/1000000</f>
        <v>11.284784499999999</v>
      </c>
      <c r="V374" s="38">
        <f>(1000*CHOOSE(CONTROL!$C$42, 500, 500)*CHOOSE(CONTROL!$C$42, 0.275, 0.275)*CHOOSE(CONTROL!$C$42, 29, 29))/1000000</f>
        <v>3.9874999999999998</v>
      </c>
      <c r="W374" s="38">
        <f>(1000*CHOOSE(CONTROL!$C$42, 0.1146, 0.1146)*CHOOSE(CONTROL!$C$42, 121.5, 121.5)*CHOOSE(CONTROL!$C$42, 29, 29))/1000000</f>
        <v>0.40379309999999996</v>
      </c>
      <c r="X374" s="38">
        <f>(29*0.1790888*100000/1000000)+(29*0.2374*100000/1000000)</f>
        <v>1.2078175199999999</v>
      </c>
      <c r="Y374" s="38">
        <f>(1000*600*CHOOSE(CONTROL!$C$42, 1.1001, 1.1001)*CHOOSE(CONTROL!$C$42, 29, 29))/1000000</f>
        <v>19.141739999999999</v>
      </c>
      <c r="Z374" s="38"/>
      <c r="AA374" s="10"/>
      <c r="AB374" s="39"/>
      <c r="AC374" s="33">
        <f>(B374*122.58+C374*297.941+D374*89.177+E374*40.302+F374*40+G374*160+H374*0+I374*100+J374*300)/(122.58+297.941+89.177+40.302+0+40+160+100+300)</f>
        <v>11.665378969217391</v>
      </c>
      <c r="AD374" s="27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11.567060431654678</v>
      </c>
    </row>
    <row r="375" spans="1:30" ht="15.75" x14ac:dyDescent="0.25">
      <c r="A375" s="14">
        <v>52687</v>
      </c>
      <c r="B375" s="10">
        <f>CHOOSE(CONTROL!$C$42, 11.3338, 11.3338) * CHOOSE(CONTROL!$C$21, $C$9, 100%, $E$9)</f>
        <v>11.3338</v>
      </c>
      <c r="C375" s="10">
        <f>CHOOSE(CONTROL!$C$42, 11.3389, 11.3389) * CHOOSE(CONTROL!$C$21, $C$9, 100%, $E$9)</f>
        <v>11.338900000000001</v>
      </c>
      <c r="D375" s="10">
        <f>CHOOSE(CONTROL!$C$42, 11.3739, 11.3739) * CHOOSE(CONTROL!$C$21, $C$9, 100%, $E$9)</f>
        <v>11.373900000000001</v>
      </c>
      <c r="E375" s="10">
        <f>CHOOSE(CONTROL!$C$42, 11.4077, 11.4077) * CHOOSE(CONTROL!$C$21, $C$9, 100%, $E$9)</f>
        <v>11.4077</v>
      </c>
      <c r="F375" s="10">
        <f>CHOOSE(CONTROL!$C$42, 11.3131, 11.3131)*CHOOSE(CONTROL!$C$21, $C$9, 100%, $E$9)</f>
        <v>11.3131</v>
      </c>
      <c r="G375" s="10">
        <f>CHOOSE(CONTROL!$C$42, 11.3315, 11.3315)*CHOOSE(CONTROL!$C$21, $C$9, 100%, $E$9)</f>
        <v>11.3315</v>
      </c>
      <c r="H375" s="10">
        <f>CHOOSE(CONTROL!$C$42, 11.3966, 11.3966) * CHOOSE(CONTROL!$C$21, $C$9, 100%, $E$9)</f>
        <v>11.396599999999999</v>
      </c>
      <c r="I375" s="10">
        <f>CHOOSE(CONTROL!$C$42, 11.341, 11.341)* CHOOSE(CONTROL!$C$21, $C$9, 100%, $E$9)</f>
        <v>11.340999999999999</v>
      </c>
      <c r="J375" s="10">
        <f>CHOOSE(CONTROL!$C$42, 11.3057, 11.3057)* CHOOSE(CONTROL!$C$21, $C$9, 100%, $E$9)</f>
        <v>11.3057</v>
      </c>
      <c r="K375" s="10">
        <f>CHOOSE(CONTROL!$C$42, 11.1592, 11.1592) * CHOOSE(CONTROL!$C$21, $C$9, 100%, $E$9)</f>
        <v>11.1592</v>
      </c>
      <c r="L375" s="10">
        <f>CHOOSE(CONTROL!$C$42, 11.9836, 11.9836) * CHOOSE(CONTROL!$C$21, $C$9, 100%, $E$9)</f>
        <v>11.983599999999999</v>
      </c>
      <c r="M375" s="10">
        <f>CHOOSE(CONTROL!$C$42, 11.1924, 11.1924) * CHOOSE(CONTROL!$C$21, $C$9, 100%, $E$9)</f>
        <v>11.192399999999999</v>
      </c>
      <c r="N375" s="10">
        <f>CHOOSE(CONTROL!$C$42, 11.2106, 11.2106) * CHOOSE(CONTROL!$C$21, $C$9, 100%, $E$9)</f>
        <v>11.210599999999999</v>
      </c>
      <c r="O375" s="10">
        <f>CHOOSE(CONTROL!$C$42, 11.2821, 11.2821) * CHOOSE(CONTROL!$C$21, $C$9, 100%, $E$9)</f>
        <v>11.2821</v>
      </c>
      <c r="P375" s="10">
        <f>CHOOSE(CONTROL!$C$42, 11.2273, 11.2273) * CHOOSE(CONTROL!$C$21, $C$9, 100%, $E$9)</f>
        <v>11.2273</v>
      </c>
      <c r="Q375" s="10">
        <f>CHOOSE(CONTROL!$C$42, 11.8774, 11.8774) * CHOOSE(CONTROL!$C$21, $C$9, 100%, $E$9)</f>
        <v>11.8774</v>
      </c>
      <c r="R375" s="10">
        <f>CHOOSE(CONTROL!$C$42, 12.4941, 12.4941) * CHOOSE(CONTROL!$C$21, $C$9, 100%, $E$9)</f>
        <v>12.4941</v>
      </c>
      <c r="S375" s="10">
        <f>CHOOSE(CONTROL!$C$42, 10.9912, 10.9912) * CHOOSE(CONTROL!$C$21, $C$9, 100%, $E$9)</f>
        <v>10.991199999999999</v>
      </c>
      <c r="T3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38">
        <f>(1000*CHOOSE(CONTROL!$C$42, 695, 695)*CHOOSE(CONTROL!$C$42, 0.5599, 0.5599)*CHOOSE(CONTROL!$C$42, 31, 31))/1000000</f>
        <v>12.063045499999998</v>
      </c>
      <c r="V375" s="38">
        <f>(1000*CHOOSE(CONTROL!$C$42, 500, 500)*CHOOSE(CONTROL!$C$42, 0.275, 0.275)*CHOOSE(CONTROL!$C$42, 31, 31))/1000000</f>
        <v>4.2625000000000002</v>
      </c>
      <c r="W375" s="38">
        <f>(1000*CHOOSE(CONTROL!$C$42, 0.1146, 0.1146)*CHOOSE(CONTROL!$C$42, 121.5, 121.5)*CHOOSE(CONTROL!$C$42, 31, 31))/1000000</f>
        <v>0.43164089999999994</v>
      </c>
      <c r="X375" s="38">
        <f>(31*0.1790888*100000/1000000)+(31*0.2374*100000/1000000)</f>
        <v>1.2911152800000001</v>
      </c>
      <c r="Y375" s="38">
        <f>(1000*600*CHOOSE(CONTROL!$C$42, 1.1001, 1.1001)*CHOOSE(CONTROL!$C$42, 31, 31))/1000000</f>
        <v>20.461860000000001</v>
      </c>
      <c r="Z375" s="38"/>
      <c r="AA375" s="10"/>
      <c r="AB375" s="39"/>
      <c r="AC375" s="33">
        <f>(B375*122.58+C375*297.941+D375*89.177+E375*40.302+F375*40+G375*160+H375*0+I375*100+J375*300)/(122.58+297.941+89.177+40.302+0+40+160+100+300)</f>
        <v>11.333076360521739</v>
      </c>
      <c r="AD375" s="27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11.239124460431654</v>
      </c>
    </row>
    <row r="376" spans="1:30" ht="15.75" x14ac:dyDescent="0.25">
      <c r="A376" s="14">
        <v>52717</v>
      </c>
      <c r="B376" s="10">
        <f>CHOOSE(CONTROL!$C$42, 11.3006, 11.3006) * CHOOSE(CONTROL!$C$21, $C$9, 100%, $E$9)</f>
        <v>11.300599999999999</v>
      </c>
      <c r="C376" s="10">
        <f>CHOOSE(CONTROL!$C$42, 11.3051, 11.3051) * CHOOSE(CONTROL!$C$21, $C$9, 100%, $E$9)</f>
        <v>11.305099999999999</v>
      </c>
      <c r="D376" s="10">
        <f>CHOOSE(CONTROL!$C$42, 11.4833, 11.4833) * CHOOSE(CONTROL!$C$21, $C$9, 100%, $E$9)</f>
        <v>11.4833</v>
      </c>
      <c r="E376" s="10">
        <f>CHOOSE(CONTROL!$C$42, 11.5151, 11.5151) * CHOOSE(CONTROL!$C$21, $C$9, 100%, $E$9)</f>
        <v>11.5151</v>
      </c>
      <c r="F376" s="10">
        <f>CHOOSE(CONTROL!$C$42, 11.244, 11.244)*CHOOSE(CONTROL!$C$21, $C$9, 100%, $E$9)</f>
        <v>11.244</v>
      </c>
      <c r="G376" s="10">
        <f>CHOOSE(CONTROL!$C$42, 11.2606, 11.2606)*CHOOSE(CONTROL!$C$21, $C$9, 100%, $E$9)</f>
        <v>11.2606</v>
      </c>
      <c r="H376" s="10">
        <f>CHOOSE(CONTROL!$C$42, 11.5046, 11.5046) * CHOOSE(CONTROL!$C$21, $C$9, 100%, $E$9)</f>
        <v>11.5046</v>
      </c>
      <c r="I376" s="10">
        <f>CHOOSE(CONTROL!$C$42, 11.2766, 11.2766)* CHOOSE(CONTROL!$C$21, $C$9, 100%, $E$9)</f>
        <v>11.2766</v>
      </c>
      <c r="J376" s="10">
        <f>CHOOSE(CONTROL!$C$42, 11.2366, 11.2366)* CHOOSE(CONTROL!$C$21, $C$9, 100%, $E$9)</f>
        <v>11.236599999999999</v>
      </c>
      <c r="K376" s="10">
        <f>CHOOSE(CONTROL!$C$42, 11.082, 11.082) * CHOOSE(CONTROL!$C$21, $C$9, 100%, $E$9)</f>
        <v>11.082000000000001</v>
      </c>
      <c r="L376" s="10">
        <f>CHOOSE(CONTROL!$C$42, 12.0916, 12.0916) * CHOOSE(CONTROL!$C$21, $C$9, 100%, $E$9)</f>
        <v>12.0916</v>
      </c>
      <c r="M376" s="10">
        <f>CHOOSE(CONTROL!$C$42, 11.1242, 11.1242) * CHOOSE(CONTROL!$C$21, $C$9, 100%, $E$9)</f>
        <v>11.1242</v>
      </c>
      <c r="N376" s="10">
        <f>CHOOSE(CONTROL!$C$42, 11.1406, 11.1406) * CHOOSE(CONTROL!$C$21, $C$9, 100%, $E$9)</f>
        <v>11.140599999999999</v>
      </c>
      <c r="O376" s="10">
        <f>CHOOSE(CONTROL!$C$42, 11.3887, 11.3887) * CHOOSE(CONTROL!$C$21, $C$9, 100%, $E$9)</f>
        <v>11.3887</v>
      </c>
      <c r="P376" s="10">
        <f>CHOOSE(CONTROL!$C$42, 11.1637, 11.1637) * CHOOSE(CONTROL!$C$21, $C$9, 100%, $E$9)</f>
        <v>11.1637</v>
      </c>
      <c r="Q376" s="10">
        <f>CHOOSE(CONTROL!$C$42, 11.984, 11.984) * CHOOSE(CONTROL!$C$21, $C$9, 100%, $E$9)</f>
        <v>11.984</v>
      </c>
      <c r="R376" s="10">
        <f>CHOOSE(CONTROL!$C$42, 12.601, 12.601) * CHOOSE(CONTROL!$C$21, $C$9, 100%, $E$9)</f>
        <v>12.601000000000001</v>
      </c>
      <c r="S376" s="10">
        <f>CHOOSE(CONTROL!$C$42, 10.9582, 10.9582) * CHOOSE(CONTROL!$C$21, $C$9, 100%, $E$9)</f>
        <v>10.9582</v>
      </c>
      <c r="T3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38">
        <f>(1000*CHOOSE(CONTROL!$C$42, 695, 695)*CHOOSE(CONTROL!$C$42, 0.5599, 0.5599)*CHOOSE(CONTROL!$C$42, 30, 30))/1000000</f>
        <v>11.673914999999997</v>
      </c>
      <c r="V376" s="38">
        <f>(1000*CHOOSE(CONTROL!$C$42, 500, 500)*CHOOSE(CONTROL!$C$42, 0.275, 0.275)*CHOOSE(CONTROL!$C$42, 30, 30))/1000000</f>
        <v>4.125</v>
      </c>
      <c r="W376" s="38">
        <f>(1000*CHOOSE(CONTROL!$C$42, 0.1146, 0.1146)*CHOOSE(CONTROL!$C$42, 121.5, 121.5)*CHOOSE(CONTROL!$C$42, 30, 30))/1000000</f>
        <v>0.417717</v>
      </c>
      <c r="X376" s="38">
        <f>(30*0.1790888*245000/1000000)+(30*0.2374*100000/1000000)</f>
        <v>2.0285026799999999</v>
      </c>
      <c r="Y376" s="38">
        <f>(1000*600*CHOOSE(CONTROL!$C$42, 1.1001, 1.1001)*CHOOSE(CONTROL!$C$42, 30, 30))/1000000</f>
        <v>19.8018</v>
      </c>
      <c r="Z376" s="38"/>
      <c r="AA376" s="10"/>
      <c r="AB376" s="39"/>
      <c r="AC376" s="33">
        <f>(B376*141.293+C376*267.993+D376*115.016+E376*89.698+F376*40+G376*185+H376*0+I376*100+J376*300)/(141.293+267.993+115.016+89.698+0+40+185+100+300)</f>
        <v>11.308828904519773</v>
      </c>
      <c r="AD376" s="27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11.207871223021582</v>
      </c>
    </row>
    <row r="377" spans="1:30" ht="15.75" x14ac:dyDescent="0.25">
      <c r="A377" s="14">
        <v>52748</v>
      </c>
      <c r="B377" s="10">
        <f>CHOOSE(CONTROL!$C$42, 11.4022, 11.4022) * CHOOSE(CONTROL!$C$21, $C$9, 100%, $E$9)</f>
        <v>11.402200000000001</v>
      </c>
      <c r="C377" s="10">
        <f>CHOOSE(CONTROL!$C$42, 11.4102, 11.4102) * CHOOSE(CONTROL!$C$21, $C$9, 100%, $E$9)</f>
        <v>11.4102</v>
      </c>
      <c r="D377" s="10">
        <f>CHOOSE(CONTROL!$C$42, 11.5853, 11.5853) * CHOOSE(CONTROL!$C$21, $C$9, 100%, $E$9)</f>
        <v>11.5853</v>
      </c>
      <c r="E377" s="10">
        <f>CHOOSE(CONTROL!$C$42, 11.6165, 11.6165) * CHOOSE(CONTROL!$C$21, $C$9, 100%, $E$9)</f>
        <v>11.6165</v>
      </c>
      <c r="F377" s="10">
        <f>CHOOSE(CONTROL!$C$42, 11.3439, 11.3439)*CHOOSE(CONTROL!$C$21, $C$9, 100%, $E$9)</f>
        <v>11.3439</v>
      </c>
      <c r="G377" s="10">
        <f>CHOOSE(CONTROL!$C$42, 11.3608, 11.3608)*CHOOSE(CONTROL!$C$21, $C$9, 100%, $E$9)</f>
        <v>11.360799999999999</v>
      </c>
      <c r="H377" s="10">
        <f>CHOOSE(CONTROL!$C$42, 11.6049, 11.6049) * CHOOSE(CONTROL!$C$21, $C$9, 100%, $E$9)</f>
        <v>11.604900000000001</v>
      </c>
      <c r="I377" s="10">
        <f>CHOOSE(CONTROL!$C$42, 11.3768, 11.3768)* CHOOSE(CONTROL!$C$21, $C$9, 100%, $E$9)</f>
        <v>11.376799999999999</v>
      </c>
      <c r="J377" s="10">
        <f>CHOOSE(CONTROL!$C$42, 11.3365, 11.3365)* CHOOSE(CONTROL!$C$21, $C$9, 100%, $E$9)</f>
        <v>11.336499999999999</v>
      </c>
      <c r="K377" s="10">
        <f>CHOOSE(CONTROL!$C$42, 11.1783, 11.1783) * CHOOSE(CONTROL!$C$21, $C$9, 100%, $E$9)</f>
        <v>11.1783</v>
      </c>
      <c r="L377" s="10">
        <f>CHOOSE(CONTROL!$C$42, 12.1919, 12.1919) * CHOOSE(CONTROL!$C$21, $C$9, 100%, $E$9)</f>
        <v>12.1919</v>
      </c>
      <c r="M377" s="10">
        <f>CHOOSE(CONTROL!$C$42, 11.2228, 11.2228) * CHOOSE(CONTROL!$C$21, $C$9, 100%, $E$9)</f>
        <v>11.222799999999999</v>
      </c>
      <c r="N377" s="10">
        <f>CHOOSE(CONTROL!$C$42, 11.2394, 11.2394) * CHOOSE(CONTROL!$C$21, $C$9, 100%, $E$9)</f>
        <v>11.2394</v>
      </c>
      <c r="O377" s="10">
        <f>CHOOSE(CONTROL!$C$42, 11.4877, 11.4877) * CHOOSE(CONTROL!$C$21, $C$9, 100%, $E$9)</f>
        <v>11.4877</v>
      </c>
      <c r="P377" s="10">
        <f>CHOOSE(CONTROL!$C$42, 11.2627, 11.2627) * CHOOSE(CONTROL!$C$21, $C$9, 100%, $E$9)</f>
        <v>11.262700000000001</v>
      </c>
      <c r="Q377" s="10">
        <f>CHOOSE(CONTROL!$C$42, 12.083, 12.083) * CHOOSE(CONTROL!$C$21, $C$9, 100%, $E$9)</f>
        <v>12.083</v>
      </c>
      <c r="R377" s="10">
        <f>CHOOSE(CONTROL!$C$42, 12.7002, 12.7002) * CHOOSE(CONTROL!$C$21, $C$9, 100%, $E$9)</f>
        <v>12.700200000000001</v>
      </c>
      <c r="S377" s="10">
        <f>CHOOSE(CONTROL!$C$42, 11.0553, 11.0553) * CHOOSE(CONTROL!$C$21, $C$9, 100%, $E$9)</f>
        <v>11.055300000000001</v>
      </c>
      <c r="T3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38">
        <f>(1000*CHOOSE(CONTROL!$C$42, 695, 695)*CHOOSE(CONTROL!$C$42, 0.5599, 0.5599)*CHOOSE(CONTROL!$C$42, 31, 31))/1000000</f>
        <v>12.063045499999998</v>
      </c>
      <c r="V377" s="38">
        <f>(1000*CHOOSE(CONTROL!$C$42, 500, 500)*CHOOSE(CONTROL!$C$42, 0.275, 0.275)*CHOOSE(CONTROL!$C$42, 31, 31))/1000000</f>
        <v>4.2625000000000002</v>
      </c>
      <c r="W377" s="38">
        <f>(1000*CHOOSE(CONTROL!$C$42, 0.1146, 0.1146)*CHOOSE(CONTROL!$C$42, 121.5, 121.5)*CHOOSE(CONTROL!$C$42, 31, 31))/1000000</f>
        <v>0.43164089999999994</v>
      </c>
      <c r="X377" s="38">
        <f>(31*0.1790888*245000/1000000)+(31*0.2374*100000/1000000)</f>
        <v>2.0961194359999999</v>
      </c>
      <c r="Y377" s="38">
        <f>(1000*600*CHOOSE(CONTROL!$C$42, 1.1001, 1.1001)*CHOOSE(CONTROL!$C$42, 31, 31))/1000000</f>
        <v>20.461860000000001</v>
      </c>
      <c r="Z377" s="38"/>
      <c r="AA377" s="10"/>
      <c r="AB377" s="39"/>
      <c r="AC377" s="33">
        <f>(B377*194.205+C377*267.466+D377*133.845+E377*53.484+F377*40+G377*185+H377*0+I377*100+J377*300)/(194.205+267.466+133.845+53.484+0+40+185+100+300)</f>
        <v>11.406805469937206</v>
      </c>
      <c r="AD377" s="27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11.306687050359713</v>
      </c>
    </row>
    <row r="378" spans="1:30" ht="15.75" x14ac:dyDescent="0.25">
      <c r="A378" s="14">
        <v>52778</v>
      </c>
      <c r="B378" s="10">
        <f>CHOOSE(CONTROL!$C$42, 11.726, 11.726) * CHOOSE(CONTROL!$C$21, $C$9, 100%, $E$9)</f>
        <v>11.726000000000001</v>
      </c>
      <c r="C378" s="10">
        <f>CHOOSE(CONTROL!$C$42, 11.734, 11.734) * CHOOSE(CONTROL!$C$21, $C$9, 100%, $E$9)</f>
        <v>11.734</v>
      </c>
      <c r="D378" s="10">
        <f>CHOOSE(CONTROL!$C$42, 11.9091, 11.9091) * CHOOSE(CONTROL!$C$21, $C$9, 100%, $E$9)</f>
        <v>11.9091</v>
      </c>
      <c r="E378" s="10">
        <f>CHOOSE(CONTROL!$C$42, 11.9404, 11.9404) * CHOOSE(CONTROL!$C$21, $C$9, 100%, $E$9)</f>
        <v>11.9404</v>
      </c>
      <c r="F378" s="10">
        <f>CHOOSE(CONTROL!$C$42, 11.6679, 11.6679)*CHOOSE(CONTROL!$C$21, $C$9, 100%, $E$9)</f>
        <v>11.667899999999999</v>
      </c>
      <c r="G378" s="10">
        <f>CHOOSE(CONTROL!$C$42, 11.6848, 11.6848)*CHOOSE(CONTROL!$C$21, $C$9, 100%, $E$9)</f>
        <v>11.684799999999999</v>
      </c>
      <c r="H378" s="10">
        <f>CHOOSE(CONTROL!$C$42, 11.9287, 11.9287) * CHOOSE(CONTROL!$C$21, $C$9, 100%, $E$9)</f>
        <v>11.928699999999999</v>
      </c>
      <c r="I378" s="10">
        <f>CHOOSE(CONTROL!$C$42, 11.7007, 11.7007)* CHOOSE(CONTROL!$C$21, $C$9, 100%, $E$9)</f>
        <v>11.700699999999999</v>
      </c>
      <c r="J378" s="10">
        <f>CHOOSE(CONTROL!$C$42, 11.6605, 11.6605)* CHOOSE(CONTROL!$C$21, $C$9, 100%, $E$9)</f>
        <v>11.660500000000001</v>
      </c>
      <c r="K378" s="10">
        <f>CHOOSE(CONTROL!$C$42, 11.4924, 11.4924) * CHOOSE(CONTROL!$C$21, $C$9, 100%, $E$9)</f>
        <v>11.4924</v>
      </c>
      <c r="L378" s="10">
        <f>CHOOSE(CONTROL!$C$42, 12.5157, 12.5157) * CHOOSE(CONTROL!$C$21, $C$9, 100%, $E$9)</f>
        <v>12.515700000000001</v>
      </c>
      <c r="M378" s="10">
        <f>CHOOSE(CONTROL!$C$42, 11.5426, 11.5426) * CHOOSE(CONTROL!$C$21, $C$9, 100%, $E$9)</f>
        <v>11.5426</v>
      </c>
      <c r="N378" s="10">
        <f>CHOOSE(CONTROL!$C$42, 11.5593, 11.5593) * CHOOSE(CONTROL!$C$21, $C$9, 100%, $E$9)</f>
        <v>11.5593</v>
      </c>
      <c r="O378" s="10">
        <f>CHOOSE(CONTROL!$C$42, 11.8073, 11.8073) * CHOOSE(CONTROL!$C$21, $C$9, 100%, $E$9)</f>
        <v>11.8073</v>
      </c>
      <c r="P378" s="10">
        <f>CHOOSE(CONTROL!$C$42, 11.5823, 11.5823) * CHOOSE(CONTROL!$C$21, $C$9, 100%, $E$9)</f>
        <v>11.5823</v>
      </c>
      <c r="Q378" s="10">
        <f>CHOOSE(CONTROL!$C$42, 12.4026, 12.4026) * CHOOSE(CONTROL!$C$21, $C$9, 100%, $E$9)</f>
        <v>12.4026</v>
      </c>
      <c r="R378" s="10">
        <f>CHOOSE(CONTROL!$C$42, 13.0206, 13.0206) * CHOOSE(CONTROL!$C$21, $C$9, 100%, $E$9)</f>
        <v>13.0206</v>
      </c>
      <c r="S378" s="10">
        <f>CHOOSE(CONTROL!$C$42, 11.3689, 11.3689) * CHOOSE(CONTROL!$C$21, $C$9, 100%, $E$9)</f>
        <v>11.3689</v>
      </c>
      <c r="T3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38">
        <f>(1000*CHOOSE(CONTROL!$C$42, 695, 695)*CHOOSE(CONTROL!$C$42, 0.5599, 0.5599)*CHOOSE(CONTROL!$C$42, 30, 30))/1000000</f>
        <v>11.673914999999997</v>
      </c>
      <c r="V378" s="38">
        <f>(1000*CHOOSE(CONTROL!$C$42, 500, 500)*CHOOSE(CONTROL!$C$42, 0.275, 0.275)*CHOOSE(CONTROL!$C$42, 30, 30))/1000000</f>
        <v>4.125</v>
      </c>
      <c r="W378" s="38">
        <f>(1000*CHOOSE(CONTROL!$C$42, 0.1146, 0.1146)*CHOOSE(CONTROL!$C$42, 121.5, 121.5)*CHOOSE(CONTROL!$C$42, 30, 30))/1000000</f>
        <v>0.417717</v>
      </c>
      <c r="X378" s="38">
        <f>(30*0.1790888*245000/1000000)+(30*0.2374*100000/1000000)</f>
        <v>2.0285026799999999</v>
      </c>
      <c r="Y378" s="38">
        <f>(1000*600*CHOOSE(CONTROL!$C$42, 1.1001, 1.1001)*CHOOSE(CONTROL!$C$42, 30, 30))/1000000</f>
        <v>19.8018</v>
      </c>
      <c r="Z378" s="38"/>
      <c r="AA378" s="10"/>
      <c r="AB378" s="39"/>
      <c r="AC378" s="33">
        <f>(B378*194.205+C378*267.466+D378*133.845+E378*53.484+F378*40+G378*185+H378*0+I378*100+J378*300)/(194.205+267.466+133.845+53.484+0+40+185+100+300)</f>
        <v>11.730699934929357</v>
      </c>
      <c r="AD378" s="27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11.626425179856115</v>
      </c>
    </row>
    <row r="379" spans="1:30" ht="15.75" x14ac:dyDescent="0.25">
      <c r="A379" s="14">
        <v>52809</v>
      </c>
      <c r="B379" s="10">
        <f>CHOOSE(CONTROL!$C$42, 11.5008, 11.5008) * CHOOSE(CONTROL!$C$21, $C$9, 100%, $E$9)</f>
        <v>11.5008</v>
      </c>
      <c r="C379" s="10">
        <f>CHOOSE(CONTROL!$C$42, 11.5088, 11.5088) * CHOOSE(CONTROL!$C$21, $C$9, 100%, $E$9)</f>
        <v>11.508800000000001</v>
      </c>
      <c r="D379" s="10">
        <f>CHOOSE(CONTROL!$C$42, 11.6839, 11.6839) * CHOOSE(CONTROL!$C$21, $C$9, 100%, $E$9)</f>
        <v>11.6839</v>
      </c>
      <c r="E379" s="10">
        <f>CHOOSE(CONTROL!$C$42, 11.7151, 11.7151) * CHOOSE(CONTROL!$C$21, $C$9, 100%, $E$9)</f>
        <v>11.7151</v>
      </c>
      <c r="F379" s="10">
        <f>CHOOSE(CONTROL!$C$42, 11.443, 11.443)*CHOOSE(CONTROL!$C$21, $C$9, 100%, $E$9)</f>
        <v>11.443</v>
      </c>
      <c r="G379" s="10">
        <f>CHOOSE(CONTROL!$C$42, 11.46, 11.46)*CHOOSE(CONTROL!$C$21, $C$9, 100%, $E$9)</f>
        <v>11.46</v>
      </c>
      <c r="H379" s="10">
        <f>CHOOSE(CONTROL!$C$42, 11.7035, 11.7035) * CHOOSE(CONTROL!$C$21, $C$9, 100%, $E$9)</f>
        <v>11.7035</v>
      </c>
      <c r="I379" s="10">
        <f>CHOOSE(CONTROL!$C$42, 11.4754, 11.4754)* CHOOSE(CONTROL!$C$21, $C$9, 100%, $E$9)</f>
        <v>11.4754</v>
      </c>
      <c r="J379" s="10">
        <f>CHOOSE(CONTROL!$C$42, 11.4356, 11.4356)* CHOOSE(CONTROL!$C$21, $C$9, 100%, $E$9)</f>
        <v>11.435600000000001</v>
      </c>
      <c r="K379" s="10">
        <f>CHOOSE(CONTROL!$C$42, 11.275, 11.275) * CHOOSE(CONTROL!$C$21, $C$9, 100%, $E$9)</f>
        <v>11.275</v>
      </c>
      <c r="L379" s="10">
        <f>CHOOSE(CONTROL!$C$42, 12.2905, 12.2905) * CHOOSE(CONTROL!$C$21, $C$9, 100%, $E$9)</f>
        <v>12.2905</v>
      </c>
      <c r="M379" s="10">
        <f>CHOOSE(CONTROL!$C$42, 11.3206, 11.3206) * CHOOSE(CONTROL!$C$21, $C$9, 100%, $E$9)</f>
        <v>11.320600000000001</v>
      </c>
      <c r="N379" s="10">
        <f>CHOOSE(CONTROL!$C$42, 11.3374, 11.3374) * CHOOSE(CONTROL!$C$21, $C$9, 100%, $E$9)</f>
        <v>11.337400000000001</v>
      </c>
      <c r="O379" s="10">
        <f>CHOOSE(CONTROL!$C$42, 11.585, 11.585) * CHOOSE(CONTROL!$C$21, $C$9, 100%, $E$9)</f>
        <v>11.585000000000001</v>
      </c>
      <c r="P379" s="10">
        <f>CHOOSE(CONTROL!$C$42, 11.36, 11.36) * CHOOSE(CONTROL!$C$21, $C$9, 100%, $E$9)</f>
        <v>11.36</v>
      </c>
      <c r="Q379" s="10">
        <f>CHOOSE(CONTROL!$C$42, 12.1803, 12.1803) * CHOOSE(CONTROL!$C$21, $C$9, 100%, $E$9)</f>
        <v>12.180300000000001</v>
      </c>
      <c r="R379" s="10">
        <f>CHOOSE(CONTROL!$C$42, 12.7978, 12.7978) * CHOOSE(CONTROL!$C$21, $C$9, 100%, $E$9)</f>
        <v>12.797800000000001</v>
      </c>
      <c r="S379" s="10">
        <f>CHOOSE(CONTROL!$C$42, 11.1508, 11.1508) * CHOOSE(CONTROL!$C$21, $C$9, 100%, $E$9)</f>
        <v>11.1508</v>
      </c>
      <c r="T3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38">
        <f>(1000*CHOOSE(CONTROL!$C$42, 695, 695)*CHOOSE(CONTROL!$C$42, 0.5599, 0.5599)*CHOOSE(CONTROL!$C$42, 31, 31))/1000000</f>
        <v>12.063045499999998</v>
      </c>
      <c r="V379" s="38">
        <f>(1000*CHOOSE(CONTROL!$C$42, 500, 500)*CHOOSE(CONTROL!$C$42, 0.275, 0.275)*CHOOSE(CONTROL!$C$42, 31, 31))/1000000</f>
        <v>4.2625000000000002</v>
      </c>
      <c r="W379" s="38">
        <f>(1000*CHOOSE(CONTROL!$C$42, 0.1146, 0.1146)*CHOOSE(CONTROL!$C$42, 121.5, 121.5)*CHOOSE(CONTROL!$C$42, 31, 31))/1000000</f>
        <v>0.43164089999999994</v>
      </c>
      <c r="X379" s="38">
        <f>(31*0.1790888*245000/1000000)+(31*0.2374*100000/1000000)</f>
        <v>2.0961194359999999</v>
      </c>
      <c r="Y379" s="38">
        <f>(1000*600*CHOOSE(CONTROL!$C$42, 1.1001, 1.1001)*CHOOSE(CONTROL!$C$42, 31, 31))/1000000</f>
        <v>20.461860000000001</v>
      </c>
      <c r="Z379" s="38"/>
      <c r="AA379" s="10"/>
      <c r="AB379" s="39"/>
      <c r="AC379" s="33">
        <f>(B379*194.205+C379*267.466+D379*133.845+E379*53.484+F379*40+G379*185+H379*0+I379*100+J379*300)/(194.205+267.466+133.845+53.484+0+40+185+100+300)</f>
        <v>11.505626035086344</v>
      </c>
      <c r="AD379" s="27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11.404320863309353</v>
      </c>
    </row>
    <row r="380" spans="1:30" ht="15.75" x14ac:dyDescent="0.25">
      <c r="A380" s="14">
        <v>52840</v>
      </c>
      <c r="B380" s="10">
        <f>CHOOSE(CONTROL!$C$42, 10.932, 10.932) * CHOOSE(CONTROL!$C$21, $C$9, 100%, $E$9)</f>
        <v>10.932</v>
      </c>
      <c r="C380" s="10">
        <f>CHOOSE(CONTROL!$C$42, 10.94, 10.94) * CHOOSE(CONTROL!$C$21, $C$9, 100%, $E$9)</f>
        <v>10.94</v>
      </c>
      <c r="D380" s="10">
        <f>CHOOSE(CONTROL!$C$42, 11.1151, 11.1151) * CHOOSE(CONTROL!$C$21, $C$9, 100%, $E$9)</f>
        <v>11.1151</v>
      </c>
      <c r="E380" s="10">
        <f>CHOOSE(CONTROL!$C$42, 11.1464, 11.1464) * CHOOSE(CONTROL!$C$21, $C$9, 100%, $E$9)</f>
        <v>11.1464</v>
      </c>
      <c r="F380" s="10">
        <f>CHOOSE(CONTROL!$C$42, 10.8741, 10.8741)*CHOOSE(CONTROL!$C$21, $C$9, 100%, $E$9)</f>
        <v>10.8741</v>
      </c>
      <c r="G380" s="10">
        <f>CHOOSE(CONTROL!$C$42, 10.8911, 10.8911)*CHOOSE(CONTROL!$C$21, $C$9, 100%, $E$9)</f>
        <v>10.8911</v>
      </c>
      <c r="H380" s="10">
        <f>CHOOSE(CONTROL!$C$42, 11.1347, 11.1347) * CHOOSE(CONTROL!$C$21, $C$9, 100%, $E$9)</f>
        <v>11.1347</v>
      </c>
      <c r="I380" s="10">
        <f>CHOOSE(CONTROL!$C$42, 10.9067, 10.9067)* CHOOSE(CONTROL!$C$21, $C$9, 100%, $E$9)</f>
        <v>10.906700000000001</v>
      </c>
      <c r="J380" s="10">
        <f>CHOOSE(CONTROL!$C$42, 10.8667, 10.8667)* CHOOSE(CONTROL!$C$21, $C$9, 100%, $E$9)</f>
        <v>10.8667</v>
      </c>
      <c r="K380" s="10">
        <f>CHOOSE(CONTROL!$C$42, 10.7237, 10.7237) * CHOOSE(CONTROL!$C$21, $C$9, 100%, $E$9)</f>
        <v>10.723699999999999</v>
      </c>
      <c r="L380" s="10">
        <f>CHOOSE(CONTROL!$C$42, 11.7217, 11.7217) * CHOOSE(CONTROL!$C$21, $C$9, 100%, $E$9)</f>
        <v>11.7217</v>
      </c>
      <c r="M380" s="10">
        <f>CHOOSE(CONTROL!$C$42, 10.7591, 10.7591) * CHOOSE(CONTROL!$C$21, $C$9, 100%, $E$9)</f>
        <v>10.7591</v>
      </c>
      <c r="N380" s="10">
        <f>CHOOSE(CONTROL!$C$42, 10.7759, 10.7759) * CHOOSE(CONTROL!$C$21, $C$9, 100%, $E$9)</f>
        <v>10.7759</v>
      </c>
      <c r="O380" s="10">
        <f>CHOOSE(CONTROL!$C$42, 11.0236, 11.0236) * CHOOSE(CONTROL!$C$21, $C$9, 100%, $E$9)</f>
        <v>11.0236</v>
      </c>
      <c r="P380" s="10">
        <f>CHOOSE(CONTROL!$C$42, 10.7986, 10.7986) * CHOOSE(CONTROL!$C$21, $C$9, 100%, $E$9)</f>
        <v>10.7986</v>
      </c>
      <c r="Q380" s="10">
        <f>CHOOSE(CONTROL!$C$42, 11.6189, 11.6189) * CHOOSE(CONTROL!$C$21, $C$9, 100%, $E$9)</f>
        <v>11.6189</v>
      </c>
      <c r="R380" s="10">
        <f>CHOOSE(CONTROL!$C$42, 12.2349, 12.2349) * CHOOSE(CONTROL!$C$21, $C$9, 100%, $E$9)</f>
        <v>12.2349</v>
      </c>
      <c r="S380" s="10">
        <f>CHOOSE(CONTROL!$C$42, 10.6001, 10.6001) * CHOOSE(CONTROL!$C$21, $C$9, 100%, $E$9)</f>
        <v>10.600099999999999</v>
      </c>
      <c r="T3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38">
        <f>(1000*CHOOSE(CONTROL!$C$42, 695, 695)*CHOOSE(CONTROL!$C$42, 0.5599, 0.5599)*CHOOSE(CONTROL!$C$42, 31, 31))/1000000</f>
        <v>12.063045499999998</v>
      </c>
      <c r="V380" s="38">
        <f>(1000*CHOOSE(CONTROL!$C$42, 500, 500)*CHOOSE(CONTROL!$C$42, 0.275, 0.275)*CHOOSE(CONTROL!$C$42, 31, 31))/1000000</f>
        <v>4.2625000000000002</v>
      </c>
      <c r="W380" s="38">
        <f>(1000*CHOOSE(CONTROL!$C$42, 0.1146, 0.1146)*CHOOSE(CONTROL!$C$42, 121.5, 121.5)*CHOOSE(CONTROL!$C$42, 31, 31))/1000000</f>
        <v>0.43164089999999994</v>
      </c>
      <c r="X380" s="38">
        <f>(31*0.1790888*245000/1000000)+(31*0.2374*100000/1000000)</f>
        <v>2.0961194359999999</v>
      </c>
      <c r="Y380" s="38">
        <f>(1000*600*CHOOSE(CONTROL!$C$42, 1.1001, 1.1001)*CHOOSE(CONTROL!$C$42, 31, 31))/1000000</f>
        <v>20.461860000000001</v>
      </c>
      <c r="Z380" s="38"/>
      <c r="AA380" s="10"/>
      <c r="AB380" s="39"/>
      <c r="AC380" s="33">
        <f>(B380*194.205+C380*267.466+D380*133.845+E380*53.484+F380*40+G380*185+H380*0+I380*100+J380*300)/(194.205+267.466+133.845+53.484+0+40+185+100+300)</f>
        <v>10.936796873704866</v>
      </c>
      <c r="AD380" s="27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10.84286330935252</v>
      </c>
    </row>
    <row r="381" spans="1:30" ht="15.75" x14ac:dyDescent="0.25">
      <c r="A381" s="14">
        <v>52870</v>
      </c>
      <c r="B381" s="10">
        <f>CHOOSE(CONTROL!$C$42, 10.2371, 10.2371) * CHOOSE(CONTROL!$C$21, $C$9, 100%, $E$9)</f>
        <v>10.2371</v>
      </c>
      <c r="C381" s="10">
        <f>CHOOSE(CONTROL!$C$42, 10.2451, 10.2451) * CHOOSE(CONTROL!$C$21, $C$9, 100%, $E$9)</f>
        <v>10.245100000000001</v>
      </c>
      <c r="D381" s="10">
        <f>CHOOSE(CONTROL!$C$42, 10.4202, 10.4202) * CHOOSE(CONTROL!$C$21, $C$9, 100%, $E$9)</f>
        <v>10.420199999999999</v>
      </c>
      <c r="E381" s="10">
        <f>CHOOSE(CONTROL!$C$42, 10.4514, 10.4514) * CHOOSE(CONTROL!$C$21, $C$9, 100%, $E$9)</f>
        <v>10.4514</v>
      </c>
      <c r="F381" s="10">
        <f>CHOOSE(CONTROL!$C$42, 10.1789, 10.1789)*CHOOSE(CONTROL!$C$21, $C$9, 100%, $E$9)</f>
        <v>10.178900000000001</v>
      </c>
      <c r="G381" s="10">
        <f>CHOOSE(CONTROL!$C$42, 10.1958, 10.1958)*CHOOSE(CONTROL!$C$21, $C$9, 100%, $E$9)</f>
        <v>10.1958</v>
      </c>
      <c r="H381" s="10">
        <f>CHOOSE(CONTROL!$C$42, 10.4398, 10.4398) * CHOOSE(CONTROL!$C$21, $C$9, 100%, $E$9)</f>
        <v>10.4398</v>
      </c>
      <c r="I381" s="10">
        <f>CHOOSE(CONTROL!$C$42, 10.2117, 10.2117)* CHOOSE(CONTROL!$C$21, $C$9, 100%, $E$9)</f>
        <v>10.2117</v>
      </c>
      <c r="J381" s="10">
        <f>CHOOSE(CONTROL!$C$42, 10.1715, 10.1715)* CHOOSE(CONTROL!$C$21, $C$9, 100%, $E$9)</f>
        <v>10.1715</v>
      </c>
      <c r="K381" s="10">
        <f>CHOOSE(CONTROL!$C$42, 10.0498, 10.0498) * CHOOSE(CONTROL!$C$21, $C$9, 100%, $E$9)</f>
        <v>10.049799999999999</v>
      </c>
      <c r="L381" s="10">
        <f>CHOOSE(CONTROL!$C$42, 11.0268, 11.0268) * CHOOSE(CONTROL!$C$21, $C$9, 100%, $E$9)</f>
        <v>11.0268</v>
      </c>
      <c r="M381" s="10">
        <f>CHOOSE(CONTROL!$C$42, 10.0729, 10.0729) * CHOOSE(CONTROL!$C$21, $C$9, 100%, $E$9)</f>
        <v>10.072900000000001</v>
      </c>
      <c r="N381" s="10">
        <f>CHOOSE(CONTROL!$C$42, 10.0896, 10.0896) * CHOOSE(CONTROL!$C$21, $C$9, 100%, $E$9)</f>
        <v>10.089600000000001</v>
      </c>
      <c r="O381" s="10">
        <f>CHOOSE(CONTROL!$C$42, 10.3377, 10.3377) * CHOOSE(CONTROL!$C$21, $C$9, 100%, $E$9)</f>
        <v>10.3377</v>
      </c>
      <c r="P381" s="10">
        <f>CHOOSE(CONTROL!$C$42, 10.1126, 10.1126) * CHOOSE(CONTROL!$C$21, $C$9, 100%, $E$9)</f>
        <v>10.1126</v>
      </c>
      <c r="Q381" s="10">
        <f>CHOOSE(CONTROL!$C$42, 10.933, 10.933) * CHOOSE(CONTROL!$C$21, $C$9, 100%, $E$9)</f>
        <v>10.933</v>
      </c>
      <c r="R381" s="10">
        <f>CHOOSE(CONTROL!$C$42, 11.5473, 11.5473) * CHOOSE(CONTROL!$C$21, $C$9, 100%, $E$9)</f>
        <v>11.5473</v>
      </c>
      <c r="S381" s="10">
        <f>CHOOSE(CONTROL!$C$42, 9.9272, 9.9272) * CHOOSE(CONTROL!$C$21, $C$9, 100%, $E$9)</f>
        <v>9.9271999999999991</v>
      </c>
      <c r="T3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38">
        <f>(1000*CHOOSE(CONTROL!$C$42, 695, 695)*CHOOSE(CONTROL!$C$42, 0.5599, 0.5599)*CHOOSE(CONTROL!$C$42, 30, 30))/1000000</f>
        <v>11.673914999999997</v>
      </c>
      <c r="V381" s="38">
        <f>(1000*CHOOSE(CONTROL!$C$42, 500, 500)*CHOOSE(CONTROL!$C$42, 0.275, 0.275)*CHOOSE(CONTROL!$C$42, 30, 30))/1000000</f>
        <v>4.125</v>
      </c>
      <c r="W381" s="38">
        <f>(1000*CHOOSE(CONTROL!$C$42, 0.1146, 0.1146)*CHOOSE(CONTROL!$C$42, 121.5, 121.5)*CHOOSE(CONTROL!$C$42, 30, 30))/1000000</f>
        <v>0.417717</v>
      </c>
      <c r="X381" s="38">
        <f>(30*0.1790888*245000/1000000)+(30*0.2374*100000/1000000)</f>
        <v>2.0285026799999999</v>
      </c>
      <c r="Y381" s="38">
        <f>(1000*600*CHOOSE(CONTROL!$C$42, 1.1001, 1.1001)*CHOOSE(CONTROL!$C$42, 30, 30))/1000000</f>
        <v>19.8018</v>
      </c>
      <c r="Z381" s="38"/>
      <c r="AA381" s="10"/>
      <c r="AB381" s="39"/>
      <c r="AC381" s="33">
        <f>(B381*194.205+C381*267.466+D381*133.845+E381*53.484+F381*40+G381*185+H381*0+I381*100+J381*300)/(194.205+267.466+133.845+53.484+0+40+185+100+300)</f>
        <v>10.241746678728413</v>
      </c>
      <c r="AD381" s="27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10.156753237410072</v>
      </c>
    </row>
    <row r="382" spans="1:30" ht="15.75" x14ac:dyDescent="0.25">
      <c r="A382" s="14">
        <v>52901</v>
      </c>
      <c r="B382" s="10">
        <f>CHOOSE(CONTROL!$C$42, 10.0268, 10.0268) * CHOOSE(CONTROL!$C$21, $C$9, 100%, $E$9)</f>
        <v>10.0268</v>
      </c>
      <c r="C382" s="10">
        <f>CHOOSE(CONTROL!$C$42, 10.0322, 10.0322) * CHOOSE(CONTROL!$C$21, $C$9, 100%, $E$9)</f>
        <v>10.0322</v>
      </c>
      <c r="D382" s="10">
        <f>CHOOSE(CONTROL!$C$42, 10.2122, 10.2122) * CHOOSE(CONTROL!$C$21, $C$9, 100%, $E$9)</f>
        <v>10.212199999999999</v>
      </c>
      <c r="E382" s="10">
        <f>CHOOSE(CONTROL!$C$42, 10.2411, 10.2411) * CHOOSE(CONTROL!$C$21, $C$9, 100%, $E$9)</f>
        <v>10.241099999999999</v>
      </c>
      <c r="F382" s="10">
        <f>CHOOSE(CONTROL!$C$42, 9.9706, 9.9706)*CHOOSE(CONTROL!$C$21, $C$9, 100%, $E$9)</f>
        <v>9.9705999999999992</v>
      </c>
      <c r="G382" s="10">
        <f>CHOOSE(CONTROL!$C$42, 9.9872, 9.9872)*CHOOSE(CONTROL!$C$21, $C$9, 100%, $E$9)</f>
        <v>9.9871999999999996</v>
      </c>
      <c r="H382" s="10">
        <f>CHOOSE(CONTROL!$C$42, 10.2312, 10.2312) * CHOOSE(CONTROL!$C$21, $C$9, 100%, $E$9)</f>
        <v>10.231199999999999</v>
      </c>
      <c r="I382" s="10">
        <f>CHOOSE(CONTROL!$C$42, 10.0032, 10.0032)* CHOOSE(CONTROL!$C$21, $C$9, 100%, $E$9)</f>
        <v>10.0032</v>
      </c>
      <c r="J382" s="10">
        <f>CHOOSE(CONTROL!$C$42, 9.9632, 9.9632)* CHOOSE(CONTROL!$C$21, $C$9, 100%, $E$9)</f>
        <v>9.9632000000000005</v>
      </c>
      <c r="K382" s="10">
        <f>CHOOSE(CONTROL!$C$42, 9.8484, 9.8484) * CHOOSE(CONTROL!$C$21, $C$9, 100%, $E$9)</f>
        <v>9.8483999999999998</v>
      </c>
      <c r="L382" s="10">
        <f>CHOOSE(CONTROL!$C$42, 10.8182, 10.8182) * CHOOSE(CONTROL!$C$21, $C$9, 100%, $E$9)</f>
        <v>10.818199999999999</v>
      </c>
      <c r="M382" s="10">
        <f>CHOOSE(CONTROL!$C$42, 9.8673, 9.8673) * CHOOSE(CONTROL!$C$21, $C$9, 100%, $E$9)</f>
        <v>9.8673000000000002</v>
      </c>
      <c r="N382" s="10">
        <f>CHOOSE(CONTROL!$C$42, 9.8837, 9.8837) * CHOOSE(CONTROL!$C$21, $C$9, 100%, $E$9)</f>
        <v>9.8836999999999993</v>
      </c>
      <c r="O382" s="10">
        <f>CHOOSE(CONTROL!$C$42, 10.1318, 10.1318) * CHOOSE(CONTROL!$C$21, $C$9, 100%, $E$9)</f>
        <v>10.1318</v>
      </c>
      <c r="P382" s="10">
        <f>CHOOSE(CONTROL!$C$42, 9.9068, 9.9068) * CHOOSE(CONTROL!$C$21, $C$9, 100%, $E$9)</f>
        <v>9.9068000000000005</v>
      </c>
      <c r="Q382" s="10">
        <f>CHOOSE(CONTROL!$C$42, 10.7271, 10.7271) * CHOOSE(CONTROL!$C$21, $C$9, 100%, $E$9)</f>
        <v>10.7271</v>
      </c>
      <c r="R382" s="10">
        <f>CHOOSE(CONTROL!$C$42, 11.341, 11.341) * CHOOSE(CONTROL!$C$21, $C$9, 100%, $E$9)</f>
        <v>11.340999999999999</v>
      </c>
      <c r="S382" s="10">
        <f>CHOOSE(CONTROL!$C$42, 9.7253, 9.7253) * CHOOSE(CONTROL!$C$21, $C$9, 100%, $E$9)</f>
        <v>9.7253000000000007</v>
      </c>
      <c r="T3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38">
        <f>(1000*CHOOSE(CONTROL!$C$42, 695, 695)*CHOOSE(CONTROL!$C$42, 0.5599, 0.5599)*CHOOSE(CONTROL!$C$42, 31, 31))/1000000</f>
        <v>12.063045499999998</v>
      </c>
      <c r="V382" s="38">
        <f>(1000*CHOOSE(CONTROL!$C$42, 500, 500)*CHOOSE(CONTROL!$C$42, 0.275, 0.275)*CHOOSE(CONTROL!$C$42, 31, 31))/1000000</f>
        <v>4.2625000000000002</v>
      </c>
      <c r="W382" s="38">
        <f>(1000*CHOOSE(CONTROL!$C$42, 0.1146, 0.1146)*CHOOSE(CONTROL!$C$42, 121.5, 121.5)*CHOOSE(CONTROL!$C$42, 31, 31))/1000000</f>
        <v>0.43164089999999994</v>
      </c>
      <c r="X382" s="38">
        <f>(31*0.1790888*245000/1000000)+(31*0.2374*100000/1000000)</f>
        <v>2.0961194359999999</v>
      </c>
      <c r="Y382" s="38">
        <f>(1000*600*CHOOSE(CONTROL!$C$42, 1.1001, 1.1001)*CHOOSE(CONTROL!$C$42, 31, 31))/1000000</f>
        <v>20.461860000000001</v>
      </c>
      <c r="Z382" s="38"/>
      <c r="AA382" s="10"/>
      <c r="AB382" s="39"/>
      <c r="AC382" s="33">
        <f>(B382*131.881+C382*277.167+D382*79.08+E382*125.872+F382*40+G382*185+H382*0+I382*100+J382*300)/(131.881+277.167+79.08+125.872+0+40+185+100+300)</f>
        <v>10.036580874414849</v>
      </c>
      <c r="AD382" s="27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9.9509712230215825</v>
      </c>
    </row>
    <row r="383" spans="1:30" ht="15.75" x14ac:dyDescent="0.25">
      <c r="A383" s="14">
        <v>52931</v>
      </c>
      <c r="B383" s="10">
        <f>CHOOSE(CONTROL!$C$42, 10.291, 10.291) * CHOOSE(CONTROL!$C$21, $C$9, 100%, $E$9)</f>
        <v>10.291</v>
      </c>
      <c r="C383" s="10">
        <f>CHOOSE(CONTROL!$C$42, 10.2961, 10.2961) * CHOOSE(CONTROL!$C$21, $C$9, 100%, $E$9)</f>
        <v>10.296099999999999</v>
      </c>
      <c r="D383" s="10">
        <f>CHOOSE(CONTROL!$C$42, 10.3208, 10.3208) * CHOOSE(CONTROL!$C$21, $C$9, 100%, $E$9)</f>
        <v>10.3208</v>
      </c>
      <c r="E383" s="10">
        <f>CHOOSE(CONTROL!$C$42, 10.3546, 10.3546) * CHOOSE(CONTROL!$C$21, $C$9, 100%, $E$9)</f>
        <v>10.3546</v>
      </c>
      <c r="F383" s="10">
        <f>CHOOSE(CONTROL!$C$42, 10.2567, 10.2567)*CHOOSE(CONTROL!$C$21, $C$9, 100%, $E$9)</f>
        <v>10.2567</v>
      </c>
      <c r="G383" s="10">
        <f>CHOOSE(CONTROL!$C$42, 10.2735, 10.2735)*CHOOSE(CONTROL!$C$21, $C$9, 100%, $E$9)</f>
        <v>10.2735</v>
      </c>
      <c r="H383" s="10">
        <f>CHOOSE(CONTROL!$C$42, 10.3435, 10.3435) * CHOOSE(CONTROL!$C$21, $C$9, 100%, $E$9)</f>
        <v>10.343500000000001</v>
      </c>
      <c r="I383" s="10">
        <f>CHOOSE(CONTROL!$C$42, 10.2905, 10.2905)* CHOOSE(CONTROL!$C$21, $C$9, 100%, $E$9)</f>
        <v>10.2905</v>
      </c>
      <c r="J383" s="10">
        <f>CHOOSE(CONTROL!$C$42, 10.2493, 10.2493)* CHOOSE(CONTROL!$C$21, $C$9, 100%, $E$9)</f>
        <v>10.2493</v>
      </c>
      <c r="K383" s="10">
        <f>CHOOSE(CONTROL!$C$42, 10.1285, 10.1285) * CHOOSE(CONTROL!$C$21, $C$9, 100%, $E$9)</f>
        <v>10.128500000000001</v>
      </c>
      <c r="L383" s="10">
        <f>CHOOSE(CONTROL!$C$42, 10.9305, 10.9305) * CHOOSE(CONTROL!$C$21, $C$9, 100%, $E$9)</f>
        <v>10.9305</v>
      </c>
      <c r="M383" s="10">
        <f>CHOOSE(CONTROL!$C$42, 10.1496, 10.1496) * CHOOSE(CONTROL!$C$21, $C$9, 100%, $E$9)</f>
        <v>10.1496</v>
      </c>
      <c r="N383" s="10">
        <f>CHOOSE(CONTROL!$C$42, 10.1662, 10.1662) * CHOOSE(CONTROL!$C$21, $C$9, 100%, $E$9)</f>
        <v>10.1662</v>
      </c>
      <c r="O383" s="10">
        <f>CHOOSE(CONTROL!$C$42, 10.2426, 10.2426) * CHOOSE(CONTROL!$C$21, $C$9, 100%, $E$9)</f>
        <v>10.242599999999999</v>
      </c>
      <c r="P383" s="10">
        <f>CHOOSE(CONTROL!$C$42, 10.1904, 10.1904) * CHOOSE(CONTROL!$C$21, $C$9, 100%, $E$9)</f>
        <v>10.1904</v>
      </c>
      <c r="Q383" s="10">
        <f>CHOOSE(CONTROL!$C$42, 10.8379, 10.8379) * CHOOSE(CONTROL!$C$21, $C$9, 100%, $E$9)</f>
        <v>10.837899999999999</v>
      </c>
      <c r="R383" s="10">
        <f>CHOOSE(CONTROL!$C$42, 11.452, 11.452) * CHOOSE(CONTROL!$C$21, $C$9, 100%, $E$9)</f>
        <v>11.452</v>
      </c>
      <c r="S383" s="10">
        <f>CHOOSE(CONTROL!$C$42, 9.9814, 9.9814) * CHOOSE(CONTROL!$C$21, $C$9, 100%, $E$9)</f>
        <v>9.9814000000000007</v>
      </c>
      <c r="T3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38">
        <f>(1000*CHOOSE(CONTROL!$C$42, 695, 695)*CHOOSE(CONTROL!$C$42, 0.5599, 0.5599)*CHOOSE(CONTROL!$C$42, 30, 30))/1000000</f>
        <v>11.673914999999997</v>
      </c>
      <c r="V383" s="38">
        <f>(1000*CHOOSE(CONTROL!$C$42, 500, 500)*CHOOSE(CONTROL!$C$42, 0.275, 0.275)*CHOOSE(CONTROL!$C$42, 30, 30))/1000000</f>
        <v>4.125</v>
      </c>
      <c r="W383" s="38">
        <f>(1000*CHOOSE(CONTROL!$C$42, 0.1146, 0.1146)*CHOOSE(CONTROL!$C$42, 121.5, 121.5)*CHOOSE(CONTROL!$C$42, 30, 30))/1000000</f>
        <v>0.417717</v>
      </c>
      <c r="X383" s="38">
        <f>(30*0.1790888*100000/1000000)+(30*0.2374*100000/1000000)</f>
        <v>1.2494664</v>
      </c>
      <c r="Y383" s="38">
        <f>(1000*600*CHOOSE(CONTROL!$C$42, 1.1001, 1.1001)*CHOOSE(CONTROL!$C$42, 30, 30))/1000000</f>
        <v>19.8018</v>
      </c>
      <c r="Z383" s="38"/>
      <c r="AA383" s="10"/>
      <c r="AB383" s="39"/>
      <c r="AC383" s="33">
        <f>(B383*122.58+C383*297.941+D383*89.177+E383*40.302+F383*40+G383*160+H383*0+I383*100+J383*300)/(122.58+297.941+89.177+40.302+0+40+160+100+300)</f>
        <v>10.282311461652172</v>
      </c>
      <c r="AD383" s="27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10.198576978417265</v>
      </c>
    </row>
    <row r="384" spans="1:30" ht="15.75" x14ac:dyDescent="0.25">
      <c r="A384" s="14">
        <v>52962</v>
      </c>
      <c r="B384" s="10">
        <f>CHOOSE(CONTROL!$C$42, 10.9938, 10.9938) * CHOOSE(CONTROL!$C$21, $C$9, 100%, $E$9)</f>
        <v>10.9938</v>
      </c>
      <c r="C384" s="10">
        <f>CHOOSE(CONTROL!$C$42, 10.9989, 10.9989) * CHOOSE(CONTROL!$C$21, $C$9, 100%, $E$9)</f>
        <v>10.998900000000001</v>
      </c>
      <c r="D384" s="10">
        <f>CHOOSE(CONTROL!$C$42, 11.0236, 11.0236) * CHOOSE(CONTROL!$C$21, $C$9, 100%, $E$9)</f>
        <v>11.0236</v>
      </c>
      <c r="E384" s="10">
        <f>CHOOSE(CONTROL!$C$42, 11.0574, 11.0574) * CHOOSE(CONTROL!$C$21, $C$9, 100%, $E$9)</f>
        <v>11.057399999999999</v>
      </c>
      <c r="F384" s="10">
        <f>CHOOSE(CONTROL!$C$42, 10.9612, 10.9612)*CHOOSE(CONTROL!$C$21, $C$9, 100%, $E$9)</f>
        <v>10.9612</v>
      </c>
      <c r="G384" s="10">
        <f>CHOOSE(CONTROL!$C$42, 10.9785, 10.9785)*CHOOSE(CONTROL!$C$21, $C$9, 100%, $E$9)</f>
        <v>10.9785</v>
      </c>
      <c r="H384" s="10">
        <f>CHOOSE(CONTROL!$C$42, 11.0462, 11.0462) * CHOOSE(CONTROL!$C$21, $C$9, 100%, $E$9)</f>
        <v>11.046200000000001</v>
      </c>
      <c r="I384" s="10">
        <f>CHOOSE(CONTROL!$C$42, 10.9933, 10.9933)* CHOOSE(CONTROL!$C$21, $C$9, 100%, $E$9)</f>
        <v>10.9933</v>
      </c>
      <c r="J384" s="10">
        <f>CHOOSE(CONTROL!$C$42, 10.9538, 10.9538)* CHOOSE(CONTROL!$C$21, $C$9, 100%, $E$9)</f>
        <v>10.953799999999999</v>
      </c>
      <c r="K384" s="10">
        <f>CHOOSE(CONTROL!$C$42, 10.8132, 10.8132) * CHOOSE(CONTROL!$C$21, $C$9, 100%, $E$9)</f>
        <v>10.8132</v>
      </c>
      <c r="L384" s="10">
        <f>CHOOSE(CONTROL!$C$42, 11.6332, 11.6332) * CHOOSE(CONTROL!$C$21, $C$9, 100%, $E$9)</f>
        <v>11.6332</v>
      </c>
      <c r="M384" s="10">
        <f>CHOOSE(CONTROL!$C$42, 10.845, 10.845) * CHOOSE(CONTROL!$C$21, $C$9, 100%, $E$9)</f>
        <v>10.845000000000001</v>
      </c>
      <c r="N384" s="10">
        <f>CHOOSE(CONTROL!$C$42, 10.8621, 10.8621) * CHOOSE(CONTROL!$C$21, $C$9, 100%, $E$9)</f>
        <v>10.8621</v>
      </c>
      <c r="O384" s="10">
        <f>CHOOSE(CONTROL!$C$42, 10.9363, 10.9363) * CHOOSE(CONTROL!$C$21, $C$9, 100%, $E$9)</f>
        <v>10.936299999999999</v>
      </c>
      <c r="P384" s="10">
        <f>CHOOSE(CONTROL!$C$42, 10.884, 10.884) * CHOOSE(CONTROL!$C$21, $C$9, 100%, $E$9)</f>
        <v>10.884</v>
      </c>
      <c r="Q384" s="10">
        <f>CHOOSE(CONTROL!$C$42, 11.5316, 11.5316) * CHOOSE(CONTROL!$C$21, $C$9, 100%, $E$9)</f>
        <v>11.531599999999999</v>
      </c>
      <c r="R384" s="10">
        <f>CHOOSE(CONTROL!$C$42, 12.1474, 12.1474) * CHOOSE(CONTROL!$C$21, $C$9, 100%, $E$9)</f>
        <v>12.147399999999999</v>
      </c>
      <c r="S384" s="10">
        <f>CHOOSE(CONTROL!$C$42, 10.6619, 10.6619) * CHOOSE(CONTROL!$C$21, $C$9, 100%, $E$9)</f>
        <v>10.661899999999999</v>
      </c>
      <c r="T3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38">
        <f>(1000*CHOOSE(CONTROL!$C$42, 695, 695)*CHOOSE(CONTROL!$C$42, 0.5599, 0.5599)*CHOOSE(CONTROL!$C$42, 31, 31))/1000000</f>
        <v>12.063045499999998</v>
      </c>
      <c r="V384" s="38">
        <f>(1000*CHOOSE(CONTROL!$C$42, 500, 500)*CHOOSE(CONTROL!$C$42, 0.275, 0.275)*CHOOSE(CONTROL!$C$42, 31, 31))/1000000</f>
        <v>4.2625000000000002</v>
      </c>
      <c r="W384" s="38">
        <f>(1000*CHOOSE(CONTROL!$C$42, 0.1146, 0.1146)*CHOOSE(CONTROL!$C$42, 121.5, 121.5)*CHOOSE(CONTROL!$C$42, 31, 31))/1000000</f>
        <v>0.43164089999999994</v>
      </c>
      <c r="X384" s="38">
        <f>(31*0.1790888*100000/1000000)+(31*0.2374*100000/1000000)</f>
        <v>1.2911152800000001</v>
      </c>
      <c r="Y384" s="38">
        <f>(1000*600*CHOOSE(CONTROL!$C$42, 1.1001, 1.1001)*CHOOSE(CONTROL!$C$42, 31, 31))/1000000</f>
        <v>20.461860000000001</v>
      </c>
      <c r="Z384" s="38"/>
      <c r="AA384" s="10"/>
      <c r="AB384" s="39"/>
      <c r="AC384" s="33">
        <f>(B384*122.58+C384*297.941+D384*89.177+E384*40.302+F384*40+G384*160+H384*0+I384*100+J384*300)/(122.58+297.941+89.177+40.302+0+40+160+100+300)</f>
        <v>10.985920157304347</v>
      </c>
      <c r="AD384" s="27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10.892976258992807</v>
      </c>
    </row>
    <row r="385" spans="1:30" ht="15.75" x14ac:dyDescent="0.25">
      <c r="A385" s="14">
        <v>52993</v>
      </c>
      <c r="B385" s="10">
        <f>CHOOSE(CONTROL!$C$42, 11.7369, 11.7369) * CHOOSE(CONTROL!$C$21, $C$9, 100%, $E$9)</f>
        <v>11.7369</v>
      </c>
      <c r="C385" s="10">
        <f>CHOOSE(CONTROL!$C$42, 11.742, 11.742) * CHOOSE(CONTROL!$C$21, $C$9, 100%, $E$9)</f>
        <v>11.742000000000001</v>
      </c>
      <c r="D385" s="10">
        <f>CHOOSE(CONTROL!$C$42, 11.777, 11.777) * CHOOSE(CONTROL!$C$21, $C$9, 100%, $E$9)</f>
        <v>11.776999999999999</v>
      </c>
      <c r="E385" s="10">
        <f>CHOOSE(CONTROL!$C$42, 11.8108, 11.8108) * CHOOSE(CONTROL!$C$21, $C$9, 100%, $E$9)</f>
        <v>11.8108</v>
      </c>
      <c r="F385" s="10">
        <f>CHOOSE(CONTROL!$C$42, 11.7182, 11.7182)*CHOOSE(CONTROL!$C$21, $C$9, 100%, $E$9)</f>
        <v>11.7182</v>
      </c>
      <c r="G385" s="10">
        <f>CHOOSE(CONTROL!$C$42, 11.7371, 11.7371)*CHOOSE(CONTROL!$C$21, $C$9, 100%, $E$9)</f>
        <v>11.7371</v>
      </c>
      <c r="H385" s="10">
        <f>CHOOSE(CONTROL!$C$42, 11.7997, 11.7997) * CHOOSE(CONTROL!$C$21, $C$9, 100%, $E$9)</f>
        <v>11.7997</v>
      </c>
      <c r="I385" s="10">
        <f>CHOOSE(CONTROL!$C$42, 11.7441, 11.7441)* CHOOSE(CONTROL!$C$21, $C$9, 100%, $E$9)</f>
        <v>11.7441</v>
      </c>
      <c r="J385" s="10">
        <f>CHOOSE(CONTROL!$C$42, 11.7108, 11.7108)* CHOOSE(CONTROL!$C$21, $C$9, 100%, $E$9)</f>
        <v>11.710800000000001</v>
      </c>
      <c r="K385" s="10">
        <f>CHOOSE(CONTROL!$C$42, 11.5539, 11.5539) * CHOOSE(CONTROL!$C$21, $C$9, 100%, $E$9)</f>
        <v>11.553900000000001</v>
      </c>
      <c r="L385" s="10">
        <f>CHOOSE(CONTROL!$C$42, 12.3867, 12.3867) * CHOOSE(CONTROL!$C$21, $C$9, 100%, $E$9)</f>
        <v>12.386699999999999</v>
      </c>
      <c r="M385" s="10">
        <f>CHOOSE(CONTROL!$C$42, 11.5922, 11.5922) * CHOOSE(CONTROL!$C$21, $C$9, 100%, $E$9)</f>
        <v>11.5922</v>
      </c>
      <c r="N385" s="10">
        <f>CHOOSE(CONTROL!$C$42, 11.6109, 11.6109) * CHOOSE(CONTROL!$C$21, $C$9, 100%, $E$9)</f>
        <v>11.610900000000001</v>
      </c>
      <c r="O385" s="10">
        <f>CHOOSE(CONTROL!$C$42, 11.68, 11.68) * CHOOSE(CONTROL!$C$21, $C$9, 100%, $E$9)</f>
        <v>11.68</v>
      </c>
      <c r="P385" s="10">
        <f>CHOOSE(CONTROL!$C$42, 11.6252, 11.6252) * CHOOSE(CONTROL!$C$21, $C$9, 100%, $E$9)</f>
        <v>11.6252</v>
      </c>
      <c r="Q385" s="10">
        <f>CHOOSE(CONTROL!$C$42, 12.2753, 12.2753) * CHOOSE(CONTROL!$C$21, $C$9, 100%, $E$9)</f>
        <v>12.2753</v>
      </c>
      <c r="R385" s="10">
        <f>CHOOSE(CONTROL!$C$42, 12.893, 12.893) * CHOOSE(CONTROL!$C$21, $C$9, 100%, $E$9)</f>
        <v>12.893000000000001</v>
      </c>
      <c r="S385" s="10">
        <f>CHOOSE(CONTROL!$C$42, 11.3815, 11.3815) * CHOOSE(CONTROL!$C$21, $C$9, 100%, $E$9)</f>
        <v>11.381500000000001</v>
      </c>
      <c r="T3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38">
        <f>(1000*CHOOSE(CONTROL!$C$42, 695, 695)*CHOOSE(CONTROL!$C$42, 0.5599, 0.5599)*CHOOSE(CONTROL!$C$42, 31, 31))/1000000</f>
        <v>12.063045499999998</v>
      </c>
      <c r="V385" s="38">
        <f>(1000*CHOOSE(CONTROL!$C$42, 500, 500)*CHOOSE(CONTROL!$C$42, 0.275, 0.275)*CHOOSE(CONTROL!$C$42, 31, 31))/1000000</f>
        <v>4.2625000000000002</v>
      </c>
      <c r="W385" s="38">
        <f>(1000*CHOOSE(CONTROL!$C$42, 0.1146, 0.1146)*CHOOSE(CONTROL!$C$42, 121.5, 121.5)*CHOOSE(CONTROL!$C$42, 31, 31))/1000000</f>
        <v>0.43164089999999994</v>
      </c>
      <c r="X385" s="38">
        <f>(31*0.1790888*100000/1000000)+(31*0.2374*100000/1000000)</f>
        <v>1.2911152800000001</v>
      </c>
      <c r="Y385" s="38">
        <f>(1000*600*CHOOSE(CONTROL!$C$42, 1.0966, 1.0966)*CHOOSE(CONTROL!$C$42, 31, 31))/1000000</f>
        <v>20.39676</v>
      </c>
      <c r="Z385" s="38"/>
      <c r="AA385" s="10"/>
      <c r="AB385" s="39"/>
      <c r="AC385" s="33">
        <f>(B385*122.58+C385*297.941+D385*89.177+E385*40.302+F385*40+G385*160+H385*0+I385*100+J385*300)/(122.58+297.941+89.177+40.302+0+40+160+100+300)</f>
        <v>11.737115490956521</v>
      </c>
      <c r="AD385" s="27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11.63781870503597</v>
      </c>
    </row>
    <row r="386" spans="1:30" ht="15.75" x14ac:dyDescent="0.25">
      <c r="A386" s="14">
        <v>53021</v>
      </c>
      <c r="B386" s="10">
        <f>CHOOSE(CONTROL!$C$42, 11.9461, 11.9461) * CHOOSE(CONTROL!$C$21, $C$9, 100%, $E$9)</f>
        <v>11.946099999999999</v>
      </c>
      <c r="C386" s="10">
        <f>CHOOSE(CONTROL!$C$42, 11.9512, 11.9512) * CHOOSE(CONTROL!$C$21, $C$9, 100%, $E$9)</f>
        <v>11.9512</v>
      </c>
      <c r="D386" s="10">
        <f>CHOOSE(CONTROL!$C$42, 11.9862, 11.9862) * CHOOSE(CONTROL!$C$21, $C$9, 100%, $E$9)</f>
        <v>11.9862</v>
      </c>
      <c r="E386" s="10">
        <f>CHOOSE(CONTROL!$C$42, 12.02, 12.02) * CHOOSE(CONTROL!$C$21, $C$9, 100%, $E$9)</f>
        <v>12.02</v>
      </c>
      <c r="F386" s="10">
        <f>CHOOSE(CONTROL!$C$42, 11.9269, 11.9269)*CHOOSE(CONTROL!$C$21, $C$9, 100%, $E$9)</f>
        <v>11.9269</v>
      </c>
      <c r="G386" s="10">
        <f>CHOOSE(CONTROL!$C$42, 11.9456, 11.9456)*CHOOSE(CONTROL!$C$21, $C$9, 100%, $E$9)</f>
        <v>11.945600000000001</v>
      </c>
      <c r="H386" s="10">
        <f>CHOOSE(CONTROL!$C$42, 12.0089, 12.0089) * CHOOSE(CONTROL!$C$21, $C$9, 100%, $E$9)</f>
        <v>12.008900000000001</v>
      </c>
      <c r="I386" s="10">
        <f>CHOOSE(CONTROL!$C$42, 11.9534, 11.9534)* CHOOSE(CONTROL!$C$21, $C$9, 100%, $E$9)</f>
        <v>11.9534</v>
      </c>
      <c r="J386" s="10">
        <f>CHOOSE(CONTROL!$C$42, 11.9195, 11.9195)* CHOOSE(CONTROL!$C$21, $C$9, 100%, $E$9)</f>
        <v>11.919499999999999</v>
      </c>
      <c r="K386" s="10">
        <f>CHOOSE(CONTROL!$C$42, 11.7554, 11.7554) * CHOOSE(CONTROL!$C$21, $C$9, 100%, $E$9)</f>
        <v>11.7554</v>
      </c>
      <c r="L386" s="10">
        <f>CHOOSE(CONTROL!$C$42, 12.5959, 12.5959) * CHOOSE(CONTROL!$C$21, $C$9, 100%, $E$9)</f>
        <v>12.5959</v>
      </c>
      <c r="M386" s="10">
        <f>CHOOSE(CONTROL!$C$42, 11.7982, 11.7982) * CHOOSE(CONTROL!$C$21, $C$9, 100%, $E$9)</f>
        <v>11.7982</v>
      </c>
      <c r="N386" s="10">
        <f>CHOOSE(CONTROL!$C$42, 11.8167, 11.8167) * CHOOSE(CONTROL!$C$21, $C$9, 100%, $E$9)</f>
        <v>11.816700000000001</v>
      </c>
      <c r="O386" s="10">
        <f>CHOOSE(CONTROL!$C$42, 11.8865, 11.8865) * CHOOSE(CONTROL!$C$21, $C$9, 100%, $E$9)</f>
        <v>11.8865</v>
      </c>
      <c r="P386" s="10">
        <f>CHOOSE(CONTROL!$C$42, 11.8317, 11.8317) * CHOOSE(CONTROL!$C$21, $C$9, 100%, $E$9)</f>
        <v>11.8317</v>
      </c>
      <c r="Q386" s="10">
        <f>CHOOSE(CONTROL!$C$42, 12.4818, 12.4818) * CHOOSE(CONTROL!$C$21, $C$9, 100%, $E$9)</f>
        <v>12.4818</v>
      </c>
      <c r="R386" s="10">
        <f>CHOOSE(CONTROL!$C$42, 13.1, 13.1) * CHOOSE(CONTROL!$C$21, $C$9, 100%, $E$9)</f>
        <v>13.1</v>
      </c>
      <c r="S386" s="10">
        <f>CHOOSE(CONTROL!$C$42, 11.5841, 11.5841) * CHOOSE(CONTROL!$C$21, $C$9, 100%, $E$9)</f>
        <v>11.584099999999999</v>
      </c>
      <c r="T38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6" s="38">
        <f>(1000*CHOOSE(CONTROL!$C$42, 695, 695)*CHOOSE(CONTROL!$C$42, 0.5599, 0.5599)*CHOOSE(CONTROL!$C$42, 28, 28))/1000000</f>
        <v>10.895653999999999</v>
      </c>
      <c r="V386" s="38">
        <f>(1000*CHOOSE(CONTROL!$C$42, 500, 500)*CHOOSE(CONTROL!$C$42, 0.275, 0.275)*CHOOSE(CONTROL!$C$42, 28, 28))/1000000</f>
        <v>3.85</v>
      </c>
      <c r="W386" s="38">
        <f>(1000*CHOOSE(CONTROL!$C$42, 0.1146, 0.1146)*CHOOSE(CONTROL!$C$42, 121.5, 121.5)*CHOOSE(CONTROL!$C$42, 28, 28))/1000000</f>
        <v>0.38986920000000003</v>
      </c>
      <c r="X386" s="38">
        <f>(28*0.1790888*100000/1000000)+(28*0.2374*100000/1000000)</f>
        <v>1.16616864</v>
      </c>
      <c r="Y386" s="38">
        <f>(1000*600*CHOOSE(CONTROL!$C$42, 1.0966, 1.0966)*CHOOSE(CONTROL!$C$42, 28, 28))/1000000</f>
        <v>18.422879999999999</v>
      </c>
      <c r="Z386" s="38"/>
      <c r="AA386" s="10"/>
      <c r="AB386" s="39"/>
      <c r="AC386" s="33">
        <f>(B386*122.58+C386*297.941+D386*89.177+E386*40.302+F386*40+G386*160+H386*0+I386*100+J386*300)/(122.58+297.941+89.177+40.302+0+40+160+100+300)</f>
        <v>11.946078969217393</v>
      </c>
      <c r="AD386" s="27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11.844105755395685</v>
      </c>
    </row>
    <row r="387" spans="1:30" ht="15.75" x14ac:dyDescent="0.25">
      <c r="A387" s="14">
        <v>53052</v>
      </c>
      <c r="B387" s="10">
        <f>CHOOSE(CONTROL!$C$42, 11.6065, 11.6065) * CHOOSE(CONTROL!$C$21, $C$9, 100%, $E$9)</f>
        <v>11.6065</v>
      </c>
      <c r="C387" s="10">
        <f>CHOOSE(CONTROL!$C$42, 11.6116, 11.6116) * CHOOSE(CONTROL!$C$21, $C$9, 100%, $E$9)</f>
        <v>11.611599999999999</v>
      </c>
      <c r="D387" s="10">
        <f>CHOOSE(CONTROL!$C$42, 11.6466, 11.6466) * CHOOSE(CONTROL!$C$21, $C$9, 100%, $E$9)</f>
        <v>11.646599999999999</v>
      </c>
      <c r="E387" s="10">
        <f>CHOOSE(CONTROL!$C$42, 11.6804, 11.6804) * CHOOSE(CONTROL!$C$21, $C$9, 100%, $E$9)</f>
        <v>11.680400000000001</v>
      </c>
      <c r="F387" s="10">
        <f>CHOOSE(CONTROL!$C$42, 11.5859, 11.5859)*CHOOSE(CONTROL!$C$21, $C$9, 100%, $E$9)</f>
        <v>11.585900000000001</v>
      </c>
      <c r="G387" s="10">
        <f>CHOOSE(CONTROL!$C$42, 11.6042, 11.6042)*CHOOSE(CONTROL!$C$21, $C$9, 100%, $E$9)</f>
        <v>11.604200000000001</v>
      </c>
      <c r="H387" s="10">
        <f>CHOOSE(CONTROL!$C$42, 11.6693, 11.6693) * CHOOSE(CONTROL!$C$21, $C$9, 100%, $E$9)</f>
        <v>11.6693</v>
      </c>
      <c r="I387" s="10">
        <f>CHOOSE(CONTROL!$C$42, 11.6137, 11.6137)* CHOOSE(CONTROL!$C$21, $C$9, 100%, $E$9)</f>
        <v>11.6137</v>
      </c>
      <c r="J387" s="10">
        <f>CHOOSE(CONTROL!$C$42, 11.5785, 11.5785)* CHOOSE(CONTROL!$C$21, $C$9, 100%, $E$9)</f>
        <v>11.5785</v>
      </c>
      <c r="K387" s="10">
        <f>CHOOSE(CONTROL!$C$42, 11.4234, 11.4234) * CHOOSE(CONTROL!$C$21, $C$9, 100%, $E$9)</f>
        <v>11.423400000000001</v>
      </c>
      <c r="L387" s="10">
        <f>CHOOSE(CONTROL!$C$42, 12.2563, 12.2563) * CHOOSE(CONTROL!$C$21, $C$9, 100%, $E$9)</f>
        <v>12.2563</v>
      </c>
      <c r="M387" s="10">
        <f>CHOOSE(CONTROL!$C$42, 11.4616, 11.4616) * CHOOSE(CONTROL!$C$21, $C$9, 100%, $E$9)</f>
        <v>11.461600000000001</v>
      </c>
      <c r="N387" s="10">
        <f>CHOOSE(CONTROL!$C$42, 11.4798, 11.4798) * CHOOSE(CONTROL!$C$21, $C$9, 100%, $E$9)</f>
        <v>11.479799999999999</v>
      </c>
      <c r="O387" s="10">
        <f>CHOOSE(CONTROL!$C$42, 11.5513, 11.5513) * CHOOSE(CONTROL!$C$21, $C$9, 100%, $E$9)</f>
        <v>11.551299999999999</v>
      </c>
      <c r="P387" s="10">
        <f>CHOOSE(CONTROL!$C$42, 11.4965, 11.4965) * CHOOSE(CONTROL!$C$21, $C$9, 100%, $E$9)</f>
        <v>11.496499999999999</v>
      </c>
      <c r="Q387" s="10">
        <f>CHOOSE(CONTROL!$C$42, 12.1466, 12.1466) * CHOOSE(CONTROL!$C$21, $C$9, 100%, $E$9)</f>
        <v>12.146599999999999</v>
      </c>
      <c r="R387" s="10">
        <f>CHOOSE(CONTROL!$C$42, 12.7639, 12.7639) * CHOOSE(CONTROL!$C$21, $C$9, 100%, $E$9)</f>
        <v>12.7639</v>
      </c>
      <c r="S387" s="10">
        <f>CHOOSE(CONTROL!$C$42, 11.2552, 11.2552) * CHOOSE(CONTROL!$C$21, $C$9, 100%, $E$9)</f>
        <v>11.2552</v>
      </c>
      <c r="T3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38">
        <f>(1000*CHOOSE(CONTROL!$C$42, 695, 695)*CHOOSE(CONTROL!$C$42, 0.5599, 0.5599)*CHOOSE(CONTROL!$C$42, 31, 31))/1000000</f>
        <v>12.063045499999998</v>
      </c>
      <c r="V387" s="38">
        <f>(1000*CHOOSE(CONTROL!$C$42, 500, 500)*CHOOSE(CONTROL!$C$42, 0.275, 0.275)*CHOOSE(CONTROL!$C$42, 31, 31))/1000000</f>
        <v>4.2625000000000002</v>
      </c>
      <c r="W387" s="38">
        <f>(1000*CHOOSE(CONTROL!$C$42, 0.1146, 0.1146)*CHOOSE(CONTROL!$C$42, 121.5, 121.5)*CHOOSE(CONTROL!$C$42, 31, 31))/1000000</f>
        <v>0.43164089999999994</v>
      </c>
      <c r="X387" s="38">
        <f>(31*0.1790888*100000/1000000)+(31*0.2374*100000/1000000)</f>
        <v>1.2911152800000001</v>
      </c>
      <c r="Y387" s="38">
        <f>(1000*600*CHOOSE(CONTROL!$C$42, 1.0966, 1.0966)*CHOOSE(CONTROL!$C$42, 31, 31))/1000000</f>
        <v>20.39676</v>
      </c>
      <c r="Z387" s="38"/>
      <c r="AA387" s="10"/>
      <c r="AB387" s="39"/>
      <c r="AC387" s="33">
        <f>(B387*122.58+C387*297.941+D387*89.177+E387*40.302+F387*40+G387*160+H387*0+I387*100+J387*300)/(122.58+297.941+89.177+40.302+0+40+160+100+300)</f>
        <v>11.60580592573913</v>
      </c>
      <c r="AD387" s="27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11.508324460431655</v>
      </c>
    </row>
    <row r="388" spans="1:30" ht="15.75" x14ac:dyDescent="0.25">
      <c r="A388" s="14">
        <v>53082</v>
      </c>
      <c r="B388" s="10">
        <f>CHOOSE(CONTROL!$C$42, 11.5725, 11.5725) * CHOOSE(CONTROL!$C$21, $C$9, 100%, $E$9)</f>
        <v>11.5725</v>
      </c>
      <c r="C388" s="10">
        <f>CHOOSE(CONTROL!$C$42, 11.577, 11.577) * CHOOSE(CONTROL!$C$21, $C$9, 100%, $E$9)</f>
        <v>11.577</v>
      </c>
      <c r="D388" s="10">
        <f>CHOOSE(CONTROL!$C$42, 11.7552, 11.7552) * CHOOSE(CONTROL!$C$21, $C$9, 100%, $E$9)</f>
        <v>11.7552</v>
      </c>
      <c r="E388" s="10">
        <f>CHOOSE(CONTROL!$C$42, 11.787, 11.787) * CHOOSE(CONTROL!$C$21, $C$9, 100%, $E$9)</f>
        <v>11.787000000000001</v>
      </c>
      <c r="F388" s="10">
        <f>CHOOSE(CONTROL!$C$42, 11.5159, 11.5159)*CHOOSE(CONTROL!$C$21, $C$9, 100%, $E$9)</f>
        <v>11.5159</v>
      </c>
      <c r="G388" s="10">
        <f>CHOOSE(CONTROL!$C$42, 11.5325, 11.5325)*CHOOSE(CONTROL!$C$21, $C$9, 100%, $E$9)</f>
        <v>11.532500000000001</v>
      </c>
      <c r="H388" s="10">
        <f>CHOOSE(CONTROL!$C$42, 11.7765, 11.7765) * CHOOSE(CONTROL!$C$21, $C$9, 100%, $E$9)</f>
        <v>11.7765</v>
      </c>
      <c r="I388" s="10">
        <f>CHOOSE(CONTROL!$C$42, 11.5485, 11.5485)* CHOOSE(CONTROL!$C$21, $C$9, 100%, $E$9)</f>
        <v>11.548500000000001</v>
      </c>
      <c r="J388" s="10">
        <f>CHOOSE(CONTROL!$C$42, 11.5085, 11.5085)* CHOOSE(CONTROL!$C$21, $C$9, 100%, $E$9)</f>
        <v>11.5085</v>
      </c>
      <c r="K388" s="10">
        <f>CHOOSE(CONTROL!$C$42, 11.3454, 11.3454) * CHOOSE(CONTROL!$C$21, $C$9, 100%, $E$9)</f>
        <v>11.3454</v>
      </c>
      <c r="L388" s="10">
        <f>CHOOSE(CONTROL!$C$42, 12.3635, 12.3635) * CHOOSE(CONTROL!$C$21, $C$9, 100%, $E$9)</f>
        <v>12.3635</v>
      </c>
      <c r="M388" s="10">
        <f>CHOOSE(CONTROL!$C$42, 11.3926, 11.3926) * CHOOSE(CONTROL!$C$21, $C$9, 100%, $E$9)</f>
        <v>11.3926</v>
      </c>
      <c r="N388" s="10">
        <f>CHOOSE(CONTROL!$C$42, 11.409, 11.409) * CHOOSE(CONTROL!$C$21, $C$9, 100%, $E$9)</f>
        <v>11.409000000000001</v>
      </c>
      <c r="O388" s="10">
        <f>CHOOSE(CONTROL!$C$42, 11.6571, 11.6571) * CHOOSE(CONTROL!$C$21, $C$9, 100%, $E$9)</f>
        <v>11.6571</v>
      </c>
      <c r="P388" s="10">
        <f>CHOOSE(CONTROL!$C$42, 11.4321, 11.4321) * CHOOSE(CONTROL!$C$21, $C$9, 100%, $E$9)</f>
        <v>11.4321</v>
      </c>
      <c r="Q388" s="10">
        <f>CHOOSE(CONTROL!$C$42, 12.2524, 12.2524) * CHOOSE(CONTROL!$C$21, $C$9, 100%, $E$9)</f>
        <v>12.2524</v>
      </c>
      <c r="R388" s="10">
        <f>CHOOSE(CONTROL!$C$42, 12.87, 12.87) * CHOOSE(CONTROL!$C$21, $C$9, 100%, $E$9)</f>
        <v>12.87</v>
      </c>
      <c r="S388" s="10">
        <f>CHOOSE(CONTROL!$C$42, 11.2215, 11.2215) * CHOOSE(CONTROL!$C$21, $C$9, 100%, $E$9)</f>
        <v>11.221500000000001</v>
      </c>
      <c r="T3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38">
        <f>(1000*CHOOSE(CONTROL!$C$42, 695, 695)*CHOOSE(CONTROL!$C$42, 0.5599, 0.5599)*CHOOSE(CONTROL!$C$42, 30, 30))/1000000</f>
        <v>11.673914999999997</v>
      </c>
      <c r="V388" s="38">
        <f>(1000*CHOOSE(CONTROL!$C$42, 500, 500)*CHOOSE(CONTROL!$C$42, 0.275, 0.275)*CHOOSE(CONTROL!$C$42, 30, 30))/1000000</f>
        <v>4.125</v>
      </c>
      <c r="W388" s="38">
        <f>(1000*CHOOSE(CONTROL!$C$42, 0.1146, 0.1146)*CHOOSE(CONTROL!$C$42, 121.5, 121.5)*CHOOSE(CONTROL!$C$42, 30, 30))/1000000</f>
        <v>0.417717</v>
      </c>
      <c r="X388" s="38">
        <f>(30*0.1790888*245000/1000000)+(30*0.2374*100000/1000000)</f>
        <v>2.0285026799999999</v>
      </c>
      <c r="Y388" s="38">
        <f>(1000*600*CHOOSE(CONTROL!$C$42, 1.0966, 1.0966)*CHOOSE(CONTROL!$C$42, 30, 30))/1000000</f>
        <v>19.738800000000001</v>
      </c>
      <c r="Z388" s="38"/>
      <c r="AA388" s="10"/>
      <c r="AB388" s="39"/>
      <c r="AC388" s="33">
        <f>(B388*141.293+C388*267.993+D388*115.016+E388*89.698+F388*40+G388*185+H388*0+I388*100+J388*300)/(141.293+267.993+115.016+89.698+0+40+185+100+300)</f>
        <v>11.580728904519775</v>
      </c>
      <c r="AD388" s="27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11.476271223021584</v>
      </c>
    </row>
    <row r="389" spans="1:30" ht="15.75" x14ac:dyDescent="0.25">
      <c r="A389" s="14">
        <v>53113</v>
      </c>
      <c r="B389" s="10">
        <f>CHOOSE(CONTROL!$C$42, 11.6765, 11.6765) * CHOOSE(CONTROL!$C$21, $C$9, 100%, $E$9)</f>
        <v>11.676500000000001</v>
      </c>
      <c r="C389" s="10">
        <f>CHOOSE(CONTROL!$C$42, 11.6845, 11.6845) * CHOOSE(CONTROL!$C$21, $C$9, 100%, $E$9)</f>
        <v>11.6845</v>
      </c>
      <c r="D389" s="10">
        <f>CHOOSE(CONTROL!$C$42, 11.8596, 11.8596) * CHOOSE(CONTROL!$C$21, $C$9, 100%, $E$9)</f>
        <v>11.8596</v>
      </c>
      <c r="E389" s="10">
        <f>CHOOSE(CONTROL!$C$42, 11.8908, 11.8908) * CHOOSE(CONTROL!$C$21, $C$9, 100%, $E$9)</f>
        <v>11.8908</v>
      </c>
      <c r="F389" s="10">
        <f>CHOOSE(CONTROL!$C$42, 11.6182, 11.6182)*CHOOSE(CONTROL!$C$21, $C$9, 100%, $E$9)</f>
        <v>11.6182</v>
      </c>
      <c r="G389" s="10">
        <f>CHOOSE(CONTROL!$C$42, 11.6351, 11.6351)*CHOOSE(CONTROL!$C$21, $C$9, 100%, $E$9)</f>
        <v>11.6351</v>
      </c>
      <c r="H389" s="10">
        <f>CHOOSE(CONTROL!$C$42, 11.8792, 11.8792) * CHOOSE(CONTROL!$C$21, $C$9, 100%, $E$9)</f>
        <v>11.879200000000001</v>
      </c>
      <c r="I389" s="10">
        <f>CHOOSE(CONTROL!$C$42, 11.6511, 11.6511)* CHOOSE(CONTROL!$C$21, $C$9, 100%, $E$9)</f>
        <v>11.6511</v>
      </c>
      <c r="J389" s="10">
        <f>CHOOSE(CONTROL!$C$42, 11.6108, 11.6108)* CHOOSE(CONTROL!$C$21, $C$9, 100%, $E$9)</f>
        <v>11.610799999999999</v>
      </c>
      <c r="K389" s="10">
        <f>CHOOSE(CONTROL!$C$42, 11.4441, 11.4441) * CHOOSE(CONTROL!$C$21, $C$9, 100%, $E$9)</f>
        <v>11.444100000000001</v>
      </c>
      <c r="L389" s="10">
        <f>CHOOSE(CONTROL!$C$42, 12.4662, 12.4662) * CHOOSE(CONTROL!$C$21, $C$9, 100%, $E$9)</f>
        <v>12.466200000000001</v>
      </c>
      <c r="M389" s="10">
        <f>CHOOSE(CONTROL!$C$42, 11.4935, 11.4935) * CHOOSE(CONTROL!$C$21, $C$9, 100%, $E$9)</f>
        <v>11.493499999999999</v>
      </c>
      <c r="N389" s="10">
        <f>CHOOSE(CONTROL!$C$42, 11.5102, 11.5102) * CHOOSE(CONTROL!$C$21, $C$9, 100%, $E$9)</f>
        <v>11.510199999999999</v>
      </c>
      <c r="O389" s="10">
        <f>CHOOSE(CONTROL!$C$42, 11.7584, 11.7584) * CHOOSE(CONTROL!$C$21, $C$9, 100%, $E$9)</f>
        <v>11.7584</v>
      </c>
      <c r="P389" s="10">
        <f>CHOOSE(CONTROL!$C$42, 11.5334, 11.5334) * CHOOSE(CONTROL!$C$21, $C$9, 100%, $E$9)</f>
        <v>11.5334</v>
      </c>
      <c r="Q389" s="10">
        <f>CHOOSE(CONTROL!$C$42, 12.3537, 12.3537) * CHOOSE(CONTROL!$C$21, $C$9, 100%, $E$9)</f>
        <v>12.3537</v>
      </c>
      <c r="R389" s="10">
        <f>CHOOSE(CONTROL!$C$42, 12.9716, 12.9716) * CHOOSE(CONTROL!$C$21, $C$9, 100%, $E$9)</f>
        <v>12.9716</v>
      </c>
      <c r="S389" s="10">
        <f>CHOOSE(CONTROL!$C$42, 11.3209, 11.3209) * CHOOSE(CONTROL!$C$21, $C$9, 100%, $E$9)</f>
        <v>11.3209</v>
      </c>
      <c r="T3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38">
        <f>(1000*CHOOSE(CONTROL!$C$42, 695, 695)*CHOOSE(CONTROL!$C$42, 0.5599, 0.5599)*CHOOSE(CONTROL!$C$42, 31, 31))/1000000</f>
        <v>12.063045499999998</v>
      </c>
      <c r="V389" s="38">
        <f>(1000*CHOOSE(CONTROL!$C$42, 500, 500)*CHOOSE(CONTROL!$C$42, 0.275, 0.275)*CHOOSE(CONTROL!$C$42, 31, 31))/1000000</f>
        <v>4.2625000000000002</v>
      </c>
      <c r="W389" s="38">
        <f>(1000*CHOOSE(CONTROL!$C$42, 0.1146, 0.1146)*CHOOSE(CONTROL!$C$42, 121.5, 121.5)*CHOOSE(CONTROL!$C$42, 31, 31))/1000000</f>
        <v>0.43164089999999994</v>
      </c>
      <c r="X389" s="38">
        <f>(31*0.1790888*245000/1000000)+(31*0.2374*100000/1000000)</f>
        <v>2.0961194359999999</v>
      </c>
      <c r="Y389" s="38">
        <f>(1000*600*CHOOSE(CONTROL!$C$42, 1.0966, 1.0966)*CHOOSE(CONTROL!$C$42, 31, 31))/1000000</f>
        <v>20.39676</v>
      </c>
      <c r="Z389" s="38"/>
      <c r="AA389" s="10"/>
      <c r="AB389" s="39"/>
      <c r="AC389" s="33">
        <f>(B389*194.205+C389*267.466+D389*133.845+E389*53.484+F389*40+G389*185+H389*0+I389*100+J389*300)/(194.205+267.466+133.845+53.484+0+40+185+100+300)</f>
        <v>11.681105469937208</v>
      </c>
      <c r="AD389" s="27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11.577410071942445</v>
      </c>
    </row>
    <row r="390" spans="1:30" ht="15.75" x14ac:dyDescent="0.25">
      <c r="A390" s="14">
        <v>53143</v>
      </c>
      <c r="B390" s="10">
        <f>CHOOSE(CONTROL!$C$42, 12.0081, 12.0081) * CHOOSE(CONTROL!$C$21, $C$9, 100%, $E$9)</f>
        <v>12.008100000000001</v>
      </c>
      <c r="C390" s="10">
        <f>CHOOSE(CONTROL!$C$42, 12.0161, 12.0161) * CHOOSE(CONTROL!$C$21, $C$9, 100%, $E$9)</f>
        <v>12.0161</v>
      </c>
      <c r="D390" s="10">
        <f>CHOOSE(CONTROL!$C$42, 12.1912, 12.1912) * CHOOSE(CONTROL!$C$21, $C$9, 100%, $E$9)</f>
        <v>12.1912</v>
      </c>
      <c r="E390" s="10">
        <f>CHOOSE(CONTROL!$C$42, 12.2224, 12.2224) * CHOOSE(CONTROL!$C$21, $C$9, 100%, $E$9)</f>
        <v>12.2224</v>
      </c>
      <c r="F390" s="10">
        <f>CHOOSE(CONTROL!$C$42, 11.95, 11.95)*CHOOSE(CONTROL!$C$21, $C$9, 100%, $E$9)</f>
        <v>11.95</v>
      </c>
      <c r="G390" s="10">
        <f>CHOOSE(CONTROL!$C$42, 11.9669, 11.9669)*CHOOSE(CONTROL!$C$21, $C$9, 100%, $E$9)</f>
        <v>11.966900000000001</v>
      </c>
      <c r="H390" s="10">
        <f>CHOOSE(CONTROL!$C$42, 12.2108, 12.2108) * CHOOSE(CONTROL!$C$21, $C$9, 100%, $E$9)</f>
        <v>12.210800000000001</v>
      </c>
      <c r="I390" s="10">
        <f>CHOOSE(CONTROL!$C$42, 11.9828, 11.9828)* CHOOSE(CONTROL!$C$21, $C$9, 100%, $E$9)</f>
        <v>11.982799999999999</v>
      </c>
      <c r="J390" s="10">
        <f>CHOOSE(CONTROL!$C$42, 11.9426, 11.9426)* CHOOSE(CONTROL!$C$21, $C$9, 100%, $E$9)</f>
        <v>11.942600000000001</v>
      </c>
      <c r="K390" s="10">
        <f>CHOOSE(CONTROL!$C$42, 11.7657, 11.7657) * CHOOSE(CONTROL!$C$21, $C$9, 100%, $E$9)</f>
        <v>11.765700000000001</v>
      </c>
      <c r="L390" s="10">
        <f>CHOOSE(CONTROL!$C$42, 12.7978, 12.7978) * CHOOSE(CONTROL!$C$21, $C$9, 100%, $E$9)</f>
        <v>12.797800000000001</v>
      </c>
      <c r="M390" s="10">
        <f>CHOOSE(CONTROL!$C$42, 11.821, 11.821) * CHOOSE(CONTROL!$C$21, $C$9, 100%, $E$9)</f>
        <v>11.821</v>
      </c>
      <c r="N390" s="10">
        <f>CHOOSE(CONTROL!$C$42, 11.8377, 11.8377) * CHOOSE(CONTROL!$C$21, $C$9, 100%, $E$9)</f>
        <v>11.8377</v>
      </c>
      <c r="O390" s="10">
        <f>CHOOSE(CONTROL!$C$42, 12.0857, 12.0857) * CHOOSE(CONTROL!$C$21, $C$9, 100%, $E$9)</f>
        <v>12.085699999999999</v>
      </c>
      <c r="P390" s="10">
        <f>CHOOSE(CONTROL!$C$42, 11.8607, 11.8607) * CHOOSE(CONTROL!$C$21, $C$9, 100%, $E$9)</f>
        <v>11.8607</v>
      </c>
      <c r="Q390" s="10">
        <f>CHOOSE(CONTROL!$C$42, 12.681, 12.681) * CHOOSE(CONTROL!$C$21, $C$9, 100%, $E$9)</f>
        <v>12.680999999999999</v>
      </c>
      <c r="R390" s="10">
        <f>CHOOSE(CONTROL!$C$42, 13.2997, 13.2997) * CHOOSE(CONTROL!$C$21, $C$9, 100%, $E$9)</f>
        <v>13.2997</v>
      </c>
      <c r="S390" s="10">
        <f>CHOOSE(CONTROL!$C$42, 11.642, 11.642) * CHOOSE(CONTROL!$C$21, $C$9, 100%, $E$9)</f>
        <v>11.641999999999999</v>
      </c>
      <c r="T3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38">
        <f>(1000*CHOOSE(CONTROL!$C$42, 695, 695)*CHOOSE(CONTROL!$C$42, 0.5599, 0.5599)*CHOOSE(CONTROL!$C$42, 30, 30))/1000000</f>
        <v>11.673914999999997</v>
      </c>
      <c r="V390" s="38">
        <f>(1000*CHOOSE(CONTROL!$C$42, 500, 500)*CHOOSE(CONTROL!$C$42, 0.275, 0.275)*CHOOSE(CONTROL!$C$42, 30, 30))/1000000</f>
        <v>4.125</v>
      </c>
      <c r="W390" s="38">
        <f>(1000*CHOOSE(CONTROL!$C$42, 0.1146, 0.1146)*CHOOSE(CONTROL!$C$42, 121.5, 121.5)*CHOOSE(CONTROL!$C$42, 30, 30))/1000000</f>
        <v>0.417717</v>
      </c>
      <c r="X390" s="38">
        <f>(30*0.1790888*245000/1000000)+(30*0.2374*100000/1000000)</f>
        <v>2.0285026799999999</v>
      </c>
      <c r="Y390" s="38">
        <f>(1000*600*CHOOSE(CONTROL!$C$42, 1.0966, 1.0966)*CHOOSE(CONTROL!$C$42, 30, 30))/1000000</f>
        <v>19.738800000000001</v>
      </c>
      <c r="Z390" s="38"/>
      <c r="AA390" s="10"/>
      <c r="AB390" s="39"/>
      <c r="AC390" s="33">
        <f>(B390*194.205+C390*267.466+D390*133.845+E390*53.484+F390*40+G390*185+H390*0+I390*100+J390*300)/(194.205+267.466+133.845+53.484+0+40+185+100+300)</f>
        <v>12.012795736813187</v>
      </c>
      <c r="AD390" s="27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11.904825179856115</v>
      </c>
    </row>
    <row r="391" spans="1:30" ht="15.75" x14ac:dyDescent="0.25">
      <c r="A391" s="14">
        <v>53174</v>
      </c>
      <c r="B391" s="10">
        <f>CHOOSE(CONTROL!$C$42, 11.7775, 11.7775) * CHOOSE(CONTROL!$C$21, $C$9, 100%, $E$9)</f>
        <v>11.7775</v>
      </c>
      <c r="C391" s="10">
        <f>CHOOSE(CONTROL!$C$42, 11.7855, 11.7855) * CHOOSE(CONTROL!$C$21, $C$9, 100%, $E$9)</f>
        <v>11.785500000000001</v>
      </c>
      <c r="D391" s="10">
        <f>CHOOSE(CONTROL!$C$42, 11.9606, 11.9606) * CHOOSE(CONTROL!$C$21, $C$9, 100%, $E$9)</f>
        <v>11.960599999999999</v>
      </c>
      <c r="E391" s="10">
        <f>CHOOSE(CONTROL!$C$42, 11.9918, 11.9918) * CHOOSE(CONTROL!$C$21, $C$9, 100%, $E$9)</f>
        <v>11.9918</v>
      </c>
      <c r="F391" s="10">
        <f>CHOOSE(CONTROL!$C$42, 11.7197, 11.7197)*CHOOSE(CONTROL!$C$21, $C$9, 100%, $E$9)</f>
        <v>11.7197</v>
      </c>
      <c r="G391" s="10">
        <f>CHOOSE(CONTROL!$C$42, 11.7367, 11.7367)*CHOOSE(CONTROL!$C$21, $C$9, 100%, $E$9)</f>
        <v>11.736700000000001</v>
      </c>
      <c r="H391" s="10">
        <f>CHOOSE(CONTROL!$C$42, 11.9801, 11.9801) * CHOOSE(CONTROL!$C$21, $C$9, 100%, $E$9)</f>
        <v>11.9801</v>
      </c>
      <c r="I391" s="10">
        <f>CHOOSE(CONTROL!$C$42, 11.7521, 11.7521)* CHOOSE(CONTROL!$C$21, $C$9, 100%, $E$9)</f>
        <v>11.7521</v>
      </c>
      <c r="J391" s="10">
        <f>CHOOSE(CONTROL!$C$42, 11.7123, 11.7123)* CHOOSE(CONTROL!$C$21, $C$9, 100%, $E$9)</f>
        <v>11.712300000000001</v>
      </c>
      <c r="K391" s="10">
        <f>CHOOSE(CONTROL!$C$42, 11.543, 11.543) * CHOOSE(CONTROL!$C$21, $C$9, 100%, $E$9)</f>
        <v>11.542999999999999</v>
      </c>
      <c r="L391" s="10">
        <f>CHOOSE(CONTROL!$C$42, 12.5671, 12.5671) * CHOOSE(CONTROL!$C$21, $C$9, 100%, $E$9)</f>
        <v>12.5671</v>
      </c>
      <c r="M391" s="10">
        <f>CHOOSE(CONTROL!$C$42, 11.5937, 11.5937) * CHOOSE(CONTROL!$C$21, $C$9, 100%, $E$9)</f>
        <v>11.5937</v>
      </c>
      <c r="N391" s="10">
        <f>CHOOSE(CONTROL!$C$42, 11.6105, 11.6105) * CHOOSE(CONTROL!$C$21, $C$9, 100%, $E$9)</f>
        <v>11.6105</v>
      </c>
      <c r="O391" s="10">
        <f>CHOOSE(CONTROL!$C$42, 11.8581, 11.8581) * CHOOSE(CONTROL!$C$21, $C$9, 100%, $E$9)</f>
        <v>11.8581</v>
      </c>
      <c r="P391" s="10">
        <f>CHOOSE(CONTROL!$C$42, 11.6331, 11.6331) * CHOOSE(CONTROL!$C$21, $C$9, 100%, $E$9)</f>
        <v>11.633100000000001</v>
      </c>
      <c r="Q391" s="10">
        <f>CHOOSE(CONTROL!$C$42, 12.4534, 12.4534) * CHOOSE(CONTROL!$C$21, $C$9, 100%, $E$9)</f>
        <v>12.4534</v>
      </c>
      <c r="R391" s="10">
        <f>CHOOSE(CONTROL!$C$42, 13.0715, 13.0715) * CHOOSE(CONTROL!$C$21, $C$9, 100%, $E$9)</f>
        <v>13.0715</v>
      </c>
      <c r="S391" s="10">
        <f>CHOOSE(CONTROL!$C$42, 11.4187, 11.4187) * CHOOSE(CONTROL!$C$21, $C$9, 100%, $E$9)</f>
        <v>11.418699999999999</v>
      </c>
      <c r="T3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38">
        <f>(1000*CHOOSE(CONTROL!$C$42, 695, 695)*CHOOSE(CONTROL!$C$42, 0.5599, 0.5599)*CHOOSE(CONTROL!$C$42, 31, 31))/1000000</f>
        <v>12.063045499999998</v>
      </c>
      <c r="V391" s="38">
        <f>(1000*CHOOSE(CONTROL!$C$42, 500, 500)*CHOOSE(CONTROL!$C$42, 0.275, 0.275)*CHOOSE(CONTROL!$C$42, 31, 31))/1000000</f>
        <v>4.2625000000000002</v>
      </c>
      <c r="W391" s="38">
        <f>(1000*CHOOSE(CONTROL!$C$42, 0.1146, 0.1146)*CHOOSE(CONTROL!$C$42, 121.5, 121.5)*CHOOSE(CONTROL!$C$42, 31, 31))/1000000</f>
        <v>0.43164089999999994</v>
      </c>
      <c r="X391" s="38">
        <f>(31*0.1790888*245000/1000000)+(31*0.2374*100000/1000000)</f>
        <v>2.0961194359999999</v>
      </c>
      <c r="Y391" s="38">
        <f>(1000*600*CHOOSE(CONTROL!$C$42, 1.0966, 1.0966)*CHOOSE(CONTROL!$C$42, 31, 31))/1000000</f>
        <v>20.39676</v>
      </c>
      <c r="Z391" s="38"/>
      <c r="AA391" s="10"/>
      <c r="AB391" s="39"/>
      <c r="AC391" s="33">
        <f>(B391*194.205+C391*267.466+D391*133.845+E391*53.484+F391*40+G391*185+H391*0+I391*100+J391*300)/(194.205+267.466+133.845+53.484+0+40+185+100+300)</f>
        <v>11.782326035086344</v>
      </c>
      <c r="AD391" s="27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11.677420863309353</v>
      </c>
    </row>
    <row r="392" spans="1:30" ht="15.75" x14ac:dyDescent="0.25">
      <c r="A392" s="14">
        <v>53205</v>
      </c>
      <c r="B392" s="10">
        <f>CHOOSE(CONTROL!$C$42, 11.195, 11.195) * CHOOSE(CONTROL!$C$21, $C$9, 100%, $E$9)</f>
        <v>11.195</v>
      </c>
      <c r="C392" s="10">
        <f>CHOOSE(CONTROL!$C$42, 11.203, 11.203) * CHOOSE(CONTROL!$C$21, $C$9, 100%, $E$9)</f>
        <v>11.202999999999999</v>
      </c>
      <c r="D392" s="10">
        <f>CHOOSE(CONTROL!$C$42, 11.3781, 11.3781) * CHOOSE(CONTROL!$C$21, $C$9, 100%, $E$9)</f>
        <v>11.3781</v>
      </c>
      <c r="E392" s="10">
        <f>CHOOSE(CONTROL!$C$42, 11.4094, 11.4094) * CHOOSE(CONTROL!$C$21, $C$9, 100%, $E$9)</f>
        <v>11.4094</v>
      </c>
      <c r="F392" s="10">
        <f>CHOOSE(CONTROL!$C$42, 11.1371, 11.1371)*CHOOSE(CONTROL!$C$21, $C$9, 100%, $E$9)</f>
        <v>11.1371</v>
      </c>
      <c r="G392" s="10">
        <f>CHOOSE(CONTROL!$C$42, 11.1541, 11.1541)*CHOOSE(CONTROL!$C$21, $C$9, 100%, $E$9)</f>
        <v>11.1541</v>
      </c>
      <c r="H392" s="10">
        <f>CHOOSE(CONTROL!$C$42, 11.3977, 11.3977) * CHOOSE(CONTROL!$C$21, $C$9, 100%, $E$9)</f>
        <v>11.3977</v>
      </c>
      <c r="I392" s="10">
        <f>CHOOSE(CONTROL!$C$42, 11.1697, 11.1697)* CHOOSE(CONTROL!$C$21, $C$9, 100%, $E$9)</f>
        <v>11.169700000000001</v>
      </c>
      <c r="J392" s="10">
        <f>CHOOSE(CONTROL!$C$42, 11.1297, 11.1297)* CHOOSE(CONTROL!$C$21, $C$9, 100%, $E$9)</f>
        <v>11.1297</v>
      </c>
      <c r="K392" s="10">
        <f>CHOOSE(CONTROL!$C$42, 10.9785, 10.9785) * CHOOSE(CONTROL!$C$21, $C$9, 100%, $E$9)</f>
        <v>10.9785</v>
      </c>
      <c r="L392" s="10">
        <f>CHOOSE(CONTROL!$C$42, 11.9847, 11.9847) * CHOOSE(CONTROL!$C$21, $C$9, 100%, $E$9)</f>
        <v>11.9847</v>
      </c>
      <c r="M392" s="10">
        <f>CHOOSE(CONTROL!$C$42, 11.0187, 11.0187) * CHOOSE(CONTROL!$C$21, $C$9, 100%, $E$9)</f>
        <v>11.018700000000001</v>
      </c>
      <c r="N392" s="10">
        <f>CHOOSE(CONTROL!$C$42, 11.0355, 11.0355) * CHOOSE(CONTROL!$C$21, $C$9, 100%, $E$9)</f>
        <v>11.035500000000001</v>
      </c>
      <c r="O392" s="10">
        <f>CHOOSE(CONTROL!$C$42, 11.2832, 11.2832) * CHOOSE(CONTROL!$C$21, $C$9, 100%, $E$9)</f>
        <v>11.283200000000001</v>
      </c>
      <c r="P392" s="10">
        <f>CHOOSE(CONTROL!$C$42, 11.0582, 11.0582) * CHOOSE(CONTROL!$C$21, $C$9, 100%, $E$9)</f>
        <v>11.058199999999999</v>
      </c>
      <c r="Q392" s="10">
        <f>CHOOSE(CONTROL!$C$42, 11.8785, 11.8785) * CHOOSE(CONTROL!$C$21, $C$9, 100%, $E$9)</f>
        <v>11.878500000000001</v>
      </c>
      <c r="R392" s="10">
        <f>CHOOSE(CONTROL!$C$42, 12.4952, 12.4952) * CHOOSE(CONTROL!$C$21, $C$9, 100%, $E$9)</f>
        <v>12.495200000000001</v>
      </c>
      <c r="S392" s="10">
        <f>CHOOSE(CONTROL!$C$42, 10.8547, 10.8547) * CHOOSE(CONTROL!$C$21, $C$9, 100%, $E$9)</f>
        <v>10.854699999999999</v>
      </c>
      <c r="T3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38">
        <f>(1000*CHOOSE(CONTROL!$C$42, 695, 695)*CHOOSE(CONTROL!$C$42, 0.5599, 0.5599)*CHOOSE(CONTROL!$C$42, 31, 31))/1000000</f>
        <v>12.063045499999998</v>
      </c>
      <c r="V392" s="38">
        <f>(1000*CHOOSE(CONTROL!$C$42, 500, 500)*CHOOSE(CONTROL!$C$42, 0.275, 0.275)*CHOOSE(CONTROL!$C$42, 31, 31))/1000000</f>
        <v>4.2625000000000002</v>
      </c>
      <c r="W392" s="38">
        <f>(1000*CHOOSE(CONTROL!$C$42, 0.1146, 0.1146)*CHOOSE(CONTROL!$C$42, 121.5, 121.5)*CHOOSE(CONTROL!$C$42, 31, 31))/1000000</f>
        <v>0.43164089999999994</v>
      </c>
      <c r="X392" s="38">
        <f>(31*0.1790888*245000/1000000)+(31*0.2374*100000/1000000)</f>
        <v>2.0961194359999999</v>
      </c>
      <c r="Y392" s="38">
        <f>(1000*600*CHOOSE(CONTROL!$C$42, 1.0966, 1.0966)*CHOOSE(CONTROL!$C$42, 31, 31))/1000000</f>
        <v>20.39676</v>
      </c>
      <c r="Z392" s="38"/>
      <c r="AA392" s="10"/>
      <c r="AB392" s="39"/>
      <c r="AC392" s="33">
        <f>(B392*194.205+C392*267.466+D392*133.845+E392*53.484+F392*40+G392*185+H392*0+I392*100+J392*300)/(194.205+267.466+133.845+53.484+0+40+185+100+300)</f>
        <v>11.199796873704866</v>
      </c>
      <c r="AD392" s="27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11.102463309352519</v>
      </c>
    </row>
    <row r="393" spans="1:30" ht="15.75" x14ac:dyDescent="0.25">
      <c r="A393" s="14">
        <v>53235</v>
      </c>
      <c r="B393" s="10">
        <f>CHOOSE(CONTROL!$C$42, 10.4834, 10.4834) * CHOOSE(CONTROL!$C$21, $C$9, 100%, $E$9)</f>
        <v>10.4834</v>
      </c>
      <c r="C393" s="10">
        <f>CHOOSE(CONTROL!$C$42, 10.4914, 10.4914) * CHOOSE(CONTROL!$C$21, $C$9, 100%, $E$9)</f>
        <v>10.491400000000001</v>
      </c>
      <c r="D393" s="10">
        <f>CHOOSE(CONTROL!$C$42, 10.6665, 10.6665) * CHOOSE(CONTROL!$C$21, $C$9, 100%, $E$9)</f>
        <v>10.666499999999999</v>
      </c>
      <c r="E393" s="10">
        <f>CHOOSE(CONTROL!$C$42, 10.6977, 10.6977) * CHOOSE(CONTROL!$C$21, $C$9, 100%, $E$9)</f>
        <v>10.697699999999999</v>
      </c>
      <c r="F393" s="10">
        <f>CHOOSE(CONTROL!$C$42, 10.4252, 10.4252)*CHOOSE(CONTROL!$C$21, $C$9, 100%, $E$9)</f>
        <v>10.4252</v>
      </c>
      <c r="G393" s="10">
        <f>CHOOSE(CONTROL!$C$42, 10.4421, 10.4421)*CHOOSE(CONTROL!$C$21, $C$9, 100%, $E$9)</f>
        <v>10.4421</v>
      </c>
      <c r="H393" s="10">
        <f>CHOOSE(CONTROL!$C$42, 10.6861, 10.6861) * CHOOSE(CONTROL!$C$21, $C$9, 100%, $E$9)</f>
        <v>10.6861</v>
      </c>
      <c r="I393" s="10">
        <f>CHOOSE(CONTROL!$C$42, 10.458, 10.458)* CHOOSE(CONTROL!$C$21, $C$9, 100%, $E$9)</f>
        <v>10.458</v>
      </c>
      <c r="J393" s="10">
        <f>CHOOSE(CONTROL!$C$42, 10.4178, 10.4178)* CHOOSE(CONTROL!$C$21, $C$9, 100%, $E$9)</f>
        <v>10.4178</v>
      </c>
      <c r="K393" s="10">
        <f>CHOOSE(CONTROL!$C$42, 10.2884, 10.2884) * CHOOSE(CONTROL!$C$21, $C$9, 100%, $E$9)</f>
        <v>10.288399999999999</v>
      </c>
      <c r="L393" s="10">
        <f>CHOOSE(CONTROL!$C$42, 11.2731, 11.2731) * CHOOSE(CONTROL!$C$21, $C$9, 100%, $E$9)</f>
        <v>11.273099999999999</v>
      </c>
      <c r="M393" s="10">
        <f>CHOOSE(CONTROL!$C$42, 10.316, 10.316) * CHOOSE(CONTROL!$C$21, $C$9, 100%, $E$9)</f>
        <v>10.316000000000001</v>
      </c>
      <c r="N393" s="10">
        <f>CHOOSE(CONTROL!$C$42, 10.3327, 10.3327) * CHOOSE(CONTROL!$C$21, $C$9, 100%, $E$9)</f>
        <v>10.332700000000001</v>
      </c>
      <c r="O393" s="10">
        <f>CHOOSE(CONTROL!$C$42, 10.5808, 10.5808) * CHOOSE(CONTROL!$C$21, $C$9, 100%, $E$9)</f>
        <v>10.5808</v>
      </c>
      <c r="P393" s="10">
        <f>CHOOSE(CONTROL!$C$42, 10.3558, 10.3558) * CHOOSE(CONTROL!$C$21, $C$9, 100%, $E$9)</f>
        <v>10.3558</v>
      </c>
      <c r="Q393" s="10">
        <f>CHOOSE(CONTROL!$C$42, 11.1761, 11.1761) * CHOOSE(CONTROL!$C$21, $C$9, 100%, $E$9)</f>
        <v>11.1761</v>
      </c>
      <c r="R393" s="10">
        <f>CHOOSE(CONTROL!$C$42, 11.791, 11.791) * CHOOSE(CONTROL!$C$21, $C$9, 100%, $E$9)</f>
        <v>11.791</v>
      </c>
      <c r="S393" s="10">
        <f>CHOOSE(CONTROL!$C$42, 10.1657, 10.1657) * CHOOSE(CONTROL!$C$21, $C$9, 100%, $E$9)</f>
        <v>10.165699999999999</v>
      </c>
      <c r="T3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38">
        <f>(1000*CHOOSE(CONTROL!$C$42, 695, 695)*CHOOSE(CONTROL!$C$42, 0.5599, 0.5599)*CHOOSE(CONTROL!$C$42, 30, 30))/1000000</f>
        <v>11.673914999999997</v>
      </c>
      <c r="V393" s="38">
        <f>(1000*CHOOSE(CONTROL!$C$42, 500, 500)*CHOOSE(CONTROL!$C$42, 0.275, 0.275)*CHOOSE(CONTROL!$C$42, 30, 30))/1000000</f>
        <v>4.125</v>
      </c>
      <c r="W393" s="38">
        <f>(1000*CHOOSE(CONTROL!$C$42, 0.1146, 0.1146)*CHOOSE(CONTROL!$C$42, 121.5, 121.5)*CHOOSE(CONTROL!$C$42, 30, 30))/1000000</f>
        <v>0.417717</v>
      </c>
      <c r="X393" s="38">
        <f>(30*0.1790888*245000/1000000)+(30*0.2374*100000/1000000)</f>
        <v>2.0285026799999999</v>
      </c>
      <c r="Y393" s="38">
        <f>(1000*600*CHOOSE(CONTROL!$C$42, 1.0966, 1.0966)*CHOOSE(CONTROL!$C$42, 30, 30))/1000000</f>
        <v>19.738800000000001</v>
      </c>
      <c r="Z393" s="38"/>
      <c r="AA393" s="10"/>
      <c r="AB393" s="39"/>
      <c r="AC393" s="33">
        <f>(B393*194.205+C393*267.466+D393*133.845+E393*53.484+F393*40+G393*185+H393*0+I393*100+J393*300)/(194.205+267.466+133.845+53.484+0+40+185+100+300)</f>
        <v>10.488046678728413</v>
      </c>
      <c r="AD393" s="27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10.399867625899279</v>
      </c>
    </row>
    <row r="394" spans="1:30" ht="15.75" x14ac:dyDescent="0.25">
      <c r="A394" s="14">
        <v>53266</v>
      </c>
      <c r="B394" s="10">
        <f>CHOOSE(CONTROL!$C$42, 10.2681, 10.2681) * CHOOSE(CONTROL!$C$21, $C$9, 100%, $E$9)</f>
        <v>10.2681</v>
      </c>
      <c r="C394" s="10">
        <f>CHOOSE(CONTROL!$C$42, 10.2735, 10.2735) * CHOOSE(CONTROL!$C$21, $C$9, 100%, $E$9)</f>
        <v>10.2735</v>
      </c>
      <c r="D394" s="10">
        <f>CHOOSE(CONTROL!$C$42, 10.4535, 10.4535) * CHOOSE(CONTROL!$C$21, $C$9, 100%, $E$9)</f>
        <v>10.4535</v>
      </c>
      <c r="E394" s="10">
        <f>CHOOSE(CONTROL!$C$42, 10.4824, 10.4824) * CHOOSE(CONTROL!$C$21, $C$9, 100%, $E$9)</f>
        <v>10.4824</v>
      </c>
      <c r="F394" s="10">
        <f>CHOOSE(CONTROL!$C$42, 10.2119, 10.2119)*CHOOSE(CONTROL!$C$21, $C$9, 100%, $E$9)</f>
        <v>10.2119</v>
      </c>
      <c r="G394" s="10">
        <f>CHOOSE(CONTROL!$C$42, 10.2285, 10.2285)*CHOOSE(CONTROL!$C$21, $C$9, 100%, $E$9)</f>
        <v>10.2285</v>
      </c>
      <c r="H394" s="10">
        <f>CHOOSE(CONTROL!$C$42, 10.4725, 10.4725) * CHOOSE(CONTROL!$C$21, $C$9, 100%, $E$9)</f>
        <v>10.4725</v>
      </c>
      <c r="I394" s="10">
        <f>CHOOSE(CONTROL!$C$42, 10.2445, 10.2445)* CHOOSE(CONTROL!$C$21, $C$9, 100%, $E$9)</f>
        <v>10.2445</v>
      </c>
      <c r="J394" s="10">
        <f>CHOOSE(CONTROL!$C$42, 10.2045, 10.2045)* CHOOSE(CONTROL!$C$21, $C$9, 100%, $E$9)</f>
        <v>10.204499999999999</v>
      </c>
      <c r="K394" s="10">
        <f>CHOOSE(CONTROL!$C$42, 10.0821, 10.0821) * CHOOSE(CONTROL!$C$21, $C$9, 100%, $E$9)</f>
        <v>10.082100000000001</v>
      </c>
      <c r="L394" s="10">
        <f>CHOOSE(CONTROL!$C$42, 11.0595, 11.0595) * CHOOSE(CONTROL!$C$21, $C$9, 100%, $E$9)</f>
        <v>11.0595</v>
      </c>
      <c r="M394" s="10">
        <f>CHOOSE(CONTROL!$C$42, 10.1055, 10.1055) * CHOOSE(CONTROL!$C$21, $C$9, 100%, $E$9)</f>
        <v>10.105499999999999</v>
      </c>
      <c r="N394" s="10">
        <f>CHOOSE(CONTROL!$C$42, 10.1219, 10.1219) * CHOOSE(CONTROL!$C$21, $C$9, 100%, $E$9)</f>
        <v>10.1219</v>
      </c>
      <c r="O394" s="10">
        <f>CHOOSE(CONTROL!$C$42, 10.37, 10.37) * CHOOSE(CONTROL!$C$21, $C$9, 100%, $E$9)</f>
        <v>10.37</v>
      </c>
      <c r="P394" s="10">
        <f>CHOOSE(CONTROL!$C$42, 10.145, 10.145) * CHOOSE(CONTROL!$C$21, $C$9, 100%, $E$9)</f>
        <v>10.145</v>
      </c>
      <c r="Q394" s="10">
        <f>CHOOSE(CONTROL!$C$42, 10.9653, 10.9653) * CHOOSE(CONTROL!$C$21, $C$9, 100%, $E$9)</f>
        <v>10.965299999999999</v>
      </c>
      <c r="R394" s="10">
        <f>CHOOSE(CONTROL!$C$42, 11.5797, 11.5797) * CHOOSE(CONTROL!$C$21, $C$9, 100%, $E$9)</f>
        <v>11.579700000000001</v>
      </c>
      <c r="S394" s="10">
        <f>CHOOSE(CONTROL!$C$42, 9.9589, 9.9589) * CHOOSE(CONTROL!$C$21, $C$9, 100%, $E$9)</f>
        <v>9.9588999999999999</v>
      </c>
      <c r="T3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38">
        <f>(1000*CHOOSE(CONTROL!$C$42, 695, 695)*CHOOSE(CONTROL!$C$42, 0.5599, 0.5599)*CHOOSE(CONTROL!$C$42, 31, 31))/1000000</f>
        <v>12.063045499999998</v>
      </c>
      <c r="V394" s="38">
        <f>(1000*CHOOSE(CONTROL!$C$42, 500, 500)*CHOOSE(CONTROL!$C$42, 0.275, 0.275)*CHOOSE(CONTROL!$C$42, 31, 31))/1000000</f>
        <v>4.2625000000000002</v>
      </c>
      <c r="W394" s="38">
        <f>(1000*CHOOSE(CONTROL!$C$42, 0.1146, 0.1146)*CHOOSE(CONTROL!$C$42, 121.5, 121.5)*CHOOSE(CONTROL!$C$42, 31, 31))/1000000</f>
        <v>0.43164089999999994</v>
      </c>
      <c r="X394" s="38">
        <f>(31*0.1790888*245000/1000000)+(31*0.2374*100000/1000000)</f>
        <v>2.0961194359999999</v>
      </c>
      <c r="Y394" s="38">
        <f>(1000*600*CHOOSE(CONTROL!$C$42, 1.0966, 1.0966)*CHOOSE(CONTROL!$C$42, 31, 31))/1000000</f>
        <v>20.39676</v>
      </c>
      <c r="Z394" s="38"/>
      <c r="AA394" s="10"/>
      <c r="AB394" s="39"/>
      <c r="AC394" s="33">
        <f>(B394*131.881+C394*277.167+D394*79.08+E394*125.872+F394*40+G394*185+H394*0+I394*100+J394*300)/(131.881+277.167+79.08+125.872+0+40+185+100+300)</f>
        <v>10.277880874414851</v>
      </c>
      <c r="AD394" s="27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10.189171223021582</v>
      </c>
    </row>
    <row r="395" spans="1:30" ht="15.75" x14ac:dyDescent="0.25">
      <c r="A395" s="14">
        <v>53296</v>
      </c>
      <c r="B395" s="10">
        <f>CHOOSE(CONTROL!$C$42, 10.5387, 10.5387) * CHOOSE(CONTROL!$C$21, $C$9, 100%, $E$9)</f>
        <v>10.5387</v>
      </c>
      <c r="C395" s="10">
        <f>CHOOSE(CONTROL!$C$42, 10.5438, 10.5438) * CHOOSE(CONTROL!$C$21, $C$9, 100%, $E$9)</f>
        <v>10.543799999999999</v>
      </c>
      <c r="D395" s="10">
        <f>CHOOSE(CONTROL!$C$42, 10.5685, 10.5685) * CHOOSE(CONTROL!$C$21, $C$9, 100%, $E$9)</f>
        <v>10.5685</v>
      </c>
      <c r="E395" s="10">
        <f>CHOOSE(CONTROL!$C$42, 10.6023, 10.6023) * CHOOSE(CONTROL!$C$21, $C$9, 100%, $E$9)</f>
        <v>10.6023</v>
      </c>
      <c r="F395" s="10">
        <f>CHOOSE(CONTROL!$C$42, 10.5043, 10.5043)*CHOOSE(CONTROL!$C$21, $C$9, 100%, $E$9)</f>
        <v>10.504300000000001</v>
      </c>
      <c r="G395" s="10">
        <f>CHOOSE(CONTROL!$C$42, 10.5211, 10.5211)*CHOOSE(CONTROL!$C$21, $C$9, 100%, $E$9)</f>
        <v>10.521100000000001</v>
      </c>
      <c r="H395" s="10">
        <f>CHOOSE(CONTROL!$C$42, 10.5911, 10.5911) * CHOOSE(CONTROL!$C$21, $C$9, 100%, $E$9)</f>
        <v>10.591100000000001</v>
      </c>
      <c r="I395" s="10">
        <f>CHOOSE(CONTROL!$C$42, 10.5382, 10.5382)* CHOOSE(CONTROL!$C$21, $C$9, 100%, $E$9)</f>
        <v>10.5382</v>
      </c>
      <c r="J395" s="10">
        <f>CHOOSE(CONTROL!$C$42, 10.4969, 10.4969)* CHOOSE(CONTROL!$C$21, $C$9, 100%, $E$9)</f>
        <v>10.4969</v>
      </c>
      <c r="K395" s="10">
        <f>CHOOSE(CONTROL!$C$42, 10.3684, 10.3684) * CHOOSE(CONTROL!$C$21, $C$9, 100%, $E$9)</f>
        <v>10.368399999999999</v>
      </c>
      <c r="L395" s="10">
        <f>CHOOSE(CONTROL!$C$42, 11.1781, 11.1781) * CHOOSE(CONTROL!$C$21, $C$9, 100%, $E$9)</f>
        <v>11.178100000000001</v>
      </c>
      <c r="M395" s="10">
        <f>CHOOSE(CONTROL!$C$42, 10.3941, 10.3941) * CHOOSE(CONTROL!$C$21, $C$9, 100%, $E$9)</f>
        <v>10.3941</v>
      </c>
      <c r="N395" s="10">
        <f>CHOOSE(CONTROL!$C$42, 10.4107, 10.4107) * CHOOSE(CONTROL!$C$21, $C$9, 100%, $E$9)</f>
        <v>10.4107</v>
      </c>
      <c r="O395" s="10">
        <f>CHOOSE(CONTROL!$C$42, 10.4871, 10.4871) * CHOOSE(CONTROL!$C$21, $C$9, 100%, $E$9)</f>
        <v>10.4871</v>
      </c>
      <c r="P395" s="10">
        <f>CHOOSE(CONTROL!$C$42, 10.4348, 10.4348) * CHOOSE(CONTROL!$C$21, $C$9, 100%, $E$9)</f>
        <v>10.434799999999999</v>
      </c>
      <c r="Q395" s="10">
        <f>CHOOSE(CONTROL!$C$42, 11.0824, 11.0824) * CHOOSE(CONTROL!$C$21, $C$9, 100%, $E$9)</f>
        <v>11.0824</v>
      </c>
      <c r="R395" s="10">
        <f>CHOOSE(CONTROL!$C$42, 11.6971, 11.6971) * CHOOSE(CONTROL!$C$21, $C$9, 100%, $E$9)</f>
        <v>11.697100000000001</v>
      </c>
      <c r="S395" s="10">
        <f>CHOOSE(CONTROL!$C$42, 10.2213, 10.2213) * CHOOSE(CONTROL!$C$21, $C$9, 100%, $E$9)</f>
        <v>10.221299999999999</v>
      </c>
      <c r="T3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38">
        <f>(1000*CHOOSE(CONTROL!$C$42, 695, 695)*CHOOSE(CONTROL!$C$42, 0.5599, 0.5599)*CHOOSE(CONTROL!$C$42, 30, 30))/1000000</f>
        <v>11.673914999999997</v>
      </c>
      <c r="V395" s="38">
        <f>(1000*CHOOSE(CONTROL!$C$42, 500, 500)*CHOOSE(CONTROL!$C$42, 0.275, 0.275)*CHOOSE(CONTROL!$C$42, 30, 30))/1000000</f>
        <v>4.125</v>
      </c>
      <c r="W395" s="38">
        <f>(1000*CHOOSE(CONTROL!$C$42, 0.1146, 0.1146)*CHOOSE(CONTROL!$C$42, 121.5, 121.5)*CHOOSE(CONTROL!$C$42, 30, 30))/1000000</f>
        <v>0.417717</v>
      </c>
      <c r="X395" s="38">
        <f>(30*0.1790888*100000/1000000)+(30*0.2374*100000/1000000)</f>
        <v>1.2494664</v>
      </c>
      <c r="Y395" s="38">
        <f>(1000*600*CHOOSE(CONTROL!$C$42, 1.0966, 1.0966)*CHOOSE(CONTROL!$C$42, 30, 30))/1000000</f>
        <v>19.738800000000001</v>
      </c>
      <c r="Z395" s="38"/>
      <c r="AA395" s="10"/>
      <c r="AB395" s="39"/>
      <c r="AC395" s="33">
        <f>(B395*122.58+C395*297.941+D395*89.177+E395*40.302+F395*40+G395*160+H395*0+I395*100+J395*300)/(122.58+297.941+89.177+40.302+0+40+160+100+300)</f>
        <v>10.529967983391305</v>
      </c>
      <c r="AD395" s="27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10.443062589928058</v>
      </c>
    </row>
    <row r="396" spans="1:30" ht="15.75" x14ac:dyDescent="0.25">
      <c r="A396" s="14">
        <v>53327</v>
      </c>
      <c r="B396" s="10">
        <f>CHOOSE(CONTROL!$C$42, 11.2583, 11.2583) * CHOOSE(CONTROL!$C$21, $C$9, 100%, $E$9)</f>
        <v>11.2583</v>
      </c>
      <c r="C396" s="10">
        <f>CHOOSE(CONTROL!$C$42, 11.2634, 11.2634) * CHOOSE(CONTROL!$C$21, $C$9, 100%, $E$9)</f>
        <v>11.263400000000001</v>
      </c>
      <c r="D396" s="10">
        <f>CHOOSE(CONTROL!$C$42, 11.2881, 11.2881) * CHOOSE(CONTROL!$C$21, $C$9, 100%, $E$9)</f>
        <v>11.2881</v>
      </c>
      <c r="E396" s="10">
        <f>CHOOSE(CONTROL!$C$42, 11.3219, 11.3219) * CHOOSE(CONTROL!$C$21, $C$9, 100%, $E$9)</f>
        <v>11.321899999999999</v>
      </c>
      <c r="F396" s="10">
        <f>CHOOSE(CONTROL!$C$42, 11.2257, 11.2257)*CHOOSE(CONTROL!$C$21, $C$9, 100%, $E$9)</f>
        <v>11.2257</v>
      </c>
      <c r="G396" s="10">
        <f>CHOOSE(CONTROL!$C$42, 11.243, 11.243)*CHOOSE(CONTROL!$C$21, $C$9, 100%, $E$9)</f>
        <v>11.243</v>
      </c>
      <c r="H396" s="10">
        <f>CHOOSE(CONTROL!$C$42, 11.3108, 11.3108) * CHOOSE(CONTROL!$C$21, $C$9, 100%, $E$9)</f>
        <v>11.3108</v>
      </c>
      <c r="I396" s="10">
        <f>CHOOSE(CONTROL!$C$42, 11.2578, 11.2578)* CHOOSE(CONTROL!$C$21, $C$9, 100%, $E$9)</f>
        <v>11.2578</v>
      </c>
      <c r="J396" s="10">
        <f>CHOOSE(CONTROL!$C$42, 11.2183, 11.2183)* CHOOSE(CONTROL!$C$21, $C$9, 100%, $E$9)</f>
        <v>11.218299999999999</v>
      </c>
      <c r="K396" s="10">
        <f>CHOOSE(CONTROL!$C$42, 11.0695, 11.0695) * CHOOSE(CONTROL!$C$21, $C$9, 100%, $E$9)</f>
        <v>11.0695</v>
      </c>
      <c r="L396" s="10">
        <f>CHOOSE(CONTROL!$C$42, 11.8978, 11.8978) * CHOOSE(CONTROL!$C$21, $C$9, 100%, $E$9)</f>
        <v>11.8978</v>
      </c>
      <c r="M396" s="10">
        <f>CHOOSE(CONTROL!$C$42, 11.1062, 11.1062) * CHOOSE(CONTROL!$C$21, $C$9, 100%, $E$9)</f>
        <v>11.106199999999999</v>
      </c>
      <c r="N396" s="10">
        <f>CHOOSE(CONTROL!$C$42, 11.1232, 11.1232) * CHOOSE(CONTROL!$C$21, $C$9, 100%, $E$9)</f>
        <v>11.123200000000001</v>
      </c>
      <c r="O396" s="10">
        <f>CHOOSE(CONTROL!$C$42, 11.1974, 11.1974) * CHOOSE(CONTROL!$C$21, $C$9, 100%, $E$9)</f>
        <v>11.1974</v>
      </c>
      <c r="P396" s="10">
        <f>CHOOSE(CONTROL!$C$42, 11.1452, 11.1452) * CHOOSE(CONTROL!$C$21, $C$9, 100%, $E$9)</f>
        <v>11.145200000000001</v>
      </c>
      <c r="Q396" s="10">
        <f>CHOOSE(CONTROL!$C$42, 11.7927, 11.7927) * CHOOSE(CONTROL!$C$21, $C$9, 100%, $E$9)</f>
        <v>11.7927</v>
      </c>
      <c r="R396" s="10">
        <f>CHOOSE(CONTROL!$C$42, 12.4092, 12.4092) * CHOOSE(CONTROL!$C$21, $C$9, 100%, $E$9)</f>
        <v>12.4092</v>
      </c>
      <c r="S396" s="10">
        <f>CHOOSE(CONTROL!$C$42, 10.9181, 10.9181) * CHOOSE(CONTROL!$C$21, $C$9, 100%, $E$9)</f>
        <v>10.918100000000001</v>
      </c>
      <c r="T3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38">
        <f>(1000*CHOOSE(CONTROL!$C$42, 695, 695)*CHOOSE(CONTROL!$C$42, 0.5599, 0.5599)*CHOOSE(CONTROL!$C$42, 31, 31))/1000000</f>
        <v>12.063045499999998</v>
      </c>
      <c r="V396" s="38">
        <f>(1000*CHOOSE(CONTROL!$C$42, 500, 500)*CHOOSE(CONTROL!$C$42, 0.275, 0.275)*CHOOSE(CONTROL!$C$42, 31, 31))/1000000</f>
        <v>4.2625000000000002</v>
      </c>
      <c r="W396" s="38">
        <f>(1000*CHOOSE(CONTROL!$C$42, 0.1146, 0.1146)*CHOOSE(CONTROL!$C$42, 121.5, 121.5)*CHOOSE(CONTROL!$C$42, 31, 31))/1000000</f>
        <v>0.43164089999999994</v>
      </c>
      <c r="X396" s="38">
        <f>(31*0.1790888*100000/1000000)+(31*0.2374*100000/1000000)</f>
        <v>1.2911152800000001</v>
      </c>
      <c r="Y396" s="38">
        <f>(1000*600*CHOOSE(CONTROL!$C$42, 1.0966, 1.0966)*CHOOSE(CONTROL!$C$42, 31, 31))/1000000</f>
        <v>20.39676</v>
      </c>
      <c r="Z396" s="38"/>
      <c r="AA396" s="10"/>
      <c r="AB396" s="39"/>
      <c r="AC396" s="33">
        <f>(B396*122.58+C396*297.941+D396*89.177+E396*40.302+F396*40+G396*160+H396*0+I396*100+J396*300)/(122.58+297.941+89.177+40.302+0+40+160+100+300)</f>
        <v>11.250420157304349</v>
      </c>
      <c r="AD396" s="27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11.154125179856115</v>
      </c>
    </row>
    <row r="397" spans="1:30" ht="15.75" x14ac:dyDescent="0.25">
      <c r="A397" s="14">
        <v>53358</v>
      </c>
      <c r="B397" s="10">
        <f>CHOOSE(CONTROL!$C$42, 12.0193, 12.0193) * CHOOSE(CONTROL!$C$21, $C$9, 100%, $E$9)</f>
        <v>12.019299999999999</v>
      </c>
      <c r="C397" s="10">
        <f>CHOOSE(CONTROL!$C$42, 12.0244, 12.0244) * CHOOSE(CONTROL!$C$21, $C$9, 100%, $E$9)</f>
        <v>12.0244</v>
      </c>
      <c r="D397" s="10">
        <f>CHOOSE(CONTROL!$C$42, 12.0594, 12.0594) * CHOOSE(CONTROL!$C$21, $C$9, 100%, $E$9)</f>
        <v>12.0594</v>
      </c>
      <c r="E397" s="10">
        <f>CHOOSE(CONTROL!$C$42, 12.0932, 12.0932) * CHOOSE(CONTROL!$C$21, $C$9, 100%, $E$9)</f>
        <v>12.0932</v>
      </c>
      <c r="F397" s="10">
        <f>CHOOSE(CONTROL!$C$42, 12.0006, 12.0006)*CHOOSE(CONTROL!$C$21, $C$9, 100%, $E$9)</f>
        <v>12.0006</v>
      </c>
      <c r="G397" s="10">
        <f>CHOOSE(CONTROL!$C$42, 12.0195, 12.0195)*CHOOSE(CONTROL!$C$21, $C$9, 100%, $E$9)</f>
        <v>12.019500000000001</v>
      </c>
      <c r="H397" s="10">
        <f>CHOOSE(CONTROL!$C$42, 12.0821, 12.0821) * CHOOSE(CONTROL!$C$21, $C$9, 100%, $E$9)</f>
        <v>12.082100000000001</v>
      </c>
      <c r="I397" s="10">
        <f>CHOOSE(CONTROL!$C$42, 12.0265, 12.0265)* CHOOSE(CONTROL!$C$21, $C$9, 100%, $E$9)</f>
        <v>12.0265</v>
      </c>
      <c r="J397" s="10">
        <f>CHOOSE(CONTROL!$C$42, 11.9932, 11.9932)* CHOOSE(CONTROL!$C$21, $C$9, 100%, $E$9)</f>
        <v>11.9932</v>
      </c>
      <c r="K397" s="10">
        <f>CHOOSE(CONTROL!$C$42, 11.8275, 11.8275) * CHOOSE(CONTROL!$C$21, $C$9, 100%, $E$9)</f>
        <v>11.827500000000001</v>
      </c>
      <c r="L397" s="10">
        <f>CHOOSE(CONTROL!$C$42, 12.6691, 12.6691) * CHOOSE(CONTROL!$C$21, $C$9, 100%, $E$9)</f>
        <v>12.6691</v>
      </c>
      <c r="M397" s="10">
        <f>CHOOSE(CONTROL!$C$42, 11.871, 11.871) * CHOOSE(CONTROL!$C$21, $C$9, 100%, $E$9)</f>
        <v>11.871</v>
      </c>
      <c r="N397" s="10">
        <f>CHOOSE(CONTROL!$C$42, 11.8896, 11.8896) * CHOOSE(CONTROL!$C$21, $C$9, 100%, $E$9)</f>
        <v>11.8896</v>
      </c>
      <c r="O397" s="10">
        <f>CHOOSE(CONTROL!$C$42, 11.9587, 11.9587) * CHOOSE(CONTROL!$C$21, $C$9, 100%, $E$9)</f>
        <v>11.9587</v>
      </c>
      <c r="P397" s="10">
        <f>CHOOSE(CONTROL!$C$42, 11.9039, 11.9039) * CHOOSE(CONTROL!$C$21, $C$9, 100%, $E$9)</f>
        <v>11.9039</v>
      </c>
      <c r="Q397" s="10">
        <f>CHOOSE(CONTROL!$C$42, 12.554, 12.554) * CHOOSE(CONTROL!$C$21, $C$9, 100%, $E$9)</f>
        <v>12.554</v>
      </c>
      <c r="R397" s="10">
        <f>CHOOSE(CONTROL!$C$42, 13.1724, 13.1724) * CHOOSE(CONTROL!$C$21, $C$9, 100%, $E$9)</f>
        <v>13.1724</v>
      </c>
      <c r="S397" s="10">
        <f>CHOOSE(CONTROL!$C$42, 11.6549, 11.6549) * CHOOSE(CONTROL!$C$21, $C$9, 100%, $E$9)</f>
        <v>11.6549</v>
      </c>
      <c r="T3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38">
        <f>(1000*CHOOSE(CONTROL!$C$42, 695, 695)*CHOOSE(CONTROL!$C$42, 0.5599, 0.5599)*CHOOSE(CONTROL!$C$42, 31, 31))/1000000</f>
        <v>12.063045499999998</v>
      </c>
      <c r="V397" s="38">
        <f>(1000*CHOOSE(CONTROL!$C$42, 500, 500)*CHOOSE(CONTROL!$C$42, 0.275, 0.275)*CHOOSE(CONTROL!$C$42, 31, 31))/1000000</f>
        <v>4.2625000000000002</v>
      </c>
      <c r="W397" s="38">
        <f>(1000*CHOOSE(CONTROL!$C$42, 0.1146, 0.1146)*CHOOSE(CONTROL!$C$42, 121.5, 121.5)*CHOOSE(CONTROL!$C$42, 31, 31))/1000000</f>
        <v>0.43164089999999994</v>
      </c>
      <c r="X397" s="38">
        <f>(31*0.1790888*100000/1000000)+(31*0.2374*100000/1000000)</f>
        <v>1.2911152800000001</v>
      </c>
      <c r="Y397" s="38">
        <f>(1000*600*CHOOSE(CONTROL!$C$42, 1.0931, 1.0931)*CHOOSE(CONTROL!$C$42, 31, 31))/1000000</f>
        <v>20.331659999999999</v>
      </c>
      <c r="Z397" s="38"/>
      <c r="AA397" s="10"/>
      <c r="AB397" s="39"/>
      <c r="AC397" s="33">
        <f>(B397*122.58+C397*297.941+D397*89.177+E397*40.302+F397*40+G397*160+H397*0+I397*100+J397*300)/(122.58+297.941+89.177+40.302+0+40+160+100+300)</f>
        <v>12.019515490956522</v>
      </c>
      <c r="AD397" s="27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11.916553237410071</v>
      </c>
    </row>
    <row r="398" spans="1:30" ht="15.75" x14ac:dyDescent="0.25">
      <c r="A398" s="14">
        <v>53386</v>
      </c>
      <c r="B398" s="10">
        <f>CHOOSE(CONTROL!$C$42, 12.2335, 12.2335) * CHOOSE(CONTROL!$C$21, $C$9, 100%, $E$9)</f>
        <v>12.233499999999999</v>
      </c>
      <c r="C398" s="10">
        <f>CHOOSE(CONTROL!$C$42, 12.2386, 12.2386) * CHOOSE(CONTROL!$C$21, $C$9, 100%, $E$9)</f>
        <v>12.2386</v>
      </c>
      <c r="D398" s="10">
        <f>CHOOSE(CONTROL!$C$42, 12.2737, 12.2737) * CHOOSE(CONTROL!$C$21, $C$9, 100%, $E$9)</f>
        <v>12.2737</v>
      </c>
      <c r="E398" s="10">
        <f>CHOOSE(CONTROL!$C$42, 12.3075, 12.3075) * CHOOSE(CONTROL!$C$21, $C$9, 100%, $E$9)</f>
        <v>12.307499999999999</v>
      </c>
      <c r="F398" s="10">
        <f>CHOOSE(CONTROL!$C$42, 12.2143, 12.2143)*CHOOSE(CONTROL!$C$21, $C$9, 100%, $E$9)</f>
        <v>12.2143</v>
      </c>
      <c r="G398" s="10">
        <f>CHOOSE(CONTROL!$C$42, 12.233, 12.233)*CHOOSE(CONTROL!$C$21, $C$9, 100%, $E$9)</f>
        <v>12.233000000000001</v>
      </c>
      <c r="H398" s="10">
        <f>CHOOSE(CONTROL!$C$42, 12.2963, 12.2963) * CHOOSE(CONTROL!$C$21, $C$9, 100%, $E$9)</f>
        <v>12.2963</v>
      </c>
      <c r="I398" s="10">
        <f>CHOOSE(CONTROL!$C$42, 12.2408, 12.2408)* CHOOSE(CONTROL!$C$21, $C$9, 100%, $E$9)</f>
        <v>12.2408</v>
      </c>
      <c r="J398" s="10">
        <f>CHOOSE(CONTROL!$C$42, 12.2069, 12.2069)* CHOOSE(CONTROL!$C$21, $C$9, 100%, $E$9)</f>
        <v>12.206899999999999</v>
      </c>
      <c r="K398" s="10">
        <f>CHOOSE(CONTROL!$C$42, 12.0339, 12.0339) * CHOOSE(CONTROL!$C$21, $C$9, 100%, $E$9)</f>
        <v>12.033899999999999</v>
      </c>
      <c r="L398" s="10">
        <f>CHOOSE(CONTROL!$C$42, 12.8833, 12.8833) * CHOOSE(CONTROL!$C$21, $C$9, 100%, $E$9)</f>
        <v>12.8833</v>
      </c>
      <c r="M398" s="10">
        <f>CHOOSE(CONTROL!$C$42, 12.0819, 12.0819) * CHOOSE(CONTROL!$C$21, $C$9, 100%, $E$9)</f>
        <v>12.081899999999999</v>
      </c>
      <c r="N398" s="10">
        <f>CHOOSE(CONTROL!$C$42, 12.1004, 12.1004) * CHOOSE(CONTROL!$C$21, $C$9, 100%, $E$9)</f>
        <v>12.1004</v>
      </c>
      <c r="O398" s="10">
        <f>CHOOSE(CONTROL!$C$42, 12.1702, 12.1702) * CHOOSE(CONTROL!$C$21, $C$9, 100%, $E$9)</f>
        <v>12.170199999999999</v>
      </c>
      <c r="P398" s="10">
        <f>CHOOSE(CONTROL!$C$42, 12.1154, 12.1154) * CHOOSE(CONTROL!$C$21, $C$9, 100%, $E$9)</f>
        <v>12.115399999999999</v>
      </c>
      <c r="Q398" s="10">
        <f>CHOOSE(CONTROL!$C$42, 12.7655, 12.7655) * CHOOSE(CONTROL!$C$21, $C$9, 100%, $E$9)</f>
        <v>12.765499999999999</v>
      </c>
      <c r="R398" s="10">
        <f>CHOOSE(CONTROL!$C$42, 13.3844, 13.3844) * CHOOSE(CONTROL!$C$21, $C$9, 100%, $E$9)</f>
        <v>13.384399999999999</v>
      </c>
      <c r="S398" s="10">
        <f>CHOOSE(CONTROL!$C$42, 11.8624, 11.8624) * CHOOSE(CONTROL!$C$21, $C$9, 100%, $E$9)</f>
        <v>11.862399999999999</v>
      </c>
      <c r="T39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38">
        <f>(1000*CHOOSE(CONTROL!$C$42, 695, 695)*CHOOSE(CONTROL!$C$42, 0.5599, 0.5599)*CHOOSE(CONTROL!$C$42, 28, 28))/1000000</f>
        <v>10.895653999999999</v>
      </c>
      <c r="V398" s="38">
        <f>(1000*CHOOSE(CONTROL!$C$42, 500, 500)*CHOOSE(CONTROL!$C$42, 0.275, 0.275)*CHOOSE(CONTROL!$C$42, 28, 28))/1000000</f>
        <v>3.85</v>
      </c>
      <c r="W398" s="38">
        <f>(1000*CHOOSE(CONTROL!$C$42, 0.1146, 0.1146)*CHOOSE(CONTROL!$C$42, 121.5, 121.5)*CHOOSE(CONTROL!$C$42, 28, 28))/1000000</f>
        <v>0.38986920000000003</v>
      </c>
      <c r="X398" s="38">
        <f>(28*0.1790888*100000/1000000)+(28*0.2374*100000/1000000)</f>
        <v>1.16616864</v>
      </c>
      <c r="Y398" s="38">
        <f>(1000*600*CHOOSE(CONTROL!$C$42, 1.0931, 1.0931)*CHOOSE(CONTROL!$C$42, 28, 28))/1000000</f>
        <v>18.364080000000001</v>
      </c>
      <c r="Z398" s="38"/>
      <c r="AA398" s="10"/>
      <c r="AB398" s="39"/>
      <c r="AC398" s="33">
        <f>(B398*122.58+C398*297.941+D398*89.177+E398*40.302+F398*40+G398*160+H398*0+I398*100+J398*300)/(122.58+297.941+89.177+40.302+0+40+160+100+300)</f>
        <v>12.233490228260868</v>
      </c>
      <c r="AD398" s="27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12.127805755395684</v>
      </c>
    </row>
    <row r="399" spans="1:30" ht="15.75" x14ac:dyDescent="0.25">
      <c r="A399" s="14">
        <v>53417</v>
      </c>
      <c r="B399" s="10">
        <f>CHOOSE(CONTROL!$C$42, 11.8858, 11.8858) * CHOOSE(CONTROL!$C$21, $C$9, 100%, $E$9)</f>
        <v>11.8858</v>
      </c>
      <c r="C399" s="10">
        <f>CHOOSE(CONTROL!$C$42, 11.8909, 11.8909) * CHOOSE(CONTROL!$C$21, $C$9, 100%, $E$9)</f>
        <v>11.8909</v>
      </c>
      <c r="D399" s="10">
        <f>CHOOSE(CONTROL!$C$42, 11.9259, 11.9259) * CHOOSE(CONTROL!$C$21, $C$9, 100%, $E$9)</f>
        <v>11.9259</v>
      </c>
      <c r="E399" s="10">
        <f>CHOOSE(CONTROL!$C$42, 11.9597, 11.9597) * CHOOSE(CONTROL!$C$21, $C$9, 100%, $E$9)</f>
        <v>11.9597</v>
      </c>
      <c r="F399" s="10">
        <f>CHOOSE(CONTROL!$C$42, 11.8651, 11.8651)*CHOOSE(CONTROL!$C$21, $C$9, 100%, $E$9)</f>
        <v>11.8651</v>
      </c>
      <c r="G399" s="10">
        <f>CHOOSE(CONTROL!$C$42, 11.8835, 11.8835)*CHOOSE(CONTROL!$C$21, $C$9, 100%, $E$9)</f>
        <v>11.8835</v>
      </c>
      <c r="H399" s="10">
        <f>CHOOSE(CONTROL!$C$42, 11.9486, 11.9486) * CHOOSE(CONTROL!$C$21, $C$9, 100%, $E$9)</f>
        <v>11.948600000000001</v>
      </c>
      <c r="I399" s="10">
        <f>CHOOSE(CONTROL!$C$42, 11.893, 11.893)* CHOOSE(CONTROL!$C$21, $C$9, 100%, $E$9)</f>
        <v>11.893000000000001</v>
      </c>
      <c r="J399" s="10">
        <f>CHOOSE(CONTROL!$C$42, 11.8577, 11.8577)* CHOOSE(CONTROL!$C$21, $C$9, 100%, $E$9)</f>
        <v>11.857699999999999</v>
      </c>
      <c r="K399" s="10">
        <f>CHOOSE(CONTROL!$C$42, 11.6939, 11.6939) * CHOOSE(CONTROL!$C$21, $C$9, 100%, $E$9)</f>
        <v>11.693899999999999</v>
      </c>
      <c r="L399" s="10">
        <f>CHOOSE(CONTROL!$C$42, 12.5356, 12.5356) * CHOOSE(CONTROL!$C$21, $C$9, 100%, $E$9)</f>
        <v>12.535600000000001</v>
      </c>
      <c r="M399" s="10">
        <f>CHOOSE(CONTROL!$C$42, 11.7373, 11.7373) * CHOOSE(CONTROL!$C$21, $C$9, 100%, $E$9)</f>
        <v>11.737299999999999</v>
      </c>
      <c r="N399" s="10">
        <f>CHOOSE(CONTROL!$C$42, 11.7554, 11.7554) * CHOOSE(CONTROL!$C$21, $C$9, 100%, $E$9)</f>
        <v>11.7554</v>
      </c>
      <c r="O399" s="10">
        <f>CHOOSE(CONTROL!$C$42, 11.8269, 11.8269) * CHOOSE(CONTROL!$C$21, $C$9, 100%, $E$9)</f>
        <v>11.8269</v>
      </c>
      <c r="P399" s="10">
        <f>CHOOSE(CONTROL!$C$42, 11.7721, 11.7721) * CHOOSE(CONTROL!$C$21, $C$9, 100%, $E$9)</f>
        <v>11.7721</v>
      </c>
      <c r="Q399" s="10">
        <f>CHOOSE(CONTROL!$C$42, 12.4222, 12.4222) * CHOOSE(CONTROL!$C$21, $C$9, 100%, $E$9)</f>
        <v>12.4222</v>
      </c>
      <c r="R399" s="10">
        <f>CHOOSE(CONTROL!$C$42, 13.0403, 13.0403) * CHOOSE(CONTROL!$C$21, $C$9, 100%, $E$9)</f>
        <v>13.0403</v>
      </c>
      <c r="S399" s="10">
        <f>CHOOSE(CONTROL!$C$42, 11.5256, 11.5256) * CHOOSE(CONTROL!$C$21, $C$9, 100%, $E$9)</f>
        <v>11.525600000000001</v>
      </c>
      <c r="T3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38">
        <f>(1000*CHOOSE(CONTROL!$C$42, 695, 695)*CHOOSE(CONTROL!$C$42, 0.5599, 0.5599)*CHOOSE(CONTROL!$C$42, 31, 31))/1000000</f>
        <v>12.063045499999998</v>
      </c>
      <c r="V399" s="38">
        <f>(1000*CHOOSE(CONTROL!$C$42, 500, 500)*CHOOSE(CONTROL!$C$42, 0.275, 0.275)*CHOOSE(CONTROL!$C$42, 31, 31))/1000000</f>
        <v>4.2625000000000002</v>
      </c>
      <c r="W399" s="38">
        <f>(1000*CHOOSE(CONTROL!$C$42, 0.1146, 0.1146)*CHOOSE(CONTROL!$C$42, 121.5, 121.5)*CHOOSE(CONTROL!$C$42, 31, 31))/1000000</f>
        <v>0.43164089999999994</v>
      </c>
      <c r="X399" s="38">
        <f>(31*0.1790888*100000/1000000)+(31*0.2374*100000/1000000)</f>
        <v>1.2911152800000001</v>
      </c>
      <c r="Y399" s="38">
        <f>(1000*600*CHOOSE(CONTROL!$C$42, 1.0931, 1.0931)*CHOOSE(CONTROL!$C$42, 31, 31))/1000000</f>
        <v>20.331659999999999</v>
      </c>
      <c r="Z399" s="38"/>
      <c r="AA399" s="10"/>
      <c r="AB399" s="39"/>
      <c r="AC399" s="33">
        <f>(B399*122.58+C399*297.941+D399*89.177+E399*40.302+F399*40+G399*160+H399*0+I399*100+J399*300)/(122.58+297.941+89.177+40.302+0+40+160+100+300)</f>
        <v>11.88507636052174</v>
      </c>
      <c r="AD399" s="27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11.783958992805754</v>
      </c>
    </row>
    <row r="400" spans="1:30" ht="15.75" x14ac:dyDescent="0.25">
      <c r="A400" s="14">
        <v>53447</v>
      </c>
      <c r="B400" s="10">
        <f>CHOOSE(CONTROL!$C$42, 11.8509, 11.8509) * CHOOSE(CONTROL!$C$21, $C$9, 100%, $E$9)</f>
        <v>11.850899999999999</v>
      </c>
      <c r="C400" s="10">
        <f>CHOOSE(CONTROL!$C$42, 11.8554, 11.8554) * CHOOSE(CONTROL!$C$21, $C$9, 100%, $E$9)</f>
        <v>11.855399999999999</v>
      </c>
      <c r="D400" s="10">
        <f>CHOOSE(CONTROL!$C$42, 12.0336, 12.0336) * CHOOSE(CONTROL!$C$21, $C$9, 100%, $E$9)</f>
        <v>12.0336</v>
      </c>
      <c r="E400" s="10">
        <f>CHOOSE(CONTROL!$C$42, 12.0655, 12.0655) * CHOOSE(CONTROL!$C$21, $C$9, 100%, $E$9)</f>
        <v>12.0655</v>
      </c>
      <c r="F400" s="10">
        <f>CHOOSE(CONTROL!$C$42, 11.7943, 11.7943)*CHOOSE(CONTROL!$C$21, $C$9, 100%, $E$9)</f>
        <v>11.7943</v>
      </c>
      <c r="G400" s="10">
        <f>CHOOSE(CONTROL!$C$42, 11.8109, 11.8109)*CHOOSE(CONTROL!$C$21, $C$9, 100%, $E$9)</f>
        <v>11.8109</v>
      </c>
      <c r="H400" s="10">
        <f>CHOOSE(CONTROL!$C$42, 12.0549, 12.0549) * CHOOSE(CONTROL!$C$21, $C$9, 100%, $E$9)</f>
        <v>12.0549</v>
      </c>
      <c r="I400" s="10">
        <f>CHOOSE(CONTROL!$C$42, 11.8269, 11.8269)* CHOOSE(CONTROL!$C$21, $C$9, 100%, $E$9)</f>
        <v>11.8269</v>
      </c>
      <c r="J400" s="10">
        <f>CHOOSE(CONTROL!$C$42, 11.7869, 11.7869)* CHOOSE(CONTROL!$C$21, $C$9, 100%, $E$9)</f>
        <v>11.786899999999999</v>
      </c>
      <c r="K400" s="10">
        <f>CHOOSE(CONTROL!$C$42, 11.6152, 11.6152) * CHOOSE(CONTROL!$C$21, $C$9, 100%, $E$9)</f>
        <v>11.6152</v>
      </c>
      <c r="L400" s="10">
        <f>CHOOSE(CONTROL!$C$42, 12.6419, 12.6419) * CHOOSE(CONTROL!$C$21, $C$9, 100%, $E$9)</f>
        <v>12.6419</v>
      </c>
      <c r="M400" s="10">
        <f>CHOOSE(CONTROL!$C$42, 11.6674, 11.6674) * CHOOSE(CONTROL!$C$21, $C$9, 100%, $E$9)</f>
        <v>11.667400000000001</v>
      </c>
      <c r="N400" s="10">
        <f>CHOOSE(CONTROL!$C$42, 11.6838, 11.6838) * CHOOSE(CONTROL!$C$21, $C$9, 100%, $E$9)</f>
        <v>11.6838</v>
      </c>
      <c r="O400" s="10">
        <f>CHOOSE(CONTROL!$C$42, 11.9319, 11.9319) * CHOOSE(CONTROL!$C$21, $C$9, 100%, $E$9)</f>
        <v>11.931900000000001</v>
      </c>
      <c r="P400" s="10">
        <f>CHOOSE(CONTROL!$C$42, 11.7069, 11.7069) * CHOOSE(CONTROL!$C$21, $C$9, 100%, $E$9)</f>
        <v>11.706899999999999</v>
      </c>
      <c r="Q400" s="10">
        <f>CHOOSE(CONTROL!$C$42, 12.5272, 12.5272) * CHOOSE(CONTROL!$C$21, $C$9, 100%, $E$9)</f>
        <v>12.527200000000001</v>
      </c>
      <c r="R400" s="10">
        <f>CHOOSE(CONTROL!$C$42, 13.1455, 13.1455) * CHOOSE(CONTROL!$C$21, $C$9, 100%, $E$9)</f>
        <v>13.1455</v>
      </c>
      <c r="S400" s="10">
        <f>CHOOSE(CONTROL!$C$42, 11.4911, 11.4911) * CHOOSE(CONTROL!$C$21, $C$9, 100%, $E$9)</f>
        <v>11.491099999999999</v>
      </c>
      <c r="T4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38">
        <f>(1000*CHOOSE(CONTROL!$C$42, 695, 695)*CHOOSE(CONTROL!$C$42, 0.5599, 0.5599)*CHOOSE(CONTROL!$C$42, 30, 30))/1000000</f>
        <v>11.673914999999997</v>
      </c>
      <c r="V400" s="38">
        <f>(1000*CHOOSE(CONTROL!$C$42, 500, 500)*CHOOSE(CONTROL!$C$42, 0.275, 0.275)*CHOOSE(CONTROL!$C$42, 30, 30))/1000000</f>
        <v>4.125</v>
      </c>
      <c r="W400" s="38">
        <f>(1000*CHOOSE(CONTROL!$C$42, 0.1146, 0.1146)*CHOOSE(CONTROL!$C$42, 121.5, 121.5)*CHOOSE(CONTROL!$C$42, 30, 30))/1000000</f>
        <v>0.417717</v>
      </c>
      <c r="X400" s="38">
        <f>(30*0.1790888*245000/1000000)+(30*0.2374*100000/1000000)</f>
        <v>2.0285026799999999</v>
      </c>
      <c r="Y400" s="38">
        <f>(1000*600*CHOOSE(CONTROL!$C$42, 1.0931, 1.0931)*CHOOSE(CONTROL!$C$42, 30, 30))/1000000</f>
        <v>19.675799999999999</v>
      </c>
      <c r="Z400" s="38"/>
      <c r="AA400" s="10"/>
      <c r="AB400" s="39"/>
      <c r="AC400" s="33">
        <f>(B400*141.293+C400*267.993+D400*115.016+E400*89.698+F400*40+G400*185+H400*0+I400*100+J400*300)/(141.293+267.993+115.016+89.698+0+40+185+100+300)</f>
        <v>11.859136144067797</v>
      </c>
      <c r="AD400" s="27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11.751071223021583</v>
      </c>
    </row>
    <row r="401" spans="1:30" ht="15.75" x14ac:dyDescent="0.25">
      <c r="A401" s="14">
        <v>53478</v>
      </c>
      <c r="B401" s="10">
        <f>CHOOSE(CONTROL!$C$42, 11.9574, 11.9574) * CHOOSE(CONTROL!$C$21, $C$9, 100%, $E$9)</f>
        <v>11.9574</v>
      </c>
      <c r="C401" s="10">
        <f>CHOOSE(CONTROL!$C$42, 11.9654, 11.9654) * CHOOSE(CONTROL!$C$21, $C$9, 100%, $E$9)</f>
        <v>11.965400000000001</v>
      </c>
      <c r="D401" s="10">
        <f>CHOOSE(CONTROL!$C$42, 12.1405, 12.1405) * CHOOSE(CONTROL!$C$21, $C$9, 100%, $E$9)</f>
        <v>12.140499999999999</v>
      </c>
      <c r="E401" s="10">
        <f>CHOOSE(CONTROL!$C$42, 12.1717, 12.1717) * CHOOSE(CONTROL!$C$21, $C$9, 100%, $E$9)</f>
        <v>12.1717</v>
      </c>
      <c r="F401" s="10">
        <f>CHOOSE(CONTROL!$C$42, 11.8991, 11.8991)*CHOOSE(CONTROL!$C$21, $C$9, 100%, $E$9)</f>
        <v>11.899100000000001</v>
      </c>
      <c r="G401" s="10">
        <f>CHOOSE(CONTROL!$C$42, 11.916, 11.916)*CHOOSE(CONTROL!$C$21, $C$9, 100%, $E$9)</f>
        <v>11.916</v>
      </c>
      <c r="H401" s="10">
        <f>CHOOSE(CONTROL!$C$42, 12.16, 12.16) * CHOOSE(CONTROL!$C$21, $C$9, 100%, $E$9)</f>
        <v>12.16</v>
      </c>
      <c r="I401" s="10">
        <f>CHOOSE(CONTROL!$C$42, 11.932, 11.932)* CHOOSE(CONTROL!$C$21, $C$9, 100%, $E$9)</f>
        <v>11.932</v>
      </c>
      <c r="J401" s="10">
        <f>CHOOSE(CONTROL!$C$42, 11.8917, 11.8917)* CHOOSE(CONTROL!$C$21, $C$9, 100%, $E$9)</f>
        <v>11.8917</v>
      </c>
      <c r="K401" s="10">
        <f>CHOOSE(CONTROL!$C$42, 11.7162, 11.7162) * CHOOSE(CONTROL!$C$21, $C$9, 100%, $E$9)</f>
        <v>11.716200000000001</v>
      </c>
      <c r="L401" s="10">
        <f>CHOOSE(CONTROL!$C$42, 12.747, 12.747) * CHOOSE(CONTROL!$C$21, $C$9, 100%, $E$9)</f>
        <v>12.747</v>
      </c>
      <c r="M401" s="10">
        <f>CHOOSE(CONTROL!$C$42, 11.7708, 11.7708) * CHOOSE(CONTROL!$C$21, $C$9, 100%, $E$9)</f>
        <v>11.770799999999999</v>
      </c>
      <c r="N401" s="10">
        <f>CHOOSE(CONTROL!$C$42, 11.7874, 11.7874) * CHOOSE(CONTROL!$C$21, $C$9, 100%, $E$9)</f>
        <v>11.7874</v>
      </c>
      <c r="O401" s="10">
        <f>CHOOSE(CONTROL!$C$42, 12.0357, 12.0357) * CHOOSE(CONTROL!$C$21, $C$9, 100%, $E$9)</f>
        <v>12.0357</v>
      </c>
      <c r="P401" s="10">
        <f>CHOOSE(CONTROL!$C$42, 11.8107, 11.8107) * CHOOSE(CONTROL!$C$21, $C$9, 100%, $E$9)</f>
        <v>11.810700000000001</v>
      </c>
      <c r="Q401" s="10">
        <f>CHOOSE(CONTROL!$C$42, 12.631, 12.631) * CHOOSE(CONTROL!$C$21, $C$9, 100%, $E$9)</f>
        <v>12.631</v>
      </c>
      <c r="R401" s="10">
        <f>CHOOSE(CONTROL!$C$42, 13.2496, 13.2496) * CHOOSE(CONTROL!$C$21, $C$9, 100%, $E$9)</f>
        <v>13.249599999999999</v>
      </c>
      <c r="S401" s="10">
        <f>CHOOSE(CONTROL!$C$42, 11.5929, 11.5929) * CHOOSE(CONTROL!$C$21, $C$9, 100%, $E$9)</f>
        <v>11.5929</v>
      </c>
      <c r="T4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38">
        <f>(1000*CHOOSE(CONTROL!$C$42, 695, 695)*CHOOSE(CONTROL!$C$42, 0.5599, 0.5599)*CHOOSE(CONTROL!$C$42, 31, 31))/1000000</f>
        <v>12.063045499999998</v>
      </c>
      <c r="V401" s="38">
        <f>(1000*CHOOSE(CONTROL!$C$42, 500, 500)*CHOOSE(CONTROL!$C$42, 0.275, 0.275)*CHOOSE(CONTROL!$C$42, 31, 31))/1000000</f>
        <v>4.2625000000000002</v>
      </c>
      <c r="W401" s="38">
        <f>(1000*CHOOSE(CONTROL!$C$42, 0.1146, 0.1146)*CHOOSE(CONTROL!$C$42, 121.5, 121.5)*CHOOSE(CONTROL!$C$42, 31, 31))/1000000</f>
        <v>0.43164089999999994</v>
      </c>
      <c r="X401" s="38">
        <f>(31*0.1790888*245000/1000000)+(31*0.2374*100000/1000000)</f>
        <v>2.0961194359999999</v>
      </c>
      <c r="Y401" s="38">
        <f>(1000*600*CHOOSE(CONTROL!$C$42, 1.0931, 1.0931)*CHOOSE(CONTROL!$C$42, 31, 31))/1000000</f>
        <v>20.331659999999999</v>
      </c>
      <c r="Z401" s="38"/>
      <c r="AA401" s="10"/>
      <c r="AB401" s="39"/>
      <c r="AC401" s="33">
        <f>(B401*194.205+C401*267.466+D401*133.845+E401*53.484+F401*40+G401*185+H401*0+I401*100+J401*300)/(194.205+267.466+133.845+53.484+0+40+185+100+300)</f>
        <v>11.962005469937207</v>
      </c>
      <c r="AD401" s="27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11.854687050359711</v>
      </c>
    </row>
    <row r="402" spans="1:30" ht="15.75" x14ac:dyDescent="0.25">
      <c r="A402" s="14">
        <v>53508</v>
      </c>
      <c r="B402" s="10">
        <f>CHOOSE(CONTROL!$C$42, 12.297, 12.297) * CHOOSE(CONTROL!$C$21, $C$9, 100%, $E$9)</f>
        <v>12.297000000000001</v>
      </c>
      <c r="C402" s="10">
        <f>CHOOSE(CONTROL!$C$42, 12.305, 12.305) * CHOOSE(CONTROL!$C$21, $C$9, 100%, $E$9)</f>
        <v>12.305</v>
      </c>
      <c r="D402" s="10">
        <f>CHOOSE(CONTROL!$C$42, 12.4801, 12.4801) * CHOOSE(CONTROL!$C$21, $C$9, 100%, $E$9)</f>
        <v>12.4801</v>
      </c>
      <c r="E402" s="10">
        <f>CHOOSE(CONTROL!$C$42, 12.5113, 12.5113) * CHOOSE(CONTROL!$C$21, $C$9, 100%, $E$9)</f>
        <v>12.5113</v>
      </c>
      <c r="F402" s="10">
        <f>CHOOSE(CONTROL!$C$42, 12.2388, 12.2388)*CHOOSE(CONTROL!$C$21, $C$9, 100%, $E$9)</f>
        <v>12.238799999999999</v>
      </c>
      <c r="G402" s="10">
        <f>CHOOSE(CONTROL!$C$42, 12.2558, 12.2558)*CHOOSE(CONTROL!$C$21, $C$9, 100%, $E$9)</f>
        <v>12.255800000000001</v>
      </c>
      <c r="H402" s="10">
        <f>CHOOSE(CONTROL!$C$42, 12.4996, 12.4996) * CHOOSE(CONTROL!$C$21, $C$9, 100%, $E$9)</f>
        <v>12.499599999999999</v>
      </c>
      <c r="I402" s="10">
        <f>CHOOSE(CONTROL!$C$42, 12.2716, 12.2716)* CHOOSE(CONTROL!$C$21, $C$9, 100%, $E$9)</f>
        <v>12.271599999999999</v>
      </c>
      <c r="J402" s="10">
        <f>CHOOSE(CONTROL!$C$42, 12.2314, 12.2314)* CHOOSE(CONTROL!$C$21, $C$9, 100%, $E$9)</f>
        <v>12.231400000000001</v>
      </c>
      <c r="K402" s="10">
        <f>CHOOSE(CONTROL!$C$42, 12.0456, 12.0456) * CHOOSE(CONTROL!$C$21, $C$9, 100%, $E$9)</f>
        <v>12.0456</v>
      </c>
      <c r="L402" s="10">
        <f>CHOOSE(CONTROL!$C$42, 13.0866, 13.0866) * CHOOSE(CONTROL!$C$21, $C$9, 100%, $E$9)</f>
        <v>13.086600000000001</v>
      </c>
      <c r="M402" s="10">
        <f>CHOOSE(CONTROL!$C$42, 12.1061, 12.1061) * CHOOSE(CONTROL!$C$21, $C$9, 100%, $E$9)</f>
        <v>12.1061</v>
      </c>
      <c r="N402" s="10">
        <f>CHOOSE(CONTROL!$C$42, 12.1229, 12.1229) * CHOOSE(CONTROL!$C$21, $C$9, 100%, $E$9)</f>
        <v>12.1229</v>
      </c>
      <c r="O402" s="10">
        <f>CHOOSE(CONTROL!$C$42, 12.3709, 12.3709) * CHOOSE(CONTROL!$C$21, $C$9, 100%, $E$9)</f>
        <v>12.370900000000001</v>
      </c>
      <c r="P402" s="10">
        <f>CHOOSE(CONTROL!$C$42, 12.1458, 12.1458) * CHOOSE(CONTROL!$C$21, $C$9, 100%, $E$9)</f>
        <v>12.145799999999999</v>
      </c>
      <c r="Q402" s="10">
        <f>CHOOSE(CONTROL!$C$42, 12.9662, 12.9662) * CHOOSE(CONTROL!$C$21, $C$9, 100%, $E$9)</f>
        <v>12.966200000000001</v>
      </c>
      <c r="R402" s="10">
        <f>CHOOSE(CONTROL!$C$42, 13.5856, 13.5856) * CHOOSE(CONTROL!$C$21, $C$9, 100%, $E$9)</f>
        <v>13.585599999999999</v>
      </c>
      <c r="S402" s="10">
        <f>CHOOSE(CONTROL!$C$42, 11.9217, 11.9217) * CHOOSE(CONTROL!$C$21, $C$9, 100%, $E$9)</f>
        <v>11.9217</v>
      </c>
      <c r="T4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38">
        <f>(1000*CHOOSE(CONTROL!$C$42, 695, 695)*CHOOSE(CONTROL!$C$42, 0.5599, 0.5599)*CHOOSE(CONTROL!$C$42, 30, 30))/1000000</f>
        <v>11.673914999999997</v>
      </c>
      <c r="V402" s="38">
        <f>(1000*CHOOSE(CONTROL!$C$42, 500, 500)*CHOOSE(CONTROL!$C$42, 0.275, 0.275)*CHOOSE(CONTROL!$C$42, 30, 30))/1000000</f>
        <v>4.125</v>
      </c>
      <c r="W402" s="38">
        <f>(1000*CHOOSE(CONTROL!$C$42, 0.1146, 0.1146)*CHOOSE(CONTROL!$C$42, 121.5, 121.5)*CHOOSE(CONTROL!$C$42, 30, 30))/1000000</f>
        <v>0.417717</v>
      </c>
      <c r="X402" s="38">
        <f>(30*0.1790888*245000/1000000)+(30*0.2374*100000/1000000)</f>
        <v>2.0285026799999999</v>
      </c>
      <c r="Y402" s="38">
        <f>(1000*600*CHOOSE(CONTROL!$C$42, 1.0931, 1.0931)*CHOOSE(CONTROL!$C$42, 30, 30))/1000000</f>
        <v>19.675799999999999</v>
      </c>
      <c r="Z402" s="38"/>
      <c r="AA402" s="10"/>
      <c r="AB402" s="39"/>
      <c r="AC402" s="33">
        <f>(B402*194.205+C402*267.466+D402*133.845+E402*53.484+F402*40+G402*185+H402*0+I402*100+J402*300)/(194.205+267.466+133.845+53.484+0+40+185+100+300)</f>
        <v>12.301661199921506</v>
      </c>
      <c r="AD402" s="27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12.189976258992806</v>
      </c>
    </row>
    <row r="403" spans="1:30" ht="15.75" x14ac:dyDescent="0.25">
      <c r="A403" s="14">
        <v>53539</v>
      </c>
      <c r="B403" s="10">
        <f>CHOOSE(CONTROL!$C$42, 12.0608, 12.0608) * CHOOSE(CONTROL!$C$21, $C$9, 100%, $E$9)</f>
        <v>12.0608</v>
      </c>
      <c r="C403" s="10">
        <f>CHOOSE(CONTROL!$C$42, 12.0688, 12.0688) * CHOOSE(CONTROL!$C$21, $C$9, 100%, $E$9)</f>
        <v>12.0688</v>
      </c>
      <c r="D403" s="10">
        <f>CHOOSE(CONTROL!$C$42, 12.2439, 12.2439) * CHOOSE(CONTROL!$C$21, $C$9, 100%, $E$9)</f>
        <v>12.2439</v>
      </c>
      <c r="E403" s="10">
        <f>CHOOSE(CONTROL!$C$42, 12.2751, 12.2751) * CHOOSE(CONTROL!$C$21, $C$9, 100%, $E$9)</f>
        <v>12.2751</v>
      </c>
      <c r="F403" s="10">
        <f>CHOOSE(CONTROL!$C$42, 12.003, 12.003)*CHOOSE(CONTROL!$C$21, $C$9, 100%, $E$9)</f>
        <v>12.003</v>
      </c>
      <c r="G403" s="10">
        <f>CHOOSE(CONTROL!$C$42, 12.02, 12.02)*CHOOSE(CONTROL!$C$21, $C$9, 100%, $E$9)</f>
        <v>12.02</v>
      </c>
      <c r="H403" s="10">
        <f>CHOOSE(CONTROL!$C$42, 12.2634, 12.2634) * CHOOSE(CONTROL!$C$21, $C$9, 100%, $E$9)</f>
        <v>12.263400000000001</v>
      </c>
      <c r="I403" s="10">
        <f>CHOOSE(CONTROL!$C$42, 12.0354, 12.0354)* CHOOSE(CONTROL!$C$21, $C$9, 100%, $E$9)</f>
        <v>12.035399999999999</v>
      </c>
      <c r="J403" s="10">
        <f>CHOOSE(CONTROL!$C$42, 11.9956, 11.9956)* CHOOSE(CONTROL!$C$21, $C$9, 100%, $E$9)</f>
        <v>11.9956</v>
      </c>
      <c r="K403" s="10">
        <f>CHOOSE(CONTROL!$C$42, 11.8175, 11.8175) * CHOOSE(CONTROL!$C$21, $C$9, 100%, $E$9)</f>
        <v>11.817500000000001</v>
      </c>
      <c r="L403" s="10">
        <f>CHOOSE(CONTROL!$C$42, 12.8504, 12.8504) * CHOOSE(CONTROL!$C$21, $C$9, 100%, $E$9)</f>
        <v>12.8504</v>
      </c>
      <c r="M403" s="10">
        <f>CHOOSE(CONTROL!$C$42, 11.8734, 11.8734) * CHOOSE(CONTROL!$C$21, $C$9, 100%, $E$9)</f>
        <v>11.8734</v>
      </c>
      <c r="N403" s="10">
        <f>CHOOSE(CONTROL!$C$42, 11.8902, 11.8902) * CHOOSE(CONTROL!$C$21, $C$9, 100%, $E$9)</f>
        <v>11.8902</v>
      </c>
      <c r="O403" s="10">
        <f>CHOOSE(CONTROL!$C$42, 12.1377, 12.1377) * CHOOSE(CONTROL!$C$21, $C$9, 100%, $E$9)</f>
        <v>12.137700000000001</v>
      </c>
      <c r="P403" s="10">
        <f>CHOOSE(CONTROL!$C$42, 11.9127, 11.9127) * CHOOSE(CONTROL!$C$21, $C$9, 100%, $E$9)</f>
        <v>11.912699999999999</v>
      </c>
      <c r="Q403" s="10">
        <f>CHOOSE(CONTROL!$C$42, 12.733, 12.733) * CHOOSE(CONTROL!$C$21, $C$9, 100%, $E$9)</f>
        <v>12.733000000000001</v>
      </c>
      <c r="R403" s="10">
        <f>CHOOSE(CONTROL!$C$42, 13.3519, 13.3519) * CHOOSE(CONTROL!$C$21, $C$9, 100%, $E$9)</f>
        <v>13.351900000000001</v>
      </c>
      <c r="S403" s="10">
        <f>CHOOSE(CONTROL!$C$42, 11.693, 11.693) * CHOOSE(CONTROL!$C$21, $C$9, 100%, $E$9)</f>
        <v>11.693</v>
      </c>
      <c r="T4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38">
        <f>(1000*CHOOSE(CONTROL!$C$42, 695, 695)*CHOOSE(CONTROL!$C$42, 0.5599, 0.5599)*CHOOSE(CONTROL!$C$42, 31, 31))/1000000</f>
        <v>12.063045499999998</v>
      </c>
      <c r="V403" s="38">
        <f>(1000*CHOOSE(CONTROL!$C$42, 500, 500)*CHOOSE(CONTROL!$C$42, 0.275, 0.275)*CHOOSE(CONTROL!$C$42, 31, 31))/1000000</f>
        <v>4.2625000000000002</v>
      </c>
      <c r="W403" s="38">
        <f>(1000*CHOOSE(CONTROL!$C$42, 0.1146, 0.1146)*CHOOSE(CONTROL!$C$42, 121.5, 121.5)*CHOOSE(CONTROL!$C$42, 31, 31))/1000000</f>
        <v>0.43164089999999994</v>
      </c>
      <c r="X403" s="38">
        <f>(31*0.1790888*245000/1000000)+(31*0.2374*100000/1000000)</f>
        <v>2.0961194359999999</v>
      </c>
      <c r="Y403" s="38">
        <f>(1000*600*CHOOSE(CONTROL!$C$42, 1.0931, 1.0931)*CHOOSE(CONTROL!$C$42, 31, 31))/1000000</f>
        <v>20.331659999999999</v>
      </c>
      <c r="Z403" s="38"/>
      <c r="AA403" s="10"/>
      <c r="AB403" s="39"/>
      <c r="AC403" s="33">
        <f>(B403*194.205+C403*267.466+D403*133.845+E403*53.484+F403*40+G403*185+H403*0+I403*100+J403*300)/(194.205+267.466+133.845+53.484+0+40+185+100+300)</f>
        <v>12.065626035086343</v>
      </c>
      <c r="AD403" s="27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11.957078417266187</v>
      </c>
    </row>
    <row r="404" spans="1:30" ht="15.75" x14ac:dyDescent="0.25">
      <c r="A404" s="14">
        <v>53570</v>
      </c>
      <c r="B404" s="10">
        <f>CHOOSE(CONTROL!$C$42, 11.4643, 11.4643) * CHOOSE(CONTROL!$C$21, $C$9, 100%, $E$9)</f>
        <v>11.4643</v>
      </c>
      <c r="C404" s="10">
        <f>CHOOSE(CONTROL!$C$42, 11.4723, 11.4723) * CHOOSE(CONTROL!$C$21, $C$9, 100%, $E$9)</f>
        <v>11.472300000000001</v>
      </c>
      <c r="D404" s="10">
        <f>CHOOSE(CONTROL!$C$42, 11.6475, 11.6475) * CHOOSE(CONTROL!$C$21, $C$9, 100%, $E$9)</f>
        <v>11.647500000000001</v>
      </c>
      <c r="E404" s="10">
        <f>CHOOSE(CONTROL!$C$42, 11.6787, 11.6787) * CHOOSE(CONTROL!$C$21, $C$9, 100%, $E$9)</f>
        <v>11.678699999999999</v>
      </c>
      <c r="F404" s="10">
        <f>CHOOSE(CONTROL!$C$42, 11.4065, 11.4065)*CHOOSE(CONTROL!$C$21, $C$9, 100%, $E$9)</f>
        <v>11.406499999999999</v>
      </c>
      <c r="G404" s="10">
        <f>CHOOSE(CONTROL!$C$42, 11.4235, 11.4235)*CHOOSE(CONTROL!$C$21, $C$9, 100%, $E$9)</f>
        <v>11.423500000000001</v>
      </c>
      <c r="H404" s="10">
        <f>CHOOSE(CONTROL!$C$42, 11.667, 11.667) * CHOOSE(CONTROL!$C$21, $C$9, 100%, $E$9)</f>
        <v>11.667</v>
      </c>
      <c r="I404" s="10">
        <f>CHOOSE(CONTROL!$C$42, 11.439, 11.439)* CHOOSE(CONTROL!$C$21, $C$9, 100%, $E$9)</f>
        <v>11.439</v>
      </c>
      <c r="J404" s="10">
        <f>CHOOSE(CONTROL!$C$42, 11.3991, 11.3991)* CHOOSE(CONTROL!$C$21, $C$9, 100%, $E$9)</f>
        <v>11.399100000000001</v>
      </c>
      <c r="K404" s="10">
        <f>CHOOSE(CONTROL!$C$42, 11.2395, 11.2395) * CHOOSE(CONTROL!$C$21, $C$9, 100%, $E$9)</f>
        <v>11.2395</v>
      </c>
      <c r="L404" s="10">
        <f>CHOOSE(CONTROL!$C$42, 12.254, 12.254) * CHOOSE(CONTROL!$C$21, $C$9, 100%, $E$9)</f>
        <v>12.254</v>
      </c>
      <c r="M404" s="10">
        <f>CHOOSE(CONTROL!$C$42, 11.2845, 11.2845) * CHOOSE(CONTROL!$C$21, $C$9, 100%, $E$9)</f>
        <v>11.2845</v>
      </c>
      <c r="N404" s="10">
        <f>CHOOSE(CONTROL!$C$42, 11.3013, 11.3013) * CHOOSE(CONTROL!$C$21, $C$9, 100%, $E$9)</f>
        <v>11.301299999999999</v>
      </c>
      <c r="O404" s="10">
        <f>CHOOSE(CONTROL!$C$42, 11.549, 11.549) * CHOOSE(CONTROL!$C$21, $C$9, 100%, $E$9)</f>
        <v>11.548999999999999</v>
      </c>
      <c r="P404" s="10">
        <f>CHOOSE(CONTROL!$C$42, 11.324, 11.324) * CHOOSE(CONTROL!$C$21, $C$9, 100%, $E$9)</f>
        <v>11.324</v>
      </c>
      <c r="Q404" s="10">
        <f>CHOOSE(CONTROL!$C$42, 12.1443, 12.1443) * CHOOSE(CONTROL!$C$21, $C$9, 100%, $E$9)</f>
        <v>12.144299999999999</v>
      </c>
      <c r="R404" s="10">
        <f>CHOOSE(CONTROL!$C$42, 12.7617, 12.7617) * CHOOSE(CONTROL!$C$21, $C$9, 100%, $E$9)</f>
        <v>12.761699999999999</v>
      </c>
      <c r="S404" s="10">
        <f>CHOOSE(CONTROL!$C$42, 11.1155, 11.1155) * CHOOSE(CONTROL!$C$21, $C$9, 100%, $E$9)</f>
        <v>11.115500000000001</v>
      </c>
      <c r="T4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38">
        <f>(1000*CHOOSE(CONTROL!$C$42, 695, 695)*CHOOSE(CONTROL!$C$42, 0.5599, 0.5599)*CHOOSE(CONTROL!$C$42, 31, 31))/1000000</f>
        <v>12.063045499999998</v>
      </c>
      <c r="V404" s="38">
        <f>(1000*CHOOSE(CONTROL!$C$42, 500, 500)*CHOOSE(CONTROL!$C$42, 0.275, 0.275)*CHOOSE(CONTROL!$C$42, 31, 31))/1000000</f>
        <v>4.2625000000000002</v>
      </c>
      <c r="W404" s="38">
        <f>(1000*CHOOSE(CONTROL!$C$42, 0.1146, 0.1146)*CHOOSE(CONTROL!$C$42, 121.5, 121.5)*CHOOSE(CONTROL!$C$42, 31, 31))/1000000</f>
        <v>0.43164089999999994</v>
      </c>
      <c r="X404" s="38">
        <f>(31*0.1790888*245000/1000000)+(31*0.2374*100000/1000000)</f>
        <v>2.0961194359999999</v>
      </c>
      <c r="Y404" s="38">
        <f>(1000*600*CHOOSE(CONTROL!$C$42, 1.0931, 1.0931)*CHOOSE(CONTROL!$C$42, 31, 31))/1000000</f>
        <v>20.331659999999999</v>
      </c>
      <c r="Z404" s="38"/>
      <c r="AA404" s="10"/>
      <c r="AB404" s="39"/>
      <c r="AC404" s="33">
        <f>(B404*194.205+C404*267.466+D404*133.845+E404*53.484+F404*40+G404*185+H404*0+I404*100+J404*300)/(194.205+267.466+133.845+53.484+0+40+185+100+300)</f>
        <v>11.469148588383044</v>
      </c>
      <c r="AD404" s="27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11.368263309352518</v>
      </c>
    </row>
    <row r="405" spans="1:30" ht="15.75" x14ac:dyDescent="0.25">
      <c r="A405" s="14">
        <v>53600</v>
      </c>
      <c r="B405" s="10">
        <f>CHOOSE(CONTROL!$C$42, 10.7356, 10.7356) * CHOOSE(CONTROL!$C$21, $C$9, 100%, $E$9)</f>
        <v>10.7356</v>
      </c>
      <c r="C405" s="10">
        <f>CHOOSE(CONTROL!$C$42, 10.7436, 10.7436) * CHOOSE(CONTROL!$C$21, $C$9, 100%, $E$9)</f>
        <v>10.743600000000001</v>
      </c>
      <c r="D405" s="10">
        <f>CHOOSE(CONTROL!$C$42, 10.9187, 10.9187) * CHOOSE(CONTROL!$C$21, $C$9, 100%, $E$9)</f>
        <v>10.918699999999999</v>
      </c>
      <c r="E405" s="10">
        <f>CHOOSE(CONTROL!$C$42, 10.95, 10.95) * CHOOSE(CONTROL!$C$21, $C$9, 100%, $E$9)</f>
        <v>10.95</v>
      </c>
      <c r="F405" s="10">
        <f>CHOOSE(CONTROL!$C$42, 10.6774, 10.6774)*CHOOSE(CONTROL!$C$21, $C$9, 100%, $E$9)</f>
        <v>10.6774</v>
      </c>
      <c r="G405" s="10">
        <f>CHOOSE(CONTROL!$C$42, 10.6943, 10.6943)*CHOOSE(CONTROL!$C$21, $C$9, 100%, $E$9)</f>
        <v>10.6943</v>
      </c>
      <c r="H405" s="10">
        <f>CHOOSE(CONTROL!$C$42, 10.9383, 10.9383) * CHOOSE(CONTROL!$C$21, $C$9, 100%, $E$9)</f>
        <v>10.9383</v>
      </c>
      <c r="I405" s="10">
        <f>CHOOSE(CONTROL!$C$42, 10.7103, 10.7103)* CHOOSE(CONTROL!$C$21, $C$9, 100%, $E$9)</f>
        <v>10.7103</v>
      </c>
      <c r="J405" s="10">
        <f>CHOOSE(CONTROL!$C$42, 10.67, 10.67)* CHOOSE(CONTROL!$C$21, $C$9, 100%, $E$9)</f>
        <v>10.67</v>
      </c>
      <c r="K405" s="10">
        <f>CHOOSE(CONTROL!$C$42, 10.5328, 10.5328) * CHOOSE(CONTROL!$C$21, $C$9, 100%, $E$9)</f>
        <v>10.5328</v>
      </c>
      <c r="L405" s="10">
        <f>CHOOSE(CONTROL!$C$42, 11.5253, 11.5253) * CHOOSE(CONTROL!$C$21, $C$9, 100%, $E$9)</f>
        <v>11.5253</v>
      </c>
      <c r="M405" s="10">
        <f>CHOOSE(CONTROL!$C$42, 10.5649, 10.5649) * CHOOSE(CONTROL!$C$21, $C$9, 100%, $E$9)</f>
        <v>10.5649</v>
      </c>
      <c r="N405" s="10">
        <f>CHOOSE(CONTROL!$C$42, 10.5816, 10.5816) * CHOOSE(CONTROL!$C$21, $C$9, 100%, $E$9)</f>
        <v>10.5816</v>
      </c>
      <c r="O405" s="10">
        <f>CHOOSE(CONTROL!$C$42, 10.8297, 10.8297) * CHOOSE(CONTROL!$C$21, $C$9, 100%, $E$9)</f>
        <v>10.829700000000001</v>
      </c>
      <c r="P405" s="10">
        <f>CHOOSE(CONTROL!$C$42, 10.6047, 10.6047) * CHOOSE(CONTROL!$C$21, $C$9, 100%, $E$9)</f>
        <v>10.604699999999999</v>
      </c>
      <c r="Q405" s="10">
        <f>CHOOSE(CONTROL!$C$42, 11.425, 11.425) * CHOOSE(CONTROL!$C$21, $C$9, 100%, $E$9)</f>
        <v>11.425000000000001</v>
      </c>
      <c r="R405" s="10">
        <f>CHOOSE(CONTROL!$C$42, 12.0406, 12.0406) * CHOOSE(CONTROL!$C$21, $C$9, 100%, $E$9)</f>
        <v>12.0406</v>
      </c>
      <c r="S405" s="10">
        <f>CHOOSE(CONTROL!$C$42, 10.4099, 10.4099) * CHOOSE(CONTROL!$C$21, $C$9, 100%, $E$9)</f>
        <v>10.4099</v>
      </c>
      <c r="T4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38">
        <f>(1000*CHOOSE(CONTROL!$C$42, 695, 695)*CHOOSE(CONTROL!$C$42, 0.5599, 0.5599)*CHOOSE(CONTROL!$C$42, 30, 30))/1000000</f>
        <v>11.673914999999997</v>
      </c>
      <c r="V405" s="38">
        <f>(1000*CHOOSE(CONTROL!$C$42, 500, 500)*CHOOSE(CONTROL!$C$42, 0.275, 0.275)*CHOOSE(CONTROL!$C$42, 30, 30))/1000000</f>
        <v>4.125</v>
      </c>
      <c r="W405" s="38">
        <f>(1000*CHOOSE(CONTROL!$C$42, 0.1146, 0.1146)*CHOOSE(CONTROL!$C$42, 121.5, 121.5)*CHOOSE(CONTROL!$C$42, 30, 30))/1000000</f>
        <v>0.417717</v>
      </c>
      <c r="X405" s="38">
        <f>(30*0.1790888*245000/1000000)+(30*0.2374*100000/1000000)</f>
        <v>2.0285026799999999</v>
      </c>
      <c r="Y405" s="38">
        <f>(1000*600*CHOOSE(CONTROL!$C$42, 1.0931, 1.0931)*CHOOSE(CONTROL!$C$42, 30, 30))/1000000</f>
        <v>19.675799999999999</v>
      </c>
      <c r="Z405" s="38"/>
      <c r="AA405" s="10"/>
      <c r="AB405" s="39"/>
      <c r="AC405" s="33">
        <f>(B405*194.205+C405*267.466+D405*133.845+E405*53.484+F405*40+G405*185+H405*0+I405*100+J405*300)/(194.205+267.466+133.845+53.484+0+40+185+100+300)</f>
        <v>10.740258726138148</v>
      </c>
      <c r="AD405" s="27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10.64876762589928</v>
      </c>
    </row>
    <row r="406" spans="1:30" ht="15.75" x14ac:dyDescent="0.25">
      <c r="A406" s="14">
        <v>53631</v>
      </c>
      <c r="B406" s="10">
        <f>CHOOSE(CONTROL!$C$42, 10.5152, 10.5152) * CHOOSE(CONTROL!$C$21, $C$9, 100%, $E$9)</f>
        <v>10.5152</v>
      </c>
      <c r="C406" s="10">
        <f>CHOOSE(CONTROL!$C$42, 10.5206, 10.5206) * CHOOSE(CONTROL!$C$21, $C$9, 100%, $E$9)</f>
        <v>10.5206</v>
      </c>
      <c r="D406" s="10">
        <f>CHOOSE(CONTROL!$C$42, 10.7006, 10.7006) * CHOOSE(CONTROL!$C$21, $C$9, 100%, $E$9)</f>
        <v>10.7006</v>
      </c>
      <c r="E406" s="10">
        <f>CHOOSE(CONTROL!$C$42, 10.7295, 10.7295) * CHOOSE(CONTROL!$C$21, $C$9, 100%, $E$9)</f>
        <v>10.7295</v>
      </c>
      <c r="F406" s="10">
        <f>CHOOSE(CONTROL!$C$42, 10.459, 10.459)*CHOOSE(CONTROL!$C$21, $C$9, 100%, $E$9)</f>
        <v>10.459</v>
      </c>
      <c r="G406" s="10">
        <f>CHOOSE(CONTROL!$C$42, 10.4756, 10.4756)*CHOOSE(CONTROL!$C$21, $C$9, 100%, $E$9)</f>
        <v>10.4756</v>
      </c>
      <c r="H406" s="10">
        <f>CHOOSE(CONTROL!$C$42, 10.7196, 10.7196) * CHOOSE(CONTROL!$C$21, $C$9, 100%, $E$9)</f>
        <v>10.7196</v>
      </c>
      <c r="I406" s="10">
        <f>CHOOSE(CONTROL!$C$42, 10.4916, 10.4916)* CHOOSE(CONTROL!$C$21, $C$9, 100%, $E$9)</f>
        <v>10.4916</v>
      </c>
      <c r="J406" s="10">
        <f>CHOOSE(CONTROL!$C$42, 10.4516, 10.4516)* CHOOSE(CONTROL!$C$21, $C$9, 100%, $E$9)</f>
        <v>10.451599999999999</v>
      </c>
      <c r="K406" s="10">
        <f>CHOOSE(CONTROL!$C$42, 10.3215, 10.3215) * CHOOSE(CONTROL!$C$21, $C$9, 100%, $E$9)</f>
        <v>10.3215</v>
      </c>
      <c r="L406" s="10">
        <f>CHOOSE(CONTROL!$C$42, 11.3066, 11.3066) * CHOOSE(CONTROL!$C$21, $C$9, 100%, $E$9)</f>
        <v>11.3066</v>
      </c>
      <c r="M406" s="10">
        <f>CHOOSE(CONTROL!$C$42, 10.3494, 10.3494) * CHOOSE(CONTROL!$C$21, $C$9, 100%, $E$9)</f>
        <v>10.349399999999999</v>
      </c>
      <c r="N406" s="10">
        <f>CHOOSE(CONTROL!$C$42, 10.3658, 10.3658) * CHOOSE(CONTROL!$C$21, $C$9, 100%, $E$9)</f>
        <v>10.3658</v>
      </c>
      <c r="O406" s="10">
        <f>CHOOSE(CONTROL!$C$42, 10.6139, 10.6139) * CHOOSE(CONTROL!$C$21, $C$9, 100%, $E$9)</f>
        <v>10.613899999999999</v>
      </c>
      <c r="P406" s="10">
        <f>CHOOSE(CONTROL!$C$42, 10.3889, 10.3889) * CHOOSE(CONTROL!$C$21, $C$9, 100%, $E$9)</f>
        <v>10.3889</v>
      </c>
      <c r="Q406" s="10">
        <f>CHOOSE(CONTROL!$C$42, 11.2092, 11.2092) * CHOOSE(CONTROL!$C$21, $C$9, 100%, $E$9)</f>
        <v>11.209199999999999</v>
      </c>
      <c r="R406" s="10">
        <f>CHOOSE(CONTROL!$C$42, 11.8242, 11.8242) * CHOOSE(CONTROL!$C$21, $C$9, 100%, $E$9)</f>
        <v>11.824199999999999</v>
      </c>
      <c r="S406" s="10">
        <f>CHOOSE(CONTROL!$C$42, 10.1982, 10.1982) * CHOOSE(CONTROL!$C$21, $C$9, 100%, $E$9)</f>
        <v>10.1982</v>
      </c>
      <c r="T4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38">
        <f>(1000*CHOOSE(CONTROL!$C$42, 695, 695)*CHOOSE(CONTROL!$C$42, 0.5599, 0.5599)*CHOOSE(CONTROL!$C$42, 31, 31))/1000000</f>
        <v>12.063045499999998</v>
      </c>
      <c r="V406" s="38">
        <f>(1000*CHOOSE(CONTROL!$C$42, 500, 500)*CHOOSE(CONTROL!$C$42, 0.275, 0.275)*CHOOSE(CONTROL!$C$42, 31, 31))/1000000</f>
        <v>4.2625000000000002</v>
      </c>
      <c r="W406" s="38">
        <f>(1000*CHOOSE(CONTROL!$C$42, 0.1146, 0.1146)*CHOOSE(CONTROL!$C$42, 121.5, 121.5)*CHOOSE(CONTROL!$C$42, 31, 31))/1000000</f>
        <v>0.43164089999999994</v>
      </c>
      <c r="X406" s="38">
        <f>(31*0.1790888*245000/1000000)+(31*0.2374*100000/1000000)</f>
        <v>2.0961194359999999</v>
      </c>
      <c r="Y406" s="38">
        <f>(1000*600*CHOOSE(CONTROL!$C$42, 1.0931, 1.0931)*CHOOSE(CONTROL!$C$42, 31, 31))/1000000</f>
        <v>20.331659999999999</v>
      </c>
      <c r="Z406" s="38"/>
      <c r="AA406" s="10"/>
      <c r="AB406" s="39"/>
      <c r="AC406" s="33">
        <f>(B406*131.881+C406*277.167+D406*79.08+E406*125.872+F406*40+G406*185+H406*0+I406*100+J406*300)/(131.881+277.167+79.08+125.872+0+40+185+100+300)</f>
        <v>10.524980874414849</v>
      </c>
      <c r="AD406" s="27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10.433071223021582</v>
      </c>
    </row>
    <row r="407" spans="1:30" ht="15.75" x14ac:dyDescent="0.25">
      <c r="A407" s="14">
        <v>53661</v>
      </c>
      <c r="B407" s="10">
        <f>CHOOSE(CONTROL!$C$42, 10.7923, 10.7923) * CHOOSE(CONTROL!$C$21, $C$9, 100%, $E$9)</f>
        <v>10.792299999999999</v>
      </c>
      <c r="C407" s="10">
        <f>CHOOSE(CONTROL!$C$42, 10.7974, 10.7974) * CHOOSE(CONTROL!$C$21, $C$9, 100%, $E$9)</f>
        <v>10.7974</v>
      </c>
      <c r="D407" s="10">
        <f>CHOOSE(CONTROL!$C$42, 10.8221, 10.8221) * CHOOSE(CONTROL!$C$21, $C$9, 100%, $E$9)</f>
        <v>10.822100000000001</v>
      </c>
      <c r="E407" s="10">
        <f>CHOOSE(CONTROL!$C$42, 10.8559, 10.8559) * CHOOSE(CONTROL!$C$21, $C$9, 100%, $E$9)</f>
        <v>10.8559</v>
      </c>
      <c r="F407" s="10">
        <f>CHOOSE(CONTROL!$C$42, 10.7579, 10.7579)*CHOOSE(CONTROL!$C$21, $C$9, 100%, $E$9)</f>
        <v>10.757899999999999</v>
      </c>
      <c r="G407" s="10">
        <f>CHOOSE(CONTROL!$C$42, 10.7747, 10.7747)*CHOOSE(CONTROL!$C$21, $C$9, 100%, $E$9)</f>
        <v>10.774699999999999</v>
      </c>
      <c r="H407" s="10">
        <f>CHOOSE(CONTROL!$C$42, 10.8448, 10.8448) * CHOOSE(CONTROL!$C$21, $C$9, 100%, $E$9)</f>
        <v>10.844799999999999</v>
      </c>
      <c r="I407" s="10">
        <f>CHOOSE(CONTROL!$C$42, 10.7918, 10.7918)* CHOOSE(CONTROL!$C$21, $C$9, 100%, $E$9)</f>
        <v>10.7918</v>
      </c>
      <c r="J407" s="10">
        <f>CHOOSE(CONTROL!$C$42, 10.7505, 10.7505)* CHOOSE(CONTROL!$C$21, $C$9, 100%, $E$9)</f>
        <v>10.750500000000001</v>
      </c>
      <c r="K407" s="10">
        <f>CHOOSE(CONTROL!$C$42, 10.6141, 10.6141) * CHOOSE(CONTROL!$C$21, $C$9, 100%, $E$9)</f>
        <v>10.614100000000001</v>
      </c>
      <c r="L407" s="10">
        <f>CHOOSE(CONTROL!$C$42, 11.4318, 11.4318) * CHOOSE(CONTROL!$C$21, $C$9, 100%, $E$9)</f>
        <v>11.431800000000001</v>
      </c>
      <c r="M407" s="10">
        <f>CHOOSE(CONTROL!$C$42, 10.6444, 10.6444) * CHOOSE(CONTROL!$C$21, $C$9, 100%, $E$9)</f>
        <v>10.644399999999999</v>
      </c>
      <c r="N407" s="10">
        <f>CHOOSE(CONTROL!$C$42, 10.661, 10.661) * CHOOSE(CONTROL!$C$21, $C$9, 100%, $E$9)</f>
        <v>10.661</v>
      </c>
      <c r="O407" s="10">
        <f>CHOOSE(CONTROL!$C$42, 10.7374, 10.7374) * CHOOSE(CONTROL!$C$21, $C$9, 100%, $E$9)</f>
        <v>10.737399999999999</v>
      </c>
      <c r="P407" s="10">
        <f>CHOOSE(CONTROL!$C$42, 10.6852, 10.6852) * CHOOSE(CONTROL!$C$21, $C$9, 100%, $E$9)</f>
        <v>10.6852</v>
      </c>
      <c r="Q407" s="10">
        <f>CHOOSE(CONTROL!$C$42, 11.3327, 11.3327) * CHOOSE(CONTROL!$C$21, $C$9, 100%, $E$9)</f>
        <v>11.332700000000001</v>
      </c>
      <c r="R407" s="10">
        <f>CHOOSE(CONTROL!$C$42, 11.948, 11.948) * CHOOSE(CONTROL!$C$21, $C$9, 100%, $E$9)</f>
        <v>11.948</v>
      </c>
      <c r="S407" s="10">
        <f>CHOOSE(CONTROL!$C$42, 10.4668, 10.4668) * CHOOSE(CONTROL!$C$21, $C$9, 100%, $E$9)</f>
        <v>10.466799999999999</v>
      </c>
      <c r="T4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38">
        <f>(1000*CHOOSE(CONTROL!$C$42, 695, 695)*CHOOSE(CONTROL!$C$42, 0.5599, 0.5599)*CHOOSE(CONTROL!$C$42, 30, 30))/1000000</f>
        <v>11.673914999999997</v>
      </c>
      <c r="V407" s="38">
        <f>(1000*CHOOSE(CONTROL!$C$42, 500, 500)*CHOOSE(CONTROL!$C$42, 0.275, 0.275)*CHOOSE(CONTROL!$C$42, 30, 30))/1000000</f>
        <v>4.125</v>
      </c>
      <c r="W407" s="38">
        <f>(1000*CHOOSE(CONTROL!$C$42, 0.1146, 0.1146)*CHOOSE(CONTROL!$C$42, 121.5, 121.5)*CHOOSE(CONTROL!$C$42, 30, 30))/1000000</f>
        <v>0.417717</v>
      </c>
      <c r="X407" s="38">
        <f>(30*0.1790888*100000/1000000)+(30*0.2374*100000/1000000)</f>
        <v>1.2494664</v>
      </c>
      <c r="Y407" s="38">
        <f>(1000*600*CHOOSE(CONTROL!$C$42, 1.0931, 1.0931)*CHOOSE(CONTROL!$C$42, 30, 30))/1000000</f>
        <v>19.675799999999999</v>
      </c>
      <c r="Z407" s="38"/>
      <c r="AA407" s="10"/>
      <c r="AB407" s="39"/>
      <c r="AC407" s="33">
        <f>(B407*122.58+C407*297.941+D407*89.177+E407*40.302+F407*40+G407*160+H407*0+I407*100+J407*300)/(122.58+297.941+89.177+40.302+0+40+160+100+300)</f>
        <v>10.783567983391304</v>
      </c>
      <c r="AD407" s="27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10.693376978417268</v>
      </c>
    </row>
    <row r="408" spans="1:30" ht="15.75" x14ac:dyDescent="0.25">
      <c r="A408" s="14">
        <v>53692</v>
      </c>
      <c r="B408" s="10">
        <f>CHOOSE(CONTROL!$C$42, 11.5292, 11.5292) * CHOOSE(CONTROL!$C$21, $C$9, 100%, $E$9)</f>
        <v>11.529199999999999</v>
      </c>
      <c r="C408" s="10">
        <f>CHOOSE(CONTROL!$C$42, 11.5343, 11.5343) * CHOOSE(CONTROL!$C$21, $C$9, 100%, $E$9)</f>
        <v>11.5343</v>
      </c>
      <c r="D408" s="10">
        <f>CHOOSE(CONTROL!$C$42, 11.559, 11.559) * CHOOSE(CONTROL!$C$21, $C$9, 100%, $E$9)</f>
        <v>11.558999999999999</v>
      </c>
      <c r="E408" s="10">
        <f>CHOOSE(CONTROL!$C$42, 11.5928, 11.5928) * CHOOSE(CONTROL!$C$21, $C$9, 100%, $E$9)</f>
        <v>11.5928</v>
      </c>
      <c r="F408" s="10">
        <f>CHOOSE(CONTROL!$C$42, 11.4966, 11.4966)*CHOOSE(CONTROL!$C$21, $C$9, 100%, $E$9)</f>
        <v>11.496600000000001</v>
      </c>
      <c r="G408" s="10">
        <f>CHOOSE(CONTROL!$C$42, 11.5139, 11.5139)*CHOOSE(CONTROL!$C$21, $C$9, 100%, $E$9)</f>
        <v>11.5139</v>
      </c>
      <c r="H408" s="10">
        <f>CHOOSE(CONTROL!$C$42, 11.5817, 11.5817) * CHOOSE(CONTROL!$C$21, $C$9, 100%, $E$9)</f>
        <v>11.5817</v>
      </c>
      <c r="I408" s="10">
        <f>CHOOSE(CONTROL!$C$42, 11.5287, 11.5287)* CHOOSE(CONTROL!$C$21, $C$9, 100%, $E$9)</f>
        <v>11.528700000000001</v>
      </c>
      <c r="J408" s="10">
        <f>CHOOSE(CONTROL!$C$42, 11.4892, 11.4892)* CHOOSE(CONTROL!$C$21, $C$9, 100%, $E$9)</f>
        <v>11.4892</v>
      </c>
      <c r="K408" s="10">
        <f>CHOOSE(CONTROL!$C$42, 11.3319, 11.3319) * CHOOSE(CONTROL!$C$21, $C$9, 100%, $E$9)</f>
        <v>11.331899999999999</v>
      </c>
      <c r="L408" s="10">
        <f>CHOOSE(CONTROL!$C$42, 12.1687, 12.1687) * CHOOSE(CONTROL!$C$21, $C$9, 100%, $E$9)</f>
        <v>12.168699999999999</v>
      </c>
      <c r="M408" s="10">
        <f>CHOOSE(CONTROL!$C$42, 11.3735, 11.3735) * CHOOSE(CONTROL!$C$21, $C$9, 100%, $E$9)</f>
        <v>11.3735</v>
      </c>
      <c r="N408" s="10">
        <f>CHOOSE(CONTROL!$C$42, 11.3906, 11.3906) * CHOOSE(CONTROL!$C$21, $C$9, 100%, $E$9)</f>
        <v>11.390599999999999</v>
      </c>
      <c r="O408" s="10">
        <f>CHOOSE(CONTROL!$C$42, 11.4648, 11.4648) * CHOOSE(CONTROL!$C$21, $C$9, 100%, $E$9)</f>
        <v>11.4648</v>
      </c>
      <c r="P408" s="10">
        <f>CHOOSE(CONTROL!$C$42, 11.4126, 11.4126) * CHOOSE(CONTROL!$C$21, $C$9, 100%, $E$9)</f>
        <v>11.412599999999999</v>
      </c>
      <c r="Q408" s="10">
        <f>CHOOSE(CONTROL!$C$42, 12.0601, 12.0601) * CHOOSE(CONTROL!$C$21, $C$9, 100%, $E$9)</f>
        <v>12.0601</v>
      </c>
      <c r="R408" s="10">
        <f>CHOOSE(CONTROL!$C$42, 12.6772, 12.6772) * CHOOSE(CONTROL!$C$21, $C$9, 100%, $E$9)</f>
        <v>12.677199999999999</v>
      </c>
      <c r="S408" s="10">
        <f>CHOOSE(CONTROL!$C$42, 11.1804, 11.1804) * CHOOSE(CONTROL!$C$21, $C$9, 100%, $E$9)</f>
        <v>11.180400000000001</v>
      </c>
      <c r="T4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38">
        <f>(1000*CHOOSE(CONTROL!$C$42, 695, 695)*CHOOSE(CONTROL!$C$42, 0.5599, 0.5599)*CHOOSE(CONTROL!$C$42, 31, 31))/1000000</f>
        <v>12.063045499999998</v>
      </c>
      <c r="V408" s="38">
        <f>(1000*CHOOSE(CONTROL!$C$42, 500, 500)*CHOOSE(CONTROL!$C$42, 0.275, 0.275)*CHOOSE(CONTROL!$C$42, 31, 31))/1000000</f>
        <v>4.2625000000000002</v>
      </c>
      <c r="W408" s="38">
        <f>(1000*CHOOSE(CONTROL!$C$42, 0.1146, 0.1146)*CHOOSE(CONTROL!$C$42, 121.5, 121.5)*CHOOSE(CONTROL!$C$42, 31, 31))/1000000</f>
        <v>0.43164089999999994</v>
      </c>
      <c r="X408" s="38">
        <f>(31*0.1790888*100000/1000000)+(31*0.2374*100000/1000000)</f>
        <v>1.2911152800000001</v>
      </c>
      <c r="Y408" s="38">
        <f>(1000*600*CHOOSE(CONTROL!$C$42, 1.0931, 1.0931)*CHOOSE(CONTROL!$C$42, 31, 31))/1000000</f>
        <v>20.331659999999999</v>
      </c>
      <c r="Z408" s="38"/>
      <c r="AA408" s="10"/>
      <c r="AB408" s="39"/>
      <c r="AC408" s="33">
        <f>(B408*122.58+C408*297.941+D408*89.177+E408*40.302+F408*40+G408*160+H408*0+I408*100+J408*300)/(122.58+297.941+89.177+40.302+0+40+160+100+300)</f>
        <v>11.521320157304348</v>
      </c>
      <c r="AD408" s="27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11.421490647482013</v>
      </c>
    </row>
    <row r="409" spans="1:30" ht="15.75" x14ac:dyDescent="0.25">
      <c r="A409" s="14">
        <v>53723</v>
      </c>
      <c r="B409" s="10">
        <f>CHOOSE(CONTROL!$C$42, 12.3085, 12.3085) * CHOOSE(CONTROL!$C$21, $C$9, 100%, $E$9)</f>
        <v>12.3085</v>
      </c>
      <c r="C409" s="10">
        <f>CHOOSE(CONTROL!$C$42, 12.3136, 12.3136) * CHOOSE(CONTROL!$C$21, $C$9, 100%, $E$9)</f>
        <v>12.313599999999999</v>
      </c>
      <c r="D409" s="10">
        <f>CHOOSE(CONTROL!$C$42, 12.3486, 12.3486) * CHOOSE(CONTROL!$C$21, $C$9, 100%, $E$9)</f>
        <v>12.348599999999999</v>
      </c>
      <c r="E409" s="10">
        <f>CHOOSE(CONTROL!$C$42, 12.3824, 12.3824) * CHOOSE(CONTROL!$C$21, $C$9, 100%, $E$9)</f>
        <v>12.382400000000001</v>
      </c>
      <c r="F409" s="10">
        <f>CHOOSE(CONTROL!$C$42, 12.2898, 12.2898)*CHOOSE(CONTROL!$C$21, $C$9, 100%, $E$9)</f>
        <v>12.2898</v>
      </c>
      <c r="G409" s="10">
        <f>CHOOSE(CONTROL!$C$42, 12.3087, 12.3087)*CHOOSE(CONTROL!$C$21, $C$9, 100%, $E$9)</f>
        <v>12.3087</v>
      </c>
      <c r="H409" s="10">
        <f>CHOOSE(CONTROL!$C$42, 12.3713, 12.3713) * CHOOSE(CONTROL!$C$21, $C$9, 100%, $E$9)</f>
        <v>12.3713</v>
      </c>
      <c r="I409" s="10">
        <f>CHOOSE(CONTROL!$C$42, 12.3157, 12.3157)* CHOOSE(CONTROL!$C$21, $C$9, 100%, $E$9)</f>
        <v>12.3157</v>
      </c>
      <c r="J409" s="10">
        <f>CHOOSE(CONTROL!$C$42, 12.2824, 12.2824)* CHOOSE(CONTROL!$C$21, $C$9, 100%, $E$9)</f>
        <v>12.282400000000001</v>
      </c>
      <c r="K409" s="10">
        <f>CHOOSE(CONTROL!$C$42, 12.1076, 12.1076) * CHOOSE(CONTROL!$C$21, $C$9, 100%, $E$9)</f>
        <v>12.1076</v>
      </c>
      <c r="L409" s="10">
        <f>CHOOSE(CONTROL!$C$42, 12.9583, 12.9583) * CHOOSE(CONTROL!$C$21, $C$9, 100%, $E$9)</f>
        <v>12.958299999999999</v>
      </c>
      <c r="M409" s="10">
        <f>CHOOSE(CONTROL!$C$42, 12.1564, 12.1564) * CHOOSE(CONTROL!$C$21, $C$9, 100%, $E$9)</f>
        <v>12.1564</v>
      </c>
      <c r="N409" s="10">
        <f>CHOOSE(CONTROL!$C$42, 12.1751, 12.1751) * CHOOSE(CONTROL!$C$21, $C$9, 100%, $E$9)</f>
        <v>12.1751</v>
      </c>
      <c r="O409" s="10">
        <f>CHOOSE(CONTROL!$C$42, 12.2442, 12.2442) * CHOOSE(CONTROL!$C$21, $C$9, 100%, $E$9)</f>
        <v>12.244199999999999</v>
      </c>
      <c r="P409" s="10">
        <f>CHOOSE(CONTROL!$C$42, 12.1894, 12.1894) * CHOOSE(CONTROL!$C$21, $C$9, 100%, $E$9)</f>
        <v>12.189399999999999</v>
      </c>
      <c r="Q409" s="10">
        <f>CHOOSE(CONTROL!$C$42, 12.8395, 12.8395) * CHOOSE(CONTROL!$C$21, $C$9, 100%, $E$9)</f>
        <v>12.839499999999999</v>
      </c>
      <c r="R409" s="10">
        <f>CHOOSE(CONTROL!$C$42, 13.4586, 13.4586) * CHOOSE(CONTROL!$C$21, $C$9, 100%, $E$9)</f>
        <v>13.458600000000001</v>
      </c>
      <c r="S409" s="10">
        <f>CHOOSE(CONTROL!$C$42, 11.935, 11.935) * CHOOSE(CONTROL!$C$21, $C$9, 100%, $E$9)</f>
        <v>11.935</v>
      </c>
      <c r="T4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38">
        <f>(1000*CHOOSE(CONTROL!$C$42, 695, 695)*CHOOSE(CONTROL!$C$42, 0.5599, 0.5599)*CHOOSE(CONTROL!$C$42, 31, 31))/1000000</f>
        <v>12.063045499999998</v>
      </c>
      <c r="V409" s="38">
        <f>(1000*CHOOSE(CONTROL!$C$42, 500, 500)*CHOOSE(CONTROL!$C$42, 0.275, 0.275)*CHOOSE(CONTROL!$C$42, 31, 31))/1000000</f>
        <v>4.2625000000000002</v>
      </c>
      <c r="W409" s="38">
        <f>(1000*CHOOSE(CONTROL!$C$42, 0.1146, 0.1146)*CHOOSE(CONTROL!$C$42, 121.5, 121.5)*CHOOSE(CONTROL!$C$42, 31, 31))/1000000</f>
        <v>0.43164089999999994</v>
      </c>
      <c r="X409" s="38">
        <f>(31*0.1790888*100000/1000000)+(31*0.2374*100000/1000000)</f>
        <v>1.2911152800000001</v>
      </c>
      <c r="Y409" s="38">
        <f>(1000*600*CHOOSE(CONTROL!$C$42, 1.0896, 1.0896)*CHOOSE(CONTROL!$C$42, 31, 31))/1000000</f>
        <v>20.266559999999995</v>
      </c>
      <c r="Z409" s="38"/>
      <c r="AA409" s="10"/>
      <c r="AB409" s="39"/>
      <c r="AC409" s="33">
        <f>(B409*122.58+C409*297.941+D409*89.177+E409*40.302+F409*40+G409*160+H409*0+I409*100+J409*300)/(122.58+297.941+89.177+40.302+0+40+160+100+300)</f>
        <v>12.308715490956519</v>
      </c>
      <c r="AD409" s="27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12.202018705035972</v>
      </c>
    </row>
    <row r="410" spans="1:30" ht="15.75" x14ac:dyDescent="0.25">
      <c r="A410" s="14">
        <v>53751</v>
      </c>
      <c r="B410" s="10">
        <f>CHOOSE(CONTROL!$C$42, 12.5279, 12.5279) * CHOOSE(CONTROL!$C$21, $C$9, 100%, $E$9)</f>
        <v>12.527900000000001</v>
      </c>
      <c r="C410" s="10">
        <f>CHOOSE(CONTROL!$C$42, 12.533, 12.533) * CHOOSE(CONTROL!$C$21, $C$9, 100%, $E$9)</f>
        <v>12.532999999999999</v>
      </c>
      <c r="D410" s="10">
        <f>CHOOSE(CONTROL!$C$42, 12.568, 12.568) * CHOOSE(CONTROL!$C$21, $C$9, 100%, $E$9)</f>
        <v>12.568</v>
      </c>
      <c r="E410" s="10">
        <f>CHOOSE(CONTROL!$C$42, 12.6018, 12.6018) * CHOOSE(CONTROL!$C$21, $C$9, 100%, $E$9)</f>
        <v>12.601800000000001</v>
      </c>
      <c r="F410" s="10">
        <f>CHOOSE(CONTROL!$C$42, 12.5086, 12.5086)*CHOOSE(CONTROL!$C$21, $C$9, 100%, $E$9)</f>
        <v>12.508599999999999</v>
      </c>
      <c r="G410" s="10">
        <f>CHOOSE(CONTROL!$C$42, 12.5274, 12.5274)*CHOOSE(CONTROL!$C$21, $C$9, 100%, $E$9)</f>
        <v>12.5274</v>
      </c>
      <c r="H410" s="10">
        <f>CHOOSE(CONTROL!$C$42, 12.5907, 12.5907) * CHOOSE(CONTROL!$C$21, $C$9, 100%, $E$9)</f>
        <v>12.5907</v>
      </c>
      <c r="I410" s="10">
        <f>CHOOSE(CONTROL!$C$42, 12.5351, 12.5351)* CHOOSE(CONTROL!$C$21, $C$9, 100%, $E$9)</f>
        <v>12.5351</v>
      </c>
      <c r="J410" s="10">
        <f>CHOOSE(CONTROL!$C$42, 12.5012, 12.5012)* CHOOSE(CONTROL!$C$21, $C$9, 100%, $E$9)</f>
        <v>12.501200000000001</v>
      </c>
      <c r="K410" s="10">
        <f>CHOOSE(CONTROL!$C$42, 12.319, 12.319) * CHOOSE(CONTROL!$C$21, $C$9, 100%, $E$9)</f>
        <v>12.319000000000001</v>
      </c>
      <c r="L410" s="10">
        <f>CHOOSE(CONTROL!$C$42, 13.1777, 13.1777) * CHOOSE(CONTROL!$C$21, $C$9, 100%, $E$9)</f>
        <v>13.1777</v>
      </c>
      <c r="M410" s="10">
        <f>CHOOSE(CONTROL!$C$42, 12.3724, 12.3724) * CHOOSE(CONTROL!$C$21, $C$9, 100%, $E$9)</f>
        <v>12.372400000000001</v>
      </c>
      <c r="N410" s="10">
        <f>CHOOSE(CONTROL!$C$42, 12.391, 12.391) * CHOOSE(CONTROL!$C$21, $C$9, 100%, $E$9)</f>
        <v>12.391</v>
      </c>
      <c r="O410" s="10">
        <f>CHOOSE(CONTROL!$C$42, 12.4607, 12.4607) * CHOOSE(CONTROL!$C$21, $C$9, 100%, $E$9)</f>
        <v>12.460699999999999</v>
      </c>
      <c r="P410" s="10">
        <f>CHOOSE(CONTROL!$C$42, 12.4059, 12.4059) * CHOOSE(CONTROL!$C$21, $C$9, 100%, $E$9)</f>
        <v>12.405900000000001</v>
      </c>
      <c r="Q410" s="10">
        <f>CHOOSE(CONTROL!$C$42, 13.056, 13.056) * CHOOSE(CONTROL!$C$21, $C$9, 100%, $E$9)</f>
        <v>13.055999999999999</v>
      </c>
      <c r="R410" s="10">
        <f>CHOOSE(CONTROL!$C$42, 13.6757, 13.6757) * CHOOSE(CONTROL!$C$21, $C$9, 100%, $E$9)</f>
        <v>13.675700000000001</v>
      </c>
      <c r="S410" s="10">
        <f>CHOOSE(CONTROL!$C$42, 12.1474, 12.1474) * CHOOSE(CONTROL!$C$21, $C$9, 100%, $E$9)</f>
        <v>12.147399999999999</v>
      </c>
      <c r="T41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38">
        <f>(1000*CHOOSE(CONTROL!$C$42, 695, 695)*CHOOSE(CONTROL!$C$42, 0.5599, 0.5599)*CHOOSE(CONTROL!$C$42, 28, 28))/1000000</f>
        <v>10.895653999999999</v>
      </c>
      <c r="V410" s="38">
        <f>(1000*CHOOSE(CONTROL!$C$42, 500, 500)*CHOOSE(CONTROL!$C$42, 0.275, 0.275)*CHOOSE(CONTROL!$C$42, 28, 28))/1000000</f>
        <v>3.85</v>
      </c>
      <c r="W410" s="38">
        <f>(1000*CHOOSE(CONTROL!$C$42, 0.1146, 0.1146)*CHOOSE(CONTROL!$C$42, 121.5, 121.5)*CHOOSE(CONTROL!$C$42, 28, 28))/1000000</f>
        <v>0.38986920000000003</v>
      </c>
      <c r="X410" s="38">
        <f>(28*0.1790888*100000/1000000)+(28*0.2374*100000/1000000)</f>
        <v>1.16616864</v>
      </c>
      <c r="Y410" s="38">
        <f>(1000*600*CHOOSE(CONTROL!$C$42, 1.0896, 1.0896)*CHOOSE(CONTROL!$C$42, 28, 28))/1000000</f>
        <v>18.305279999999996</v>
      </c>
      <c r="Z410" s="38"/>
      <c r="AA410" s="10"/>
      <c r="AB410" s="39"/>
      <c r="AC410" s="33">
        <f>(B410*122.58+C410*297.941+D410*89.177+E410*40.302+F410*40+G410*160+H410*0+I410*100+J410*300)/(122.58+297.941+89.177+40.302+0+40+160+100+300)</f>
        <v>12.527840708347828</v>
      </c>
      <c r="AD410" s="27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12.418311510791368</v>
      </c>
    </row>
    <row r="411" spans="1:30" ht="15.75" x14ac:dyDescent="0.25">
      <c r="A411" s="14">
        <v>53782</v>
      </c>
      <c r="B411" s="10">
        <f>CHOOSE(CONTROL!$C$42, 12.1717, 12.1717) * CHOOSE(CONTROL!$C$21, $C$9, 100%, $E$9)</f>
        <v>12.1717</v>
      </c>
      <c r="C411" s="10">
        <f>CHOOSE(CONTROL!$C$42, 12.1768, 12.1768) * CHOOSE(CONTROL!$C$21, $C$9, 100%, $E$9)</f>
        <v>12.1768</v>
      </c>
      <c r="D411" s="10">
        <f>CHOOSE(CONTROL!$C$42, 12.2119, 12.2119) * CHOOSE(CONTROL!$C$21, $C$9, 100%, $E$9)</f>
        <v>12.2119</v>
      </c>
      <c r="E411" s="10">
        <f>CHOOSE(CONTROL!$C$42, 12.2457, 12.2457) * CHOOSE(CONTROL!$C$21, $C$9, 100%, $E$9)</f>
        <v>12.245699999999999</v>
      </c>
      <c r="F411" s="10">
        <f>CHOOSE(CONTROL!$C$42, 12.1511, 12.1511)*CHOOSE(CONTROL!$C$21, $C$9, 100%, $E$9)</f>
        <v>12.1511</v>
      </c>
      <c r="G411" s="10">
        <f>CHOOSE(CONTROL!$C$42, 12.1695, 12.1695)*CHOOSE(CONTROL!$C$21, $C$9, 100%, $E$9)</f>
        <v>12.169499999999999</v>
      </c>
      <c r="H411" s="10">
        <f>CHOOSE(CONTROL!$C$42, 12.2345, 12.2345) * CHOOSE(CONTROL!$C$21, $C$9, 100%, $E$9)</f>
        <v>12.234500000000001</v>
      </c>
      <c r="I411" s="10">
        <f>CHOOSE(CONTROL!$C$42, 12.179, 12.179)* CHOOSE(CONTROL!$C$21, $C$9, 100%, $E$9)</f>
        <v>12.179</v>
      </c>
      <c r="J411" s="10">
        <f>CHOOSE(CONTROL!$C$42, 12.1437, 12.1437)* CHOOSE(CONTROL!$C$21, $C$9, 100%, $E$9)</f>
        <v>12.143700000000001</v>
      </c>
      <c r="K411" s="10">
        <f>CHOOSE(CONTROL!$C$42, 11.971, 11.971) * CHOOSE(CONTROL!$C$21, $C$9, 100%, $E$9)</f>
        <v>11.971</v>
      </c>
      <c r="L411" s="10">
        <f>CHOOSE(CONTROL!$C$42, 12.8215, 12.8215) * CHOOSE(CONTROL!$C$21, $C$9, 100%, $E$9)</f>
        <v>12.8215</v>
      </c>
      <c r="M411" s="10">
        <f>CHOOSE(CONTROL!$C$42, 12.0196, 12.0196) * CHOOSE(CONTROL!$C$21, $C$9, 100%, $E$9)</f>
        <v>12.019600000000001</v>
      </c>
      <c r="N411" s="10">
        <f>CHOOSE(CONTROL!$C$42, 12.0377, 12.0377) * CHOOSE(CONTROL!$C$21, $C$9, 100%, $E$9)</f>
        <v>12.037699999999999</v>
      </c>
      <c r="O411" s="10">
        <f>CHOOSE(CONTROL!$C$42, 12.1092, 12.1092) * CHOOSE(CONTROL!$C$21, $C$9, 100%, $E$9)</f>
        <v>12.1092</v>
      </c>
      <c r="P411" s="10">
        <f>CHOOSE(CONTROL!$C$42, 12.0544, 12.0544) * CHOOSE(CONTROL!$C$21, $C$9, 100%, $E$9)</f>
        <v>12.054399999999999</v>
      </c>
      <c r="Q411" s="10">
        <f>CHOOSE(CONTROL!$C$42, 12.7045, 12.7045) * CHOOSE(CONTROL!$C$21, $C$9, 100%, $E$9)</f>
        <v>12.704499999999999</v>
      </c>
      <c r="R411" s="10">
        <f>CHOOSE(CONTROL!$C$42, 13.3233, 13.3233) * CHOOSE(CONTROL!$C$21, $C$9, 100%, $E$9)</f>
        <v>13.3233</v>
      </c>
      <c r="S411" s="10">
        <f>CHOOSE(CONTROL!$C$42, 11.8026, 11.8026) * CHOOSE(CONTROL!$C$21, $C$9, 100%, $E$9)</f>
        <v>11.8026</v>
      </c>
      <c r="T4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38">
        <f>(1000*CHOOSE(CONTROL!$C$42, 695, 695)*CHOOSE(CONTROL!$C$42, 0.5599, 0.5599)*CHOOSE(CONTROL!$C$42, 31, 31))/1000000</f>
        <v>12.063045499999998</v>
      </c>
      <c r="V411" s="38">
        <f>(1000*CHOOSE(CONTROL!$C$42, 500, 500)*CHOOSE(CONTROL!$C$42, 0.275, 0.275)*CHOOSE(CONTROL!$C$42, 31, 31))/1000000</f>
        <v>4.2625000000000002</v>
      </c>
      <c r="W411" s="38">
        <f>(1000*CHOOSE(CONTROL!$C$42, 0.1146, 0.1146)*CHOOSE(CONTROL!$C$42, 121.5, 121.5)*CHOOSE(CONTROL!$C$42, 31, 31))/1000000</f>
        <v>0.43164089999999994</v>
      </c>
      <c r="X411" s="38">
        <f>(31*0.1790888*100000/1000000)+(31*0.2374*100000/1000000)</f>
        <v>1.2911152800000001</v>
      </c>
      <c r="Y411" s="38">
        <f>(1000*600*CHOOSE(CONTROL!$C$42, 1.0896, 1.0896)*CHOOSE(CONTROL!$C$42, 31, 31))/1000000</f>
        <v>20.266559999999995</v>
      </c>
      <c r="Z411" s="38"/>
      <c r="AA411" s="10"/>
      <c r="AB411" s="39"/>
      <c r="AC411" s="33">
        <f>(B411*122.58+C411*297.941+D411*89.177+E411*40.302+F411*40+G411*160+H411*0+I411*100+J411*300)/(122.58+297.941+89.177+40.302+0+40+160+100+300)</f>
        <v>12.171039793478261</v>
      </c>
      <c r="AD411" s="27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12.066258992805754</v>
      </c>
    </row>
    <row r="412" spans="1:30" ht="15.75" x14ac:dyDescent="0.25">
      <c r="A412" s="14">
        <v>53812</v>
      </c>
      <c r="B412" s="10">
        <f>CHOOSE(CONTROL!$C$42, 12.136, 12.136) * CHOOSE(CONTROL!$C$21, $C$9, 100%, $E$9)</f>
        <v>12.135999999999999</v>
      </c>
      <c r="C412" s="10">
        <f>CHOOSE(CONTROL!$C$42, 12.1405, 12.1405) * CHOOSE(CONTROL!$C$21, $C$9, 100%, $E$9)</f>
        <v>12.140499999999999</v>
      </c>
      <c r="D412" s="10">
        <f>CHOOSE(CONTROL!$C$42, 12.3187, 12.3187) * CHOOSE(CONTROL!$C$21, $C$9, 100%, $E$9)</f>
        <v>12.3187</v>
      </c>
      <c r="E412" s="10">
        <f>CHOOSE(CONTROL!$C$42, 12.3506, 12.3506) * CHOOSE(CONTROL!$C$21, $C$9, 100%, $E$9)</f>
        <v>12.3506</v>
      </c>
      <c r="F412" s="10">
        <f>CHOOSE(CONTROL!$C$42, 12.0795, 12.0795)*CHOOSE(CONTROL!$C$21, $C$9, 100%, $E$9)</f>
        <v>12.079499999999999</v>
      </c>
      <c r="G412" s="10">
        <f>CHOOSE(CONTROL!$C$42, 12.0961, 12.0961)*CHOOSE(CONTROL!$C$21, $C$9, 100%, $E$9)</f>
        <v>12.0961</v>
      </c>
      <c r="H412" s="10">
        <f>CHOOSE(CONTROL!$C$42, 12.34, 12.34) * CHOOSE(CONTROL!$C$21, $C$9, 100%, $E$9)</f>
        <v>12.34</v>
      </c>
      <c r="I412" s="10">
        <f>CHOOSE(CONTROL!$C$42, 12.112, 12.112)* CHOOSE(CONTROL!$C$21, $C$9, 100%, $E$9)</f>
        <v>12.112</v>
      </c>
      <c r="J412" s="10">
        <f>CHOOSE(CONTROL!$C$42, 12.0721, 12.0721)* CHOOSE(CONTROL!$C$21, $C$9, 100%, $E$9)</f>
        <v>12.072100000000001</v>
      </c>
      <c r="K412" s="10">
        <f>CHOOSE(CONTROL!$C$42, 11.8914, 11.8914) * CHOOSE(CONTROL!$C$21, $C$9, 100%, $E$9)</f>
        <v>11.891400000000001</v>
      </c>
      <c r="L412" s="10">
        <f>CHOOSE(CONTROL!$C$42, 12.927, 12.927) * CHOOSE(CONTROL!$C$21, $C$9, 100%, $E$9)</f>
        <v>12.927</v>
      </c>
      <c r="M412" s="10">
        <f>CHOOSE(CONTROL!$C$42, 11.9488, 11.9488) * CHOOSE(CONTROL!$C$21, $C$9, 100%, $E$9)</f>
        <v>11.9488</v>
      </c>
      <c r="N412" s="10">
        <f>CHOOSE(CONTROL!$C$42, 11.9652, 11.9652) * CHOOSE(CONTROL!$C$21, $C$9, 100%, $E$9)</f>
        <v>11.965199999999999</v>
      </c>
      <c r="O412" s="10">
        <f>CHOOSE(CONTROL!$C$42, 12.2133, 12.2133) * CHOOSE(CONTROL!$C$21, $C$9, 100%, $E$9)</f>
        <v>12.2133</v>
      </c>
      <c r="P412" s="10">
        <f>CHOOSE(CONTROL!$C$42, 11.9883, 11.9883) * CHOOSE(CONTROL!$C$21, $C$9, 100%, $E$9)</f>
        <v>11.988300000000001</v>
      </c>
      <c r="Q412" s="10">
        <f>CHOOSE(CONTROL!$C$42, 12.8086, 12.8086) * CHOOSE(CONTROL!$C$21, $C$9, 100%, $E$9)</f>
        <v>12.8086</v>
      </c>
      <c r="R412" s="10">
        <f>CHOOSE(CONTROL!$C$42, 13.4277, 13.4277) * CHOOSE(CONTROL!$C$21, $C$9, 100%, $E$9)</f>
        <v>13.4277</v>
      </c>
      <c r="S412" s="10">
        <f>CHOOSE(CONTROL!$C$42, 11.7672, 11.7672) * CHOOSE(CONTROL!$C$21, $C$9, 100%, $E$9)</f>
        <v>11.767200000000001</v>
      </c>
      <c r="T4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38">
        <f>(1000*CHOOSE(CONTROL!$C$42, 695, 695)*CHOOSE(CONTROL!$C$42, 0.5599, 0.5599)*CHOOSE(CONTROL!$C$42, 30, 30))/1000000</f>
        <v>11.673914999999997</v>
      </c>
      <c r="V412" s="38">
        <f>(1000*CHOOSE(CONTROL!$C$42, 500, 500)*CHOOSE(CONTROL!$C$42, 0.275, 0.275)*CHOOSE(CONTROL!$C$42, 30, 30))/1000000</f>
        <v>4.125</v>
      </c>
      <c r="W412" s="38">
        <f>(1000*CHOOSE(CONTROL!$C$42, 0.1146, 0.1146)*CHOOSE(CONTROL!$C$42, 121.5, 121.5)*CHOOSE(CONTROL!$C$42, 30, 30))/1000000</f>
        <v>0.417717</v>
      </c>
      <c r="X412" s="38">
        <f>(30*0.1790888*245000/1000000)+(30*0.2374*100000/1000000)</f>
        <v>2.0285026799999999</v>
      </c>
      <c r="Y412" s="38">
        <f>(1000*600*CHOOSE(CONTROL!$C$42, 1.0896, 1.0896)*CHOOSE(CONTROL!$C$42, 30, 30))/1000000</f>
        <v>19.612799999999996</v>
      </c>
      <c r="Z412" s="38"/>
      <c r="AA412" s="10"/>
      <c r="AB412" s="39"/>
      <c r="AC412" s="33">
        <f>(B412*141.293+C412*267.993+D412*115.016+E412*89.698+F412*40+G412*185+H412*0+I412*100+J412*300)/(141.293+267.993+115.016+89.698+0+40+185+100+300)</f>
        <v>12.144278516949154</v>
      </c>
      <c r="AD412" s="27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12.032471223021584</v>
      </c>
    </row>
    <row r="413" spans="1:30" ht="15.75" x14ac:dyDescent="0.25">
      <c r="A413" s="14">
        <v>53843</v>
      </c>
      <c r="B413" s="10">
        <f>CHOOSE(CONTROL!$C$42, 12.245, 12.245) * CHOOSE(CONTROL!$C$21, $C$9, 100%, $E$9)</f>
        <v>12.244999999999999</v>
      </c>
      <c r="C413" s="10">
        <f>CHOOSE(CONTROL!$C$42, 12.253, 12.253) * CHOOSE(CONTROL!$C$21, $C$9, 100%, $E$9)</f>
        <v>12.253</v>
      </c>
      <c r="D413" s="10">
        <f>CHOOSE(CONTROL!$C$42, 12.4281, 12.4281) * CHOOSE(CONTROL!$C$21, $C$9, 100%, $E$9)</f>
        <v>12.428100000000001</v>
      </c>
      <c r="E413" s="10">
        <f>CHOOSE(CONTROL!$C$42, 12.4594, 12.4594) * CHOOSE(CONTROL!$C$21, $C$9, 100%, $E$9)</f>
        <v>12.4594</v>
      </c>
      <c r="F413" s="10">
        <f>CHOOSE(CONTROL!$C$42, 12.1867, 12.1867)*CHOOSE(CONTROL!$C$21, $C$9, 100%, $E$9)</f>
        <v>12.1867</v>
      </c>
      <c r="G413" s="10">
        <f>CHOOSE(CONTROL!$C$42, 12.2036, 12.2036)*CHOOSE(CONTROL!$C$21, $C$9, 100%, $E$9)</f>
        <v>12.2036</v>
      </c>
      <c r="H413" s="10">
        <f>CHOOSE(CONTROL!$C$42, 12.4477, 12.4477) * CHOOSE(CONTROL!$C$21, $C$9, 100%, $E$9)</f>
        <v>12.447699999999999</v>
      </c>
      <c r="I413" s="10">
        <f>CHOOSE(CONTROL!$C$42, 12.2197, 12.2197)* CHOOSE(CONTROL!$C$21, $C$9, 100%, $E$9)</f>
        <v>12.2197</v>
      </c>
      <c r="J413" s="10">
        <f>CHOOSE(CONTROL!$C$42, 12.1793, 12.1793)* CHOOSE(CONTROL!$C$21, $C$9, 100%, $E$9)</f>
        <v>12.1793</v>
      </c>
      <c r="K413" s="10">
        <f>CHOOSE(CONTROL!$C$42, 11.9948, 11.9948) * CHOOSE(CONTROL!$C$21, $C$9, 100%, $E$9)</f>
        <v>11.9948</v>
      </c>
      <c r="L413" s="10">
        <f>CHOOSE(CONTROL!$C$42, 13.0347, 13.0347) * CHOOSE(CONTROL!$C$21, $C$9, 100%, $E$9)</f>
        <v>13.034700000000001</v>
      </c>
      <c r="M413" s="10">
        <f>CHOOSE(CONTROL!$C$42, 12.0547, 12.0547) * CHOOSE(CONTROL!$C$21, $C$9, 100%, $E$9)</f>
        <v>12.0547</v>
      </c>
      <c r="N413" s="10">
        <f>CHOOSE(CONTROL!$C$42, 12.0714, 12.0714) * CHOOSE(CONTROL!$C$21, $C$9, 100%, $E$9)</f>
        <v>12.071400000000001</v>
      </c>
      <c r="O413" s="10">
        <f>CHOOSE(CONTROL!$C$42, 12.3196, 12.3196) * CHOOSE(CONTROL!$C$21, $C$9, 100%, $E$9)</f>
        <v>12.319599999999999</v>
      </c>
      <c r="P413" s="10">
        <f>CHOOSE(CONTROL!$C$42, 12.0946, 12.0946) * CHOOSE(CONTROL!$C$21, $C$9, 100%, $E$9)</f>
        <v>12.0946</v>
      </c>
      <c r="Q413" s="10">
        <f>CHOOSE(CONTROL!$C$42, 12.9149, 12.9149) * CHOOSE(CONTROL!$C$21, $C$9, 100%, $E$9)</f>
        <v>12.914899999999999</v>
      </c>
      <c r="R413" s="10">
        <f>CHOOSE(CONTROL!$C$42, 13.5342, 13.5342) * CHOOSE(CONTROL!$C$21, $C$9, 100%, $E$9)</f>
        <v>13.5342</v>
      </c>
      <c r="S413" s="10">
        <f>CHOOSE(CONTROL!$C$42, 11.8714, 11.8714) * CHOOSE(CONTROL!$C$21, $C$9, 100%, $E$9)</f>
        <v>11.8714</v>
      </c>
      <c r="T4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38">
        <f>(1000*CHOOSE(CONTROL!$C$42, 695, 695)*CHOOSE(CONTROL!$C$42, 0.5599, 0.5599)*CHOOSE(CONTROL!$C$42, 31, 31))/1000000</f>
        <v>12.063045499999998</v>
      </c>
      <c r="V413" s="38">
        <f>(1000*CHOOSE(CONTROL!$C$42, 500, 500)*CHOOSE(CONTROL!$C$42, 0.275, 0.275)*CHOOSE(CONTROL!$C$42, 31, 31))/1000000</f>
        <v>4.2625000000000002</v>
      </c>
      <c r="W413" s="38">
        <f>(1000*CHOOSE(CONTROL!$C$42, 0.1146, 0.1146)*CHOOSE(CONTROL!$C$42, 121.5, 121.5)*CHOOSE(CONTROL!$C$42, 31, 31))/1000000</f>
        <v>0.43164089999999994</v>
      </c>
      <c r="X413" s="38">
        <f>(31*0.1790888*245000/1000000)+(31*0.2374*100000/1000000)</f>
        <v>2.0961194359999999</v>
      </c>
      <c r="Y413" s="38">
        <f>(1000*600*CHOOSE(CONTROL!$C$42, 1.0896, 1.0896)*CHOOSE(CONTROL!$C$42, 31, 31))/1000000</f>
        <v>20.266559999999995</v>
      </c>
      <c r="Z413" s="38"/>
      <c r="AA413" s="10"/>
      <c r="AB413" s="39"/>
      <c r="AC413" s="33">
        <f>(B413*194.205+C413*267.466+D413*133.845+E413*53.484+F413*40+G413*185+H413*0+I413*100+J413*300)/(194.205+267.466+133.845+53.484+0+40+185+100+300)</f>
        <v>12.249617517346937</v>
      </c>
      <c r="AD413" s="27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12.138610071942445</v>
      </c>
    </row>
    <row r="414" spans="1:30" ht="15.75" x14ac:dyDescent="0.25">
      <c r="A414" s="14">
        <v>53873</v>
      </c>
      <c r="B414" s="10">
        <f>CHOOSE(CONTROL!$C$42, 12.5928, 12.5928) * CHOOSE(CONTROL!$C$21, $C$9, 100%, $E$9)</f>
        <v>12.5928</v>
      </c>
      <c r="C414" s="10">
        <f>CHOOSE(CONTROL!$C$42, 12.6008, 12.6008) * CHOOSE(CONTROL!$C$21, $C$9, 100%, $E$9)</f>
        <v>12.6008</v>
      </c>
      <c r="D414" s="10">
        <f>CHOOSE(CONTROL!$C$42, 12.7759, 12.7759) * CHOOSE(CONTROL!$C$21, $C$9, 100%, $E$9)</f>
        <v>12.7759</v>
      </c>
      <c r="E414" s="10">
        <f>CHOOSE(CONTROL!$C$42, 12.8071, 12.8071) * CHOOSE(CONTROL!$C$21, $C$9, 100%, $E$9)</f>
        <v>12.8071</v>
      </c>
      <c r="F414" s="10">
        <f>CHOOSE(CONTROL!$C$42, 12.5346, 12.5346)*CHOOSE(CONTROL!$C$21, $C$9, 100%, $E$9)</f>
        <v>12.534599999999999</v>
      </c>
      <c r="G414" s="10">
        <f>CHOOSE(CONTROL!$C$42, 12.5516, 12.5516)*CHOOSE(CONTROL!$C$21, $C$9, 100%, $E$9)</f>
        <v>12.551600000000001</v>
      </c>
      <c r="H414" s="10">
        <f>CHOOSE(CONTROL!$C$42, 12.7954, 12.7954) * CHOOSE(CONTROL!$C$21, $C$9, 100%, $E$9)</f>
        <v>12.795400000000001</v>
      </c>
      <c r="I414" s="10">
        <f>CHOOSE(CONTROL!$C$42, 12.5674, 12.5674)* CHOOSE(CONTROL!$C$21, $C$9, 100%, $E$9)</f>
        <v>12.567399999999999</v>
      </c>
      <c r="J414" s="10">
        <f>CHOOSE(CONTROL!$C$42, 12.5272, 12.5272)* CHOOSE(CONTROL!$C$21, $C$9, 100%, $E$9)</f>
        <v>12.527200000000001</v>
      </c>
      <c r="K414" s="10">
        <f>CHOOSE(CONTROL!$C$42, 12.3321, 12.3321) * CHOOSE(CONTROL!$C$21, $C$9, 100%, $E$9)</f>
        <v>12.332100000000001</v>
      </c>
      <c r="L414" s="10">
        <f>CHOOSE(CONTROL!$C$42, 13.3824, 13.3824) * CHOOSE(CONTROL!$C$21, $C$9, 100%, $E$9)</f>
        <v>13.382400000000001</v>
      </c>
      <c r="M414" s="10">
        <f>CHOOSE(CONTROL!$C$42, 12.3981, 12.3981) * CHOOSE(CONTROL!$C$21, $C$9, 100%, $E$9)</f>
        <v>12.398099999999999</v>
      </c>
      <c r="N414" s="10">
        <f>CHOOSE(CONTROL!$C$42, 12.4148, 12.4148) * CHOOSE(CONTROL!$C$21, $C$9, 100%, $E$9)</f>
        <v>12.4148</v>
      </c>
      <c r="O414" s="10">
        <f>CHOOSE(CONTROL!$C$42, 12.6628, 12.6628) * CHOOSE(CONTROL!$C$21, $C$9, 100%, $E$9)</f>
        <v>12.662800000000001</v>
      </c>
      <c r="P414" s="10">
        <f>CHOOSE(CONTROL!$C$42, 12.4378, 12.4378) * CHOOSE(CONTROL!$C$21, $C$9, 100%, $E$9)</f>
        <v>12.437799999999999</v>
      </c>
      <c r="Q414" s="10">
        <f>CHOOSE(CONTROL!$C$42, 13.2581, 13.2581) * CHOOSE(CONTROL!$C$21, $C$9, 100%, $E$9)</f>
        <v>13.258100000000001</v>
      </c>
      <c r="R414" s="10">
        <f>CHOOSE(CONTROL!$C$42, 13.8783, 13.8783) * CHOOSE(CONTROL!$C$21, $C$9, 100%, $E$9)</f>
        <v>13.878299999999999</v>
      </c>
      <c r="S414" s="10">
        <f>CHOOSE(CONTROL!$C$42, 12.2082, 12.2082) * CHOOSE(CONTROL!$C$21, $C$9, 100%, $E$9)</f>
        <v>12.2082</v>
      </c>
      <c r="T4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38">
        <f>(1000*CHOOSE(CONTROL!$C$42, 695, 695)*CHOOSE(CONTROL!$C$42, 0.5599, 0.5599)*CHOOSE(CONTROL!$C$42, 30, 30))/1000000</f>
        <v>11.673914999999997</v>
      </c>
      <c r="V414" s="38">
        <f>(1000*CHOOSE(CONTROL!$C$42, 500, 500)*CHOOSE(CONTROL!$C$42, 0.275, 0.275)*CHOOSE(CONTROL!$C$42, 30, 30))/1000000</f>
        <v>4.125</v>
      </c>
      <c r="W414" s="38">
        <f>(1000*CHOOSE(CONTROL!$C$42, 0.1146, 0.1146)*CHOOSE(CONTROL!$C$42, 121.5, 121.5)*CHOOSE(CONTROL!$C$42, 30, 30))/1000000</f>
        <v>0.417717</v>
      </c>
      <c r="X414" s="38">
        <f>(30*0.1790888*245000/1000000)+(30*0.2374*100000/1000000)</f>
        <v>2.0285026799999999</v>
      </c>
      <c r="Y414" s="38">
        <f>(1000*600*CHOOSE(CONTROL!$C$42, 1.0896, 1.0896)*CHOOSE(CONTROL!$C$42, 30, 30))/1000000</f>
        <v>19.612799999999996</v>
      </c>
      <c r="Z414" s="38"/>
      <c r="AA414" s="10"/>
      <c r="AB414" s="39"/>
      <c r="AC414" s="33">
        <f>(B414*194.205+C414*267.466+D414*133.845+E414*53.484+F414*40+G414*185+H414*0+I414*100+J414*300)/(194.205+267.466+133.845+53.484+0+40+185+100+300)</f>
        <v>12.597461199921508</v>
      </c>
      <c r="AD414" s="27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12.481925179856114</v>
      </c>
    </row>
    <row r="415" spans="1:30" ht="15.75" x14ac:dyDescent="0.25">
      <c r="A415" s="14">
        <v>53904</v>
      </c>
      <c r="B415" s="10">
        <f>CHOOSE(CONTROL!$C$42, 12.3509, 12.3509) * CHOOSE(CONTROL!$C$21, $C$9, 100%, $E$9)</f>
        <v>12.350899999999999</v>
      </c>
      <c r="C415" s="10">
        <f>CHOOSE(CONTROL!$C$42, 12.3589, 12.3589) * CHOOSE(CONTROL!$C$21, $C$9, 100%, $E$9)</f>
        <v>12.3589</v>
      </c>
      <c r="D415" s="10">
        <f>CHOOSE(CONTROL!$C$42, 12.534, 12.534) * CHOOSE(CONTROL!$C$21, $C$9, 100%, $E$9)</f>
        <v>12.534000000000001</v>
      </c>
      <c r="E415" s="10">
        <f>CHOOSE(CONTROL!$C$42, 12.5652, 12.5652) * CHOOSE(CONTROL!$C$21, $C$9, 100%, $E$9)</f>
        <v>12.565200000000001</v>
      </c>
      <c r="F415" s="10">
        <f>CHOOSE(CONTROL!$C$42, 12.2931, 12.2931)*CHOOSE(CONTROL!$C$21, $C$9, 100%, $E$9)</f>
        <v>12.293100000000001</v>
      </c>
      <c r="G415" s="10">
        <f>CHOOSE(CONTROL!$C$42, 12.3102, 12.3102)*CHOOSE(CONTROL!$C$21, $C$9, 100%, $E$9)</f>
        <v>12.3102</v>
      </c>
      <c r="H415" s="10">
        <f>CHOOSE(CONTROL!$C$42, 12.5536, 12.5536) * CHOOSE(CONTROL!$C$21, $C$9, 100%, $E$9)</f>
        <v>12.553599999999999</v>
      </c>
      <c r="I415" s="10">
        <f>CHOOSE(CONTROL!$C$42, 12.3256, 12.3256)* CHOOSE(CONTROL!$C$21, $C$9, 100%, $E$9)</f>
        <v>12.3256</v>
      </c>
      <c r="J415" s="10">
        <f>CHOOSE(CONTROL!$C$42, 12.2857, 12.2857)* CHOOSE(CONTROL!$C$21, $C$9, 100%, $E$9)</f>
        <v>12.2857</v>
      </c>
      <c r="K415" s="10">
        <f>CHOOSE(CONTROL!$C$42, 12.0986, 12.0986) * CHOOSE(CONTROL!$C$21, $C$9, 100%, $E$9)</f>
        <v>12.098599999999999</v>
      </c>
      <c r="L415" s="10">
        <f>CHOOSE(CONTROL!$C$42, 13.1406, 13.1406) * CHOOSE(CONTROL!$C$21, $C$9, 100%, $E$9)</f>
        <v>13.140599999999999</v>
      </c>
      <c r="M415" s="10">
        <f>CHOOSE(CONTROL!$C$42, 12.1597, 12.1597) * CHOOSE(CONTROL!$C$21, $C$9, 100%, $E$9)</f>
        <v>12.159700000000001</v>
      </c>
      <c r="N415" s="10">
        <f>CHOOSE(CONTROL!$C$42, 12.1765, 12.1765) * CHOOSE(CONTROL!$C$21, $C$9, 100%, $E$9)</f>
        <v>12.176500000000001</v>
      </c>
      <c r="O415" s="10">
        <f>CHOOSE(CONTROL!$C$42, 12.4241, 12.4241) * CHOOSE(CONTROL!$C$21, $C$9, 100%, $E$9)</f>
        <v>12.424099999999999</v>
      </c>
      <c r="P415" s="10">
        <f>CHOOSE(CONTROL!$C$42, 12.1991, 12.1991) * CHOOSE(CONTROL!$C$21, $C$9, 100%, $E$9)</f>
        <v>12.1991</v>
      </c>
      <c r="Q415" s="10">
        <f>CHOOSE(CONTROL!$C$42, 13.0194, 13.0194) * CHOOSE(CONTROL!$C$21, $C$9, 100%, $E$9)</f>
        <v>13.019399999999999</v>
      </c>
      <c r="R415" s="10">
        <f>CHOOSE(CONTROL!$C$42, 13.639, 13.639) * CHOOSE(CONTROL!$C$21, $C$9, 100%, $E$9)</f>
        <v>13.638999999999999</v>
      </c>
      <c r="S415" s="10">
        <f>CHOOSE(CONTROL!$C$42, 11.974, 11.974) * CHOOSE(CONTROL!$C$21, $C$9, 100%, $E$9)</f>
        <v>11.974</v>
      </c>
      <c r="T4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38">
        <f>(1000*CHOOSE(CONTROL!$C$42, 695, 695)*CHOOSE(CONTROL!$C$42, 0.5599, 0.5599)*CHOOSE(CONTROL!$C$42, 31, 31))/1000000</f>
        <v>12.063045499999998</v>
      </c>
      <c r="V415" s="38">
        <f>(1000*CHOOSE(CONTROL!$C$42, 500, 500)*CHOOSE(CONTROL!$C$42, 0.275, 0.275)*CHOOSE(CONTROL!$C$42, 31, 31))/1000000</f>
        <v>4.2625000000000002</v>
      </c>
      <c r="W415" s="38">
        <f>(1000*CHOOSE(CONTROL!$C$42, 0.1146, 0.1146)*CHOOSE(CONTROL!$C$42, 121.5, 121.5)*CHOOSE(CONTROL!$C$42, 31, 31))/1000000</f>
        <v>0.43164089999999994</v>
      </c>
      <c r="X415" s="38">
        <f>(31*0.1790888*245000/1000000)+(31*0.2374*100000/1000000)</f>
        <v>2.0961194359999999</v>
      </c>
      <c r="Y415" s="38">
        <f>(1000*600*CHOOSE(CONTROL!$C$42, 1.0896, 1.0896)*CHOOSE(CONTROL!$C$42, 31, 31))/1000000</f>
        <v>20.266559999999995</v>
      </c>
      <c r="Z415" s="38"/>
      <c r="AA415" s="10"/>
      <c r="AB415" s="39"/>
      <c r="AC415" s="33">
        <f>(B415*194.205+C415*267.466+D415*133.845+E415*53.484+F415*40+G415*185+H415*0+I415*100+J415*300)/(194.205+267.466+133.845+53.484+0+40+185+100+300)</f>
        <v>12.355748405572999</v>
      </c>
      <c r="AD415" s="27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12.243420863309355</v>
      </c>
    </row>
    <row r="416" spans="1:30" ht="15.75" x14ac:dyDescent="0.25">
      <c r="A416" s="14">
        <v>53935</v>
      </c>
      <c r="B416" s="10">
        <f>CHOOSE(CONTROL!$C$42, 11.7401, 11.7401) * CHOOSE(CONTROL!$C$21, $C$9, 100%, $E$9)</f>
        <v>11.7401</v>
      </c>
      <c r="C416" s="10">
        <f>CHOOSE(CONTROL!$C$42, 11.7481, 11.7481) * CHOOSE(CONTROL!$C$21, $C$9, 100%, $E$9)</f>
        <v>11.748100000000001</v>
      </c>
      <c r="D416" s="10">
        <f>CHOOSE(CONTROL!$C$42, 11.9233, 11.9233) * CHOOSE(CONTROL!$C$21, $C$9, 100%, $E$9)</f>
        <v>11.923299999999999</v>
      </c>
      <c r="E416" s="10">
        <f>CHOOSE(CONTROL!$C$42, 11.9545, 11.9545) * CHOOSE(CONTROL!$C$21, $C$9, 100%, $E$9)</f>
        <v>11.954499999999999</v>
      </c>
      <c r="F416" s="10">
        <f>CHOOSE(CONTROL!$C$42, 11.6823, 11.6823)*CHOOSE(CONTROL!$C$21, $C$9, 100%, $E$9)</f>
        <v>11.6823</v>
      </c>
      <c r="G416" s="10">
        <f>CHOOSE(CONTROL!$C$42, 11.6993, 11.6993)*CHOOSE(CONTROL!$C$21, $C$9, 100%, $E$9)</f>
        <v>11.699299999999999</v>
      </c>
      <c r="H416" s="10">
        <f>CHOOSE(CONTROL!$C$42, 11.9428, 11.9428) * CHOOSE(CONTROL!$C$21, $C$9, 100%, $E$9)</f>
        <v>11.9428</v>
      </c>
      <c r="I416" s="10">
        <f>CHOOSE(CONTROL!$C$42, 11.7148, 11.7148)* CHOOSE(CONTROL!$C$21, $C$9, 100%, $E$9)</f>
        <v>11.7148</v>
      </c>
      <c r="J416" s="10">
        <f>CHOOSE(CONTROL!$C$42, 11.6749, 11.6749)* CHOOSE(CONTROL!$C$21, $C$9, 100%, $E$9)</f>
        <v>11.674899999999999</v>
      </c>
      <c r="K416" s="10">
        <f>CHOOSE(CONTROL!$C$42, 11.5066, 11.5066) * CHOOSE(CONTROL!$C$21, $C$9, 100%, $E$9)</f>
        <v>11.506600000000001</v>
      </c>
      <c r="L416" s="10">
        <f>CHOOSE(CONTROL!$C$42, 12.5298, 12.5298) * CHOOSE(CONTROL!$C$21, $C$9, 100%, $E$9)</f>
        <v>12.5298</v>
      </c>
      <c r="M416" s="10">
        <f>CHOOSE(CONTROL!$C$42, 11.5568, 11.5568) * CHOOSE(CONTROL!$C$21, $C$9, 100%, $E$9)</f>
        <v>11.556800000000001</v>
      </c>
      <c r="N416" s="10">
        <f>CHOOSE(CONTROL!$C$42, 11.5735, 11.5735) * CHOOSE(CONTROL!$C$21, $C$9, 100%, $E$9)</f>
        <v>11.573499999999999</v>
      </c>
      <c r="O416" s="10">
        <f>CHOOSE(CONTROL!$C$42, 11.8213, 11.8213) * CHOOSE(CONTROL!$C$21, $C$9, 100%, $E$9)</f>
        <v>11.821300000000001</v>
      </c>
      <c r="P416" s="10">
        <f>CHOOSE(CONTROL!$C$42, 11.5962, 11.5962) * CHOOSE(CONTROL!$C$21, $C$9, 100%, $E$9)</f>
        <v>11.5962</v>
      </c>
      <c r="Q416" s="10">
        <f>CHOOSE(CONTROL!$C$42, 12.4166, 12.4166) * CHOOSE(CONTROL!$C$21, $C$9, 100%, $E$9)</f>
        <v>12.416600000000001</v>
      </c>
      <c r="R416" s="10">
        <f>CHOOSE(CONTROL!$C$42, 13.0346, 13.0346) * CHOOSE(CONTROL!$C$21, $C$9, 100%, $E$9)</f>
        <v>13.034599999999999</v>
      </c>
      <c r="S416" s="10">
        <f>CHOOSE(CONTROL!$C$42, 11.3826, 11.3826) * CHOOSE(CONTROL!$C$21, $C$9, 100%, $E$9)</f>
        <v>11.3826</v>
      </c>
      <c r="T4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38">
        <f>(1000*CHOOSE(CONTROL!$C$42, 695, 695)*CHOOSE(CONTROL!$C$42, 0.5599, 0.5599)*CHOOSE(CONTROL!$C$42, 31, 31))/1000000</f>
        <v>12.063045499999998</v>
      </c>
      <c r="V416" s="38">
        <f>(1000*CHOOSE(CONTROL!$C$42, 500, 500)*CHOOSE(CONTROL!$C$42, 0.275, 0.275)*CHOOSE(CONTROL!$C$42, 31, 31))/1000000</f>
        <v>4.2625000000000002</v>
      </c>
      <c r="W416" s="38">
        <f>(1000*CHOOSE(CONTROL!$C$42, 0.1146, 0.1146)*CHOOSE(CONTROL!$C$42, 121.5, 121.5)*CHOOSE(CONTROL!$C$42, 31, 31))/1000000</f>
        <v>0.43164089999999994</v>
      </c>
      <c r="X416" s="38">
        <f>(31*0.1790888*245000/1000000)+(31*0.2374*100000/1000000)</f>
        <v>2.0961194359999999</v>
      </c>
      <c r="Y416" s="38">
        <f>(1000*600*CHOOSE(CONTROL!$C$42, 1.0896, 1.0896)*CHOOSE(CONTROL!$C$42, 31, 31))/1000000</f>
        <v>20.266559999999995</v>
      </c>
      <c r="Z416" s="38"/>
      <c r="AA416" s="10"/>
      <c r="AB416" s="39"/>
      <c r="AC416" s="33">
        <f>(B416*194.205+C416*267.466+D416*133.845+E416*53.484+F416*40+G416*185+H416*0+I416*100+J416*300)/(194.205+267.466+133.845+53.484+0+40+185+100+300)</f>
        <v>11.744948588383046</v>
      </c>
      <c r="AD416" s="27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11.640525899280576</v>
      </c>
    </row>
    <row r="417" spans="1:30" ht="15.75" x14ac:dyDescent="0.25">
      <c r="A417" s="14">
        <v>53965</v>
      </c>
      <c r="B417" s="10">
        <f>CHOOSE(CONTROL!$C$42, 10.9939, 10.9939) * CHOOSE(CONTROL!$C$21, $C$9, 100%, $E$9)</f>
        <v>10.9939</v>
      </c>
      <c r="C417" s="10">
        <f>CHOOSE(CONTROL!$C$42, 11.0019, 11.0019) * CHOOSE(CONTROL!$C$21, $C$9, 100%, $E$9)</f>
        <v>11.001899999999999</v>
      </c>
      <c r="D417" s="10">
        <f>CHOOSE(CONTROL!$C$42, 11.177, 11.177) * CHOOSE(CONTROL!$C$21, $C$9, 100%, $E$9)</f>
        <v>11.177</v>
      </c>
      <c r="E417" s="10">
        <f>CHOOSE(CONTROL!$C$42, 11.2082, 11.2082) * CHOOSE(CONTROL!$C$21, $C$9, 100%, $E$9)</f>
        <v>11.2082</v>
      </c>
      <c r="F417" s="10">
        <f>CHOOSE(CONTROL!$C$42, 10.9357, 10.9357)*CHOOSE(CONTROL!$C$21, $C$9, 100%, $E$9)</f>
        <v>10.935700000000001</v>
      </c>
      <c r="G417" s="10">
        <f>CHOOSE(CONTROL!$C$42, 10.9526, 10.9526)*CHOOSE(CONTROL!$C$21, $C$9, 100%, $E$9)</f>
        <v>10.9526</v>
      </c>
      <c r="H417" s="10">
        <f>CHOOSE(CONTROL!$C$42, 11.1966, 11.1966) * CHOOSE(CONTROL!$C$21, $C$9, 100%, $E$9)</f>
        <v>11.1966</v>
      </c>
      <c r="I417" s="10">
        <f>CHOOSE(CONTROL!$C$42, 10.9686, 10.9686)* CHOOSE(CONTROL!$C$21, $C$9, 100%, $E$9)</f>
        <v>10.9686</v>
      </c>
      <c r="J417" s="10">
        <f>CHOOSE(CONTROL!$C$42, 10.9283, 10.9283)* CHOOSE(CONTROL!$C$21, $C$9, 100%, $E$9)</f>
        <v>10.9283</v>
      </c>
      <c r="K417" s="10">
        <f>CHOOSE(CONTROL!$C$42, 10.783, 10.783) * CHOOSE(CONTROL!$C$21, $C$9, 100%, $E$9)</f>
        <v>10.782999999999999</v>
      </c>
      <c r="L417" s="10">
        <f>CHOOSE(CONTROL!$C$42, 11.7836, 11.7836) * CHOOSE(CONTROL!$C$21, $C$9, 100%, $E$9)</f>
        <v>11.7836</v>
      </c>
      <c r="M417" s="10">
        <f>CHOOSE(CONTROL!$C$42, 10.8199, 10.8199) * CHOOSE(CONTROL!$C$21, $C$9, 100%, $E$9)</f>
        <v>10.819900000000001</v>
      </c>
      <c r="N417" s="10">
        <f>CHOOSE(CONTROL!$C$42, 10.8366, 10.8366) * CHOOSE(CONTROL!$C$21, $C$9, 100%, $E$9)</f>
        <v>10.836600000000001</v>
      </c>
      <c r="O417" s="10">
        <f>CHOOSE(CONTROL!$C$42, 11.0847, 11.0847) * CHOOSE(CONTROL!$C$21, $C$9, 100%, $E$9)</f>
        <v>11.0847</v>
      </c>
      <c r="P417" s="10">
        <f>CHOOSE(CONTROL!$C$42, 10.8597, 10.8597) * CHOOSE(CONTROL!$C$21, $C$9, 100%, $E$9)</f>
        <v>10.8597</v>
      </c>
      <c r="Q417" s="10">
        <f>CHOOSE(CONTROL!$C$42, 11.68, 11.68) * CHOOSE(CONTROL!$C$21, $C$9, 100%, $E$9)</f>
        <v>11.68</v>
      </c>
      <c r="R417" s="10">
        <f>CHOOSE(CONTROL!$C$42, 12.2962, 12.2962) * CHOOSE(CONTROL!$C$21, $C$9, 100%, $E$9)</f>
        <v>12.296200000000001</v>
      </c>
      <c r="S417" s="10">
        <f>CHOOSE(CONTROL!$C$42, 10.66, 10.66) * CHOOSE(CONTROL!$C$21, $C$9, 100%, $E$9)</f>
        <v>10.66</v>
      </c>
      <c r="T4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38">
        <f>(1000*CHOOSE(CONTROL!$C$42, 695, 695)*CHOOSE(CONTROL!$C$42, 0.5599, 0.5599)*CHOOSE(CONTROL!$C$42, 30, 30))/1000000</f>
        <v>11.673914999999997</v>
      </c>
      <c r="V417" s="38">
        <f>(1000*CHOOSE(CONTROL!$C$42, 500, 500)*CHOOSE(CONTROL!$C$42, 0.275, 0.275)*CHOOSE(CONTROL!$C$42, 30, 30))/1000000</f>
        <v>4.125</v>
      </c>
      <c r="W417" s="38">
        <f>(1000*CHOOSE(CONTROL!$C$42, 0.1146, 0.1146)*CHOOSE(CONTROL!$C$42, 121.5, 121.5)*CHOOSE(CONTROL!$C$42, 30, 30))/1000000</f>
        <v>0.417717</v>
      </c>
      <c r="X417" s="38">
        <f>(30*0.1790888*245000/1000000)+(30*0.2374*100000/1000000)</f>
        <v>2.0285026799999999</v>
      </c>
      <c r="Y417" s="38">
        <f>(1000*600*CHOOSE(CONTROL!$C$42, 1.0896, 1.0896)*CHOOSE(CONTROL!$C$42, 30, 30))/1000000</f>
        <v>19.612799999999996</v>
      </c>
      <c r="Z417" s="38"/>
      <c r="AA417" s="10"/>
      <c r="AB417" s="39"/>
      <c r="AC417" s="33">
        <f>(B417*194.205+C417*267.466+D417*133.845+E417*53.484+F417*40+G417*185+H417*0+I417*100+J417*300)/(194.205+267.466+133.845+53.484+0+40+185+100+300)</f>
        <v>10.998554528021977</v>
      </c>
      <c r="AD417" s="27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10.903767625899283</v>
      </c>
    </row>
    <row r="418" spans="1:30" ht="15.75" x14ac:dyDescent="0.25">
      <c r="A418" s="14">
        <v>53996</v>
      </c>
      <c r="B418" s="10">
        <f>CHOOSE(CONTROL!$C$42, 10.7683, 10.7683) * CHOOSE(CONTROL!$C$21, $C$9, 100%, $E$9)</f>
        <v>10.7683</v>
      </c>
      <c r="C418" s="10">
        <f>CHOOSE(CONTROL!$C$42, 10.7736, 10.7736) * CHOOSE(CONTROL!$C$21, $C$9, 100%, $E$9)</f>
        <v>10.7736</v>
      </c>
      <c r="D418" s="10">
        <f>CHOOSE(CONTROL!$C$42, 10.9536, 10.9536) * CHOOSE(CONTROL!$C$21, $C$9, 100%, $E$9)</f>
        <v>10.9536</v>
      </c>
      <c r="E418" s="10">
        <f>CHOOSE(CONTROL!$C$42, 10.9826, 10.9826) * CHOOSE(CONTROL!$C$21, $C$9, 100%, $E$9)</f>
        <v>10.9826</v>
      </c>
      <c r="F418" s="10">
        <f>CHOOSE(CONTROL!$C$42, 10.7121, 10.7121)*CHOOSE(CONTROL!$C$21, $C$9, 100%, $E$9)</f>
        <v>10.7121</v>
      </c>
      <c r="G418" s="10">
        <f>CHOOSE(CONTROL!$C$42, 10.7287, 10.7287)*CHOOSE(CONTROL!$C$21, $C$9, 100%, $E$9)</f>
        <v>10.7287</v>
      </c>
      <c r="H418" s="10">
        <f>CHOOSE(CONTROL!$C$42, 10.9727, 10.9727) * CHOOSE(CONTROL!$C$21, $C$9, 100%, $E$9)</f>
        <v>10.9727</v>
      </c>
      <c r="I418" s="10">
        <f>CHOOSE(CONTROL!$C$42, 10.7447, 10.7447)* CHOOSE(CONTROL!$C$21, $C$9, 100%, $E$9)</f>
        <v>10.7447</v>
      </c>
      <c r="J418" s="10">
        <f>CHOOSE(CONTROL!$C$42, 10.7047, 10.7047)* CHOOSE(CONTROL!$C$21, $C$9, 100%, $E$9)</f>
        <v>10.704700000000001</v>
      </c>
      <c r="K418" s="10">
        <f>CHOOSE(CONTROL!$C$42, 10.5667, 10.5667) * CHOOSE(CONTROL!$C$21, $C$9, 100%, $E$9)</f>
        <v>10.566700000000001</v>
      </c>
      <c r="L418" s="10">
        <f>CHOOSE(CONTROL!$C$42, 11.5597, 11.5597) * CHOOSE(CONTROL!$C$21, $C$9, 100%, $E$9)</f>
        <v>11.559699999999999</v>
      </c>
      <c r="M418" s="10">
        <f>CHOOSE(CONTROL!$C$42, 10.5991, 10.5991) * CHOOSE(CONTROL!$C$21, $C$9, 100%, $E$9)</f>
        <v>10.5991</v>
      </c>
      <c r="N418" s="10">
        <f>CHOOSE(CONTROL!$C$42, 10.6155, 10.6155) * CHOOSE(CONTROL!$C$21, $C$9, 100%, $E$9)</f>
        <v>10.615500000000001</v>
      </c>
      <c r="O418" s="10">
        <f>CHOOSE(CONTROL!$C$42, 10.8637, 10.8637) * CHOOSE(CONTROL!$C$21, $C$9, 100%, $E$9)</f>
        <v>10.8637</v>
      </c>
      <c r="P418" s="10">
        <f>CHOOSE(CONTROL!$C$42, 10.6387, 10.6387) * CHOOSE(CONTROL!$C$21, $C$9, 100%, $E$9)</f>
        <v>10.6387</v>
      </c>
      <c r="Q418" s="10">
        <f>CHOOSE(CONTROL!$C$42, 11.459, 11.459) * CHOOSE(CONTROL!$C$21, $C$9, 100%, $E$9)</f>
        <v>11.459</v>
      </c>
      <c r="R418" s="10">
        <f>CHOOSE(CONTROL!$C$42, 12.0746, 12.0746) * CHOOSE(CONTROL!$C$21, $C$9, 100%, $E$9)</f>
        <v>12.0746</v>
      </c>
      <c r="S418" s="10">
        <f>CHOOSE(CONTROL!$C$42, 10.4432, 10.4432) * CHOOSE(CONTROL!$C$21, $C$9, 100%, $E$9)</f>
        <v>10.443199999999999</v>
      </c>
      <c r="T4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38">
        <f>(1000*CHOOSE(CONTROL!$C$42, 695, 695)*CHOOSE(CONTROL!$C$42, 0.5599, 0.5599)*CHOOSE(CONTROL!$C$42, 31, 31))/1000000</f>
        <v>12.063045499999998</v>
      </c>
      <c r="V418" s="38">
        <f>(1000*CHOOSE(CONTROL!$C$42, 500, 500)*CHOOSE(CONTROL!$C$42, 0.275, 0.275)*CHOOSE(CONTROL!$C$42, 31, 31))/1000000</f>
        <v>4.2625000000000002</v>
      </c>
      <c r="W418" s="38">
        <f>(1000*CHOOSE(CONTROL!$C$42, 0.1146, 0.1146)*CHOOSE(CONTROL!$C$42, 121.5, 121.5)*CHOOSE(CONTROL!$C$42, 31, 31))/1000000</f>
        <v>0.43164089999999994</v>
      </c>
      <c r="X418" s="38">
        <f>(31*0.1790888*245000/1000000)+(31*0.2374*100000/1000000)</f>
        <v>2.0961194359999999</v>
      </c>
      <c r="Y418" s="38">
        <f>(1000*600*CHOOSE(CONTROL!$C$42, 1.0896, 1.0896)*CHOOSE(CONTROL!$C$42, 31, 31))/1000000</f>
        <v>20.266559999999995</v>
      </c>
      <c r="Z418" s="38"/>
      <c r="AA418" s="10"/>
      <c r="AB418" s="39"/>
      <c r="AC418" s="33">
        <f>(B418*131.881+C418*277.167+D418*79.08+E418*125.872+F418*40+G418*185+H418*0+I418*100+J418*300)/(131.881+277.167+79.08+125.872+0+40+185+100+300)</f>
        <v>10.778052121630346</v>
      </c>
      <c r="AD418" s="27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10.682813669064748</v>
      </c>
    </row>
    <row r="419" spans="1:30" ht="15.75" x14ac:dyDescent="0.25">
      <c r="A419" s="14">
        <v>54026</v>
      </c>
      <c r="B419" s="10">
        <f>CHOOSE(CONTROL!$C$42, 11.052, 11.052) * CHOOSE(CONTROL!$C$21, $C$9, 100%, $E$9)</f>
        <v>11.052</v>
      </c>
      <c r="C419" s="10">
        <f>CHOOSE(CONTROL!$C$42, 11.0571, 11.0571) * CHOOSE(CONTROL!$C$21, $C$9, 100%, $E$9)</f>
        <v>11.0571</v>
      </c>
      <c r="D419" s="10">
        <f>CHOOSE(CONTROL!$C$42, 11.0818, 11.0818) * CHOOSE(CONTROL!$C$21, $C$9, 100%, $E$9)</f>
        <v>11.081799999999999</v>
      </c>
      <c r="E419" s="10">
        <f>CHOOSE(CONTROL!$C$42, 11.1156, 11.1156) * CHOOSE(CONTROL!$C$21, $C$9, 100%, $E$9)</f>
        <v>11.115600000000001</v>
      </c>
      <c r="F419" s="10">
        <f>CHOOSE(CONTROL!$C$42, 11.0176, 11.0176)*CHOOSE(CONTROL!$C$21, $C$9, 100%, $E$9)</f>
        <v>11.0176</v>
      </c>
      <c r="G419" s="10">
        <f>CHOOSE(CONTROL!$C$42, 11.0344, 11.0344)*CHOOSE(CONTROL!$C$21, $C$9, 100%, $E$9)</f>
        <v>11.0344</v>
      </c>
      <c r="H419" s="10">
        <f>CHOOSE(CONTROL!$C$42, 11.1045, 11.1045) * CHOOSE(CONTROL!$C$21, $C$9, 100%, $E$9)</f>
        <v>11.1045</v>
      </c>
      <c r="I419" s="10">
        <f>CHOOSE(CONTROL!$C$42, 11.0515, 11.0515)* CHOOSE(CONTROL!$C$21, $C$9, 100%, $E$9)</f>
        <v>11.051500000000001</v>
      </c>
      <c r="J419" s="10">
        <f>CHOOSE(CONTROL!$C$42, 11.0102, 11.0102)* CHOOSE(CONTROL!$C$21, $C$9, 100%, $E$9)</f>
        <v>11.010199999999999</v>
      </c>
      <c r="K419" s="10">
        <f>CHOOSE(CONTROL!$C$42, 10.8657, 10.8657) * CHOOSE(CONTROL!$C$21, $C$9, 100%, $E$9)</f>
        <v>10.8657</v>
      </c>
      <c r="L419" s="10">
        <f>CHOOSE(CONTROL!$C$42, 11.6915, 11.6915) * CHOOSE(CONTROL!$C$21, $C$9, 100%, $E$9)</f>
        <v>11.6915</v>
      </c>
      <c r="M419" s="10">
        <f>CHOOSE(CONTROL!$C$42, 10.9007, 10.9007) * CHOOSE(CONTROL!$C$21, $C$9, 100%, $E$9)</f>
        <v>10.900700000000001</v>
      </c>
      <c r="N419" s="10">
        <f>CHOOSE(CONTROL!$C$42, 10.9173, 10.9173) * CHOOSE(CONTROL!$C$21, $C$9, 100%, $E$9)</f>
        <v>10.917299999999999</v>
      </c>
      <c r="O419" s="10">
        <f>CHOOSE(CONTROL!$C$42, 10.9938, 10.9938) * CHOOSE(CONTROL!$C$21, $C$9, 100%, $E$9)</f>
        <v>10.9938</v>
      </c>
      <c r="P419" s="10">
        <f>CHOOSE(CONTROL!$C$42, 10.9415, 10.9415) * CHOOSE(CONTROL!$C$21, $C$9, 100%, $E$9)</f>
        <v>10.9415</v>
      </c>
      <c r="Q419" s="10">
        <f>CHOOSE(CONTROL!$C$42, 11.5891, 11.5891) * CHOOSE(CONTROL!$C$21, $C$9, 100%, $E$9)</f>
        <v>11.5891</v>
      </c>
      <c r="R419" s="10">
        <f>CHOOSE(CONTROL!$C$42, 12.205, 12.205) * CHOOSE(CONTROL!$C$21, $C$9, 100%, $E$9)</f>
        <v>12.205</v>
      </c>
      <c r="S419" s="10">
        <f>CHOOSE(CONTROL!$C$42, 10.7183, 10.7183) * CHOOSE(CONTROL!$C$21, $C$9, 100%, $E$9)</f>
        <v>10.718299999999999</v>
      </c>
      <c r="T4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38">
        <f>(1000*CHOOSE(CONTROL!$C$42, 695, 695)*CHOOSE(CONTROL!$C$42, 0.5599, 0.5599)*CHOOSE(CONTROL!$C$42, 30, 30))/1000000</f>
        <v>11.673914999999997</v>
      </c>
      <c r="V419" s="38">
        <f>(1000*CHOOSE(CONTROL!$C$42, 500, 500)*CHOOSE(CONTROL!$C$42, 0.275, 0.275)*CHOOSE(CONTROL!$C$42, 30, 30))/1000000</f>
        <v>4.125</v>
      </c>
      <c r="W419" s="38">
        <f>(1000*CHOOSE(CONTROL!$C$42, 0.1146, 0.1146)*CHOOSE(CONTROL!$C$42, 121.5, 121.5)*CHOOSE(CONTROL!$C$42, 30, 30))/1000000</f>
        <v>0.417717</v>
      </c>
      <c r="X419" s="38">
        <f>(30*0.1790888*100000/1000000)+(30*0.2374*100000/1000000)</f>
        <v>1.2494664</v>
      </c>
      <c r="Y419" s="38">
        <f>(1000*600*CHOOSE(CONTROL!$C$42, 1.0896, 1.0896)*CHOOSE(CONTROL!$C$42, 30, 30))/1000000</f>
        <v>19.612799999999996</v>
      </c>
      <c r="Z419" s="38"/>
      <c r="AA419" s="10"/>
      <c r="AB419" s="39"/>
      <c r="AC419" s="33">
        <f>(B419*122.58+C419*297.941+D419*89.177+E419*40.302+F419*40+G419*160+H419*0+I419*100+J419*300)/(122.58+297.941+89.177+40.302+0+40+160+100+300)</f>
        <v>11.043267983391303</v>
      </c>
      <c r="AD419" s="27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10.949722302158273</v>
      </c>
    </row>
    <row r="420" spans="1:30" ht="15.75" x14ac:dyDescent="0.25">
      <c r="A420" s="14">
        <v>54057</v>
      </c>
      <c r="B420" s="10">
        <f>CHOOSE(CONTROL!$C$42, 11.8066, 11.8066) * CHOOSE(CONTROL!$C$21, $C$9, 100%, $E$9)</f>
        <v>11.8066</v>
      </c>
      <c r="C420" s="10">
        <f>CHOOSE(CONTROL!$C$42, 11.8117, 11.8117) * CHOOSE(CONTROL!$C$21, $C$9, 100%, $E$9)</f>
        <v>11.8117</v>
      </c>
      <c r="D420" s="10">
        <f>CHOOSE(CONTROL!$C$42, 11.8364, 11.8364) * CHOOSE(CONTROL!$C$21, $C$9, 100%, $E$9)</f>
        <v>11.836399999999999</v>
      </c>
      <c r="E420" s="10">
        <f>CHOOSE(CONTROL!$C$42, 11.8702, 11.8702) * CHOOSE(CONTROL!$C$21, $C$9, 100%, $E$9)</f>
        <v>11.870200000000001</v>
      </c>
      <c r="F420" s="10">
        <f>CHOOSE(CONTROL!$C$42, 11.774, 11.774)*CHOOSE(CONTROL!$C$21, $C$9, 100%, $E$9)</f>
        <v>11.773999999999999</v>
      </c>
      <c r="G420" s="10">
        <f>CHOOSE(CONTROL!$C$42, 11.7913, 11.7913)*CHOOSE(CONTROL!$C$21, $C$9, 100%, $E$9)</f>
        <v>11.7913</v>
      </c>
      <c r="H420" s="10">
        <f>CHOOSE(CONTROL!$C$42, 11.8591, 11.8591) * CHOOSE(CONTROL!$C$21, $C$9, 100%, $E$9)</f>
        <v>11.8591</v>
      </c>
      <c r="I420" s="10">
        <f>CHOOSE(CONTROL!$C$42, 11.8061, 11.8061)* CHOOSE(CONTROL!$C$21, $C$9, 100%, $E$9)</f>
        <v>11.806100000000001</v>
      </c>
      <c r="J420" s="10">
        <f>CHOOSE(CONTROL!$C$42, 11.7666, 11.7666)* CHOOSE(CONTROL!$C$21, $C$9, 100%, $E$9)</f>
        <v>11.7666</v>
      </c>
      <c r="K420" s="10">
        <f>CHOOSE(CONTROL!$C$42, 11.6007, 11.6007) * CHOOSE(CONTROL!$C$21, $C$9, 100%, $E$9)</f>
        <v>11.6007</v>
      </c>
      <c r="L420" s="10">
        <f>CHOOSE(CONTROL!$C$42, 12.4461, 12.4461) * CHOOSE(CONTROL!$C$21, $C$9, 100%, $E$9)</f>
        <v>12.446099999999999</v>
      </c>
      <c r="M420" s="10">
        <f>CHOOSE(CONTROL!$C$42, 11.6474, 11.6474) * CHOOSE(CONTROL!$C$21, $C$9, 100%, $E$9)</f>
        <v>11.647399999999999</v>
      </c>
      <c r="N420" s="10">
        <f>CHOOSE(CONTROL!$C$42, 11.6644, 11.6644) * CHOOSE(CONTROL!$C$21, $C$9, 100%, $E$9)</f>
        <v>11.664400000000001</v>
      </c>
      <c r="O420" s="10">
        <f>CHOOSE(CONTROL!$C$42, 11.7386, 11.7386) * CHOOSE(CONTROL!$C$21, $C$9, 100%, $E$9)</f>
        <v>11.7386</v>
      </c>
      <c r="P420" s="10">
        <f>CHOOSE(CONTROL!$C$42, 11.6864, 11.6864) * CHOOSE(CONTROL!$C$21, $C$9, 100%, $E$9)</f>
        <v>11.686400000000001</v>
      </c>
      <c r="Q420" s="10">
        <f>CHOOSE(CONTROL!$C$42, 12.3339, 12.3339) * CHOOSE(CONTROL!$C$21, $C$9, 100%, $E$9)</f>
        <v>12.3339</v>
      </c>
      <c r="R420" s="10">
        <f>CHOOSE(CONTROL!$C$42, 12.9518, 12.9518) * CHOOSE(CONTROL!$C$21, $C$9, 100%, $E$9)</f>
        <v>12.9518</v>
      </c>
      <c r="S420" s="10">
        <f>CHOOSE(CONTROL!$C$42, 11.449, 11.449) * CHOOSE(CONTROL!$C$21, $C$9, 100%, $E$9)</f>
        <v>11.449</v>
      </c>
      <c r="T4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38">
        <f>(1000*CHOOSE(CONTROL!$C$42, 695, 695)*CHOOSE(CONTROL!$C$42, 0.5599, 0.5599)*CHOOSE(CONTROL!$C$42, 31, 31))/1000000</f>
        <v>12.063045499999998</v>
      </c>
      <c r="V420" s="38">
        <f>(1000*CHOOSE(CONTROL!$C$42, 500, 500)*CHOOSE(CONTROL!$C$42, 0.275, 0.275)*CHOOSE(CONTROL!$C$42, 31, 31))/1000000</f>
        <v>4.2625000000000002</v>
      </c>
      <c r="W420" s="38">
        <f>(1000*CHOOSE(CONTROL!$C$42, 0.1146, 0.1146)*CHOOSE(CONTROL!$C$42, 121.5, 121.5)*CHOOSE(CONTROL!$C$42, 31, 31))/1000000</f>
        <v>0.43164089999999994</v>
      </c>
      <c r="X420" s="38">
        <f>(31*0.1790888*100000/1000000)+(31*0.2374*100000/1000000)</f>
        <v>1.2911152800000001</v>
      </c>
      <c r="Y420" s="38">
        <f>(1000*600*CHOOSE(CONTROL!$C$42, 1.0896, 1.0896)*CHOOSE(CONTROL!$C$42, 31, 31))/1000000</f>
        <v>20.266559999999995</v>
      </c>
      <c r="Z420" s="38"/>
      <c r="AA420" s="10"/>
      <c r="AB420" s="39"/>
      <c r="AC420" s="33">
        <f>(B420*122.58+C420*297.941+D420*89.177+E420*40.302+F420*40+G420*160+H420*0+I420*100+J420*300)/(122.58+297.941+89.177+40.302+0+40+160+100+300)</f>
        <v>11.798720157304347</v>
      </c>
      <c r="AD420" s="27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11.695325179856116</v>
      </c>
    </row>
    <row r="421" spans="1:30" ht="15.75" x14ac:dyDescent="0.25">
      <c r="A421" s="14">
        <v>54088</v>
      </c>
      <c r="B421" s="10">
        <f>CHOOSE(CONTROL!$C$42, 12.6046, 12.6046) * CHOOSE(CONTROL!$C$21, $C$9, 100%, $E$9)</f>
        <v>12.6046</v>
      </c>
      <c r="C421" s="10">
        <f>CHOOSE(CONTROL!$C$42, 12.6097, 12.6097) * CHOOSE(CONTROL!$C$21, $C$9, 100%, $E$9)</f>
        <v>12.6097</v>
      </c>
      <c r="D421" s="10">
        <f>CHOOSE(CONTROL!$C$42, 12.6447, 12.6447) * CHOOSE(CONTROL!$C$21, $C$9, 100%, $E$9)</f>
        <v>12.6447</v>
      </c>
      <c r="E421" s="10">
        <f>CHOOSE(CONTROL!$C$42, 12.6785, 12.6785) * CHOOSE(CONTROL!$C$21, $C$9, 100%, $E$9)</f>
        <v>12.6785</v>
      </c>
      <c r="F421" s="10">
        <f>CHOOSE(CONTROL!$C$42, 12.5859, 12.5859)*CHOOSE(CONTROL!$C$21, $C$9, 100%, $E$9)</f>
        <v>12.585900000000001</v>
      </c>
      <c r="G421" s="10">
        <f>CHOOSE(CONTROL!$C$42, 12.6048, 12.6048)*CHOOSE(CONTROL!$C$21, $C$9, 100%, $E$9)</f>
        <v>12.604799999999999</v>
      </c>
      <c r="H421" s="10">
        <f>CHOOSE(CONTROL!$C$42, 12.6674, 12.6674) * CHOOSE(CONTROL!$C$21, $C$9, 100%, $E$9)</f>
        <v>12.667400000000001</v>
      </c>
      <c r="I421" s="10">
        <f>CHOOSE(CONTROL!$C$42, 12.6119, 12.6119)* CHOOSE(CONTROL!$C$21, $C$9, 100%, $E$9)</f>
        <v>12.6119</v>
      </c>
      <c r="J421" s="10">
        <f>CHOOSE(CONTROL!$C$42, 12.5785, 12.5785)* CHOOSE(CONTROL!$C$21, $C$9, 100%, $E$9)</f>
        <v>12.5785</v>
      </c>
      <c r="K421" s="10">
        <f>CHOOSE(CONTROL!$C$42, 12.3945, 12.3945) * CHOOSE(CONTROL!$C$21, $C$9, 100%, $E$9)</f>
        <v>12.394500000000001</v>
      </c>
      <c r="L421" s="10">
        <f>CHOOSE(CONTROL!$C$42, 13.2544, 13.2544) * CHOOSE(CONTROL!$C$21, $C$9, 100%, $E$9)</f>
        <v>13.2544</v>
      </c>
      <c r="M421" s="10">
        <f>CHOOSE(CONTROL!$C$42, 12.4487, 12.4487) * CHOOSE(CONTROL!$C$21, $C$9, 100%, $E$9)</f>
        <v>12.448700000000001</v>
      </c>
      <c r="N421" s="10">
        <f>CHOOSE(CONTROL!$C$42, 12.4674, 12.4674) * CHOOSE(CONTROL!$C$21, $C$9, 100%, $E$9)</f>
        <v>12.4674</v>
      </c>
      <c r="O421" s="10">
        <f>CHOOSE(CONTROL!$C$42, 12.5365, 12.5365) * CHOOSE(CONTROL!$C$21, $C$9, 100%, $E$9)</f>
        <v>12.5365</v>
      </c>
      <c r="P421" s="10">
        <f>CHOOSE(CONTROL!$C$42, 12.4817, 12.4817) * CHOOSE(CONTROL!$C$21, $C$9, 100%, $E$9)</f>
        <v>12.4817</v>
      </c>
      <c r="Q421" s="10">
        <f>CHOOSE(CONTROL!$C$42, 13.1318, 13.1318) * CHOOSE(CONTROL!$C$21, $C$9, 100%, $E$9)</f>
        <v>13.1318</v>
      </c>
      <c r="R421" s="10">
        <f>CHOOSE(CONTROL!$C$42, 13.7516, 13.7516) * CHOOSE(CONTROL!$C$21, $C$9, 100%, $E$9)</f>
        <v>13.7516</v>
      </c>
      <c r="S421" s="10">
        <f>CHOOSE(CONTROL!$C$42, 12.2217, 12.2217) * CHOOSE(CONTROL!$C$21, $C$9, 100%, $E$9)</f>
        <v>12.2217</v>
      </c>
      <c r="T4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38">
        <f>(1000*CHOOSE(CONTROL!$C$42, 695, 695)*CHOOSE(CONTROL!$C$42, 0.5599, 0.5599)*CHOOSE(CONTROL!$C$42, 31, 31))/1000000</f>
        <v>12.063045499999998</v>
      </c>
      <c r="V421" s="38">
        <f>(1000*CHOOSE(CONTROL!$C$42, 500, 500)*CHOOSE(CONTROL!$C$42, 0.275, 0.275)*CHOOSE(CONTROL!$C$42, 31, 31))/1000000</f>
        <v>4.2625000000000002</v>
      </c>
      <c r="W421" s="38">
        <f>(1000*CHOOSE(CONTROL!$C$42, 0.1146, 0.1146)*CHOOSE(CONTROL!$C$42, 121.5, 121.5)*CHOOSE(CONTROL!$C$42, 31, 31))/1000000</f>
        <v>0.43164089999999994</v>
      </c>
      <c r="X421" s="38">
        <f>(31*0.1790888*100000/1000000)+(31*0.2374*100000/1000000)</f>
        <v>1.2911152800000001</v>
      </c>
      <c r="Y421" s="38">
        <f>(1000*600*CHOOSE(CONTROL!$C$42, 1.0861, 1.0861)*CHOOSE(CONTROL!$C$42, 31, 31))/1000000</f>
        <v>20.201460000000001</v>
      </c>
      <c r="Z421" s="38"/>
      <c r="AA421" s="10"/>
      <c r="AB421" s="39"/>
      <c r="AC421" s="33">
        <f>(B421*122.58+C421*297.941+D421*89.177+E421*40.302+F421*40+G421*160+H421*0+I421*100+J421*300)/(122.58+297.941+89.177+40.302+0+40+160+100+300)</f>
        <v>12.604824186608697</v>
      </c>
      <c r="AD421" s="27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12.494318705035971</v>
      </c>
    </row>
    <row r="422" spans="1:30" ht="15.75" x14ac:dyDescent="0.25">
      <c r="A422" s="14">
        <v>54116</v>
      </c>
      <c r="B422" s="10">
        <f>CHOOSE(CONTROL!$C$42, 12.8293, 12.8293) * CHOOSE(CONTROL!$C$21, $C$9, 100%, $E$9)</f>
        <v>12.8293</v>
      </c>
      <c r="C422" s="10">
        <f>CHOOSE(CONTROL!$C$42, 12.8344, 12.8344) * CHOOSE(CONTROL!$C$21, $C$9, 100%, $E$9)</f>
        <v>12.8344</v>
      </c>
      <c r="D422" s="10">
        <f>CHOOSE(CONTROL!$C$42, 12.8694, 12.8694) * CHOOSE(CONTROL!$C$21, $C$9, 100%, $E$9)</f>
        <v>12.869400000000001</v>
      </c>
      <c r="E422" s="10">
        <f>CHOOSE(CONTROL!$C$42, 12.9032, 12.9032) * CHOOSE(CONTROL!$C$21, $C$9, 100%, $E$9)</f>
        <v>12.9032</v>
      </c>
      <c r="F422" s="10">
        <f>CHOOSE(CONTROL!$C$42, 12.81, 12.81)*CHOOSE(CONTROL!$C$21, $C$9, 100%, $E$9)</f>
        <v>12.81</v>
      </c>
      <c r="G422" s="10">
        <f>CHOOSE(CONTROL!$C$42, 12.8288, 12.8288)*CHOOSE(CONTROL!$C$21, $C$9, 100%, $E$9)</f>
        <v>12.828799999999999</v>
      </c>
      <c r="H422" s="10">
        <f>CHOOSE(CONTROL!$C$42, 12.8921, 12.8921) * CHOOSE(CONTROL!$C$21, $C$9, 100%, $E$9)</f>
        <v>12.892099999999999</v>
      </c>
      <c r="I422" s="10">
        <f>CHOOSE(CONTROL!$C$42, 12.8365, 12.8365)* CHOOSE(CONTROL!$C$21, $C$9, 100%, $E$9)</f>
        <v>12.836499999999999</v>
      </c>
      <c r="J422" s="10">
        <f>CHOOSE(CONTROL!$C$42, 12.8026, 12.8026)* CHOOSE(CONTROL!$C$21, $C$9, 100%, $E$9)</f>
        <v>12.8026</v>
      </c>
      <c r="K422" s="10">
        <f>CHOOSE(CONTROL!$C$42, 12.611, 12.611) * CHOOSE(CONTROL!$C$21, $C$9, 100%, $E$9)</f>
        <v>12.611000000000001</v>
      </c>
      <c r="L422" s="10">
        <f>CHOOSE(CONTROL!$C$42, 13.4791, 13.4791) * CHOOSE(CONTROL!$C$21, $C$9, 100%, $E$9)</f>
        <v>13.479100000000001</v>
      </c>
      <c r="M422" s="10">
        <f>CHOOSE(CONTROL!$C$42, 12.6699, 12.6699) * CHOOSE(CONTROL!$C$21, $C$9, 100%, $E$9)</f>
        <v>12.6699</v>
      </c>
      <c r="N422" s="10">
        <f>CHOOSE(CONTROL!$C$42, 12.6885, 12.6885) * CHOOSE(CONTROL!$C$21, $C$9, 100%, $E$9)</f>
        <v>12.688499999999999</v>
      </c>
      <c r="O422" s="10">
        <f>CHOOSE(CONTROL!$C$42, 12.7582, 12.7582) * CHOOSE(CONTROL!$C$21, $C$9, 100%, $E$9)</f>
        <v>12.7582</v>
      </c>
      <c r="P422" s="10">
        <f>CHOOSE(CONTROL!$C$42, 12.7035, 12.7035) * CHOOSE(CONTROL!$C$21, $C$9, 100%, $E$9)</f>
        <v>12.7035</v>
      </c>
      <c r="Q422" s="10">
        <f>CHOOSE(CONTROL!$C$42, 13.3535, 13.3535) * CHOOSE(CONTROL!$C$21, $C$9, 100%, $E$9)</f>
        <v>13.3535</v>
      </c>
      <c r="R422" s="10">
        <f>CHOOSE(CONTROL!$C$42, 13.9739, 13.9739) * CHOOSE(CONTROL!$C$21, $C$9, 100%, $E$9)</f>
        <v>13.9739</v>
      </c>
      <c r="S422" s="10">
        <f>CHOOSE(CONTROL!$C$42, 12.4393, 12.4393) * CHOOSE(CONTROL!$C$21, $C$9, 100%, $E$9)</f>
        <v>12.439299999999999</v>
      </c>
      <c r="T42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22" s="38">
        <f>(1000*CHOOSE(CONTROL!$C$42, 695, 695)*CHOOSE(CONTROL!$C$42, 0.5599, 0.5599)*CHOOSE(CONTROL!$C$42, 29, 29))/1000000</f>
        <v>11.284784499999999</v>
      </c>
      <c r="V422" s="38">
        <f>(1000*CHOOSE(CONTROL!$C$42, 500, 500)*CHOOSE(CONTROL!$C$42, 0.275, 0.275)*CHOOSE(CONTROL!$C$42, 29, 29))/1000000</f>
        <v>3.9874999999999998</v>
      </c>
      <c r="W422" s="38">
        <f>(1000*CHOOSE(CONTROL!$C$42, 0.1146, 0.1146)*CHOOSE(CONTROL!$C$42, 121.5, 121.5)*CHOOSE(CONTROL!$C$42, 29, 29))/1000000</f>
        <v>0.40379309999999996</v>
      </c>
      <c r="X422" s="38">
        <f>(29*0.1790888*100000/1000000)+(29*0.2374*100000/1000000)</f>
        <v>1.2078175199999999</v>
      </c>
      <c r="Y422" s="38">
        <f>(1000*600*CHOOSE(CONTROL!$C$42, 1.0861, 1.0861)*CHOOSE(CONTROL!$C$42, 29, 29))/1000000</f>
        <v>18.898140000000001</v>
      </c>
      <c r="Z422" s="38"/>
      <c r="AA422" s="10"/>
      <c r="AB422" s="39"/>
      <c r="AC422" s="33">
        <f>(B422*122.58+C422*297.941+D422*89.177+E422*40.302+F422*40+G422*160+H422*0+I422*100+J422*300)/(122.58+297.941+89.177+40.302+0+40+160+100+300)</f>
        <v>12.829240708347825</v>
      </c>
      <c r="AD422" s="27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12.715825899280576</v>
      </c>
    </row>
    <row r="423" spans="1:30" ht="15.75" x14ac:dyDescent="0.25">
      <c r="A423" s="14">
        <v>54148</v>
      </c>
      <c r="B423" s="10">
        <f>CHOOSE(CONTROL!$C$42, 12.4646, 12.4646) * CHOOSE(CONTROL!$C$21, $C$9, 100%, $E$9)</f>
        <v>12.464600000000001</v>
      </c>
      <c r="C423" s="10">
        <f>CHOOSE(CONTROL!$C$42, 12.4697, 12.4697) * CHOOSE(CONTROL!$C$21, $C$9, 100%, $E$9)</f>
        <v>12.4697</v>
      </c>
      <c r="D423" s="10">
        <f>CHOOSE(CONTROL!$C$42, 12.5047, 12.5047) * CHOOSE(CONTROL!$C$21, $C$9, 100%, $E$9)</f>
        <v>12.5047</v>
      </c>
      <c r="E423" s="10">
        <f>CHOOSE(CONTROL!$C$42, 12.5385, 12.5385) * CHOOSE(CONTROL!$C$21, $C$9, 100%, $E$9)</f>
        <v>12.538500000000001</v>
      </c>
      <c r="F423" s="10">
        <f>CHOOSE(CONTROL!$C$42, 12.444, 12.444)*CHOOSE(CONTROL!$C$21, $C$9, 100%, $E$9)</f>
        <v>12.444000000000001</v>
      </c>
      <c r="G423" s="10">
        <f>CHOOSE(CONTROL!$C$42, 12.4623, 12.4623)*CHOOSE(CONTROL!$C$21, $C$9, 100%, $E$9)</f>
        <v>12.462300000000001</v>
      </c>
      <c r="H423" s="10">
        <f>CHOOSE(CONTROL!$C$42, 12.5274, 12.5274) * CHOOSE(CONTROL!$C$21, $C$9, 100%, $E$9)</f>
        <v>12.5274</v>
      </c>
      <c r="I423" s="10">
        <f>CHOOSE(CONTROL!$C$42, 12.4718, 12.4718)* CHOOSE(CONTROL!$C$21, $C$9, 100%, $E$9)</f>
        <v>12.4718</v>
      </c>
      <c r="J423" s="10">
        <f>CHOOSE(CONTROL!$C$42, 12.4366, 12.4366)* CHOOSE(CONTROL!$C$21, $C$9, 100%, $E$9)</f>
        <v>12.4366</v>
      </c>
      <c r="K423" s="10">
        <f>CHOOSE(CONTROL!$C$42, 12.2547, 12.2547) * CHOOSE(CONTROL!$C$21, $C$9, 100%, $E$9)</f>
        <v>12.2547</v>
      </c>
      <c r="L423" s="10">
        <f>CHOOSE(CONTROL!$C$42, 13.1144, 13.1144) * CHOOSE(CONTROL!$C$21, $C$9, 100%, $E$9)</f>
        <v>13.1144</v>
      </c>
      <c r="M423" s="10">
        <f>CHOOSE(CONTROL!$C$42, 12.3086, 12.3086) * CHOOSE(CONTROL!$C$21, $C$9, 100%, $E$9)</f>
        <v>12.3086</v>
      </c>
      <c r="N423" s="10">
        <f>CHOOSE(CONTROL!$C$42, 12.3268, 12.3268) * CHOOSE(CONTROL!$C$21, $C$9, 100%, $E$9)</f>
        <v>12.3268</v>
      </c>
      <c r="O423" s="10">
        <f>CHOOSE(CONTROL!$C$42, 12.3983, 12.3983) * CHOOSE(CONTROL!$C$21, $C$9, 100%, $E$9)</f>
        <v>12.398300000000001</v>
      </c>
      <c r="P423" s="10">
        <f>CHOOSE(CONTROL!$C$42, 12.3435, 12.3435) * CHOOSE(CONTROL!$C$21, $C$9, 100%, $E$9)</f>
        <v>12.343500000000001</v>
      </c>
      <c r="Q423" s="10">
        <f>CHOOSE(CONTROL!$C$42, 12.9936, 12.9936) * CHOOSE(CONTROL!$C$21, $C$9, 100%, $E$9)</f>
        <v>12.993600000000001</v>
      </c>
      <c r="R423" s="10">
        <f>CHOOSE(CONTROL!$C$42, 13.613, 13.613) * CHOOSE(CONTROL!$C$21, $C$9, 100%, $E$9)</f>
        <v>13.613</v>
      </c>
      <c r="S423" s="10">
        <f>CHOOSE(CONTROL!$C$42, 12.0861, 12.0861) * CHOOSE(CONTROL!$C$21, $C$9, 100%, $E$9)</f>
        <v>12.0861</v>
      </c>
      <c r="T4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38">
        <f>(1000*CHOOSE(CONTROL!$C$42, 695, 695)*CHOOSE(CONTROL!$C$42, 0.5599, 0.5599)*CHOOSE(CONTROL!$C$42, 31, 31))/1000000</f>
        <v>12.063045499999998</v>
      </c>
      <c r="V423" s="38">
        <f>(1000*CHOOSE(CONTROL!$C$42, 500, 500)*CHOOSE(CONTROL!$C$42, 0.275, 0.275)*CHOOSE(CONTROL!$C$42, 31, 31))/1000000</f>
        <v>4.2625000000000002</v>
      </c>
      <c r="W423" s="38">
        <f>(1000*CHOOSE(CONTROL!$C$42, 0.1146, 0.1146)*CHOOSE(CONTROL!$C$42, 121.5, 121.5)*CHOOSE(CONTROL!$C$42, 31, 31))/1000000</f>
        <v>0.43164089999999994</v>
      </c>
      <c r="X423" s="38">
        <f>(31*0.1790888*100000/1000000)+(31*0.2374*100000/1000000)</f>
        <v>1.2911152800000001</v>
      </c>
      <c r="Y423" s="38">
        <f>(1000*600*CHOOSE(CONTROL!$C$42, 1.0861, 1.0861)*CHOOSE(CONTROL!$C$42, 31, 31))/1000000</f>
        <v>20.201460000000001</v>
      </c>
      <c r="Z423" s="38"/>
      <c r="AA423" s="10"/>
      <c r="AB423" s="39"/>
      <c r="AC423" s="33">
        <f>(B423*122.58+C423*297.941+D423*89.177+E423*40.302+F423*40+G423*160+H423*0+I423*100+J423*300)/(122.58+297.941+89.177+40.302+0+40+160+100+300)</f>
        <v>12.46390592573913</v>
      </c>
      <c r="AD423" s="27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12.355324460431655</v>
      </c>
    </row>
    <row r="424" spans="1:30" ht="15.75" x14ac:dyDescent="0.25">
      <c r="A424" s="14">
        <v>54178</v>
      </c>
      <c r="B424" s="10">
        <f>CHOOSE(CONTROL!$C$42, 12.428, 12.428) * CHOOSE(CONTROL!$C$21, $C$9, 100%, $E$9)</f>
        <v>12.428000000000001</v>
      </c>
      <c r="C424" s="10">
        <f>CHOOSE(CONTROL!$C$42, 12.4325, 12.4325) * CHOOSE(CONTROL!$C$21, $C$9, 100%, $E$9)</f>
        <v>12.432499999999999</v>
      </c>
      <c r="D424" s="10">
        <f>CHOOSE(CONTROL!$C$42, 12.6107, 12.6107) * CHOOSE(CONTROL!$C$21, $C$9, 100%, $E$9)</f>
        <v>12.6107</v>
      </c>
      <c r="E424" s="10">
        <f>CHOOSE(CONTROL!$C$42, 12.6426, 12.6426) * CHOOSE(CONTROL!$C$21, $C$9, 100%, $E$9)</f>
        <v>12.6426</v>
      </c>
      <c r="F424" s="10">
        <f>CHOOSE(CONTROL!$C$42, 12.3714, 12.3714)*CHOOSE(CONTROL!$C$21, $C$9, 100%, $E$9)</f>
        <v>12.3714</v>
      </c>
      <c r="G424" s="10">
        <f>CHOOSE(CONTROL!$C$42, 12.388, 12.388)*CHOOSE(CONTROL!$C$21, $C$9, 100%, $E$9)</f>
        <v>12.388</v>
      </c>
      <c r="H424" s="10">
        <f>CHOOSE(CONTROL!$C$42, 12.632, 12.632) * CHOOSE(CONTROL!$C$21, $C$9, 100%, $E$9)</f>
        <v>12.632</v>
      </c>
      <c r="I424" s="10">
        <f>CHOOSE(CONTROL!$C$42, 12.404, 12.404)* CHOOSE(CONTROL!$C$21, $C$9, 100%, $E$9)</f>
        <v>12.404</v>
      </c>
      <c r="J424" s="10">
        <f>CHOOSE(CONTROL!$C$42, 12.364, 12.364)* CHOOSE(CONTROL!$C$21, $C$9, 100%, $E$9)</f>
        <v>12.364000000000001</v>
      </c>
      <c r="K424" s="10">
        <f>CHOOSE(CONTROL!$C$42, 12.1743, 12.1743) * CHOOSE(CONTROL!$C$21, $C$9, 100%, $E$9)</f>
        <v>12.174300000000001</v>
      </c>
      <c r="L424" s="10">
        <f>CHOOSE(CONTROL!$C$42, 13.219, 13.219) * CHOOSE(CONTROL!$C$21, $C$9, 100%, $E$9)</f>
        <v>13.218999999999999</v>
      </c>
      <c r="M424" s="10">
        <f>CHOOSE(CONTROL!$C$42, 12.237, 12.237) * CHOOSE(CONTROL!$C$21, $C$9, 100%, $E$9)</f>
        <v>12.237</v>
      </c>
      <c r="N424" s="10">
        <f>CHOOSE(CONTROL!$C$42, 12.2534, 12.2534) * CHOOSE(CONTROL!$C$21, $C$9, 100%, $E$9)</f>
        <v>12.253399999999999</v>
      </c>
      <c r="O424" s="10">
        <f>CHOOSE(CONTROL!$C$42, 12.5015, 12.5015) * CHOOSE(CONTROL!$C$21, $C$9, 100%, $E$9)</f>
        <v>12.5015</v>
      </c>
      <c r="P424" s="10">
        <f>CHOOSE(CONTROL!$C$42, 12.2765, 12.2765) * CHOOSE(CONTROL!$C$21, $C$9, 100%, $E$9)</f>
        <v>12.2765</v>
      </c>
      <c r="Q424" s="10">
        <f>CHOOSE(CONTROL!$C$42, 13.0968, 13.0968) * CHOOSE(CONTROL!$C$21, $C$9, 100%, $E$9)</f>
        <v>13.0968</v>
      </c>
      <c r="R424" s="10">
        <f>CHOOSE(CONTROL!$C$42, 13.7166, 13.7166) * CHOOSE(CONTROL!$C$21, $C$9, 100%, $E$9)</f>
        <v>13.7166</v>
      </c>
      <c r="S424" s="10">
        <f>CHOOSE(CONTROL!$C$42, 12.0499, 12.0499) * CHOOSE(CONTROL!$C$21, $C$9, 100%, $E$9)</f>
        <v>12.049899999999999</v>
      </c>
      <c r="T4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38">
        <f>(1000*CHOOSE(CONTROL!$C$42, 695, 695)*CHOOSE(CONTROL!$C$42, 0.5599, 0.5599)*CHOOSE(CONTROL!$C$42, 30, 30))/1000000</f>
        <v>11.673914999999997</v>
      </c>
      <c r="V424" s="38">
        <f>(1000*CHOOSE(CONTROL!$C$42, 500, 500)*CHOOSE(CONTROL!$C$42, 0.275, 0.275)*CHOOSE(CONTROL!$C$42, 30, 30))/1000000</f>
        <v>4.125</v>
      </c>
      <c r="W424" s="38">
        <f>(1000*CHOOSE(CONTROL!$C$42, 0.1146, 0.1146)*CHOOSE(CONTROL!$C$42, 121.5, 121.5)*CHOOSE(CONTROL!$C$42, 30, 30))/1000000</f>
        <v>0.417717</v>
      </c>
      <c r="X424" s="38">
        <f>(30*0.1790888*245000/1000000)+(30*0.2374*100000/1000000)</f>
        <v>2.0285026799999999</v>
      </c>
      <c r="Y424" s="38">
        <f>(1000*600*CHOOSE(CONTROL!$C$42, 1.0861, 1.0861)*CHOOSE(CONTROL!$C$42, 30, 30))/1000000</f>
        <v>19.549800000000001</v>
      </c>
      <c r="Z424" s="38"/>
      <c r="AA424" s="10"/>
      <c r="AB424" s="39"/>
      <c r="AC424" s="33">
        <f>(B424*141.293+C424*267.993+D424*115.016+E424*89.698+F424*40+G424*185+H424*0+I424*100+J424*300)/(141.293+267.993+115.016+89.698+0+40+185+100+300)</f>
        <v>12.436236144067797</v>
      </c>
      <c r="AD424" s="27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12.320671223021582</v>
      </c>
    </row>
    <row r="425" spans="1:30" ht="15.75" x14ac:dyDescent="0.25">
      <c r="A425" s="14">
        <v>54209</v>
      </c>
      <c r="B425" s="10">
        <f>CHOOSE(CONTROL!$C$42, 12.5396, 12.5396) * CHOOSE(CONTROL!$C$21, $C$9, 100%, $E$9)</f>
        <v>12.5396</v>
      </c>
      <c r="C425" s="10">
        <f>CHOOSE(CONTROL!$C$42, 12.5476, 12.5476) * CHOOSE(CONTROL!$C$21, $C$9, 100%, $E$9)</f>
        <v>12.547599999999999</v>
      </c>
      <c r="D425" s="10">
        <f>CHOOSE(CONTROL!$C$42, 12.7227, 12.7227) * CHOOSE(CONTROL!$C$21, $C$9, 100%, $E$9)</f>
        <v>12.7227</v>
      </c>
      <c r="E425" s="10">
        <f>CHOOSE(CONTROL!$C$42, 12.7539, 12.7539) * CHOOSE(CONTROL!$C$21, $C$9, 100%, $E$9)</f>
        <v>12.7539</v>
      </c>
      <c r="F425" s="10">
        <f>CHOOSE(CONTROL!$C$42, 12.4813, 12.4813)*CHOOSE(CONTROL!$C$21, $C$9, 100%, $E$9)</f>
        <v>12.481299999999999</v>
      </c>
      <c r="G425" s="10">
        <f>CHOOSE(CONTROL!$C$42, 12.4981, 12.4981)*CHOOSE(CONTROL!$C$21, $C$9, 100%, $E$9)</f>
        <v>12.498100000000001</v>
      </c>
      <c r="H425" s="10">
        <f>CHOOSE(CONTROL!$C$42, 12.7422, 12.7422) * CHOOSE(CONTROL!$C$21, $C$9, 100%, $E$9)</f>
        <v>12.7422</v>
      </c>
      <c r="I425" s="10">
        <f>CHOOSE(CONTROL!$C$42, 12.5142, 12.5142)* CHOOSE(CONTROL!$C$21, $C$9, 100%, $E$9)</f>
        <v>12.514200000000001</v>
      </c>
      <c r="J425" s="10">
        <f>CHOOSE(CONTROL!$C$42, 12.4739, 12.4739)* CHOOSE(CONTROL!$C$21, $C$9, 100%, $E$9)</f>
        <v>12.4739</v>
      </c>
      <c r="K425" s="10">
        <f>CHOOSE(CONTROL!$C$42, 12.2802, 12.2802) * CHOOSE(CONTROL!$C$21, $C$9, 100%, $E$9)</f>
        <v>12.280200000000001</v>
      </c>
      <c r="L425" s="10">
        <f>CHOOSE(CONTROL!$C$42, 13.3292, 13.3292) * CHOOSE(CONTROL!$C$21, $C$9, 100%, $E$9)</f>
        <v>13.3292</v>
      </c>
      <c r="M425" s="10">
        <f>CHOOSE(CONTROL!$C$42, 12.3454, 12.3454) * CHOOSE(CONTROL!$C$21, $C$9, 100%, $E$9)</f>
        <v>12.3454</v>
      </c>
      <c r="N425" s="10">
        <f>CHOOSE(CONTROL!$C$42, 12.3621, 12.3621) * CHOOSE(CONTROL!$C$21, $C$9, 100%, $E$9)</f>
        <v>12.3621</v>
      </c>
      <c r="O425" s="10">
        <f>CHOOSE(CONTROL!$C$42, 12.6103, 12.6103) * CHOOSE(CONTROL!$C$21, $C$9, 100%, $E$9)</f>
        <v>12.610300000000001</v>
      </c>
      <c r="P425" s="10">
        <f>CHOOSE(CONTROL!$C$42, 12.3853, 12.3853) * CHOOSE(CONTROL!$C$21, $C$9, 100%, $E$9)</f>
        <v>12.385300000000001</v>
      </c>
      <c r="Q425" s="10">
        <f>CHOOSE(CONTROL!$C$42, 13.2056, 13.2056) * CHOOSE(CONTROL!$C$21, $C$9, 100%, $E$9)</f>
        <v>13.2056</v>
      </c>
      <c r="R425" s="10">
        <f>CHOOSE(CONTROL!$C$42, 13.8256, 13.8256) * CHOOSE(CONTROL!$C$21, $C$9, 100%, $E$9)</f>
        <v>13.8256</v>
      </c>
      <c r="S425" s="10">
        <f>CHOOSE(CONTROL!$C$42, 12.1567, 12.1567) * CHOOSE(CONTROL!$C$21, $C$9, 100%, $E$9)</f>
        <v>12.156700000000001</v>
      </c>
      <c r="T4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38">
        <f>(1000*CHOOSE(CONTROL!$C$42, 695, 695)*CHOOSE(CONTROL!$C$42, 0.5599, 0.5599)*CHOOSE(CONTROL!$C$42, 31, 31))/1000000</f>
        <v>12.063045499999998</v>
      </c>
      <c r="V425" s="38">
        <f>(1000*CHOOSE(CONTROL!$C$42, 500, 500)*CHOOSE(CONTROL!$C$42, 0.275, 0.275)*CHOOSE(CONTROL!$C$42, 31, 31))/1000000</f>
        <v>4.2625000000000002</v>
      </c>
      <c r="W425" s="38">
        <f>(1000*CHOOSE(CONTROL!$C$42, 0.1146, 0.1146)*CHOOSE(CONTROL!$C$42, 121.5, 121.5)*CHOOSE(CONTROL!$C$42, 31, 31))/1000000</f>
        <v>0.43164089999999994</v>
      </c>
      <c r="X425" s="38">
        <f>(31*0.1790888*245000/1000000)+(31*0.2374*100000/1000000)</f>
        <v>2.0961194359999999</v>
      </c>
      <c r="Y425" s="38">
        <f>(1000*600*CHOOSE(CONTROL!$C$42, 1.0861, 1.0861)*CHOOSE(CONTROL!$C$42, 31, 31))/1000000</f>
        <v>20.201460000000001</v>
      </c>
      <c r="Z425" s="38"/>
      <c r="AA425" s="10"/>
      <c r="AB425" s="39"/>
      <c r="AC425" s="33">
        <f>(B425*194.205+C425*267.466+D425*133.845+E425*53.484+F425*40+G425*185+H425*0+I425*100+J425*300)/(194.205+267.466+133.845+53.484+0+40+185+100+300)</f>
        <v>12.544190948744113</v>
      </c>
      <c r="AD425" s="27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12.429310071942444</v>
      </c>
    </row>
    <row r="426" spans="1:30" ht="15.75" x14ac:dyDescent="0.25">
      <c r="A426" s="14">
        <v>54239</v>
      </c>
      <c r="B426" s="10">
        <f>CHOOSE(CONTROL!$C$42, 12.8957, 12.8957) * CHOOSE(CONTROL!$C$21, $C$9, 100%, $E$9)</f>
        <v>12.8957</v>
      </c>
      <c r="C426" s="10">
        <f>CHOOSE(CONTROL!$C$42, 12.9037, 12.9037) * CHOOSE(CONTROL!$C$21, $C$9, 100%, $E$9)</f>
        <v>12.903700000000001</v>
      </c>
      <c r="D426" s="10">
        <f>CHOOSE(CONTROL!$C$42, 13.0788, 13.0788) * CHOOSE(CONTROL!$C$21, $C$9, 100%, $E$9)</f>
        <v>13.078799999999999</v>
      </c>
      <c r="E426" s="10">
        <f>CHOOSE(CONTROL!$C$42, 13.11, 13.11) * CHOOSE(CONTROL!$C$21, $C$9, 100%, $E$9)</f>
        <v>13.11</v>
      </c>
      <c r="F426" s="10">
        <f>CHOOSE(CONTROL!$C$42, 12.8375, 12.8375)*CHOOSE(CONTROL!$C$21, $C$9, 100%, $E$9)</f>
        <v>12.8375</v>
      </c>
      <c r="G426" s="10">
        <f>CHOOSE(CONTROL!$C$42, 12.8545, 12.8545)*CHOOSE(CONTROL!$C$21, $C$9, 100%, $E$9)</f>
        <v>12.8545</v>
      </c>
      <c r="H426" s="10">
        <f>CHOOSE(CONTROL!$C$42, 13.0983, 13.0983) * CHOOSE(CONTROL!$C$21, $C$9, 100%, $E$9)</f>
        <v>13.0983</v>
      </c>
      <c r="I426" s="10">
        <f>CHOOSE(CONTROL!$C$42, 12.8703, 12.8703)* CHOOSE(CONTROL!$C$21, $C$9, 100%, $E$9)</f>
        <v>12.8703</v>
      </c>
      <c r="J426" s="10">
        <f>CHOOSE(CONTROL!$C$42, 12.8301, 12.8301)* CHOOSE(CONTROL!$C$21, $C$9, 100%, $E$9)</f>
        <v>12.8301</v>
      </c>
      <c r="K426" s="10">
        <f>CHOOSE(CONTROL!$C$42, 12.6256, 12.6256) * CHOOSE(CONTROL!$C$21, $C$9, 100%, $E$9)</f>
        <v>12.6256</v>
      </c>
      <c r="L426" s="10">
        <f>CHOOSE(CONTROL!$C$42, 13.6853, 13.6853) * CHOOSE(CONTROL!$C$21, $C$9, 100%, $E$9)</f>
        <v>13.6853</v>
      </c>
      <c r="M426" s="10">
        <f>CHOOSE(CONTROL!$C$42, 12.6971, 12.6971) * CHOOSE(CONTROL!$C$21, $C$9, 100%, $E$9)</f>
        <v>12.697100000000001</v>
      </c>
      <c r="N426" s="10">
        <f>CHOOSE(CONTROL!$C$42, 12.7138, 12.7138) * CHOOSE(CONTROL!$C$21, $C$9, 100%, $E$9)</f>
        <v>12.713800000000001</v>
      </c>
      <c r="O426" s="10">
        <f>CHOOSE(CONTROL!$C$42, 12.9618, 12.9618) * CHOOSE(CONTROL!$C$21, $C$9, 100%, $E$9)</f>
        <v>12.9618</v>
      </c>
      <c r="P426" s="10">
        <f>CHOOSE(CONTROL!$C$42, 12.7368, 12.7368) * CHOOSE(CONTROL!$C$21, $C$9, 100%, $E$9)</f>
        <v>12.736800000000001</v>
      </c>
      <c r="Q426" s="10">
        <f>CHOOSE(CONTROL!$C$42, 13.5571, 13.5571) * CHOOSE(CONTROL!$C$21, $C$9, 100%, $E$9)</f>
        <v>13.5571</v>
      </c>
      <c r="R426" s="10">
        <f>CHOOSE(CONTROL!$C$42, 14.178, 14.178) * CHOOSE(CONTROL!$C$21, $C$9, 100%, $E$9)</f>
        <v>14.178000000000001</v>
      </c>
      <c r="S426" s="10">
        <f>CHOOSE(CONTROL!$C$42, 12.5015, 12.5015) * CHOOSE(CONTROL!$C$21, $C$9, 100%, $E$9)</f>
        <v>12.5015</v>
      </c>
      <c r="T4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38">
        <f>(1000*CHOOSE(CONTROL!$C$42, 695, 695)*CHOOSE(CONTROL!$C$42, 0.5599, 0.5599)*CHOOSE(CONTROL!$C$42, 30, 30))/1000000</f>
        <v>11.673914999999997</v>
      </c>
      <c r="V426" s="38">
        <f>(1000*CHOOSE(CONTROL!$C$42, 500, 500)*CHOOSE(CONTROL!$C$42, 0.275, 0.275)*CHOOSE(CONTROL!$C$42, 30, 30))/1000000</f>
        <v>4.125</v>
      </c>
      <c r="W426" s="38">
        <f>(1000*CHOOSE(CONTROL!$C$42, 0.1146, 0.1146)*CHOOSE(CONTROL!$C$42, 121.5, 121.5)*CHOOSE(CONTROL!$C$42, 30, 30))/1000000</f>
        <v>0.417717</v>
      </c>
      <c r="X426" s="38">
        <f>(30*0.1790888*245000/1000000)+(30*0.2374*100000/1000000)</f>
        <v>2.0285026799999999</v>
      </c>
      <c r="Y426" s="38">
        <f>(1000*600*CHOOSE(CONTROL!$C$42, 1.0861, 1.0861)*CHOOSE(CONTROL!$C$42, 30, 30))/1000000</f>
        <v>19.549800000000001</v>
      </c>
      <c r="Z426" s="38"/>
      <c r="AA426" s="10"/>
      <c r="AB426" s="39"/>
      <c r="AC426" s="33">
        <f>(B426*194.205+C426*267.466+D426*133.845+E426*53.484+F426*40+G426*185+H426*0+I426*100+J426*300)/(194.205+267.466+133.845+53.484+0+40+185+100+300)</f>
        <v>12.900361199921509</v>
      </c>
      <c r="AD426" s="27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12.780925179856116</v>
      </c>
    </row>
    <row r="427" spans="1:30" ht="15.75" x14ac:dyDescent="0.25">
      <c r="A427" s="14">
        <v>54270</v>
      </c>
      <c r="B427" s="10">
        <f>CHOOSE(CONTROL!$C$42, 12.648, 12.648) * CHOOSE(CONTROL!$C$21, $C$9, 100%, $E$9)</f>
        <v>12.648</v>
      </c>
      <c r="C427" s="10">
        <f>CHOOSE(CONTROL!$C$42, 12.656, 12.656) * CHOOSE(CONTROL!$C$21, $C$9, 100%, $E$9)</f>
        <v>12.656000000000001</v>
      </c>
      <c r="D427" s="10">
        <f>CHOOSE(CONTROL!$C$42, 12.8311, 12.8311) * CHOOSE(CONTROL!$C$21, $C$9, 100%, $E$9)</f>
        <v>12.831099999999999</v>
      </c>
      <c r="E427" s="10">
        <f>CHOOSE(CONTROL!$C$42, 12.8623, 12.8623) * CHOOSE(CONTROL!$C$21, $C$9, 100%, $E$9)</f>
        <v>12.862299999999999</v>
      </c>
      <c r="F427" s="10">
        <f>CHOOSE(CONTROL!$C$42, 12.5902, 12.5902)*CHOOSE(CONTROL!$C$21, $C$9, 100%, $E$9)</f>
        <v>12.590199999999999</v>
      </c>
      <c r="G427" s="10">
        <f>CHOOSE(CONTROL!$C$42, 12.6072, 12.6072)*CHOOSE(CONTROL!$C$21, $C$9, 100%, $E$9)</f>
        <v>12.607200000000001</v>
      </c>
      <c r="H427" s="10">
        <f>CHOOSE(CONTROL!$C$42, 12.8507, 12.8507) * CHOOSE(CONTROL!$C$21, $C$9, 100%, $E$9)</f>
        <v>12.8507</v>
      </c>
      <c r="I427" s="10">
        <f>CHOOSE(CONTROL!$C$42, 12.6226, 12.6226)* CHOOSE(CONTROL!$C$21, $C$9, 100%, $E$9)</f>
        <v>12.6226</v>
      </c>
      <c r="J427" s="10">
        <f>CHOOSE(CONTROL!$C$42, 12.5828, 12.5828)* CHOOSE(CONTROL!$C$21, $C$9, 100%, $E$9)</f>
        <v>12.582800000000001</v>
      </c>
      <c r="K427" s="10">
        <f>CHOOSE(CONTROL!$C$42, 12.3864, 12.3864) * CHOOSE(CONTROL!$C$21, $C$9, 100%, $E$9)</f>
        <v>12.3864</v>
      </c>
      <c r="L427" s="10">
        <f>CHOOSE(CONTROL!$C$42, 13.4377, 13.4377) * CHOOSE(CONTROL!$C$21, $C$9, 100%, $E$9)</f>
        <v>13.4377</v>
      </c>
      <c r="M427" s="10">
        <f>CHOOSE(CONTROL!$C$42, 12.453, 12.453) * CHOOSE(CONTROL!$C$21, $C$9, 100%, $E$9)</f>
        <v>12.452999999999999</v>
      </c>
      <c r="N427" s="10">
        <f>CHOOSE(CONTROL!$C$42, 12.4698, 12.4698) * CHOOSE(CONTROL!$C$21, $C$9, 100%, $E$9)</f>
        <v>12.469799999999999</v>
      </c>
      <c r="O427" s="10">
        <f>CHOOSE(CONTROL!$C$42, 12.7174, 12.7174) * CHOOSE(CONTROL!$C$21, $C$9, 100%, $E$9)</f>
        <v>12.7174</v>
      </c>
      <c r="P427" s="10">
        <f>CHOOSE(CONTROL!$C$42, 12.4923, 12.4923) * CHOOSE(CONTROL!$C$21, $C$9, 100%, $E$9)</f>
        <v>12.4923</v>
      </c>
      <c r="Q427" s="10">
        <f>CHOOSE(CONTROL!$C$42, 13.3127, 13.3127) * CHOOSE(CONTROL!$C$21, $C$9, 100%, $E$9)</f>
        <v>13.3127</v>
      </c>
      <c r="R427" s="10">
        <f>CHOOSE(CONTROL!$C$42, 13.9329, 13.9329) * CHOOSE(CONTROL!$C$21, $C$9, 100%, $E$9)</f>
        <v>13.9329</v>
      </c>
      <c r="S427" s="10">
        <f>CHOOSE(CONTROL!$C$42, 12.2617, 12.2617) * CHOOSE(CONTROL!$C$21, $C$9, 100%, $E$9)</f>
        <v>12.261699999999999</v>
      </c>
      <c r="T4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38">
        <f>(1000*CHOOSE(CONTROL!$C$42, 695, 695)*CHOOSE(CONTROL!$C$42, 0.5599, 0.5599)*CHOOSE(CONTROL!$C$42, 31, 31))/1000000</f>
        <v>12.063045499999998</v>
      </c>
      <c r="V427" s="38">
        <f>(1000*CHOOSE(CONTROL!$C$42, 500, 500)*CHOOSE(CONTROL!$C$42, 0.275, 0.275)*CHOOSE(CONTROL!$C$42, 31, 31))/1000000</f>
        <v>4.2625000000000002</v>
      </c>
      <c r="W427" s="38">
        <f>(1000*CHOOSE(CONTROL!$C$42, 0.1146, 0.1146)*CHOOSE(CONTROL!$C$42, 121.5, 121.5)*CHOOSE(CONTROL!$C$42, 31, 31))/1000000</f>
        <v>0.43164089999999994</v>
      </c>
      <c r="X427" s="38">
        <f>(31*0.1790888*245000/1000000)+(31*0.2374*100000/1000000)</f>
        <v>2.0961194359999999</v>
      </c>
      <c r="Y427" s="38">
        <f>(1000*600*CHOOSE(CONTROL!$C$42, 1.0861, 1.0861)*CHOOSE(CONTROL!$C$42, 31, 31))/1000000</f>
        <v>20.201460000000001</v>
      </c>
      <c r="Z427" s="38"/>
      <c r="AA427" s="10"/>
      <c r="AB427" s="39"/>
      <c r="AC427" s="33">
        <f>(B427*194.205+C427*267.466+D427*133.845+E427*53.484+F427*40+G427*185+H427*0+I427*100+J427*300)/(194.205+267.466+133.845+53.484+0+40+185+100+300)</f>
        <v>12.652826035086344</v>
      </c>
      <c r="AD427" s="27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12.536706474820145</v>
      </c>
    </row>
    <row r="428" spans="1:30" ht="15.75" x14ac:dyDescent="0.25">
      <c r="A428" s="14">
        <v>54301</v>
      </c>
      <c r="B428" s="10">
        <f>CHOOSE(CONTROL!$C$42, 12.0226, 12.0226) * CHOOSE(CONTROL!$C$21, $C$9, 100%, $E$9)</f>
        <v>12.022600000000001</v>
      </c>
      <c r="C428" s="10">
        <f>CHOOSE(CONTROL!$C$42, 12.0306, 12.0306) * CHOOSE(CONTROL!$C$21, $C$9, 100%, $E$9)</f>
        <v>12.0306</v>
      </c>
      <c r="D428" s="10">
        <f>CHOOSE(CONTROL!$C$42, 12.2057, 12.2057) * CHOOSE(CONTROL!$C$21, $C$9, 100%, $E$9)</f>
        <v>12.2057</v>
      </c>
      <c r="E428" s="10">
        <f>CHOOSE(CONTROL!$C$42, 12.2369, 12.2369) * CHOOSE(CONTROL!$C$21, $C$9, 100%, $E$9)</f>
        <v>12.2369</v>
      </c>
      <c r="F428" s="10">
        <f>CHOOSE(CONTROL!$C$42, 11.9647, 11.9647)*CHOOSE(CONTROL!$C$21, $C$9, 100%, $E$9)</f>
        <v>11.964700000000001</v>
      </c>
      <c r="G428" s="10">
        <f>CHOOSE(CONTROL!$C$42, 11.9817, 11.9817)*CHOOSE(CONTROL!$C$21, $C$9, 100%, $E$9)</f>
        <v>11.9817</v>
      </c>
      <c r="H428" s="10">
        <f>CHOOSE(CONTROL!$C$42, 12.2252, 12.2252) * CHOOSE(CONTROL!$C$21, $C$9, 100%, $E$9)</f>
        <v>12.225199999999999</v>
      </c>
      <c r="I428" s="10">
        <f>CHOOSE(CONTROL!$C$42, 11.9972, 11.9972)* CHOOSE(CONTROL!$C$21, $C$9, 100%, $E$9)</f>
        <v>11.997199999999999</v>
      </c>
      <c r="J428" s="10">
        <f>CHOOSE(CONTROL!$C$42, 11.9573, 11.9573)* CHOOSE(CONTROL!$C$21, $C$9, 100%, $E$9)</f>
        <v>11.9573</v>
      </c>
      <c r="K428" s="10">
        <f>CHOOSE(CONTROL!$C$42, 11.7802, 11.7802) * CHOOSE(CONTROL!$C$21, $C$9, 100%, $E$9)</f>
        <v>11.780200000000001</v>
      </c>
      <c r="L428" s="10">
        <f>CHOOSE(CONTROL!$C$42, 12.8122, 12.8122) * CHOOSE(CONTROL!$C$21, $C$9, 100%, $E$9)</f>
        <v>12.812200000000001</v>
      </c>
      <c r="M428" s="10">
        <f>CHOOSE(CONTROL!$C$42, 11.8355, 11.8355) * CHOOSE(CONTROL!$C$21, $C$9, 100%, $E$9)</f>
        <v>11.8355</v>
      </c>
      <c r="N428" s="10">
        <f>CHOOSE(CONTROL!$C$42, 11.8523, 11.8523) * CHOOSE(CONTROL!$C$21, $C$9, 100%, $E$9)</f>
        <v>11.8523</v>
      </c>
      <c r="O428" s="10">
        <f>CHOOSE(CONTROL!$C$42, 12.1, 12.1) * CHOOSE(CONTROL!$C$21, $C$9, 100%, $E$9)</f>
        <v>12.1</v>
      </c>
      <c r="P428" s="10">
        <f>CHOOSE(CONTROL!$C$42, 11.875, 11.875) * CHOOSE(CONTROL!$C$21, $C$9, 100%, $E$9)</f>
        <v>11.875</v>
      </c>
      <c r="Q428" s="10">
        <f>CHOOSE(CONTROL!$C$42, 12.6953, 12.6953) * CHOOSE(CONTROL!$C$21, $C$9, 100%, $E$9)</f>
        <v>12.6953</v>
      </c>
      <c r="R428" s="10">
        <f>CHOOSE(CONTROL!$C$42, 13.3141, 13.3141) * CHOOSE(CONTROL!$C$21, $C$9, 100%, $E$9)</f>
        <v>13.3141</v>
      </c>
      <c r="S428" s="10">
        <f>CHOOSE(CONTROL!$C$42, 11.656, 11.656) * CHOOSE(CONTROL!$C$21, $C$9, 100%, $E$9)</f>
        <v>11.656000000000001</v>
      </c>
      <c r="T4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38">
        <f>(1000*CHOOSE(CONTROL!$C$42, 695, 695)*CHOOSE(CONTROL!$C$42, 0.5599, 0.5599)*CHOOSE(CONTROL!$C$42, 31, 31))/1000000</f>
        <v>12.063045499999998</v>
      </c>
      <c r="V428" s="38">
        <f>(1000*CHOOSE(CONTROL!$C$42, 500, 500)*CHOOSE(CONTROL!$C$42, 0.275, 0.275)*CHOOSE(CONTROL!$C$42, 31, 31))/1000000</f>
        <v>4.2625000000000002</v>
      </c>
      <c r="W428" s="38">
        <f>(1000*CHOOSE(CONTROL!$C$42, 0.1146, 0.1146)*CHOOSE(CONTROL!$C$42, 121.5, 121.5)*CHOOSE(CONTROL!$C$42, 31, 31))/1000000</f>
        <v>0.43164089999999994</v>
      </c>
      <c r="X428" s="38">
        <f>(31*0.1790888*245000/1000000)+(31*0.2374*100000/1000000)</f>
        <v>2.0961194359999999</v>
      </c>
      <c r="Y428" s="38">
        <f>(1000*600*CHOOSE(CONTROL!$C$42, 1.0861, 1.0861)*CHOOSE(CONTROL!$C$42, 31, 31))/1000000</f>
        <v>20.201460000000001</v>
      </c>
      <c r="Z428" s="38"/>
      <c r="AA428" s="10"/>
      <c r="AB428" s="39"/>
      <c r="AC428" s="33">
        <f>(B428*194.205+C428*267.466+D428*133.845+E428*53.484+F428*40+G428*185+H428*0+I428*100+J428*300)/(194.205+267.466+133.845+53.484+0+40+185+100+300)</f>
        <v>12.027384826295132</v>
      </c>
      <c r="AD428" s="27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11.919263309352516</v>
      </c>
    </row>
    <row r="429" spans="1:30" ht="15.75" x14ac:dyDescent="0.25">
      <c r="A429" s="14">
        <v>54331</v>
      </c>
      <c r="B429" s="10">
        <f>CHOOSE(CONTROL!$C$42, 11.2584, 11.2584) * CHOOSE(CONTROL!$C$21, $C$9, 100%, $E$9)</f>
        <v>11.2584</v>
      </c>
      <c r="C429" s="10">
        <f>CHOOSE(CONTROL!$C$42, 11.2664, 11.2664) * CHOOSE(CONTROL!$C$21, $C$9, 100%, $E$9)</f>
        <v>11.266400000000001</v>
      </c>
      <c r="D429" s="10">
        <f>CHOOSE(CONTROL!$C$42, 11.4415, 11.4415) * CHOOSE(CONTROL!$C$21, $C$9, 100%, $E$9)</f>
        <v>11.4415</v>
      </c>
      <c r="E429" s="10">
        <f>CHOOSE(CONTROL!$C$42, 11.4727, 11.4727) * CHOOSE(CONTROL!$C$21, $C$9, 100%, $E$9)</f>
        <v>11.4727</v>
      </c>
      <c r="F429" s="10">
        <f>CHOOSE(CONTROL!$C$42, 11.2002, 11.2002)*CHOOSE(CONTROL!$C$21, $C$9, 100%, $E$9)</f>
        <v>11.200200000000001</v>
      </c>
      <c r="G429" s="10">
        <f>CHOOSE(CONTROL!$C$42, 11.2171, 11.2171)*CHOOSE(CONTROL!$C$21, $C$9, 100%, $E$9)</f>
        <v>11.2171</v>
      </c>
      <c r="H429" s="10">
        <f>CHOOSE(CONTROL!$C$42, 11.4611, 11.4611) * CHOOSE(CONTROL!$C$21, $C$9, 100%, $E$9)</f>
        <v>11.4611</v>
      </c>
      <c r="I429" s="10">
        <f>CHOOSE(CONTROL!$C$42, 11.233, 11.233)* CHOOSE(CONTROL!$C$21, $C$9, 100%, $E$9)</f>
        <v>11.233000000000001</v>
      </c>
      <c r="J429" s="10">
        <f>CHOOSE(CONTROL!$C$42, 11.1928, 11.1928)* CHOOSE(CONTROL!$C$21, $C$9, 100%, $E$9)</f>
        <v>11.1928</v>
      </c>
      <c r="K429" s="10">
        <f>CHOOSE(CONTROL!$C$42, 11.0392, 11.0392) * CHOOSE(CONTROL!$C$21, $C$9, 100%, $E$9)</f>
        <v>11.039199999999999</v>
      </c>
      <c r="L429" s="10">
        <f>CHOOSE(CONTROL!$C$42, 12.0481, 12.0481) * CHOOSE(CONTROL!$C$21, $C$9, 100%, $E$9)</f>
        <v>12.0481</v>
      </c>
      <c r="M429" s="10">
        <f>CHOOSE(CONTROL!$C$42, 11.0809, 11.0809) * CHOOSE(CONTROL!$C$21, $C$9, 100%, $E$9)</f>
        <v>11.0809</v>
      </c>
      <c r="N429" s="10">
        <f>CHOOSE(CONTROL!$C$42, 11.0976, 11.0976) * CHOOSE(CONTROL!$C$21, $C$9, 100%, $E$9)</f>
        <v>11.0976</v>
      </c>
      <c r="O429" s="10">
        <f>CHOOSE(CONTROL!$C$42, 11.3457, 11.3457) * CHOOSE(CONTROL!$C$21, $C$9, 100%, $E$9)</f>
        <v>11.345700000000001</v>
      </c>
      <c r="P429" s="10">
        <f>CHOOSE(CONTROL!$C$42, 11.1207, 11.1207) * CHOOSE(CONTROL!$C$21, $C$9, 100%, $E$9)</f>
        <v>11.120699999999999</v>
      </c>
      <c r="Q429" s="10">
        <f>CHOOSE(CONTROL!$C$42, 11.941, 11.941) * CHOOSE(CONTROL!$C$21, $C$9, 100%, $E$9)</f>
        <v>11.941000000000001</v>
      </c>
      <c r="R429" s="10">
        <f>CHOOSE(CONTROL!$C$42, 12.5579, 12.5579) * CHOOSE(CONTROL!$C$21, $C$9, 100%, $E$9)</f>
        <v>12.5579</v>
      </c>
      <c r="S429" s="10">
        <f>CHOOSE(CONTROL!$C$42, 10.9161, 10.9161) * CHOOSE(CONTROL!$C$21, $C$9, 100%, $E$9)</f>
        <v>10.9161</v>
      </c>
      <c r="T4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38">
        <f>(1000*CHOOSE(CONTROL!$C$42, 695, 695)*CHOOSE(CONTROL!$C$42, 0.5599, 0.5599)*CHOOSE(CONTROL!$C$42, 30, 30))/1000000</f>
        <v>11.673914999999997</v>
      </c>
      <c r="V429" s="38">
        <f>(1000*CHOOSE(CONTROL!$C$42, 500, 500)*CHOOSE(CONTROL!$C$42, 0.275, 0.275)*CHOOSE(CONTROL!$C$42, 30, 30))/1000000</f>
        <v>4.125</v>
      </c>
      <c r="W429" s="38">
        <f>(1000*CHOOSE(CONTROL!$C$42, 0.1146, 0.1146)*CHOOSE(CONTROL!$C$42, 121.5, 121.5)*CHOOSE(CONTROL!$C$42, 30, 30))/1000000</f>
        <v>0.417717</v>
      </c>
      <c r="X429" s="38">
        <f>(30*0.1790888*245000/1000000)+(30*0.2374*100000/1000000)</f>
        <v>2.0285026799999999</v>
      </c>
      <c r="Y429" s="38">
        <f>(1000*600*CHOOSE(CONTROL!$C$42, 1.0861, 1.0861)*CHOOSE(CONTROL!$C$42, 30, 30))/1000000</f>
        <v>19.549800000000001</v>
      </c>
      <c r="Z429" s="38"/>
      <c r="AA429" s="10"/>
      <c r="AB429" s="39"/>
      <c r="AC429" s="33">
        <f>(B429*194.205+C429*267.466+D429*133.845+E429*53.484+F429*40+G429*185+H429*0+I429*100+J429*300)/(194.205+267.466+133.845+53.484+0+40+185+100+300)</f>
        <v>11.263046678728413</v>
      </c>
      <c r="AD429" s="27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11.16476762589928</v>
      </c>
    </row>
    <row r="430" spans="1:30" ht="15.75" x14ac:dyDescent="0.25">
      <c r="A430" s="14">
        <v>54362</v>
      </c>
      <c r="B430" s="10">
        <f>CHOOSE(CONTROL!$C$42, 11.0274, 11.0274) * CHOOSE(CONTROL!$C$21, $C$9, 100%, $E$9)</f>
        <v>11.0274</v>
      </c>
      <c r="C430" s="10">
        <f>CHOOSE(CONTROL!$C$42, 11.0328, 11.0328) * CHOOSE(CONTROL!$C$21, $C$9, 100%, $E$9)</f>
        <v>11.0328</v>
      </c>
      <c r="D430" s="10">
        <f>CHOOSE(CONTROL!$C$42, 11.2127, 11.2127) * CHOOSE(CONTROL!$C$21, $C$9, 100%, $E$9)</f>
        <v>11.2127</v>
      </c>
      <c r="E430" s="10">
        <f>CHOOSE(CONTROL!$C$42, 11.2417, 11.2417) * CHOOSE(CONTROL!$C$21, $C$9, 100%, $E$9)</f>
        <v>11.2417</v>
      </c>
      <c r="F430" s="10">
        <f>CHOOSE(CONTROL!$C$42, 10.9712, 10.9712)*CHOOSE(CONTROL!$C$21, $C$9, 100%, $E$9)</f>
        <v>10.9712</v>
      </c>
      <c r="G430" s="10">
        <f>CHOOSE(CONTROL!$C$42, 10.9878, 10.9878)*CHOOSE(CONTROL!$C$21, $C$9, 100%, $E$9)</f>
        <v>10.9878</v>
      </c>
      <c r="H430" s="10">
        <f>CHOOSE(CONTROL!$C$42, 11.2318, 11.2318) * CHOOSE(CONTROL!$C$21, $C$9, 100%, $E$9)</f>
        <v>11.2318</v>
      </c>
      <c r="I430" s="10">
        <f>CHOOSE(CONTROL!$C$42, 11.0038, 11.0038)* CHOOSE(CONTROL!$C$21, $C$9, 100%, $E$9)</f>
        <v>11.0038</v>
      </c>
      <c r="J430" s="10">
        <f>CHOOSE(CONTROL!$C$42, 10.9638, 10.9638)* CHOOSE(CONTROL!$C$21, $C$9, 100%, $E$9)</f>
        <v>10.963800000000001</v>
      </c>
      <c r="K430" s="10">
        <f>CHOOSE(CONTROL!$C$42, 10.8177, 10.8177) * CHOOSE(CONTROL!$C$21, $C$9, 100%, $E$9)</f>
        <v>10.8177</v>
      </c>
      <c r="L430" s="10">
        <f>CHOOSE(CONTROL!$C$42, 11.8188, 11.8188) * CHOOSE(CONTROL!$C$21, $C$9, 100%, $E$9)</f>
        <v>11.8188</v>
      </c>
      <c r="M430" s="10">
        <f>CHOOSE(CONTROL!$C$42, 10.8549, 10.8549) * CHOOSE(CONTROL!$C$21, $C$9, 100%, $E$9)</f>
        <v>10.854900000000001</v>
      </c>
      <c r="N430" s="10">
        <f>CHOOSE(CONTROL!$C$42, 10.8713, 10.8713) * CHOOSE(CONTROL!$C$21, $C$9, 100%, $E$9)</f>
        <v>10.8713</v>
      </c>
      <c r="O430" s="10">
        <f>CHOOSE(CONTROL!$C$42, 11.1194, 11.1194) * CHOOSE(CONTROL!$C$21, $C$9, 100%, $E$9)</f>
        <v>11.119400000000001</v>
      </c>
      <c r="P430" s="10">
        <f>CHOOSE(CONTROL!$C$42, 10.8944, 10.8944) * CHOOSE(CONTROL!$C$21, $C$9, 100%, $E$9)</f>
        <v>10.894399999999999</v>
      </c>
      <c r="Q430" s="10">
        <f>CHOOSE(CONTROL!$C$42, 11.7147, 11.7147) * CHOOSE(CONTROL!$C$21, $C$9, 100%, $E$9)</f>
        <v>11.714700000000001</v>
      </c>
      <c r="R430" s="10">
        <f>CHOOSE(CONTROL!$C$42, 12.331, 12.331) * CHOOSE(CONTROL!$C$21, $C$9, 100%, $E$9)</f>
        <v>12.331</v>
      </c>
      <c r="S430" s="10">
        <f>CHOOSE(CONTROL!$C$42, 10.6941, 10.6941) * CHOOSE(CONTROL!$C$21, $C$9, 100%, $E$9)</f>
        <v>10.694100000000001</v>
      </c>
      <c r="T4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38">
        <f>(1000*CHOOSE(CONTROL!$C$42, 695, 695)*CHOOSE(CONTROL!$C$42, 0.5599, 0.5599)*CHOOSE(CONTROL!$C$42, 31, 31))/1000000</f>
        <v>12.063045499999998</v>
      </c>
      <c r="V430" s="38">
        <f>(1000*CHOOSE(CONTROL!$C$42, 500, 500)*CHOOSE(CONTROL!$C$42, 0.275, 0.275)*CHOOSE(CONTROL!$C$42, 31, 31))/1000000</f>
        <v>4.2625000000000002</v>
      </c>
      <c r="W430" s="38">
        <f>(1000*CHOOSE(CONTROL!$C$42, 0.1146, 0.1146)*CHOOSE(CONTROL!$C$42, 121.5, 121.5)*CHOOSE(CONTROL!$C$42, 31, 31))/1000000</f>
        <v>0.43164089999999994</v>
      </c>
      <c r="X430" s="38">
        <f>(31*0.1790888*245000/1000000)+(31*0.2374*100000/1000000)</f>
        <v>2.0961194359999999</v>
      </c>
      <c r="Y430" s="38">
        <f>(1000*600*CHOOSE(CONTROL!$C$42, 1.0861, 1.0861)*CHOOSE(CONTROL!$C$42, 31, 31))/1000000</f>
        <v>20.201460000000001</v>
      </c>
      <c r="Z430" s="38"/>
      <c r="AA430" s="10"/>
      <c r="AB430" s="39"/>
      <c r="AC430" s="33">
        <f>(B430*131.881+C430*277.167+D430*79.08+E430*125.872+F430*40+G430*185+H430*0+I430*100+J430*300)/(131.881+277.167+79.08+125.872+0+40+185+100+300)</f>
        <v>11.037174491848265</v>
      </c>
      <c r="AD430" s="27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10.938571223021583</v>
      </c>
    </row>
    <row r="431" spans="1:30" ht="15.75" x14ac:dyDescent="0.25">
      <c r="A431" s="14">
        <v>54392</v>
      </c>
      <c r="B431" s="10">
        <f>CHOOSE(CONTROL!$C$42, 11.3179, 11.3179) * CHOOSE(CONTROL!$C$21, $C$9, 100%, $E$9)</f>
        <v>11.3179</v>
      </c>
      <c r="C431" s="10">
        <f>CHOOSE(CONTROL!$C$42, 11.323, 11.323) * CHOOSE(CONTROL!$C$21, $C$9, 100%, $E$9)</f>
        <v>11.323</v>
      </c>
      <c r="D431" s="10">
        <f>CHOOSE(CONTROL!$C$42, 11.3477, 11.3477) * CHOOSE(CONTROL!$C$21, $C$9, 100%, $E$9)</f>
        <v>11.3477</v>
      </c>
      <c r="E431" s="10">
        <f>CHOOSE(CONTROL!$C$42, 11.3815, 11.3815) * CHOOSE(CONTROL!$C$21, $C$9, 100%, $E$9)</f>
        <v>11.381500000000001</v>
      </c>
      <c r="F431" s="10">
        <f>CHOOSE(CONTROL!$C$42, 11.2836, 11.2836)*CHOOSE(CONTROL!$C$21, $C$9, 100%, $E$9)</f>
        <v>11.2836</v>
      </c>
      <c r="G431" s="10">
        <f>CHOOSE(CONTROL!$C$42, 11.3004, 11.3004)*CHOOSE(CONTROL!$C$21, $C$9, 100%, $E$9)</f>
        <v>11.3004</v>
      </c>
      <c r="H431" s="10">
        <f>CHOOSE(CONTROL!$C$42, 11.3704, 11.3704) * CHOOSE(CONTROL!$C$21, $C$9, 100%, $E$9)</f>
        <v>11.3704</v>
      </c>
      <c r="I431" s="10">
        <f>CHOOSE(CONTROL!$C$42, 11.3174, 11.3174)* CHOOSE(CONTROL!$C$21, $C$9, 100%, $E$9)</f>
        <v>11.317399999999999</v>
      </c>
      <c r="J431" s="10">
        <f>CHOOSE(CONTROL!$C$42, 11.2762, 11.2762)* CHOOSE(CONTROL!$C$21, $C$9, 100%, $E$9)</f>
        <v>11.276199999999999</v>
      </c>
      <c r="K431" s="10">
        <f>CHOOSE(CONTROL!$C$42, 11.1234, 11.1234) * CHOOSE(CONTROL!$C$21, $C$9, 100%, $E$9)</f>
        <v>11.1234</v>
      </c>
      <c r="L431" s="10">
        <f>CHOOSE(CONTROL!$C$42, 11.9574, 11.9574) * CHOOSE(CONTROL!$C$21, $C$9, 100%, $E$9)</f>
        <v>11.9574</v>
      </c>
      <c r="M431" s="10">
        <f>CHOOSE(CONTROL!$C$42, 11.1632, 11.1632) * CHOOSE(CONTROL!$C$21, $C$9, 100%, $E$9)</f>
        <v>11.1632</v>
      </c>
      <c r="N431" s="10">
        <f>CHOOSE(CONTROL!$C$42, 11.1798, 11.1798) * CHOOSE(CONTROL!$C$21, $C$9, 100%, $E$9)</f>
        <v>11.1798</v>
      </c>
      <c r="O431" s="10">
        <f>CHOOSE(CONTROL!$C$42, 11.2563, 11.2563) * CHOOSE(CONTROL!$C$21, $C$9, 100%, $E$9)</f>
        <v>11.2563</v>
      </c>
      <c r="P431" s="10">
        <f>CHOOSE(CONTROL!$C$42, 11.204, 11.204) * CHOOSE(CONTROL!$C$21, $C$9, 100%, $E$9)</f>
        <v>11.204000000000001</v>
      </c>
      <c r="Q431" s="10">
        <f>CHOOSE(CONTROL!$C$42, 11.8516, 11.8516) * CHOOSE(CONTROL!$C$21, $C$9, 100%, $E$9)</f>
        <v>11.851599999999999</v>
      </c>
      <c r="R431" s="10">
        <f>CHOOSE(CONTROL!$C$42, 12.4682, 12.4682) * CHOOSE(CONTROL!$C$21, $C$9, 100%, $E$9)</f>
        <v>12.4682</v>
      </c>
      <c r="S431" s="10">
        <f>CHOOSE(CONTROL!$C$42, 10.9758, 10.9758) * CHOOSE(CONTROL!$C$21, $C$9, 100%, $E$9)</f>
        <v>10.9758</v>
      </c>
      <c r="T4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38">
        <f>(1000*CHOOSE(CONTROL!$C$42, 695, 695)*CHOOSE(CONTROL!$C$42, 0.5599, 0.5599)*CHOOSE(CONTROL!$C$42, 30, 30))/1000000</f>
        <v>11.673914999999997</v>
      </c>
      <c r="V431" s="38">
        <f>(1000*CHOOSE(CONTROL!$C$42, 500, 500)*CHOOSE(CONTROL!$C$42, 0.275, 0.275)*CHOOSE(CONTROL!$C$42, 30, 30))/1000000</f>
        <v>4.125</v>
      </c>
      <c r="W431" s="38">
        <f>(1000*CHOOSE(CONTROL!$C$42, 0.1146, 0.1146)*CHOOSE(CONTROL!$C$42, 121.5, 121.5)*CHOOSE(CONTROL!$C$42, 30, 30))/1000000</f>
        <v>0.417717</v>
      </c>
      <c r="X431" s="38">
        <f>(30*0.1790888*100000/1000000)+(30*0.2374*100000/1000000)</f>
        <v>1.2494664</v>
      </c>
      <c r="Y431" s="38">
        <f>(1000*600*CHOOSE(CONTROL!$C$42, 1.0861, 1.0861)*CHOOSE(CONTROL!$C$42, 30, 30))/1000000</f>
        <v>19.549800000000001</v>
      </c>
      <c r="Z431" s="38"/>
      <c r="AA431" s="10"/>
      <c r="AB431" s="39"/>
      <c r="AC431" s="33">
        <f>(B431*122.58+C431*297.941+D431*89.177+E431*40.302+F431*40+G431*160+H431*0+I431*100+J431*300)/(122.58+297.941+89.177+40.302+0+40+160+100+300)</f>
        <v>11.309211461652174</v>
      </c>
      <c r="AD431" s="27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11.212222302158274</v>
      </c>
    </row>
    <row r="432" spans="1:30" ht="15.75" x14ac:dyDescent="0.25">
      <c r="A432" s="14">
        <v>54423</v>
      </c>
      <c r="B432" s="10">
        <f>CHOOSE(CONTROL!$C$42, 12.0907, 12.0907) * CHOOSE(CONTROL!$C$21, $C$9, 100%, $E$9)</f>
        <v>12.0907</v>
      </c>
      <c r="C432" s="10">
        <f>CHOOSE(CONTROL!$C$42, 12.0958, 12.0958) * CHOOSE(CONTROL!$C$21, $C$9, 100%, $E$9)</f>
        <v>12.095800000000001</v>
      </c>
      <c r="D432" s="10">
        <f>CHOOSE(CONTROL!$C$42, 12.1205, 12.1205) * CHOOSE(CONTROL!$C$21, $C$9, 100%, $E$9)</f>
        <v>12.1205</v>
      </c>
      <c r="E432" s="10">
        <f>CHOOSE(CONTROL!$C$42, 12.1543, 12.1543) * CHOOSE(CONTROL!$C$21, $C$9, 100%, $E$9)</f>
        <v>12.154299999999999</v>
      </c>
      <c r="F432" s="10">
        <f>CHOOSE(CONTROL!$C$42, 12.0581, 12.0581)*CHOOSE(CONTROL!$C$21, $C$9, 100%, $E$9)</f>
        <v>12.0581</v>
      </c>
      <c r="G432" s="10">
        <f>CHOOSE(CONTROL!$C$42, 12.0754, 12.0754)*CHOOSE(CONTROL!$C$21, $C$9, 100%, $E$9)</f>
        <v>12.0754</v>
      </c>
      <c r="H432" s="10">
        <f>CHOOSE(CONTROL!$C$42, 12.1432, 12.1432) * CHOOSE(CONTROL!$C$21, $C$9, 100%, $E$9)</f>
        <v>12.1432</v>
      </c>
      <c r="I432" s="10">
        <f>CHOOSE(CONTROL!$C$42, 12.0902, 12.0902)* CHOOSE(CONTROL!$C$21, $C$9, 100%, $E$9)</f>
        <v>12.090199999999999</v>
      </c>
      <c r="J432" s="10">
        <f>CHOOSE(CONTROL!$C$42, 12.0507, 12.0507)* CHOOSE(CONTROL!$C$21, $C$9, 100%, $E$9)</f>
        <v>12.050700000000001</v>
      </c>
      <c r="K432" s="10">
        <f>CHOOSE(CONTROL!$C$42, 11.8759, 11.8759) * CHOOSE(CONTROL!$C$21, $C$9, 100%, $E$9)</f>
        <v>11.8759</v>
      </c>
      <c r="L432" s="10">
        <f>CHOOSE(CONTROL!$C$42, 12.7302, 12.7302) * CHOOSE(CONTROL!$C$21, $C$9, 100%, $E$9)</f>
        <v>12.7302</v>
      </c>
      <c r="M432" s="10">
        <f>CHOOSE(CONTROL!$C$42, 11.9278, 11.9278) * CHOOSE(CONTROL!$C$21, $C$9, 100%, $E$9)</f>
        <v>11.9278</v>
      </c>
      <c r="N432" s="10">
        <f>CHOOSE(CONTROL!$C$42, 11.9448, 11.9448) * CHOOSE(CONTROL!$C$21, $C$9, 100%, $E$9)</f>
        <v>11.944800000000001</v>
      </c>
      <c r="O432" s="10">
        <f>CHOOSE(CONTROL!$C$42, 12.019, 12.019) * CHOOSE(CONTROL!$C$21, $C$9, 100%, $E$9)</f>
        <v>12.019</v>
      </c>
      <c r="P432" s="10">
        <f>CHOOSE(CONTROL!$C$42, 11.9668, 11.9668) * CHOOSE(CONTROL!$C$21, $C$9, 100%, $E$9)</f>
        <v>11.966799999999999</v>
      </c>
      <c r="Q432" s="10">
        <f>CHOOSE(CONTROL!$C$42, 12.6143, 12.6143) * CHOOSE(CONTROL!$C$21, $C$9, 100%, $E$9)</f>
        <v>12.6143</v>
      </c>
      <c r="R432" s="10">
        <f>CHOOSE(CONTROL!$C$42, 13.2329, 13.2329) * CHOOSE(CONTROL!$C$21, $C$9, 100%, $E$9)</f>
        <v>13.232900000000001</v>
      </c>
      <c r="S432" s="10">
        <f>CHOOSE(CONTROL!$C$42, 11.7241, 11.7241) * CHOOSE(CONTROL!$C$21, $C$9, 100%, $E$9)</f>
        <v>11.7241</v>
      </c>
      <c r="T4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38">
        <f>(1000*CHOOSE(CONTROL!$C$42, 695, 695)*CHOOSE(CONTROL!$C$42, 0.5599, 0.5599)*CHOOSE(CONTROL!$C$42, 31, 31))/1000000</f>
        <v>12.063045499999998</v>
      </c>
      <c r="V432" s="38">
        <f>(1000*CHOOSE(CONTROL!$C$42, 500, 500)*CHOOSE(CONTROL!$C$42, 0.275, 0.275)*CHOOSE(CONTROL!$C$42, 31, 31))/1000000</f>
        <v>4.2625000000000002</v>
      </c>
      <c r="W432" s="38">
        <f>(1000*CHOOSE(CONTROL!$C$42, 0.1146, 0.1146)*CHOOSE(CONTROL!$C$42, 121.5, 121.5)*CHOOSE(CONTROL!$C$42, 31, 31))/1000000</f>
        <v>0.43164089999999994</v>
      </c>
      <c r="X432" s="38">
        <f>(31*0.1790888*100000/1000000)+(31*0.2374*100000/1000000)</f>
        <v>1.2911152800000001</v>
      </c>
      <c r="Y432" s="38">
        <f>(1000*600*CHOOSE(CONTROL!$C$42, 1.0861, 1.0861)*CHOOSE(CONTROL!$C$42, 31, 31))/1000000</f>
        <v>20.201460000000001</v>
      </c>
      <c r="Z432" s="38"/>
      <c r="AA432" s="10"/>
      <c r="AB432" s="39"/>
      <c r="AC432" s="33">
        <f>(B432*122.58+C432*297.941+D432*89.177+E432*40.302+F432*40+G432*160+H432*0+I432*100+J432*300)/(122.58+297.941+89.177+40.302+0+40+160+100+300)</f>
        <v>12.082820157304349</v>
      </c>
      <c r="AD432" s="27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11.975725179856116</v>
      </c>
    </row>
    <row r="433" spans="1:30" ht="15.75" x14ac:dyDescent="0.25">
      <c r="A433" s="14">
        <v>54454</v>
      </c>
      <c r="B433" s="10">
        <f>CHOOSE(CONTROL!$C$42, 12.9079, 12.9079) * CHOOSE(CONTROL!$C$21, $C$9, 100%, $E$9)</f>
        <v>12.9079</v>
      </c>
      <c r="C433" s="10">
        <f>CHOOSE(CONTROL!$C$42, 12.913, 12.913) * CHOOSE(CONTROL!$C$21, $C$9, 100%, $E$9)</f>
        <v>12.913</v>
      </c>
      <c r="D433" s="10">
        <f>CHOOSE(CONTROL!$C$42, 12.948, 12.948) * CHOOSE(CONTROL!$C$21, $C$9, 100%, $E$9)</f>
        <v>12.948</v>
      </c>
      <c r="E433" s="10">
        <f>CHOOSE(CONTROL!$C$42, 12.9818, 12.9818) * CHOOSE(CONTROL!$C$21, $C$9, 100%, $E$9)</f>
        <v>12.9818</v>
      </c>
      <c r="F433" s="10">
        <f>CHOOSE(CONTROL!$C$42, 12.8891, 12.8891)*CHOOSE(CONTROL!$C$21, $C$9, 100%, $E$9)</f>
        <v>12.889099999999999</v>
      </c>
      <c r="G433" s="10">
        <f>CHOOSE(CONTROL!$C$42, 12.908, 12.908)*CHOOSE(CONTROL!$C$21, $C$9, 100%, $E$9)</f>
        <v>12.907999999999999</v>
      </c>
      <c r="H433" s="10">
        <f>CHOOSE(CONTROL!$C$42, 12.9707, 12.9707) * CHOOSE(CONTROL!$C$21, $C$9, 100%, $E$9)</f>
        <v>12.970700000000001</v>
      </c>
      <c r="I433" s="10">
        <f>CHOOSE(CONTROL!$C$42, 12.9151, 12.9151)* CHOOSE(CONTROL!$C$21, $C$9, 100%, $E$9)</f>
        <v>12.915100000000001</v>
      </c>
      <c r="J433" s="10">
        <f>CHOOSE(CONTROL!$C$42, 12.8817, 12.8817)* CHOOSE(CONTROL!$C$21, $C$9, 100%, $E$9)</f>
        <v>12.8817</v>
      </c>
      <c r="K433" s="10">
        <f>CHOOSE(CONTROL!$C$42, 12.6883, 12.6883) * CHOOSE(CONTROL!$C$21, $C$9, 100%, $E$9)</f>
        <v>12.6883</v>
      </c>
      <c r="L433" s="10">
        <f>CHOOSE(CONTROL!$C$42, 13.5577, 13.5577) * CHOOSE(CONTROL!$C$21, $C$9, 100%, $E$9)</f>
        <v>13.557700000000001</v>
      </c>
      <c r="M433" s="10">
        <f>CHOOSE(CONTROL!$C$42, 12.748, 12.748) * CHOOSE(CONTROL!$C$21, $C$9, 100%, $E$9)</f>
        <v>12.747999999999999</v>
      </c>
      <c r="N433" s="10">
        <f>CHOOSE(CONTROL!$C$42, 12.7667, 12.7667) * CHOOSE(CONTROL!$C$21, $C$9, 100%, $E$9)</f>
        <v>12.7667</v>
      </c>
      <c r="O433" s="10">
        <f>CHOOSE(CONTROL!$C$42, 12.8358, 12.8358) * CHOOSE(CONTROL!$C$21, $C$9, 100%, $E$9)</f>
        <v>12.835800000000001</v>
      </c>
      <c r="P433" s="10">
        <f>CHOOSE(CONTROL!$C$42, 12.781, 12.781) * CHOOSE(CONTROL!$C$21, $C$9, 100%, $E$9)</f>
        <v>12.781000000000001</v>
      </c>
      <c r="Q433" s="10">
        <f>CHOOSE(CONTROL!$C$42, 13.4311, 13.4311) * CHOOSE(CONTROL!$C$21, $C$9, 100%, $E$9)</f>
        <v>13.431100000000001</v>
      </c>
      <c r="R433" s="10">
        <f>CHOOSE(CONTROL!$C$42, 14.0517, 14.0517) * CHOOSE(CONTROL!$C$21, $C$9, 100%, $E$9)</f>
        <v>14.0517</v>
      </c>
      <c r="S433" s="10">
        <f>CHOOSE(CONTROL!$C$42, 12.5153, 12.5153) * CHOOSE(CONTROL!$C$21, $C$9, 100%, $E$9)</f>
        <v>12.5153</v>
      </c>
      <c r="T4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38">
        <f>(1000*CHOOSE(CONTROL!$C$42, 695, 695)*CHOOSE(CONTROL!$C$42, 0.5599, 0.5599)*CHOOSE(CONTROL!$C$42, 31, 31))/1000000</f>
        <v>12.063045499999998</v>
      </c>
      <c r="V433" s="38">
        <f>(1000*CHOOSE(CONTROL!$C$42, 500, 500)*CHOOSE(CONTROL!$C$42, 0.275, 0.275)*CHOOSE(CONTROL!$C$42, 31, 31))/1000000</f>
        <v>4.2625000000000002</v>
      </c>
      <c r="W433" s="38">
        <f>(1000*CHOOSE(CONTROL!$C$42, 0.1146, 0.1146)*CHOOSE(CONTROL!$C$42, 121.5, 121.5)*CHOOSE(CONTROL!$C$42, 31, 31))/1000000</f>
        <v>0.43164089999999994</v>
      </c>
      <c r="X433" s="38">
        <f>(31*0.1790888*100000/1000000)+(31*0.2374*100000/1000000)</f>
        <v>1.2911152800000001</v>
      </c>
      <c r="Y433" s="38">
        <f>(1000*600*CHOOSE(CONTROL!$C$42, 1.0826, 1.0826)*CHOOSE(CONTROL!$C$42, 31, 31))/1000000</f>
        <v>20.13636</v>
      </c>
      <c r="Z433" s="38"/>
      <c r="AA433" s="10"/>
      <c r="AB433" s="39"/>
      <c r="AC433" s="33">
        <f>(B433*122.58+C433*297.941+D433*89.177+E433*40.302+F433*40+G433*160+H433*0+I433*100+J433*300)/(122.58+297.941+89.177+40.302+0+40+160+100+300)</f>
        <v>12.908072012695651</v>
      </c>
      <c r="AD433" s="27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12.793618705035971</v>
      </c>
    </row>
    <row r="434" spans="1:30" ht="15.75" x14ac:dyDescent="0.25">
      <c r="A434" s="14">
        <v>54482</v>
      </c>
      <c r="B434" s="10">
        <f>CHOOSE(CONTROL!$C$42, 13.1379, 13.1379) * CHOOSE(CONTROL!$C$21, $C$9, 100%, $E$9)</f>
        <v>13.1379</v>
      </c>
      <c r="C434" s="10">
        <f>CHOOSE(CONTROL!$C$42, 13.143, 13.143) * CHOOSE(CONTROL!$C$21, $C$9, 100%, $E$9)</f>
        <v>13.143000000000001</v>
      </c>
      <c r="D434" s="10">
        <f>CHOOSE(CONTROL!$C$42, 13.178, 13.178) * CHOOSE(CONTROL!$C$21, $C$9, 100%, $E$9)</f>
        <v>13.178000000000001</v>
      </c>
      <c r="E434" s="10">
        <f>CHOOSE(CONTROL!$C$42, 13.2119, 13.2119) * CHOOSE(CONTROL!$C$21, $C$9, 100%, $E$9)</f>
        <v>13.2119</v>
      </c>
      <c r="F434" s="10">
        <f>CHOOSE(CONTROL!$C$42, 13.1187, 13.1187)*CHOOSE(CONTROL!$C$21, $C$9, 100%, $E$9)</f>
        <v>13.1187</v>
      </c>
      <c r="G434" s="10">
        <f>CHOOSE(CONTROL!$C$42, 13.1374, 13.1374)*CHOOSE(CONTROL!$C$21, $C$9, 100%, $E$9)</f>
        <v>13.1374</v>
      </c>
      <c r="H434" s="10">
        <f>CHOOSE(CONTROL!$C$42, 13.2007, 13.2007) * CHOOSE(CONTROL!$C$21, $C$9, 100%, $E$9)</f>
        <v>13.200699999999999</v>
      </c>
      <c r="I434" s="10">
        <f>CHOOSE(CONTROL!$C$42, 13.1452, 13.1452)* CHOOSE(CONTROL!$C$21, $C$9, 100%, $E$9)</f>
        <v>13.145200000000001</v>
      </c>
      <c r="J434" s="10">
        <f>CHOOSE(CONTROL!$C$42, 13.1113, 13.1113)* CHOOSE(CONTROL!$C$21, $C$9, 100%, $E$9)</f>
        <v>13.1113</v>
      </c>
      <c r="K434" s="10">
        <f>CHOOSE(CONTROL!$C$42, 12.91, 12.91) * CHOOSE(CONTROL!$C$21, $C$9, 100%, $E$9)</f>
        <v>12.91</v>
      </c>
      <c r="L434" s="10">
        <f>CHOOSE(CONTROL!$C$42, 13.7877, 13.7877) * CHOOSE(CONTROL!$C$21, $C$9, 100%, $E$9)</f>
        <v>13.787699999999999</v>
      </c>
      <c r="M434" s="10">
        <f>CHOOSE(CONTROL!$C$42, 12.9746, 12.9746) * CHOOSE(CONTROL!$C$21, $C$9, 100%, $E$9)</f>
        <v>12.974600000000001</v>
      </c>
      <c r="N434" s="10">
        <f>CHOOSE(CONTROL!$C$42, 12.9931, 12.9931) * CHOOSE(CONTROL!$C$21, $C$9, 100%, $E$9)</f>
        <v>12.9931</v>
      </c>
      <c r="O434" s="10">
        <f>CHOOSE(CONTROL!$C$42, 13.0629, 13.0629) * CHOOSE(CONTROL!$C$21, $C$9, 100%, $E$9)</f>
        <v>13.062900000000001</v>
      </c>
      <c r="P434" s="10">
        <f>CHOOSE(CONTROL!$C$42, 13.0081, 13.0081) * CHOOSE(CONTROL!$C$21, $C$9, 100%, $E$9)</f>
        <v>13.008100000000001</v>
      </c>
      <c r="Q434" s="10">
        <f>CHOOSE(CONTROL!$C$42, 13.6582, 13.6582) * CHOOSE(CONTROL!$C$21, $C$9, 100%, $E$9)</f>
        <v>13.658200000000001</v>
      </c>
      <c r="R434" s="10">
        <f>CHOOSE(CONTROL!$C$42, 14.2793, 14.2793) * CHOOSE(CONTROL!$C$21, $C$9, 100%, $E$9)</f>
        <v>14.279299999999999</v>
      </c>
      <c r="S434" s="10">
        <f>CHOOSE(CONTROL!$C$42, 12.7381, 12.7381) * CHOOSE(CONTROL!$C$21, $C$9, 100%, $E$9)</f>
        <v>12.738099999999999</v>
      </c>
      <c r="T43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34" s="38">
        <f>(1000*CHOOSE(CONTROL!$C$42, 695, 695)*CHOOSE(CONTROL!$C$42, 0.5599, 0.5599)*CHOOSE(CONTROL!$C$42, 28, 28))/1000000</f>
        <v>10.895653999999999</v>
      </c>
      <c r="V434" s="38">
        <f>(1000*CHOOSE(CONTROL!$C$42, 500, 500)*CHOOSE(CONTROL!$C$42, 0.275, 0.275)*CHOOSE(CONTROL!$C$42, 28, 28))/1000000</f>
        <v>3.85</v>
      </c>
      <c r="W434" s="38">
        <f>(1000*CHOOSE(CONTROL!$C$42, 0.1146, 0.1146)*CHOOSE(CONTROL!$C$42, 121.5, 121.5)*CHOOSE(CONTROL!$C$42, 28, 28))/1000000</f>
        <v>0.38986920000000003</v>
      </c>
      <c r="X434" s="38">
        <f>(28*0.1790888*100000/1000000)+(28*0.2374*100000/1000000)</f>
        <v>1.16616864</v>
      </c>
      <c r="Y434" s="38">
        <f>(1000*600*CHOOSE(CONTROL!$C$42, 1.0826, 1.0826)*CHOOSE(CONTROL!$C$42, 28, 28))/1000000</f>
        <v>18.18768</v>
      </c>
      <c r="Z434" s="38"/>
      <c r="AA434" s="10"/>
      <c r="AB434" s="39"/>
      <c r="AC434" s="33">
        <f>(B434*122.58+C434*297.941+D434*89.177+E434*40.302+F434*40+G434*160+H434*0+I434*100+J434*300)/(122.58+297.941+89.177+40.302+0+40+160+100+300)</f>
        <v>13.137882473739129</v>
      </c>
      <c r="AD434" s="27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13.020505755395684</v>
      </c>
    </row>
    <row r="435" spans="1:30" ht="15.75" x14ac:dyDescent="0.25">
      <c r="A435" s="14">
        <v>54513</v>
      </c>
      <c r="B435" s="10">
        <f>CHOOSE(CONTROL!$C$42, 12.7645, 12.7645) * CHOOSE(CONTROL!$C$21, $C$9, 100%, $E$9)</f>
        <v>12.7645</v>
      </c>
      <c r="C435" s="10">
        <f>CHOOSE(CONTROL!$C$42, 12.7696, 12.7696) * CHOOSE(CONTROL!$C$21, $C$9, 100%, $E$9)</f>
        <v>12.769600000000001</v>
      </c>
      <c r="D435" s="10">
        <f>CHOOSE(CONTROL!$C$42, 12.8046, 12.8046) * CHOOSE(CONTROL!$C$21, $C$9, 100%, $E$9)</f>
        <v>12.804600000000001</v>
      </c>
      <c r="E435" s="10">
        <f>CHOOSE(CONTROL!$C$42, 12.8384, 12.8384) * CHOOSE(CONTROL!$C$21, $C$9, 100%, $E$9)</f>
        <v>12.8384</v>
      </c>
      <c r="F435" s="10">
        <f>CHOOSE(CONTROL!$C$42, 12.7438, 12.7438)*CHOOSE(CONTROL!$C$21, $C$9, 100%, $E$9)</f>
        <v>12.7438</v>
      </c>
      <c r="G435" s="10">
        <f>CHOOSE(CONTROL!$C$42, 12.7622, 12.7622)*CHOOSE(CONTROL!$C$21, $C$9, 100%, $E$9)</f>
        <v>12.7622</v>
      </c>
      <c r="H435" s="10">
        <f>CHOOSE(CONTROL!$C$42, 12.8273, 12.8273) * CHOOSE(CONTROL!$C$21, $C$9, 100%, $E$9)</f>
        <v>12.827299999999999</v>
      </c>
      <c r="I435" s="10">
        <f>CHOOSE(CONTROL!$C$42, 12.7717, 12.7717)* CHOOSE(CONTROL!$C$21, $C$9, 100%, $E$9)</f>
        <v>12.771699999999999</v>
      </c>
      <c r="J435" s="10">
        <f>CHOOSE(CONTROL!$C$42, 12.7364, 12.7364)* CHOOSE(CONTROL!$C$21, $C$9, 100%, $E$9)</f>
        <v>12.7364</v>
      </c>
      <c r="K435" s="10">
        <f>CHOOSE(CONTROL!$C$42, 12.5452, 12.5452) * CHOOSE(CONTROL!$C$21, $C$9, 100%, $E$9)</f>
        <v>12.545199999999999</v>
      </c>
      <c r="L435" s="10">
        <f>CHOOSE(CONTROL!$C$42, 13.4143, 13.4143) * CHOOSE(CONTROL!$C$21, $C$9, 100%, $E$9)</f>
        <v>13.414300000000001</v>
      </c>
      <c r="M435" s="10">
        <f>CHOOSE(CONTROL!$C$42, 12.6046, 12.6046) * CHOOSE(CONTROL!$C$21, $C$9, 100%, $E$9)</f>
        <v>12.6046</v>
      </c>
      <c r="N435" s="10">
        <f>CHOOSE(CONTROL!$C$42, 12.6228, 12.6228) * CHOOSE(CONTROL!$C$21, $C$9, 100%, $E$9)</f>
        <v>12.6228</v>
      </c>
      <c r="O435" s="10">
        <f>CHOOSE(CONTROL!$C$42, 12.6943, 12.6943) * CHOOSE(CONTROL!$C$21, $C$9, 100%, $E$9)</f>
        <v>12.6943</v>
      </c>
      <c r="P435" s="10">
        <f>CHOOSE(CONTROL!$C$42, 12.6395, 12.6395) * CHOOSE(CONTROL!$C$21, $C$9, 100%, $E$9)</f>
        <v>12.6395</v>
      </c>
      <c r="Q435" s="10">
        <f>CHOOSE(CONTROL!$C$42, 13.2896, 13.2896) * CHOOSE(CONTROL!$C$21, $C$9, 100%, $E$9)</f>
        <v>13.2896</v>
      </c>
      <c r="R435" s="10">
        <f>CHOOSE(CONTROL!$C$42, 13.9098, 13.9098) * CHOOSE(CONTROL!$C$21, $C$9, 100%, $E$9)</f>
        <v>13.909800000000001</v>
      </c>
      <c r="S435" s="10">
        <f>CHOOSE(CONTROL!$C$42, 12.3765, 12.3765) * CHOOSE(CONTROL!$C$21, $C$9, 100%, $E$9)</f>
        <v>12.3765</v>
      </c>
      <c r="T4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38">
        <f>(1000*CHOOSE(CONTROL!$C$42, 695, 695)*CHOOSE(CONTROL!$C$42, 0.5599, 0.5599)*CHOOSE(CONTROL!$C$42, 31, 31))/1000000</f>
        <v>12.063045499999998</v>
      </c>
      <c r="V435" s="38">
        <f>(1000*CHOOSE(CONTROL!$C$42, 500, 500)*CHOOSE(CONTROL!$C$42, 0.275, 0.275)*CHOOSE(CONTROL!$C$42, 31, 31))/1000000</f>
        <v>4.2625000000000002</v>
      </c>
      <c r="W435" s="38">
        <f>(1000*CHOOSE(CONTROL!$C$42, 0.1146, 0.1146)*CHOOSE(CONTROL!$C$42, 121.5, 121.5)*CHOOSE(CONTROL!$C$42, 31, 31))/1000000</f>
        <v>0.43164089999999994</v>
      </c>
      <c r="X435" s="38">
        <f>(31*0.1790888*100000/1000000)+(31*0.2374*100000/1000000)</f>
        <v>1.2911152800000001</v>
      </c>
      <c r="Y435" s="38">
        <f>(1000*600*CHOOSE(CONTROL!$C$42, 1.0826, 1.0826)*CHOOSE(CONTROL!$C$42, 31, 31))/1000000</f>
        <v>20.13636</v>
      </c>
      <c r="Z435" s="38"/>
      <c r="AA435" s="10"/>
      <c r="AB435" s="39"/>
      <c r="AC435" s="33">
        <f>(B435*122.58+C435*297.941+D435*89.177+E435*40.302+F435*40+G435*160+H435*0+I435*100+J435*300)/(122.58+297.941+89.177+40.302+0+40+160+100+300)</f>
        <v>12.76377636052174</v>
      </c>
      <c r="AD435" s="27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12.651324460431654</v>
      </c>
    </row>
    <row r="436" spans="1:30" ht="15.75" x14ac:dyDescent="0.25">
      <c r="A436" s="14">
        <v>54543</v>
      </c>
      <c r="B436" s="10">
        <f>CHOOSE(CONTROL!$C$42, 12.727, 12.727) * CHOOSE(CONTROL!$C$21, $C$9, 100%, $E$9)</f>
        <v>12.727</v>
      </c>
      <c r="C436" s="10">
        <f>CHOOSE(CONTROL!$C$42, 12.7315, 12.7315) * CHOOSE(CONTROL!$C$21, $C$9, 100%, $E$9)</f>
        <v>12.7315</v>
      </c>
      <c r="D436" s="10">
        <f>CHOOSE(CONTROL!$C$42, 12.9097, 12.9097) * CHOOSE(CONTROL!$C$21, $C$9, 100%, $E$9)</f>
        <v>12.909700000000001</v>
      </c>
      <c r="E436" s="10">
        <f>CHOOSE(CONTROL!$C$42, 12.9415, 12.9415) * CHOOSE(CONTROL!$C$21, $C$9, 100%, $E$9)</f>
        <v>12.9415</v>
      </c>
      <c r="F436" s="10">
        <f>CHOOSE(CONTROL!$C$42, 12.6704, 12.6704)*CHOOSE(CONTROL!$C$21, $C$9, 100%, $E$9)</f>
        <v>12.670400000000001</v>
      </c>
      <c r="G436" s="10">
        <f>CHOOSE(CONTROL!$C$42, 12.687, 12.687)*CHOOSE(CONTROL!$C$21, $C$9, 100%, $E$9)</f>
        <v>12.686999999999999</v>
      </c>
      <c r="H436" s="10">
        <f>CHOOSE(CONTROL!$C$42, 12.931, 12.931) * CHOOSE(CONTROL!$C$21, $C$9, 100%, $E$9)</f>
        <v>12.930999999999999</v>
      </c>
      <c r="I436" s="10">
        <f>CHOOSE(CONTROL!$C$42, 12.703, 12.703)* CHOOSE(CONTROL!$C$21, $C$9, 100%, $E$9)</f>
        <v>12.702999999999999</v>
      </c>
      <c r="J436" s="10">
        <f>CHOOSE(CONTROL!$C$42, 12.663, 12.663)* CHOOSE(CONTROL!$C$21, $C$9, 100%, $E$9)</f>
        <v>12.663</v>
      </c>
      <c r="K436" s="10">
        <f>CHOOSE(CONTROL!$C$42, 12.4639, 12.4639) * CHOOSE(CONTROL!$C$21, $C$9, 100%, $E$9)</f>
        <v>12.463900000000001</v>
      </c>
      <c r="L436" s="10">
        <f>CHOOSE(CONTROL!$C$42, 13.518, 13.518) * CHOOSE(CONTROL!$C$21, $C$9, 100%, $E$9)</f>
        <v>13.518000000000001</v>
      </c>
      <c r="M436" s="10">
        <f>CHOOSE(CONTROL!$C$42, 12.5321, 12.5321) * CHOOSE(CONTROL!$C$21, $C$9, 100%, $E$9)</f>
        <v>12.5321</v>
      </c>
      <c r="N436" s="10">
        <f>CHOOSE(CONTROL!$C$42, 12.5485, 12.5485) * CHOOSE(CONTROL!$C$21, $C$9, 100%, $E$9)</f>
        <v>12.548500000000001</v>
      </c>
      <c r="O436" s="10">
        <f>CHOOSE(CONTROL!$C$42, 12.7967, 12.7967) * CHOOSE(CONTROL!$C$21, $C$9, 100%, $E$9)</f>
        <v>12.7967</v>
      </c>
      <c r="P436" s="10">
        <f>CHOOSE(CONTROL!$C$42, 12.5716, 12.5716) * CHOOSE(CONTROL!$C$21, $C$9, 100%, $E$9)</f>
        <v>12.5716</v>
      </c>
      <c r="Q436" s="10">
        <f>CHOOSE(CONTROL!$C$42, 13.392, 13.392) * CHOOSE(CONTROL!$C$21, $C$9, 100%, $E$9)</f>
        <v>13.391999999999999</v>
      </c>
      <c r="R436" s="10">
        <f>CHOOSE(CONTROL!$C$42, 14.0124, 14.0124) * CHOOSE(CONTROL!$C$21, $C$9, 100%, $E$9)</f>
        <v>14.0124</v>
      </c>
      <c r="S436" s="10">
        <f>CHOOSE(CONTROL!$C$42, 12.3394, 12.3394) * CHOOSE(CONTROL!$C$21, $C$9, 100%, $E$9)</f>
        <v>12.339399999999999</v>
      </c>
      <c r="T4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38">
        <f>(1000*CHOOSE(CONTROL!$C$42, 695, 695)*CHOOSE(CONTROL!$C$42, 0.5599, 0.5599)*CHOOSE(CONTROL!$C$42, 30, 30))/1000000</f>
        <v>11.673914999999997</v>
      </c>
      <c r="V436" s="38">
        <f>(1000*CHOOSE(CONTROL!$C$42, 500, 500)*CHOOSE(CONTROL!$C$42, 0.275, 0.275)*CHOOSE(CONTROL!$C$42, 30, 30))/1000000</f>
        <v>4.125</v>
      </c>
      <c r="W436" s="38">
        <f>(1000*CHOOSE(CONTROL!$C$42, 0.1146, 0.1146)*CHOOSE(CONTROL!$C$42, 121.5, 121.5)*CHOOSE(CONTROL!$C$42, 30, 30))/1000000</f>
        <v>0.417717</v>
      </c>
      <c r="X436" s="38">
        <f>(30*0.1790888*245000/1000000)+(30*0.2374*100000/1000000)</f>
        <v>2.0285026799999999</v>
      </c>
      <c r="Y436" s="38">
        <f>(1000*600*CHOOSE(CONTROL!$C$42, 1.0826, 1.0826)*CHOOSE(CONTROL!$C$42, 30, 30))/1000000</f>
        <v>19.486799999999999</v>
      </c>
      <c r="Z436" s="38"/>
      <c r="AA436" s="10"/>
      <c r="AB436" s="39"/>
      <c r="AC436" s="33">
        <f>(B436*141.293+C436*267.993+D436*115.016+E436*89.698+F436*40+G436*185+H436*0+I436*100+J436*300)/(141.293+267.993+115.016+89.698+0+40+185+100+300)</f>
        <v>12.735228904519774</v>
      </c>
      <c r="AD436" s="27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12.615799280575539</v>
      </c>
    </row>
    <row r="437" spans="1:30" ht="15.75" x14ac:dyDescent="0.25">
      <c r="A437" s="14">
        <v>54574</v>
      </c>
      <c r="B437" s="10">
        <f>CHOOSE(CONTROL!$C$42, 12.8412, 12.8412) * CHOOSE(CONTROL!$C$21, $C$9, 100%, $E$9)</f>
        <v>12.841200000000001</v>
      </c>
      <c r="C437" s="10">
        <f>CHOOSE(CONTROL!$C$42, 12.8492, 12.8492) * CHOOSE(CONTROL!$C$21, $C$9, 100%, $E$9)</f>
        <v>12.8492</v>
      </c>
      <c r="D437" s="10">
        <f>CHOOSE(CONTROL!$C$42, 13.0243, 13.0243) * CHOOSE(CONTROL!$C$21, $C$9, 100%, $E$9)</f>
        <v>13.0243</v>
      </c>
      <c r="E437" s="10">
        <f>CHOOSE(CONTROL!$C$42, 13.0555, 13.0555) * CHOOSE(CONTROL!$C$21, $C$9, 100%, $E$9)</f>
        <v>13.0555</v>
      </c>
      <c r="F437" s="10">
        <f>CHOOSE(CONTROL!$C$42, 12.7829, 12.7829)*CHOOSE(CONTROL!$C$21, $C$9, 100%, $E$9)</f>
        <v>12.7829</v>
      </c>
      <c r="G437" s="10">
        <f>CHOOSE(CONTROL!$C$42, 12.7998, 12.7998)*CHOOSE(CONTROL!$C$21, $C$9, 100%, $E$9)</f>
        <v>12.799799999999999</v>
      </c>
      <c r="H437" s="10">
        <f>CHOOSE(CONTROL!$C$42, 13.0439, 13.0439) * CHOOSE(CONTROL!$C$21, $C$9, 100%, $E$9)</f>
        <v>13.043900000000001</v>
      </c>
      <c r="I437" s="10">
        <f>CHOOSE(CONTROL!$C$42, 12.8158, 12.8158)* CHOOSE(CONTROL!$C$21, $C$9, 100%, $E$9)</f>
        <v>12.815799999999999</v>
      </c>
      <c r="J437" s="10">
        <f>CHOOSE(CONTROL!$C$42, 12.7755, 12.7755)* CHOOSE(CONTROL!$C$21, $C$9, 100%, $E$9)</f>
        <v>12.775499999999999</v>
      </c>
      <c r="K437" s="10">
        <f>CHOOSE(CONTROL!$C$42, 12.5724, 12.5724) * CHOOSE(CONTROL!$C$21, $C$9, 100%, $E$9)</f>
        <v>12.5724</v>
      </c>
      <c r="L437" s="10">
        <f>CHOOSE(CONTROL!$C$42, 13.6309, 13.6309) * CHOOSE(CONTROL!$C$21, $C$9, 100%, $E$9)</f>
        <v>13.6309</v>
      </c>
      <c r="M437" s="10">
        <f>CHOOSE(CONTROL!$C$42, 12.6431, 12.6431) * CHOOSE(CONTROL!$C$21, $C$9, 100%, $E$9)</f>
        <v>12.6431</v>
      </c>
      <c r="N437" s="10">
        <f>CHOOSE(CONTROL!$C$42, 12.6598, 12.6598) * CHOOSE(CONTROL!$C$21, $C$9, 100%, $E$9)</f>
        <v>12.659800000000001</v>
      </c>
      <c r="O437" s="10">
        <f>CHOOSE(CONTROL!$C$42, 12.9081, 12.9081) * CHOOSE(CONTROL!$C$21, $C$9, 100%, $E$9)</f>
        <v>12.908099999999999</v>
      </c>
      <c r="P437" s="10">
        <f>CHOOSE(CONTROL!$C$42, 12.683, 12.683) * CHOOSE(CONTROL!$C$21, $C$9, 100%, $E$9)</f>
        <v>12.683</v>
      </c>
      <c r="Q437" s="10">
        <f>CHOOSE(CONTROL!$C$42, 13.5034, 13.5034) * CHOOSE(CONTROL!$C$21, $C$9, 100%, $E$9)</f>
        <v>13.503399999999999</v>
      </c>
      <c r="R437" s="10">
        <f>CHOOSE(CONTROL!$C$42, 14.1241, 14.1241) * CHOOSE(CONTROL!$C$21, $C$9, 100%, $E$9)</f>
        <v>14.1241</v>
      </c>
      <c r="S437" s="10">
        <f>CHOOSE(CONTROL!$C$42, 12.4487, 12.4487) * CHOOSE(CONTROL!$C$21, $C$9, 100%, $E$9)</f>
        <v>12.448700000000001</v>
      </c>
      <c r="T4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38">
        <f>(1000*CHOOSE(CONTROL!$C$42, 695, 695)*CHOOSE(CONTROL!$C$42, 0.5599, 0.5599)*CHOOSE(CONTROL!$C$42, 31, 31))/1000000</f>
        <v>12.063045499999998</v>
      </c>
      <c r="V437" s="38">
        <f>(1000*CHOOSE(CONTROL!$C$42, 500, 500)*CHOOSE(CONTROL!$C$42, 0.275, 0.275)*CHOOSE(CONTROL!$C$42, 31, 31))/1000000</f>
        <v>4.2625000000000002</v>
      </c>
      <c r="W437" s="38">
        <f>(1000*CHOOSE(CONTROL!$C$42, 0.1146, 0.1146)*CHOOSE(CONTROL!$C$42, 121.5, 121.5)*CHOOSE(CONTROL!$C$42, 31, 31))/1000000</f>
        <v>0.43164089999999994</v>
      </c>
      <c r="X437" s="38">
        <f>(31*0.1790888*245000/1000000)+(31*0.2374*100000/1000000)</f>
        <v>2.0961194359999999</v>
      </c>
      <c r="Y437" s="38">
        <f>(1000*600*CHOOSE(CONTROL!$C$42, 1.0826, 1.0826)*CHOOSE(CONTROL!$C$42, 31, 31))/1000000</f>
        <v>20.13636</v>
      </c>
      <c r="Z437" s="38"/>
      <c r="AA437" s="10"/>
      <c r="AB437" s="39"/>
      <c r="AC437" s="33">
        <f>(B437*194.205+C437*267.466+D437*133.845+E437*53.484+F437*40+G437*185+H437*0+I437*100+J437*300)/(194.205+267.466+133.845+53.484+0+40+185+100+300)</f>
        <v>12.845805469937204</v>
      </c>
      <c r="AD437" s="27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12.727038129496401</v>
      </c>
    </row>
    <row r="438" spans="1:30" ht="15.75" x14ac:dyDescent="0.25">
      <c r="A438" s="14">
        <v>54604</v>
      </c>
      <c r="B438" s="10">
        <f>CHOOSE(CONTROL!$C$42, 13.2058, 13.2058) * CHOOSE(CONTROL!$C$21, $C$9, 100%, $E$9)</f>
        <v>13.2058</v>
      </c>
      <c r="C438" s="10">
        <f>CHOOSE(CONTROL!$C$42, 13.2138, 13.2138) * CHOOSE(CONTROL!$C$21, $C$9, 100%, $E$9)</f>
        <v>13.213800000000001</v>
      </c>
      <c r="D438" s="10">
        <f>CHOOSE(CONTROL!$C$42, 13.389, 13.389) * CHOOSE(CONTROL!$C$21, $C$9, 100%, $E$9)</f>
        <v>13.388999999999999</v>
      </c>
      <c r="E438" s="10">
        <f>CHOOSE(CONTROL!$C$42, 13.4202, 13.4202) * CHOOSE(CONTROL!$C$21, $C$9, 100%, $E$9)</f>
        <v>13.420199999999999</v>
      </c>
      <c r="F438" s="10">
        <f>CHOOSE(CONTROL!$C$42, 13.1477, 13.1477)*CHOOSE(CONTROL!$C$21, $C$9, 100%, $E$9)</f>
        <v>13.1477</v>
      </c>
      <c r="G438" s="10">
        <f>CHOOSE(CONTROL!$C$42, 13.1647, 13.1647)*CHOOSE(CONTROL!$C$21, $C$9, 100%, $E$9)</f>
        <v>13.1647</v>
      </c>
      <c r="H438" s="10">
        <f>CHOOSE(CONTROL!$C$42, 13.4085, 13.4085) * CHOOSE(CONTROL!$C$21, $C$9, 100%, $E$9)</f>
        <v>13.4085</v>
      </c>
      <c r="I438" s="10">
        <f>CHOOSE(CONTROL!$C$42, 13.1805, 13.1805)* CHOOSE(CONTROL!$C$21, $C$9, 100%, $E$9)</f>
        <v>13.1805</v>
      </c>
      <c r="J438" s="10">
        <f>CHOOSE(CONTROL!$C$42, 13.1403, 13.1403)* CHOOSE(CONTROL!$C$21, $C$9, 100%, $E$9)</f>
        <v>13.1403</v>
      </c>
      <c r="K438" s="10">
        <f>CHOOSE(CONTROL!$C$42, 12.9261, 12.9261) * CHOOSE(CONTROL!$C$21, $C$9, 100%, $E$9)</f>
        <v>12.9261</v>
      </c>
      <c r="L438" s="10">
        <f>CHOOSE(CONTROL!$C$42, 13.9955, 13.9955) * CHOOSE(CONTROL!$C$21, $C$9, 100%, $E$9)</f>
        <v>13.9955</v>
      </c>
      <c r="M438" s="10">
        <f>CHOOSE(CONTROL!$C$42, 13.0033, 13.0033) * CHOOSE(CONTROL!$C$21, $C$9, 100%, $E$9)</f>
        <v>13.003299999999999</v>
      </c>
      <c r="N438" s="10">
        <f>CHOOSE(CONTROL!$C$42, 13.02, 13.02) * CHOOSE(CONTROL!$C$21, $C$9, 100%, $E$9)</f>
        <v>13.02</v>
      </c>
      <c r="O438" s="10">
        <f>CHOOSE(CONTROL!$C$42, 13.268, 13.268) * CHOOSE(CONTROL!$C$21, $C$9, 100%, $E$9)</f>
        <v>13.268000000000001</v>
      </c>
      <c r="P438" s="10">
        <f>CHOOSE(CONTROL!$C$42, 13.043, 13.043) * CHOOSE(CONTROL!$C$21, $C$9, 100%, $E$9)</f>
        <v>13.042999999999999</v>
      </c>
      <c r="Q438" s="10">
        <f>CHOOSE(CONTROL!$C$42, 13.8633, 13.8633) * CHOOSE(CONTROL!$C$21, $C$9, 100%, $E$9)</f>
        <v>13.863300000000001</v>
      </c>
      <c r="R438" s="10">
        <f>CHOOSE(CONTROL!$C$42, 14.4849, 14.4849) * CHOOSE(CONTROL!$C$21, $C$9, 100%, $E$9)</f>
        <v>14.4849</v>
      </c>
      <c r="S438" s="10">
        <f>CHOOSE(CONTROL!$C$42, 12.8018, 12.8018) * CHOOSE(CONTROL!$C$21, $C$9, 100%, $E$9)</f>
        <v>12.8018</v>
      </c>
      <c r="T4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38">
        <f>(1000*CHOOSE(CONTROL!$C$42, 695, 695)*CHOOSE(CONTROL!$C$42, 0.5599, 0.5599)*CHOOSE(CONTROL!$C$42, 30, 30))/1000000</f>
        <v>11.673914999999997</v>
      </c>
      <c r="V438" s="38">
        <f>(1000*CHOOSE(CONTROL!$C$42, 500, 500)*CHOOSE(CONTROL!$C$42, 0.275, 0.275)*CHOOSE(CONTROL!$C$42, 30, 30))/1000000</f>
        <v>4.125</v>
      </c>
      <c r="W438" s="38">
        <f>(1000*CHOOSE(CONTROL!$C$42, 0.1146, 0.1146)*CHOOSE(CONTROL!$C$42, 121.5, 121.5)*CHOOSE(CONTROL!$C$42, 30, 30))/1000000</f>
        <v>0.417717</v>
      </c>
      <c r="X438" s="38">
        <f>(30*0.1790888*245000/1000000)+(30*0.2374*100000/1000000)</f>
        <v>2.0285026799999999</v>
      </c>
      <c r="Y438" s="38">
        <f>(1000*600*CHOOSE(CONTROL!$C$42, 1.0826, 1.0826)*CHOOSE(CONTROL!$C$42, 30, 30))/1000000</f>
        <v>19.486799999999999</v>
      </c>
      <c r="Z438" s="38"/>
      <c r="AA438" s="10"/>
      <c r="AB438" s="39"/>
      <c r="AC438" s="33">
        <f>(B438*194.205+C438*267.466+D438*133.845+E438*53.484+F438*40+G438*185+H438*0+I438*100+J438*300)/(194.205+267.466+133.845+53.484+0+40+185+100+300)</f>
        <v>13.210524962009417</v>
      </c>
      <c r="AD438" s="27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13.087125179856114</v>
      </c>
    </row>
    <row r="439" spans="1:30" ht="15.75" x14ac:dyDescent="0.25">
      <c r="A439" s="14">
        <v>54635</v>
      </c>
      <c r="B439" s="10">
        <f>CHOOSE(CONTROL!$C$42, 12.9522, 12.9522) * CHOOSE(CONTROL!$C$21, $C$9, 100%, $E$9)</f>
        <v>12.952199999999999</v>
      </c>
      <c r="C439" s="10">
        <f>CHOOSE(CONTROL!$C$42, 12.9602, 12.9602) * CHOOSE(CONTROL!$C$21, $C$9, 100%, $E$9)</f>
        <v>12.9602</v>
      </c>
      <c r="D439" s="10">
        <f>CHOOSE(CONTROL!$C$42, 13.1353, 13.1353) * CHOOSE(CONTROL!$C$21, $C$9, 100%, $E$9)</f>
        <v>13.135300000000001</v>
      </c>
      <c r="E439" s="10">
        <f>CHOOSE(CONTROL!$C$42, 13.1666, 13.1666) * CHOOSE(CONTROL!$C$21, $C$9, 100%, $E$9)</f>
        <v>13.166600000000001</v>
      </c>
      <c r="F439" s="10">
        <f>CHOOSE(CONTROL!$C$42, 12.8944, 12.8944)*CHOOSE(CONTROL!$C$21, $C$9, 100%, $E$9)</f>
        <v>12.894399999999999</v>
      </c>
      <c r="G439" s="10">
        <f>CHOOSE(CONTROL!$C$42, 12.9115, 12.9115)*CHOOSE(CONTROL!$C$21, $C$9, 100%, $E$9)</f>
        <v>12.9115</v>
      </c>
      <c r="H439" s="10">
        <f>CHOOSE(CONTROL!$C$42, 13.1549, 13.1549) * CHOOSE(CONTROL!$C$21, $C$9, 100%, $E$9)</f>
        <v>13.1549</v>
      </c>
      <c r="I439" s="10">
        <f>CHOOSE(CONTROL!$C$42, 12.9269, 12.9269)* CHOOSE(CONTROL!$C$21, $C$9, 100%, $E$9)</f>
        <v>12.9269</v>
      </c>
      <c r="J439" s="10">
        <f>CHOOSE(CONTROL!$C$42, 12.887, 12.887)* CHOOSE(CONTROL!$C$21, $C$9, 100%, $E$9)</f>
        <v>12.887</v>
      </c>
      <c r="K439" s="10">
        <f>CHOOSE(CONTROL!$C$42, 12.6811, 12.6811) * CHOOSE(CONTROL!$C$21, $C$9, 100%, $E$9)</f>
        <v>12.681100000000001</v>
      </c>
      <c r="L439" s="10">
        <f>CHOOSE(CONTROL!$C$42, 13.7419, 13.7419) * CHOOSE(CONTROL!$C$21, $C$9, 100%, $E$9)</f>
        <v>13.741899999999999</v>
      </c>
      <c r="M439" s="10">
        <f>CHOOSE(CONTROL!$C$42, 12.7533, 12.7533) * CHOOSE(CONTROL!$C$21, $C$9, 100%, $E$9)</f>
        <v>12.753299999999999</v>
      </c>
      <c r="N439" s="10">
        <f>CHOOSE(CONTROL!$C$42, 12.7701, 12.7701) * CHOOSE(CONTROL!$C$21, $C$9, 100%, $E$9)</f>
        <v>12.770099999999999</v>
      </c>
      <c r="O439" s="10">
        <f>CHOOSE(CONTROL!$C$42, 13.0176, 13.0176) * CHOOSE(CONTROL!$C$21, $C$9, 100%, $E$9)</f>
        <v>13.0176</v>
      </c>
      <c r="P439" s="10">
        <f>CHOOSE(CONTROL!$C$42, 12.7926, 12.7926) * CHOOSE(CONTROL!$C$21, $C$9, 100%, $E$9)</f>
        <v>12.7926</v>
      </c>
      <c r="Q439" s="10">
        <f>CHOOSE(CONTROL!$C$42, 13.6129, 13.6129) * CHOOSE(CONTROL!$C$21, $C$9, 100%, $E$9)</f>
        <v>13.6129</v>
      </c>
      <c r="R439" s="10">
        <f>CHOOSE(CONTROL!$C$42, 14.234, 14.234) * CHOOSE(CONTROL!$C$21, $C$9, 100%, $E$9)</f>
        <v>14.234</v>
      </c>
      <c r="S439" s="10">
        <f>CHOOSE(CONTROL!$C$42, 12.5562, 12.5562) * CHOOSE(CONTROL!$C$21, $C$9, 100%, $E$9)</f>
        <v>12.5562</v>
      </c>
      <c r="T4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38">
        <f>(1000*CHOOSE(CONTROL!$C$42, 695, 695)*CHOOSE(CONTROL!$C$42, 0.5599, 0.5599)*CHOOSE(CONTROL!$C$42, 31, 31))/1000000</f>
        <v>12.063045499999998</v>
      </c>
      <c r="V439" s="38">
        <f>(1000*CHOOSE(CONTROL!$C$42, 500, 500)*CHOOSE(CONTROL!$C$42, 0.275, 0.275)*CHOOSE(CONTROL!$C$42, 31, 31))/1000000</f>
        <v>4.2625000000000002</v>
      </c>
      <c r="W439" s="38">
        <f>(1000*CHOOSE(CONTROL!$C$42, 0.1146, 0.1146)*CHOOSE(CONTROL!$C$42, 121.5, 121.5)*CHOOSE(CONTROL!$C$42, 31, 31))/1000000</f>
        <v>0.43164089999999994</v>
      </c>
      <c r="X439" s="38">
        <f>(31*0.1790888*245000/1000000)+(31*0.2374*100000/1000000)</f>
        <v>2.0961194359999999</v>
      </c>
      <c r="Y439" s="38">
        <f>(1000*600*CHOOSE(CONTROL!$C$42, 1.0826, 1.0826)*CHOOSE(CONTROL!$C$42, 31, 31))/1000000</f>
        <v>20.13636</v>
      </c>
      <c r="Z439" s="38"/>
      <c r="AA439" s="10"/>
      <c r="AB439" s="39"/>
      <c r="AC439" s="33">
        <f>(B439*194.205+C439*267.466+D439*133.845+E439*53.484+F439*40+G439*185+H439*0+I439*100+J439*300)/(194.205+267.466+133.845+53.484+0+40+185+100+300)</f>
        <v>12.957052603689171</v>
      </c>
      <c r="AD439" s="27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12.836978417266186</v>
      </c>
    </row>
    <row r="440" spans="1:30" ht="15.75" x14ac:dyDescent="0.25">
      <c r="A440" s="14">
        <v>54666</v>
      </c>
      <c r="B440" s="10">
        <f>CHOOSE(CONTROL!$C$42, 12.3118, 12.3118) * CHOOSE(CONTROL!$C$21, $C$9, 100%, $E$9)</f>
        <v>12.3118</v>
      </c>
      <c r="C440" s="10">
        <f>CHOOSE(CONTROL!$C$42, 12.3198, 12.3198) * CHOOSE(CONTROL!$C$21, $C$9, 100%, $E$9)</f>
        <v>12.319800000000001</v>
      </c>
      <c r="D440" s="10">
        <f>CHOOSE(CONTROL!$C$42, 12.4949, 12.4949) * CHOOSE(CONTROL!$C$21, $C$9, 100%, $E$9)</f>
        <v>12.494899999999999</v>
      </c>
      <c r="E440" s="10">
        <f>CHOOSE(CONTROL!$C$42, 12.5261, 12.5261) * CHOOSE(CONTROL!$C$21, $C$9, 100%, $E$9)</f>
        <v>12.5261</v>
      </c>
      <c r="F440" s="10">
        <f>CHOOSE(CONTROL!$C$42, 12.2539, 12.2539)*CHOOSE(CONTROL!$C$21, $C$9, 100%, $E$9)</f>
        <v>12.2539</v>
      </c>
      <c r="G440" s="10">
        <f>CHOOSE(CONTROL!$C$42, 12.2709, 12.2709)*CHOOSE(CONTROL!$C$21, $C$9, 100%, $E$9)</f>
        <v>12.270899999999999</v>
      </c>
      <c r="H440" s="10">
        <f>CHOOSE(CONTROL!$C$42, 12.5144, 12.5144) * CHOOSE(CONTROL!$C$21, $C$9, 100%, $E$9)</f>
        <v>12.5144</v>
      </c>
      <c r="I440" s="10">
        <f>CHOOSE(CONTROL!$C$42, 12.2864, 12.2864)* CHOOSE(CONTROL!$C$21, $C$9, 100%, $E$9)</f>
        <v>12.2864</v>
      </c>
      <c r="J440" s="10">
        <f>CHOOSE(CONTROL!$C$42, 12.2465, 12.2465)* CHOOSE(CONTROL!$C$21, $C$9, 100%, $E$9)</f>
        <v>12.246499999999999</v>
      </c>
      <c r="K440" s="10">
        <f>CHOOSE(CONTROL!$C$42, 12.0604, 12.0604) * CHOOSE(CONTROL!$C$21, $C$9, 100%, $E$9)</f>
        <v>12.0604</v>
      </c>
      <c r="L440" s="10">
        <f>CHOOSE(CONTROL!$C$42, 13.1014, 13.1014) * CHOOSE(CONTROL!$C$21, $C$9, 100%, $E$9)</f>
        <v>13.1014</v>
      </c>
      <c r="M440" s="10">
        <f>CHOOSE(CONTROL!$C$42, 12.121, 12.121) * CHOOSE(CONTROL!$C$21, $C$9, 100%, $E$9)</f>
        <v>12.121</v>
      </c>
      <c r="N440" s="10">
        <f>CHOOSE(CONTROL!$C$42, 12.1378, 12.1378) * CHOOSE(CONTROL!$C$21, $C$9, 100%, $E$9)</f>
        <v>12.1378</v>
      </c>
      <c r="O440" s="10">
        <f>CHOOSE(CONTROL!$C$42, 12.3855, 12.3855) * CHOOSE(CONTROL!$C$21, $C$9, 100%, $E$9)</f>
        <v>12.3855</v>
      </c>
      <c r="P440" s="10">
        <f>CHOOSE(CONTROL!$C$42, 12.1605, 12.1605) * CHOOSE(CONTROL!$C$21, $C$9, 100%, $E$9)</f>
        <v>12.160500000000001</v>
      </c>
      <c r="Q440" s="10">
        <f>CHOOSE(CONTROL!$C$42, 12.9808, 12.9808) * CHOOSE(CONTROL!$C$21, $C$9, 100%, $E$9)</f>
        <v>12.9808</v>
      </c>
      <c r="R440" s="10">
        <f>CHOOSE(CONTROL!$C$42, 13.6002, 13.6002) * CHOOSE(CONTROL!$C$21, $C$9, 100%, $E$9)</f>
        <v>13.600199999999999</v>
      </c>
      <c r="S440" s="10">
        <f>CHOOSE(CONTROL!$C$42, 11.9361, 11.9361) * CHOOSE(CONTROL!$C$21, $C$9, 100%, $E$9)</f>
        <v>11.9361</v>
      </c>
      <c r="T4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38">
        <f>(1000*CHOOSE(CONTROL!$C$42, 695, 695)*CHOOSE(CONTROL!$C$42, 0.5599, 0.5599)*CHOOSE(CONTROL!$C$42, 31, 31))/1000000</f>
        <v>12.063045499999998</v>
      </c>
      <c r="V440" s="38">
        <f>(1000*CHOOSE(CONTROL!$C$42, 500, 500)*CHOOSE(CONTROL!$C$42, 0.275, 0.275)*CHOOSE(CONTROL!$C$42, 31, 31))/1000000</f>
        <v>4.2625000000000002</v>
      </c>
      <c r="W440" s="38">
        <f>(1000*CHOOSE(CONTROL!$C$42, 0.1146, 0.1146)*CHOOSE(CONTROL!$C$42, 121.5, 121.5)*CHOOSE(CONTROL!$C$42, 31, 31))/1000000</f>
        <v>0.43164089999999994</v>
      </c>
      <c r="X440" s="38">
        <f>(31*0.1790888*245000/1000000)+(31*0.2374*100000/1000000)</f>
        <v>2.0961194359999999</v>
      </c>
      <c r="Y440" s="38">
        <f>(1000*600*CHOOSE(CONTROL!$C$42, 1.0826, 1.0826)*CHOOSE(CONTROL!$C$42, 31, 31))/1000000</f>
        <v>20.13636</v>
      </c>
      <c r="Z440" s="38"/>
      <c r="AA440" s="10"/>
      <c r="AB440" s="39"/>
      <c r="AC440" s="33">
        <f>(B440*194.205+C440*267.466+D440*133.845+E440*53.484+F440*40+G440*185+H440*0+I440*100+J440*300)/(194.205+267.466+133.845+53.484+0+40+185+100+300)</f>
        <v>12.316584826295134</v>
      </c>
      <c r="AD440" s="27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12.204763309352517</v>
      </c>
    </row>
    <row r="441" spans="1:30" ht="15.75" x14ac:dyDescent="0.25">
      <c r="A441" s="14">
        <v>54696</v>
      </c>
      <c r="B441" s="10">
        <f>CHOOSE(CONTROL!$C$42, 11.5292, 11.5292) * CHOOSE(CONTROL!$C$21, $C$9, 100%, $E$9)</f>
        <v>11.529199999999999</v>
      </c>
      <c r="C441" s="10">
        <f>CHOOSE(CONTROL!$C$42, 11.5372, 11.5372) * CHOOSE(CONTROL!$C$21, $C$9, 100%, $E$9)</f>
        <v>11.5372</v>
      </c>
      <c r="D441" s="10">
        <f>CHOOSE(CONTROL!$C$42, 11.7124, 11.7124) * CHOOSE(CONTROL!$C$21, $C$9, 100%, $E$9)</f>
        <v>11.712400000000001</v>
      </c>
      <c r="E441" s="10">
        <f>CHOOSE(CONTROL!$C$42, 11.7436, 11.7436) * CHOOSE(CONTROL!$C$21, $C$9, 100%, $E$9)</f>
        <v>11.743600000000001</v>
      </c>
      <c r="F441" s="10">
        <f>CHOOSE(CONTROL!$C$42, 11.471, 11.471)*CHOOSE(CONTROL!$C$21, $C$9, 100%, $E$9)</f>
        <v>11.471</v>
      </c>
      <c r="G441" s="10">
        <f>CHOOSE(CONTROL!$C$42, 11.4879, 11.4879)*CHOOSE(CONTROL!$C$21, $C$9, 100%, $E$9)</f>
        <v>11.4879</v>
      </c>
      <c r="H441" s="10">
        <f>CHOOSE(CONTROL!$C$42, 11.7319, 11.7319) * CHOOSE(CONTROL!$C$21, $C$9, 100%, $E$9)</f>
        <v>11.7319</v>
      </c>
      <c r="I441" s="10">
        <f>CHOOSE(CONTROL!$C$42, 11.5039, 11.5039)* CHOOSE(CONTROL!$C$21, $C$9, 100%, $E$9)</f>
        <v>11.5039</v>
      </c>
      <c r="J441" s="10">
        <f>CHOOSE(CONTROL!$C$42, 11.4636, 11.4636)* CHOOSE(CONTROL!$C$21, $C$9, 100%, $E$9)</f>
        <v>11.4636</v>
      </c>
      <c r="K441" s="10">
        <f>CHOOSE(CONTROL!$C$42, 11.3016, 11.3016) * CHOOSE(CONTROL!$C$21, $C$9, 100%, $E$9)</f>
        <v>11.301600000000001</v>
      </c>
      <c r="L441" s="10">
        <f>CHOOSE(CONTROL!$C$42, 12.3189, 12.3189) * CHOOSE(CONTROL!$C$21, $C$9, 100%, $E$9)</f>
        <v>12.318899999999999</v>
      </c>
      <c r="M441" s="10">
        <f>CHOOSE(CONTROL!$C$42, 11.3483, 11.3483) * CHOOSE(CONTROL!$C$21, $C$9, 100%, $E$9)</f>
        <v>11.3483</v>
      </c>
      <c r="N441" s="10">
        <f>CHOOSE(CONTROL!$C$42, 11.365, 11.365) * CHOOSE(CONTROL!$C$21, $C$9, 100%, $E$9)</f>
        <v>11.365</v>
      </c>
      <c r="O441" s="10">
        <f>CHOOSE(CONTROL!$C$42, 11.6131, 11.6131) * CHOOSE(CONTROL!$C$21, $C$9, 100%, $E$9)</f>
        <v>11.613099999999999</v>
      </c>
      <c r="P441" s="10">
        <f>CHOOSE(CONTROL!$C$42, 11.3881, 11.3881) * CHOOSE(CONTROL!$C$21, $C$9, 100%, $E$9)</f>
        <v>11.3881</v>
      </c>
      <c r="Q441" s="10">
        <f>CHOOSE(CONTROL!$C$42, 12.2084, 12.2084) * CHOOSE(CONTROL!$C$21, $C$9, 100%, $E$9)</f>
        <v>12.208399999999999</v>
      </c>
      <c r="R441" s="10">
        <f>CHOOSE(CONTROL!$C$42, 12.8259, 12.8259) * CHOOSE(CONTROL!$C$21, $C$9, 100%, $E$9)</f>
        <v>12.825900000000001</v>
      </c>
      <c r="S441" s="10">
        <f>CHOOSE(CONTROL!$C$42, 11.1784, 11.1784) * CHOOSE(CONTROL!$C$21, $C$9, 100%, $E$9)</f>
        <v>11.1784</v>
      </c>
      <c r="T4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38">
        <f>(1000*CHOOSE(CONTROL!$C$42, 695, 695)*CHOOSE(CONTROL!$C$42, 0.5599, 0.5599)*CHOOSE(CONTROL!$C$42, 30, 30))/1000000</f>
        <v>11.673914999999997</v>
      </c>
      <c r="V441" s="38">
        <f>(1000*CHOOSE(CONTROL!$C$42, 500, 500)*CHOOSE(CONTROL!$C$42, 0.275, 0.275)*CHOOSE(CONTROL!$C$42, 30, 30))/1000000</f>
        <v>4.125</v>
      </c>
      <c r="W441" s="38">
        <f>(1000*CHOOSE(CONTROL!$C$42, 0.1146, 0.1146)*CHOOSE(CONTROL!$C$42, 121.5, 121.5)*CHOOSE(CONTROL!$C$42, 30, 30))/1000000</f>
        <v>0.417717</v>
      </c>
      <c r="X441" s="38">
        <f>(30*0.1790888*245000/1000000)+(30*0.2374*100000/1000000)</f>
        <v>2.0285026799999999</v>
      </c>
      <c r="Y441" s="38">
        <f>(1000*600*CHOOSE(CONTROL!$C$42, 1.0826, 1.0826)*CHOOSE(CONTROL!$C$42, 30, 30))/1000000</f>
        <v>19.486799999999999</v>
      </c>
      <c r="Z441" s="38"/>
      <c r="AA441" s="10"/>
      <c r="AB441" s="39"/>
      <c r="AC441" s="33">
        <f>(B441*194.205+C441*267.466+D441*133.845+E441*53.484+F441*40+G441*185+H441*0+I441*100+J441*300)/(194.205+267.466+133.845+53.484+0+40+185+100+300)</f>
        <v>11.533869232025118</v>
      </c>
      <c r="AD441" s="27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11.432167625899281</v>
      </c>
    </row>
    <row r="442" spans="1:30" ht="15.75" x14ac:dyDescent="0.25">
      <c r="A442" s="14">
        <v>54727</v>
      </c>
      <c r="B442" s="10">
        <f>CHOOSE(CONTROL!$C$42, 11.2927, 11.2927) * CHOOSE(CONTROL!$C$21, $C$9, 100%, $E$9)</f>
        <v>11.2927</v>
      </c>
      <c r="C442" s="10">
        <f>CHOOSE(CONTROL!$C$42, 11.2981, 11.2981) * CHOOSE(CONTROL!$C$21, $C$9, 100%, $E$9)</f>
        <v>11.2981</v>
      </c>
      <c r="D442" s="10">
        <f>CHOOSE(CONTROL!$C$42, 11.4781, 11.4781) * CHOOSE(CONTROL!$C$21, $C$9, 100%, $E$9)</f>
        <v>11.4781</v>
      </c>
      <c r="E442" s="10">
        <f>CHOOSE(CONTROL!$C$42, 11.507, 11.507) * CHOOSE(CONTROL!$C$21, $C$9, 100%, $E$9)</f>
        <v>11.507</v>
      </c>
      <c r="F442" s="10">
        <f>CHOOSE(CONTROL!$C$42, 11.2365, 11.2365)*CHOOSE(CONTROL!$C$21, $C$9, 100%, $E$9)</f>
        <v>11.236499999999999</v>
      </c>
      <c r="G442" s="10">
        <f>CHOOSE(CONTROL!$C$42, 11.2531, 11.2531)*CHOOSE(CONTROL!$C$21, $C$9, 100%, $E$9)</f>
        <v>11.2531</v>
      </c>
      <c r="H442" s="10">
        <f>CHOOSE(CONTROL!$C$42, 11.4971, 11.4971) * CHOOSE(CONTROL!$C$21, $C$9, 100%, $E$9)</f>
        <v>11.4971</v>
      </c>
      <c r="I442" s="10">
        <f>CHOOSE(CONTROL!$C$42, 11.2691, 11.2691)* CHOOSE(CONTROL!$C$21, $C$9, 100%, $E$9)</f>
        <v>11.2691</v>
      </c>
      <c r="J442" s="10">
        <f>CHOOSE(CONTROL!$C$42, 11.2291, 11.2291)* CHOOSE(CONTROL!$C$21, $C$9, 100%, $E$9)</f>
        <v>11.229100000000001</v>
      </c>
      <c r="K442" s="10">
        <f>CHOOSE(CONTROL!$C$42, 11.0748, 11.0748) * CHOOSE(CONTROL!$C$21, $C$9, 100%, $E$9)</f>
        <v>11.0748</v>
      </c>
      <c r="L442" s="10">
        <f>CHOOSE(CONTROL!$C$42, 12.0841, 12.0841) * CHOOSE(CONTROL!$C$21, $C$9, 100%, $E$9)</f>
        <v>12.084099999999999</v>
      </c>
      <c r="M442" s="10">
        <f>CHOOSE(CONTROL!$C$42, 11.1168, 11.1168) * CHOOSE(CONTROL!$C$21, $C$9, 100%, $E$9)</f>
        <v>11.1168</v>
      </c>
      <c r="N442" s="10">
        <f>CHOOSE(CONTROL!$C$42, 11.1332, 11.1332) * CHOOSE(CONTROL!$C$21, $C$9, 100%, $E$9)</f>
        <v>11.1332</v>
      </c>
      <c r="O442" s="10">
        <f>CHOOSE(CONTROL!$C$42, 11.3814, 11.3814) * CHOOSE(CONTROL!$C$21, $C$9, 100%, $E$9)</f>
        <v>11.381399999999999</v>
      </c>
      <c r="P442" s="10">
        <f>CHOOSE(CONTROL!$C$42, 11.1563, 11.1563) * CHOOSE(CONTROL!$C$21, $C$9, 100%, $E$9)</f>
        <v>11.1563</v>
      </c>
      <c r="Q442" s="10">
        <f>CHOOSE(CONTROL!$C$42, 11.9767, 11.9767) * CHOOSE(CONTROL!$C$21, $C$9, 100%, $E$9)</f>
        <v>11.976699999999999</v>
      </c>
      <c r="R442" s="10">
        <f>CHOOSE(CONTROL!$C$42, 12.5936, 12.5936) * CHOOSE(CONTROL!$C$21, $C$9, 100%, $E$9)</f>
        <v>12.5936</v>
      </c>
      <c r="S442" s="10">
        <f>CHOOSE(CONTROL!$C$42, 10.951, 10.951) * CHOOSE(CONTROL!$C$21, $C$9, 100%, $E$9)</f>
        <v>10.951000000000001</v>
      </c>
      <c r="T4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38">
        <f>(1000*CHOOSE(CONTROL!$C$42, 695, 695)*CHOOSE(CONTROL!$C$42, 0.5599, 0.5599)*CHOOSE(CONTROL!$C$42, 31, 31))/1000000</f>
        <v>12.063045499999998</v>
      </c>
      <c r="V442" s="38">
        <f>(1000*CHOOSE(CONTROL!$C$42, 500, 500)*CHOOSE(CONTROL!$C$42, 0.275, 0.275)*CHOOSE(CONTROL!$C$42, 31, 31))/1000000</f>
        <v>4.2625000000000002</v>
      </c>
      <c r="W442" s="38">
        <f>(1000*CHOOSE(CONTROL!$C$42, 0.1146, 0.1146)*CHOOSE(CONTROL!$C$42, 121.5, 121.5)*CHOOSE(CONTROL!$C$42, 31, 31))/1000000</f>
        <v>0.43164089999999994</v>
      </c>
      <c r="X442" s="38">
        <f>(31*0.1790888*245000/1000000)+(31*0.2374*100000/1000000)</f>
        <v>2.0961194359999999</v>
      </c>
      <c r="Y442" s="38">
        <f>(1000*600*CHOOSE(CONTROL!$C$42, 1.0826, 1.0826)*CHOOSE(CONTROL!$C$42, 31, 31))/1000000</f>
        <v>20.13636</v>
      </c>
      <c r="Z442" s="38"/>
      <c r="AA442" s="10"/>
      <c r="AB442" s="39"/>
      <c r="AC442" s="33">
        <f>(B442*131.881+C442*277.167+D442*79.08+E442*125.872+F442*40+G442*185+H442*0+I442*100+J442*300)/(131.881+277.167+79.08+125.872+0+40+185+100+300)</f>
        <v>11.302480874414851</v>
      </c>
      <c r="AD442" s="27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11.20049928057554</v>
      </c>
    </row>
    <row r="443" spans="1:30" ht="15.75" x14ac:dyDescent="0.25">
      <c r="A443" s="14">
        <v>54757</v>
      </c>
      <c r="B443" s="10">
        <f>CHOOSE(CONTROL!$C$42, 11.5903, 11.5903) * CHOOSE(CONTROL!$C$21, $C$9, 100%, $E$9)</f>
        <v>11.590299999999999</v>
      </c>
      <c r="C443" s="10">
        <f>CHOOSE(CONTROL!$C$42, 11.5954, 11.5954) * CHOOSE(CONTROL!$C$21, $C$9, 100%, $E$9)</f>
        <v>11.5954</v>
      </c>
      <c r="D443" s="10">
        <f>CHOOSE(CONTROL!$C$42, 11.6201, 11.6201) * CHOOSE(CONTROL!$C$21, $C$9, 100%, $E$9)</f>
        <v>11.620100000000001</v>
      </c>
      <c r="E443" s="10">
        <f>CHOOSE(CONTROL!$C$42, 11.6539, 11.6539) * CHOOSE(CONTROL!$C$21, $C$9, 100%, $E$9)</f>
        <v>11.6539</v>
      </c>
      <c r="F443" s="10">
        <f>CHOOSE(CONTROL!$C$42, 11.5559, 11.5559)*CHOOSE(CONTROL!$C$21, $C$9, 100%, $E$9)</f>
        <v>11.555899999999999</v>
      </c>
      <c r="G443" s="10">
        <f>CHOOSE(CONTROL!$C$42, 11.5727, 11.5727)*CHOOSE(CONTROL!$C$21, $C$9, 100%, $E$9)</f>
        <v>11.572699999999999</v>
      </c>
      <c r="H443" s="10">
        <f>CHOOSE(CONTROL!$C$42, 11.6427, 11.6427) * CHOOSE(CONTROL!$C$21, $C$9, 100%, $E$9)</f>
        <v>11.6427</v>
      </c>
      <c r="I443" s="10">
        <f>CHOOSE(CONTROL!$C$42, 11.5898, 11.5898)* CHOOSE(CONTROL!$C$21, $C$9, 100%, $E$9)</f>
        <v>11.5898</v>
      </c>
      <c r="J443" s="10">
        <f>CHOOSE(CONTROL!$C$42, 11.5485, 11.5485)* CHOOSE(CONTROL!$C$21, $C$9, 100%, $E$9)</f>
        <v>11.548500000000001</v>
      </c>
      <c r="K443" s="10">
        <f>CHOOSE(CONTROL!$C$42, 11.3872, 11.3872) * CHOOSE(CONTROL!$C$21, $C$9, 100%, $E$9)</f>
        <v>11.3872</v>
      </c>
      <c r="L443" s="10">
        <f>CHOOSE(CONTROL!$C$42, 12.2297, 12.2297) * CHOOSE(CONTROL!$C$21, $C$9, 100%, $E$9)</f>
        <v>12.229699999999999</v>
      </c>
      <c r="M443" s="10">
        <f>CHOOSE(CONTROL!$C$42, 11.4321, 11.4321) * CHOOSE(CONTROL!$C$21, $C$9, 100%, $E$9)</f>
        <v>11.4321</v>
      </c>
      <c r="N443" s="10">
        <f>CHOOSE(CONTROL!$C$42, 11.4486, 11.4486) * CHOOSE(CONTROL!$C$21, $C$9, 100%, $E$9)</f>
        <v>11.448600000000001</v>
      </c>
      <c r="O443" s="10">
        <f>CHOOSE(CONTROL!$C$42, 11.5251, 11.5251) * CHOOSE(CONTROL!$C$21, $C$9, 100%, $E$9)</f>
        <v>11.5251</v>
      </c>
      <c r="P443" s="10">
        <f>CHOOSE(CONTROL!$C$42, 11.4728, 11.4728) * CHOOSE(CONTROL!$C$21, $C$9, 100%, $E$9)</f>
        <v>11.472799999999999</v>
      </c>
      <c r="Q443" s="10">
        <f>CHOOSE(CONTROL!$C$42, 12.1204, 12.1204) * CHOOSE(CONTROL!$C$21, $C$9, 100%, $E$9)</f>
        <v>12.1204</v>
      </c>
      <c r="R443" s="10">
        <f>CHOOSE(CONTROL!$C$42, 12.7377, 12.7377) * CHOOSE(CONTROL!$C$21, $C$9, 100%, $E$9)</f>
        <v>12.7377</v>
      </c>
      <c r="S443" s="10">
        <f>CHOOSE(CONTROL!$C$42, 11.2395, 11.2395) * CHOOSE(CONTROL!$C$21, $C$9, 100%, $E$9)</f>
        <v>11.2395</v>
      </c>
      <c r="T4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38">
        <f>(1000*CHOOSE(CONTROL!$C$42, 695, 695)*CHOOSE(CONTROL!$C$42, 0.5599, 0.5599)*CHOOSE(CONTROL!$C$42, 30, 30))/1000000</f>
        <v>11.673914999999997</v>
      </c>
      <c r="V443" s="38">
        <f>(1000*CHOOSE(CONTROL!$C$42, 500, 500)*CHOOSE(CONTROL!$C$42, 0.275, 0.275)*CHOOSE(CONTROL!$C$42, 30, 30))/1000000</f>
        <v>4.125</v>
      </c>
      <c r="W443" s="38">
        <f>(1000*CHOOSE(CONTROL!$C$42, 0.1146, 0.1146)*CHOOSE(CONTROL!$C$42, 121.5, 121.5)*CHOOSE(CONTROL!$C$42, 30, 30))/1000000</f>
        <v>0.417717</v>
      </c>
      <c r="X443" s="38">
        <f>(30*0.1790888*100000/1000000)+(30*0.2374*100000/1000000)</f>
        <v>1.2494664</v>
      </c>
      <c r="Y443" s="38">
        <f>(1000*600*CHOOSE(CONTROL!$C$42, 1.0826, 1.0826)*CHOOSE(CONTROL!$C$42, 30, 30))/1000000</f>
        <v>19.486799999999999</v>
      </c>
      <c r="Z443" s="38"/>
      <c r="AA443" s="10"/>
      <c r="AB443" s="39"/>
      <c r="AC443" s="33">
        <f>(B443*122.58+C443*297.941+D443*89.177+E443*40.302+F443*40+G443*160+H443*0+I443*100+J443*300)/(122.58+297.941+89.177+40.302+0+40+160+100+300)</f>
        <v>11.581567983391302</v>
      </c>
      <c r="AD443" s="27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11.481056834532374</v>
      </c>
    </row>
    <row r="444" spans="1:30" ht="15.75" x14ac:dyDescent="0.25">
      <c r="A444" s="14">
        <v>54788</v>
      </c>
      <c r="B444" s="10">
        <f>CHOOSE(CONTROL!$C$42, 12.3816, 12.3816) * CHOOSE(CONTROL!$C$21, $C$9, 100%, $E$9)</f>
        <v>12.381600000000001</v>
      </c>
      <c r="C444" s="10">
        <f>CHOOSE(CONTROL!$C$42, 12.3867, 12.3867) * CHOOSE(CONTROL!$C$21, $C$9, 100%, $E$9)</f>
        <v>12.386699999999999</v>
      </c>
      <c r="D444" s="10">
        <f>CHOOSE(CONTROL!$C$42, 12.4114, 12.4114) * CHOOSE(CONTROL!$C$21, $C$9, 100%, $E$9)</f>
        <v>12.4114</v>
      </c>
      <c r="E444" s="10">
        <f>CHOOSE(CONTROL!$C$42, 12.4452, 12.4452) * CHOOSE(CONTROL!$C$21, $C$9, 100%, $E$9)</f>
        <v>12.4452</v>
      </c>
      <c r="F444" s="10">
        <f>CHOOSE(CONTROL!$C$42, 12.349, 12.349)*CHOOSE(CONTROL!$C$21, $C$9, 100%, $E$9)</f>
        <v>12.349</v>
      </c>
      <c r="G444" s="10">
        <f>CHOOSE(CONTROL!$C$42, 12.3663, 12.3663)*CHOOSE(CONTROL!$C$21, $C$9, 100%, $E$9)</f>
        <v>12.366300000000001</v>
      </c>
      <c r="H444" s="10">
        <f>CHOOSE(CONTROL!$C$42, 12.4341, 12.4341) * CHOOSE(CONTROL!$C$21, $C$9, 100%, $E$9)</f>
        <v>12.434100000000001</v>
      </c>
      <c r="I444" s="10">
        <f>CHOOSE(CONTROL!$C$42, 12.3811, 12.3811)* CHOOSE(CONTROL!$C$21, $C$9, 100%, $E$9)</f>
        <v>12.3811</v>
      </c>
      <c r="J444" s="10">
        <f>CHOOSE(CONTROL!$C$42, 12.3416, 12.3416)* CHOOSE(CONTROL!$C$21, $C$9, 100%, $E$9)</f>
        <v>12.3416</v>
      </c>
      <c r="K444" s="10">
        <f>CHOOSE(CONTROL!$C$42, 12.1577, 12.1577) * CHOOSE(CONTROL!$C$21, $C$9, 100%, $E$9)</f>
        <v>12.1577</v>
      </c>
      <c r="L444" s="10">
        <f>CHOOSE(CONTROL!$C$42, 13.0211, 13.0211) * CHOOSE(CONTROL!$C$21, $C$9, 100%, $E$9)</f>
        <v>13.021100000000001</v>
      </c>
      <c r="M444" s="10">
        <f>CHOOSE(CONTROL!$C$42, 12.2149, 12.2149) * CHOOSE(CONTROL!$C$21, $C$9, 100%, $E$9)</f>
        <v>12.2149</v>
      </c>
      <c r="N444" s="10">
        <f>CHOOSE(CONTROL!$C$42, 12.232, 12.232) * CHOOSE(CONTROL!$C$21, $C$9, 100%, $E$9)</f>
        <v>12.231999999999999</v>
      </c>
      <c r="O444" s="10">
        <f>CHOOSE(CONTROL!$C$42, 12.3062, 12.3062) * CHOOSE(CONTROL!$C$21, $C$9, 100%, $E$9)</f>
        <v>12.3062</v>
      </c>
      <c r="P444" s="10">
        <f>CHOOSE(CONTROL!$C$42, 12.2539, 12.2539) * CHOOSE(CONTROL!$C$21, $C$9, 100%, $E$9)</f>
        <v>12.2539</v>
      </c>
      <c r="Q444" s="10">
        <f>CHOOSE(CONTROL!$C$42, 12.9015, 12.9015) * CHOOSE(CONTROL!$C$21, $C$9, 100%, $E$9)</f>
        <v>12.9015</v>
      </c>
      <c r="R444" s="10">
        <f>CHOOSE(CONTROL!$C$42, 13.5207, 13.5207) * CHOOSE(CONTROL!$C$21, $C$9, 100%, $E$9)</f>
        <v>13.5207</v>
      </c>
      <c r="S444" s="10">
        <f>CHOOSE(CONTROL!$C$42, 12.0058, 12.0058) * CHOOSE(CONTROL!$C$21, $C$9, 100%, $E$9)</f>
        <v>12.005800000000001</v>
      </c>
      <c r="T4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38">
        <f>(1000*CHOOSE(CONTROL!$C$42, 695, 695)*CHOOSE(CONTROL!$C$42, 0.5599, 0.5599)*CHOOSE(CONTROL!$C$42, 31, 31))/1000000</f>
        <v>12.063045499999998</v>
      </c>
      <c r="V444" s="38">
        <f>(1000*CHOOSE(CONTROL!$C$42, 500, 500)*CHOOSE(CONTROL!$C$42, 0.275, 0.275)*CHOOSE(CONTROL!$C$42, 31, 31))/1000000</f>
        <v>4.2625000000000002</v>
      </c>
      <c r="W444" s="38">
        <f>(1000*CHOOSE(CONTROL!$C$42, 0.1146, 0.1146)*CHOOSE(CONTROL!$C$42, 121.5, 121.5)*CHOOSE(CONTROL!$C$42, 31, 31))/1000000</f>
        <v>0.43164089999999994</v>
      </c>
      <c r="X444" s="38">
        <f>(31*0.1790888*100000/1000000)+(31*0.2374*100000/1000000)</f>
        <v>1.2911152800000001</v>
      </c>
      <c r="Y444" s="38">
        <f>(1000*600*CHOOSE(CONTROL!$C$42, 1.0826, 1.0826)*CHOOSE(CONTROL!$C$42, 31, 31))/1000000</f>
        <v>20.13636</v>
      </c>
      <c r="Z444" s="38"/>
      <c r="AA444" s="10"/>
      <c r="AB444" s="39"/>
      <c r="AC444" s="33">
        <f>(B444*122.58+C444*297.941+D444*89.177+E444*40.302+F444*40+G444*160+H444*0+I444*100+J444*300)/(122.58+297.941+89.177+40.302+0+40+160+100+300)</f>
        <v>12.373720157304348</v>
      </c>
      <c r="AD444" s="27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12.262876258992804</v>
      </c>
    </row>
    <row r="445" spans="1:30" ht="15.75" x14ac:dyDescent="0.25">
      <c r="A445" s="14">
        <v>54819</v>
      </c>
      <c r="B445" s="10">
        <f>CHOOSE(CONTROL!$C$42, 13.2184, 13.2184) * CHOOSE(CONTROL!$C$21, $C$9, 100%, $E$9)</f>
        <v>13.218400000000001</v>
      </c>
      <c r="C445" s="10">
        <f>CHOOSE(CONTROL!$C$42, 13.2235, 13.2235) * CHOOSE(CONTROL!$C$21, $C$9, 100%, $E$9)</f>
        <v>13.2235</v>
      </c>
      <c r="D445" s="10">
        <f>CHOOSE(CONTROL!$C$42, 13.2585, 13.2585) * CHOOSE(CONTROL!$C$21, $C$9, 100%, $E$9)</f>
        <v>13.2585</v>
      </c>
      <c r="E445" s="10">
        <f>CHOOSE(CONTROL!$C$42, 13.2923, 13.2923) * CHOOSE(CONTROL!$C$21, $C$9, 100%, $E$9)</f>
        <v>13.292299999999999</v>
      </c>
      <c r="F445" s="10">
        <f>CHOOSE(CONTROL!$C$42, 13.1997, 13.1997)*CHOOSE(CONTROL!$C$21, $C$9, 100%, $E$9)</f>
        <v>13.1997</v>
      </c>
      <c r="G445" s="10">
        <f>CHOOSE(CONTROL!$C$42, 13.2186, 13.2186)*CHOOSE(CONTROL!$C$21, $C$9, 100%, $E$9)</f>
        <v>13.2186</v>
      </c>
      <c r="H445" s="10">
        <f>CHOOSE(CONTROL!$C$42, 13.2812, 13.2812) * CHOOSE(CONTROL!$C$21, $C$9, 100%, $E$9)</f>
        <v>13.2812</v>
      </c>
      <c r="I445" s="10">
        <f>CHOOSE(CONTROL!$C$42, 13.2256, 13.2256)* CHOOSE(CONTROL!$C$21, $C$9, 100%, $E$9)</f>
        <v>13.2256</v>
      </c>
      <c r="J445" s="10">
        <f>CHOOSE(CONTROL!$C$42, 13.1923, 13.1923)* CHOOSE(CONTROL!$C$21, $C$9, 100%, $E$9)</f>
        <v>13.192299999999999</v>
      </c>
      <c r="K445" s="10">
        <f>CHOOSE(CONTROL!$C$42, 12.9891, 12.9891) * CHOOSE(CONTROL!$C$21, $C$9, 100%, $E$9)</f>
        <v>12.989100000000001</v>
      </c>
      <c r="L445" s="10">
        <f>CHOOSE(CONTROL!$C$42, 13.8682, 13.8682) * CHOOSE(CONTROL!$C$21, $C$9, 100%, $E$9)</f>
        <v>13.8682</v>
      </c>
      <c r="M445" s="10">
        <f>CHOOSE(CONTROL!$C$42, 13.0546, 13.0546) * CHOOSE(CONTROL!$C$21, $C$9, 100%, $E$9)</f>
        <v>13.054600000000001</v>
      </c>
      <c r="N445" s="10">
        <f>CHOOSE(CONTROL!$C$42, 13.0732, 13.0732) * CHOOSE(CONTROL!$C$21, $C$9, 100%, $E$9)</f>
        <v>13.0732</v>
      </c>
      <c r="O445" s="10">
        <f>CHOOSE(CONTROL!$C$42, 13.1423, 13.1423) * CHOOSE(CONTROL!$C$21, $C$9, 100%, $E$9)</f>
        <v>13.142300000000001</v>
      </c>
      <c r="P445" s="10">
        <f>CHOOSE(CONTROL!$C$42, 13.0875, 13.0875) * CHOOSE(CONTROL!$C$21, $C$9, 100%, $E$9)</f>
        <v>13.0875</v>
      </c>
      <c r="Q445" s="10">
        <f>CHOOSE(CONTROL!$C$42, 13.7376, 13.7376) * CHOOSE(CONTROL!$C$21, $C$9, 100%, $E$9)</f>
        <v>13.7376</v>
      </c>
      <c r="R445" s="10">
        <f>CHOOSE(CONTROL!$C$42, 14.359, 14.359) * CHOOSE(CONTROL!$C$21, $C$9, 100%, $E$9)</f>
        <v>14.359</v>
      </c>
      <c r="S445" s="10">
        <f>CHOOSE(CONTROL!$C$42, 12.816, 12.816) * CHOOSE(CONTROL!$C$21, $C$9, 100%, $E$9)</f>
        <v>12.816000000000001</v>
      </c>
      <c r="T4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38">
        <f>(1000*CHOOSE(CONTROL!$C$42, 695, 695)*CHOOSE(CONTROL!$C$42, 0.5599, 0.5599)*CHOOSE(CONTROL!$C$42, 31, 31))/1000000</f>
        <v>12.063045499999998</v>
      </c>
      <c r="V445" s="38">
        <f>(1000*CHOOSE(CONTROL!$C$42, 500, 500)*CHOOSE(CONTROL!$C$42, 0.275, 0.275)*CHOOSE(CONTROL!$C$42, 31, 31))/1000000</f>
        <v>4.2625000000000002</v>
      </c>
      <c r="W445" s="38">
        <f>(1000*CHOOSE(CONTROL!$C$42, 0.1146, 0.1146)*CHOOSE(CONTROL!$C$42, 121.5, 121.5)*CHOOSE(CONTROL!$C$42, 31, 31))/1000000</f>
        <v>0.43164089999999994</v>
      </c>
      <c r="X445" s="38">
        <f>(31*0.1790888*100000/1000000)+(31*0.2374*100000/1000000)</f>
        <v>1.2911152800000001</v>
      </c>
      <c r="Y445" s="38">
        <f>(1000*600*CHOOSE(CONTROL!$C$42, 1.0791, 1.0791)*CHOOSE(CONTROL!$C$42, 31, 31))/1000000</f>
        <v>20.071259999999999</v>
      </c>
      <c r="Z445" s="38"/>
      <c r="AA445" s="10"/>
      <c r="AB445" s="39"/>
      <c r="AC445" s="33">
        <f>(B445*122.58+C445*297.941+D445*89.177+E445*40.302+F445*40+G445*160+H445*0+I445*100+J445*300)/(122.58+297.941+89.177+40.302+0+40+160+100+300)</f>
        <v>13.218615490956521</v>
      </c>
      <c r="AD445" s="27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13.100153237410071</v>
      </c>
    </row>
    <row r="446" spans="1:30" ht="15.75" x14ac:dyDescent="0.25">
      <c r="A446" s="14">
        <v>54847</v>
      </c>
      <c r="B446" s="10">
        <f>CHOOSE(CONTROL!$C$42, 13.454, 13.454) * CHOOSE(CONTROL!$C$21, $C$9, 100%, $E$9)</f>
        <v>13.454000000000001</v>
      </c>
      <c r="C446" s="10">
        <f>CHOOSE(CONTROL!$C$42, 13.4591, 13.4591) * CHOOSE(CONTROL!$C$21, $C$9, 100%, $E$9)</f>
        <v>13.459099999999999</v>
      </c>
      <c r="D446" s="10">
        <f>CHOOSE(CONTROL!$C$42, 13.4941, 13.4941) * CHOOSE(CONTROL!$C$21, $C$9, 100%, $E$9)</f>
        <v>13.4941</v>
      </c>
      <c r="E446" s="10">
        <f>CHOOSE(CONTROL!$C$42, 13.5279, 13.5279) * CHOOSE(CONTROL!$C$21, $C$9, 100%, $E$9)</f>
        <v>13.527900000000001</v>
      </c>
      <c r="F446" s="10">
        <f>CHOOSE(CONTROL!$C$42, 13.4348, 13.4348)*CHOOSE(CONTROL!$C$21, $C$9, 100%, $E$9)</f>
        <v>13.434799999999999</v>
      </c>
      <c r="G446" s="10">
        <f>CHOOSE(CONTROL!$C$42, 13.4535, 13.4535)*CHOOSE(CONTROL!$C$21, $C$9, 100%, $E$9)</f>
        <v>13.4535</v>
      </c>
      <c r="H446" s="10">
        <f>CHOOSE(CONTROL!$C$42, 13.5168, 13.5168) * CHOOSE(CONTROL!$C$21, $C$9, 100%, $E$9)</f>
        <v>13.5168</v>
      </c>
      <c r="I446" s="10">
        <f>CHOOSE(CONTROL!$C$42, 13.4612, 13.4612)* CHOOSE(CONTROL!$C$21, $C$9, 100%, $E$9)</f>
        <v>13.4612</v>
      </c>
      <c r="J446" s="10">
        <f>CHOOSE(CONTROL!$C$42, 13.4274, 13.4274)* CHOOSE(CONTROL!$C$21, $C$9, 100%, $E$9)</f>
        <v>13.4274</v>
      </c>
      <c r="K446" s="10">
        <f>CHOOSE(CONTROL!$C$42, 13.2162, 13.2162) * CHOOSE(CONTROL!$C$21, $C$9, 100%, $E$9)</f>
        <v>13.216200000000001</v>
      </c>
      <c r="L446" s="10">
        <f>CHOOSE(CONTROL!$C$42, 14.1038, 14.1038) * CHOOSE(CONTROL!$C$21, $C$9, 100%, $E$9)</f>
        <v>14.1038</v>
      </c>
      <c r="M446" s="10">
        <f>CHOOSE(CONTROL!$C$42, 13.2866, 13.2866) * CHOOSE(CONTROL!$C$21, $C$9, 100%, $E$9)</f>
        <v>13.2866</v>
      </c>
      <c r="N446" s="10">
        <f>CHOOSE(CONTROL!$C$42, 13.3051, 13.3051) * CHOOSE(CONTROL!$C$21, $C$9, 100%, $E$9)</f>
        <v>13.305099999999999</v>
      </c>
      <c r="O446" s="10">
        <f>CHOOSE(CONTROL!$C$42, 13.3749, 13.3749) * CHOOSE(CONTROL!$C$21, $C$9, 100%, $E$9)</f>
        <v>13.3749</v>
      </c>
      <c r="P446" s="10">
        <f>CHOOSE(CONTROL!$C$42, 13.3201, 13.3201) * CHOOSE(CONTROL!$C$21, $C$9, 100%, $E$9)</f>
        <v>13.3201</v>
      </c>
      <c r="Q446" s="10">
        <f>CHOOSE(CONTROL!$C$42, 13.9702, 13.9702) * CHOOSE(CONTROL!$C$21, $C$9, 100%, $E$9)</f>
        <v>13.9702</v>
      </c>
      <c r="R446" s="10">
        <f>CHOOSE(CONTROL!$C$42, 14.5921, 14.5921) * CHOOSE(CONTROL!$C$21, $C$9, 100%, $E$9)</f>
        <v>14.5921</v>
      </c>
      <c r="S446" s="10">
        <f>CHOOSE(CONTROL!$C$42, 13.0442, 13.0442) * CHOOSE(CONTROL!$C$21, $C$9, 100%, $E$9)</f>
        <v>13.0442</v>
      </c>
      <c r="T44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38">
        <f>(1000*CHOOSE(CONTROL!$C$42, 695, 695)*CHOOSE(CONTROL!$C$42, 0.5599, 0.5599)*CHOOSE(CONTROL!$C$42, 28, 28))/1000000</f>
        <v>10.895653999999999</v>
      </c>
      <c r="V446" s="38">
        <f>(1000*CHOOSE(CONTROL!$C$42, 500, 500)*CHOOSE(CONTROL!$C$42, 0.275, 0.275)*CHOOSE(CONTROL!$C$42, 28, 28))/1000000</f>
        <v>3.85</v>
      </c>
      <c r="W446" s="38">
        <f>(1000*CHOOSE(CONTROL!$C$42, 0.1146, 0.1146)*CHOOSE(CONTROL!$C$42, 121.5, 121.5)*CHOOSE(CONTROL!$C$42, 28, 28))/1000000</f>
        <v>0.38986920000000003</v>
      </c>
      <c r="X446" s="38">
        <f>(28*0.1790888*100000/1000000)+(28*0.2374*100000/1000000)</f>
        <v>1.16616864</v>
      </c>
      <c r="Y446" s="38">
        <f>(1000*600*CHOOSE(CONTROL!$C$42, 1.0791, 1.0791)*CHOOSE(CONTROL!$C$42, 28, 28))/1000000</f>
        <v>18.128879999999999</v>
      </c>
      <c r="Z446" s="38"/>
      <c r="AA446" s="10"/>
      <c r="AB446" s="39"/>
      <c r="AC446" s="33">
        <f>(B446*122.58+C446*297.941+D446*89.177+E446*40.302+F446*40+G446*160+H446*0+I446*100+J446*300)/(122.58+297.941+89.177+40.302+0+40+160+100+300)</f>
        <v>13.45397027356522</v>
      </c>
      <c r="AD446" s="27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13.332505755395685</v>
      </c>
    </row>
    <row r="447" spans="1:30" ht="15.75" x14ac:dyDescent="0.25">
      <c r="A447" s="14">
        <v>54878</v>
      </c>
      <c r="B447" s="10">
        <f>CHOOSE(CONTROL!$C$42, 13.0716, 13.0716) * CHOOSE(CONTROL!$C$21, $C$9, 100%, $E$9)</f>
        <v>13.0716</v>
      </c>
      <c r="C447" s="10">
        <f>CHOOSE(CONTROL!$C$42, 13.0767, 13.0767) * CHOOSE(CONTROL!$C$21, $C$9, 100%, $E$9)</f>
        <v>13.076700000000001</v>
      </c>
      <c r="D447" s="10">
        <f>CHOOSE(CONTROL!$C$42, 13.1117, 13.1117) * CHOOSE(CONTROL!$C$21, $C$9, 100%, $E$9)</f>
        <v>13.111700000000001</v>
      </c>
      <c r="E447" s="10">
        <f>CHOOSE(CONTROL!$C$42, 13.1455, 13.1455) * CHOOSE(CONTROL!$C$21, $C$9, 100%, $E$9)</f>
        <v>13.1455</v>
      </c>
      <c r="F447" s="10">
        <f>CHOOSE(CONTROL!$C$42, 13.0509, 13.0509)*CHOOSE(CONTROL!$C$21, $C$9, 100%, $E$9)</f>
        <v>13.0509</v>
      </c>
      <c r="G447" s="10">
        <f>CHOOSE(CONTROL!$C$42, 13.0693, 13.0693)*CHOOSE(CONTROL!$C$21, $C$9, 100%, $E$9)</f>
        <v>13.0693</v>
      </c>
      <c r="H447" s="10">
        <f>CHOOSE(CONTROL!$C$42, 13.1344, 13.1344) * CHOOSE(CONTROL!$C$21, $C$9, 100%, $E$9)</f>
        <v>13.134399999999999</v>
      </c>
      <c r="I447" s="10">
        <f>CHOOSE(CONTROL!$C$42, 13.0788, 13.0788)* CHOOSE(CONTROL!$C$21, $C$9, 100%, $E$9)</f>
        <v>13.078799999999999</v>
      </c>
      <c r="J447" s="10">
        <f>CHOOSE(CONTROL!$C$42, 13.0435, 13.0435)* CHOOSE(CONTROL!$C$21, $C$9, 100%, $E$9)</f>
        <v>13.0435</v>
      </c>
      <c r="K447" s="10">
        <f>CHOOSE(CONTROL!$C$42, 12.8427, 12.8427) * CHOOSE(CONTROL!$C$21, $C$9, 100%, $E$9)</f>
        <v>12.842700000000001</v>
      </c>
      <c r="L447" s="10">
        <f>CHOOSE(CONTROL!$C$42, 13.7214, 13.7214) * CHOOSE(CONTROL!$C$21, $C$9, 100%, $E$9)</f>
        <v>13.721399999999999</v>
      </c>
      <c r="M447" s="10">
        <f>CHOOSE(CONTROL!$C$42, 12.9077, 12.9077) * CHOOSE(CONTROL!$C$21, $C$9, 100%, $E$9)</f>
        <v>12.9077</v>
      </c>
      <c r="N447" s="10">
        <f>CHOOSE(CONTROL!$C$42, 12.9259, 12.9259) * CHOOSE(CONTROL!$C$21, $C$9, 100%, $E$9)</f>
        <v>12.9259</v>
      </c>
      <c r="O447" s="10">
        <f>CHOOSE(CONTROL!$C$42, 12.9974, 12.9974) * CHOOSE(CONTROL!$C$21, $C$9, 100%, $E$9)</f>
        <v>12.997400000000001</v>
      </c>
      <c r="P447" s="10">
        <f>CHOOSE(CONTROL!$C$42, 12.9426, 12.9426) * CHOOSE(CONTROL!$C$21, $C$9, 100%, $E$9)</f>
        <v>12.942600000000001</v>
      </c>
      <c r="Q447" s="10">
        <f>CHOOSE(CONTROL!$C$42, 13.5927, 13.5927) * CHOOSE(CONTROL!$C$21, $C$9, 100%, $E$9)</f>
        <v>13.592700000000001</v>
      </c>
      <c r="R447" s="10">
        <f>CHOOSE(CONTROL!$C$42, 14.2137, 14.2137) * CHOOSE(CONTROL!$C$21, $C$9, 100%, $E$9)</f>
        <v>14.213699999999999</v>
      </c>
      <c r="S447" s="10">
        <f>CHOOSE(CONTROL!$C$42, 12.6739, 12.6739) * CHOOSE(CONTROL!$C$21, $C$9, 100%, $E$9)</f>
        <v>12.6739</v>
      </c>
      <c r="T4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38">
        <f>(1000*CHOOSE(CONTROL!$C$42, 695, 695)*CHOOSE(CONTROL!$C$42, 0.5599, 0.5599)*CHOOSE(CONTROL!$C$42, 31, 31))/1000000</f>
        <v>12.063045499999998</v>
      </c>
      <c r="V447" s="38">
        <f>(1000*CHOOSE(CONTROL!$C$42, 500, 500)*CHOOSE(CONTROL!$C$42, 0.275, 0.275)*CHOOSE(CONTROL!$C$42, 31, 31))/1000000</f>
        <v>4.2625000000000002</v>
      </c>
      <c r="W447" s="38">
        <f>(1000*CHOOSE(CONTROL!$C$42, 0.1146, 0.1146)*CHOOSE(CONTROL!$C$42, 121.5, 121.5)*CHOOSE(CONTROL!$C$42, 31, 31))/1000000</f>
        <v>0.43164089999999994</v>
      </c>
      <c r="X447" s="38">
        <f>(31*0.1790888*100000/1000000)+(31*0.2374*100000/1000000)</f>
        <v>1.2911152800000001</v>
      </c>
      <c r="Y447" s="38">
        <f>(1000*600*CHOOSE(CONTROL!$C$42, 1.0791, 1.0791)*CHOOSE(CONTROL!$C$42, 31, 31))/1000000</f>
        <v>20.071259999999999</v>
      </c>
      <c r="Z447" s="38"/>
      <c r="AA447" s="10"/>
      <c r="AB447" s="39"/>
      <c r="AC447" s="33">
        <f>(B447*122.58+C447*297.941+D447*89.177+E447*40.302+F447*40+G447*160+H447*0+I447*100+J447*300)/(122.58+297.941+89.177+40.302+0+40+160+100+300)</f>
        <v>13.070876360521741</v>
      </c>
      <c r="AD447" s="27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12.954424460431655</v>
      </c>
    </row>
    <row r="448" spans="1:30" ht="15.75" x14ac:dyDescent="0.25">
      <c r="A448" s="14">
        <v>54908</v>
      </c>
      <c r="B448" s="10">
        <f>CHOOSE(CONTROL!$C$42, 13.0331, 13.0331) * CHOOSE(CONTROL!$C$21, $C$9, 100%, $E$9)</f>
        <v>13.033099999999999</v>
      </c>
      <c r="C448" s="10">
        <f>CHOOSE(CONTROL!$C$42, 13.0377, 13.0377) * CHOOSE(CONTROL!$C$21, $C$9, 100%, $E$9)</f>
        <v>13.037699999999999</v>
      </c>
      <c r="D448" s="10">
        <f>CHOOSE(CONTROL!$C$42, 13.2159, 13.2159) * CHOOSE(CONTROL!$C$21, $C$9, 100%, $E$9)</f>
        <v>13.2159</v>
      </c>
      <c r="E448" s="10">
        <f>CHOOSE(CONTROL!$C$42, 13.2477, 13.2477) * CHOOSE(CONTROL!$C$21, $C$9, 100%, $E$9)</f>
        <v>13.2477</v>
      </c>
      <c r="F448" s="10">
        <f>CHOOSE(CONTROL!$C$42, 12.9766, 12.9766)*CHOOSE(CONTROL!$C$21, $C$9, 100%, $E$9)</f>
        <v>12.976599999999999</v>
      </c>
      <c r="G448" s="10">
        <f>CHOOSE(CONTROL!$C$42, 12.9932, 12.9932)*CHOOSE(CONTROL!$C$21, $C$9, 100%, $E$9)</f>
        <v>12.9932</v>
      </c>
      <c r="H448" s="10">
        <f>CHOOSE(CONTROL!$C$42, 13.2372, 13.2372) * CHOOSE(CONTROL!$C$21, $C$9, 100%, $E$9)</f>
        <v>13.2372</v>
      </c>
      <c r="I448" s="10">
        <f>CHOOSE(CONTROL!$C$42, 13.0092, 13.0092)* CHOOSE(CONTROL!$C$21, $C$9, 100%, $E$9)</f>
        <v>13.0092</v>
      </c>
      <c r="J448" s="10">
        <f>CHOOSE(CONTROL!$C$42, 12.9692, 12.9692)* CHOOSE(CONTROL!$C$21, $C$9, 100%, $E$9)</f>
        <v>12.969200000000001</v>
      </c>
      <c r="K448" s="10">
        <f>CHOOSE(CONTROL!$C$42, 12.7605, 12.7605) * CHOOSE(CONTROL!$C$21, $C$9, 100%, $E$9)</f>
        <v>12.7605</v>
      </c>
      <c r="L448" s="10">
        <f>CHOOSE(CONTROL!$C$42, 13.8242, 13.8242) * CHOOSE(CONTROL!$C$21, $C$9, 100%, $E$9)</f>
        <v>13.824199999999999</v>
      </c>
      <c r="M448" s="10">
        <f>CHOOSE(CONTROL!$C$42, 12.8343, 12.8343) * CHOOSE(CONTROL!$C$21, $C$9, 100%, $E$9)</f>
        <v>12.834300000000001</v>
      </c>
      <c r="N448" s="10">
        <f>CHOOSE(CONTROL!$C$42, 12.8507, 12.8507) * CHOOSE(CONTROL!$C$21, $C$9, 100%, $E$9)</f>
        <v>12.8507</v>
      </c>
      <c r="O448" s="10">
        <f>CHOOSE(CONTROL!$C$42, 13.0989, 13.0989) * CHOOSE(CONTROL!$C$21, $C$9, 100%, $E$9)</f>
        <v>13.0989</v>
      </c>
      <c r="P448" s="10">
        <f>CHOOSE(CONTROL!$C$42, 12.8738, 12.8738) * CHOOSE(CONTROL!$C$21, $C$9, 100%, $E$9)</f>
        <v>12.873799999999999</v>
      </c>
      <c r="Q448" s="10">
        <f>CHOOSE(CONTROL!$C$42, 13.6942, 13.6942) * CHOOSE(CONTROL!$C$21, $C$9, 100%, $E$9)</f>
        <v>13.6942</v>
      </c>
      <c r="R448" s="10">
        <f>CHOOSE(CONTROL!$C$42, 14.3154, 14.3154) * CHOOSE(CONTROL!$C$21, $C$9, 100%, $E$9)</f>
        <v>14.3154</v>
      </c>
      <c r="S448" s="10">
        <f>CHOOSE(CONTROL!$C$42, 12.6359, 12.6359) * CHOOSE(CONTROL!$C$21, $C$9, 100%, $E$9)</f>
        <v>12.635899999999999</v>
      </c>
      <c r="T4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38">
        <f>(1000*CHOOSE(CONTROL!$C$42, 695, 695)*CHOOSE(CONTROL!$C$42, 0.5599, 0.5599)*CHOOSE(CONTROL!$C$42, 30, 30))/1000000</f>
        <v>11.673914999999997</v>
      </c>
      <c r="V448" s="38">
        <f>(1000*CHOOSE(CONTROL!$C$42, 500, 500)*CHOOSE(CONTROL!$C$42, 0.275, 0.275)*CHOOSE(CONTROL!$C$42, 30, 30))/1000000</f>
        <v>4.125</v>
      </c>
      <c r="W448" s="38">
        <f>(1000*CHOOSE(CONTROL!$C$42, 0.1146, 0.1146)*CHOOSE(CONTROL!$C$42, 121.5, 121.5)*CHOOSE(CONTROL!$C$42, 30, 30))/1000000</f>
        <v>0.417717</v>
      </c>
      <c r="X448" s="38">
        <f>(30*0.1790888*245000/1000000)+(30*0.2374*100000/1000000)</f>
        <v>2.0285026799999999</v>
      </c>
      <c r="Y448" s="38">
        <f>(1000*600*CHOOSE(CONTROL!$C$42, 1.0791, 1.0791)*CHOOSE(CONTROL!$C$42, 30, 30))/1000000</f>
        <v>19.4238</v>
      </c>
      <c r="Z448" s="38"/>
      <c r="AA448" s="10"/>
      <c r="AB448" s="39"/>
      <c r="AC448" s="33">
        <f>(B448*141.293+C448*267.993+D448*115.016+E448*89.698+F448*40+G448*185+H448*0+I448*100+J448*300)/(141.293+267.993+115.016+89.698+0+40+185+100+300)</f>
        <v>13.041417500726391</v>
      </c>
      <c r="AD448" s="27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12.91799928057554</v>
      </c>
    </row>
    <row r="449" spans="1:30" ht="15.75" x14ac:dyDescent="0.25">
      <c r="A449" s="14">
        <v>54939</v>
      </c>
      <c r="B449" s="10">
        <f>CHOOSE(CONTROL!$C$42, 13.1501, 13.1501) * CHOOSE(CONTROL!$C$21, $C$9, 100%, $E$9)</f>
        <v>13.1501</v>
      </c>
      <c r="C449" s="10">
        <f>CHOOSE(CONTROL!$C$42, 13.1581, 13.1581) * CHOOSE(CONTROL!$C$21, $C$9, 100%, $E$9)</f>
        <v>13.158099999999999</v>
      </c>
      <c r="D449" s="10">
        <f>CHOOSE(CONTROL!$C$42, 13.3332, 13.3332) * CHOOSE(CONTROL!$C$21, $C$9, 100%, $E$9)</f>
        <v>13.3332</v>
      </c>
      <c r="E449" s="10">
        <f>CHOOSE(CONTROL!$C$42, 13.3644, 13.3644) * CHOOSE(CONTROL!$C$21, $C$9, 100%, $E$9)</f>
        <v>13.3644</v>
      </c>
      <c r="F449" s="10">
        <f>CHOOSE(CONTROL!$C$42, 13.0918, 13.0918)*CHOOSE(CONTROL!$C$21, $C$9, 100%, $E$9)</f>
        <v>13.091799999999999</v>
      </c>
      <c r="G449" s="10">
        <f>CHOOSE(CONTROL!$C$42, 13.1086, 13.1086)*CHOOSE(CONTROL!$C$21, $C$9, 100%, $E$9)</f>
        <v>13.108599999999999</v>
      </c>
      <c r="H449" s="10">
        <f>CHOOSE(CONTROL!$C$42, 13.3527, 13.3527) * CHOOSE(CONTROL!$C$21, $C$9, 100%, $E$9)</f>
        <v>13.3527</v>
      </c>
      <c r="I449" s="10">
        <f>CHOOSE(CONTROL!$C$42, 13.1247, 13.1247)* CHOOSE(CONTROL!$C$21, $C$9, 100%, $E$9)</f>
        <v>13.124700000000001</v>
      </c>
      <c r="J449" s="10">
        <f>CHOOSE(CONTROL!$C$42, 13.0844, 13.0844)* CHOOSE(CONTROL!$C$21, $C$9, 100%, $E$9)</f>
        <v>13.0844</v>
      </c>
      <c r="K449" s="10">
        <f>CHOOSE(CONTROL!$C$42, 12.8716, 12.8716) * CHOOSE(CONTROL!$C$21, $C$9, 100%, $E$9)</f>
        <v>12.871600000000001</v>
      </c>
      <c r="L449" s="10">
        <f>CHOOSE(CONTROL!$C$42, 13.9397, 13.9397) * CHOOSE(CONTROL!$C$21, $C$9, 100%, $E$9)</f>
        <v>13.9397</v>
      </c>
      <c r="M449" s="10">
        <f>CHOOSE(CONTROL!$C$42, 12.948, 12.948) * CHOOSE(CONTROL!$C$21, $C$9, 100%, $E$9)</f>
        <v>12.948</v>
      </c>
      <c r="N449" s="10">
        <f>CHOOSE(CONTROL!$C$42, 12.9647, 12.9647) * CHOOSE(CONTROL!$C$21, $C$9, 100%, $E$9)</f>
        <v>12.964700000000001</v>
      </c>
      <c r="O449" s="10">
        <f>CHOOSE(CONTROL!$C$42, 13.2129, 13.2129) * CHOOSE(CONTROL!$C$21, $C$9, 100%, $E$9)</f>
        <v>13.212899999999999</v>
      </c>
      <c r="P449" s="10">
        <f>CHOOSE(CONTROL!$C$42, 12.9879, 12.9879) * CHOOSE(CONTROL!$C$21, $C$9, 100%, $E$9)</f>
        <v>12.9879</v>
      </c>
      <c r="Q449" s="10">
        <f>CHOOSE(CONTROL!$C$42, 13.8082, 13.8082) * CHOOSE(CONTROL!$C$21, $C$9, 100%, $E$9)</f>
        <v>13.808199999999999</v>
      </c>
      <c r="R449" s="10">
        <f>CHOOSE(CONTROL!$C$42, 14.4297, 14.4297) * CHOOSE(CONTROL!$C$21, $C$9, 100%, $E$9)</f>
        <v>14.4297</v>
      </c>
      <c r="S449" s="10">
        <f>CHOOSE(CONTROL!$C$42, 12.7478, 12.7478) * CHOOSE(CONTROL!$C$21, $C$9, 100%, $E$9)</f>
        <v>12.7478</v>
      </c>
      <c r="T4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38">
        <f>(1000*CHOOSE(CONTROL!$C$42, 695, 695)*CHOOSE(CONTROL!$C$42, 0.5599, 0.5599)*CHOOSE(CONTROL!$C$42, 31, 31))/1000000</f>
        <v>12.063045499999998</v>
      </c>
      <c r="V449" s="38">
        <f>(1000*CHOOSE(CONTROL!$C$42, 500, 500)*CHOOSE(CONTROL!$C$42, 0.275, 0.275)*CHOOSE(CONTROL!$C$42, 31, 31))/1000000</f>
        <v>4.2625000000000002</v>
      </c>
      <c r="W449" s="38">
        <f>(1000*CHOOSE(CONTROL!$C$42, 0.1146, 0.1146)*CHOOSE(CONTROL!$C$42, 121.5, 121.5)*CHOOSE(CONTROL!$C$42, 31, 31))/1000000</f>
        <v>0.43164089999999994</v>
      </c>
      <c r="X449" s="38">
        <f>(31*0.1790888*245000/1000000)+(31*0.2374*100000/1000000)</f>
        <v>2.0961194359999999</v>
      </c>
      <c r="Y449" s="38">
        <f>(1000*600*CHOOSE(CONTROL!$C$42, 1.0791, 1.0791)*CHOOSE(CONTROL!$C$42, 31, 31))/1000000</f>
        <v>20.071259999999999</v>
      </c>
      <c r="Z449" s="38"/>
      <c r="AA449" s="10"/>
      <c r="AB449" s="39"/>
      <c r="AC449" s="33">
        <f>(B449*194.205+C449*267.466+D449*133.845+E449*53.484+F449*40+G449*185+H449*0+I449*100+J449*300)/(194.205+267.466+133.845+53.484+0+40+185+100+300)</f>
        <v>13.154690948744111</v>
      </c>
      <c r="AD449" s="27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13.031910071942443</v>
      </c>
    </row>
    <row r="450" spans="1:30" ht="15.75" x14ac:dyDescent="0.25">
      <c r="A450" s="14">
        <v>54969</v>
      </c>
      <c r="B450" s="10">
        <f>CHOOSE(CONTROL!$C$42, 13.5235, 13.5235) * CHOOSE(CONTROL!$C$21, $C$9, 100%, $E$9)</f>
        <v>13.5235</v>
      </c>
      <c r="C450" s="10">
        <f>CHOOSE(CONTROL!$C$42, 13.5315, 13.5315) * CHOOSE(CONTROL!$C$21, $C$9, 100%, $E$9)</f>
        <v>13.531499999999999</v>
      </c>
      <c r="D450" s="10">
        <f>CHOOSE(CONTROL!$C$42, 13.7066, 13.7066) * CHOOSE(CONTROL!$C$21, $C$9, 100%, $E$9)</f>
        <v>13.7066</v>
      </c>
      <c r="E450" s="10">
        <f>CHOOSE(CONTROL!$C$42, 13.7378, 13.7378) * CHOOSE(CONTROL!$C$21, $C$9, 100%, $E$9)</f>
        <v>13.7378</v>
      </c>
      <c r="F450" s="10">
        <f>CHOOSE(CONTROL!$C$42, 13.4654, 13.4654)*CHOOSE(CONTROL!$C$21, $C$9, 100%, $E$9)</f>
        <v>13.465400000000001</v>
      </c>
      <c r="G450" s="10">
        <f>CHOOSE(CONTROL!$C$42, 13.4823, 13.4823)*CHOOSE(CONTROL!$C$21, $C$9, 100%, $E$9)</f>
        <v>13.4823</v>
      </c>
      <c r="H450" s="10">
        <f>CHOOSE(CONTROL!$C$42, 13.7261, 13.7261) * CHOOSE(CONTROL!$C$21, $C$9, 100%, $E$9)</f>
        <v>13.726100000000001</v>
      </c>
      <c r="I450" s="10">
        <f>CHOOSE(CONTROL!$C$42, 13.4981, 13.4981)* CHOOSE(CONTROL!$C$21, $C$9, 100%, $E$9)</f>
        <v>13.498100000000001</v>
      </c>
      <c r="J450" s="10">
        <f>CHOOSE(CONTROL!$C$42, 13.458, 13.458)* CHOOSE(CONTROL!$C$21, $C$9, 100%, $E$9)</f>
        <v>13.458</v>
      </c>
      <c r="K450" s="10">
        <f>CHOOSE(CONTROL!$C$42, 13.2338, 13.2338) * CHOOSE(CONTROL!$C$21, $C$9, 100%, $E$9)</f>
        <v>13.2338</v>
      </c>
      <c r="L450" s="10">
        <f>CHOOSE(CONTROL!$C$42, 14.3131, 14.3131) * CHOOSE(CONTROL!$C$21, $C$9, 100%, $E$9)</f>
        <v>14.3131</v>
      </c>
      <c r="M450" s="10">
        <f>CHOOSE(CONTROL!$C$42, 13.3168, 13.3168) * CHOOSE(CONTROL!$C$21, $C$9, 100%, $E$9)</f>
        <v>13.316800000000001</v>
      </c>
      <c r="N450" s="10">
        <f>CHOOSE(CONTROL!$C$42, 13.3335, 13.3335) * CHOOSE(CONTROL!$C$21, $C$9, 100%, $E$9)</f>
        <v>13.333500000000001</v>
      </c>
      <c r="O450" s="10">
        <f>CHOOSE(CONTROL!$C$42, 13.5815, 13.5815) * CHOOSE(CONTROL!$C$21, $C$9, 100%, $E$9)</f>
        <v>13.5815</v>
      </c>
      <c r="P450" s="10">
        <f>CHOOSE(CONTROL!$C$42, 13.3565, 13.3565) * CHOOSE(CONTROL!$C$21, $C$9, 100%, $E$9)</f>
        <v>13.3565</v>
      </c>
      <c r="Q450" s="10">
        <f>CHOOSE(CONTROL!$C$42, 14.1768, 14.1768) * CHOOSE(CONTROL!$C$21, $C$9, 100%, $E$9)</f>
        <v>14.1768</v>
      </c>
      <c r="R450" s="10">
        <f>CHOOSE(CONTROL!$C$42, 14.7992, 14.7992) * CHOOSE(CONTROL!$C$21, $C$9, 100%, $E$9)</f>
        <v>14.799200000000001</v>
      </c>
      <c r="S450" s="10">
        <f>CHOOSE(CONTROL!$C$42, 13.1094, 13.1094) * CHOOSE(CONTROL!$C$21, $C$9, 100%, $E$9)</f>
        <v>13.109400000000001</v>
      </c>
      <c r="T4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38">
        <f>(1000*CHOOSE(CONTROL!$C$42, 695, 695)*CHOOSE(CONTROL!$C$42, 0.5599, 0.5599)*CHOOSE(CONTROL!$C$42, 30, 30))/1000000</f>
        <v>11.673914999999997</v>
      </c>
      <c r="V450" s="38">
        <f>(1000*CHOOSE(CONTROL!$C$42, 500, 500)*CHOOSE(CONTROL!$C$42, 0.275, 0.275)*CHOOSE(CONTROL!$C$42, 30, 30))/1000000</f>
        <v>4.125</v>
      </c>
      <c r="W450" s="38">
        <f>(1000*CHOOSE(CONTROL!$C$42, 0.1146, 0.1146)*CHOOSE(CONTROL!$C$42, 121.5, 121.5)*CHOOSE(CONTROL!$C$42, 30, 30))/1000000</f>
        <v>0.417717</v>
      </c>
      <c r="X450" s="38">
        <f>(30*0.1790888*245000/1000000)+(30*0.2374*100000/1000000)</f>
        <v>2.0285026799999999</v>
      </c>
      <c r="Y450" s="38">
        <f>(1000*600*CHOOSE(CONTROL!$C$42, 1.0791, 1.0791)*CHOOSE(CONTROL!$C$42, 30, 30))/1000000</f>
        <v>19.4238</v>
      </c>
      <c r="Z450" s="38"/>
      <c r="AA450" s="10"/>
      <c r="AB450" s="39"/>
      <c r="AC450" s="33">
        <f>(B450*194.205+C450*267.466+D450*133.845+E450*53.484+F450*40+G450*185+H450*0+I450*100+J450*300)/(194.205+267.466+133.845+53.484+0+40+185+100+300)</f>
        <v>13.528187887519623</v>
      </c>
      <c r="AD450" s="27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13.400625179856114</v>
      </c>
    </row>
    <row r="451" spans="1:30" ht="15.75" x14ac:dyDescent="0.25">
      <c r="A451" s="14">
        <v>55000</v>
      </c>
      <c r="B451" s="10">
        <f>CHOOSE(CONTROL!$C$42, 13.2638, 13.2638) * CHOOSE(CONTROL!$C$21, $C$9, 100%, $E$9)</f>
        <v>13.2638</v>
      </c>
      <c r="C451" s="10">
        <f>CHOOSE(CONTROL!$C$42, 13.2718, 13.2718) * CHOOSE(CONTROL!$C$21, $C$9, 100%, $E$9)</f>
        <v>13.271800000000001</v>
      </c>
      <c r="D451" s="10">
        <f>CHOOSE(CONTROL!$C$42, 13.4469, 13.4469) * CHOOSE(CONTROL!$C$21, $C$9, 100%, $E$9)</f>
        <v>13.446899999999999</v>
      </c>
      <c r="E451" s="10">
        <f>CHOOSE(CONTROL!$C$42, 13.4781, 13.4781) * CHOOSE(CONTROL!$C$21, $C$9, 100%, $E$9)</f>
        <v>13.4781</v>
      </c>
      <c r="F451" s="10">
        <f>CHOOSE(CONTROL!$C$42, 13.206, 13.206)*CHOOSE(CONTROL!$C$21, $C$9, 100%, $E$9)</f>
        <v>13.206</v>
      </c>
      <c r="G451" s="10">
        <f>CHOOSE(CONTROL!$C$42, 13.223, 13.223)*CHOOSE(CONTROL!$C$21, $C$9, 100%, $E$9)</f>
        <v>13.223000000000001</v>
      </c>
      <c r="H451" s="10">
        <f>CHOOSE(CONTROL!$C$42, 13.4664, 13.4664) * CHOOSE(CONTROL!$C$21, $C$9, 100%, $E$9)</f>
        <v>13.4664</v>
      </c>
      <c r="I451" s="10">
        <f>CHOOSE(CONTROL!$C$42, 13.2384, 13.2384)* CHOOSE(CONTROL!$C$21, $C$9, 100%, $E$9)</f>
        <v>13.2384</v>
      </c>
      <c r="J451" s="10">
        <f>CHOOSE(CONTROL!$C$42, 13.1986, 13.1986)* CHOOSE(CONTROL!$C$21, $C$9, 100%, $E$9)</f>
        <v>13.198600000000001</v>
      </c>
      <c r="K451" s="10">
        <f>CHOOSE(CONTROL!$C$42, 12.9829, 12.9829) * CHOOSE(CONTROL!$C$21, $C$9, 100%, $E$9)</f>
        <v>12.982900000000001</v>
      </c>
      <c r="L451" s="10">
        <f>CHOOSE(CONTROL!$C$42, 14.0534, 14.0534) * CHOOSE(CONTROL!$C$21, $C$9, 100%, $E$9)</f>
        <v>14.0534</v>
      </c>
      <c r="M451" s="10">
        <f>CHOOSE(CONTROL!$C$42, 13.0608, 13.0608) * CHOOSE(CONTROL!$C$21, $C$9, 100%, $E$9)</f>
        <v>13.0608</v>
      </c>
      <c r="N451" s="10">
        <f>CHOOSE(CONTROL!$C$42, 13.0776, 13.0776) * CHOOSE(CONTROL!$C$21, $C$9, 100%, $E$9)</f>
        <v>13.0776</v>
      </c>
      <c r="O451" s="10">
        <f>CHOOSE(CONTROL!$C$42, 13.3252, 13.3252) * CHOOSE(CONTROL!$C$21, $C$9, 100%, $E$9)</f>
        <v>13.325200000000001</v>
      </c>
      <c r="P451" s="10">
        <f>CHOOSE(CONTROL!$C$42, 13.1001, 13.1001) * CHOOSE(CONTROL!$C$21, $C$9, 100%, $E$9)</f>
        <v>13.100099999999999</v>
      </c>
      <c r="Q451" s="10">
        <f>CHOOSE(CONTROL!$C$42, 13.9205, 13.9205) * CHOOSE(CONTROL!$C$21, $C$9, 100%, $E$9)</f>
        <v>13.920500000000001</v>
      </c>
      <c r="R451" s="10">
        <f>CHOOSE(CONTROL!$C$42, 14.5423, 14.5423) * CHOOSE(CONTROL!$C$21, $C$9, 100%, $E$9)</f>
        <v>14.542299999999999</v>
      </c>
      <c r="S451" s="10">
        <f>CHOOSE(CONTROL!$C$42, 12.8579, 12.8579) * CHOOSE(CONTROL!$C$21, $C$9, 100%, $E$9)</f>
        <v>12.857900000000001</v>
      </c>
      <c r="T4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38">
        <f>(1000*CHOOSE(CONTROL!$C$42, 695, 695)*CHOOSE(CONTROL!$C$42, 0.5599, 0.5599)*CHOOSE(CONTROL!$C$42, 31, 31))/1000000</f>
        <v>12.063045499999998</v>
      </c>
      <c r="V451" s="38">
        <f>(1000*CHOOSE(CONTROL!$C$42, 500, 500)*CHOOSE(CONTROL!$C$42, 0.275, 0.275)*CHOOSE(CONTROL!$C$42, 31, 31))/1000000</f>
        <v>4.2625000000000002</v>
      </c>
      <c r="W451" s="38">
        <f>(1000*CHOOSE(CONTROL!$C$42, 0.1146, 0.1146)*CHOOSE(CONTROL!$C$42, 121.5, 121.5)*CHOOSE(CONTROL!$C$42, 31, 31))/1000000</f>
        <v>0.43164089999999994</v>
      </c>
      <c r="X451" s="38">
        <f>(31*0.1790888*245000/1000000)+(31*0.2374*100000/1000000)</f>
        <v>2.0961194359999999</v>
      </c>
      <c r="Y451" s="38">
        <f>(1000*600*CHOOSE(CONTROL!$C$42, 1.0791, 1.0791)*CHOOSE(CONTROL!$C$42, 31, 31))/1000000</f>
        <v>20.071259999999999</v>
      </c>
      <c r="Z451" s="38"/>
      <c r="AA451" s="10"/>
      <c r="AB451" s="39"/>
      <c r="AC451" s="33">
        <f>(B451*194.205+C451*267.466+D451*133.845+E451*53.484+F451*40+G451*185+H451*0+I451*100+J451*300)/(194.205+267.466+133.845+53.484+0+40+185+100+300)</f>
        <v>13.268626035086342</v>
      </c>
      <c r="AD451" s="27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13.144506474820146</v>
      </c>
    </row>
    <row r="452" spans="1:30" ht="15.75" x14ac:dyDescent="0.25">
      <c r="A452" s="14">
        <v>55031</v>
      </c>
      <c r="B452" s="10">
        <f>CHOOSE(CONTROL!$C$42, 12.6079, 12.6079) * CHOOSE(CONTROL!$C$21, $C$9, 100%, $E$9)</f>
        <v>12.607900000000001</v>
      </c>
      <c r="C452" s="10">
        <f>CHOOSE(CONTROL!$C$42, 12.6159, 12.6159) * CHOOSE(CONTROL!$C$21, $C$9, 100%, $E$9)</f>
        <v>12.6159</v>
      </c>
      <c r="D452" s="10">
        <f>CHOOSE(CONTROL!$C$42, 12.791, 12.791) * CHOOSE(CONTROL!$C$21, $C$9, 100%, $E$9)</f>
        <v>12.791</v>
      </c>
      <c r="E452" s="10">
        <f>CHOOSE(CONTROL!$C$42, 12.8223, 12.8223) * CHOOSE(CONTROL!$C$21, $C$9, 100%, $E$9)</f>
        <v>12.8223</v>
      </c>
      <c r="F452" s="10">
        <f>CHOOSE(CONTROL!$C$42, 12.55, 12.55)*CHOOSE(CONTROL!$C$21, $C$9, 100%, $E$9)</f>
        <v>12.55</v>
      </c>
      <c r="G452" s="10">
        <f>CHOOSE(CONTROL!$C$42, 12.567, 12.567)*CHOOSE(CONTROL!$C$21, $C$9, 100%, $E$9)</f>
        <v>12.567</v>
      </c>
      <c r="H452" s="10">
        <f>CHOOSE(CONTROL!$C$42, 12.8106, 12.8106) * CHOOSE(CONTROL!$C$21, $C$9, 100%, $E$9)</f>
        <v>12.810600000000001</v>
      </c>
      <c r="I452" s="10">
        <f>CHOOSE(CONTROL!$C$42, 12.5826, 12.5826)* CHOOSE(CONTROL!$C$21, $C$9, 100%, $E$9)</f>
        <v>12.582599999999999</v>
      </c>
      <c r="J452" s="10">
        <f>CHOOSE(CONTROL!$C$42, 12.5426, 12.5426)* CHOOSE(CONTROL!$C$21, $C$9, 100%, $E$9)</f>
        <v>12.5426</v>
      </c>
      <c r="K452" s="10">
        <f>CHOOSE(CONTROL!$C$42, 12.3473, 12.3473) * CHOOSE(CONTROL!$C$21, $C$9, 100%, $E$9)</f>
        <v>12.347300000000001</v>
      </c>
      <c r="L452" s="10">
        <f>CHOOSE(CONTROL!$C$42, 13.3976, 13.3976) * CHOOSE(CONTROL!$C$21, $C$9, 100%, $E$9)</f>
        <v>13.397600000000001</v>
      </c>
      <c r="M452" s="10">
        <f>CHOOSE(CONTROL!$C$42, 12.4133, 12.4133) * CHOOSE(CONTROL!$C$21, $C$9, 100%, $E$9)</f>
        <v>12.4133</v>
      </c>
      <c r="N452" s="10">
        <f>CHOOSE(CONTROL!$C$42, 12.4301, 12.4301) * CHOOSE(CONTROL!$C$21, $C$9, 100%, $E$9)</f>
        <v>12.430099999999999</v>
      </c>
      <c r="O452" s="10">
        <f>CHOOSE(CONTROL!$C$42, 12.6778, 12.6778) * CHOOSE(CONTROL!$C$21, $C$9, 100%, $E$9)</f>
        <v>12.6778</v>
      </c>
      <c r="P452" s="10">
        <f>CHOOSE(CONTROL!$C$42, 12.4528, 12.4528) * CHOOSE(CONTROL!$C$21, $C$9, 100%, $E$9)</f>
        <v>12.4528</v>
      </c>
      <c r="Q452" s="10">
        <f>CHOOSE(CONTROL!$C$42, 13.2731, 13.2731) * CHOOSE(CONTROL!$C$21, $C$9, 100%, $E$9)</f>
        <v>13.273099999999999</v>
      </c>
      <c r="R452" s="10">
        <f>CHOOSE(CONTROL!$C$42, 13.8933, 13.8933) * CHOOSE(CONTROL!$C$21, $C$9, 100%, $E$9)</f>
        <v>13.8933</v>
      </c>
      <c r="S452" s="10">
        <f>CHOOSE(CONTROL!$C$42, 12.2228, 12.2228) * CHOOSE(CONTROL!$C$21, $C$9, 100%, $E$9)</f>
        <v>12.222799999999999</v>
      </c>
      <c r="T4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38">
        <f>(1000*CHOOSE(CONTROL!$C$42, 695, 695)*CHOOSE(CONTROL!$C$42, 0.5599, 0.5599)*CHOOSE(CONTROL!$C$42, 31, 31))/1000000</f>
        <v>12.063045499999998</v>
      </c>
      <c r="V452" s="38">
        <f>(1000*CHOOSE(CONTROL!$C$42, 500, 500)*CHOOSE(CONTROL!$C$42, 0.275, 0.275)*CHOOSE(CONTROL!$C$42, 31, 31))/1000000</f>
        <v>4.2625000000000002</v>
      </c>
      <c r="W452" s="38">
        <f>(1000*CHOOSE(CONTROL!$C$42, 0.1146, 0.1146)*CHOOSE(CONTROL!$C$42, 121.5, 121.5)*CHOOSE(CONTROL!$C$42, 31, 31))/1000000</f>
        <v>0.43164089999999994</v>
      </c>
      <c r="X452" s="38">
        <f>(31*0.1790888*245000/1000000)+(31*0.2374*100000/1000000)</f>
        <v>2.0961194359999999</v>
      </c>
      <c r="Y452" s="38">
        <f>(1000*600*CHOOSE(CONTROL!$C$42, 1.0791, 1.0791)*CHOOSE(CONTROL!$C$42, 31, 31))/1000000</f>
        <v>20.071259999999999</v>
      </c>
      <c r="Z452" s="38"/>
      <c r="AA452" s="10"/>
      <c r="AB452" s="39"/>
      <c r="AC452" s="33">
        <f>(B452*194.205+C452*267.466+D452*133.845+E452*53.484+F452*40+G452*185+H452*0+I452*100+J452*300)/(194.205+267.466+133.845+53.484+0+40+185+100+300)</f>
        <v>12.612696873704868</v>
      </c>
      <c r="AD452" s="27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12.497063309352519</v>
      </c>
    </row>
    <row r="453" spans="1:30" ht="15.75" x14ac:dyDescent="0.25">
      <c r="A453" s="14">
        <v>55061</v>
      </c>
      <c r="B453" s="10">
        <f>CHOOSE(CONTROL!$C$42, 11.8066, 11.8066) * CHOOSE(CONTROL!$C$21, $C$9, 100%, $E$9)</f>
        <v>11.8066</v>
      </c>
      <c r="C453" s="10">
        <f>CHOOSE(CONTROL!$C$42, 11.8146, 11.8146) * CHOOSE(CONTROL!$C$21, $C$9, 100%, $E$9)</f>
        <v>11.8146</v>
      </c>
      <c r="D453" s="10">
        <f>CHOOSE(CONTROL!$C$42, 11.9897, 11.9897) * CHOOSE(CONTROL!$C$21, $C$9, 100%, $E$9)</f>
        <v>11.989699999999999</v>
      </c>
      <c r="E453" s="10">
        <f>CHOOSE(CONTROL!$C$42, 12.0209, 12.0209) * CHOOSE(CONTROL!$C$21, $C$9, 100%, $E$9)</f>
        <v>12.020899999999999</v>
      </c>
      <c r="F453" s="10">
        <f>CHOOSE(CONTROL!$C$42, 11.7484, 11.7484)*CHOOSE(CONTROL!$C$21, $C$9, 100%, $E$9)</f>
        <v>11.7484</v>
      </c>
      <c r="G453" s="10">
        <f>CHOOSE(CONTROL!$C$42, 11.7653, 11.7653)*CHOOSE(CONTROL!$C$21, $C$9, 100%, $E$9)</f>
        <v>11.7653</v>
      </c>
      <c r="H453" s="10">
        <f>CHOOSE(CONTROL!$C$42, 12.0093, 12.0093) * CHOOSE(CONTROL!$C$21, $C$9, 100%, $E$9)</f>
        <v>12.0093</v>
      </c>
      <c r="I453" s="10">
        <f>CHOOSE(CONTROL!$C$42, 11.7812, 11.7812)* CHOOSE(CONTROL!$C$21, $C$9, 100%, $E$9)</f>
        <v>11.7812</v>
      </c>
      <c r="J453" s="10">
        <f>CHOOSE(CONTROL!$C$42, 11.741, 11.741)* CHOOSE(CONTROL!$C$21, $C$9, 100%, $E$9)</f>
        <v>11.741</v>
      </c>
      <c r="K453" s="10">
        <f>CHOOSE(CONTROL!$C$42, 11.5703, 11.5703) * CHOOSE(CONTROL!$C$21, $C$9, 100%, $E$9)</f>
        <v>11.5703</v>
      </c>
      <c r="L453" s="10">
        <f>CHOOSE(CONTROL!$C$42, 12.5963, 12.5963) * CHOOSE(CONTROL!$C$21, $C$9, 100%, $E$9)</f>
        <v>12.596299999999999</v>
      </c>
      <c r="M453" s="10">
        <f>CHOOSE(CONTROL!$C$42, 11.622, 11.622) * CHOOSE(CONTROL!$C$21, $C$9, 100%, $E$9)</f>
        <v>11.622</v>
      </c>
      <c r="N453" s="10">
        <f>CHOOSE(CONTROL!$C$42, 11.6387, 11.6387) * CHOOSE(CONTROL!$C$21, $C$9, 100%, $E$9)</f>
        <v>11.6387</v>
      </c>
      <c r="O453" s="10">
        <f>CHOOSE(CONTROL!$C$42, 11.8868, 11.8868) * CHOOSE(CONTROL!$C$21, $C$9, 100%, $E$9)</f>
        <v>11.886799999999999</v>
      </c>
      <c r="P453" s="10">
        <f>CHOOSE(CONTROL!$C$42, 11.6618, 11.6618) * CHOOSE(CONTROL!$C$21, $C$9, 100%, $E$9)</f>
        <v>11.661799999999999</v>
      </c>
      <c r="Q453" s="10">
        <f>CHOOSE(CONTROL!$C$42, 12.4821, 12.4821) * CHOOSE(CONTROL!$C$21, $C$9, 100%, $E$9)</f>
        <v>12.482100000000001</v>
      </c>
      <c r="R453" s="10">
        <f>CHOOSE(CONTROL!$C$42, 13.1003, 13.1003) * CHOOSE(CONTROL!$C$21, $C$9, 100%, $E$9)</f>
        <v>13.100300000000001</v>
      </c>
      <c r="S453" s="10">
        <f>CHOOSE(CONTROL!$C$42, 11.4469, 11.4469) * CHOOSE(CONTROL!$C$21, $C$9, 100%, $E$9)</f>
        <v>11.446899999999999</v>
      </c>
      <c r="T4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38">
        <f>(1000*CHOOSE(CONTROL!$C$42, 695, 695)*CHOOSE(CONTROL!$C$42, 0.5599, 0.5599)*CHOOSE(CONTROL!$C$42, 30, 30))/1000000</f>
        <v>11.673914999999997</v>
      </c>
      <c r="V453" s="38">
        <f>(1000*CHOOSE(CONTROL!$C$42, 500, 500)*CHOOSE(CONTROL!$C$42, 0.275, 0.275)*CHOOSE(CONTROL!$C$42, 30, 30))/1000000</f>
        <v>4.125</v>
      </c>
      <c r="W453" s="38">
        <f>(1000*CHOOSE(CONTROL!$C$42, 0.1146, 0.1146)*CHOOSE(CONTROL!$C$42, 121.5, 121.5)*CHOOSE(CONTROL!$C$42, 30, 30))/1000000</f>
        <v>0.417717</v>
      </c>
      <c r="X453" s="38">
        <f>(30*0.1790888*245000/1000000)+(30*0.2374*100000/1000000)</f>
        <v>2.0285026799999999</v>
      </c>
      <c r="Y453" s="38">
        <f>(1000*600*CHOOSE(CONTROL!$C$42, 1.0791, 1.0791)*CHOOSE(CONTROL!$C$42, 30, 30))/1000000</f>
        <v>19.4238</v>
      </c>
      <c r="Z453" s="38"/>
      <c r="AA453" s="10"/>
      <c r="AB453" s="39"/>
      <c r="AC453" s="33">
        <f>(B453*194.205+C453*267.466+D453*133.845+E453*53.484+F453*40+G453*185+H453*0+I453*100+J453*300)/(194.205+267.466+133.845+53.484+0+40+185+100+300)</f>
        <v>11.811246678728414</v>
      </c>
      <c r="AD453" s="27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11.70586762589928</v>
      </c>
    </row>
    <row r="454" spans="1:30" ht="15.75" x14ac:dyDescent="0.25">
      <c r="A454" s="14">
        <v>55092</v>
      </c>
      <c r="B454" s="10">
        <f>CHOOSE(CONTROL!$C$42, 11.5645, 11.5645) * CHOOSE(CONTROL!$C$21, $C$9, 100%, $E$9)</f>
        <v>11.564500000000001</v>
      </c>
      <c r="C454" s="10">
        <f>CHOOSE(CONTROL!$C$42, 11.5698, 11.5698) * CHOOSE(CONTROL!$C$21, $C$9, 100%, $E$9)</f>
        <v>11.569800000000001</v>
      </c>
      <c r="D454" s="10">
        <f>CHOOSE(CONTROL!$C$42, 11.7498, 11.7498) * CHOOSE(CONTROL!$C$21, $C$9, 100%, $E$9)</f>
        <v>11.7498</v>
      </c>
      <c r="E454" s="10">
        <f>CHOOSE(CONTROL!$C$42, 11.7787, 11.7787) * CHOOSE(CONTROL!$C$21, $C$9, 100%, $E$9)</f>
        <v>11.778700000000001</v>
      </c>
      <c r="F454" s="10">
        <f>CHOOSE(CONTROL!$C$42, 11.5082, 11.5082)*CHOOSE(CONTROL!$C$21, $C$9, 100%, $E$9)</f>
        <v>11.5082</v>
      </c>
      <c r="G454" s="10">
        <f>CHOOSE(CONTROL!$C$42, 11.5248, 11.5248)*CHOOSE(CONTROL!$C$21, $C$9, 100%, $E$9)</f>
        <v>11.524800000000001</v>
      </c>
      <c r="H454" s="10">
        <f>CHOOSE(CONTROL!$C$42, 11.7689, 11.7689) * CHOOSE(CONTROL!$C$21, $C$9, 100%, $E$9)</f>
        <v>11.7689</v>
      </c>
      <c r="I454" s="10">
        <f>CHOOSE(CONTROL!$C$42, 11.5408, 11.5408)* CHOOSE(CONTROL!$C$21, $C$9, 100%, $E$9)</f>
        <v>11.540800000000001</v>
      </c>
      <c r="J454" s="10">
        <f>CHOOSE(CONTROL!$C$42, 11.5008, 11.5008)* CHOOSE(CONTROL!$C$21, $C$9, 100%, $E$9)</f>
        <v>11.5008</v>
      </c>
      <c r="K454" s="10">
        <f>CHOOSE(CONTROL!$C$42, 11.338, 11.338) * CHOOSE(CONTROL!$C$21, $C$9, 100%, $E$9)</f>
        <v>11.337999999999999</v>
      </c>
      <c r="L454" s="10">
        <f>CHOOSE(CONTROL!$C$42, 12.3559, 12.3559) * CHOOSE(CONTROL!$C$21, $C$9, 100%, $E$9)</f>
        <v>12.3559</v>
      </c>
      <c r="M454" s="10">
        <f>CHOOSE(CONTROL!$C$42, 11.385, 11.385) * CHOOSE(CONTROL!$C$21, $C$9, 100%, $E$9)</f>
        <v>11.385</v>
      </c>
      <c r="N454" s="10">
        <f>CHOOSE(CONTROL!$C$42, 11.4014, 11.4014) * CHOOSE(CONTROL!$C$21, $C$9, 100%, $E$9)</f>
        <v>11.401400000000001</v>
      </c>
      <c r="O454" s="10">
        <f>CHOOSE(CONTROL!$C$42, 11.6496, 11.6496) * CHOOSE(CONTROL!$C$21, $C$9, 100%, $E$9)</f>
        <v>11.6496</v>
      </c>
      <c r="P454" s="10">
        <f>CHOOSE(CONTROL!$C$42, 11.4245, 11.4245) * CHOOSE(CONTROL!$C$21, $C$9, 100%, $E$9)</f>
        <v>11.4245</v>
      </c>
      <c r="Q454" s="10">
        <f>CHOOSE(CONTROL!$C$42, 12.2449, 12.2449) * CHOOSE(CONTROL!$C$21, $C$9, 100%, $E$9)</f>
        <v>12.244899999999999</v>
      </c>
      <c r="R454" s="10">
        <f>CHOOSE(CONTROL!$C$42, 12.8625, 12.8625) * CHOOSE(CONTROL!$C$21, $C$9, 100%, $E$9)</f>
        <v>12.862500000000001</v>
      </c>
      <c r="S454" s="10">
        <f>CHOOSE(CONTROL!$C$42, 11.2141, 11.2141) * CHOOSE(CONTROL!$C$21, $C$9, 100%, $E$9)</f>
        <v>11.2141</v>
      </c>
      <c r="T4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38">
        <f>(1000*CHOOSE(CONTROL!$C$42, 695, 695)*CHOOSE(CONTROL!$C$42, 0.5599, 0.5599)*CHOOSE(CONTROL!$C$42, 31, 31))/1000000</f>
        <v>12.063045499999998</v>
      </c>
      <c r="V454" s="38">
        <f>(1000*CHOOSE(CONTROL!$C$42, 500, 500)*CHOOSE(CONTROL!$C$42, 0.275, 0.275)*CHOOSE(CONTROL!$C$42, 31, 31))/1000000</f>
        <v>4.2625000000000002</v>
      </c>
      <c r="W454" s="38">
        <f>(1000*CHOOSE(CONTROL!$C$42, 0.1146, 0.1146)*CHOOSE(CONTROL!$C$42, 121.5, 121.5)*CHOOSE(CONTROL!$C$42, 31, 31))/1000000</f>
        <v>0.43164089999999994</v>
      </c>
      <c r="X454" s="38">
        <f>(31*0.1790888*245000/1000000)+(31*0.2374*100000/1000000)</f>
        <v>2.0961194359999999</v>
      </c>
      <c r="Y454" s="38">
        <f>(1000*600*CHOOSE(CONTROL!$C$42, 1.0791, 1.0791)*CHOOSE(CONTROL!$C$42, 31, 31))/1000000</f>
        <v>20.071259999999999</v>
      </c>
      <c r="Z454" s="38"/>
      <c r="AA454" s="10"/>
      <c r="AB454" s="39"/>
      <c r="AC454" s="33">
        <f>(B454*131.881+C454*277.167+D454*79.08+E454*125.872+F454*40+G454*185+H454*0+I454*100+J454*300)/(131.881+277.167+79.08+125.872+0+40+185+100+300)</f>
        <v>11.574191518563357</v>
      </c>
      <c r="AD454" s="27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11.468699280575541</v>
      </c>
    </row>
    <row r="455" spans="1:30" ht="15.75" x14ac:dyDescent="0.25">
      <c r="A455" s="14">
        <v>55122</v>
      </c>
      <c r="B455" s="10">
        <f>CHOOSE(CONTROL!$C$42, 11.8691, 11.8691) * CHOOSE(CONTROL!$C$21, $C$9, 100%, $E$9)</f>
        <v>11.8691</v>
      </c>
      <c r="C455" s="10">
        <f>CHOOSE(CONTROL!$C$42, 11.8742, 11.8742) * CHOOSE(CONTROL!$C$21, $C$9, 100%, $E$9)</f>
        <v>11.8742</v>
      </c>
      <c r="D455" s="10">
        <f>CHOOSE(CONTROL!$C$42, 11.8989, 11.8989) * CHOOSE(CONTROL!$C$21, $C$9, 100%, $E$9)</f>
        <v>11.898899999999999</v>
      </c>
      <c r="E455" s="10">
        <f>CHOOSE(CONTROL!$C$42, 11.9327, 11.9327) * CHOOSE(CONTROL!$C$21, $C$9, 100%, $E$9)</f>
        <v>11.932700000000001</v>
      </c>
      <c r="F455" s="10">
        <f>CHOOSE(CONTROL!$C$42, 11.8348, 11.8348)*CHOOSE(CONTROL!$C$21, $C$9, 100%, $E$9)</f>
        <v>11.8348</v>
      </c>
      <c r="G455" s="10">
        <f>CHOOSE(CONTROL!$C$42, 11.8516, 11.8516)*CHOOSE(CONTROL!$C$21, $C$9, 100%, $E$9)</f>
        <v>11.851599999999999</v>
      </c>
      <c r="H455" s="10">
        <f>CHOOSE(CONTROL!$C$42, 11.9216, 11.9216) * CHOOSE(CONTROL!$C$21, $C$9, 100%, $E$9)</f>
        <v>11.9216</v>
      </c>
      <c r="I455" s="10">
        <f>CHOOSE(CONTROL!$C$42, 11.8686, 11.8686)* CHOOSE(CONTROL!$C$21, $C$9, 100%, $E$9)</f>
        <v>11.868600000000001</v>
      </c>
      <c r="J455" s="10">
        <f>CHOOSE(CONTROL!$C$42, 11.8274, 11.8274)* CHOOSE(CONTROL!$C$21, $C$9, 100%, $E$9)</f>
        <v>11.827400000000001</v>
      </c>
      <c r="K455" s="10">
        <f>CHOOSE(CONTROL!$C$42, 11.6574, 11.6574) * CHOOSE(CONTROL!$C$21, $C$9, 100%, $E$9)</f>
        <v>11.657400000000001</v>
      </c>
      <c r="L455" s="10">
        <f>CHOOSE(CONTROL!$C$42, 12.5086, 12.5086) * CHOOSE(CONTROL!$C$21, $C$9, 100%, $E$9)</f>
        <v>12.508599999999999</v>
      </c>
      <c r="M455" s="10">
        <f>CHOOSE(CONTROL!$C$42, 11.7073, 11.7073) * CHOOSE(CONTROL!$C$21, $C$9, 100%, $E$9)</f>
        <v>11.7073</v>
      </c>
      <c r="N455" s="10">
        <f>CHOOSE(CONTROL!$C$42, 11.7239, 11.7239) * CHOOSE(CONTROL!$C$21, $C$9, 100%, $E$9)</f>
        <v>11.7239</v>
      </c>
      <c r="O455" s="10">
        <f>CHOOSE(CONTROL!$C$42, 11.8003, 11.8003) * CHOOSE(CONTROL!$C$21, $C$9, 100%, $E$9)</f>
        <v>11.8003</v>
      </c>
      <c r="P455" s="10">
        <f>CHOOSE(CONTROL!$C$42, 11.7481, 11.7481) * CHOOSE(CONTROL!$C$21, $C$9, 100%, $E$9)</f>
        <v>11.748100000000001</v>
      </c>
      <c r="Q455" s="10">
        <f>CHOOSE(CONTROL!$C$42, 12.3956, 12.3956) * CHOOSE(CONTROL!$C$21, $C$9, 100%, $E$9)</f>
        <v>12.3956</v>
      </c>
      <c r="R455" s="10">
        <f>CHOOSE(CONTROL!$C$42, 13.0136, 13.0136) * CHOOSE(CONTROL!$C$21, $C$9, 100%, $E$9)</f>
        <v>13.0136</v>
      </c>
      <c r="S455" s="10">
        <f>CHOOSE(CONTROL!$C$42, 11.5096, 11.5096) * CHOOSE(CONTROL!$C$21, $C$9, 100%, $E$9)</f>
        <v>11.509600000000001</v>
      </c>
      <c r="T4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38">
        <f>(1000*CHOOSE(CONTROL!$C$42, 695, 695)*CHOOSE(CONTROL!$C$42, 0.5599, 0.5599)*CHOOSE(CONTROL!$C$42, 30, 30))/1000000</f>
        <v>11.673914999999997</v>
      </c>
      <c r="V455" s="38">
        <f>(1000*CHOOSE(CONTROL!$C$42, 500, 500)*CHOOSE(CONTROL!$C$42, 0.275, 0.275)*CHOOSE(CONTROL!$C$42, 30, 30))/1000000</f>
        <v>4.125</v>
      </c>
      <c r="W455" s="38">
        <f>(1000*CHOOSE(CONTROL!$C$42, 0.1146, 0.1146)*CHOOSE(CONTROL!$C$42, 121.5, 121.5)*CHOOSE(CONTROL!$C$42, 30, 30))/1000000</f>
        <v>0.417717</v>
      </c>
      <c r="X455" s="38">
        <f>(30*0.1790888*100000/1000000)+(30*0.2374*100000/1000000)</f>
        <v>1.2494664</v>
      </c>
      <c r="Y455" s="38">
        <f>(1000*600*CHOOSE(CONTROL!$C$42, 1.0791, 1.0791)*CHOOSE(CONTROL!$C$42, 30, 30))/1000000</f>
        <v>19.4238</v>
      </c>
      <c r="Z455" s="38"/>
      <c r="AA455" s="10"/>
      <c r="AB455" s="39"/>
      <c r="AC455" s="33">
        <f>(B455*122.58+C455*297.941+D455*89.177+E455*40.302+F455*40+G455*160+H455*0+I455*100+J455*300)/(122.58+297.941+89.177+40.302+0+40+160+100+300)</f>
        <v>11.860411461652173</v>
      </c>
      <c r="AD455" s="27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11.756276978417267</v>
      </c>
    </row>
    <row r="456" spans="1:30" ht="15.75" x14ac:dyDescent="0.25">
      <c r="A456" s="14">
        <v>55153</v>
      </c>
      <c r="B456" s="10">
        <f>CHOOSE(CONTROL!$C$42, 12.6795, 12.6795) * CHOOSE(CONTROL!$C$21, $C$9, 100%, $E$9)</f>
        <v>12.679500000000001</v>
      </c>
      <c r="C456" s="10">
        <f>CHOOSE(CONTROL!$C$42, 12.6846, 12.6846) * CHOOSE(CONTROL!$C$21, $C$9, 100%, $E$9)</f>
        <v>12.6846</v>
      </c>
      <c r="D456" s="10">
        <f>CHOOSE(CONTROL!$C$42, 12.7093, 12.7093) * CHOOSE(CONTROL!$C$21, $C$9, 100%, $E$9)</f>
        <v>12.709300000000001</v>
      </c>
      <c r="E456" s="10">
        <f>CHOOSE(CONTROL!$C$42, 12.7431, 12.7431) * CHOOSE(CONTROL!$C$21, $C$9, 100%, $E$9)</f>
        <v>12.7431</v>
      </c>
      <c r="F456" s="10">
        <f>CHOOSE(CONTROL!$C$42, 12.6469, 12.6469)*CHOOSE(CONTROL!$C$21, $C$9, 100%, $E$9)</f>
        <v>12.6469</v>
      </c>
      <c r="G456" s="10">
        <f>CHOOSE(CONTROL!$C$42, 12.6642, 12.6642)*CHOOSE(CONTROL!$C$21, $C$9, 100%, $E$9)</f>
        <v>12.664199999999999</v>
      </c>
      <c r="H456" s="10">
        <f>CHOOSE(CONTROL!$C$42, 12.732, 12.732) * CHOOSE(CONTROL!$C$21, $C$9, 100%, $E$9)</f>
        <v>12.731999999999999</v>
      </c>
      <c r="I456" s="10">
        <f>CHOOSE(CONTROL!$C$42, 12.679, 12.679)* CHOOSE(CONTROL!$C$21, $C$9, 100%, $E$9)</f>
        <v>12.679</v>
      </c>
      <c r="J456" s="10">
        <f>CHOOSE(CONTROL!$C$42, 12.6395, 12.6395)* CHOOSE(CONTROL!$C$21, $C$9, 100%, $E$9)</f>
        <v>12.6395</v>
      </c>
      <c r="K456" s="10">
        <f>CHOOSE(CONTROL!$C$42, 12.4463, 12.4463) * CHOOSE(CONTROL!$C$21, $C$9, 100%, $E$9)</f>
        <v>12.446300000000001</v>
      </c>
      <c r="L456" s="10">
        <f>CHOOSE(CONTROL!$C$42, 13.319, 13.319) * CHOOSE(CONTROL!$C$21, $C$9, 100%, $E$9)</f>
        <v>13.319000000000001</v>
      </c>
      <c r="M456" s="10">
        <f>CHOOSE(CONTROL!$C$42, 12.5089, 12.5089) * CHOOSE(CONTROL!$C$21, $C$9, 100%, $E$9)</f>
        <v>12.508900000000001</v>
      </c>
      <c r="N456" s="10">
        <f>CHOOSE(CONTROL!$C$42, 12.526, 12.526) * CHOOSE(CONTROL!$C$21, $C$9, 100%, $E$9)</f>
        <v>12.526</v>
      </c>
      <c r="O456" s="10">
        <f>CHOOSE(CONTROL!$C$42, 12.6002, 12.6002) * CHOOSE(CONTROL!$C$21, $C$9, 100%, $E$9)</f>
        <v>12.600199999999999</v>
      </c>
      <c r="P456" s="10">
        <f>CHOOSE(CONTROL!$C$42, 12.548, 12.548) * CHOOSE(CONTROL!$C$21, $C$9, 100%, $E$9)</f>
        <v>12.548</v>
      </c>
      <c r="Q456" s="10">
        <f>CHOOSE(CONTROL!$C$42, 13.1955, 13.1955) * CHOOSE(CONTROL!$C$21, $C$9, 100%, $E$9)</f>
        <v>13.195499999999999</v>
      </c>
      <c r="R456" s="10">
        <f>CHOOSE(CONTROL!$C$42, 13.8155, 13.8155) * CHOOSE(CONTROL!$C$21, $C$9, 100%, $E$9)</f>
        <v>13.8155</v>
      </c>
      <c r="S456" s="10">
        <f>CHOOSE(CONTROL!$C$42, 12.2942, 12.2942) * CHOOSE(CONTROL!$C$21, $C$9, 100%, $E$9)</f>
        <v>12.2942</v>
      </c>
      <c r="T4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38">
        <f>(1000*CHOOSE(CONTROL!$C$42, 695, 695)*CHOOSE(CONTROL!$C$42, 0.5599, 0.5599)*CHOOSE(CONTROL!$C$42, 31, 31))/1000000</f>
        <v>12.063045499999998</v>
      </c>
      <c r="V456" s="38">
        <f>(1000*CHOOSE(CONTROL!$C$42, 500, 500)*CHOOSE(CONTROL!$C$42, 0.275, 0.275)*CHOOSE(CONTROL!$C$42, 31, 31))/1000000</f>
        <v>4.2625000000000002</v>
      </c>
      <c r="W456" s="38">
        <f>(1000*CHOOSE(CONTROL!$C$42, 0.1146, 0.1146)*CHOOSE(CONTROL!$C$42, 121.5, 121.5)*CHOOSE(CONTROL!$C$42, 31, 31))/1000000</f>
        <v>0.43164089999999994</v>
      </c>
      <c r="X456" s="38">
        <f>(31*0.1790888*100000/1000000)+(31*0.2374*100000/1000000)</f>
        <v>1.2911152800000001</v>
      </c>
      <c r="Y456" s="38">
        <f>(1000*600*CHOOSE(CONTROL!$C$42, 1.0791, 1.0791)*CHOOSE(CONTROL!$C$42, 31, 31))/1000000</f>
        <v>20.071259999999999</v>
      </c>
      <c r="Z456" s="38"/>
      <c r="AA456" s="10"/>
      <c r="AB456" s="39"/>
      <c r="AC456" s="33">
        <f>(B456*122.58+C456*297.941+D456*89.177+E456*40.302+F456*40+G456*160+H456*0+I456*100+J456*300)/(122.58+297.941+89.177+40.302+0+40+160+100+300)</f>
        <v>12.671620157304348</v>
      </c>
      <c r="AD456" s="27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12.556890647482012</v>
      </c>
    </row>
    <row r="457" spans="1:30" ht="15.75" x14ac:dyDescent="0.25">
      <c r="A457" s="14">
        <v>55184</v>
      </c>
      <c r="B457" s="10">
        <f>CHOOSE(CONTROL!$C$42, 13.5364, 13.5364) * CHOOSE(CONTROL!$C$21, $C$9, 100%, $E$9)</f>
        <v>13.5364</v>
      </c>
      <c r="C457" s="10">
        <f>CHOOSE(CONTROL!$C$42, 13.5415, 13.5415) * CHOOSE(CONTROL!$C$21, $C$9, 100%, $E$9)</f>
        <v>13.541499999999999</v>
      </c>
      <c r="D457" s="10">
        <f>CHOOSE(CONTROL!$C$42, 13.5765, 13.5765) * CHOOSE(CONTROL!$C$21, $C$9, 100%, $E$9)</f>
        <v>13.576499999999999</v>
      </c>
      <c r="E457" s="10">
        <f>CHOOSE(CONTROL!$C$42, 13.6103, 13.6103) * CHOOSE(CONTROL!$C$21, $C$9, 100%, $E$9)</f>
        <v>13.610300000000001</v>
      </c>
      <c r="F457" s="10">
        <f>CHOOSE(CONTROL!$C$42, 13.5177, 13.5177)*CHOOSE(CONTROL!$C$21, $C$9, 100%, $E$9)</f>
        <v>13.5177</v>
      </c>
      <c r="G457" s="10">
        <f>CHOOSE(CONTROL!$C$42, 13.5366, 13.5366)*CHOOSE(CONTROL!$C$21, $C$9, 100%, $E$9)</f>
        <v>13.5366</v>
      </c>
      <c r="H457" s="10">
        <f>CHOOSE(CONTROL!$C$42, 13.5992, 13.5992) * CHOOSE(CONTROL!$C$21, $C$9, 100%, $E$9)</f>
        <v>13.5992</v>
      </c>
      <c r="I457" s="10">
        <f>CHOOSE(CONTROL!$C$42, 13.5436, 13.5436)* CHOOSE(CONTROL!$C$21, $C$9, 100%, $E$9)</f>
        <v>13.5436</v>
      </c>
      <c r="J457" s="10">
        <f>CHOOSE(CONTROL!$C$42, 13.5103, 13.5103)* CHOOSE(CONTROL!$C$21, $C$9, 100%, $E$9)</f>
        <v>13.510300000000001</v>
      </c>
      <c r="K457" s="10">
        <f>CHOOSE(CONTROL!$C$42, 13.2972, 13.2972) * CHOOSE(CONTROL!$C$21, $C$9, 100%, $E$9)</f>
        <v>13.2972</v>
      </c>
      <c r="L457" s="10">
        <f>CHOOSE(CONTROL!$C$42, 14.1862, 14.1862) * CHOOSE(CONTROL!$C$21, $C$9, 100%, $E$9)</f>
        <v>14.186199999999999</v>
      </c>
      <c r="M457" s="10">
        <f>CHOOSE(CONTROL!$C$42, 13.3684, 13.3684) * CHOOSE(CONTROL!$C$21, $C$9, 100%, $E$9)</f>
        <v>13.368399999999999</v>
      </c>
      <c r="N457" s="10">
        <f>CHOOSE(CONTROL!$C$42, 13.3871, 13.3871) * CHOOSE(CONTROL!$C$21, $C$9, 100%, $E$9)</f>
        <v>13.3871</v>
      </c>
      <c r="O457" s="10">
        <f>CHOOSE(CONTROL!$C$42, 13.4562, 13.4562) * CHOOSE(CONTROL!$C$21, $C$9, 100%, $E$9)</f>
        <v>13.456200000000001</v>
      </c>
      <c r="P457" s="10">
        <f>CHOOSE(CONTROL!$C$42, 13.4014, 13.4014) * CHOOSE(CONTROL!$C$21, $C$9, 100%, $E$9)</f>
        <v>13.401400000000001</v>
      </c>
      <c r="Q457" s="10">
        <f>CHOOSE(CONTROL!$C$42, 14.0515, 14.0515) * CHOOSE(CONTROL!$C$21, $C$9, 100%, $E$9)</f>
        <v>14.051500000000001</v>
      </c>
      <c r="R457" s="10">
        <f>CHOOSE(CONTROL!$C$42, 14.6736, 14.6736) * CHOOSE(CONTROL!$C$21, $C$9, 100%, $E$9)</f>
        <v>14.6736</v>
      </c>
      <c r="S457" s="10">
        <f>CHOOSE(CONTROL!$C$42, 13.124, 13.124) * CHOOSE(CONTROL!$C$21, $C$9, 100%, $E$9)</f>
        <v>13.124000000000001</v>
      </c>
      <c r="T45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38">
        <f>(1000*CHOOSE(CONTROL!$C$42, 695, 695)*CHOOSE(CONTROL!$C$42, 0.5599, 0.5599)*CHOOSE(CONTROL!$C$42, 31, 31))/1000000</f>
        <v>12.063045499999998</v>
      </c>
      <c r="V457" s="38">
        <f>(1000*CHOOSE(CONTROL!$C$42, 500, 500)*CHOOSE(CONTROL!$C$42, 0.275, 0.275)*CHOOSE(CONTROL!$C$42, 31, 31))/1000000</f>
        <v>4.2625000000000002</v>
      </c>
      <c r="W457" s="38">
        <f>(1000*CHOOSE(CONTROL!$C$42, 0.1146, 0.1146)*CHOOSE(CONTROL!$C$42, 121.5, 121.5)*CHOOSE(CONTROL!$C$42, 31, 31))/1000000</f>
        <v>0.43164089999999994</v>
      </c>
      <c r="X457" s="38">
        <f>(31*0.1790888*100000/1000000)+(31*0.2374*100000/1000000)</f>
        <v>1.2911152800000001</v>
      </c>
      <c r="Y457" s="38">
        <f>(1000*600*CHOOSE(CONTROL!$C$42, 1.0757, 1.0757)*CHOOSE(CONTROL!$C$42, 31, 31))/1000000</f>
        <v>20.008020000000005</v>
      </c>
      <c r="Z457" s="38"/>
      <c r="AA457" s="10"/>
      <c r="AB457" s="39"/>
      <c r="AC457" s="33">
        <f>(B457*122.58+C457*297.941+D457*89.177+E457*40.302+F457*40+G457*160+H457*0+I457*100+J457*300)/(122.58+297.941+89.177+40.302+0+40+160+100+300)</f>
        <v>13.536615490956521</v>
      </c>
      <c r="AD457" s="27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13.414018705035971</v>
      </c>
    </row>
    <row r="458" spans="1:30" ht="15.75" x14ac:dyDescent="0.25">
      <c r="A458" s="14">
        <v>55212</v>
      </c>
      <c r="B458" s="10">
        <f>CHOOSE(CONTROL!$C$42, 13.7777, 13.7777) * CHOOSE(CONTROL!$C$21, $C$9, 100%, $E$9)</f>
        <v>13.777699999999999</v>
      </c>
      <c r="C458" s="10">
        <f>CHOOSE(CONTROL!$C$42, 13.7828, 13.7828) * CHOOSE(CONTROL!$C$21, $C$9, 100%, $E$9)</f>
        <v>13.7828</v>
      </c>
      <c r="D458" s="10">
        <f>CHOOSE(CONTROL!$C$42, 13.8178, 13.8178) * CHOOSE(CONTROL!$C$21, $C$9, 100%, $E$9)</f>
        <v>13.8178</v>
      </c>
      <c r="E458" s="10">
        <f>CHOOSE(CONTROL!$C$42, 13.8516, 13.8516) * CHOOSE(CONTROL!$C$21, $C$9, 100%, $E$9)</f>
        <v>13.851599999999999</v>
      </c>
      <c r="F458" s="10">
        <f>CHOOSE(CONTROL!$C$42, 13.7584, 13.7584)*CHOOSE(CONTROL!$C$21, $C$9, 100%, $E$9)</f>
        <v>13.7584</v>
      </c>
      <c r="G458" s="10">
        <f>CHOOSE(CONTROL!$C$42, 13.7772, 13.7772)*CHOOSE(CONTROL!$C$21, $C$9, 100%, $E$9)</f>
        <v>13.777200000000001</v>
      </c>
      <c r="H458" s="10">
        <f>CHOOSE(CONTROL!$C$42, 13.8405, 13.8405) * CHOOSE(CONTROL!$C$21, $C$9, 100%, $E$9)</f>
        <v>13.8405</v>
      </c>
      <c r="I458" s="10">
        <f>CHOOSE(CONTROL!$C$42, 13.7849, 13.7849)* CHOOSE(CONTROL!$C$21, $C$9, 100%, $E$9)</f>
        <v>13.7849</v>
      </c>
      <c r="J458" s="10">
        <f>CHOOSE(CONTROL!$C$42, 13.751, 13.751)* CHOOSE(CONTROL!$C$21, $C$9, 100%, $E$9)</f>
        <v>13.750999999999999</v>
      </c>
      <c r="K458" s="10">
        <f>CHOOSE(CONTROL!$C$42, 13.5298, 13.5298) * CHOOSE(CONTROL!$C$21, $C$9, 100%, $E$9)</f>
        <v>13.5298</v>
      </c>
      <c r="L458" s="10">
        <f>CHOOSE(CONTROL!$C$42, 14.4275, 14.4275) * CHOOSE(CONTROL!$C$21, $C$9, 100%, $E$9)</f>
        <v>14.4275</v>
      </c>
      <c r="M458" s="10">
        <f>CHOOSE(CONTROL!$C$42, 13.606, 13.606) * CHOOSE(CONTROL!$C$21, $C$9, 100%, $E$9)</f>
        <v>13.606</v>
      </c>
      <c r="N458" s="10">
        <f>CHOOSE(CONTROL!$C$42, 13.6246, 13.6246) * CHOOSE(CONTROL!$C$21, $C$9, 100%, $E$9)</f>
        <v>13.624599999999999</v>
      </c>
      <c r="O458" s="10">
        <f>CHOOSE(CONTROL!$C$42, 13.6943, 13.6943) * CHOOSE(CONTROL!$C$21, $C$9, 100%, $E$9)</f>
        <v>13.6943</v>
      </c>
      <c r="P458" s="10">
        <f>CHOOSE(CONTROL!$C$42, 13.6395, 13.6395) * CHOOSE(CONTROL!$C$21, $C$9, 100%, $E$9)</f>
        <v>13.6395</v>
      </c>
      <c r="Q458" s="10">
        <f>CHOOSE(CONTROL!$C$42, 14.2896, 14.2896) * CHOOSE(CONTROL!$C$21, $C$9, 100%, $E$9)</f>
        <v>14.2896</v>
      </c>
      <c r="R458" s="10">
        <f>CHOOSE(CONTROL!$C$42, 14.9124, 14.9124) * CHOOSE(CONTROL!$C$21, $C$9, 100%, $E$9)</f>
        <v>14.9124</v>
      </c>
      <c r="S458" s="10">
        <f>CHOOSE(CONTROL!$C$42, 13.3576, 13.3576) * CHOOSE(CONTROL!$C$21, $C$9, 100%, $E$9)</f>
        <v>13.3576</v>
      </c>
      <c r="T45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38">
        <f>(1000*CHOOSE(CONTROL!$C$42, 695, 695)*CHOOSE(CONTROL!$C$42, 0.5599, 0.5599)*CHOOSE(CONTROL!$C$42, 28, 28))/1000000</f>
        <v>10.895653999999999</v>
      </c>
      <c r="V458" s="38">
        <f>(1000*CHOOSE(CONTROL!$C$42, 500, 500)*CHOOSE(CONTROL!$C$42, 0.275, 0.275)*CHOOSE(CONTROL!$C$42, 28, 28))/1000000</f>
        <v>3.85</v>
      </c>
      <c r="W458" s="38">
        <f>(1000*CHOOSE(CONTROL!$C$42, 0.1146, 0.1146)*CHOOSE(CONTROL!$C$42, 121.5, 121.5)*CHOOSE(CONTROL!$C$42, 28, 28))/1000000</f>
        <v>0.38986920000000003</v>
      </c>
      <c r="X458" s="38">
        <f>(28*0.1790888*100000/1000000)+(28*0.2374*100000/1000000)</f>
        <v>1.16616864</v>
      </c>
      <c r="Y458" s="38">
        <f>(1000*600*CHOOSE(CONTROL!$C$42, 1.0757, 1.0757)*CHOOSE(CONTROL!$C$42, 28, 28))/1000000</f>
        <v>18.071760000000005</v>
      </c>
      <c r="Z458" s="38"/>
      <c r="AA458" s="10"/>
      <c r="AB458" s="39"/>
      <c r="AC458" s="33">
        <f>(B458*122.58+C458*297.941+D458*89.177+E458*40.302+F458*40+G458*160+H458*0+I458*100+J458*300)/(122.58+297.941+89.177+40.302+0+40+160+100+300)</f>
        <v>13.777640708347827</v>
      </c>
      <c r="AD458" s="27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13.651911510791367</v>
      </c>
    </row>
    <row r="459" spans="1:30" ht="15.75" x14ac:dyDescent="0.25">
      <c r="A459" s="14">
        <v>55243</v>
      </c>
      <c r="B459" s="10">
        <f>CHOOSE(CONTROL!$C$42, 13.386, 13.386) * CHOOSE(CONTROL!$C$21, $C$9, 100%, $E$9)</f>
        <v>13.385999999999999</v>
      </c>
      <c r="C459" s="10">
        <f>CHOOSE(CONTROL!$C$42, 13.3911, 13.3911) * CHOOSE(CONTROL!$C$21, $C$9, 100%, $E$9)</f>
        <v>13.3911</v>
      </c>
      <c r="D459" s="10">
        <f>CHOOSE(CONTROL!$C$42, 13.4261, 13.4261) * CHOOSE(CONTROL!$C$21, $C$9, 100%, $E$9)</f>
        <v>13.4261</v>
      </c>
      <c r="E459" s="10">
        <f>CHOOSE(CONTROL!$C$42, 13.46, 13.46) * CHOOSE(CONTROL!$C$21, $C$9, 100%, $E$9)</f>
        <v>13.46</v>
      </c>
      <c r="F459" s="10">
        <f>CHOOSE(CONTROL!$C$42, 13.3654, 13.3654)*CHOOSE(CONTROL!$C$21, $C$9, 100%, $E$9)</f>
        <v>13.365399999999999</v>
      </c>
      <c r="G459" s="10">
        <f>CHOOSE(CONTROL!$C$42, 13.3838, 13.3838)*CHOOSE(CONTROL!$C$21, $C$9, 100%, $E$9)</f>
        <v>13.383800000000001</v>
      </c>
      <c r="H459" s="10">
        <f>CHOOSE(CONTROL!$C$42, 13.4488, 13.4488) * CHOOSE(CONTROL!$C$21, $C$9, 100%, $E$9)</f>
        <v>13.4488</v>
      </c>
      <c r="I459" s="10">
        <f>CHOOSE(CONTROL!$C$42, 13.3933, 13.3933)* CHOOSE(CONTROL!$C$21, $C$9, 100%, $E$9)</f>
        <v>13.3933</v>
      </c>
      <c r="J459" s="10">
        <f>CHOOSE(CONTROL!$C$42, 13.358, 13.358)* CHOOSE(CONTROL!$C$21, $C$9, 100%, $E$9)</f>
        <v>13.358000000000001</v>
      </c>
      <c r="K459" s="10">
        <f>CHOOSE(CONTROL!$C$42, 13.1474, 13.1474) * CHOOSE(CONTROL!$C$21, $C$9, 100%, $E$9)</f>
        <v>13.147399999999999</v>
      </c>
      <c r="L459" s="10">
        <f>CHOOSE(CONTROL!$C$42, 14.0358, 14.0358) * CHOOSE(CONTROL!$C$21, $C$9, 100%, $E$9)</f>
        <v>14.0358</v>
      </c>
      <c r="M459" s="10">
        <f>CHOOSE(CONTROL!$C$42, 13.2181, 13.2181) * CHOOSE(CONTROL!$C$21, $C$9, 100%, $E$9)</f>
        <v>13.2181</v>
      </c>
      <c r="N459" s="10">
        <f>CHOOSE(CONTROL!$C$42, 13.2363, 13.2363) * CHOOSE(CONTROL!$C$21, $C$9, 100%, $E$9)</f>
        <v>13.2363</v>
      </c>
      <c r="O459" s="10">
        <f>CHOOSE(CONTROL!$C$42, 13.3078, 13.3078) * CHOOSE(CONTROL!$C$21, $C$9, 100%, $E$9)</f>
        <v>13.3078</v>
      </c>
      <c r="P459" s="10">
        <f>CHOOSE(CONTROL!$C$42, 13.253, 13.253) * CHOOSE(CONTROL!$C$21, $C$9, 100%, $E$9)</f>
        <v>13.253</v>
      </c>
      <c r="Q459" s="10">
        <f>CHOOSE(CONTROL!$C$42, 13.9031, 13.9031) * CHOOSE(CONTROL!$C$21, $C$9, 100%, $E$9)</f>
        <v>13.9031</v>
      </c>
      <c r="R459" s="10">
        <f>CHOOSE(CONTROL!$C$42, 14.5248, 14.5248) * CHOOSE(CONTROL!$C$21, $C$9, 100%, $E$9)</f>
        <v>14.524800000000001</v>
      </c>
      <c r="S459" s="10">
        <f>CHOOSE(CONTROL!$C$42, 12.9784, 12.9784) * CHOOSE(CONTROL!$C$21, $C$9, 100%, $E$9)</f>
        <v>12.978400000000001</v>
      </c>
      <c r="T45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38">
        <f>(1000*CHOOSE(CONTROL!$C$42, 695, 695)*CHOOSE(CONTROL!$C$42, 0.5599, 0.5599)*CHOOSE(CONTROL!$C$42, 31, 31))/1000000</f>
        <v>12.063045499999998</v>
      </c>
      <c r="V459" s="38">
        <f>(1000*CHOOSE(CONTROL!$C$42, 500, 500)*CHOOSE(CONTROL!$C$42, 0.275, 0.275)*CHOOSE(CONTROL!$C$42, 31, 31))/1000000</f>
        <v>4.2625000000000002</v>
      </c>
      <c r="W459" s="38">
        <f>(1000*CHOOSE(CONTROL!$C$42, 0.1146, 0.1146)*CHOOSE(CONTROL!$C$42, 121.5, 121.5)*CHOOSE(CONTROL!$C$42, 31, 31))/1000000</f>
        <v>0.43164089999999994</v>
      </c>
      <c r="X459" s="38">
        <f>(31*0.1790888*100000/1000000)+(31*0.2374*100000/1000000)</f>
        <v>1.2911152800000001</v>
      </c>
      <c r="Y459" s="38">
        <f>(1000*600*CHOOSE(CONTROL!$C$42, 1.0757, 1.0757)*CHOOSE(CONTROL!$C$42, 31, 31))/1000000</f>
        <v>20.008020000000005</v>
      </c>
      <c r="Z459" s="38"/>
      <c r="AA459" s="10"/>
      <c r="AB459" s="39"/>
      <c r="AC459" s="33">
        <f>(B459*122.58+C459*297.941+D459*89.177+E459*40.302+F459*40+G459*160+H459*0+I459*100+J459*300)/(122.58+297.941+89.177+40.302+0+40+160+100+300)</f>
        <v>13.38533203895652</v>
      </c>
      <c r="AD459" s="27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13.264824460431655</v>
      </c>
    </row>
    <row r="460" spans="1:30" ht="15.75" x14ac:dyDescent="0.25">
      <c r="A460" s="14">
        <v>55273</v>
      </c>
      <c r="B460" s="10">
        <f>CHOOSE(CONTROL!$C$42, 13.3467, 13.3467) * CHOOSE(CONTROL!$C$21, $C$9, 100%, $E$9)</f>
        <v>13.3467</v>
      </c>
      <c r="C460" s="10">
        <f>CHOOSE(CONTROL!$C$42, 13.3512, 13.3512) * CHOOSE(CONTROL!$C$21, $C$9, 100%, $E$9)</f>
        <v>13.3512</v>
      </c>
      <c r="D460" s="10">
        <f>CHOOSE(CONTROL!$C$42, 13.5294, 13.5294) * CHOOSE(CONTROL!$C$21, $C$9, 100%, $E$9)</f>
        <v>13.529400000000001</v>
      </c>
      <c r="E460" s="10">
        <f>CHOOSE(CONTROL!$C$42, 13.5612, 13.5612) * CHOOSE(CONTROL!$C$21, $C$9, 100%, $E$9)</f>
        <v>13.561199999999999</v>
      </c>
      <c r="F460" s="10">
        <f>CHOOSE(CONTROL!$C$42, 13.2901, 13.2901)*CHOOSE(CONTROL!$C$21, $C$9, 100%, $E$9)</f>
        <v>13.290100000000001</v>
      </c>
      <c r="G460" s="10">
        <f>CHOOSE(CONTROL!$C$42, 13.3067, 13.3067)*CHOOSE(CONTROL!$C$21, $C$9, 100%, $E$9)</f>
        <v>13.306699999999999</v>
      </c>
      <c r="H460" s="10">
        <f>CHOOSE(CONTROL!$C$42, 13.5507, 13.5507) * CHOOSE(CONTROL!$C$21, $C$9, 100%, $E$9)</f>
        <v>13.550700000000001</v>
      </c>
      <c r="I460" s="10">
        <f>CHOOSE(CONTROL!$C$42, 13.3227, 13.3227)* CHOOSE(CONTROL!$C$21, $C$9, 100%, $E$9)</f>
        <v>13.322699999999999</v>
      </c>
      <c r="J460" s="10">
        <f>CHOOSE(CONTROL!$C$42, 13.2827, 13.2827)* CHOOSE(CONTROL!$C$21, $C$9, 100%, $E$9)</f>
        <v>13.2827</v>
      </c>
      <c r="K460" s="10">
        <f>CHOOSE(CONTROL!$C$42, 13.0643, 13.0643) * CHOOSE(CONTROL!$C$21, $C$9, 100%, $E$9)</f>
        <v>13.064299999999999</v>
      </c>
      <c r="L460" s="10">
        <f>CHOOSE(CONTROL!$C$42, 14.1377, 14.1377) * CHOOSE(CONTROL!$C$21, $C$9, 100%, $E$9)</f>
        <v>14.137700000000001</v>
      </c>
      <c r="M460" s="10">
        <f>CHOOSE(CONTROL!$C$42, 13.1438, 13.1438) * CHOOSE(CONTROL!$C$21, $C$9, 100%, $E$9)</f>
        <v>13.143800000000001</v>
      </c>
      <c r="N460" s="10">
        <f>CHOOSE(CONTROL!$C$42, 13.1602, 13.1602) * CHOOSE(CONTROL!$C$21, $C$9, 100%, $E$9)</f>
        <v>13.1602</v>
      </c>
      <c r="O460" s="10">
        <f>CHOOSE(CONTROL!$C$42, 13.4083, 13.4083) * CHOOSE(CONTROL!$C$21, $C$9, 100%, $E$9)</f>
        <v>13.408300000000001</v>
      </c>
      <c r="P460" s="10">
        <f>CHOOSE(CONTROL!$C$42, 13.1833, 13.1833) * CHOOSE(CONTROL!$C$21, $C$9, 100%, $E$9)</f>
        <v>13.183299999999999</v>
      </c>
      <c r="Q460" s="10">
        <f>CHOOSE(CONTROL!$C$42, 14.0036, 14.0036) * CHOOSE(CONTROL!$C$21, $C$9, 100%, $E$9)</f>
        <v>14.0036</v>
      </c>
      <c r="R460" s="10">
        <f>CHOOSE(CONTROL!$C$42, 14.6256, 14.6256) * CHOOSE(CONTROL!$C$21, $C$9, 100%, $E$9)</f>
        <v>14.6256</v>
      </c>
      <c r="S460" s="10">
        <f>CHOOSE(CONTROL!$C$42, 12.9395, 12.9395) * CHOOSE(CONTROL!$C$21, $C$9, 100%, $E$9)</f>
        <v>12.939500000000001</v>
      </c>
      <c r="T46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38">
        <f>(1000*CHOOSE(CONTROL!$C$42, 695, 695)*CHOOSE(CONTROL!$C$42, 0.5599, 0.5599)*CHOOSE(CONTROL!$C$42, 30, 30))/1000000</f>
        <v>11.673914999999997</v>
      </c>
      <c r="V460" s="38">
        <f>(1000*CHOOSE(CONTROL!$C$42, 500, 500)*CHOOSE(CONTROL!$C$42, 0.275, 0.275)*CHOOSE(CONTROL!$C$42, 30, 30))/1000000</f>
        <v>4.125</v>
      </c>
      <c r="W460" s="38">
        <f>(1000*CHOOSE(CONTROL!$C$42, 0.1146, 0.1146)*CHOOSE(CONTROL!$C$42, 121.5, 121.5)*CHOOSE(CONTROL!$C$42, 30, 30))/1000000</f>
        <v>0.417717</v>
      </c>
      <c r="X460" s="38">
        <f>(30*0.1790888*245000/1000000)+(30*0.2374*100000/1000000)</f>
        <v>2.0285026799999999</v>
      </c>
      <c r="Y460" s="38">
        <f>(1000*600*CHOOSE(CONTROL!$C$42, 1.0757, 1.0757)*CHOOSE(CONTROL!$C$42, 30, 30))/1000000</f>
        <v>19.362600000000004</v>
      </c>
      <c r="Z460" s="38"/>
      <c r="AA460" s="10"/>
      <c r="AB460" s="39"/>
      <c r="AC460" s="33">
        <f>(B460*141.293+C460*267.993+D460*115.016+E460*89.698+F460*40+G460*185+H460*0+I460*100+J460*300)/(141.293+267.993+115.016+89.698+0+40+185+100+300)</f>
        <v>13.354928904519774</v>
      </c>
      <c r="AD460" s="27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13.227471223021583</v>
      </c>
    </row>
    <row r="461" spans="1:30" ht="15.75" x14ac:dyDescent="0.25">
      <c r="A461" s="14">
        <v>55304</v>
      </c>
      <c r="B461" s="10">
        <f>CHOOSE(CONTROL!$C$42, 13.4664, 13.4664) * CHOOSE(CONTROL!$C$21, $C$9, 100%, $E$9)</f>
        <v>13.4664</v>
      </c>
      <c r="C461" s="10">
        <f>CHOOSE(CONTROL!$C$42, 13.4744, 13.4744) * CHOOSE(CONTROL!$C$21, $C$9, 100%, $E$9)</f>
        <v>13.474399999999999</v>
      </c>
      <c r="D461" s="10">
        <f>CHOOSE(CONTROL!$C$42, 13.6495, 13.6495) * CHOOSE(CONTROL!$C$21, $C$9, 100%, $E$9)</f>
        <v>13.6495</v>
      </c>
      <c r="E461" s="10">
        <f>CHOOSE(CONTROL!$C$42, 13.6807, 13.6807) * CHOOSE(CONTROL!$C$21, $C$9, 100%, $E$9)</f>
        <v>13.6807</v>
      </c>
      <c r="F461" s="10">
        <f>CHOOSE(CONTROL!$C$42, 13.4081, 13.4081)*CHOOSE(CONTROL!$C$21, $C$9, 100%, $E$9)</f>
        <v>13.408099999999999</v>
      </c>
      <c r="G461" s="10">
        <f>CHOOSE(CONTROL!$C$42, 13.4249, 13.4249)*CHOOSE(CONTROL!$C$21, $C$9, 100%, $E$9)</f>
        <v>13.424899999999999</v>
      </c>
      <c r="H461" s="10">
        <f>CHOOSE(CONTROL!$C$42, 13.669, 13.669) * CHOOSE(CONTROL!$C$21, $C$9, 100%, $E$9)</f>
        <v>13.669</v>
      </c>
      <c r="I461" s="10">
        <f>CHOOSE(CONTROL!$C$42, 13.441, 13.441)* CHOOSE(CONTROL!$C$21, $C$9, 100%, $E$9)</f>
        <v>13.441000000000001</v>
      </c>
      <c r="J461" s="10">
        <f>CHOOSE(CONTROL!$C$42, 13.4007, 13.4007)* CHOOSE(CONTROL!$C$21, $C$9, 100%, $E$9)</f>
        <v>13.400700000000001</v>
      </c>
      <c r="K461" s="10">
        <f>CHOOSE(CONTROL!$C$42, 13.1781, 13.1781) * CHOOSE(CONTROL!$C$21, $C$9, 100%, $E$9)</f>
        <v>13.178100000000001</v>
      </c>
      <c r="L461" s="10">
        <f>CHOOSE(CONTROL!$C$42, 14.256, 14.256) * CHOOSE(CONTROL!$C$21, $C$9, 100%, $E$9)</f>
        <v>14.256</v>
      </c>
      <c r="M461" s="10">
        <f>CHOOSE(CONTROL!$C$42, 13.2602, 13.2602) * CHOOSE(CONTROL!$C$21, $C$9, 100%, $E$9)</f>
        <v>13.260199999999999</v>
      </c>
      <c r="N461" s="10">
        <f>CHOOSE(CONTROL!$C$42, 13.2769, 13.2769) * CHOOSE(CONTROL!$C$21, $C$9, 100%, $E$9)</f>
        <v>13.276899999999999</v>
      </c>
      <c r="O461" s="10">
        <f>CHOOSE(CONTROL!$C$42, 13.5251, 13.5251) * CHOOSE(CONTROL!$C$21, $C$9, 100%, $E$9)</f>
        <v>13.5251</v>
      </c>
      <c r="P461" s="10">
        <f>CHOOSE(CONTROL!$C$42, 13.3001, 13.3001) * CHOOSE(CONTROL!$C$21, $C$9, 100%, $E$9)</f>
        <v>13.3001</v>
      </c>
      <c r="Q461" s="10">
        <f>CHOOSE(CONTROL!$C$42, 14.1204, 14.1204) * CHOOSE(CONTROL!$C$21, $C$9, 100%, $E$9)</f>
        <v>14.1204</v>
      </c>
      <c r="R461" s="10">
        <f>CHOOSE(CONTROL!$C$42, 14.7427, 14.7427) * CHOOSE(CONTROL!$C$21, $C$9, 100%, $E$9)</f>
        <v>14.742699999999999</v>
      </c>
      <c r="S461" s="10">
        <f>CHOOSE(CONTROL!$C$42, 13.0541, 13.0541) * CHOOSE(CONTROL!$C$21, $C$9, 100%, $E$9)</f>
        <v>13.0541</v>
      </c>
      <c r="T46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38">
        <f>(1000*CHOOSE(CONTROL!$C$42, 695, 695)*CHOOSE(CONTROL!$C$42, 0.5599, 0.5599)*CHOOSE(CONTROL!$C$42, 31, 31))/1000000</f>
        <v>12.063045499999998</v>
      </c>
      <c r="V461" s="38">
        <f>(1000*CHOOSE(CONTROL!$C$42, 500, 500)*CHOOSE(CONTROL!$C$42, 0.275, 0.275)*CHOOSE(CONTROL!$C$42, 31, 31))/1000000</f>
        <v>4.2625000000000002</v>
      </c>
      <c r="W461" s="38">
        <f>(1000*CHOOSE(CONTROL!$C$42, 0.1146, 0.1146)*CHOOSE(CONTROL!$C$42, 121.5, 121.5)*CHOOSE(CONTROL!$C$42, 31, 31))/1000000</f>
        <v>0.43164089999999994</v>
      </c>
      <c r="X461" s="38">
        <f>(31*0.1790888*245000/1000000)+(31*0.2374*100000/1000000)</f>
        <v>2.0961194359999999</v>
      </c>
      <c r="Y461" s="38">
        <f>(1000*600*CHOOSE(CONTROL!$C$42, 1.0757, 1.0757)*CHOOSE(CONTROL!$C$42, 31, 31))/1000000</f>
        <v>20.008020000000005</v>
      </c>
      <c r="Z461" s="38"/>
      <c r="AA461" s="10"/>
      <c r="AB461" s="39"/>
      <c r="AC461" s="33">
        <f>(B461*194.205+C461*267.466+D461*133.845+E461*53.484+F461*40+G461*185+H461*0+I461*100+J461*300)/(194.205+267.466+133.845+53.484+0+40+185+100+300)</f>
        <v>13.470990948744115</v>
      </c>
      <c r="AD461" s="27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13.344110071942447</v>
      </c>
    </row>
    <row r="462" spans="1:30" ht="15.75" x14ac:dyDescent="0.25">
      <c r="A462" s="14">
        <v>55334</v>
      </c>
      <c r="B462" s="10">
        <f>CHOOSE(CONTROL!$C$42, 13.8488, 13.8488) * CHOOSE(CONTROL!$C$21, $C$9, 100%, $E$9)</f>
        <v>13.848800000000001</v>
      </c>
      <c r="C462" s="10">
        <f>CHOOSE(CONTROL!$C$42, 13.8567, 13.8567) * CHOOSE(CONTROL!$C$21, $C$9, 100%, $E$9)</f>
        <v>13.8567</v>
      </c>
      <c r="D462" s="10">
        <f>CHOOSE(CONTROL!$C$42, 14.0319, 14.0319) * CHOOSE(CONTROL!$C$21, $C$9, 100%, $E$9)</f>
        <v>14.0319</v>
      </c>
      <c r="E462" s="10">
        <f>CHOOSE(CONTROL!$C$42, 14.0631, 14.0631) * CHOOSE(CONTROL!$C$21, $C$9, 100%, $E$9)</f>
        <v>14.0631</v>
      </c>
      <c r="F462" s="10">
        <f>CHOOSE(CONTROL!$C$42, 13.7906, 13.7906)*CHOOSE(CONTROL!$C$21, $C$9, 100%, $E$9)</f>
        <v>13.7906</v>
      </c>
      <c r="G462" s="10">
        <f>CHOOSE(CONTROL!$C$42, 13.8076, 13.8076)*CHOOSE(CONTROL!$C$21, $C$9, 100%, $E$9)</f>
        <v>13.807600000000001</v>
      </c>
      <c r="H462" s="10">
        <f>CHOOSE(CONTROL!$C$42, 14.0514, 14.0514) * CHOOSE(CONTROL!$C$21, $C$9, 100%, $E$9)</f>
        <v>14.051399999999999</v>
      </c>
      <c r="I462" s="10">
        <f>CHOOSE(CONTROL!$C$42, 13.8234, 13.8234)* CHOOSE(CONTROL!$C$21, $C$9, 100%, $E$9)</f>
        <v>13.823399999999999</v>
      </c>
      <c r="J462" s="10">
        <f>CHOOSE(CONTROL!$C$42, 13.7832, 13.7832)* CHOOSE(CONTROL!$C$21, $C$9, 100%, $E$9)</f>
        <v>13.783200000000001</v>
      </c>
      <c r="K462" s="10">
        <f>CHOOSE(CONTROL!$C$42, 13.5489, 13.5489) * CHOOSE(CONTROL!$C$21, $C$9, 100%, $E$9)</f>
        <v>13.5489</v>
      </c>
      <c r="L462" s="10">
        <f>CHOOSE(CONTROL!$C$42, 14.6384, 14.6384) * CHOOSE(CONTROL!$C$21, $C$9, 100%, $E$9)</f>
        <v>14.638400000000001</v>
      </c>
      <c r="M462" s="10">
        <f>CHOOSE(CONTROL!$C$42, 13.6378, 13.6378) * CHOOSE(CONTROL!$C$21, $C$9, 100%, $E$9)</f>
        <v>13.6378</v>
      </c>
      <c r="N462" s="10">
        <f>CHOOSE(CONTROL!$C$42, 13.6546, 13.6546) * CHOOSE(CONTROL!$C$21, $C$9, 100%, $E$9)</f>
        <v>13.6546</v>
      </c>
      <c r="O462" s="10">
        <f>CHOOSE(CONTROL!$C$42, 13.9026, 13.9026) * CHOOSE(CONTROL!$C$21, $C$9, 100%, $E$9)</f>
        <v>13.9026</v>
      </c>
      <c r="P462" s="10">
        <f>CHOOSE(CONTROL!$C$42, 13.6775, 13.6775) * CHOOSE(CONTROL!$C$21, $C$9, 100%, $E$9)</f>
        <v>13.6775</v>
      </c>
      <c r="Q462" s="10">
        <f>CHOOSE(CONTROL!$C$42, 14.4979, 14.4979) * CHOOSE(CONTROL!$C$21, $C$9, 100%, $E$9)</f>
        <v>14.4979</v>
      </c>
      <c r="R462" s="10">
        <f>CHOOSE(CONTROL!$C$42, 15.1211, 15.1211) * CHOOSE(CONTROL!$C$21, $C$9, 100%, $E$9)</f>
        <v>15.1211</v>
      </c>
      <c r="S462" s="10">
        <f>CHOOSE(CONTROL!$C$42, 13.4243, 13.4243) * CHOOSE(CONTROL!$C$21, $C$9, 100%, $E$9)</f>
        <v>13.424300000000001</v>
      </c>
      <c r="T46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38">
        <f>(1000*CHOOSE(CONTROL!$C$42, 695, 695)*CHOOSE(CONTROL!$C$42, 0.5599, 0.5599)*CHOOSE(CONTROL!$C$42, 30, 30))/1000000</f>
        <v>11.673914999999997</v>
      </c>
      <c r="V462" s="38">
        <f>(1000*CHOOSE(CONTROL!$C$42, 500, 500)*CHOOSE(CONTROL!$C$42, 0.275, 0.275)*CHOOSE(CONTROL!$C$42, 30, 30))/1000000</f>
        <v>4.125</v>
      </c>
      <c r="W462" s="38">
        <f>(1000*CHOOSE(CONTROL!$C$42, 0.1146, 0.1146)*CHOOSE(CONTROL!$C$42, 121.5, 121.5)*CHOOSE(CONTROL!$C$42, 30, 30))/1000000</f>
        <v>0.417717</v>
      </c>
      <c r="X462" s="38">
        <f>(30*0.1790888*245000/1000000)+(30*0.2374*100000/1000000)</f>
        <v>2.0285026799999999</v>
      </c>
      <c r="Y462" s="38">
        <f>(1000*600*CHOOSE(CONTROL!$C$42, 1.0757, 1.0757)*CHOOSE(CONTROL!$C$42, 30, 30))/1000000</f>
        <v>19.362600000000004</v>
      </c>
      <c r="Z462" s="38"/>
      <c r="AA462" s="10"/>
      <c r="AB462" s="39"/>
      <c r="AC462" s="33">
        <f>(B462*194.205+C462*267.466+D462*133.845+E462*53.484+F462*40+G462*185+H462*0+I462*100+J462*300)/(194.205+267.466+133.845+53.484+0+40+185+100+300)</f>
        <v>13.853440205729983</v>
      </c>
      <c r="AD462" s="27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13.721676258992806</v>
      </c>
    </row>
    <row r="463" spans="1:30" ht="15.75" x14ac:dyDescent="0.25">
      <c r="A463" s="14">
        <v>55365</v>
      </c>
      <c r="B463" s="10">
        <f>CHOOSE(CONTROL!$C$42, 13.5828, 13.5828) * CHOOSE(CONTROL!$C$21, $C$9, 100%, $E$9)</f>
        <v>13.582800000000001</v>
      </c>
      <c r="C463" s="10">
        <f>CHOOSE(CONTROL!$C$42, 13.5908, 13.5908) * CHOOSE(CONTROL!$C$21, $C$9, 100%, $E$9)</f>
        <v>13.5908</v>
      </c>
      <c r="D463" s="10">
        <f>CHOOSE(CONTROL!$C$42, 13.7659, 13.7659) * CHOOSE(CONTROL!$C$21, $C$9, 100%, $E$9)</f>
        <v>13.7659</v>
      </c>
      <c r="E463" s="10">
        <f>CHOOSE(CONTROL!$C$42, 13.7971, 13.7971) * CHOOSE(CONTROL!$C$21, $C$9, 100%, $E$9)</f>
        <v>13.7971</v>
      </c>
      <c r="F463" s="10">
        <f>CHOOSE(CONTROL!$C$42, 13.525, 13.525)*CHOOSE(CONTROL!$C$21, $C$9, 100%, $E$9)</f>
        <v>13.525</v>
      </c>
      <c r="G463" s="10">
        <f>CHOOSE(CONTROL!$C$42, 13.542, 13.542)*CHOOSE(CONTROL!$C$21, $C$9, 100%, $E$9)</f>
        <v>13.542</v>
      </c>
      <c r="H463" s="10">
        <f>CHOOSE(CONTROL!$C$42, 13.7855, 13.7855) * CHOOSE(CONTROL!$C$21, $C$9, 100%, $E$9)</f>
        <v>13.785500000000001</v>
      </c>
      <c r="I463" s="10">
        <f>CHOOSE(CONTROL!$C$42, 13.5574, 13.5574)* CHOOSE(CONTROL!$C$21, $C$9, 100%, $E$9)</f>
        <v>13.557399999999999</v>
      </c>
      <c r="J463" s="10">
        <f>CHOOSE(CONTROL!$C$42, 13.5176, 13.5176)* CHOOSE(CONTROL!$C$21, $C$9, 100%, $E$9)</f>
        <v>13.5176</v>
      </c>
      <c r="K463" s="10">
        <f>CHOOSE(CONTROL!$C$42, 13.292, 13.292) * CHOOSE(CONTROL!$C$21, $C$9, 100%, $E$9)</f>
        <v>13.292</v>
      </c>
      <c r="L463" s="10">
        <f>CHOOSE(CONTROL!$C$42, 14.3725, 14.3725) * CHOOSE(CONTROL!$C$21, $C$9, 100%, $E$9)</f>
        <v>14.3725</v>
      </c>
      <c r="M463" s="10">
        <f>CHOOSE(CONTROL!$C$42, 13.3757, 13.3757) * CHOOSE(CONTROL!$C$21, $C$9, 100%, $E$9)</f>
        <v>13.3757</v>
      </c>
      <c r="N463" s="10">
        <f>CHOOSE(CONTROL!$C$42, 13.3925, 13.3925) * CHOOSE(CONTROL!$C$21, $C$9, 100%, $E$9)</f>
        <v>13.3925</v>
      </c>
      <c r="O463" s="10">
        <f>CHOOSE(CONTROL!$C$42, 13.6401, 13.6401) * CHOOSE(CONTROL!$C$21, $C$9, 100%, $E$9)</f>
        <v>13.6401</v>
      </c>
      <c r="P463" s="10">
        <f>CHOOSE(CONTROL!$C$42, 13.415, 13.415) * CHOOSE(CONTROL!$C$21, $C$9, 100%, $E$9)</f>
        <v>13.414999999999999</v>
      </c>
      <c r="Q463" s="10">
        <f>CHOOSE(CONTROL!$C$42, 14.2354, 14.2354) * CHOOSE(CONTROL!$C$21, $C$9, 100%, $E$9)</f>
        <v>14.2354</v>
      </c>
      <c r="R463" s="10">
        <f>CHOOSE(CONTROL!$C$42, 14.8579, 14.8579) * CHOOSE(CONTROL!$C$21, $C$9, 100%, $E$9)</f>
        <v>14.857900000000001</v>
      </c>
      <c r="S463" s="10">
        <f>CHOOSE(CONTROL!$C$42, 13.1668, 13.1668) * CHOOSE(CONTROL!$C$21, $C$9, 100%, $E$9)</f>
        <v>13.1668</v>
      </c>
      <c r="T46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38">
        <f>(1000*CHOOSE(CONTROL!$C$42, 695, 695)*CHOOSE(CONTROL!$C$42, 0.5599, 0.5599)*CHOOSE(CONTROL!$C$42, 31, 31))/1000000</f>
        <v>12.063045499999998</v>
      </c>
      <c r="V463" s="38">
        <f>(1000*CHOOSE(CONTROL!$C$42, 500, 500)*CHOOSE(CONTROL!$C$42, 0.275, 0.275)*CHOOSE(CONTROL!$C$42, 31, 31))/1000000</f>
        <v>4.2625000000000002</v>
      </c>
      <c r="W463" s="38">
        <f>(1000*CHOOSE(CONTROL!$C$42, 0.1146, 0.1146)*CHOOSE(CONTROL!$C$42, 121.5, 121.5)*CHOOSE(CONTROL!$C$42, 31, 31))/1000000</f>
        <v>0.43164089999999994</v>
      </c>
      <c r="X463" s="38">
        <f>(31*0.1790888*245000/1000000)+(31*0.2374*100000/1000000)</f>
        <v>2.0961194359999999</v>
      </c>
      <c r="Y463" s="38">
        <f>(1000*600*CHOOSE(CONTROL!$C$42, 1.0757, 1.0757)*CHOOSE(CONTROL!$C$42, 31, 31))/1000000</f>
        <v>20.008020000000005</v>
      </c>
      <c r="Z463" s="38"/>
      <c r="AA463" s="10"/>
      <c r="AB463" s="39"/>
      <c r="AC463" s="33">
        <f>(B463*194.205+C463*267.466+D463*133.845+E463*53.484+F463*40+G463*185+H463*0+I463*100+J463*300)/(194.205+267.466+133.845+53.484+0+40+185+100+300)</f>
        <v>13.587626035086341</v>
      </c>
      <c r="AD463" s="27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13.459406474820144</v>
      </c>
    </row>
    <row r="464" spans="1:30" ht="15.75" x14ac:dyDescent="0.25">
      <c r="A464" s="14">
        <v>55396</v>
      </c>
      <c r="B464" s="10">
        <f>CHOOSE(CONTROL!$C$42, 12.9112, 12.9112) * CHOOSE(CONTROL!$C$21, $C$9, 100%, $E$9)</f>
        <v>12.911199999999999</v>
      </c>
      <c r="C464" s="10">
        <f>CHOOSE(CONTROL!$C$42, 12.9192, 12.9192) * CHOOSE(CONTROL!$C$21, $C$9, 100%, $E$9)</f>
        <v>12.9192</v>
      </c>
      <c r="D464" s="10">
        <f>CHOOSE(CONTROL!$C$42, 13.0943, 13.0943) * CHOOSE(CONTROL!$C$21, $C$9, 100%, $E$9)</f>
        <v>13.0943</v>
      </c>
      <c r="E464" s="10">
        <f>CHOOSE(CONTROL!$C$42, 13.1255, 13.1255) * CHOOSE(CONTROL!$C$21, $C$9, 100%, $E$9)</f>
        <v>13.125500000000001</v>
      </c>
      <c r="F464" s="10">
        <f>CHOOSE(CONTROL!$C$42, 12.8533, 12.8533)*CHOOSE(CONTROL!$C$21, $C$9, 100%, $E$9)</f>
        <v>12.853300000000001</v>
      </c>
      <c r="G464" s="10">
        <f>CHOOSE(CONTROL!$C$42, 12.8703, 12.8703)*CHOOSE(CONTROL!$C$21, $C$9, 100%, $E$9)</f>
        <v>12.8703</v>
      </c>
      <c r="H464" s="10">
        <f>CHOOSE(CONTROL!$C$42, 13.1139, 13.1139) * CHOOSE(CONTROL!$C$21, $C$9, 100%, $E$9)</f>
        <v>13.113899999999999</v>
      </c>
      <c r="I464" s="10">
        <f>CHOOSE(CONTROL!$C$42, 12.8858, 12.8858)* CHOOSE(CONTROL!$C$21, $C$9, 100%, $E$9)</f>
        <v>12.8858</v>
      </c>
      <c r="J464" s="10">
        <f>CHOOSE(CONTROL!$C$42, 12.8459, 12.8459)* CHOOSE(CONTROL!$C$21, $C$9, 100%, $E$9)</f>
        <v>12.8459</v>
      </c>
      <c r="K464" s="10">
        <f>CHOOSE(CONTROL!$C$42, 12.6411, 12.6411) * CHOOSE(CONTROL!$C$21, $C$9, 100%, $E$9)</f>
        <v>12.6411</v>
      </c>
      <c r="L464" s="10">
        <f>CHOOSE(CONTROL!$C$42, 13.7009, 13.7009) * CHOOSE(CONTROL!$C$21, $C$9, 100%, $E$9)</f>
        <v>13.700900000000001</v>
      </c>
      <c r="M464" s="10">
        <f>CHOOSE(CONTROL!$C$42, 12.7127, 12.7127) * CHOOSE(CONTROL!$C$21, $C$9, 100%, $E$9)</f>
        <v>12.7127</v>
      </c>
      <c r="N464" s="10">
        <f>CHOOSE(CONTROL!$C$42, 12.7294, 12.7294) * CHOOSE(CONTROL!$C$21, $C$9, 100%, $E$9)</f>
        <v>12.7294</v>
      </c>
      <c r="O464" s="10">
        <f>CHOOSE(CONTROL!$C$42, 12.9771, 12.9771) * CHOOSE(CONTROL!$C$21, $C$9, 100%, $E$9)</f>
        <v>12.9771</v>
      </c>
      <c r="P464" s="10">
        <f>CHOOSE(CONTROL!$C$42, 12.7521, 12.7521) * CHOOSE(CONTROL!$C$21, $C$9, 100%, $E$9)</f>
        <v>12.7521</v>
      </c>
      <c r="Q464" s="10">
        <f>CHOOSE(CONTROL!$C$42, 13.5724, 13.5724) * CHOOSE(CONTROL!$C$21, $C$9, 100%, $E$9)</f>
        <v>13.5724</v>
      </c>
      <c r="R464" s="10">
        <f>CHOOSE(CONTROL!$C$42, 14.1934, 14.1934) * CHOOSE(CONTROL!$C$21, $C$9, 100%, $E$9)</f>
        <v>14.1934</v>
      </c>
      <c r="S464" s="10">
        <f>CHOOSE(CONTROL!$C$42, 12.5165, 12.5165) * CHOOSE(CONTROL!$C$21, $C$9, 100%, $E$9)</f>
        <v>12.516500000000001</v>
      </c>
      <c r="T46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38">
        <f>(1000*CHOOSE(CONTROL!$C$42, 695, 695)*CHOOSE(CONTROL!$C$42, 0.5599, 0.5599)*CHOOSE(CONTROL!$C$42, 31, 31))/1000000</f>
        <v>12.063045499999998</v>
      </c>
      <c r="V464" s="38">
        <f>(1000*CHOOSE(CONTROL!$C$42, 500, 500)*CHOOSE(CONTROL!$C$42, 0.275, 0.275)*CHOOSE(CONTROL!$C$42, 31, 31))/1000000</f>
        <v>4.2625000000000002</v>
      </c>
      <c r="W464" s="38">
        <f>(1000*CHOOSE(CONTROL!$C$42, 0.1146, 0.1146)*CHOOSE(CONTROL!$C$42, 121.5, 121.5)*CHOOSE(CONTROL!$C$42, 31, 31))/1000000</f>
        <v>0.43164089999999994</v>
      </c>
      <c r="X464" s="38">
        <f>(31*0.1790888*245000/1000000)+(31*0.2374*100000/1000000)</f>
        <v>2.0961194359999999</v>
      </c>
      <c r="Y464" s="38">
        <f>(1000*600*CHOOSE(CONTROL!$C$42, 1.0757, 1.0757)*CHOOSE(CONTROL!$C$42, 31, 31))/1000000</f>
        <v>20.008020000000005</v>
      </c>
      <c r="Z464" s="38"/>
      <c r="AA464" s="10"/>
      <c r="AB464" s="39"/>
      <c r="AC464" s="33">
        <f>(B464*194.205+C464*267.466+D464*133.845+E464*53.484+F464*40+G464*185+H464*0+I464*100+J464*300)/(194.205+267.466+133.845+53.484+0+40+185+100+300)</f>
        <v>12.915984826295132</v>
      </c>
      <c r="AD464" s="27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12.79639784172662</v>
      </c>
    </row>
    <row r="465" spans="1:30" ht="15.75" x14ac:dyDescent="0.25">
      <c r="A465" s="14">
        <v>55426</v>
      </c>
      <c r="B465" s="10">
        <f>CHOOSE(CONTROL!$C$42, 12.0906, 12.0906) * CHOOSE(CONTROL!$C$21, $C$9, 100%, $E$9)</f>
        <v>12.0906</v>
      </c>
      <c r="C465" s="10">
        <f>CHOOSE(CONTROL!$C$42, 12.0986, 12.0986) * CHOOSE(CONTROL!$C$21, $C$9, 100%, $E$9)</f>
        <v>12.098599999999999</v>
      </c>
      <c r="D465" s="10">
        <f>CHOOSE(CONTROL!$C$42, 12.2737, 12.2737) * CHOOSE(CONTROL!$C$21, $C$9, 100%, $E$9)</f>
        <v>12.2737</v>
      </c>
      <c r="E465" s="10">
        <f>CHOOSE(CONTROL!$C$42, 12.3049, 12.3049) * CHOOSE(CONTROL!$C$21, $C$9, 100%, $E$9)</f>
        <v>12.3049</v>
      </c>
      <c r="F465" s="10">
        <f>CHOOSE(CONTROL!$C$42, 12.0324, 12.0324)*CHOOSE(CONTROL!$C$21, $C$9, 100%, $E$9)</f>
        <v>12.032400000000001</v>
      </c>
      <c r="G465" s="10">
        <f>CHOOSE(CONTROL!$C$42, 12.0493, 12.0493)*CHOOSE(CONTROL!$C$21, $C$9, 100%, $E$9)</f>
        <v>12.049300000000001</v>
      </c>
      <c r="H465" s="10">
        <f>CHOOSE(CONTROL!$C$42, 12.2933, 12.2933) * CHOOSE(CONTROL!$C$21, $C$9, 100%, $E$9)</f>
        <v>12.2933</v>
      </c>
      <c r="I465" s="10">
        <f>CHOOSE(CONTROL!$C$42, 12.0652, 12.0652)* CHOOSE(CONTROL!$C$21, $C$9, 100%, $E$9)</f>
        <v>12.065200000000001</v>
      </c>
      <c r="J465" s="10">
        <f>CHOOSE(CONTROL!$C$42, 12.025, 12.025)* CHOOSE(CONTROL!$C$21, $C$9, 100%, $E$9)</f>
        <v>12.025</v>
      </c>
      <c r="K465" s="10">
        <f>CHOOSE(CONTROL!$C$42, 11.8455, 11.8455) * CHOOSE(CONTROL!$C$21, $C$9, 100%, $E$9)</f>
        <v>11.845499999999999</v>
      </c>
      <c r="L465" s="10">
        <f>CHOOSE(CONTROL!$C$42, 12.8803, 12.8803) * CHOOSE(CONTROL!$C$21, $C$9, 100%, $E$9)</f>
        <v>12.8803</v>
      </c>
      <c r="M465" s="10">
        <f>CHOOSE(CONTROL!$C$42, 11.9024, 11.9024) * CHOOSE(CONTROL!$C$21, $C$9, 100%, $E$9)</f>
        <v>11.9024</v>
      </c>
      <c r="N465" s="10">
        <f>CHOOSE(CONTROL!$C$42, 11.9191, 11.9191) * CHOOSE(CONTROL!$C$21, $C$9, 100%, $E$9)</f>
        <v>11.9191</v>
      </c>
      <c r="O465" s="10">
        <f>CHOOSE(CONTROL!$C$42, 12.1672, 12.1672) * CHOOSE(CONTROL!$C$21, $C$9, 100%, $E$9)</f>
        <v>12.167199999999999</v>
      </c>
      <c r="P465" s="10">
        <f>CHOOSE(CONTROL!$C$42, 11.9422, 11.9422) * CHOOSE(CONTROL!$C$21, $C$9, 100%, $E$9)</f>
        <v>11.9422</v>
      </c>
      <c r="Q465" s="10">
        <f>CHOOSE(CONTROL!$C$42, 12.7625, 12.7625) * CHOOSE(CONTROL!$C$21, $C$9, 100%, $E$9)</f>
        <v>12.762499999999999</v>
      </c>
      <c r="R465" s="10">
        <f>CHOOSE(CONTROL!$C$42, 13.3814, 13.3814) * CHOOSE(CONTROL!$C$21, $C$9, 100%, $E$9)</f>
        <v>13.381399999999999</v>
      </c>
      <c r="S465" s="10">
        <f>CHOOSE(CONTROL!$C$42, 11.7219, 11.7219) * CHOOSE(CONTROL!$C$21, $C$9, 100%, $E$9)</f>
        <v>11.7219</v>
      </c>
      <c r="T46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38">
        <f>(1000*CHOOSE(CONTROL!$C$42, 695, 695)*CHOOSE(CONTROL!$C$42, 0.5599, 0.5599)*CHOOSE(CONTROL!$C$42, 30, 30))/1000000</f>
        <v>11.673914999999997</v>
      </c>
      <c r="V465" s="38">
        <f>(1000*CHOOSE(CONTROL!$C$42, 500, 500)*CHOOSE(CONTROL!$C$42, 0.275, 0.275)*CHOOSE(CONTROL!$C$42, 30, 30))/1000000</f>
        <v>4.125</v>
      </c>
      <c r="W465" s="38">
        <f>(1000*CHOOSE(CONTROL!$C$42, 0.1146, 0.1146)*CHOOSE(CONTROL!$C$42, 121.5, 121.5)*CHOOSE(CONTROL!$C$42, 30, 30))/1000000</f>
        <v>0.417717</v>
      </c>
      <c r="X465" s="38">
        <f>(30*0.1790888*245000/1000000)+(30*0.2374*100000/1000000)</f>
        <v>2.0285026799999999</v>
      </c>
      <c r="Y465" s="38">
        <f>(1000*600*CHOOSE(CONTROL!$C$42, 1.0757, 1.0757)*CHOOSE(CONTROL!$C$42, 30, 30))/1000000</f>
        <v>19.362600000000004</v>
      </c>
      <c r="Z465" s="38"/>
      <c r="AA465" s="10"/>
      <c r="AB465" s="39"/>
      <c r="AC465" s="33">
        <f>(B465*194.205+C465*267.466+D465*133.845+E465*53.484+F465*40+G465*185+H465*0+I465*100+J465*300)/(194.205+267.466+133.845+53.484+0+40+185+100+300)</f>
        <v>12.095246678728413</v>
      </c>
      <c r="AD465" s="27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11.986267625899279</v>
      </c>
    </row>
    <row r="466" spans="1:30" ht="15.75" x14ac:dyDescent="0.25">
      <c r="A466" s="14">
        <v>55457</v>
      </c>
      <c r="B466" s="10">
        <f>CHOOSE(CONTROL!$C$42, 11.8427, 11.8427) * CHOOSE(CONTROL!$C$21, $C$9, 100%, $E$9)</f>
        <v>11.842700000000001</v>
      </c>
      <c r="C466" s="10">
        <f>CHOOSE(CONTROL!$C$42, 11.8481, 11.8481) * CHOOSE(CONTROL!$C$21, $C$9, 100%, $E$9)</f>
        <v>11.848100000000001</v>
      </c>
      <c r="D466" s="10">
        <f>CHOOSE(CONTROL!$C$42, 12.0281, 12.0281) * CHOOSE(CONTROL!$C$21, $C$9, 100%, $E$9)</f>
        <v>12.0281</v>
      </c>
      <c r="E466" s="10">
        <f>CHOOSE(CONTROL!$C$42, 12.057, 12.057) * CHOOSE(CONTROL!$C$21, $C$9, 100%, $E$9)</f>
        <v>12.057</v>
      </c>
      <c r="F466" s="10">
        <f>CHOOSE(CONTROL!$C$42, 11.7865, 11.7865)*CHOOSE(CONTROL!$C$21, $C$9, 100%, $E$9)</f>
        <v>11.7865</v>
      </c>
      <c r="G466" s="10">
        <f>CHOOSE(CONTROL!$C$42, 11.8031, 11.8031)*CHOOSE(CONTROL!$C$21, $C$9, 100%, $E$9)</f>
        <v>11.803100000000001</v>
      </c>
      <c r="H466" s="10">
        <f>CHOOSE(CONTROL!$C$42, 12.0471, 12.0471) * CHOOSE(CONTROL!$C$21, $C$9, 100%, $E$9)</f>
        <v>12.0471</v>
      </c>
      <c r="I466" s="10">
        <f>CHOOSE(CONTROL!$C$42, 11.8191, 11.8191)* CHOOSE(CONTROL!$C$21, $C$9, 100%, $E$9)</f>
        <v>11.819100000000001</v>
      </c>
      <c r="J466" s="10">
        <f>CHOOSE(CONTROL!$C$42, 11.7791, 11.7791)* CHOOSE(CONTROL!$C$21, $C$9, 100%, $E$9)</f>
        <v>11.7791</v>
      </c>
      <c r="K466" s="10">
        <f>CHOOSE(CONTROL!$C$42, 11.6076, 11.6076) * CHOOSE(CONTROL!$C$21, $C$9, 100%, $E$9)</f>
        <v>11.6076</v>
      </c>
      <c r="L466" s="10">
        <f>CHOOSE(CONTROL!$C$42, 12.6341, 12.6341) * CHOOSE(CONTROL!$C$21, $C$9, 100%, $E$9)</f>
        <v>12.6341</v>
      </c>
      <c r="M466" s="10">
        <f>CHOOSE(CONTROL!$C$42, 11.6597, 11.6597) * CHOOSE(CONTROL!$C$21, $C$9, 100%, $E$9)</f>
        <v>11.659700000000001</v>
      </c>
      <c r="N466" s="10">
        <f>CHOOSE(CONTROL!$C$42, 11.676, 11.676) * CHOOSE(CONTROL!$C$21, $C$9, 100%, $E$9)</f>
        <v>11.676</v>
      </c>
      <c r="O466" s="10">
        <f>CHOOSE(CONTROL!$C$42, 11.9242, 11.9242) * CHOOSE(CONTROL!$C$21, $C$9, 100%, $E$9)</f>
        <v>11.924200000000001</v>
      </c>
      <c r="P466" s="10">
        <f>CHOOSE(CONTROL!$C$42, 11.6992, 11.6992) * CHOOSE(CONTROL!$C$21, $C$9, 100%, $E$9)</f>
        <v>11.699199999999999</v>
      </c>
      <c r="Q466" s="10">
        <f>CHOOSE(CONTROL!$C$42, 12.5195, 12.5195) * CHOOSE(CONTROL!$C$21, $C$9, 100%, $E$9)</f>
        <v>12.519500000000001</v>
      </c>
      <c r="R466" s="10">
        <f>CHOOSE(CONTROL!$C$42, 13.1378, 13.1378) * CHOOSE(CONTROL!$C$21, $C$9, 100%, $E$9)</f>
        <v>13.1378</v>
      </c>
      <c r="S466" s="10">
        <f>CHOOSE(CONTROL!$C$42, 11.4836, 11.4836) * CHOOSE(CONTROL!$C$21, $C$9, 100%, $E$9)</f>
        <v>11.483599999999999</v>
      </c>
      <c r="T46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38">
        <f>(1000*CHOOSE(CONTROL!$C$42, 695, 695)*CHOOSE(CONTROL!$C$42, 0.5599, 0.5599)*CHOOSE(CONTROL!$C$42, 31, 31))/1000000</f>
        <v>12.063045499999998</v>
      </c>
      <c r="V466" s="38">
        <f>(1000*CHOOSE(CONTROL!$C$42, 500, 500)*CHOOSE(CONTROL!$C$42, 0.275, 0.275)*CHOOSE(CONTROL!$C$42, 31, 31))/1000000</f>
        <v>4.2625000000000002</v>
      </c>
      <c r="W466" s="38">
        <f>(1000*CHOOSE(CONTROL!$C$42, 0.1146, 0.1146)*CHOOSE(CONTROL!$C$42, 121.5, 121.5)*CHOOSE(CONTROL!$C$42, 31, 31))/1000000</f>
        <v>0.43164089999999994</v>
      </c>
      <c r="X466" s="38">
        <f>(31*0.1790888*245000/1000000)+(31*0.2374*100000/1000000)</f>
        <v>2.0961194359999999</v>
      </c>
      <c r="Y466" s="38">
        <f>(1000*600*CHOOSE(CONTROL!$C$42, 1.0757, 1.0757)*CHOOSE(CONTROL!$C$42, 31, 31))/1000000</f>
        <v>20.008020000000005</v>
      </c>
      <c r="Z466" s="38"/>
      <c r="AA466" s="10"/>
      <c r="AB466" s="39"/>
      <c r="AC466" s="33">
        <f>(B466*131.881+C466*277.167+D466*79.08+E466*125.872+F466*40+G466*185+H466*0+I466*100+J466*300)/(131.881+277.167+79.08+125.872+0+40+185+100+300)</f>
        <v>11.852480874414852</v>
      </c>
      <c r="AD466" s="27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11.743348201438849</v>
      </c>
    </row>
    <row r="467" spans="1:30" ht="15.75" x14ac:dyDescent="0.25">
      <c r="A467" s="14">
        <v>55487</v>
      </c>
      <c r="B467" s="10">
        <f>CHOOSE(CONTROL!$C$42, 12.1547, 12.1547) * CHOOSE(CONTROL!$C$21, $C$9, 100%, $E$9)</f>
        <v>12.1547</v>
      </c>
      <c r="C467" s="10">
        <f>CHOOSE(CONTROL!$C$42, 12.1598, 12.1598) * CHOOSE(CONTROL!$C$21, $C$9, 100%, $E$9)</f>
        <v>12.159800000000001</v>
      </c>
      <c r="D467" s="10">
        <f>CHOOSE(CONTROL!$C$42, 12.1845, 12.1845) * CHOOSE(CONTROL!$C$21, $C$9, 100%, $E$9)</f>
        <v>12.1845</v>
      </c>
      <c r="E467" s="10">
        <f>CHOOSE(CONTROL!$C$42, 12.2183, 12.2183) * CHOOSE(CONTROL!$C$21, $C$9, 100%, $E$9)</f>
        <v>12.218299999999999</v>
      </c>
      <c r="F467" s="10">
        <f>CHOOSE(CONTROL!$C$42, 12.1204, 12.1204)*CHOOSE(CONTROL!$C$21, $C$9, 100%, $E$9)</f>
        <v>12.1204</v>
      </c>
      <c r="G467" s="10">
        <f>CHOOSE(CONTROL!$C$42, 12.1372, 12.1372)*CHOOSE(CONTROL!$C$21, $C$9, 100%, $E$9)</f>
        <v>12.1372</v>
      </c>
      <c r="H467" s="10">
        <f>CHOOSE(CONTROL!$C$42, 12.2072, 12.2072) * CHOOSE(CONTROL!$C$21, $C$9, 100%, $E$9)</f>
        <v>12.2072</v>
      </c>
      <c r="I467" s="10">
        <f>CHOOSE(CONTROL!$C$42, 12.1542, 12.1542)* CHOOSE(CONTROL!$C$21, $C$9, 100%, $E$9)</f>
        <v>12.154199999999999</v>
      </c>
      <c r="J467" s="10">
        <f>CHOOSE(CONTROL!$C$42, 12.113, 12.113)* CHOOSE(CONTROL!$C$21, $C$9, 100%, $E$9)</f>
        <v>12.113</v>
      </c>
      <c r="K467" s="10">
        <f>CHOOSE(CONTROL!$C$42, 11.934, 11.934) * CHOOSE(CONTROL!$C$21, $C$9, 100%, $E$9)</f>
        <v>11.933999999999999</v>
      </c>
      <c r="L467" s="10">
        <f>CHOOSE(CONTROL!$C$42, 12.7942, 12.7942) * CHOOSE(CONTROL!$C$21, $C$9, 100%, $E$9)</f>
        <v>12.7942</v>
      </c>
      <c r="M467" s="10">
        <f>CHOOSE(CONTROL!$C$42, 11.9892, 11.9892) * CHOOSE(CONTROL!$C$21, $C$9, 100%, $E$9)</f>
        <v>11.9892</v>
      </c>
      <c r="N467" s="10">
        <f>CHOOSE(CONTROL!$C$42, 12.0058, 12.0058) * CHOOSE(CONTROL!$C$21, $C$9, 100%, $E$9)</f>
        <v>12.005800000000001</v>
      </c>
      <c r="O467" s="10">
        <f>CHOOSE(CONTROL!$C$42, 12.0822, 12.0822) * CHOOSE(CONTROL!$C$21, $C$9, 100%, $E$9)</f>
        <v>12.0822</v>
      </c>
      <c r="P467" s="10">
        <f>CHOOSE(CONTROL!$C$42, 12.03, 12.03) * CHOOSE(CONTROL!$C$21, $C$9, 100%, $E$9)</f>
        <v>12.03</v>
      </c>
      <c r="Q467" s="10">
        <f>CHOOSE(CONTROL!$C$42, 12.6775, 12.6775) * CHOOSE(CONTROL!$C$21, $C$9, 100%, $E$9)</f>
        <v>12.6775</v>
      </c>
      <c r="R467" s="10">
        <f>CHOOSE(CONTROL!$C$42, 13.2962, 13.2962) * CHOOSE(CONTROL!$C$21, $C$9, 100%, $E$9)</f>
        <v>13.296200000000001</v>
      </c>
      <c r="S467" s="10">
        <f>CHOOSE(CONTROL!$C$42, 11.7861, 11.7861) * CHOOSE(CONTROL!$C$21, $C$9, 100%, $E$9)</f>
        <v>11.786099999999999</v>
      </c>
      <c r="T46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38">
        <f>(1000*CHOOSE(CONTROL!$C$42, 695, 695)*CHOOSE(CONTROL!$C$42, 0.5599, 0.5599)*CHOOSE(CONTROL!$C$42, 30, 30))/1000000</f>
        <v>11.673914999999997</v>
      </c>
      <c r="V467" s="38">
        <f>(1000*CHOOSE(CONTROL!$C$42, 500, 500)*CHOOSE(CONTROL!$C$42, 0.275, 0.275)*CHOOSE(CONTROL!$C$42, 30, 30))/1000000</f>
        <v>4.125</v>
      </c>
      <c r="W467" s="38">
        <f>(1000*CHOOSE(CONTROL!$C$42, 0.1146, 0.1146)*CHOOSE(CONTROL!$C$42, 121.5, 121.5)*CHOOSE(CONTROL!$C$42, 30, 30))/1000000</f>
        <v>0.417717</v>
      </c>
      <c r="X467" s="38">
        <f>(30*0.1790888*100000/1000000)+(30*0.2374*100000/1000000)</f>
        <v>1.2494664</v>
      </c>
      <c r="Y467" s="38">
        <f>(1000*600*CHOOSE(CONTROL!$C$42, 1.0757, 1.0757)*CHOOSE(CONTROL!$C$42, 30, 30))/1000000</f>
        <v>19.362600000000004</v>
      </c>
      <c r="Z467" s="38"/>
      <c r="AA467" s="10"/>
      <c r="AB467" s="39"/>
      <c r="AC467" s="33">
        <f>(B467*122.58+C467*297.941+D467*89.177+E467*40.302+F467*40+G467*160+H467*0+I467*100+J467*300)/(122.58+297.941+89.177+40.302+0+40+160+100+300)</f>
        <v>12.146011461652174</v>
      </c>
      <c r="AD467" s="27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12.038176978417265</v>
      </c>
    </row>
    <row r="468" spans="1:30" ht="15.75" x14ac:dyDescent="0.25">
      <c r="A468" s="14">
        <v>55518</v>
      </c>
      <c r="B468" s="10">
        <f>CHOOSE(CONTROL!$C$42, 12.9845, 12.9845) * CHOOSE(CONTROL!$C$21, $C$9, 100%, $E$9)</f>
        <v>12.984500000000001</v>
      </c>
      <c r="C468" s="10">
        <f>CHOOSE(CONTROL!$C$42, 12.9896, 12.9896) * CHOOSE(CONTROL!$C$21, $C$9, 100%, $E$9)</f>
        <v>12.989599999999999</v>
      </c>
      <c r="D468" s="10">
        <f>CHOOSE(CONTROL!$C$42, 13.0143, 13.0143) * CHOOSE(CONTROL!$C$21, $C$9, 100%, $E$9)</f>
        <v>13.0143</v>
      </c>
      <c r="E468" s="10">
        <f>CHOOSE(CONTROL!$C$42, 13.0481, 13.0481) * CHOOSE(CONTROL!$C$21, $C$9, 100%, $E$9)</f>
        <v>13.0481</v>
      </c>
      <c r="F468" s="10">
        <f>CHOOSE(CONTROL!$C$42, 12.952, 12.952)*CHOOSE(CONTROL!$C$21, $C$9, 100%, $E$9)</f>
        <v>12.952</v>
      </c>
      <c r="G468" s="10">
        <f>CHOOSE(CONTROL!$C$42, 12.9692, 12.9692)*CHOOSE(CONTROL!$C$21, $C$9, 100%, $E$9)</f>
        <v>12.969200000000001</v>
      </c>
      <c r="H468" s="10">
        <f>CHOOSE(CONTROL!$C$42, 13.037, 13.037) * CHOOSE(CONTROL!$C$21, $C$9, 100%, $E$9)</f>
        <v>13.037000000000001</v>
      </c>
      <c r="I468" s="10">
        <f>CHOOSE(CONTROL!$C$42, 12.984, 12.984)* CHOOSE(CONTROL!$C$21, $C$9, 100%, $E$9)</f>
        <v>12.984</v>
      </c>
      <c r="J468" s="10">
        <f>CHOOSE(CONTROL!$C$42, 12.9446, 12.9446)* CHOOSE(CONTROL!$C$21, $C$9, 100%, $E$9)</f>
        <v>12.944599999999999</v>
      </c>
      <c r="K468" s="10">
        <f>CHOOSE(CONTROL!$C$42, 12.7418, 12.7418) * CHOOSE(CONTROL!$C$21, $C$9, 100%, $E$9)</f>
        <v>12.7418</v>
      </c>
      <c r="L468" s="10">
        <f>CHOOSE(CONTROL!$C$42, 13.624, 13.624) * CHOOSE(CONTROL!$C$21, $C$9, 100%, $E$9)</f>
        <v>13.624000000000001</v>
      </c>
      <c r="M468" s="10">
        <f>CHOOSE(CONTROL!$C$42, 12.81, 12.81) * CHOOSE(CONTROL!$C$21, $C$9, 100%, $E$9)</f>
        <v>12.81</v>
      </c>
      <c r="N468" s="10">
        <f>CHOOSE(CONTROL!$C$42, 12.8271, 12.8271) * CHOOSE(CONTROL!$C$21, $C$9, 100%, $E$9)</f>
        <v>12.8271</v>
      </c>
      <c r="O468" s="10">
        <f>CHOOSE(CONTROL!$C$42, 12.9013, 12.9013) * CHOOSE(CONTROL!$C$21, $C$9, 100%, $E$9)</f>
        <v>12.901300000000001</v>
      </c>
      <c r="P468" s="10">
        <f>CHOOSE(CONTROL!$C$42, 12.8491, 12.8491) * CHOOSE(CONTROL!$C$21, $C$9, 100%, $E$9)</f>
        <v>12.8491</v>
      </c>
      <c r="Q468" s="10">
        <f>CHOOSE(CONTROL!$C$42, 13.4966, 13.4966) * CHOOSE(CONTROL!$C$21, $C$9, 100%, $E$9)</f>
        <v>13.496600000000001</v>
      </c>
      <c r="R468" s="10">
        <f>CHOOSE(CONTROL!$C$42, 14.1173, 14.1173) * CHOOSE(CONTROL!$C$21, $C$9, 100%, $E$9)</f>
        <v>14.1173</v>
      </c>
      <c r="S468" s="10">
        <f>CHOOSE(CONTROL!$C$42, 12.5896, 12.5896) * CHOOSE(CONTROL!$C$21, $C$9, 100%, $E$9)</f>
        <v>12.589600000000001</v>
      </c>
      <c r="T46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38">
        <f>(1000*CHOOSE(CONTROL!$C$42, 695, 695)*CHOOSE(CONTROL!$C$42, 0.5599, 0.5599)*CHOOSE(CONTROL!$C$42, 31, 31))/1000000</f>
        <v>12.063045499999998</v>
      </c>
      <c r="V468" s="38">
        <f>(1000*CHOOSE(CONTROL!$C$42, 500, 500)*CHOOSE(CONTROL!$C$42, 0.275, 0.275)*CHOOSE(CONTROL!$C$42, 31, 31))/1000000</f>
        <v>4.2625000000000002</v>
      </c>
      <c r="W468" s="38">
        <f>(1000*CHOOSE(CONTROL!$C$42, 0.1146, 0.1146)*CHOOSE(CONTROL!$C$42, 121.5, 121.5)*CHOOSE(CONTROL!$C$42, 31, 31))/1000000</f>
        <v>0.43164089999999994</v>
      </c>
      <c r="X468" s="38">
        <f>(31*0.1790888*100000/1000000)+(31*0.2374*100000/1000000)</f>
        <v>1.2911152800000001</v>
      </c>
      <c r="Y468" s="38">
        <f>(1000*600*CHOOSE(CONTROL!$C$42, 1.0757, 1.0757)*CHOOSE(CONTROL!$C$42, 31, 31))/1000000</f>
        <v>20.008020000000005</v>
      </c>
      <c r="Z468" s="38"/>
      <c r="AA468" s="10"/>
      <c r="AB468" s="39"/>
      <c r="AC468" s="33">
        <f>(B468*122.58+C468*297.941+D468*89.177+E468*40.302+F468*40+G468*160+H468*0+I468*100+J468*300)/(122.58+297.941+89.177+40.302+0+40+160+100+300)</f>
        <v>12.976649722521739</v>
      </c>
      <c r="AD468" s="27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12.857990647482014</v>
      </c>
    </row>
    <row r="469" spans="1:30" ht="15.75" x14ac:dyDescent="0.25">
      <c r="A469" s="14">
        <v>55549</v>
      </c>
      <c r="B469" s="10">
        <f>CHOOSE(CONTROL!$C$42, 13.862, 13.862) * CHOOSE(CONTROL!$C$21, $C$9, 100%, $E$9)</f>
        <v>13.862</v>
      </c>
      <c r="C469" s="10">
        <f>CHOOSE(CONTROL!$C$42, 13.8671, 13.8671) * CHOOSE(CONTROL!$C$21, $C$9, 100%, $E$9)</f>
        <v>13.867100000000001</v>
      </c>
      <c r="D469" s="10">
        <f>CHOOSE(CONTROL!$C$42, 13.9021, 13.9021) * CHOOSE(CONTROL!$C$21, $C$9, 100%, $E$9)</f>
        <v>13.902100000000001</v>
      </c>
      <c r="E469" s="10">
        <f>CHOOSE(CONTROL!$C$42, 13.936, 13.936) * CHOOSE(CONTROL!$C$21, $C$9, 100%, $E$9)</f>
        <v>13.936</v>
      </c>
      <c r="F469" s="10">
        <f>CHOOSE(CONTROL!$C$42, 13.8433, 13.8433)*CHOOSE(CONTROL!$C$21, $C$9, 100%, $E$9)</f>
        <v>13.843299999999999</v>
      </c>
      <c r="G469" s="10">
        <f>CHOOSE(CONTROL!$C$42, 13.8622, 13.8622)*CHOOSE(CONTROL!$C$21, $C$9, 100%, $E$9)</f>
        <v>13.8622</v>
      </c>
      <c r="H469" s="10">
        <f>CHOOSE(CONTROL!$C$42, 13.9248, 13.9248) * CHOOSE(CONTROL!$C$21, $C$9, 100%, $E$9)</f>
        <v>13.924799999999999</v>
      </c>
      <c r="I469" s="10">
        <f>CHOOSE(CONTROL!$C$42, 13.8693, 13.8693)* CHOOSE(CONTROL!$C$21, $C$9, 100%, $E$9)</f>
        <v>13.869300000000001</v>
      </c>
      <c r="J469" s="10">
        <f>CHOOSE(CONTROL!$C$42, 13.8359, 13.8359)* CHOOSE(CONTROL!$C$21, $C$9, 100%, $E$9)</f>
        <v>13.835900000000001</v>
      </c>
      <c r="K469" s="10">
        <f>CHOOSE(CONTROL!$C$42, 13.6127, 13.6127) * CHOOSE(CONTROL!$C$21, $C$9, 100%, $E$9)</f>
        <v>13.6127</v>
      </c>
      <c r="L469" s="10">
        <f>CHOOSE(CONTROL!$C$42, 14.5118, 14.5118) * CHOOSE(CONTROL!$C$21, $C$9, 100%, $E$9)</f>
        <v>14.511799999999999</v>
      </c>
      <c r="M469" s="10">
        <f>CHOOSE(CONTROL!$C$42, 13.6899, 13.6899) * CHOOSE(CONTROL!$C$21, $C$9, 100%, $E$9)</f>
        <v>13.6899</v>
      </c>
      <c r="N469" s="10">
        <f>CHOOSE(CONTROL!$C$42, 13.7085, 13.7085) * CHOOSE(CONTROL!$C$21, $C$9, 100%, $E$9)</f>
        <v>13.708500000000001</v>
      </c>
      <c r="O469" s="10">
        <f>CHOOSE(CONTROL!$C$42, 13.7776, 13.7776) * CHOOSE(CONTROL!$C$21, $C$9, 100%, $E$9)</f>
        <v>13.7776</v>
      </c>
      <c r="P469" s="10">
        <f>CHOOSE(CONTROL!$C$42, 13.7228, 13.7228) * CHOOSE(CONTROL!$C$21, $C$9, 100%, $E$9)</f>
        <v>13.722799999999999</v>
      </c>
      <c r="Q469" s="10">
        <f>CHOOSE(CONTROL!$C$42, 14.3729, 14.3729) * CHOOSE(CONTROL!$C$21, $C$9, 100%, $E$9)</f>
        <v>14.3729</v>
      </c>
      <c r="R469" s="10">
        <f>CHOOSE(CONTROL!$C$42, 14.9958, 14.9958) * CHOOSE(CONTROL!$C$21, $C$9, 100%, $E$9)</f>
        <v>14.995799999999999</v>
      </c>
      <c r="S469" s="10">
        <f>CHOOSE(CONTROL!$C$42, 13.4393, 13.4393) * CHOOSE(CONTROL!$C$21, $C$9, 100%, $E$9)</f>
        <v>13.439299999999999</v>
      </c>
      <c r="T46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38">
        <f>(1000*CHOOSE(CONTROL!$C$42, 695, 695)*CHOOSE(CONTROL!$C$42, 0.5599, 0.5599)*CHOOSE(CONTROL!$C$42, 31, 31))/1000000</f>
        <v>12.063045499999998</v>
      </c>
      <c r="V469" s="38">
        <f>(1000*CHOOSE(CONTROL!$C$42, 500, 500)*CHOOSE(CONTROL!$C$42, 0.275, 0.275)*CHOOSE(CONTROL!$C$42, 31, 31))/1000000</f>
        <v>4.2625000000000002</v>
      </c>
      <c r="W469" s="38">
        <f>(1000*CHOOSE(CONTROL!$C$42, 0.1146, 0.1146)*CHOOSE(CONTROL!$C$42, 121.5, 121.5)*CHOOSE(CONTROL!$C$42, 31, 31))/1000000</f>
        <v>0.43164089999999994</v>
      </c>
      <c r="X469" s="38">
        <f>(31*0.1790888*100000/1000000)+(31*0.2374*100000/1000000)</f>
        <v>1.2911152800000001</v>
      </c>
      <c r="Y469" s="38">
        <f>(1000*600*CHOOSE(CONTROL!$C$42, 1.0722, 1.0722)*CHOOSE(CONTROL!$C$42, 31, 31))/1000000</f>
        <v>19.942920000000001</v>
      </c>
      <c r="Z469" s="38"/>
      <c r="AA469" s="10"/>
      <c r="AB469" s="39"/>
      <c r="AC469" s="33">
        <f>(B469*122.58+C469*297.941+D469*89.177+E469*40.302+F469*40+G469*160+H469*0+I469*100+J469*300)/(122.58+297.941+89.177+40.302+0+40+160+100+300)</f>
        <v>13.862227691130435</v>
      </c>
      <c r="AD469" s="27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13.735453237410072</v>
      </c>
    </row>
    <row r="470" spans="1:30" ht="15.75" x14ac:dyDescent="0.25">
      <c r="A470" s="14">
        <v>55577</v>
      </c>
      <c r="B470" s="10">
        <f>CHOOSE(CONTROL!$C$42, 14.1091, 14.1091) * CHOOSE(CONTROL!$C$21, $C$9, 100%, $E$9)</f>
        <v>14.1091</v>
      </c>
      <c r="C470" s="10">
        <f>CHOOSE(CONTROL!$C$42, 14.1142, 14.1142) * CHOOSE(CONTROL!$C$21, $C$9, 100%, $E$9)</f>
        <v>14.1142</v>
      </c>
      <c r="D470" s="10">
        <f>CHOOSE(CONTROL!$C$42, 14.1492, 14.1492) * CHOOSE(CONTROL!$C$21, $C$9, 100%, $E$9)</f>
        <v>14.1492</v>
      </c>
      <c r="E470" s="10">
        <f>CHOOSE(CONTROL!$C$42, 14.183, 14.183) * CHOOSE(CONTROL!$C$21, $C$9, 100%, $E$9)</f>
        <v>14.183</v>
      </c>
      <c r="F470" s="10">
        <f>CHOOSE(CONTROL!$C$42, 14.0898, 14.0898)*CHOOSE(CONTROL!$C$21, $C$9, 100%, $E$9)</f>
        <v>14.0898</v>
      </c>
      <c r="G470" s="10">
        <f>CHOOSE(CONTROL!$C$42, 14.1086, 14.1086)*CHOOSE(CONTROL!$C$21, $C$9, 100%, $E$9)</f>
        <v>14.108599999999999</v>
      </c>
      <c r="H470" s="10">
        <f>CHOOSE(CONTROL!$C$42, 14.1719, 14.1719) * CHOOSE(CONTROL!$C$21, $C$9, 100%, $E$9)</f>
        <v>14.171900000000001</v>
      </c>
      <c r="I470" s="10">
        <f>CHOOSE(CONTROL!$C$42, 14.1163, 14.1163)* CHOOSE(CONTROL!$C$21, $C$9, 100%, $E$9)</f>
        <v>14.116300000000001</v>
      </c>
      <c r="J470" s="10">
        <f>CHOOSE(CONTROL!$C$42, 14.0824, 14.0824)* CHOOSE(CONTROL!$C$21, $C$9, 100%, $E$9)</f>
        <v>14.0824</v>
      </c>
      <c r="K470" s="10">
        <f>CHOOSE(CONTROL!$C$42, 13.8509, 13.8509) * CHOOSE(CONTROL!$C$21, $C$9, 100%, $E$9)</f>
        <v>13.850899999999999</v>
      </c>
      <c r="L470" s="10">
        <f>CHOOSE(CONTROL!$C$42, 14.7589, 14.7589) * CHOOSE(CONTROL!$C$21, $C$9, 100%, $E$9)</f>
        <v>14.758900000000001</v>
      </c>
      <c r="M470" s="10">
        <f>CHOOSE(CONTROL!$C$42, 13.9332, 13.9332) * CHOOSE(CONTROL!$C$21, $C$9, 100%, $E$9)</f>
        <v>13.933199999999999</v>
      </c>
      <c r="N470" s="10">
        <f>CHOOSE(CONTROL!$C$42, 13.9517, 13.9517) * CHOOSE(CONTROL!$C$21, $C$9, 100%, $E$9)</f>
        <v>13.951700000000001</v>
      </c>
      <c r="O470" s="10">
        <f>CHOOSE(CONTROL!$C$42, 14.0215, 14.0215) * CHOOSE(CONTROL!$C$21, $C$9, 100%, $E$9)</f>
        <v>14.0215</v>
      </c>
      <c r="P470" s="10">
        <f>CHOOSE(CONTROL!$C$42, 13.9667, 13.9667) * CHOOSE(CONTROL!$C$21, $C$9, 100%, $E$9)</f>
        <v>13.966699999999999</v>
      </c>
      <c r="Q470" s="10">
        <f>CHOOSE(CONTROL!$C$42, 14.6168, 14.6168) * CHOOSE(CONTROL!$C$21, $C$9, 100%, $E$9)</f>
        <v>14.6168</v>
      </c>
      <c r="R470" s="10">
        <f>CHOOSE(CONTROL!$C$42, 15.2403, 15.2403) * CHOOSE(CONTROL!$C$21, $C$9, 100%, $E$9)</f>
        <v>15.2403</v>
      </c>
      <c r="S470" s="10">
        <f>CHOOSE(CONTROL!$C$42, 13.6785, 13.6785) * CHOOSE(CONTROL!$C$21, $C$9, 100%, $E$9)</f>
        <v>13.6785</v>
      </c>
      <c r="T47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70" s="38">
        <f>(1000*CHOOSE(CONTROL!$C$42, 695, 695)*CHOOSE(CONTROL!$C$42, 0.5599, 0.5599)*CHOOSE(CONTROL!$C$42, 29, 29))/1000000</f>
        <v>11.284784499999999</v>
      </c>
      <c r="V470" s="38">
        <f>(1000*CHOOSE(CONTROL!$C$42, 500, 500)*CHOOSE(CONTROL!$C$42, 0.275, 0.275)*CHOOSE(CONTROL!$C$42, 29, 29))/1000000</f>
        <v>3.9874999999999998</v>
      </c>
      <c r="W470" s="38">
        <f>(1000*CHOOSE(CONTROL!$C$42, 0.1146, 0.1146)*CHOOSE(CONTROL!$C$42, 121.5, 121.5)*CHOOSE(CONTROL!$C$42, 29, 29))/1000000</f>
        <v>0.40379309999999996</v>
      </c>
      <c r="X470" s="38">
        <f>(29*0.1790888*100000/1000000)+(29*0.2374*100000/1000000)</f>
        <v>1.2078175199999999</v>
      </c>
      <c r="Y470" s="38">
        <f>(1000*600*CHOOSE(CONTROL!$C$42, 1.0722, 1.0722)*CHOOSE(CONTROL!$C$42, 29, 29))/1000000</f>
        <v>18.656279999999999</v>
      </c>
      <c r="Z470" s="38"/>
      <c r="AA470" s="10"/>
      <c r="AB470" s="39"/>
      <c r="AC470" s="33">
        <f>(B470*122.58+C470*297.941+D470*89.177+E470*40.302+F470*40+G470*160+H470*0+I470*100+J470*300)/(122.58+297.941+89.177+40.302+0+40+160+100+300)</f>
        <v>14.109040708347827</v>
      </c>
      <c r="AD470" s="27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13.979105755395683</v>
      </c>
    </row>
    <row r="471" spans="1:30" ht="15.75" x14ac:dyDescent="0.25">
      <c r="A471" s="14">
        <v>55609</v>
      </c>
      <c r="B471" s="10">
        <f>CHOOSE(CONTROL!$C$42, 13.7081, 13.7081) * CHOOSE(CONTROL!$C$21, $C$9, 100%, $E$9)</f>
        <v>13.7081</v>
      </c>
      <c r="C471" s="10">
        <f>CHOOSE(CONTROL!$C$42, 13.7132, 13.7132) * CHOOSE(CONTROL!$C$21, $C$9, 100%, $E$9)</f>
        <v>13.713200000000001</v>
      </c>
      <c r="D471" s="10">
        <f>CHOOSE(CONTROL!$C$42, 13.7482, 13.7482) * CHOOSE(CONTROL!$C$21, $C$9, 100%, $E$9)</f>
        <v>13.748200000000001</v>
      </c>
      <c r="E471" s="10">
        <f>CHOOSE(CONTROL!$C$42, 13.782, 13.782) * CHOOSE(CONTROL!$C$21, $C$9, 100%, $E$9)</f>
        <v>13.782</v>
      </c>
      <c r="F471" s="10">
        <f>CHOOSE(CONTROL!$C$42, 13.6874, 13.6874)*CHOOSE(CONTROL!$C$21, $C$9, 100%, $E$9)</f>
        <v>13.6874</v>
      </c>
      <c r="G471" s="10">
        <f>CHOOSE(CONTROL!$C$42, 13.7058, 13.7058)*CHOOSE(CONTROL!$C$21, $C$9, 100%, $E$9)</f>
        <v>13.7058</v>
      </c>
      <c r="H471" s="10">
        <f>CHOOSE(CONTROL!$C$42, 13.7709, 13.7709) * CHOOSE(CONTROL!$C$21, $C$9, 100%, $E$9)</f>
        <v>13.770899999999999</v>
      </c>
      <c r="I471" s="10">
        <f>CHOOSE(CONTROL!$C$42, 13.7153, 13.7153)* CHOOSE(CONTROL!$C$21, $C$9, 100%, $E$9)</f>
        <v>13.715299999999999</v>
      </c>
      <c r="J471" s="10">
        <f>CHOOSE(CONTROL!$C$42, 13.68, 13.68)* CHOOSE(CONTROL!$C$21, $C$9, 100%, $E$9)</f>
        <v>13.68</v>
      </c>
      <c r="K471" s="10">
        <f>CHOOSE(CONTROL!$C$42, 13.4594, 13.4594) * CHOOSE(CONTROL!$C$21, $C$9, 100%, $E$9)</f>
        <v>13.4594</v>
      </c>
      <c r="L471" s="10">
        <f>CHOOSE(CONTROL!$C$42, 14.3579, 14.3579) * CHOOSE(CONTROL!$C$21, $C$9, 100%, $E$9)</f>
        <v>14.357900000000001</v>
      </c>
      <c r="M471" s="10">
        <f>CHOOSE(CONTROL!$C$42, 13.536, 13.536) * CHOOSE(CONTROL!$C$21, $C$9, 100%, $E$9)</f>
        <v>13.536</v>
      </c>
      <c r="N471" s="10">
        <f>CHOOSE(CONTROL!$C$42, 13.5541, 13.5541) * CHOOSE(CONTROL!$C$21, $C$9, 100%, $E$9)</f>
        <v>13.5541</v>
      </c>
      <c r="O471" s="10">
        <f>CHOOSE(CONTROL!$C$42, 13.6256, 13.6256) * CHOOSE(CONTROL!$C$21, $C$9, 100%, $E$9)</f>
        <v>13.6256</v>
      </c>
      <c r="P471" s="10">
        <f>CHOOSE(CONTROL!$C$42, 13.5708, 13.5708) * CHOOSE(CONTROL!$C$21, $C$9, 100%, $E$9)</f>
        <v>13.5708</v>
      </c>
      <c r="Q471" s="10">
        <f>CHOOSE(CONTROL!$C$42, 14.2209, 14.2209) * CHOOSE(CONTROL!$C$21, $C$9, 100%, $E$9)</f>
        <v>14.2209</v>
      </c>
      <c r="R471" s="10">
        <f>CHOOSE(CONTROL!$C$42, 14.8435, 14.8435) * CHOOSE(CONTROL!$C$21, $C$9, 100%, $E$9)</f>
        <v>14.843500000000001</v>
      </c>
      <c r="S471" s="10">
        <f>CHOOSE(CONTROL!$C$42, 13.2902, 13.2902) * CHOOSE(CONTROL!$C$21, $C$9, 100%, $E$9)</f>
        <v>13.2902</v>
      </c>
      <c r="T47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38">
        <f>(1000*CHOOSE(CONTROL!$C$42, 695, 695)*CHOOSE(CONTROL!$C$42, 0.5599, 0.5599)*CHOOSE(CONTROL!$C$42, 31, 31))/1000000</f>
        <v>12.063045499999998</v>
      </c>
      <c r="V471" s="38">
        <f>(1000*CHOOSE(CONTROL!$C$42, 500, 500)*CHOOSE(CONTROL!$C$42, 0.275, 0.275)*CHOOSE(CONTROL!$C$42, 31, 31))/1000000</f>
        <v>4.2625000000000002</v>
      </c>
      <c r="W471" s="38">
        <f>(1000*CHOOSE(CONTROL!$C$42, 0.1146, 0.1146)*CHOOSE(CONTROL!$C$42, 121.5, 121.5)*CHOOSE(CONTROL!$C$42, 31, 31))/1000000</f>
        <v>0.43164089999999994</v>
      </c>
      <c r="X471" s="38">
        <f>(31*0.1790888*100000/1000000)+(31*0.2374*100000/1000000)</f>
        <v>1.2911152800000001</v>
      </c>
      <c r="Y471" s="38">
        <f>(1000*600*CHOOSE(CONTROL!$C$42, 1.0722, 1.0722)*CHOOSE(CONTROL!$C$42, 31, 31))/1000000</f>
        <v>19.942920000000001</v>
      </c>
      <c r="Z471" s="38"/>
      <c r="AA471" s="10"/>
      <c r="AB471" s="39"/>
      <c r="AC471" s="33">
        <f>(B471*122.58+C471*297.941+D471*89.177+E471*40.302+F471*40+G471*160+H471*0+I471*100+J471*300)/(122.58+297.941+89.177+40.302+0+40+160+100+300)</f>
        <v>13.70737636052174</v>
      </c>
      <c r="AD471" s="27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13.582658992805756</v>
      </c>
    </row>
    <row r="472" spans="1:30" ht="15.75" x14ac:dyDescent="0.25">
      <c r="A472" s="14">
        <v>55639</v>
      </c>
      <c r="B472" s="10">
        <f>CHOOSE(CONTROL!$C$42, 13.6677, 13.6677) * CHOOSE(CONTROL!$C$21, $C$9, 100%, $E$9)</f>
        <v>13.6677</v>
      </c>
      <c r="C472" s="10">
        <f>CHOOSE(CONTROL!$C$42, 13.6723, 13.6723) * CHOOSE(CONTROL!$C$21, $C$9, 100%, $E$9)</f>
        <v>13.6723</v>
      </c>
      <c r="D472" s="10">
        <f>CHOOSE(CONTROL!$C$42, 13.8505, 13.8505) * CHOOSE(CONTROL!$C$21, $C$9, 100%, $E$9)</f>
        <v>13.8505</v>
      </c>
      <c r="E472" s="10">
        <f>CHOOSE(CONTROL!$C$42, 13.8823, 13.8823) * CHOOSE(CONTROL!$C$21, $C$9, 100%, $E$9)</f>
        <v>13.882300000000001</v>
      </c>
      <c r="F472" s="10">
        <f>CHOOSE(CONTROL!$C$42, 13.6112, 13.6112)*CHOOSE(CONTROL!$C$21, $C$9, 100%, $E$9)</f>
        <v>13.6112</v>
      </c>
      <c r="G472" s="10">
        <f>CHOOSE(CONTROL!$C$42, 13.6278, 13.6278)*CHOOSE(CONTROL!$C$21, $C$9, 100%, $E$9)</f>
        <v>13.627800000000001</v>
      </c>
      <c r="H472" s="10">
        <f>CHOOSE(CONTROL!$C$42, 13.8718, 13.8718) * CHOOSE(CONTROL!$C$21, $C$9, 100%, $E$9)</f>
        <v>13.8718</v>
      </c>
      <c r="I472" s="10">
        <f>CHOOSE(CONTROL!$C$42, 13.6437, 13.6437)* CHOOSE(CONTROL!$C$21, $C$9, 100%, $E$9)</f>
        <v>13.643700000000001</v>
      </c>
      <c r="J472" s="10">
        <f>CHOOSE(CONTROL!$C$42, 13.6038, 13.6038)* CHOOSE(CONTROL!$C$21, $C$9, 100%, $E$9)</f>
        <v>13.6038</v>
      </c>
      <c r="K472" s="10">
        <f>CHOOSE(CONTROL!$C$42, 13.3753, 13.3753) * CHOOSE(CONTROL!$C$21, $C$9, 100%, $E$9)</f>
        <v>13.375299999999999</v>
      </c>
      <c r="L472" s="10">
        <f>CHOOSE(CONTROL!$C$42, 14.4588, 14.4588) * CHOOSE(CONTROL!$C$21, $C$9, 100%, $E$9)</f>
        <v>14.4588</v>
      </c>
      <c r="M472" s="10">
        <f>CHOOSE(CONTROL!$C$42, 13.4607, 13.4607) * CHOOSE(CONTROL!$C$21, $C$9, 100%, $E$9)</f>
        <v>13.460699999999999</v>
      </c>
      <c r="N472" s="10">
        <f>CHOOSE(CONTROL!$C$42, 13.4771, 13.4771) * CHOOSE(CONTROL!$C$21, $C$9, 100%, $E$9)</f>
        <v>13.4771</v>
      </c>
      <c r="O472" s="10">
        <f>CHOOSE(CONTROL!$C$42, 13.7252, 13.7252) * CHOOSE(CONTROL!$C$21, $C$9, 100%, $E$9)</f>
        <v>13.725199999999999</v>
      </c>
      <c r="P472" s="10">
        <f>CHOOSE(CONTROL!$C$42, 13.5002, 13.5002) * CHOOSE(CONTROL!$C$21, $C$9, 100%, $E$9)</f>
        <v>13.5002</v>
      </c>
      <c r="Q472" s="10">
        <f>CHOOSE(CONTROL!$C$42, 14.3205, 14.3205) * CHOOSE(CONTROL!$C$21, $C$9, 100%, $E$9)</f>
        <v>14.320499999999999</v>
      </c>
      <c r="R472" s="10">
        <f>CHOOSE(CONTROL!$C$42, 14.9433, 14.9433) * CHOOSE(CONTROL!$C$21, $C$9, 100%, $E$9)</f>
        <v>14.943300000000001</v>
      </c>
      <c r="S472" s="10">
        <f>CHOOSE(CONTROL!$C$42, 13.2504, 13.2504) * CHOOSE(CONTROL!$C$21, $C$9, 100%, $E$9)</f>
        <v>13.250400000000001</v>
      </c>
      <c r="T47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38">
        <f>(1000*CHOOSE(CONTROL!$C$42, 695, 695)*CHOOSE(CONTROL!$C$42, 0.5599, 0.5599)*CHOOSE(CONTROL!$C$42, 30, 30))/1000000</f>
        <v>11.673914999999997</v>
      </c>
      <c r="V472" s="38">
        <f>(1000*CHOOSE(CONTROL!$C$42, 500, 500)*CHOOSE(CONTROL!$C$42, 0.275, 0.275)*CHOOSE(CONTROL!$C$42, 30, 30))/1000000</f>
        <v>4.125</v>
      </c>
      <c r="W472" s="38">
        <f>(1000*CHOOSE(CONTROL!$C$42, 0.1146, 0.1146)*CHOOSE(CONTROL!$C$42, 121.5, 121.5)*CHOOSE(CONTROL!$C$42, 30, 30))/1000000</f>
        <v>0.417717</v>
      </c>
      <c r="X472" s="38">
        <f>(30*0.1790888*245000/1000000)+(30*0.2374*100000/1000000)</f>
        <v>2.0285026799999999</v>
      </c>
      <c r="Y472" s="38">
        <f>(1000*600*CHOOSE(CONTROL!$C$42, 1.0722, 1.0722)*CHOOSE(CONTROL!$C$42, 30, 30))/1000000</f>
        <v>19.299600000000002</v>
      </c>
      <c r="Z472" s="38"/>
      <c r="AA472" s="10"/>
      <c r="AB472" s="39"/>
      <c r="AC472" s="33">
        <f>(B472*141.293+C472*267.993+D472*115.016+E472*89.698+F472*40+G472*185+H472*0+I472*100+J472*300)/(141.293+267.993+115.016+89.698+0+40+185+100+300)</f>
        <v>13.676009429701374</v>
      </c>
      <c r="AD472" s="27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13.544371223021582</v>
      </c>
    </row>
    <row r="473" spans="1:30" ht="15.75" x14ac:dyDescent="0.25">
      <c r="A473" s="14">
        <v>55670</v>
      </c>
      <c r="B473" s="10">
        <f>CHOOSE(CONTROL!$C$42, 13.7903, 13.7903) * CHOOSE(CONTROL!$C$21, $C$9, 100%, $E$9)</f>
        <v>13.7903</v>
      </c>
      <c r="C473" s="10">
        <f>CHOOSE(CONTROL!$C$42, 13.7983, 13.7983) * CHOOSE(CONTROL!$C$21, $C$9, 100%, $E$9)</f>
        <v>13.798299999999999</v>
      </c>
      <c r="D473" s="10">
        <f>CHOOSE(CONTROL!$C$42, 13.9734, 13.9734) * CHOOSE(CONTROL!$C$21, $C$9, 100%, $E$9)</f>
        <v>13.9734</v>
      </c>
      <c r="E473" s="10">
        <f>CHOOSE(CONTROL!$C$42, 14.0046, 14.0046) * CHOOSE(CONTROL!$C$21, $C$9, 100%, $E$9)</f>
        <v>14.0046</v>
      </c>
      <c r="F473" s="10">
        <f>CHOOSE(CONTROL!$C$42, 13.7319, 13.7319)*CHOOSE(CONTROL!$C$21, $C$9, 100%, $E$9)</f>
        <v>13.7319</v>
      </c>
      <c r="G473" s="10">
        <f>CHOOSE(CONTROL!$C$42, 13.7488, 13.7488)*CHOOSE(CONTROL!$C$21, $C$9, 100%, $E$9)</f>
        <v>13.748799999999999</v>
      </c>
      <c r="H473" s="10">
        <f>CHOOSE(CONTROL!$C$42, 13.9929, 13.9929) * CHOOSE(CONTROL!$C$21, $C$9, 100%, $E$9)</f>
        <v>13.992900000000001</v>
      </c>
      <c r="I473" s="10">
        <f>CHOOSE(CONTROL!$C$42, 13.7649, 13.7649)* CHOOSE(CONTROL!$C$21, $C$9, 100%, $E$9)</f>
        <v>13.764900000000001</v>
      </c>
      <c r="J473" s="10">
        <f>CHOOSE(CONTROL!$C$42, 13.7245, 13.7245)* CHOOSE(CONTROL!$C$21, $C$9, 100%, $E$9)</f>
        <v>13.724500000000001</v>
      </c>
      <c r="K473" s="10">
        <f>CHOOSE(CONTROL!$C$42, 13.4918, 13.4918) * CHOOSE(CONTROL!$C$21, $C$9, 100%, $E$9)</f>
        <v>13.4918</v>
      </c>
      <c r="L473" s="10">
        <f>CHOOSE(CONTROL!$C$42, 14.5799, 14.5799) * CHOOSE(CONTROL!$C$21, $C$9, 100%, $E$9)</f>
        <v>14.5799</v>
      </c>
      <c r="M473" s="10">
        <f>CHOOSE(CONTROL!$C$42, 13.5799, 13.5799) * CHOOSE(CONTROL!$C$21, $C$9, 100%, $E$9)</f>
        <v>13.5799</v>
      </c>
      <c r="N473" s="10">
        <f>CHOOSE(CONTROL!$C$42, 13.5966, 13.5966) * CHOOSE(CONTROL!$C$21, $C$9, 100%, $E$9)</f>
        <v>13.5966</v>
      </c>
      <c r="O473" s="10">
        <f>CHOOSE(CONTROL!$C$42, 13.8448, 13.8448) * CHOOSE(CONTROL!$C$21, $C$9, 100%, $E$9)</f>
        <v>13.844799999999999</v>
      </c>
      <c r="P473" s="10">
        <f>CHOOSE(CONTROL!$C$42, 13.6198, 13.6198) * CHOOSE(CONTROL!$C$21, $C$9, 100%, $E$9)</f>
        <v>13.6198</v>
      </c>
      <c r="Q473" s="10">
        <f>CHOOSE(CONTROL!$C$42, 14.4401, 14.4401) * CHOOSE(CONTROL!$C$21, $C$9, 100%, $E$9)</f>
        <v>14.440099999999999</v>
      </c>
      <c r="R473" s="10">
        <f>CHOOSE(CONTROL!$C$42, 15.0632, 15.0632) * CHOOSE(CONTROL!$C$21, $C$9, 100%, $E$9)</f>
        <v>15.0632</v>
      </c>
      <c r="S473" s="10">
        <f>CHOOSE(CONTROL!$C$42, 13.3677, 13.3677) * CHOOSE(CONTROL!$C$21, $C$9, 100%, $E$9)</f>
        <v>13.367699999999999</v>
      </c>
      <c r="T47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38">
        <f>(1000*CHOOSE(CONTROL!$C$42, 695, 695)*CHOOSE(CONTROL!$C$42, 0.5599, 0.5599)*CHOOSE(CONTROL!$C$42, 31, 31))/1000000</f>
        <v>12.063045499999998</v>
      </c>
      <c r="V473" s="38">
        <f>(1000*CHOOSE(CONTROL!$C$42, 500, 500)*CHOOSE(CONTROL!$C$42, 0.275, 0.275)*CHOOSE(CONTROL!$C$42, 31, 31))/1000000</f>
        <v>4.2625000000000002</v>
      </c>
      <c r="W473" s="38">
        <f>(1000*CHOOSE(CONTROL!$C$42, 0.1146, 0.1146)*CHOOSE(CONTROL!$C$42, 121.5, 121.5)*CHOOSE(CONTROL!$C$42, 31, 31))/1000000</f>
        <v>0.43164089999999994</v>
      </c>
      <c r="X473" s="38">
        <f>(31*0.1790888*245000/1000000)+(31*0.2374*100000/1000000)</f>
        <v>2.0961194359999999</v>
      </c>
      <c r="Y473" s="38">
        <f>(1000*600*CHOOSE(CONTROL!$C$42, 1.0722, 1.0722)*CHOOSE(CONTROL!$C$42, 31, 31))/1000000</f>
        <v>19.942920000000001</v>
      </c>
      <c r="Z473" s="38"/>
      <c r="AA473" s="10"/>
      <c r="AB473" s="39"/>
      <c r="AC473" s="33">
        <f>(B473*194.205+C473*267.466+D473*133.845+E473*53.484+F473*40+G473*185+H473*0+I473*100+J473*300)/(194.205+267.466+133.845+53.484+0+40+185+100+300)</f>
        <v>13.794864261145996</v>
      </c>
      <c r="AD473" s="27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13.663810071942446</v>
      </c>
    </row>
    <row r="474" spans="1:30" ht="15.75" x14ac:dyDescent="0.25">
      <c r="A474" s="14">
        <v>55700</v>
      </c>
      <c r="B474" s="10">
        <f>CHOOSE(CONTROL!$C$42, 14.1818, 14.1818) * CHOOSE(CONTROL!$C$21, $C$9, 100%, $E$9)</f>
        <v>14.181800000000001</v>
      </c>
      <c r="C474" s="10">
        <f>CHOOSE(CONTROL!$C$42, 14.1898, 14.1898) * CHOOSE(CONTROL!$C$21, $C$9, 100%, $E$9)</f>
        <v>14.1898</v>
      </c>
      <c r="D474" s="10">
        <f>CHOOSE(CONTROL!$C$42, 14.365, 14.365) * CHOOSE(CONTROL!$C$21, $C$9, 100%, $E$9)</f>
        <v>14.365</v>
      </c>
      <c r="E474" s="10">
        <f>CHOOSE(CONTROL!$C$42, 14.3962, 14.3962) * CHOOSE(CONTROL!$C$21, $C$9, 100%, $E$9)</f>
        <v>14.3962</v>
      </c>
      <c r="F474" s="10">
        <f>CHOOSE(CONTROL!$C$42, 14.1237, 14.1237)*CHOOSE(CONTROL!$C$21, $C$9, 100%, $E$9)</f>
        <v>14.123699999999999</v>
      </c>
      <c r="G474" s="10">
        <f>CHOOSE(CONTROL!$C$42, 14.1406, 14.1406)*CHOOSE(CONTROL!$C$21, $C$9, 100%, $E$9)</f>
        <v>14.140599999999999</v>
      </c>
      <c r="H474" s="10">
        <f>CHOOSE(CONTROL!$C$42, 14.3845, 14.3845) * CHOOSE(CONTROL!$C$21, $C$9, 100%, $E$9)</f>
        <v>14.384499999999999</v>
      </c>
      <c r="I474" s="10">
        <f>CHOOSE(CONTROL!$C$42, 14.1565, 14.1565)* CHOOSE(CONTROL!$C$21, $C$9, 100%, $E$9)</f>
        <v>14.156499999999999</v>
      </c>
      <c r="J474" s="10">
        <f>CHOOSE(CONTROL!$C$42, 14.1163, 14.1163)* CHOOSE(CONTROL!$C$21, $C$9, 100%, $E$9)</f>
        <v>14.116300000000001</v>
      </c>
      <c r="K474" s="10">
        <f>CHOOSE(CONTROL!$C$42, 13.8716, 13.8716) * CHOOSE(CONTROL!$C$21, $C$9, 100%, $E$9)</f>
        <v>13.871600000000001</v>
      </c>
      <c r="L474" s="10">
        <f>CHOOSE(CONTROL!$C$42, 14.9715, 14.9715) * CHOOSE(CONTROL!$C$21, $C$9, 100%, $E$9)</f>
        <v>14.971500000000001</v>
      </c>
      <c r="M474" s="10">
        <f>CHOOSE(CONTROL!$C$42, 13.9666, 13.9666) * CHOOSE(CONTROL!$C$21, $C$9, 100%, $E$9)</f>
        <v>13.9666</v>
      </c>
      <c r="N474" s="10">
        <f>CHOOSE(CONTROL!$C$42, 13.9833, 13.9833) * CHOOSE(CONTROL!$C$21, $C$9, 100%, $E$9)</f>
        <v>13.9833</v>
      </c>
      <c r="O474" s="10">
        <f>CHOOSE(CONTROL!$C$42, 14.2313, 14.2313) * CHOOSE(CONTROL!$C$21, $C$9, 100%, $E$9)</f>
        <v>14.231299999999999</v>
      </c>
      <c r="P474" s="10">
        <f>CHOOSE(CONTROL!$C$42, 14.0063, 14.0063) * CHOOSE(CONTROL!$C$21, $C$9, 100%, $E$9)</f>
        <v>14.0063</v>
      </c>
      <c r="Q474" s="10">
        <f>CHOOSE(CONTROL!$C$42, 14.8266, 14.8266) * CHOOSE(CONTROL!$C$21, $C$9, 100%, $E$9)</f>
        <v>14.826599999999999</v>
      </c>
      <c r="R474" s="10">
        <f>CHOOSE(CONTROL!$C$42, 15.4507, 15.4507) * CHOOSE(CONTROL!$C$21, $C$9, 100%, $E$9)</f>
        <v>15.450699999999999</v>
      </c>
      <c r="S474" s="10">
        <f>CHOOSE(CONTROL!$C$42, 13.7469, 13.7469) * CHOOSE(CONTROL!$C$21, $C$9, 100%, $E$9)</f>
        <v>13.7469</v>
      </c>
      <c r="T47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38">
        <f>(1000*CHOOSE(CONTROL!$C$42, 695, 695)*CHOOSE(CONTROL!$C$42, 0.5599, 0.5599)*CHOOSE(CONTROL!$C$42, 30, 30))/1000000</f>
        <v>11.673914999999997</v>
      </c>
      <c r="V474" s="38">
        <f>(1000*CHOOSE(CONTROL!$C$42, 500, 500)*CHOOSE(CONTROL!$C$42, 0.275, 0.275)*CHOOSE(CONTROL!$C$42, 30, 30))/1000000</f>
        <v>4.125</v>
      </c>
      <c r="W474" s="38">
        <f>(1000*CHOOSE(CONTROL!$C$42, 0.1146, 0.1146)*CHOOSE(CONTROL!$C$42, 121.5, 121.5)*CHOOSE(CONTROL!$C$42, 30, 30))/1000000</f>
        <v>0.417717</v>
      </c>
      <c r="X474" s="38">
        <f>(30*0.1790888*245000/1000000)+(30*0.2374*100000/1000000)</f>
        <v>2.0285026799999999</v>
      </c>
      <c r="Y474" s="38">
        <f>(1000*600*CHOOSE(CONTROL!$C$42, 1.0722, 1.0722)*CHOOSE(CONTROL!$C$42, 30, 30))/1000000</f>
        <v>19.299600000000002</v>
      </c>
      <c r="Z474" s="38"/>
      <c r="AA474" s="10"/>
      <c r="AB474" s="39"/>
      <c r="AC474" s="33">
        <f>(B474*194.205+C474*267.466+D474*133.845+E474*53.484+F474*40+G474*185+H474*0+I474*100+J474*300)/(194.205+267.466+133.845+53.484+0+40+185+100+300)</f>
        <v>14.186510440816326</v>
      </c>
      <c r="AD474" s="27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14.050425179856113</v>
      </c>
    </row>
    <row r="475" spans="1:30" ht="15.75" x14ac:dyDescent="0.25">
      <c r="A475" s="14">
        <v>55731</v>
      </c>
      <c r="B475" s="10">
        <f>CHOOSE(CONTROL!$C$42, 13.9095, 13.9095) * CHOOSE(CONTROL!$C$21, $C$9, 100%, $E$9)</f>
        <v>13.9095</v>
      </c>
      <c r="C475" s="10">
        <f>CHOOSE(CONTROL!$C$42, 13.9175, 13.9175) * CHOOSE(CONTROL!$C$21, $C$9, 100%, $E$9)</f>
        <v>13.9175</v>
      </c>
      <c r="D475" s="10">
        <f>CHOOSE(CONTROL!$C$42, 14.0926, 14.0926) * CHOOSE(CONTROL!$C$21, $C$9, 100%, $E$9)</f>
        <v>14.092599999999999</v>
      </c>
      <c r="E475" s="10">
        <f>CHOOSE(CONTROL!$C$42, 14.1238, 14.1238) * CHOOSE(CONTROL!$C$21, $C$9, 100%, $E$9)</f>
        <v>14.123799999999999</v>
      </c>
      <c r="F475" s="10">
        <f>CHOOSE(CONTROL!$C$42, 13.8517, 13.8517)*CHOOSE(CONTROL!$C$21, $C$9, 100%, $E$9)</f>
        <v>13.851699999999999</v>
      </c>
      <c r="G475" s="10">
        <f>CHOOSE(CONTROL!$C$42, 13.8687, 13.8687)*CHOOSE(CONTROL!$C$21, $C$9, 100%, $E$9)</f>
        <v>13.8687</v>
      </c>
      <c r="H475" s="10">
        <f>CHOOSE(CONTROL!$C$42, 14.1122, 14.1122) * CHOOSE(CONTROL!$C$21, $C$9, 100%, $E$9)</f>
        <v>14.1122</v>
      </c>
      <c r="I475" s="10">
        <f>CHOOSE(CONTROL!$C$42, 13.8841, 13.8841)* CHOOSE(CONTROL!$C$21, $C$9, 100%, $E$9)</f>
        <v>13.8841</v>
      </c>
      <c r="J475" s="10">
        <f>CHOOSE(CONTROL!$C$42, 13.8443, 13.8443)* CHOOSE(CONTROL!$C$21, $C$9, 100%, $E$9)</f>
        <v>13.8443</v>
      </c>
      <c r="K475" s="10">
        <f>CHOOSE(CONTROL!$C$42, 13.6085, 13.6085) * CHOOSE(CONTROL!$C$21, $C$9, 100%, $E$9)</f>
        <v>13.608499999999999</v>
      </c>
      <c r="L475" s="10">
        <f>CHOOSE(CONTROL!$C$42, 14.6992, 14.6992) * CHOOSE(CONTROL!$C$21, $C$9, 100%, $E$9)</f>
        <v>14.699199999999999</v>
      </c>
      <c r="M475" s="10">
        <f>CHOOSE(CONTROL!$C$42, 13.6981, 13.6981) * CHOOSE(CONTROL!$C$21, $C$9, 100%, $E$9)</f>
        <v>13.6981</v>
      </c>
      <c r="N475" s="10">
        <f>CHOOSE(CONTROL!$C$42, 13.7149, 13.7149) * CHOOSE(CONTROL!$C$21, $C$9, 100%, $E$9)</f>
        <v>13.7149</v>
      </c>
      <c r="O475" s="10">
        <f>CHOOSE(CONTROL!$C$42, 13.9625, 13.9625) * CHOOSE(CONTROL!$C$21, $C$9, 100%, $E$9)</f>
        <v>13.9625</v>
      </c>
      <c r="P475" s="10">
        <f>CHOOSE(CONTROL!$C$42, 13.7375, 13.7375) * CHOOSE(CONTROL!$C$21, $C$9, 100%, $E$9)</f>
        <v>13.737500000000001</v>
      </c>
      <c r="Q475" s="10">
        <f>CHOOSE(CONTROL!$C$42, 14.5578, 14.5578) * CHOOSE(CONTROL!$C$21, $C$9, 100%, $E$9)</f>
        <v>14.5578</v>
      </c>
      <c r="R475" s="10">
        <f>CHOOSE(CONTROL!$C$42, 15.1812, 15.1812) * CHOOSE(CONTROL!$C$21, $C$9, 100%, $E$9)</f>
        <v>15.1812</v>
      </c>
      <c r="S475" s="10">
        <f>CHOOSE(CONTROL!$C$42, 13.4832, 13.4832) * CHOOSE(CONTROL!$C$21, $C$9, 100%, $E$9)</f>
        <v>13.4832</v>
      </c>
      <c r="T47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38">
        <f>(1000*CHOOSE(CONTROL!$C$42, 695, 695)*CHOOSE(CONTROL!$C$42, 0.5599, 0.5599)*CHOOSE(CONTROL!$C$42, 31, 31))/1000000</f>
        <v>12.063045499999998</v>
      </c>
      <c r="V475" s="38">
        <f>(1000*CHOOSE(CONTROL!$C$42, 500, 500)*CHOOSE(CONTROL!$C$42, 0.275, 0.275)*CHOOSE(CONTROL!$C$42, 31, 31))/1000000</f>
        <v>4.2625000000000002</v>
      </c>
      <c r="W475" s="38">
        <f>(1000*CHOOSE(CONTROL!$C$42, 0.1146, 0.1146)*CHOOSE(CONTROL!$C$42, 121.5, 121.5)*CHOOSE(CONTROL!$C$42, 31, 31))/1000000</f>
        <v>0.43164089999999994</v>
      </c>
      <c r="X475" s="38">
        <f>(31*0.1790888*245000/1000000)+(31*0.2374*100000/1000000)</f>
        <v>2.0961194359999999</v>
      </c>
      <c r="Y475" s="38">
        <f>(1000*600*CHOOSE(CONTROL!$C$42, 1.0722, 1.0722)*CHOOSE(CONTROL!$C$42, 31, 31))/1000000</f>
        <v>19.942920000000001</v>
      </c>
      <c r="Z475" s="38"/>
      <c r="AA475" s="10"/>
      <c r="AB475" s="39"/>
      <c r="AC475" s="33">
        <f>(B475*194.205+C475*267.466+D475*133.845+E475*53.484+F475*40+G475*185+H475*0+I475*100+J475*300)/(194.205+267.466+133.845+53.484+0+40+185+100+300)</f>
        <v>13.91432603508634</v>
      </c>
      <c r="AD475" s="27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13.781820863309353</v>
      </c>
    </row>
    <row r="476" spans="1:30" ht="15.75" x14ac:dyDescent="0.25">
      <c r="A476" s="14">
        <v>55762</v>
      </c>
      <c r="B476" s="10">
        <f>CHOOSE(CONTROL!$C$42, 13.2217, 13.2217) * CHOOSE(CONTROL!$C$21, $C$9, 100%, $E$9)</f>
        <v>13.2217</v>
      </c>
      <c r="C476" s="10">
        <f>CHOOSE(CONTROL!$C$42, 13.2297, 13.2297) * CHOOSE(CONTROL!$C$21, $C$9, 100%, $E$9)</f>
        <v>13.229699999999999</v>
      </c>
      <c r="D476" s="10">
        <f>CHOOSE(CONTROL!$C$42, 13.4049, 13.4049) * CHOOSE(CONTROL!$C$21, $C$9, 100%, $E$9)</f>
        <v>13.4049</v>
      </c>
      <c r="E476" s="10">
        <f>CHOOSE(CONTROL!$C$42, 13.4361, 13.4361) * CHOOSE(CONTROL!$C$21, $C$9, 100%, $E$9)</f>
        <v>13.4361</v>
      </c>
      <c r="F476" s="10">
        <f>CHOOSE(CONTROL!$C$42, 13.1639, 13.1639)*CHOOSE(CONTROL!$C$21, $C$9, 100%, $E$9)</f>
        <v>13.1639</v>
      </c>
      <c r="G476" s="10">
        <f>CHOOSE(CONTROL!$C$42, 13.1809, 13.1809)*CHOOSE(CONTROL!$C$21, $C$9, 100%, $E$9)</f>
        <v>13.180899999999999</v>
      </c>
      <c r="H476" s="10">
        <f>CHOOSE(CONTROL!$C$42, 13.4244, 13.4244) * CHOOSE(CONTROL!$C$21, $C$9, 100%, $E$9)</f>
        <v>13.4244</v>
      </c>
      <c r="I476" s="10">
        <f>CHOOSE(CONTROL!$C$42, 13.1964, 13.1964)* CHOOSE(CONTROL!$C$21, $C$9, 100%, $E$9)</f>
        <v>13.196400000000001</v>
      </c>
      <c r="J476" s="10">
        <f>CHOOSE(CONTROL!$C$42, 13.1565, 13.1565)* CHOOSE(CONTROL!$C$21, $C$9, 100%, $E$9)</f>
        <v>13.156499999999999</v>
      </c>
      <c r="K476" s="10">
        <f>CHOOSE(CONTROL!$C$42, 12.942, 12.942) * CHOOSE(CONTROL!$C$21, $C$9, 100%, $E$9)</f>
        <v>12.942</v>
      </c>
      <c r="L476" s="10">
        <f>CHOOSE(CONTROL!$C$42, 14.0114, 14.0114) * CHOOSE(CONTROL!$C$21, $C$9, 100%, $E$9)</f>
        <v>14.0114</v>
      </c>
      <c r="M476" s="10">
        <f>CHOOSE(CONTROL!$C$42, 13.0192, 13.0192) * CHOOSE(CONTROL!$C$21, $C$9, 100%, $E$9)</f>
        <v>13.0192</v>
      </c>
      <c r="N476" s="10">
        <f>CHOOSE(CONTROL!$C$42, 13.036, 13.036) * CHOOSE(CONTROL!$C$21, $C$9, 100%, $E$9)</f>
        <v>13.036</v>
      </c>
      <c r="O476" s="10">
        <f>CHOOSE(CONTROL!$C$42, 13.2837, 13.2837) * CHOOSE(CONTROL!$C$21, $C$9, 100%, $E$9)</f>
        <v>13.2837</v>
      </c>
      <c r="P476" s="10">
        <f>CHOOSE(CONTROL!$C$42, 13.0587, 13.0587) * CHOOSE(CONTROL!$C$21, $C$9, 100%, $E$9)</f>
        <v>13.0587</v>
      </c>
      <c r="Q476" s="10">
        <f>CHOOSE(CONTROL!$C$42, 13.879, 13.879) * CHOOSE(CONTROL!$C$21, $C$9, 100%, $E$9)</f>
        <v>13.879</v>
      </c>
      <c r="R476" s="10">
        <f>CHOOSE(CONTROL!$C$42, 14.5007, 14.5007) * CHOOSE(CONTROL!$C$21, $C$9, 100%, $E$9)</f>
        <v>14.5007</v>
      </c>
      <c r="S476" s="10">
        <f>CHOOSE(CONTROL!$C$42, 12.8172, 12.8172) * CHOOSE(CONTROL!$C$21, $C$9, 100%, $E$9)</f>
        <v>12.8172</v>
      </c>
      <c r="T47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38">
        <f>(1000*CHOOSE(CONTROL!$C$42, 695, 695)*CHOOSE(CONTROL!$C$42, 0.5599, 0.5599)*CHOOSE(CONTROL!$C$42, 31, 31))/1000000</f>
        <v>12.063045499999998</v>
      </c>
      <c r="V476" s="38">
        <f>(1000*CHOOSE(CONTROL!$C$42, 500, 500)*CHOOSE(CONTROL!$C$42, 0.275, 0.275)*CHOOSE(CONTROL!$C$42, 31, 31))/1000000</f>
        <v>4.2625000000000002</v>
      </c>
      <c r="W476" s="38">
        <f>(1000*CHOOSE(CONTROL!$C$42, 0.1146, 0.1146)*CHOOSE(CONTROL!$C$42, 121.5, 121.5)*CHOOSE(CONTROL!$C$42, 31, 31))/1000000</f>
        <v>0.43164089999999994</v>
      </c>
      <c r="X476" s="38">
        <f>(31*0.1790888*245000/1000000)+(31*0.2374*100000/1000000)</f>
        <v>2.0961194359999999</v>
      </c>
      <c r="Y476" s="38">
        <f>(1000*600*CHOOSE(CONTROL!$C$42, 1.0722, 1.0722)*CHOOSE(CONTROL!$C$42, 31, 31))/1000000</f>
        <v>19.942920000000001</v>
      </c>
      <c r="Z476" s="38"/>
      <c r="AA476" s="10"/>
      <c r="AB476" s="39"/>
      <c r="AC476" s="33">
        <f>(B476*194.205+C476*267.466+D476*133.845+E476*53.484+F476*40+G476*185+H476*0+I476*100+J476*300)/(194.205+267.466+133.845+53.484+0+40+185+100+300)</f>
        <v>13.226548588383045</v>
      </c>
      <c r="AD476" s="27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13.102963309352518</v>
      </c>
    </row>
    <row r="477" spans="1:30" ht="15.75" x14ac:dyDescent="0.25">
      <c r="A477" s="14">
        <v>55792</v>
      </c>
      <c r="B477" s="10">
        <f>CHOOSE(CONTROL!$C$42, 12.3814, 12.3814) * CHOOSE(CONTROL!$C$21, $C$9, 100%, $E$9)</f>
        <v>12.381399999999999</v>
      </c>
      <c r="C477" s="10">
        <f>CHOOSE(CONTROL!$C$42, 12.3894, 12.3894) * CHOOSE(CONTROL!$C$21, $C$9, 100%, $E$9)</f>
        <v>12.3894</v>
      </c>
      <c r="D477" s="10">
        <f>CHOOSE(CONTROL!$C$42, 12.5646, 12.5646) * CHOOSE(CONTROL!$C$21, $C$9, 100%, $E$9)</f>
        <v>12.5646</v>
      </c>
      <c r="E477" s="10">
        <f>CHOOSE(CONTROL!$C$42, 12.5958, 12.5958) * CHOOSE(CONTROL!$C$21, $C$9, 100%, $E$9)</f>
        <v>12.595800000000001</v>
      </c>
      <c r="F477" s="10">
        <f>CHOOSE(CONTROL!$C$42, 12.3232, 12.3232)*CHOOSE(CONTROL!$C$21, $C$9, 100%, $E$9)</f>
        <v>12.3232</v>
      </c>
      <c r="G477" s="10">
        <f>CHOOSE(CONTROL!$C$42, 12.3402, 12.3402)*CHOOSE(CONTROL!$C$21, $C$9, 100%, $E$9)</f>
        <v>12.340199999999999</v>
      </c>
      <c r="H477" s="10">
        <f>CHOOSE(CONTROL!$C$42, 12.5841, 12.5841) * CHOOSE(CONTROL!$C$21, $C$9, 100%, $E$9)</f>
        <v>12.584099999999999</v>
      </c>
      <c r="I477" s="10">
        <f>CHOOSE(CONTROL!$C$42, 12.3561, 12.3561)* CHOOSE(CONTROL!$C$21, $C$9, 100%, $E$9)</f>
        <v>12.3561</v>
      </c>
      <c r="J477" s="10">
        <f>CHOOSE(CONTROL!$C$42, 12.3158, 12.3158)* CHOOSE(CONTROL!$C$21, $C$9, 100%, $E$9)</f>
        <v>12.315799999999999</v>
      </c>
      <c r="K477" s="10">
        <f>CHOOSE(CONTROL!$C$42, 12.1272, 12.1272) * CHOOSE(CONTROL!$C$21, $C$9, 100%, $E$9)</f>
        <v>12.1272</v>
      </c>
      <c r="L477" s="10">
        <f>CHOOSE(CONTROL!$C$42, 13.1711, 13.1711) * CHOOSE(CONTROL!$C$21, $C$9, 100%, $E$9)</f>
        <v>13.171099999999999</v>
      </c>
      <c r="M477" s="10">
        <f>CHOOSE(CONTROL!$C$42, 12.1894, 12.1894) * CHOOSE(CONTROL!$C$21, $C$9, 100%, $E$9)</f>
        <v>12.189399999999999</v>
      </c>
      <c r="N477" s="10">
        <f>CHOOSE(CONTROL!$C$42, 12.2061, 12.2061) * CHOOSE(CONTROL!$C$21, $C$9, 100%, $E$9)</f>
        <v>12.206099999999999</v>
      </c>
      <c r="O477" s="10">
        <f>CHOOSE(CONTROL!$C$42, 12.4542, 12.4542) * CHOOSE(CONTROL!$C$21, $C$9, 100%, $E$9)</f>
        <v>12.4542</v>
      </c>
      <c r="P477" s="10">
        <f>CHOOSE(CONTROL!$C$42, 12.2292, 12.2292) * CHOOSE(CONTROL!$C$21, $C$9, 100%, $E$9)</f>
        <v>12.229200000000001</v>
      </c>
      <c r="Q477" s="10">
        <f>CHOOSE(CONTROL!$C$42, 13.0495, 13.0495) * CHOOSE(CONTROL!$C$21, $C$9, 100%, $E$9)</f>
        <v>13.0495</v>
      </c>
      <c r="R477" s="10">
        <f>CHOOSE(CONTROL!$C$42, 13.6692, 13.6692) * CHOOSE(CONTROL!$C$21, $C$9, 100%, $E$9)</f>
        <v>13.6692</v>
      </c>
      <c r="S477" s="10">
        <f>CHOOSE(CONTROL!$C$42, 12.0035, 12.0035) * CHOOSE(CONTROL!$C$21, $C$9, 100%, $E$9)</f>
        <v>12.003500000000001</v>
      </c>
      <c r="T47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38">
        <f>(1000*CHOOSE(CONTROL!$C$42, 695, 695)*CHOOSE(CONTROL!$C$42, 0.5599, 0.5599)*CHOOSE(CONTROL!$C$42, 30, 30))/1000000</f>
        <v>11.673914999999997</v>
      </c>
      <c r="V477" s="38">
        <f>(1000*CHOOSE(CONTROL!$C$42, 500, 500)*CHOOSE(CONTROL!$C$42, 0.275, 0.275)*CHOOSE(CONTROL!$C$42, 30, 30))/1000000</f>
        <v>4.125</v>
      </c>
      <c r="W477" s="38">
        <f>(1000*CHOOSE(CONTROL!$C$42, 0.1146, 0.1146)*CHOOSE(CONTROL!$C$42, 121.5, 121.5)*CHOOSE(CONTROL!$C$42, 30, 30))/1000000</f>
        <v>0.417717</v>
      </c>
      <c r="X477" s="38">
        <f>(30*0.1790888*245000/1000000)+(30*0.2374*100000/1000000)</f>
        <v>2.0285026799999999</v>
      </c>
      <c r="Y477" s="38">
        <f>(1000*600*CHOOSE(CONTROL!$C$42, 1.0722, 1.0722)*CHOOSE(CONTROL!$C$42, 30, 30))/1000000</f>
        <v>19.299600000000002</v>
      </c>
      <c r="Z477" s="38"/>
      <c r="AA477" s="10"/>
      <c r="AB477" s="39"/>
      <c r="AC477" s="33">
        <f>(B477*194.205+C477*267.466+D477*133.845+E477*53.484+F477*40+G477*185+H477*0+I477*100+J477*300)/(194.205+267.466+133.845+53.484+0+40+185+100+300)</f>
        <v>12.386083753218211</v>
      </c>
      <c r="AD477" s="27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12.273267625899281</v>
      </c>
    </row>
    <row r="478" spans="1:30" ht="15.75" x14ac:dyDescent="0.25">
      <c r="A478" s="14">
        <v>55823</v>
      </c>
      <c r="B478" s="10">
        <f>CHOOSE(CONTROL!$C$42, 12.1277, 12.1277) * CHOOSE(CONTROL!$C$21, $C$9, 100%, $E$9)</f>
        <v>12.127700000000001</v>
      </c>
      <c r="C478" s="10">
        <f>CHOOSE(CONTROL!$C$42, 12.133, 12.133) * CHOOSE(CONTROL!$C$21, $C$9, 100%, $E$9)</f>
        <v>12.132999999999999</v>
      </c>
      <c r="D478" s="10">
        <f>CHOOSE(CONTROL!$C$42, 12.313, 12.313) * CHOOSE(CONTROL!$C$21, $C$9, 100%, $E$9)</f>
        <v>12.313000000000001</v>
      </c>
      <c r="E478" s="10">
        <f>CHOOSE(CONTROL!$C$42, 12.3419, 12.3419) * CHOOSE(CONTROL!$C$21, $C$9, 100%, $E$9)</f>
        <v>12.341900000000001</v>
      </c>
      <c r="F478" s="10">
        <f>CHOOSE(CONTROL!$C$42, 12.0714, 12.0714)*CHOOSE(CONTROL!$C$21, $C$9, 100%, $E$9)</f>
        <v>12.071400000000001</v>
      </c>
      <c r="G478" s="10">
        <f>CHOOSE(CONTROL!$C$42, 12.088, 12.088)*CHOOSE(CONTROL!$C$21, $C$9, 100%, $E$9)</f>
        <v>12.087999999999999</v>
      </c>
      <c r="H478" s="10">
        <f>CHOOSE(CONTROL!$C$42, 12.332, 12.332) * CHOOSE(CONTROL!$C$21, $C$9, 100%, $E$9)</f>
        <v>12.332000000000001</v>
      </c>
      <c r="I478" s="10">
        <f>CHOOSE(CONTROL!$C$42, 12.104, 12.104)* CHOOSE(CONTROL!$C$21, $C$9, 100%, $E$9)</f>
        <v>12.103999999999999</v>
      </c>
      <c r="J478" s="10">
        <f>CHOOSE(CONTROL!$C$42, 12.064, 12.064)* CHOOSE(CONTROL!$C$21, $C$9, 100%, $E$9)</f>
        <v>12.064</v>
      </c>
      <c r="K478" s="10">
        <f>CHOOSE(CONTROL!$C$42, 11.8836, 11.8836) * CHOOSE(CONTROL!$C$21, $C$9, 100%, $E$9)</f>
        <v>11.883599999999999</v>
      </c>
      <c r="L478" s="10">
        <f>CHOOSE(CONTROL!$C$42, 12.919, 12.919) * CHOOSE(CONTROL!$C$21, $C$9, 100%, $E$9)</f>
        <v>12.919</v>
      </c>
      <c r="M478" s="10">
        <f>CHOOSE(CONTROL!$C$42, 11.9409, 11.9409) * CHOOSE(CONTROL!$C$21, $C$9, 100%, $E$9)</f>
        <v>11.940899999999999</v>
      </c>
      <c r="N478" s="10">
        <f>CHOOSE(CONTROL!$C$42, 11.9573, 11.9573) * CHOOSE(CONTROL!$C$21, $C$9, 100%, $E$9)</f>
        <v>11.9573</v>
      </c>
      <c r="O478" s="10">
        <f>CHOOSE(CONTROL!$C$42, 12.2054, 12.2054) * CHOOSE(CONTROL!$C$21, $C$9, 100%, $E$9)</f>
        <v>12.205399999999999</v>
      </c>
      <c r="P478" s="10">
        <f>CHOOSE(CONTROL!$C$42, 11.9804, 11.9804) * CHOOSE(CONTROL!$C$21, $C$9, 100%, $E$9)</f>
        <v>11.980399999999999</v>
      </c>
      <c r="Q478" s="10">
        <f>CHOOSE(CONTROL!$C$42, 12.8007, 12.8007) * CHOOSE(CONTROL!$C$21, $C$9, 100%, $E$9)</f>
        <v>12.800700000000001</v>
      </c>
      <c r="R478" s="10">
        <f>CHOOSE(CONTROL!$C$42, 13.4197, 13.4197) * CHOOSE(CONTROL!$C$21, $C$9, 100%, $E$9)</f>
        <v>13.419700000000001</v>
      </c>
      <c r="S478" s="10">
        <f>CHOOSE(CONTROL!$C$42, 11.7595, 11.7595) * CHOOSE(CONTROL!$C$21, $C$9, 100%, $E$9)</f>
        <v>11.759499999999999</v>
      </c>
      <c r="T47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38">
        <f>(1000*CHOOSE(CONTROL!$C$42, 695, 695)*CHOOSE(CONTROL!$C$42, 0.5599, 0.5599)*CHOOSE(CONTROL!$C$42, 31, 31))/1000000</f>
        <v>12.063045499999998</v>
      </c>
      <c r="V478" s="38">
        <f>(1000*CHOOSE(CONTROL!$C$42, 500, 500)*CHOOSE(CONTROL!$C$42, 0.275, 0.275)*CHOOSE(CONTROL!$C$42, 31, 31))/1000000</f>
        <v>4.2625000000000002</v>
      </c>
      <c r="W478" s="38">
        <f>(1000*CHOOSE(CONTROL!$C$42, 0.1146, 0.1146)*CHOOSE(CONTROL!$C$42, 121.5, 121.5)*CHOOSE(CONTROL!$C$42, 31, 31))/1000000</f>
        <v>0.43164089999999994</v>
      </c>
      <c r="X478" s="38">
        <f>(31*0.1790888*245000/1000000)+(31*0.2374*100000/1000000)</f>
        <v>2.0961194359999999</v>
      </c>
      <c r="Y478" s="38">
        <f>(1000*600*CHOOSE(CONTROL!$C$42, 1.0722, 1.0722)*CHOOSE(CONTROL!$C$42, 31, 31))/1000000</f>
        <v>19.942920000000001</v>
      </c>
      <c r="Z478" s="38"/>
      <c r="AA478" s="10"/>
      <c r="AB478" s="39"/>
      <c r="AC478" s="33">
        <f>(B478*131.881+C478*277.167+D478*79.08+E478*125.872+F478*40+G478*185+H478*0+I478*100+J478*300)/(131.881+277.167+79.08+125.872+0+40+185+100+300)</f>
        <v>12.137391518563355</v>
      </c>
      <c r="AD478" s="27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12.024571223021585</v>
      </c>
    </row>
    <row r="479" spans="1:30" ht="15.75" x14ac:dyDescent="0.25">
      <c r="A479" s="14">
        <v>55853</v>
      </c>
      <c r="B479" s="10">
        <f>CHOOSE(CONTROL!$C$42, 12.4472, 12.4472) * CHOOSE(CONTROL!$C$21, $C$9, 100%, $E$9)</f>
        <v>12.4472</v>
      </c>
      <c r="C479" s="10">
        <f>CHOOSE(CONTROL!$C$42, 12.4523, 12.4523) * CHOOSE(CONTROL!$C$21, $C$9, 100%, $E$9)</f>
        <v>12.452299999999999</v>
      </c>
      <c r="D479" s="10">
        <f>CHOOSE(CONTROL!$C$42, 12.477, 12.477) * CHOOSE(CONTROL!$C$21, $C$9, 100%, $E$9)</f>
        <v>12.477</v>
      </c>
      <c r="E479" s="10">
        <f>CHOOSE(CONTROL!$C$42, 12.5108, 12.5108) * CHOOSE(CONTROL!$C$21, $C$9, 100%, $E$9)</f>
        <v>12.5108</v>
      </c>
      <c r="F479" s="10">
        <f>CHOOSE(CONTROL!$C$42, 12.4128, 12.4128)*CHOOSE(CONTROL!$C$21, $C$9, 100%, $E$9)</f>
        <v>12.412800000000001</v>
      </c>
      <c r="G479" s="10">
        <f>CHOOSE(CONTROL!$C$42, 12.4296, 12.4296)*CHOOSE(CONTROL!$C$21, $C$9, 100%, $E$9)</f>
        <v>12.429600000000001</v>
      </c>
      <c r="H479" s="10">
        <f>CHOOSE(CONTROL!$C$42, 12.4996, 12.4996) * CHOOSE(CONTROL!$C$21, $C$9, 100%, $E$9)</f>
        <v>12.499599999999999</v>
      </c>
      <c r="I479" s="10">
        <f>CHOOSE(CONTROL!$C$42, 12.4467, 12.4467)* CHOOSE(CONTROL!$C$21, $C$9, 100%, $E$9)</f>
        <v>12.4467</v>
      </c>
      <c r="J479" s="10">
        <f>CHOOSE(CONTROL!$C$42, 12.4054, 12.4054)* CHOOSE(CONTROL!$C$21, $C$9, 100%, $E$9)</f>
        <v>12.4054</v>
      </c>
      <c r="K479" s="10">
        <f>CHOOSE(CONTROL!$C$42, 12.2173, 12.2173) * CHOOSE(CONTROL!$C$21, $C$9, 100%, $E$9)</f>
        <v>12.2173</v>
      </c>
      <c r="L479" s="10">
        <f>CHOOSE(CONTROL!$C$42, 13.0866, 13.0866) * CHOOSE(CONTROL!$C$21, $C$9, 100%, $E$9)</f>
        <v>13.086600000000001</v>
      </c>
      <c r="M479" s="10">
        <f>CHOOSE(CONTROL!$C$42, 12.2779, 12.2779) * CHOOSE(CONTROL!$C$21, $C$9, 100%, $E$9)</f>
        <v>12.277900000000001</v>
      </c>
      <c r="N479" s="10">
        <f>CHOOSE(CONTROL!$C$42, 12.2945, 12.2945) * CHOOSE(CONTROL!$C$21, $C$9, 100%, $E$9)</f>
        <v>12.294499999999999</v>
      </c>
      <c r="O479" s="10">
        <f>CHOOSE(CONTROL!$C$42, 12.3709, 12.3709) * CHOOSE(CONTROL!$C$21, $C$9, 100%, $E$9)</f>
        <v>12.370900000000001</v>
      </c>
      <c r="P479" s="10">
        <f>CHOOSE(CONTROL!$C$42, 12.3186, 12.3186) * CHOOSE(CONTROL!$C$21, $C$9, 100%, $E$9)</f>
        <v>12.3186</v>
      </c>
      <c r="Q479" s="10">
        <f>CHOOSE(CONTROL!$C$42, 12.9662, 12.9662) * CHOOSE(CONTROL!$C$21, $C$9, 100%, $E$9)</f>
        <v>12.966200000000001</v>
      </c>
      <c r="R479" s="10">
        <f>CHOOSE(CONTROL!$C$42, 13.5856, 13.5856) * CHOOSE(CONTROL!$C$21, $C$9, 100%, $E$9)</f>
        <v>13.585599999999999</v>
      </c>
      <c r="S479" s="10">
        <f>CHOOSE(CONTROL!$C$42, 12.0692, 12.0692) * CHOOSE(CONTROL!$C$21, $C$9, 100%, $E$9)</f>
        <v>12.0692</v>
      </c>
      <c r="T47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38">
        <f>(1000*CHOOSE(CONTROL!$C$42, 695, 695)*CHOOSE(CONTROL!$C$42, 0.5599, 0.5599)*CHOOSE(CONTROL!$C$42, 30, 30))/1000000</f>
        <v>11.673914999999997</v>
      </c>
      <c r="V479" s="38">
        <f>(1000*CHOOSE(CONTROL!$C$42, 500, 500)*CHOOSE(CONTROL!$C$42, 0.275, 0.275)*CHOOSE(CONTROL!$C$42, 30, 30))/1000000</f>
        <v>4.125</v>
      </c>
      <c r="W479" s="38">
        <f>(1000*CHOOSE(CONTROL!$C$42, 0.1146, 0.1146)*CHOOSE(CONTROL!$C$42, 121.5, 121.5)*CHOOSE(CONTROL!$C$42, 30, 30))/1000000</f>
        <v>0.417717</v>
      </c>
      <c r="X479" s="38">
        <f>(30*0.1790888*100000/1000000)+(30*0.2374*100000/1000000)</f>
        <v>1.2494664</v>
      </c>
      <c r="Y479" s="38">
        <f>(1000*600*CHOOSE(CONTROL!$C$42, 1.0722, 1.0722)*CHOOSE(CONTROL!$C$42, 30, 30))/1000000</f>
        <v>19.299600000000002</v>
      </c>
      <c r="Z479" s="38"/>
      <c r="AA479" s="10"/>
      <c r="AB479" s="39"/>
      <c r="AC479" s="33">
        <f>(B479*122.58+C479*297.941+D479*89.177+E479*40.302+F479*40+G479*160+H479*0+I479*100+J479*300)/(122.58+297.941+89.177+40.302+0+40+160+100+300)</f>
        <v>12.438467983391304</v>
      </c>
      <c r="AD479" s="27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12.32686258992806</v>
      </c>
    </row>
    <row r="480" spans="1:30" ht="15.75" x14ac:dyDescent="0.25">
      <c r="A480" s="14">
        <v>55884</v>
      </c>
      <c r="B480" s="10">
        <f>CHOOSE(CONTROL!$C$42, 13.2969, 13.2969) * CHOOSE(CONTROL!$C$21, $C$9, 100%, $E$9)</f>
        <v>13.296900000000001</v>
      </c>
      <c r="C480" s="10">
        <f>CHOOSE(CONTROL!$C$42, 13.302, 13.302) * CHOOSE(CONTROL!$C$21, $C$9, 100%, $E$9)</f>
        <v>13.302</v>
      </c>
      <c r="D480" s="10">
        <f>CHOOSE(CONTROL!$C$42, 13.3267, 13.3267) * CHOOSE(CONTROL!$C$21, $C$9, 100%, $E$9)</f>
        <v>13.326700000000001</v>
      </c>
      <c r="E480" s="10">
        <f>CHOOSE(CONTROL!$C$42, 13.3605, 13.3605) * CHOOSE(CONTROL!$C$21, $C$9, 100%, $E$9)</f>
        <v>13.3605</v>
      </c>
      <c r="F480" s="10">
        <f>CHOOSE(CONTROL!$C$42, 13.2643, 13.2643)*CHOOSE(CONTROL!$C$21, $C$9, 100%, $E$9)</f>
        <v>13.2643</v>
      </c>
      <c r="G480" s="10">
        <f>CHOOSE(CONTROL!$C$42, 13.2816, 13.2816)*CHOOSE(CONTROL!$C$21, $C$9, 100%, $E$9)</f>
        <v>13.281599999999999</v>
      </c>
      <c r="H480" s="10">
        <f>CHOOSE(CONTROL!$C$42, 13.3494, 13.3494) * CHOOSE(CONTROL!$C$21, $C$9, 100%, $E$9)</f>
        <v>13.349399999999999</v>
      </c>
      <c r="I480" s="10">
        <f>CHOOSE(CONTROL!$C$42, 13.2964, 13.2964)* CHOOSE(CONTROL!$C$21, $C$9, 100%, $E$9)</f>
        <v>13.2964</v>
      </c>
      <c r="J480" s="10">
        <f>CHOOSE(CONTROL!$C$42, 13.2569, 13.2569)* CHOOSE(CONTROL!$C$21, $C$9, 100%, $E$9)</f>
        <v>13.2569</v>
      </c>
      <c r="K480" s="10">
        <f>CHOOSE(CONTROL!$C$42, 13.0444, 13.0444) * CHOOSE(CONTROL!$C$21, $C$9, 100%, $E$9)</f>
        <v>13.0444</v>
      </c>
      <c r="L480" s="10">
        <f>CHOOSE(CONTROL!$C$42, 13.9364, 13.9364) * CHOOSE(CONTROL!$C$21, $C$9, 100%, $E$9)</f>
        <v>13.936400000000001</v>
      </c>
      <c r="M480" s="10">
        <f>CHOOSE(CONTROL!$C$42, 13.1184, 13.1184) * CHOOSE(CONTROL!$C$21, $C$9, 100%, $E$9)</f>
        <v>13.118399999999999</v>
      </c>
      <c r="N480" s="10">
        <f>CHOOSE(CONTROL!$C$42, 13.1354, 13.1354) * CHOOSE(CONTROL!$C$21, $C$9, 100%, $E$9)</f>
        <v>13.135400000000001</v>
      </c>
      <c r="O480" s="10">
        <f>CHOOSE(CONTROL!$C$42, 13.2096, 13.2096) * CHOOSE(CONTROL!$C$21, $C$9, 100%, $E$9)</f>
        <v>13.2096</v>
      </c>
      <c r="P480" s="10">
        <f>CHOOSE(CONTROL!$C$42, 13.1574, 13.1574) * CHOOSE(CONTROL!$C$21, $C$9, 100%, $E$9)</f>
        <v>13.157400000000001</v>
      </c>
      <c r="Q480" s="10">
        <f>CHOOSE(CONTROL!$C$42, 13.8049, 13.8049) * CHOOSE(CONTROL!$C$21, $C$9, 100%, $E$9)</f>
        <v>13.8049</v>
      </c>
      <c r="R480" s="10">
        <f>CHOOSE(CONTROL!$C$42, 14.4264, 14.4264) * CHOOSE(CONTROL!$C$21, $C$9, 100%, $E$9)</f>
        <v>14.426399999999999</v>
      </c>
      <c r="S480" s="10">
        <f>CHOOSE(CONTROL!$C$42, 12.8921, 12.8921) * CHOOSE(CONTROL!$C$21, $C$9, 100%, $E$9)</f>
        <v>12.892099999999999</v>
      </c>
      <c r="T48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38">
        <f>(1000*CHOOSE(CONTROL!$C$42, 695, 695)*CHOOSE(CONTROL!$C$42, 0.5599, 0.5599)*CHOOSE(CONTROL!$C$42, 31, 31))/1000000</f>
        <v>12.063045499999998</v>
      </c>
      <c r="V480" s="38">
        <f>(1000*CHOOSE(CONTROL!$C$42, 500, 500)*CHOOSE(CONTROL!$C$42, 0.275, 0.275)*CHOOSE(CONTROL!$C$42, 31, 31))/1000000</f>
        <v>4.2625000000000002</v>
      </c>
      <c r="W480" s="38">
        <f>(1000*CHOOSE(CONTROL!$C$42, 0.1146, 0.1146)*CHOOSE(CONTROL!$C$42, 121.5, 121.5)*CHOOSE(CONTROL!$C$42, 31, 31))/1000000</f>
        <v>0.43164089999999994</v>
      </c>
      <c r="X480" s="38">
        <f>(31*0.1790888*100000/1000000)+(31*0.2374*100000/1000000)</f>
        <v>1.2911152800000001</v>
      </c>
      <c r="Y480" s="38">
        <f>(1000*600*CHOOSE(CONTROL!$C$42, 1.0722, 1.0722)*CHOOSE(CONTROL!$C$42, 31, 31))/1000000</f>
        <v>19.942920000000001</v>
      </c>
      <c r="Z480" s="38"/>
      <c r="AA480" s="10"/>
      <c r="AB480" s="39"/>
      <c r="AC480" s="33">
        <f>(B480*122.58+C480*297.941+D480*89.177+E480*40.302+F480*40+G480*160+H480*0+I480*100+J480*300)/(122.58+297.941+89.177+40.302+0+40+160+100+300)</f>
        <v>13.289020157304348</v>
      </c>
      <c r="AD480" s="27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13.166325179856115</v>
      </c>
    </row>
    <row r="481" spans="1:30" ht="15.75" x14ac:dyDescent="0.25">
      <c r="A481" s="14">
        <v>55915</v>
      </c>
      <c r="B481" s="10">
        <f>CHOOSE(CONTROL!$C$42, 14.1955, 14.1955) * CHOOSE(CONTROL!$C$21, $C$9, 100%, $E$9)</f>
        <v>14.195499999999999</v>
      </c>
      <c r="C481" s="10">
        <f>CHOOSE(CONTROL!$C$42, 14.2006, 14.2006) * CHOOSE(CONTROL!$C$21, $C$9, 100%, $E$9)</f>
        <v>14.2006</v>
      </c>
      <c r="D481" s="10">
        <f>CHOOSE(CONTROL!$C$42, 14.2356, 14.2356) * CHOOSE(CONTROL!$C$21, $C$9, 100%, $E$9)</f>
        <v>14.2356</v>
      </c>
      <c r="E481" s="10">
        <f>CHOOSE(CONTROL!$C$42, 14.2694, 14.2694) * CHOOSE(CONTROL!$C$21, $C$9, 100%, $E$9)</f>
        <v>14.269399999999999</v>
      </c>
      <c r="F481" s="10">
        <f>CHOOSE(CONTROL!$C$42, 14.1768, 14.1768)*CHOOSE(CONTROL!$C$21, $C$9, 100%, $E$9)</f>
        <v>14.1768</v>
      </c>
      <c r="G481" s="10">
        <f>CHOOSE(CONTROL!$C$42, 14.1957, 14.1957)*CHOOSE(CONTROL!$C$21, $C$9, 100%, $E$9)</f>
        <v>14.1957</v>
      </c>
      <c r="H481" s="10">
        <f>CHOOSE(CONTROL!$C$42, 14.2583, 14.2583) * CHOOSE(CONTROL!$C$21, $C$9, 100%, $E$9)</f>
        <v>14.2583</v>
      </c>
      <c r="I481" s="10">
        <f>CHOOSE(CONTROL!$C$42, 14.2027, 14.2027)* CHOOSE(CONTROL!$C$21, $C$9, 100%, $E$9)</f>
        <v>14.2027</v>
      </c>
      <c r="J481" s="10">
        <f>CHOOSE(CONTROL!$C$42, 14.1694, 14.1694)* CHOOSE(CONTROL!$C$21, $C$9, 100%, $E$9)</f>
        <v>14.1694</v>
      </c>
      <c r="K481" s="10">
        <f>CHOOSE(CONTROL!$C$42, 13.9357, 13.9357) * CHOOSE(CONTROL!$C$21, $C$9, 100%, $E$9)</f>
        <v>13.935700000000001</v>
      </c>
      <c r="L481" s="10">
        <f>CHOOSE(CONTROL!$C$42, 14.8453, 14.8453) * CHOOSE(CONTROL!$C$21, $C$9, 100%, $E$9)</f>
        <v>14.8453</v>
      </c>
      <c r="M481" s="10">
        <f>CHOOSE(CONTROL!$C$42, 14.019, 14.019) * CHOOSE(CONTROL!$C$21, $C$9, 100%, $E$9)</f>
        <v>14.019</v>
      </c>
      <c r="N481" s="10">
        <f>CHOOSE(CONTROL!$C$42, 14.0376, 14.0376) * CHOOSE(CONTROL!$C$21, $C$9, 100%, $E$9)</f>
        <v>14.037599999999999</v>
      </c>
      <c r="O481" s="10">
        <f>CHOOSE(CONTROL!$C$42, 14.1068, 14.1068) * CHOOSE(CONTROL!$C$21, $C$9, 100%, $E$9)</f>
        <v>14.1068</v>
      </c>
      <c r="P481" s="10">
        <f>CHOOSE(CONTROL!$C$42, 14.052, 14.052) * CHOOSE(CONTROL!$C$21, $C$9, 100%, $E$9)</f>
        <v>14.052</v>
      </c>
      <c r="Q481" s="10">
        <f>CHOOSE(CONTROL!$C$42, 14.7021, 14.7021) * CHOOSE(CONTROL!$C$21, $C$9, 100%, $E$9)</f>
        <v>14.7021</v>
      </c>
      <c r="R481" s="10">
        <f>CHOOSE(CONTROL!$C$42, 15.3258, 15.3258) * CHOOSE(CONTROL!$C$21, $C$9, 100%, $E$9)</f>
        <v>15.325799999999999</v>
      </c>
      <c r="S481" s="10">
        <f>CHOOSE(CONTROL!$C$42, 13.7622, 13.7622) * CHOOSE(CONTROL!$C$21, $C$9, 100%, $E$9)</f>
        <v>13.7622</v>
      </c>
      <c r="T48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38">
        <f>(1000*CHOOSE(CONTROL!$C$42, 695, 695)*CHOOSE(CONTROL!$C$42, 0.5599, 0.5599)*CHOOSE(CONTROL!$C$42, 31, 31))/1000000</f>
        <v>12.063045499999998</v>
      </c>
      <c r="V481" s="38">
        <f>(1000*CHOOSE(CONTROL!$C$42, 500, 500)*CHOOSE(CONTROL!$C$42, 0.275, 0.275)*CHOOSE(CONTROL!$C$42, 31, 31))/1000000</f>
        <v>4.2625000000000002</v>
      </c>
      <c r="W481" s="38">
        <f>(1000*CHOOSE(CONTROL!$C$42, 0.1146, 0.1146)*CHOOSE(CONTROL!$C$42, 121.5, 121.5)*CHOOSE(CONTROL!$C$42, 31, 31))/1000000</f>
        <v>0.43164089999999994</v>
      </c>
      <c r="X481" s="38">
        <f>(31*0.1790888*100000/1000000)+(31*0.2374*100000/1000000)</f>
        <v>1.2911152800000001</v>
      </c>
      <c r="Y481" s="38">
        <f>(1000*600*CHOOSE(CONTROL!$C$42, 1.0687, 1.0687)*CHOOSE(CONTROL!$C$42, 31, 31))/1000000</f>
        <v>19.87782</v>
      </c>
      <c r="Z481" s="38"/>
      <c r="AA481" s="10"/>
      <c r="AB481" s="39"/>
      <c r="AC481" s="33">
        <f>(B481*122.58+C481*297.941+D481*89.177+E481*40.302+F481*40+G481*160+H481*0+I481*100+J481*300)/(122.58+297.941+89.177+40.302+0+40+160+100+300)</f>
        <v>14.19571549095652</v>
      </c>
      <c r="AD481" s="27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14.064612949640289</v>
      </c>
    </row>
    <row r="482" spans="1:30" ht="15.75" x14ac:dyDescent="0.25">
      <c r="A482" s="14">
        <v>55943</v>
      </c>
      <c r="B482" s="10">
        <f>CHOOSE(CONTROL!$C$42, 14.4485, 14.4485) * CHOOSE(CONTROL!$C$21, $C$9, 100%, $E$9)</f>
        <v>14.448499999999999</v>
      </c>
      <c r="C482" s="10">
        <f>CHOOSE(CONTROL!$C$42, 14.4536, 14.4536) * CHOOSE(CONTROL!$C$21, $C$9, 100%, $E$9)</f>
        <v>14.4536</v>
      </c>
      <c r="D482" s="10">
        <f>CHOOSE(CONTROL!$C$42, 14.4886, 14.4886) * CHOOSE(CONTROL!$C$21, $C$9, 100%, $E$9)</f>
        <v>14.4886</v>
      </c>
      <c r="E482" s="10">
        <f>CHOOSE(CONTROL!$C$42, 14.5224, 14.5224) * CHOOSE(CONTROL!$C$21, $C$9, 100%, $E$9)</f>
        <v>14.522399999999999</v>
      </c>
      <c r="F482" s="10">
        <f>CHOOSE(CONTROL!$C$42, 14.4292, 14.4292)*CHOOSE(CONTROL!$C$21, $C$9, 100%, $E$9)</f>
        <v>14.4292</v>
      </c>
      <c r="G482" s="10">
        <f>CHOOSE(CONTROL!$C$42, 14.448, 14.448)*CHOOSE(CONTROL!$C$21, $C$9, 100%, $E$9)</f>
        <v>14.448</v>
      </c>
      <c r="H482" s="10">
        <f>CHOOSE(CONTROL!$C$42, 14.5113, 14.5113) * CHOOSE(CONTROL!$C$21, $C$9, 100%, $E$9)</f>
        <v>14.5113</v>
      </c>
      <c r="I482" s="10">
        <f>CHOOSE(CONTROL!$C$42, 14.4557, 14.4557)* CHOOSE(CONTROL!$C$21, $C$9, 100%, $E$9)</f>
        <v>14.4557</v>
      </c>
      <c r="J482" s="10">
        <f>CHOOSE(CONTROL!$C$42, 14.4218, 14.4218)* CHOOSE(CONTROL!$C$21, $C$9, 100%, $E$9)</f>
        <v>14.421799999999999</v>
      </c>
      <c r="K482" s="10">
        <f>CHOOSE(CONTROL!$C$42, 14.1797, 14.1797) * CHOOSE(CONTROL!$C$21, $C$9, 100%, $E$9)</f>
        <v>14.1797</v>
      </c>
      <c r="L482" s="10">
        <f>CHOOSE(CONTROL!$C$42, 15.0983, 15.0983) * CHOOSE(CONTROL!$C$21, $C$9, 100%, $E$9)</f>
        <v>15.0983</v>
      </c>
      <c r="M482" s="10">
        <f>CHOOSE(CONTROL!$C$42, 14.2682, 14.2682) * CHOOSE(CONTROL!$C$21, $C$9, 100%, $E$9)</f>
        <v>14.2682</v>
      </c>
      <c r="N482" s="10">
        <f>CHOOSE(CONTROL!$C$42, 14.2867, 14.2867) * CHOOSE(CONTROL!$C$21, $C$9, 100%, $E$9)</f>
        <v>14.2867</v>
      </c>
      <c r="O482" s="10">
        <f>CHOOSE(CONTROL!$C$42, 14.3565, 14.3565) * CHOOSE(CONTROL!$C$21, $C$9, 100%, $E$9)</f>
        <v>14.3565</v>
      </c>
      <c r="P482" s="10">
        <f>CHOOSE(CONTROL!$C$42, 14.3017, 14.3017) * CHOOSE(CONTROL!$C$21, $C$9, 100%, $E$9)</f>
        <v>14.3017</v>
      </c>
      <c r="Q482" s="10">
        <f>CHOOSE(CONTROL!$C$42, 14.9518, 14.9518) * CHOOSE(CONTROL!$C$21, $C$9, 100%, $E$9)</f>
        <v>14.9518</v>
      </c>
      <c r="R482" s="10">
        <f>CHOOSE(CONTROL!$C$42, 15.5762, 15.5762) * CHOOSE(CONTROL!$C$21, $C$9, 100%, $E$9)</f>
        <v>15.5762</v>
      </c>
      <c r="S482" s="10">
        <f>CHOOSE(CONTROL!$C$42, 14.0071, 14.0071) * CHOOSE(CONTROL!$C$21, $C$9, 100%, $E$9)</f>
        <v>14.007099999999999</v>
      </c>
      <c r="T48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82" s="38">
        <f>(1000*CHOOSE(CONTROL!$C$42, 695, 695)*CHOOSE(CONTROL!$C$42, 0.5599, 0.5599)*CHOOSE(CONTROL!$C$42, 28, 28))/1000000</f>
        <v>10.895653999999999</v>
      </c>
      <c r="V482" s="38">
        <f>(1000*CHOOSE(CONTROL!$C$42, 500, 500)*CHOOSE(CONTROL!$C$42, 0.275, 0.275)*CHOOSE(CONTROL!$C$42, 28, 28))/1000000</f>
        <v>3.85</v>
      </c>
      <c r="W482" s="38">
        <f>(1000*CHOOSE(CONTROL!$C$42, 0.1146, 0.1146)*CHOOSE(CONTROL!$C$42, 121.5, 121.5)*CHOOSE(CONTROL!$C$42, 28, 28))/1000000</f>
        <v>0.38986920000000003</v>
      </c>
      <c r="X482" s="38">
        <f>(28*0.1790888*100000/1000000)+(28*0.2374*100000/1000000)</f>
        <v>1.16616864</v>
      </c>
      <c r="Y482" s="38">
        <f>(1000*600*CHOOSE(CONTROL!$C$42, 1.0687, 1.0687)*CHOOSE(CONTROL!$C$42, 28, 28))/1000000</f>
        <v>17.954160000000002</v>
      </c>
      <c r="Z482" s="38"/>
      <c r="AA482" s="10"/>
      <c r="AB482" s="39"/>
      <c r="AC482" s="33">
        <f>(B482*122.58+C482*297.941+D482*89.177+E482*40.302+F482*40+G482*160+H482*0+I482*100+J482*300)/(122.58+297.941+89.177+40.302+0+40+160+100+300)</f>
        <v>14.448440708347825</v>
      </c>
      <c r="AD482" s="27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14.314105755395683</v>
      </c>
    </row>
    <row r="483" spans="1:30" ht="15.75" x14ac:dyDescent="0.25">
      <c r="A483" s="14">
        <v>55974</v>
      </c>
      <c r="B483" s="10">
        <f>CHOOSE(CONTROL!$C$42, 14.0378, 14.0378) * CHOOSE(CONTROL!$C$21, $C$9, 100%, $E$9)</f>
        <v>14.037800000000001</v>
      </c>
      <c r="C483" s="10">
        <f>CHOOSE(CONTROL!$C$42, 14.0429, 14.0429) * CHOOSE(CONTROL!$C$21, $C$9, 100%, $E$9)</f>
        <v>14.042899999999999</v>
      </c>
      <c r="D483" s="10">
        <f>CHOOSE(CONTROL!$C$42, 14.0779, 14.0779) * CHOOSE(CONTROL!$C$21, $C$9, 100%, $E$9)</f>
        <v>14.0779</v>
      </c>
      <c r="E483" s="10">
        <f>CHOOSE(CONTROL!$C$42, 14.1117, 14.1117) * CHOOSE(CONTROL!$C$21, $C$9, 100%, $E$9)</f>
        <v>14.111700000000001</v>
      </c>
      <c r="F483" s="10">
        <f>CHOOSE(CONTROL!$C$42, 14.0172, 14.0172)*CHOOSE(CONTROL!$C$21, $C$9, 100%, $E$9)</f>
        <v>14.017200000000001</v>
      </c>
      <c r="G483" s="10">
        <f>CHOOSE(CONTROL!$C$42, 14.0356, 14.0356)*CHOOSE(CONTROL!$C$21, $C$9, 100%, $E$9)</f>
        <v>14.035600000000001</v>
      </c>
      <c r="H483" s="10">
        <f>CHOOSE(CONTROL!$C$42, 14.1006, 14.1006) * CHOOSE(CONTROL!$C$21, $C$9, 100%, $E$9)</f>
        <v>14.1006</v>
      </c>
      <c r="I483" s="10">
        <f>CHOOSE(CONTROL!$C$42, 14.0451, 14.0451)* CHOOSE(CONTROL!$C$21, $C$9, 100%, $E$9)</f>
        <v>14.0451</v>
      </c>
      <c r="J483" s="10">
        <f>CHOOSE(CONTROL!$C$42, 14.0098, 14.0098)* CHOOSE(CONTROL!$C$21, $C$9, 100%, $E$9)</f>
        <v>14.0098</v>
      </c>
      <c r="K483" s="10">
        <f>CHOOSE(CONTROL!$C$42, 13.7788, 13.7788) * CHOOSE(CONTROL!$C$21, $C$9, 100%, $E$9)</f>
        <v>13.7788</v>
      </c>
      <c r="L483" s="10">
        <f>CHOOSE(CONTROL!$C$42, 14.6876, 14.6876) * CHOOSE(CONTROL!$C$21, $C$9, 100%, $E$9)</f>
        <v>14.6876</v>
      </c>
      <c r="M483" s="10">
        <f>CHOOSE(CONTROL!$C$42, 13.8615, 13.8615) * CHOOSE(CONTROL!$C$21, $C$9, 100%, $E$9)</f>
        <v>13.861499999999999</v>
      </c>
      <c r="N483" s="10">
        <f>CHOOSE(CONTROL!$C$42, 13.8796, 13.8796) * CHOOSE(CONTROL!$C$21, $C$9, 100%, $E$9)</f>
        <v>13.8796</v>
      </c>
      <c r="O483" s="10">
        <f>CHOOSE(CONTROL!$C$42, 13.9511, 13.9511) * CHOOSE(CONTROL!$C$21, $C$9, 100%, $E$9)</f>
        <v>13.9511</v>
      </c>
      <c r="P483" s="10">
        <f>CHOOSE(CONTROL!$C$42, 13.8963, 13.8963) * CHOOSE(CONTROL!$C$21, $C$9, 100%, $E$9)</f>
        <v>13.8963</v>
      </c>
      <c r="Q483" s="10">
        <f>CHOOSE(CONTROL!$C$42, 14.5464, 14.5464) * CHOOSE(CONTROL!$C$21, $C$9, 100%, $E$9)</f>
        <v>14.5464</v>
      </c>
      <c r="R483" s="10">
        <f>CHOOSE(CONTROL!$C$42, 15.1698, 15.1698) * CHOOSE(CONTROL!$C$21, $C$9, 100%, $E$9)</f>
        <v>15.1698</v>
      </c>
      <c r="S483" s="10">
        <f>CHOOSE(CONTROL!$C$42, 13.6095, 13.6095) * CHOOSE(CONTROL!$C$21, $C$9, 100%, $E$9)</f>
        <v>13.609500000000001</v>
      </c>
      <c r="T48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38">
        <f>(1000*CHOOSE(CONTROL!$C$42, 695, 695)*CHOOSE(CONTROL!$C$42, 0.5599, 0.5599)*CHOOSE(CONTROL!$C$42, 31, 31))/1000000</f>
        <v>12.063045499999998</v>
      </c>
      <c r="V483" s="38">
        <f>(1000*CHOOSE(CONTROL!$C$42, 500, 500)*CHOOSE(CONTROL!$C$42, 0.275, 0.275)*CHOOSE(CONTROL!$C$42, 31, 31))/1000000</f>
        <v>4.2625000000000002</v>
      </c>
      <c r="W483" s="38">
        <f>(1000*CHOOSE(CONTROL!$C$42, 0.1146, 0.1146)*CHOOSE(CONTROL!$C$42, 121.5, 121.5)*CHOOSE(CONTROL!$C$42, 31, 31))/1000000</f>
        <v>0.43164089999999994</v>
      </c>
      <c r="X483" s="38">
        <f>(31*0.1790888*100000/1000000)+(31*0.2374*100000/1000000)</f>
        <v>1.2911152800000001</v>
      </c>
      <c r="Y483" s="38">
        <f>(1000*600*CHOOSE(CONTROL!$C$42, 1.0687, 1.0687)*CHOOSE(CONTROL!$C$42, 31, 31))/1000000</f>
        <v>19.87782</v>
      </c>
      <c r="Z483" s="38"/>
      <c r="AA483" s="10"/>
      <c r="AB483" s="39"/>
      <c r="AC483" s="33">
        <f>(B483*122.58+C483*297.941+D483*89.177+E483*40.302+F483*40+G483*160+H483*0+I483*100+J483*300)/(122.58+297.941+89.177+40.302+0+40+160+100+300)</f>
        <v>14.037128534434784</v>
      </c>
      <c r="AD483" s="27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13.908158992805756</v>
      </c>
    </row>
    <row r="484" spans="1:30" ht="15.75" x14ac:dyDescent="0.25">
      <c r="A484" s="14">
        <v>56004</v>
      </c>
      <c r="B484" s="10">
        <f>CHOOSE(CONTROL!$C$42, 13.9965, 13.9965) * CHOOSE(CONTROL!$C$21, $C$9, 100%, $E$9)</f>
        <v>13.996499999999999</v>
      </c>
      <c r="C484" s="10">
        <f>CHOOSE(CONTROL!$C$42, 14.001, 14.001) * CHOOSE(CONTROL!$C$21, $C$9, 100%, $E$9)</f>
        <v>14.000999999999999</v>
      </c>
      <c r="D484" s="10">
        <f>CHOOSE(CONTROL!$C$42, 14.1792, 14.1792) * CHOOSE(CONTROL!$C$21, $C$9, 100%, $E$9)</f>
        <v>14.1792</v>
      </c>
      <c r="E484" s="10">
        <f>CHOOSE(CONTROL!$C$42, 14.2111, 14.2111) * CHOOSE(CONTROL!$C$21, $C$9, 100%, $E$9)</f>
        <v>14.2111</v>
      </c>
      <c r="F484" s="10">
        <f>CHOOSE(CONTROL!$C$42, 13.94, 13.94)*CHOOSE(CONTROL!$C$21, $C$9, 100%, $E$9)</f>
        <v>13.94</v>
      </c>
      <c r="G484" s="10">
        <f>CHOOSE(CONTROL!$C$42, 13.9566, 13.9566)*CHOOSE(CONTROL!$C$21, $C$9, 100%, $E$9)</f>
        <v>13.9566</v>
      </c>
      <c r="H484" s="10">
        <f>CHOOSE(CONTROL!$C$42, 14.2005, 14.2005) * CHOOSE(CONTROL!$C$21, $C$9, 100%, $E$9)</f>
        <v>14.2005</v>
      </c>
      <c r="I484" s="10">
        <f>CHOOSE(CONTROL!$C$42, 13.9725, 13.9725)* CHOOSE(CONTROL!$C$21, $C$9, 100%, $E$9)</f>
        <v>13.9725</v>
      </c>
      <c r="J484" s="10">
        <f>CHOOSE(CONTROL!$C$42, 13.9326, 13.9326)* CHOOSE(CONTROL!$C$21, $C$9, 100%, $E$9)</f>
        <v>13.932600000000001</v>
      </c>
      <c r="K484" s="10">
        <f>CHOOSE(CONTROL!$C$42, 13.6938, 13.6938) * CHOOSE(CONTROL!$C$21, $C$9, 100%, $E$9)</f>
        <v>13.6938</v>
      </c>
      <c r="L484" s="10">
        <f>CHOOSE(CONTROL!$C$42, 14.7875, 14.7875) * CHOOSE(CONTROL!$C$21, $C$9, 100%, $E$9)</f>
        <v>14.7875</v>
      </c>
      <c r="M484" s="10">
        <f>CHOOSE(CONTROL!$C$42, 13.7852, 13.7852) * CHOOSE(CONTROL!$C$21, $C$9, 100%, $E$9)</f>
        <v>13.7852</v>
      </c>
      <c r="N484" s="10">
        <f>CHOOSE(CONTROL!$C$42, 13.8016, 13.8016) * CHOOSE(CONTROL!$C$21, $C$9, 100%, $E$9)</f>
        <v>13.801600000000001</v>
      </c>
      <c r="O484" s="10">
        <f>CHOOSE(CONTROL!$C$42, 14.0498, 14.0498) * CHOOSE(CONTROL!$C$21, $C$9, 100%, $E$9)</f>
        <v>14.049799999999999</v>
      </c>
      <c r="P484" s="10">
        <f>CHOOSE(CONTROL!$C$42, 13.8247, 13.8247) * CHOOSE(CONTROL!$C$21, $C$9, 100%, $E$9)</f>
        <v>13.8247</v>
      </c>
      <c r="Q484" s="10">
        <f>CHOOSE(CONTROL!$C$42, 14.6451, 14.6451) * CHOOSE(CONTROL!$C$21, $C$9, 100%, $E$9)</f>
        <v>14.645099999999999</v>
      </c>
      <c r="R484" s="10">
        <f>CHOOSE(CONTROL!$C$42, 15.2687, 15.2687) * CHOOSE(CONTROL!$C$21, $C$9, 100%, $E$9)</f>
        <v>15.268700000000001</v>
      </c>
      <c r="S484" s="10">
        <f>CHOOSE(CONTROL!$C$42, 13.5687, 13.5687) * CHOOSE(CONTROL!$C$21, $C$9, 100%, $E$9)</f>
        <v>13.5687</v>
      </c>
      <c r="T48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38">
        <f>(1000*CHOOSE(CONTROL!$C$42, 695, 695)*CHOOSE(CONTROL!$C$42, 0.5599, 0.5599)*CHOOSE(CONTROL!$C$42, 30, 30))/1000000</f>
        <v>11.673914999999997</v>
      </c>
      <c r="V484" s="38">
        <f>(1000*CHOOSE(CONTROL!$C$42, 500, 500)*CHOOSE(CONTROL!$C$42, 0.275, 0.275)*CHOOSE(CONTROL!$C$42, 30, 30))/1000000</f>
        <v>4.125</v>
      </c>
      <c r="W484" s="38">
        <f>(1000*CHOOSE(CONTROL!$C$42, 0.1146, 0.1146)*CHOOSE(CONTROL!$C$42, 121.5, 121.5)*CHOOSE(CONTROL!$C$42, 30, 30))/1000000</f>
        <v>0.417717</v>
      </c>
      <c r="X484" s="38">
        <f>(30*0.1790888*245000/1000000)+(30*0.2374*100000/1000000)</f>
        <v>2.0285026799999999</v>
      </c>
      <c r="Y484" s="38">
        <f>(1000*600*CHOOSE(CONTROL!$C$42, 1.0687, 1.0687)*CHOOSE(CONTROL!$C$42, 30, 30))/1000000</f>
        <v>19.236599999999999</v>
      </c>
      <c r="Z484" s="38"/>
      <c r="AA484" s="10"/>
      <c r="AB484" s="39"/>
      <c r="AC484" s="33">
        <f>(B484*141.293+C484*267.993+D484*115.016+E484*89.698+F484*40+G484*185+H484*0+I484*100+J484*300)/(141.293+267.993+115.016+89.698+0+40+185+100+300)</f>
        <v>14.004778516949155</v>
      </c>
      <c r="AD484" s="27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13.868899280575537</v>
      </c>
    </row>
    <row r="485" spans="1:30" ht="15.75" x14ac:dyDescent="0.25">
      <c r="A485" s="14">
        <v>56035</v>
      </c>
      <c r="B485" s="10">
        <f>CHOOSE(CONTROL!$C$42, 14.1219, 14.1219) * CHOOSE(CONTROL!$C$21, $C$9, 100%, $E$9)</f>
        <v>14.1219</v>
      </c>
      <c r="C485" s="10">
        <f>CHOOSE(CONTROL!$C$42, 14.1299, 14.1299) * CHOOSE(CONTROL!$C$21, $C$9, 100%, $E$9)</f>
        <v>14.129899999999999</v>
      </c>
      <c r="D485" s="10">
        <f>CHOOSE(CONTROL!$C$42, 14.3051, 14.3051) * CHOOSE(CONTROL!$C$21, $C$9, 100%, $E$9)</f>
        <v>14.305099999999999</v>
      </c>
      <c r="E485" s="10">
        <f>CHOOSE(CONTROL!$C$42, 14.3363, 14.3363) * CHOOSE(CONTROL!$C$21, $C$9, 100%, $E$9)</f>
        <v>14.3363</v>
      </c>
      <c r="F485" s="10">
        <f>CHOOSE(CONTROL!$C$42, 14.0636, 14.0636)*CHOOSE(CONTROL!$C$21, $C$9, 100%, $E$9)</f>
        <v>14.063599999999999</v>
      </c>
      <c r="G485" s="10">
        <f>CHOOSE(CONTROL!$C$42, 14.0805, 14.0805)*CHOOSE(CONTROL!$C$21, $C$9, 100%, $E$9)</f>
        <v>14.080500000000001</v>
      </c>
      <c r="H485" s="10">
        <f>CHOOSE(CONTROL!$C$42, 14.3246, 14.3246) * CHOOSE(CONTROL!$C$21, $C$9, 100%, $E$9)</f>
        <v>14.3246</v>
      </c>
      <c r="I485" s="10">
        <f>CHOOSE(CONTROL!$C$42, 14.0966, 14.0966)* CHOOSE(CONTROL!$C$21, $C$9, 100%, $E$9)</f>
        <v>14.0966</v>
      </c>
      <c r="J485" s="10">
        <f>CHOOSE(CONTROL!$C$42, 14.0562, 14.0562)* CHOOSE(CONTROL!$C$21, $C$9, 100%, $E$9)</f>
        <v>14.0562</v>
      </c>
      <c r="K485" s="10">
        <f>CHOOSE(CONTROL!$C$42, 13.8132, 13.8132) * CHOOSE(CONTROL!$C$21, $C$9, 100%, $E$9)</f>
        <v>13.8132</v>
      </c>
      <c r="L485" s="10">
        <f>CHOOSE(CONTROL!$C$42, 14.9116, 14.9116) * CHOOSE(CONTROL!$C$21, $C$9, 100%, $E$9)</f>
        <v>14.9116</v>
      </c>
      <c r="M485" s="10">
        <f>CHOOSE(CONTROL!$C$42, 13.9073, 13.9073) * CHOOSE(CONTROL!$C$21, $C$9, 100%, $E$9)</f>
        <v>13.907299999999999</v>
      </c>
      <c r="N485" s="10">
        <f>CHOOSE(CONTROL!$C$42, 13.924, 13.924) * CHOOSE(CONTROL!$C$21, $C$9, 100%, $E$9)</f>
        <v>13.923999999999999</v>
      </c>
      <c r="O485" s="10">
        <f>CHOOSE(CONTROL!$C$42, 14.1722, 14.1722) * CHOOSE(CONTROL!$C$21, $C$9, 100%, $E$9)</f>
        <v>14.1722</v>
      </c>
      <c r="P485" s="10">
        <f>CHOOSE(CONTROL!$C$42, 13.9472, 13.9472) * CHOOSE(CONTROL!$C$21, $C$9, 100%, $E$9)</f>
        <v>13.9472</v>
      </c>
      <c r="Q485" s="10">
        <f>CHOOSE(CONTROL!$C$42, 14.7675, 14.7675) * CHOOSE(CONTROL!$C$21, $C$9, 100%, $E$9)</f>
        <v>14.7675</v>
      </c>
      <c r="R485" s="10">
        <f>CHOOSE(CONTROL!$C$42, 15.3914, 15.3914) * CHOOSE(CONTROL!$C$21, $C$9, 100%, $E$9)</f>
        <v>15.391400000000001</v>
      </c>
      <c r="S485" s="10">
        <f>CHOOSE(CONTROL!$C$42, 13.6889, 13.6889) * CHOOSE(CONTROL!$C$21, $C$9, 100%, $E$9)</f>
        <v>13.6889</v>
      </c>
      <c r="T48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38">
        <f>(1000*CHOOSE(CONTROL!$C$42, 695, 695)*CHOOSE(CONTROL!$C$42, 0.5599, 0.5599)*CHOOSE(CONTROL!$C$42, 31, 31))/1000000</f>
        <v>12.063045499999998</v>
      </c>
      <c r="V485" s="38">
        <f>(1000*CHOOSE(CONTROL!$C$42, 500, 500)*CHOOSE(CONTROL!$C$42, 0.275, 0.275)*CHOOSE(CONTROL!$C$42, 31, 31))/1000000</f>
        <v>4.2625000000000002</v>
      </c>
      <c r="W485" s="38">
        <f>(1000*CHOOSE(CONTROL!$C$42, 0.1146, 0.1146)*CHOOSE(CONTROL!$C$42, 121.5, 121.5)*CHOOSE(CONTROL!$C$42, 31, 31))/1000000</f>
        <v>0.43164089999999994</v>
      </c>
      <c r="X485" s="38">
        <f>(31*0.1790888*245000/1000000)+(31*0.2374*100000/1000000)</f>
        <v>2.0961194359999999</v>
      </c>
      <c r="Y485" s="38">
        <f>(1000*600*CHOOSE(CONTROL!$C$42, 1.0687, 1.0687)*CHOOSE(CONTROL!$C$42, 31, 31))/1000000</f>
        <v>19.87782</v>
      </c>
      <c r="Z485" s="38"/>
      <c r="AA485" s="10"/>
      <c r="AB485" s="39"/>
      <c r="AC485" s="33">
        <f>(B485*194.205+C485*267.466+D485*133.845+E485*53.484+F485*40+G485*185+H485*0+I485*100+J485*300)/(194.205+267.466+133.845+53.484+0+40+185+100+300)</f>
        <v>14.126528023233908</v>
      </c>
      <c r="AD485" s="27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13.991210071942445</v>
      </c>
    </row>
    <row r="486" spans="1:30" ht="15.75" x14ac:dyDescent="0.25">
      <c r="A486" s="14">
        <v>56065</v>
      </c>
      <c r="B486" s="10">
        <f>CHOOSE(CONTROL!$C$42, 14.5229, 14.5229) * CHOOSE(CONTROL!$C$21, $C$9, 100%, $E$9)</f>
        <v>14.5229</v>
      </c>
      <c r="C486" s="10">
        <f>CHOOSE(CONTROL!$C$42, 14.5309, 14.5309) * CHOOSE(CONTROL!$C$21, $C$9, 100%, $E$9)</f>
        <v>14.530900000000001</v>
      </c>
      <c r="D486" s="10">
        <f>CHOOSE(CONTROL!$C$42, 14.706, 14.706) * CHOOSE(CONTROL!$C$21, $C$9, 100%, $E$9)</f>
        <v>14.706</v>
      </c>
      <c r="E486" s="10">
        <f>CHOOSE(CONTROL!$C$42, 14.7373, 14.7373) * CHOOSE(CONTROL!$C$21, $C$9, 100%, $E$9)</f>
        <v>14.737299999999999</v>
      </c>
      <c r="F486" s="10">
        <f>CHOOSE(CONTROL!$C$42, 14.4648, 14.4648)*CHOOSE(CONTROL!$C$21, $C$9, 100%, $E$9)</f>
        <v>14.4648</v>
      </c>
      <c r="G486" s="10">
        <f>CHOOSE(CONTROL!$C$42, 14.4817, 14.4817)*CHOOSE(CONTROL!$C$21, $C$9, 100%, $E$9)</f>
        <v>14.4817</v>
      </c>
      <c r="H486" s="10">
        <f>CHOOSE(CONTROL!$C$42, 14.7256, 14.7256) * CHOOSE(CONTROL!$C$21, $C$9, 100%, $E$9)</f>
        <v>14.7256</v>
      </c>
      <c r="I486" s="10">
        <f>CHOOSE(CONTROL!$C$42, 14.4976, 14.4976)* CHOOSE(CONTROL!$C$21, $C$9, 100%, $E$9)</f>
        <v>14.4976</v>
      </c>
      <c r="J486" s="10">
        <f>CHOOSE(CONTROL!$C$42, 14.4574, 14.4574)* CHOOSE(CONTROL!$C$21, $C$9, 100%, $E$9)</f>
        <v>14.4574</v>
      </c>
      <c r="K486" s="10">
        <f>CHOOSE(CONTROL!$C$42, 14.202, 14.202) * CHOOSE(CONTROL!$C$21, $C$9, 100%, $E$9)</f>
        <v>14.202</v>
      </c>
      <c r="L486" s="10">
        <f>CHOOSE(CONTROL!$C$42, 15.3126, 15.3126) * CHOOSE(CONTROL!$C$21, $C$9, 100%, $E$9)</f>
        <v>15.3126</v>
      </c>
      <c r="M486" s="10">
        <f>CHOOSE(CONTROL!$C$42, 14.3033, 14.3033) * CHOOSE(CONTROL!$C$21, $C$9, 100%, $E$9)</f>
        <v>14.3033</v>
      </c>
      <c r="N486" s="10">
        <f>CHOOSE(CONTROL!$C$42, 14.32, 14.32) * CHOOSE(CONTROL!$C$21, $C$9, 100%, $E$9)</f>
        <v>14.32</v>
      </c>
      <c r="O486" s="10">
        <f>CHOOSE(CONTROL!$C$42, 14.568, 14.568) * CHOOSE(CONTROL!$C$21, $C$9, 100%, $E$9)</f>
        <v>14.568</v>
      </c>
      <c r="P486" s="10">
        <f>CHOOSE(CONTROL!$C$42, 14.343, 14.343) * CHOOSE(CONTROL!$C$21, $C$9, 100%, $E$9)</f>
        <v>14.343</v>
      </c>
      <c r="Q486" s="10">
        <f>CHOOSE(CONTROL!$C$42, 15.1633, 15.1633) * CHOOSE(CONTROL!$C$21, $C$9, 100%, $E$9)</f>
        <v>15.1633</v>
      </c>
      <c r="R486" s="10">
        <f>CHOOSE(CONTROL!$C$42, 15.7882, 15.7882) * CHOOSE(CONTROL!$C$21, $C$9, 100%, $E$9)</f>
        <v>15.7882</v>
      </c>
      <c r="S486" s="10">
        <f>CHOOSE(CONTROL!$C$42, 14.0771, 14.0771) * CHOOSE(CONTROL!$C$21, $C$9, 100%, $E$9)</f>
        <v>14.0771</v>
      </c>
      <c r="T48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38">
        <f>(1000*CHOOSE(CONTROL!$C$42, 695, 695)*CHOOSE(CONTROL!$C$42, 0.5599, 0.5599)*CHOOSE(CONTROL!$C$42, 30, 30))/1000000</f>
        <v>11.673914999999997</v>
      </c>
      <c r="V486" s="38">
        <f>(1000*CHOOSE(CONTROL!$C$42, 500, 500)*CHOOSE(CONTROL!$C$42, 0.275, 0.275)*CHOOSE(CONTROL!$C$42, 30, 30))/1000000</f>
        <v>4.125</v>
      </c>
      <c r="W486" s="38">
        <f>(1000*CHOOSE(CONTROL!$C$42, 0.1146, 0.1146)*CHOOSE(CONTROL!$C$42, 121.5, 121.5)*CHOOSE(CONTROL!$C$42, 30, 30))/1000000</f>
        <v>0.417717</v>
      </c>
      <c r="X486" s="38">
        <f>(30*0.1790888*245000/1000000)+(30*0.2374*100000/1000000)</f>
        <v>2.0285026799999999</v>
      </c>
      <c r="Y486" s="38">
        <f>(1000*600*CHOOSE(CONTROL!$C$42, 1.0687, 1.0687)*CHOOSE(CONTROL!$C$42, 30, 30))/1000000</f>
        <v>19.236599999999999</v>
      </c>
      <c r="Z486" s="38"/>
      <c r="AA486" s="10"/>
      <c r="AB486" s="39"/>
      <c r="AC486" s="33">
        <f>(B486*194.205+C486*267.466+D486*133.845+E486*53.484+F486*40+G486*185+H486*0+I486*100+J486*300)/(194.205+267.466+133.845+53.484+0+40+185+100+300)</f>
        <v>14.527599934929359</v>
      </c>
      <c r="AD486" s="27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14.387125179856115</v>
      </c>
    </row>
    <row r="487" spans="1:30" ht="15.75" x14ac:dyDescent="0.25">
      <c r="A487" s="14">
        <v>56096</v>
      </c>
      <c r="B487" s="10">
        <f>CHOOSE(CONTROL!$C$42, 14.244, 14.244) * CHOOSE(CONTROL!$C$21, $C$9, 100%, $E$9)</f>
        <v>14.244</v>
      </c>
      <c r="C487" s="10">
        <f>CHOOSE(CONTROL!$C$42, 14.252, 14.252) * CHOOSE(CONTROL!$C$21, $C$9, 100%, $E$9)</f>
        <v>14.252000000000001</v>
      </c>
      <c r="D487" s="10">
        <f>CHOOSE(CONTROL!$C$42, 14.4272, 14.4272) * CHOOSE(CONTROL!$C$21, $C$9, 100%, $E$9)</f>
        <v>14.427199999999999</v>
      </c>
      <c r="E487" s="10">
        <f>CHOOSE(CONTROL!$C$42, 14.4584, 14.4584) * CHOOSE(CONTROL!$C$21, $C$9, 100%, $E$9)</f>
        <v>14.458399999999999</v>
      </c>
      <c r="F487" s="10">
        <f>CHOOSE(CONTROL!$C$42, 14.1863, 14.1863)*CHOOSE(CONTROL!$C$21, $C$9, 100%, $E$9)</f>
        <v>14.186299999999999</v>
      </c>
      <c r="G487" s="10">
        <f>CHOOSE(CONTROL!$C$42, 14.2033, 14.2033)*CHOOSE(CONTROL!$C$21, $C$9, 100%, $E$9)</f>
        <v>14.2033</v>
      </c>
      <c r="H487" s="10">
        <f>CHOOSE(CONTROL!$C$42, 14.4467, 14.4467) * CHOOSE(CONTROL!$C$21, $C$9, 100%, $E$9)</f>
        <v>14.4467</v>
      </c>
      <c r="I487" s="10">
        <f>CHOOSE(CONTROL!$C$42, 14.2187, 14.2187)* CHOOSE(CONTROL!$C$21, $C$9, 100%, $E$9)</f>
        <v>14.2187</v>
      </c>
      <c r="J487" s="10">
        <f>CHOOSE(CONTROL!$C$42, 14.1789, 14.1789)* CHOOSE(CONTROL!$C$21, $C$9, 100%, $E$9)</f>
        <v>14.178900000000001</v>
      </c>
      <c r="K487" s="10">
        <f>CHOOSE(CONTROL!$C$42, 13.9326, 13.9326) * CHOOSE(CONTROL!$C$21, $C$9, 100%, $E$9)</f>
        <v>13.932600000000001</v>
      </c>
      <c r="L487" s="10">
        <f>CHOOSE(CONTROL!$C$42, 15.0337, 15.0337) * CHOOSE(CONTROL!$C$21, $C$9, 100%, $E$9)</f>
        <v>15.0337</v>
      </c>
      <c r="M487" s="10">
        <f>CHOOSE(CONTROL!$C$42, 14.0283, 14.0283) * CHOOSE(CONTROL!$C$21, $C$9, 100%, $E$9)</f>
        <v>14.0283</v>
      </c>
      <c r="N487" s="10">
        <f>CHOOSE(CONTROL!$C$42, 14.0452, 14.0452) * CHOOSE(CONTROL!$C$21, $C$9, 100%, $E$9)</f>
        <v>14.045199999999999</v>
      </c>
      <c r="O487" s="10">
        <f>CHOOSE(CONTROL!$C$42, 14.2927, 14.2927) * CHOOSE(CONTROL!$C$21, $C$9, 100%, $E$9)</f>
        <v>14.2927</v>
      </c>
      <c r="P487" s="10">
        <f>CHOOSE(CONTROL!$C$42, 14.0677, 14.0677) * CHOOSE(CONTROL!$C$21, $C$9, 100%, $E$9)</f>
        <v>14.0677</v>
      </c>
      <c r="Q487" s="10">
        <f>CHOOSE(CONTROL!$C$42, 14.888, 14.888) * CHOOSE(CONTROL!$C$21, $C$9, 100%, $E$9)</f>
        <v>14.888</v>
      </c>
      <c r="R487" s="10">
        <f>CHOOSE(CONTROL!$C$42, 15.5122, 15.5122) * CHOOSE(CONTROL!$C$21, $C$9, 100%, $E$9)</f>
        <v>15.5122</v>
      </c>
      <c r="S487" s="10">
        <f>CHOOSE(CONTROL!$C$42, 13.8071, 13.8071) * CHOOSE(CONTROL!$C$21, $C$9, 100%, $E$9)</f>
        <v>13.8071</v>
      </c>
      <c r="T48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38">
        <f>(1000*CHOOSE(CONTROL!$C$42, 695, 695)*CHOOSE(CONTROL!$C$42, 0.5599, 0.5599)*CHOOSE(CONTROL!$C$42, 31, 31))/1000000</f>
        <v>12.063045499999998</v>
      </c>
      <c r="V487" s="38">
        <f>(1000*CHOOSE(CONTROL!$C$42, 500, 500)*CHOOSE(CONTROL!$C$42, 0.275, 0.275)*CHOOSE(CONTROL!$C$42, 31, 31))/1000000</f>
        <v>4.2625000000000002</v>
      </c>
      <c r="W487" s="38">
        <f>(1000*CHOOSE(CONTROL!$C$42, 0.1146, 0.1146)*CHOOSE(CONTROL!$C$42, 121.5, 121.5)*CHOOSE(CONTROL!$C$42, 31, 31))/1000000</f>
        <v>0.43164089999999994</v>
      </c>
      <c r="X487" s="38">
        <f>(31*0.1790888*245000/1000000)+(31*0.2374*100000/1000000)</f>
        <v>2.0961194359999999</v>
      </c>
      <c r="Y487" s="38">
        <f>(1000*600*CHOOSE(CONTROL!$C$42, 1.0687, 1.0687)*CHOOSE(CONTROL!$C$42, 31, 31))/1000000</f>
        <v>19.87782</v>
      </c>
      <c r="Z487" s="38"/>
      <c r="AA487" s="10"/>
      <c r="AB487" s="39"/>
      <c r="AC487" s="33">
        <f>(B487*194.205+C487*267.466+D487*133.845+E487*53.484+F487*40+G487*185+H487*0+I487*100+J487*300)/(194.205+267.466+133.845+53.484+0+40+185+100+300)</f>
        <v>14.248889797174257</v>
      </c>
      <c r="AD487" s="27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14.112043884892088</v>
      </c>
    </row>
    <row r="488" spans="1:30" ht="15.75" x14ac:dyDescent="0.25">
      <c r="A488" s="14">
        <v>56127</v>
      </c>
      <c r="B488" s="10">
        <f>CHOOSE(CONTROL!$C$42, 13.5398, 13.5398) * CHOOSE(CONTROL!$C$21, $C$9, 100%, $E$9)</f>
        <v>13.5398</v>
      </c>
      <c r="C488" s="10">
        <f>CHOOSE(CONTROL!$C$42, 13.5478, 13.5478) * CHOOSE(CONTROL!$C$21, $C$9, 100%, $E$9)</f>
        <v>13.547800000000001</v>
      </c>
      <c r="D488" s="10">
        <f>CHOOSE(CONTROL!$C$42, 13.7229, 13.7229) * CHOOSE(CONTROL!$C$21, $C$9, 100%, $E$9)</f>
        <v>13.722899999999999</v>
      </c>
      <c r="E488" s="10">
        <f>CHOOSE(CONTROL!$C$42, 13.7541, 13.7541) * CHOOSE(CONTROL!$C$21, $C$9, 100%, $E$9)</f>
        <v>13.754099999999999</v>
      </c>
      <c r="F488" s="10">
        <f>CHOOSE(CONTROL!$C$42, 13.4819, 13.4819)*CHOOSE(CONTROL!$C$21, $C$9, 100%, $E$9)</f>
        <v>13.4819</v>
      </c>
      <c r="G488" s="10">
        <f>CHOOSE(CONTROL!$C$42, 13.4989, 13.4989)*CHOOSE(CONTROL!$C$21, $C$9, 100%, $E$9)</f>
        <v>13.498900000000001</v>
      </c>
      <c r="H488" s="10">
        <f>CHOOSE(CONTROL!$C$42, 13.7424, 13.7424) * CHOOSE(CONTROL!$C$21, $C$9, 100%, $E$9)</f>
        <v>13.7424</v>
      </c>
      <c r="I488" s="10">
        <f>CHOOSE(CONTROL!$C$42, 13.5144, 13.5144)* CHOOSE(CONTROL!$C$21, $C$9, 100%, $E$9)</f>
        <v>13.5144</v>
      </c>
      <c r="J488" s="10">
        <f>CHOOSE(CONTROL!$C$42, 13.4745, 13.4745)* CHOOSE(CONTROL!$C$21, $C$9, 100%, $E$9)</f>
        <v>13.474500000000001</v>
      </c>
      <c r="K488" s="10">
        <f>CHOOSE(CONTROL!$C$42, 13.2501, 13.2501) * CHOOSE(CONTROL!$C$21, $C$9, 100%, $E$9)</f>
        <v>13.2501</v>
      </c>
      <c r="L488" s="10">
        <f>CHOOSE(CONTROL!$C$42, 14.3294, 14.3294) * CHOOSE(CONTROL!$C$21, $C$9, 100%, $E$9)</f>
        <v>14.3294</v>
      </c>
      <c r="M488" s="10">
        <f>CHOOSE(CONTROL!$C$42, 13.3331, 13.3331) * CHOOSE(CONTROL!$C$21, $C$9, 100%, $E$9)</f>
        <v>13.3331</v>
      </c>
      <c r="N488" s="10">
        <f>CHOOSE(CONTROL!$C$42, 13.3499, 13.3499) * CHOOSE(CONTROL!$C$21, $C$9, 100%, $E$9)</f>
        <v>13.3499</v>
      </c>
      <c r="O488" s="10">
        <f>CHOOSE(CONTROL!$C$42, 13.5976, 13.5976) * CHOOSE(CONTROL!$C$21, $C$9, 100%, $E$9)</f>
        <v>13.5976</v>
      </c>
      <c r="P488" s="10">
        <f>CHOOSE(CONTROL!$C$42, 13.3726, 13.3726) * CHOOSE(CONTROL!$C$21, $C$9, 100%, $E$9)</f>
        <v>13.3726</v>
      </c>
      <c r="Q488" s="10">
        <f>CHOOSE(CONTROL!$C$42, 14.1929, 14.1929) * CHOOSE(CONTROL!$C$21, $C$9, 100%, $E$9)</f>
        <v>14.1929</v>
      </c>
      <c r="R488" s="10">
        <f>CHOOSE(CONTROL!$C$42, 14.8154, 14.8154) * CHOOSE(CONTROL!$C$21, $C$9, 100%, $E$9)</f>
        <v>14.8154</v>
      </c>
      <c r="S488" s="10">
        <f>CHOOSE(CONTROL!$C$42, 13.1251, 13.1251) * CHOOSE(CONTROL!$C$21, $C$9, 100%, $E$9)</f>
        <v>13.1251</v>
      </c>
      <c r="T48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38">
        <f>(1000*CHOOSE(CONTROL!$C$42, 695, 695)*CHOOSE(CONTROL!$C$42, 0.5599, 0.5599)*CHOOSE(CONTROL!$C$42, 31, 31))/1000000</f>
        <v>12.063045499999998</v>
      </c>
      <c r="V488" s="38">
        <f>(1000*CHOOSE(CONTROL!$C$42, 500, 500)*CHOOSE(CONTROL!$C$42, 0.275, 0.275)*CHOOSE(CONTROL!$C$42, 31, 31))/1000000</f>
        <v>4.2625000000000002</v>
      </c>
      <c r="W488" s="38">
        <f>(1000*CHOOSE(CONTROL!$C$42, 0.1146, 0.1146)*CHOOSE(CONTROL!$C$42, 121.5, 121.5)*CHOOSE(CONTROL!$C$42, 31, 31))/1000000</f>
        <v>0.43164089999999994</v>
      </c>
      <c r="X488" s="38">
        <f>(31*0.1790888*245000/1000000)+(31*0.2374*100000/1000000)</f>
        <v>2.0961194359999999</v>
      </c>
      <c r="Y488" s="38">
        <f>(1000*600*CHOOSE(CONTROL!$C$42, 1.0687, 1.0687)*CHOOSE(CONTROL!$C$42, 31, 31))/1000000</f>
        <v>19.87782</v>
      </c>
      <c r="Z488" s="38"/>
      <c r="AA488" s="10"/>
      <c r="AB488" s="39"/>
      <c r="AC488" s="33">
        <f>(B488*194.205+C488*267.466+D488*133.845+E488*53.484+F488*40+G488*185+H488*0+I488*100+J488*300)/(194.205+267.466+133.845+53.484+0+40+185+100+300)</f>
        <v>13.544584826295136</v>
      </c>
      <c r="AD488" s="27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13.416863309352516</v>
      </c>
    </row>
    <row r="489" spans="1:30" ht="15.75" x14ac:dyDescent="0.25">
      <c r="A489" s="14">
        <v>56157</v>
      </c>
      <c r="B489" s="10">
        <f>CHOOSE(CONTROL!$C$42, 12.6793, 12.6793) * CHOOSE(CONTROL!$C$21, $C$9, 100%, $E$9)</f>
        <v>12.6793</v>
      </c>
      <c r="C489" s="10">
        <f>CHOOSE(CONTROL!$C$42, 12.6873, 12.6873) * CHOOSE(CONTROL!$C$21, $C$9, 100%, $E$9)</f>
        <v>12.6873</v>
      </c>
      <c r="D489" s="10">
        <f>CHOOSE(CONTROL!$C$42, 12.8624, 12.8624) * CHOOSE(CONTROL!$C$21, $C$9, 100%, $E$9)</f>
        <v>12.862399999999999</v>
      </c>
      <c r="E489" s="10">
        <f>CHOOSE(CONTROL!$C$42, 12.8936, 12.8936) * CHOOSE(CONTROL!$C$21, $C$9, 100%, $E$9)</f>
        <v>12.893599999999999</v>
      </c>
      <c r="F489" s="10">
        <f>CHOOSE(CONTROL!$C$42, 12.6211, 12.6211)*CHOOSE(CONTROL!$C$21, $C$9, 100%, $E$9)</f>
        <v>12.6211</v>
      </c>
      <c r="G489" s="10">
        <f>CHOOSE(CONTROL!$C$42, 12.638, 12.638)*CHOOSE(CONTROL!$C$21, $C$9, 100%, $E$9)</f>
        <v>12.638</v>
      </c>
      <c r="H489" s="10">
        <f>CHOOSE(CONTROL!$C$42, 12.8819, 12.8819) * CHOOSE(CONTROL!$C$21, $C$9, 100%, $E$9)</f>
        <v>12.8819</v>
      </c>
      <c r="I489" s="10">
        <f>CHOOSE(CONTROL!$C$42, 12.6539, 12.6539)* CHOOSE(CONTROL!$C$21, $C$9, 100%, $E$9)</f>
        <v>12.6539</v>
      </c>
      <c r="J489" s="10">
        <f>CHOOSE(CONTROL!$C$42, 12.6137, 12.6137)* CHOOSE(CONTROL!$C$21, $C$9, 100%, $E$9)</f>
        <v>12.6137</v>
      </c>
      <c r="K489" s="10">
        <f>CHOOSE(CONTROL!$C$42, 12.4158, 12.4158) * CHOOSE(CONTROL!$C$21, $C$9, 100%, $E$9)</f>
        <v>12.415800000000001</v>
      </c>
      <c r="L489" s="10">
        <f>CHOOSE(CONTROL!$C$42, 13.4689, 13.4689) * CHOOSE(CONTROL!$C$21, $C$9, 100%, $E$9)</f>
        <v>13.4689</v>
      </c>
      <c r="M489" s="10">
        <f>CHOOSE(CONTROL!$C$42, 12.4834, 12.4834) * CHOOSE(CONTROL!$C$21, $C$9, 100%, $E$9)</f>
        <v>12.4834</v>
      </c>
      <c r="N489" s="10">
        <f>CHOOSE(CONTROL!$C$42, 12.5001, 12.5001) * CHOOSE(CONTROL!$C$21, $C$9, 100%, $E$9)</f>
        <v>12.5001</v>
      </c>
      <c r="O489" s="10">
        <f>CHOOSE(CONTROL!$C$42, 12.7482, 12.7482) * CHOOSE(CONTROL!$C$21, $C$9, 100%, $E$9)</f>
        <v>12.748200000000001</v>
      </c>
      <c r="P489" s="10">
        <f>CHOOSE(CONTROL!$C$42, 12.5232, 12.5232) * CHOOSE(CONTROL!$C$21, $C$9, 100%, $E$9)</f>
        <v>12.523199999999999</v>
      </c>
      <c r="Q489" s="10">
        <f>CHOOSE(CONTROL!$C$42, 13.3435, 13.3435) * CHOOSE(CONTROL!$C$21, $C$9, 100%, $E$9)</f>
        <v>13.343500000000001</v>
      </c>
      <c r="R489" s="10">
        <f>CHOOSE(CONTROL!$C$42, 13.9639, 13.9639) * CHOOSE(CONTROL!$C$21, $C$9, 100%, $E$9)</f>
        <v>13.963900000000001</v>
      </c>
      <c r="S489" s="10">
        <f>CHOOSE(CONTROL!$C$42, 12.2919, 12.2919) * CHOOSE(CONTROL!$C$21, $C$9, 100%, $E$9)</f>
        <v>12.2919</v>
      </c>
      <c r="T48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38">
        <f>(1000*CHOOSE(CONTROL!$C$42, 695, 695)*CHOOSE(CONTROL!$C$42, 0.5599, 0.5599)*CHOOSE(CONTROL!$C$42, 30, 30))/1000000</f>
        <v>11.673914999999997</v>
      </c>
      <c r="V489" s="38">
        <f>(1000*CHOOSE(CONTROL!$C$42, 500, 500)*CHOOSE(CONTROL!$C$42, 0.275, 0.275)*CHOOSE(CONTROL!$C$42, 30, 30))/1000000</f>
        <v>4.125</v>
      </c>
      <c r="W489" s="38">
        <f>(1000*CHOOSE(CONTROL!$C$42, 0.1146, 0.1146)*CHOOSE(CONTROL!$C$42, 121.5, 121.5)*CHOOSE(CONTROL!$C$42, 30, 30))/1000000</f>
        <v>0.417717</v>
      </c>
      <c r="X489" s="38">
        <f>(30*0.1790888*245000/1000000)+(30*0.2374*100000/1000000)</f>
        <v>2.0285026799999999</v>
      </c>
      <c r="Y489" s="38">
        <f>(1000*600*CHOOSE(CONTROL!$C$42, 1.0687, 1.0687)*CHOOSE(CONTROL!$C$42, 30, 30))/1000000</f>
        <v>19.236599999999999</v>
      </c>
      <c r="Z489" s="38"/>
      <c r="AA489" s="10"/>
      <c r="AB489" s="39"/>
      <c r="AC489" s="33">
        <f>(B489*194.205+C489*267.466+D489*133.845+E489*53.484+F489*40+G489*185+H489*0+I489*100+J489*300)/(194.205+267.466+133.845+53.484+0+40+185+100+300)</f>
        <v>12.683946678728415</v>
      </c>
      <c r="AD489" s="27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12.56726762589928</v>
      </c>
    </row>
    <row r="490" spans="1:30" ht="15.75" x14ac:dyDescent="0.25">
      <c r="A490" s="14">
        <v>56188</v>
      </c>
      <c r="B490" s="10">
        <f>CHOOSE(CONTROL!$C$42, 12.4194, 12.4194) * CHOOSE(CONTROL!$C$21, $C$9, 100%, $E$9)</f>
        <v>12.4194</v>
      </c>
      <c r="C490" s="10">
        <f>CHOOSE(CONTROL!$C$42, 12.4248, 12.4248) * CHOOSE(CONTROL!$C$21, $C$9, 100%, $E$9)</f>
        <v>12.424799999999999</v>
      </c>
      <c r="D490" s="10">
        <f>CHOOSE(CONTROL!$C$42, 12.6048, 12.6048) * CHOOSE(CONTROL!$C$21, $C$9, 100%, $E$9)</f>
        <v>12.604799999999999</v>
      </c>
      <c r="E490" s="10">
        <f>CHOOSE(CONTROL!$C$42, 12.6337, 12.6337) * CHOOSE(CONTROL!$C$21, $C$9, 100%, $E$9)</f>
        <v>12.633699999999999</v>
      </c>
      <c r="F490" s="10">
        <f>CHOOSE(CONTROL!$C$42, 12.3632, 12.3632)*CHOOSE(CONTROL!$C$21, $C$9, 100%, $E$9)</f>
        <v>12.363200000000001</v>
      </c>
      <c r="G490" s="10">
        <f>CHOOSE(CONTROL!$C$42, 12.3798, 12.3798)*CHOOSE(CONTROL!$C$21, $C$9, 100%, $E$9)</f>
        <v>12.379799999999999</v>
      </c>
      <c r="H490" s="10">
        <f>CHOOSE(CONTROL!$C$42, 12.6238, 12.6238) * CHOOSE(CONTROL!$C$21, $C$9, 100%, $E$9)</f>
        <v>12.623799999999999</v>
      </c>
      <c r="I490" s="10">
        <f>CHOOSE(CONTROL!$C$42, 12.3958, 12.3958)* CHOOSE(CONTROL!$C$21, $C$9, 100%, $E$9)</f>
        <v>12.395799999999999</v>
      </c>
      <c r="J490" s="10">
        <f>CHOOSE(CONTROL!$C$42, 12.3558, 12.3558)* CHOOSE(CONTROL!$C$21, $C$9, 100%, $E$9)</f>
        <v>12.3558</v>
      </c>
      <c r="K490" s="10">
        <f>CHOOSE(CONTROL!$C$42, 12.1663, 12.1663) * CHOOSE(CONTROL!$C$21, $C$9, 100%, $E$9)</f>
        <v>12.1663</v>
      </c>
      <c r="L490" s="10">
        <f>CHOOSE(CONTROL!$C$42, 13.2108, 13.2108) * CHOOSE(CONTROL!$C$21, $C$9, 100%, $E$9)</f>
        <v>13.210800000000001</v>
      </c>
      <c r="M490" s="10">
        <f>CHOOSE(CONTROL!$C$42, 12.2289, 12.2289) * CHOOSE(CONTROL!$C$21, $C$9, 100%, $E$9)</f>
        <v>12.228899999999999</v>
      </c>
      <c r="N490" s="10">
        <f>CHOOSE(CONTROL!$C$42, 12.2453, 12.2453) * CHOOSE(CONTROL!$C$21, $C$9, 100%, $E$9)</f>
        <v>12.2453</v>
      </c>
      <c r="O490" s="10">
        <f>CHOOSE(CONTROL!$C$42, 12.4934, 12.4934) * CHOOSE(CONTROL!$C$21, $C$9, 100%, $E$9)</f>
        <v>12.493399999999999</v>
      </c>
      <c r="P490" s="10">
        <f>CHOOSE(CONTROL!$C$42, 12.2684, 12.2684) * CHOOSE(CONTROL!$C$21, $C$9, 100%, $E$9)</f>
        <v>12.2684</v>
      </c>
      <c r="Q490" s="10">
        <f>CHOOSE(CONTROL!$C$42, 13.0887, 13.0887) * CHOOSE(CONTROL!$C$21, $C$9, 100%, $E$9)</f>
        <v>13.088699999999999</v>
      </c>
      <c r="R490" s="10">
        <f>CHOOSE(CONTROL!$C$42, 13.7085, 13.7085) * CHOOSE(CONTROL!$C$21, $C$9, 100%, $E$9)</f>
        <v>13.708500000000001</v>
      </c>
      <c r="S490" s="10">
        <f>CHOOSE(CONTROL!$C$42, 12.042, 12.042) * CHOOSE(CONTROL!$C$21, $C$9, 100%, $E$9)</f>
        <v>12.042</v>
      </c>
      <c r="T49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38">
        <f>(1000*CHOOSE(CONTROL!$C$42, 695, 695)*CHOOSE(CONTROL!$C$42, 0.5599, 0.5599)*CHOOSE(CONTROL!$C$42, 31, 31))/1000000</f>
        <v>12.063045499999998</v>
      </c>
      <c r="V490" s="38">
        <f>(1000*CHOOSE(CONTROL!$C$42, 500, 500)*CHOOSE(CONTROL!$C$42, 0.275, 0.275)*CHOOSE(CONTROL!$C$42, 31, 31))/1000000</f>
        <v>4.2625000000000002</v>
      </c>
      <c r="W490" s="38">
        <f>(1000*CHOOSE(CONTROL!$C$42, 0.1146, 0.1146)*CHOOSE(CONTROL!$C$42, 121.5, 121.5)*CHOOSE(CONTROL!$C$42, 31, 31))/1000000</f>
        <v>0.43164089999999994</v>
      </c>
      <c r="X490" s="38">
        <f>(31*0.1790888*245000/1000000)+(31*0.2374*100000/1000000)</f>
        <v>2.0961194359999999</v>
      </c>
      <c r="Y490" s="38">
        <f>(1000*600*CHOOSE(CONTROL!$C$42, 1.0687, 1.0687)*CHOOSE(CONTROL!$C$42, 31, 31))/1000000</f>
        <v>19.87782</v>
      </c>
      <c r="Z490" s="38"/>
      <c r="AA490" s="10"/>
      <c r="AB490" s="39"/>
      <c r="AC490" s="33">
        <f>(B490*131.881+C490*277.167+D490*79.08+E490*125.872+F490*40+G490*185+H490*0+I490*100+J490*300)/(131.881+277.167+79.08+125.872+0+40+185+100+300)</f>
        <v>12.42918087441485</v>
      </c>
      <c r="AD490" s="27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12.312571223021582</v>
      </c>
    </row>
    <row r="491" spans="1:30" ht="15.75" x14ac:dyDescent="0.25">
      <c r="A491" s="14">
        <v>56218</v>
      </c>
      <c r="B491" s="10">
        <f>CHOOSE(CONTROL!$C$42, 12.7466, 12.7466) * CHOOSE(CONTROL!$C$21, $C$9, 100%, $E$9)</f>
        <v>12.746600000000001</v>
      </c>
      <c r="C491" s="10">
        <f>CHOOSE(CONTROL!$C$42, 12.7517, 12.7517) * CHOOSE(CONTROL!$C$21, $C$9, 100%, $E$9)</f>
        <v>12.7517</v>
      </c>
      <c r="D491" s="10">
        <f>CHOOSE(CONTROL!$C$42, 12.7764, 12.7764) * CHOOSE(CONTROL!$C$21, $C$9, 100%, $E$9)</f>
        <v>12.776400000000001</v>
      </c>
      <c r="E491" s="10">
        <f>CHOOSE(CONTROL!$C$42, 12.8102, 12.8102) * CHOOSE(CONTROL!$C$21, $C$9, 100%, $E$9)</f>
        <v>12.8102</v>
      </c>
      <c r="F491" s="10">
        <f>CHOOSE(CONTROL!$C$42, 12.7123, 12.7123)*CHOOSE(CONTROL!$C$21, $C$9, 100%, $E$9)</f>
        <v>12.712300000000001</v>
      </c>
      <c r="G491" s="10">
        <f>CHOOSE(CONTROL!$C$42, 12.7291, 12.7291)*CHOOSE(CONTROL!$C$21, $C$9, 100%, $E$9)</f>
        <v>12.729100000000001</v>
      </c>
      <c r="H491" s="10">
        <f>CHOOSE(CONTROL!$C$42, 12.7991, 12.7991) * CHOOSE(CONTROL!$C$21, $C$9, 100%, $E$9)</f>
        <v>12.799099999999999</v>
      </c>
      <c r="I491" s="10">
        <f>CHOOSE(CONTROL!$C$42, 12.7461, 12.7461)* CHOOSE(CONTROL!$C$21, $C$9, 100%, $E$9)</f>
        <v>12.7461</v>
      </c>
      <c r="J491" s="10">
        <f>CHOOSE(CONTROL!$C$42, 12.7049, 12.7049)* CHOOSE(CONTROL!$C$21, $C$9, 100%, $E$9)</f>
        <v>12.7049</v>
      </c>
      <c r="K491" s="10">
        <f>CHOOSE(CONTROL!$C$42, 12.5075, 12.5075) * CHOOSE(CONTROL!$C$21, $C$9, 100%, $E$9)</f>
        <v>12.5075</v>
      </c>
      <c r="L491" s="10">
        <f>CHOOSE(CONTROL!$C$42, 13.3861, 13.3861) * CHOOSE(CONTROL!$C$21, $C$9, 100%, $E$9)</f>
        <v>13.386100000000001</v>
      </c>
      <c r="M491" s="10">
        <f>CHOOSE(CONTROL!$C$42, 12.5735, 12.5735) * CHOOSE(CONTROL!$C$21, $C$9, 100%, $E$9)</f>
        <v>12.573499999999999</v>
      </c>
      <c r="N491" s="10">
        <f>CHOOSE(CONTROL!$C$42, 12.59, 12.59) * CHOOSE(CONTROL!$C$21, $C$9, 100%, $E$9)</f>
        <v>12.59</v>
      </c>
      <c r="O491" s="10">
        <f>CHOOSE(CONTROL!$C$42, 12.6665, 12.6665) * CHOOSE(CONTROL!$C$21, $C$9, 100%, $E$9)</f>
        <v>12.666499999999999</v>
      </c>
      <c r="P491" s="10">
        <f>CHOOSE(CONTROL!$C$42, 12.6142, 12.6142) * CHOOSE(CONTROL!$C$21, $C$9, 100%, $E$9)</f>
        <v>12.6142</v>
      </c>
      <c r="Q491" s="10">
        <f>CHOOSE(CONTROL!$C$42, 13.2618, 13.2618) * CHOOSE(CONTROL!$C$21, $C$9, 100%, $E$9)</f>
        <v>13.261799999999999</v>
      </c>
      <c r="R491" s="10">
        <f>CHOOSE(CONTROL!$C$42, 13.8819, 13.8819) * CHOOSE(CONTROL!$C$21, $C$9, 100%, $E$9)</f>
        <v>13.8819</v>
      </c>
      <c r="S491" s="10">
        <f>CHOOSE(CONTROL!$C$42, 12.3592, 12.3592) * CHOOSE(CONTROL!$C$21, $C$9, 100%, $E$9)</f>
        <v>12.3592</v>
      </c>
      <c r="T49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38">
        <f>(1000*CHOOSE(CONTROL!$C$42, 695, 695)*CHOOSE(CONTROL!$C$42, 0.5599, 0.5599)*CHOOSE(CONTROL!$C$42, 30, 30))/1000000</f>
        <v>11.673914999999997</v>
      </c>
      <c r="V491" s="38">
        <f>(1000*CHOOSE(CONTROL!$C$42, 500, 500)*CHOOSE(CONTROL!$C$42, 0.275, 0.275)*CHOOSE(CONTROL!$C$42, 30, 30))/1000000</f>
        <v>4.125</v>
      </c>
      <c r="W491" s="38">
        <f>(1000*CHOOSE(CONTROL!$C$42, 0.1146, 0.1146)*CHOOSE(CONTROL!$C$42, 121.5, 121.5)*CHOOSE(CONTROL!$C$42, 30, 30))/1000000</f>
        <v>0.417717</v>
      </c>
      <c r="X491" s="38">
        <f>(30*0.1790888*100000/1000000)+(30*0.2374*100000/1000000)</f>
        <v>1.2494664</v>
      </c>
      <c r="Y491" s="38">
        <f>(1000*600*CHOOSE(CONTROL!$C$42, 1.0687, 1.0687)*CHOOSE(CONTROL!$C$42, 30, 30))/1000000</f>
        <v>19.236599999999999</v>
      </c>
      <c r="Z491" s="38"/>
      <c r="AA491" s="10"/>
      <c r="AB491" s="39"/>
      <c r="AC491" s="33">
        <f>(B491*122.58+C491*297.941+D491*89.177+E491*40.302+F491*40+G491*160+H491*0+I491*100+J491*300)/(122.58+297.941+89.177+40.302+0+40+160+100+300)</f>
        <v>12.737911461652175</v>
      </c>
      <c r="AD491" s="27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12.622456834532374</v>
      </c>
    </row>
    <row r="492" spans="1:30" ht="15.75" x14ac:dyDescent="0.25">
      <c r="A492" s="14">
        <v>56249</v>
      </c>
      <c r="B492" s="10">
        <f>CHOOSE(CONTROL!$C$42, 13.6168, 13.6168) * CHOOSE(CONTROL!$C$21, $C$9, 100%, $E$9)</f>
        <v>13.6168</v>
      </c>
      <c r="C492" s="10">
        <f>CHOOSE(CONTROL!$C$42, 13.6219, 13.6219) * CHOOSE(CONTROL!$C$21, $C$9, 100%, $E$9)</f>
        <v>13.6219</v>
      </c>
      <c r="D492" s="10">
        <f>CHOOSE(CONTROL!$C$42, 13.6466, 13.6466) * CHOOSE(CONTROL!$C$21, $C$9, 100%, $E$9)</f>
        <v>13.646599999999999</v>
      </c>
      <c r="E492" s="10">
        <f>CHOOSE(CONTROL!$C$42, 13.6804, 13.6804) * CHOOSE(CONTROL!$C$21, $C$9, 100%, $E$9)</f>
        <v>13.680400000000001</v>
      </c>
      <c r="F492" s="10">
        <f>CHOOSE(CONTROL!$C$42, 13.5842, 13.5842)*CHOOSE(CONTROL!$C$21, $C$9, 100%, $E$9)</f>
        <v>13.584199999999999</v>
      </c>
      <c r="G492" s="10">
        <f>CHOOSE(CONTROL!$C$42, 13.6015, 13.6015)*CHOOSE(CONTROL!$C$21, $C$9, 100%, $E$9)</f>
        <v>13.6015</v>
      </c>
      <c r="H492" s="10">
        <f>CHOOSE(CONTROL!$C$42, 13.6693, 13.6693) * CHOOSE(CONTROL!$C$21, $C$9, 100%, $E$9)</f>
        <v>13.6693</v>
      </c>
      <c r="I492" s="10">
        <f>CHOOSE(CONTROL!$C$42, 13.6163, 13.6163)* CHOOSE(CONTROL!$C$21, $C$9, 100%, $E$9)</f>
        <v>13.616300000000001</v>
      </c>
      <c r="J492" s="10">
        <f>CHOOSE(CONTROL!$C$42, 13.5768, 13.5768)* CHOOSE(CONTROL!$C$21, $C$9, 100%, $E$9)</f>
        <v>13.5768</v>
      </c>
      <c r="K492" s="10">
        <f>CHOOSE(CONTROL!$C$42, 13.3543, 13.3543) * CHOOSE(CONTROL!$C$21, $C$9, 100%, $E$9)</f>
        <v>13.3543</v>
      </c>
      <c r="L492" s="10">
        <f>CHOOSE(CONTROL!$C$42, 14.2563, 14.2563) * CHOOSE(CONTROL!$C$21, $C$9, 100%, $E$9)</f>
        <v>14.2563</v>
      </c>
      <c r="M492" s="10">
        <f>CHOOSE(CONTROL!$C$42, 13.4341, 13.4341) * CHOOSE(CONTROL!$C$21, $C$9, 100%, $E$9)</f>
        <v>13.434100000000001</v>
      </c>
      <c r="N492" s="10">
        <f>CHOOSE(CONTROL!$C$42, 13.4512, 13.4512) * CHOOSE(CONTROL!$C$21, $C$9, 100%, $E$9)</f>
        <v>13.4512</v>
      </c>
      <c r="O492" s="10">
        <f>CHOOSE(CONTROL!$C$42, 13.5254, 13.5254) * CHOOSE(CONTROL!$C$21, $C$9, 100%, $E$9)</f>
        <v>13.525399999999999</v>
      </c>
      <c r="P492" s="10">
        <f>CHOOSE(CONTROL!$C$42, 13.4731, 13.4731) * CHOOSE(CONTROL!$C$21, $C$9, 100%, $E$9)</f>
        <v>13.473100000000001</v>
      </c>
      <c r="Q492" s="10">
        <f>CHOOSE(CONTROL!$C$42, 14.1207, 14.1207) * CHOOSE(CONTROL!$C$21, $C$9, 100%, $E$9)</f>
        <v>14.120699999999999</v>
      </c>
      <c r="R492" s="10">
        <f>CHOOSE(CONTROL!$C$42, 14.743, 14.743) * CHOOSE(CONTROL!$C$21, $C$9, 100%, $E$9)</f>
        <v>14.743</v>
      </c>
      <c r="S492" s="10">
        <f>CHOOSE(CONTROL!$C$42, 13.2018, 13.2018) * CHOOSE(CONTROL!$C$21, $C$9, 100%, $E$9)</f>
        <v>13.2018</v>
      </c>
      <c r="T49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38">
        <f>(1000*CHOOSE(CONTROL!$C$42, 695, 695)*CHOOSE(CONTROL!$C$42, 0.5599, 0.5599)*CHOOSE(CONTROL!$C$42, 31, 31))/1000000</f>
        <v>12.063045499999998</v>
      </c>
      <c r="V492" s="38">
        <f>(1000*CHOOSE(CONTROL!$C$42, 500, 500)*CHOOSE(CONTROL!$C$42, 0.275, 0.275)*CHOOSE(CONTROL!$C$42, 31, 31))/1000000</f>
        <v>4.2625000000000002</v>
      </c>
      <c r="W492" s="38">
        <f>(1000*CHOOSE(CONTROL!$C$42, 0.1146, 0.1146)*CHOOSE(CONTROL!$C$42, 121.5, 121.5)*CHOOSE(CONTROL!$C$42, 31, 31))/1000000</f>
        <v>0.43164089999999994</v>
      </c>
      <c r="X492" s="38">
        <f>(31*0.1790888*100000/1000000)+(31*0.2374*100000/1000000)</f>
        <v>1.2911152800000001</v>
      </c>
      <c r="Y492" s="38">
        <f>(1000*600*CHOOSE(CONTROL!$C$42, 1.0687, 1.0687)*CHOOSE(CONTROL!$C$42, 31, 31))/1000000</f>
        <v>19.87782</v>
      </c>
      <c r="Z492" s="38"/>
      <c r="AA492" s="10"/>
      <c r="AB492" s="39"/>
      <c r="AC492" s="33">
        <f>(B492*122.58+C492*297.941+D492*89.177+E492*40.302+F492*40+G492*160+H492*0+I492*100+J492*300)/(122.58+297.941+89.177+40.302+0+40+160+100+300)</f>
        <v>13.608920157304349</v>
      </c>
      <c r="AD492" s="27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13.482076258992805</v>
      </c>
    </row>
    <row r="493" spans="1:30" ht="15.75" x14ac:dyDescent="0.25">
      <c r="A493" s="14">
        <v>56280</v>
      </c>
      <c r="B493" s="10">
        <f>CHOOSE(CONTROL!$C$42, 14.537, 14.537) * CHOOSE(CONTROL!$C$21, $C$9, 100%, $E$9)</f>
        <v>14.537000000000001</v>
      </c>
      <c r="C493" s="10">
        <f>CHOOSE(CONTROL!$C$42, 14.5421, 14.5421) * CHOOSE(CONTROL!$C$21, $C$9, 100%, $E$9)</f>
        <v>14.5421</v>
      </c>
      <c r="D493" s="10">
        <f>CHOOSE(CONTROL!$C$42, 14.5771, 14.5771) * CHOOSE(CONTROL!$C$21, $C$9, 100%, $E$9)</f>
        <v>14.5771</v>
      </c>
      <c r="E493" s="10">
        <f>CHOOSE(CONTROL!$C$42, 14.6109, 14.6109) * CHOOSE(CONTROL!$C$21, $C$9, 100%, $E$9)</f>
        <v>14.610900000000001</v>
      </c>
      <c r="F493" s="10">
        <f>CHOOSE(CONTROL!$C$42, 14.5183, 14.5183)*CHOOSE(CONTROL!$C$21, $C$9, 100%, $E$9)</f>
        <v>14.5183</v>
      </c>
      <c r="G493" s="10">
        <f>CHOOSE(CONTROL!$C$42, 14.5372, 14.5372)*CHOOSE(CONTROL!$C$21, $C$9, 100%, $E$9)</f>
        <v>14.5372</v>
      </c>
      <c r="H493" s="10">
        <f>CHOOSE(CONTROL!$C$42, 14.5998, 14.5998) * CHOOSE(CONTROL!$C$21, $C$9, 100%, $E$9)</f>
        <v>14.5998</v>
      </c>
      <c r="I493" s="10">
        <f>CHOOSE(CONTROL!$C$42, 14.5442, 14.5442)* CHOOSE(CONTROL!$C$21, $C$9, 100%, $E$9)</f>
        <v>14.5442</v>
      </c>
      <c r="J493" s="10">
        <f>CHOOSE(CONTROL!$C$42, 14.5109, 14.5109)* CHOOSE(CONTROL!$C$21, $C$9, 100%, $E$9)</f>
        <v>14.510899999999999</v>
      </c>
      <c r="K493" s="10">
        <f>CHOOSE(CONTROL!$C$42, 14.2665, 14.2665) * CHOOSE(CONTROL!$C$21, $C$9, 100%, $E$9)</f>
        <v>14.266500000000001</v>
      </c>
      <c r="L493" s="10">
        <f>CHOOSE(CONTROL!$C$42, 15.1868, 15.1868) * CHOOSE(CONTROL!$C$21, $C$9, 100%, $E$9)</f>
        <v>15.1868</v>
      </c>
      <c r="M493" s="10">
        <f>CHOOSE(CONTROL!$C$42, 14.3561, 14.3561) * CHOOSE(CONTROL!$C$21, $C$9, 100%, $E$9)</f>
        <v>14.3561</v>
      </c>
      <c r="N493" s="10">
        <f>CHOOSE(CONTROL!$C$42, 14.3747, 14.3747) * CHOOSE(CONTROL!$C$21, $C$9, 100%, $E$9)</f>
        <v>14.374700000000001</v>
      </c>
      <c r="O493" s="10">
        <f>CHOOSE(CONTROL!$C$42, 14.4438, 14.4438) * CHOOSE(CONTROL!$C$21, $C$9, 100%, $E$9)</f>
        <v>14.4438</v>
      </c>
      <c r="P493" s="10">
        <f>CHOOSE(CONTROL!$C$42, 14.389, 14.389) * CHOOSE(CONTROL!$C$21, $C$9, 100%, $E$9)</f>
        <v>14.388999999999999</v>
      </c>
      <c r="Q493" s="10">
        <f>CHOOSE(CONTROL!$C$42, 15.0391, 15.0391) * CHOOSE(CONTROL!$C$21, $C$9, 100%, $E$9)</f>
        <v>15.039099999999999</v>
      </c>
      <c r="R493" s="10">
        <f>CHOOSE(CONTROL!$C$42, 15.6637, 15.6637) * CHOOSE(CONTROL!$C$21, $C$9, 100%, $E$9)</f>
        <v>15.6637</v>
      </c>
      <c r="S493" s="10">
        <f>CHOOSE(CONTROL!$C$42, 14.0928, 14.0928) * CHOOSE(CONTROL!$C$21, $C$9, 100%, $E$9)</f>
        <v>14.0928</v>
      </c>
      <c r="T49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38">
        <f>(1000*CHOOSE(CONTROL!$C$42, 695, 695)*CHOOSE(CONTROL!$C$42, 0.5599, 0.5599)*CHOOSE(CONTROL!$C$42, 31, 31))/1000000</f>
        <v>12.063045499999998</v>
      </c>
      <c r="V493" s="38">
        <f>(1000*CHOOSE(CONTROL!$C$42, 500, 500)*CHOOSE(CONTROL!$C$42, 0.275, 0.275)*CHOOSE(CONTROL!$C$42, 31, 31))/1000000</f>
        <v>4.2625000000000002</v>
      </c>
      <c r="W493" s="38">
        <f>(1000*CHOOSE(CONTROL!$C$42, 0.1146, 0.1146)*CHOOSE(CONTROL!$C$42, 121.5, 121.5)*CHOOSE(CONTROL!$C$42, 31, 31))/1000000</f>
        <v>0.43164089999999994</v>
      </c>
      <c r="X493" s="38">
        <f>(31*0.1790888*100000/1000000)+(31*0.2374*100000/1000000)</f>
        <v>1.2911152800000001</v>
      </c>
      <c r="Y493" s="38">
        <f>(1000*600*CHOOSE(CONTROL!$C$42, 1.0653, 1.0653)*CHOOSE(CONTROL!$C$42, 31, 31))/1000000</f>
        <v>19.814579999999999</v>
      </c>
      <c r="Z493" s="38"/>
      <c r="AA493" s="10"/>
      <c r="AB493" s="39"/>
      <c r="AC493" s="33">
        <f>(B493*122.58+C493*297.941+D493*89.177+E493*40.302+F493*40+G493*160+H493*0+I493*100+J493*300)/(122.58+297.941+89.177+40.302+0+40+160+100+300)</f>
        <v>14.537215490956521</v>
      </c>
      <c r="AD493" s="27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14.401653237410072</v>
      </c>
    </row>
    <row r="494" spans="1:30" ht="15.75" x14ac:dyDescent="0.25">
      <c r="A494" s="14">
        <v>56308</v>
      </c>
      <c r="B494" s="10">
        <f>CHOOSE(CONTROL!$C$42, 14.796, 14.796) * CHOOSE(CONTROL!$C$21, $C$9, 100%, $E$9)</f>
        <v>14.795999999999999</v>
      </c>
      <c r="C494" s="10">
        <f>CHOOSE(CONTROL!$C$42, 14.8011, 14.8011) * CHOOSE(CONTROL!$C$21, $C$9, 100%, $E$9)</f>
        <v>14.8011</v>
      </c>
      <c r="D494" s="10">
        <f>CHOOSE(CONTROL!$C$42, 14.8362, 14.8362) * CHOOSE(CONTROL!$C$21, $C$9, 100%, $E$9)</f>
        <v>14.8362</v>
      </c>
      <c r="E494" s="10">
        <f>CHOOSE(CONTROL!$C$42, 14.87, 14.87) * CHOOSE(CONTROL!$C$21, $C$9, 100%, $E$9)</f>
        <v>14.87</v>
      </c>
      <c r="F494" s="10">
        <f>CHOOSE(CONTROL!$C$42, 14.7768, 14.7768)*CHOOSE(CONTROL!$C$21, $C$9, 100%, $E$9)</f>
        <v>14.7768</v>
      </c>
      <c r="G494" s="10">
        <f>CHOOSE(CONTROL!$C$42, 14.7956, 14.7956)*CHOOSE(CONTROL!$C$21, $C$9, 100%, $E$9)</f>
        <v>14.7956</v>
      </c>
      <c r="H494" s="10">
        <f>CHOOSE(CONTROL!$C$42, 14.8588, 14.8588) * CHOOSE(CONTROL!$C$21, $C$9, 100%, $E$9)</f>
        <v>14.8588</v>
      </c>
      <c r="I494" s="10">
        <f>CHOOSE(CONTROL!$C$42, 14.8033, 14.8033)* CHOOSE(CONTROL!$C$21, $C$9, 100%, $E$9)</f>
        <v>14.8033</v>
      </c>
      <c r="J494" s="10">
        <f>CHOOSE(CONTROL!$C$42, 14.7694, 14.7694)* CHOOSE(CONTROL!$C$21, $C$9, 100%, $E$9)</f>
        <v>14.769399999999999</v>
      </c>
      <c r="K494" s="10">
        <f>CHOOSE(CONTROL!$C$42, 14.5164, 14.5164) * CHOOSE(CONTROL!$C$21, $C$9, 100%, $E$9)</f>
        <v>14.516400000000001</v>
      </c>
      <c r="L494" s="10">
        <f>CHOOSE(CONTROL!$C$42, 15.4458, 15.4458) * CHOOSE(CONTROL!$C$21, $C$9, 100%, $E$9)</f>
        <v>15.4458</v>
      </c>
      <c r="M494" s="10">
        <f>CHOOSE(CONTROL!$C$42, 14.6112, 14.6112) * CHOOSE(CONTROL!$C$21, $C$9, 100%, $E$9)</f>
        <v>14.6112</v>
      </c>
      <c r="N494" s="10">
        <f>CHOOSE(CONTROL!$C$42, 14.6298, 14.6298) * CHOOSE(CONTROL!$C$21, $C$9, 100%, $E$9)</f>
        <v>14.629799999999999</v>
      </c>
      <c r="O494" s="10">
        <f>CHOOSE(CONTROL!$C$42, 14.6995, 14.6995) * CHOOSE(CONTROL!$C$21, $C$9, 100%, $E$9)</f>
        <v>14.6995</v>
      </c>
      <c r="P494" s="10">
        <f>CHOOSE(CONTROL!$C$42, 14.6447, 14.6447) * CHOOSE(CONTROL!$C$21, $C$9, 100%, $E$9)</f>
        <v>14.6447</v>
      </c>
      <c r="Q494" s="10">
        <f>CHOOSE(CONTROL!$C$42, 15.2948, 15.2948) * CHOOSE(CONTROL!$C$21, $C$9, 100%, $E$9)</f>
        <v>15.2948</v>
      </c>
      <c r="R494" s="10">
        <f>CHOOSE(CONTROL!$C$42, 15.9201, 15.9201) * CHOOSE(CONTROL!$C$21, $C$9, 100%, $E$9)</f>
        <v>15.9201</v>
      </c>
      <c r="S494" s="10">
        <f>CHOOSE(CONTROL!$C$42, 14.3437, 14.3437) * CHOOSE(CONTROL!$C$21, $C$9, 100%, $E$9)</f>
        <v>14.3437</v>
      </c>
      <c r="T49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38">
        <f>(1000*CHOOSE(CONTROL!$C$42, 695, 695)*CHOOSE(CONTROL!$C$42, 0.5599, 0.5599)*CHOOSE(CONTROL!$C$42, 28, 28))/1000000</f>
        <v>10.895653999999999</v>
      </c>
      <c r="V494" s="38">
        <f>(1000*CHOOSE(CONTROL!$C$42, 500, 500)*CHOOSE(CONTROL!$C$42, 0.275, 0.275)*CHOOSE(CONTROL!$C$42, 28, 28))/1000000</f>
        <v>3.85</v>
      </c>
      <c r="W494" s="38">
        <f>(1000*CHOOSE(CONTROL!$C$42, 0.1146, 0.1146)*CHOOSE(CONTROL!$C$42, 121.5, 121.5)*CHOOSE(CONTROL!$C$42, 28, 28))/1000000</f>
        <v>0.38986920000000003</v>
      </c>
      <c r="X494" s="38">
        <f>(28*0.1790888*100000/1000000)+(28*0.2374*100000/1000000)</f>
        <v>1.16616864</v>
      </c>
      <c r="Y494" s="38">
        <f>(1000*600*CHOOSE(CONTROL!$C$42, 1.0653, 1.0653)*CHOOSE(CONTROL!$C$42, 28, 28))/1000000</f>
        <v>17.897040000000001</v>
      </c>
      <c r="Z494" s="38"/>
      <c r="AA494" s="10"/>
      <c r="AB494" s="39"/>
      <c r="AC494" s="33">
        <f>(B494*122.58+C494*297.941+D494*89.177+E494*40.302+F494*40+G494*160+H494*0+I494*100+J494*300)/(122.58+297.941+89.177+40.302+0+40+160+100+300)</f>
        <v>14.796004141304349</v>
      </c>
      <c r="AD494" s="27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14.657111510791365</v>
      </c>
    </row>
    <row r="495" spans="1:30" ht="15.75" x14ac:dyDescent="0.25">
      <c r="A495" s="14">
        <v>56339</v>
      </c>
      <c r="B495" s="10">
        <f>CHOOSE(CONTROL!$C$42, 14.3755, 14.3755) * CHOOSE(CONTROL!$C$21, $C$9, 100%, $E$9)</f>
        <v>14.375500000000001</v>
      </c>
      <c r="C495" s="10">
        <f>CHOOSE(CONTROL!$C$42, 14.3806, 14.3806) * CHOOSE(CONTROL!$C$21, $C$9, 100%, $E$9)</f>
        <v>14.380599999999999</v>
      </c>
      <c r="D495" s="10">
        <f>CHOOSE(CONTROL!$C$42, 14.4156, 14.4156) * CHOOSE(CONTROL!$C$21, $C$9, 100%, $E$9)</f>
        <v>14.4156</v>
      </c>
      <c r="E495" s="10">
        <f>CHOOSE(CONTROL!$C$42, 14.4494, 14.4494) * CHOOSE(CONTROL!$C$21, $C$9, 100%, $E$9)</f>
        <v>14.449400000000001</v>
      </c>
      <c r="F495" s="10">
        <f>CHOOSE(CONTROL!$C$42, 14.3549, 14.3549)*CHOOSE(CONTROL!$C$21, $C$9, 100%, $E$9)</f>
        <v>14.354900000000001</v>
      </c>
      <c r="G495" s="10">
        <f>CHOOSE(CONTROL!$C$42, 14.3733, 14.3733)*CHOOSE(CONTROL!$C$21, $C$9, 100%, $E$9)</f>
        <v>14.3733</v>
      </c>
      <c r="H495" s="10">
        <f>CHOOSE(CONTROL!$C$42, 14.4383, 14.4383) * CHOOSE(CONTROL!$C$21, $C$9, 100%, $E$9)</f>
        <v>14.4383</v>
      </c>
      <c r="I495" s="10">
        <f>CHOOSE(CONTROL!$C$42, 14.3828, 14.3828)* CHOOSE(CONTROL!$C$21, $C$9, 100%, $E$9)</f>
        <v>14.3828</v>
      </c>
      <c r="J495" s="10">
        <f>CHOOSE(CONTROL!$C$42, 14.3475, 14.3475)* CHOOSE(CONTROL!$C$21, $C$9, 100%, $E$9)</f>
        <v>14.3475</v>
      </c>
      <c r="K495" s="10">
        <f>CHOOSE(CONTROL!$C$42, 14.106, 14.106) * CHOOSE(CONTROL!$C$21, $C$9, 100%, $E$9)</f>
        <v>14.106</v>
      </c>
      <c r="L495" s="10">
        <f>CHOOSE(CONTROL!$C$42, 15.0253, 15.0253) * CHOOSE(CONTROL!$C$21, $C$9, 100%, $E$9)</f>
        <v>15.0253</v>
      </c>
      <c r="M495" s="10">
        <f>CHOOSE(CONTROL!$C$42, 14.1948, 14.1948) * CHOOSE(CONTROL!$C$21, $C$9, 100%, $E$9)</f>
        <v>14.194800000000001</v>
      </c>
      <c r="N495" s="10">
        <f>CHOOSE(CONTROL!$C$42, 14.2129, 14.2129) * CHOOSE(CONTROL!$C$21, $C$9, 100%, $E$9)</f>
        <v>14.212899999999999</v>
      </c>
      <c r="O495" s="10">
        <f>CHOOSE(CONTROL!$C$42, 14.2844, 14.2844) * CHOOSE(CONTROL!$C$21, $C$9, 100%, $E$9)</f>
        <v>14.2844</v>
      </c>
      <c r="P495" s="10">
        <f>CHOOSE(CONTROL!$C$42, 14.2297, 14.2297) * CHOOSE(CONTROL!$C$21, $C$9, 100%, $E$9)</f>
        <v>14.229699999999999</v>
      </c>
      <c r="Q495" s="10">
        <f>CHOOSE(CONTROL!$C$42, 14.8797, 14.8797) * CHOOSE(CONTROL!$C$21, $C$9, 100%, $E$9)</f>
        <v>14.8797</v>
      </c>
      <c r="R495" s="10">
        <f>CHOOSE(CONTROL!$C$42, 15.5039, 15.5039) * CHOOSE(CONTROL!$C$21, $C$9, 100%, $E$9)</f>
        <v>15.5039</v>
      </c>
      <c r="S495" s="10">
        <f>CHOOSE(CONTROL!$C$42, 13.9365, 13.9365) * CHOOSE(CONTROL!$C$21, $C$9, 100%, $E$9)</f>
        <v>13.936500000000001</v>
      </c>
      <c r="T49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38">
        <f>(1000*CHOOSE(CONTROL!$C$42, 695, 695)*CHOOSE(CONTROL!$C$42, 0.5599, 0.5599)*CHOOSE(CONTROL!$C$42, 31, 31))/1000000</f>
        <v>12.063045499999998</v>
      </c>
      <c r="V495" s="38">
        <f>(1000*CHOOSE(CONTROL!$C$42, 500, 500)*CHOOSE(CONTROL!$C$42, 0.275, 0.275)*CHOOSE(CONTROL!$C$42, 31, 31))/1000000</f>
        <v>4.2625000000000002</v>
      </c>
      <c r="W495" s="38">
        <f>(1000*CHOOSE(CONTROL!$C$42, 0.1146, 0.1146)*CHOOSE(CONTROL!$C$42, 121.5, 121.5)*CHOOSE(CONTROL!$C$42, 31, 31))/1000000</f>
        <v>0.43164089999999994</v>
      </c>
      <c r="X495" s="38">
        <f>(31*0.1790888*100000/1000000)+(31*0.2374*100000/1000000)</f>
        <v>1.2911152800000001</v>
      </c>
      <c r="Y495" s="38">
        <f>(1000*600*CHOOSE(CONTROL!$C$42, 1.0653, 1.0653)*CHOOSE(CONTROL!$C$42, 31, 31))/1000000</f>
        <v>19.814579999999999</v>
      </c>
      <c r="Z495" s="38"/>
      <c r="AA495" s="10"/>
      <c r="AB495" s="39"/>
      <c r="AC495" s="33">
        <f>(B495*122.58+C495*297.941+D495*89.177+E495*40.302+F495*40+G495*160+H495*0+I495*100+J495*300)/(122.58+297.941+89.177+40.302+0+40+160+100+300)</f>
        <v>14.374828534434782</v>
      </c>
      <c r="AD495" s="27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14.241473381294965</v>
      </c>
    </row>
    <row r="496" spans="1:30" ht="15.75" x14ac:dyDescent="0.25">
      <c r="A496" s="14">
        <v>56369</v>
      </c>
      <c r="B496" s="10">
        <f>CHOOSE(CONTROL!$C$42, 14.3332, 14.3332) * CHOOSE(CONTROL!$C$21, $C$9, 100%, $E$9)</f>
        <v>14.3332</v>
      </c>
      <c r="C496" s="10">
        <f>CHOOSE(CONTROL!$C$42, 14.3377, 14.3377) * CHOOSE(CONTROL!$C$21, $C$9, 100%, $E$9)</f>
        <v>14.3377</v>
      </c>
      <c r="D496" s="10">
        <f>CHOOSE(CONTROL!$C$42, 14.5159, 14.5159) * CHOOSE(CONTROL!$C$21, $C$9, 100%, $E$9)</f>
        <v>14.5159</v>
      </c>
      <c r="E496" s="10">
        <f>CHOOSE(CONTROL!$C$42, 14.5478, 14.5478) * CHOOSE(CONTROL!$C$21, $C$9, 100%, $E$9)</f>
        <v>14.547800000000001</v>
      </c>
      <c r="F496" s="10">
        <f>CHOOSE(CONTROL!$C$42, 14.2766, 14.2766)*CHOOSE(CONTROL!$C$21, $C$9, 100%, $E$9)</f>
        <v>14.2766</v>
      </c>
      <c r="G496" s="10">
        <f>CHOOSE(CONTROL!$C$42, 14.2932, 14.2932)*CHOOSE(CONTROL!$C$21, $C$9, 100%, $E$9)</f>
        <v>14.293200000000001</v>
      </c>
      <c r="H496" s="10">
        <f>CHOOSE(CONTROL!$C$42, 14.5372, 14.5372) * CHOOSE(CONTROL!$C$21, $C$9, 100%, $E$9)</f>
        <v>14.5372</v>
      </c>
      <c r="I496" s="10">
        <f>CHOOSE(CONTROL!$C$42, 14.3092, 14.3092)* CHOOSE(CONTROL!$C$21, $C$9, 100%, $E$9)</f>
        <v>14.309200000000001</v>
      </c>
      <c r="J496" s="10">
        <f>CHOOSE(CONTROL!$C$42, 14.2692, 14.2692)* CHOOSE(CONTROL!$C$21, $C$9, 100%, $E$9)</f>
        <v>14.2692</v>
      </c>
      <c r="K496" s="10">
        <f>CHOOSE(CONTROL!$C$42, 14.02, 14.02) * CHOOSE(CONTROL!$C$21, $C$9, 100%, $E$9)</f>
        <v>14.02</v>
      </c>
      <c r="L496" s="10">
        <f>CHOOSE(CONTROL!$C$42, 15.1242, 15.1242) * CHOOSE(CONTROL!$C$21, $C$9, 100%, $E$9)</f>
        <v>15.1242</v>
      </c>
      <c r="M496" s="10">
        <f>CHOOSE(CONTROL!$C$42, 14.1176, 14.1176) * CHOOSE(CONTROL!$C$21, $C$9, 100%, $E$9)</f>
        <v>14.117599999999999</v>
      </c>
      <c r="N496" s="10">
        <f>CHOOSE(CONTROL!$C$42, 14.1339, 14.1339) * CHOOSE(CONTROL!$C$21, $C$9, 100%, $E$9)</f>
        <v>14.133900000000001</v>
      </c>
      <c r="O496" s="10">
        <f>CHOOSE(CONTROL!$C$42, 14.3821, 14.3821) * CHOOSE(CONTROL!$C$21, $C$9, 100%, $E$9)</f>
        <v>14.382099999999999</v>
      </c>
      <c r="P496" s="10">
        <f>CHOOSE(CONTROL!$C$42, 14.1571, 14.1571) * CHOOSE(CONTROL!$C$21, $C$9, 100%, $E$9)</f>
        <v>14.1571</v>
      </c>
      <c r="Q496" s="10">
        <f>CHOOSE(CONTROL!$C$42, 14.9774, 14.9774) * CHOOSE(CONTROL!$C$21, $C$9, 100%, $E$9)</f>
        <v>14.977399999999999</v>
      </c>
      <c r="R496" s="10">
        <f>CHOOSE(CONTROL!$C$42, 15.6018, 15.6018) * CHOOSE(CONTROL!$C$21, $C$9, 100%, $E$9)</f>
        <v>15.601800000000001</v>
      </c>
      <c r="S496" s="10">
        <f>CHOOSE(CONTROL!$C$42, 13.8947, 13.8947) * CHOOSE(CONTROL!$C$21, $C$9, 100%, $E$9)</f>
        <v>13.8947</v>
      </c>
      <c r="T49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38">
        <f>(1000*CHOOSE(CONTROL!$C$42, 695, 695)*CHOOSE(CONTROL!$C$42, 0.5599, 0.5599)*CHOOSE(CONTROL!$C$42, 30, 30))/1000000</f>
        <v>11.673914999999997</v>
      </c>
      <c r="V496" s="38">
        <f>(1000*CHOOSE(CONTROL!$C$42, 500, 500)*CHOOSE(CONTROL!$C$42, 0.275, 0.275)*CHOOSE(CONTROL!$C$42, 30, 30))/1000000</f>
        <v>4.125</v>
      </c>
      <c r="W496" s="38">
        <f>(1000*CHOOSE(CONTROL!$C$42, 0.1146, 0.1146)*CHOOSE(CONTROL!$C$42, 121.5, 121.5)*CHOOSE(CONTROL!$C$42, 30, 30))/1000000</f>
        <v>0.417717</v>
      </c>
      <c r="X496" s="38">
        <f>(30*0.1790888*245000/1000000)+(30*0.2374*100000/1000000)</f>
        <v>2.0285026799999999</v>
      </c>
      <c r="Y496" s="38">
        <f>(1000*600*CHOOSE(CONTROL!$C$42, 1.0653, 1.0653)*CHOOSE(CONTROL!$C$42, 30, 30))/1000000</f>
        <v>19.1754</v>
      </c>
      <c r="Z496" s="38"/>
      <c r="AA496" s="10"/>
      <c r="AB496" s="39"/>
      <c r="AC496" s="33">
        <f>(B496*141.293+C496*267.993+D496*115.016+E496*89.698+F496*40+G496*185+H496*0+I496*100+J496*300)/(141.293+267.993+115.016+89.698+0+40+185+100+300)</f>
        <v>14.341436144067796</v>
      </c>
      <c r="AD496" s="27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14.201248201438849</v>
      </c>
    </row>
    <row r="497" spans="1:30" ht="15.75" x14ac:dyDescent="0.25">
      <c r="A497" s="14">
        <v>56400</v>
      </c>
      <c r="B497" s="10">
        <f>CHOOSE(CONTROL!$C$42, 14.4616, 14.4616) * CHOOSE(CONTROL!$C$21, $C$9, 100%, $E$9)</f>
        <v>14.461600000000001</v>
      </c>
      <c r="C497" s="10">
        <f>CHOOSE(CONTROL!$C$42, 14.4696, 14.4696) * CHOOSE(CONTROL!$C$21, $C$9, 100%, $E$9)</f>
        <v>14.4696</v>
      </c>
      <c r="D497" s="10">
        <f>CHOOSE(CONTROL!$C$42, 14.6447, 14.6447) * CHOOSE(CONTROL!$C$21, $C$9, 100%, $E$9)</f>
        <v>14.6447</v>
      </c>
      <c r="E497" s="10">
        <f>CHOOSE(CONTROL!$C$42, 14.6759, 14.6759) * CHOOSE(CONTROL!$C$21, $C$9, 100%, $E$9)</f>
        <v>14.6759</v>
      </c>
      <c r="F497" s="10">
        <f>CHOOSE(CONTROL!$C$42, 14.4033, 14.4033)*CHOOSE(CONTROL!$C$21, $C$9, 100%, $E$9)</f>
        <v>14.4033</v>
      </c>
      <c r="G497" s="10">
        <f>CHOOSE(CONTROL!$C$42, 14.4202, 14.4202)*CHOOSE(CONTROL!$C$21, $C$9, 100%, $E$9)</f>
        <v>14.420199999999999</v>
      </c>
      <c r="H497" s="10">
        <f>CHOOSE(CONTROL!$C$42, 14.6643, 14.6643) * CHOOSE(CONTROL!$C$21, $C$9, 100%, $E$9)</f>
        <v>14.664300000000001</v>
      </c>
      <c r="I497" s="10">
        <f>CHOOSE(CONTROL!$C$42, 14.4362, 14.4362)* CHOOSE(CONTROL!$C$21, $C$9, 100%, $E$9)</f>
        <v>14.436199999999999</v>
      </c>
      <c r="J497" s="10">
        <f>CHOOSE(CONTROL!$C$42, 14.3959, 14.3959)* CHOOSE(CONTROL!$C$21, $C$9, 100%, $E$9)</f>
        <v>14.395899999999999</v>
      </c>
      <c r="K497" s="10">
        <f>CHOOSE(CONTROL!$C$42, 14.1422, 14.1422) * CHOOSE(CONTROL!$C$21, $C$9, 100%, $E$9)</f>
        <v>14.142200000000001</v>
      </c>
      <c r="L497" s="10">
        <f>CHOOSE(CONTROL!$C$42, 15.2513, 15.2513) * CHOOSE(CONTROL!$C$21, $C$9, 100%, $E$9)</f>
        <v>15.251300000000001</v>
      </c>
      <c r="M497" s="10">
        <f>CHOOSE(CONTROL!$C$42, 14.2426, 14.2426) * CHOOSE(CONTROL!$C$21, $C$9, 100%, $E$9)</f>
        <v>14.242599999999999</v>
      </c>
      <c r="N497" s="10">
        <f>CHOOSE(CONTROL!$C$42, 14.2592, 14.2592) * CHOOSE(CONTROL!$C$21, $C$9, 100%, $E$9)</f>
        <v>14.2592</v>
      </c>
      <c r="O497" s="10">
        <f>CHOOSE(CONTROL!$C$42, 14.5075, 14.5075) * CHOOSE(CONTROL!$C$21, $C$9, 100%, $E$9)</f>
        <v>14.5075</v>
      </c>
      <c r="P497" s="10">
        <f>CHOOSE(CONTROL!$C$42, 14.2824, 14.2824) * CHOOSE(CONTROL!$C$21, $C$9, 100%, $E$9)</f>
        <v>14.282400000000001</v>
      </c>
      <c r="Q497" s="10">
        <f>CHOOSE(CONTROL!$C$42, 15.1028, 15.1028) * CHOOSE(CONTROL!$C$21, $C$9, 100%, $E$9)</f>
        <v>15.1028</v>
      </c>
      <c r="R497" s="10">
        <f>CHOOSE(CONTROL!$C$42, 15.7275, 15.7275) * CHOOSE(CONTROL!$C$21, $C$9, 100%, $E$9)</f>
        <v>15.727499999999999</v>
      </c>
      <c r="S497" s="10">
        <f>CHOOSE(CONTROL!$C$42, 14.0177, 14.0177) * CHOOSE(CONTROL!$C$21, $C$9, 100%, $E$9)</f>
        <v>14.0177</v>
      </c>
      <c r="T49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38">
        <f>(1000*CHOOSE(CONTROL!$C$42, 695, 695)*CHOOSE(CONTROL!$C$42, 0.5599, 0.5599)*CHOOSE(CONTROL!$C$42, 31, 31))/1000000</f>
        <v>12.063045499999998</v>
      </c>
      <c r="V497" s="38">
        <f>(1000*CHOOSE(CONTROL!$C$42, 500, 500)*CHOOSE(CONTROL!$C$42, 0.275, 0.275)*CHOOSE(CONTROL!$C$42, 31, 31))/1000000</f>
        <v>4.2625000000000002</v>
      </c>
      <c r="W497" s="38">
        <f>(1000*CHOOSE(CONTROL!$C$42, 0.1146, 0.1146)*CHOOSE(CONTROL!$C$42, 121.5, 121.5)*CHOOSE(CONTROL!$C$42, 31, 31))/1000000</f>
        <v>0.43164089999999994</v>
      </c>
      <c r="X497" s="38">
        <f>(31*0.1790888*245000/1000000)+(31*0.2374*100000/1000000)</f>
        <v>2.0961194359999999</v>
      </c>
      <c r="Y497" s="38">
        <f>(1000*600*CHOOSE(CONTROL!$C$42, 1.0653, 1.0653)*CHOOSE(CONTROL!$C$42, 31, 31))/1000000</f>
        <v>19.814579999999999</v>
      </c>
      <c r="Z497" s="38"/>
      <c r="AA497" s="10"/>
      <c r="AB497" s="39"/>
      <c r="AC497" s="33">
        <f>(B497*194.205+C497*267.466+D497*133.845+E497*53.484+F497*40+G497*185+H497*0+I497*100+J497*300)/(194.205+267.466+133.845+53.484+0+40+185+100+300)</f>
        <v>14.466205469937206</v>
      </c>
      <c r="AD497" s="27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14.326472661870502</v>
      </c>
    </row>
    <row r="498" spans="1:30" ht="15.75" x14ac:dyDescent="0.25">
      <c r="A498" s="14">
        <v>56430</v>
      </c>
      <c r="B498" s="10">
        <f>CHOOSE(CONTROL!$C$42, 14.8722, 14.8722) * CHOOSE(CONTROL!$C$21, $C$9, 100%, $E$9)</f>
        <v>14.872199999999999</v>
      </c>
      <c r="C498" s="10">
        <f>CHOOSE(CONTROL!$C$42, 14.8802, 14.8802) * CHOOSE(CONTROL!$C$21, $C$9, 100%, $E$9)</f>
        <v>14.8802</v>
      </c>
      <c r="D498" s="10">
        <f>CHOOSE(CONTROL!$C$42, 15.0553, 15.0553) * CHOOSE(CONTROL!$C$21, $C$9, 100%, $E$9)</f>
        <v>15.055300000000001</v>
      </c>
      <c r="E498" s="10">
        <f>CHOOSE(CONTROL!$C$42, 15.0865, 15.0865) * CHOOSE(CONTROL!$C$21, $C$9, 100%, $E$9)</f>
        <v>15.086499999999999</v>
      </c>
      <c r="F498" s="10">
        <f>CHOOSE(CONTROL!$C$42, 14.8141, 14.8141)*CHOOSE(CONTROL!$C$21, $C$9, 100%, $E$9)</f>
        <v>14.8141</v>
      </c>
      <c r="G498" s="10">
        <f>CHOOSE(CONTROL!$C$42, 14.831, 14.831)*CHOOSE(CONTROL!$C$21, $C$9, 100%, $E$9)</f>
        <v>14.831</v>
      </c>
      <c r="H498" s="10">
        <f>CHOOSE(CONTROL!$C$42, 15.0749, 15.0749) * CHOOSE(CONTROL!$C$21, $C$9, 100%, $E$9)</f>
        <v>15.0749</v>
      </c>
      <c r="I498" s="10">
        <f>CHOOSE(CONTROL!$C$42, 14.8468, 14.8468)* CHOOSE(CONTROL!$C$21, $C$9, 100%, $E$9)</f>
        <v>14.8468</v>
      </c>
      <c r="J498" s="10">
        <f>CHOOSE(CONTROL!$C$42, 14.8067, 14.8067)* CHOOSE(CONTROL!$C$21, $C$9, 100%, $E$9)</f>
        <v>14.806699999999999</v>
      </c>
      <c r="K498" s="10">
        <f>CHOOSE(CONTROL!$C$42, 14.5404, 14.5404) * CHOOSE(CONTROL!$C$21, $C$9, 100%, $E$9)</f>
        <v>14.5404</v>
      </c>
      <c r="L498" s="10">
        <f>CHOOSE(CONTROL!$C$42, 15.6619, 15.6619) * CHOOSE(CONTROL!$C$21, $C$9, 100%, $E$9)</f>
        <v>15.661899999999999</v>
      </c>
      <c r="M498" s="10">
        <f>CHOOSE(CONTROL!$C$42, 14.648, 14.648) * CHOOSE(CONTROL!$C$21, $C$9, 100%, $E$9)</f>
        <v>14.648</v>
      </c>
      <c r="N498" s="10">
        <f>CHOOSE(CONTROL!$C$42, 14.6648, 14.6648) * CHOOSE(CONTROL!$C$21, $C$9, 100%, $E$9)</f>
        <v>14.6648</v>
      </c>
      <c r="O498" s="10">
        <f>CHOOSE(CONTROL!$C$42, 14.9128, 14.9128) * CHOOSE(CONTROL!$C$21, $C$9, 100%, $E$9)</f>
        <v>14.912800000000001</v>
      </c>
      <c r="P498" s="10">
        <f>CHOOSE(CONTROL!$C$42, 14.6877, 14.6877) * CHOOSE(CONTROL!$C$21, $C$9, 100%, $E$9)</f>
        <v>14.6877</v>
      </c>
      <c r="Q498" s="10">
        <f>CHOOSE(CONTROL!$C$42, 15.5081, 15.5081) * CHOOSE(CONTROL!$C$21, $C$9, 100%, $E$9)</f>
        <v>15.508100000000001</v>
      </c>
      <c r="R498" s="10">
        <f>CHOOSE(CONTROL!$C$42, 16.1338, 16.1338) * CHOOSE(CONTROL!$C$21, $C$9, 100%, $E$9)</f>
        <v>16.133800000000001</v>
      </c>
      <c r="S498" s="10">
        <f>CHOOSE(CONTROL!$C$42, 14.4153, 14.4153) * CHOOSE(CONTROL!$C$21, $C$9, 100%, $E$9)</f>
        <v>14.4153</v>
      </c>
      <c r="T49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38">
        <f>(1000*CHOOSE(CONTROL!$C$42, 695, 695)*CHOOSE(CONTROL!$C$42, 0.5599, 0.5599)*CHOOSE(CONTROL!$C$42, 30, 30))/1000000</f>
        <v>11.673914999999997</v>
      </c>
      <c r="V498" s="38">
        <f>(1000*CHOOSE(CONTROL!$C$42, 500, 500)*CHOOSE(CONTROL!$C$42, 0.275, 0.275)*CHOOSE(CONTROL!$C$42, 30, 30))/1000000</f>
        <v>4.125</v>
      </c>
      <c r="W498" s="38">
        <f>(1000*CHOOSE(CONTROL!$C$42, 0.1146, 0.1146)*CHOOSE(CONTROL!$C$42, 121.5, 121.5)*CHOOSE(CONTROL!$C$42, 30, 30))/1000000</f>
        <v>0.417717</v>
      </c>
      <c r="X498" s="38">
        <f>(30*0.1790888*245000/1000000)+(30*0.2374*100000/1000000)</f>
        <v>2.0285026799999999</v>
      </c>
      <c r="Y498" s="38">
        <f>(1000*600*CHOOSE(CONTROL!$C$42, 1.0653, 1.0653)*CHOOSE(CONTROL!$C$42, 30, 30))/1000000</f>
        <v>19.1754</v>
      </c>
      <c r="Z498" s="38"/>
      <c r="AA498" s="10"/>
      <c r="AB498" s="39"/>
      <c r="AC498" s="33">
        <f>(B498*194.205+C498*267.466+D498*133.845+E498*53.484+F498*40+G498*185+H498*0+I498*100+J498*300)/(194.205+267.466+133.845+53.484+0+40+185+100+300)</f>
        <v>14.876887887519626</v>
      </c>
      <c r="AD498" s="27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14.731876258992806</v>
      </c>
    </row>
    <row r="499" spans="1:30" ht="15.75" x14ac:dyDescent="0.25">
      <c r="A499" s="14">
        <v>56461</v>
      </c>
      <c r="B499" s="10">
        <f>CHOOSE(CONTROL!$C$42, 14.5866, 14.5866) * CHOOSE(CONTROL!$C$21, $C$9, 100%, $E$9)</f>
        <v>14.586600000000001</v>
      </c>
      <c r="C499" s="10">
        <f>CHOOSE(CONTROL!$C$42, 14.5946, 14.5946) * CHOOSE(CONTROL!$C$21, $C$9, 100%, $E$9)</f>
        <v>14.5946</v>
      </c>
      <c r="D499" s="10">
        <f>CHOOSE(CONTROL!$C$42, 14.7697, 14.7697) * CHOOSE(CONTROL!$C$21, $C$9, 100%, $E$9)</f>
        <v>14.7697</v>
      </c>
      <c r="E499" s="10">
        <f>CHOOSE(CONTROL!$C$42, 14.801, 14.801) * CHOOSE(CONTROL!$C$21, $C$9, 100%, $E$9)</f>
        <v>14.801</v>
      </c>
      <c r="F499" s="10">
        <f>CHOOSE(CONTROL!$C$42, 14.5288, 14.5288)*CHOOSE(CONTROL!$C$21, $C$9, 100%, $E$9)</f>
        <v>14.5288</v>
      </c>
      <c r="G499" s="10">
        <f>CHOOSE(CONTROL!$C$42, 14.5459, 14.5459)*CHOOSE(CONTROL!$C$21, $C$9, 100%, $E$9)</f>
        <v>14.5459</v>
      </c>
      <c r="H499" s="10">
        <f>CHOOSE(CONTROL!$C$42, 14.7893, 14.7893) * CHOOSE(CONTROL!$C$21, $C$9, 100%, $E$9)</f>
        <v>14.789300000000001</v>
      </c>
      <c r="I499" s="10">
        <f>CHOOSE(CONTROL!$C$42, 14.5613, 14.5613)* CHOOSE(CONTROL!$C$21, $C$9, 100%, $E$9)</f>
        <v>14.561299999999999</v>
      </c>
      <c r="J499" s="10">
        <f>CHOOSE(CONTROL!$C$42, 14.5214, 14.5214)* CHOOSE(CONTROL!$C$21, $C$9, 100%, $E$9)</f>
        <v>14.5214</v>
      </c>
      <c r="K499" s="10">
        <f>CHOOSE(CONTROL!$C$42, 14.2645, 14.2645) * CHOOSE(CONTROL!$C$21, $C$9, 100%, $E$9)</f>
        <v>14.2645</v>
      </c>
      <c r="L499" s="10">
        <f>CHOOSE(CONTROL!$C$42, 15.3763, 15.3763) * CHOOSE(CONTROL!$C$21, $C$9, 100%, $E$9)</f>
        <v>15.376300000000001</v>
      </c>
      <c r="M499" s="10">
        <f>CHOOSE(CONTROL!$C$42, 14.3665, 14.3665) * CHOOSE(CONTROL!$C$21, $C$9, 100%, $E$9)</f>
        <v>14.3665</v>
      </c>
      <c r="N499" s="10">
        <f>CHOOSE(CONTROL!$C$42, 14.3833, 14.3833) * CHOOSE(CONTROL!$C$21, $C$9, 100%, $E$9)</f>
        <v>14.3833</v>
      </c>
      <c r="O499" s="10">
        <f>CHOOSE(CONTROL!$C$42, 14.6309, 14.6309) * CHOOSE(CONTROL!$C$21, $C$9, 100%, $E$9)</f>
        <v>14.6309</v>
      </c>
      <c r="P499" s="10">
        <f>CHOOSE(CONTROL!$C$42, 14.4059, 14.4059) * CHOOSE(CONTROL!$C$21, $C$9, 100%, $E$9)</f>
        <v>14.405900000000001</v>
      </c>
      <c r="Q499" s="10">
        <f>CHOOSE(CONTROL!$C$42, 15.2262, 15.2262) * CHOOSE(CONTROL!$C$21, $C$9, 100%, $E$9)</f>
        <v>15.2262</v>
      </c>
      <c r="R499" s="10">
        <f>CHOOSE(CONTROL!$C$42, 15.8512, 15.8512) * CHOOSE(CONTROL!$C$21, $C$9, 100%, $E$9)</f>
        <v>15.8512</v>
      </c>
      <c r="S499" s="10">
        <f>CHOOSE(CONTROL!$C$42, 14.1388, 14.1388) * CHOOSE(CONTROL!$C$21, $C$9, 100%, $E$9)</f>
        <v>14.1388</v>
      </c>
      <c r="T49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38">
        <f>(1000*CHOOSE(CONTROL!$C$42, 695, 695)*CHOOSE(CONTROL!$C$42, 0.5599, 0.5599)*CHOOSE(CONTROL!$C$42, 31, 31))/1000000</f>
        <v>12.063045499999998</v>
      </c>
      <c r="V499" s="38">
        <f>(1000*CHOOSE(CONTROL!$C$42, 500, 500)*CHOOSE(CONTROL!$C$42, 0.275, 0.275)*CHOOSE(CONTROL!$C$42, 31, 31))/1000000</f>
        <v>4.2625000000000002</v>
      </c>
      <c r="W499" s="38">
        <f>(1000*CHOOSE(CONTROL!$C$42, 0.1146, 0.1146)*CHOOSE(CONTROL!$C$42, 121.5, 121.5)*CHOOSE(CONTROL!$C$42, 31, 31))/1000000</f>
        <v>0.43164089999999994</v>
      </c>
      <c r="X499" s="38">
        <f>(31*0.1790888*245000/1000000)+(31*0.2374*100000/1000000)</f>
        <v>2.0961194359999999</v>
      </c>
      <c r="Y499" s="38">
        <f>(1000*600*CHOOSE(CONTROL!$C$42, 1.0653, 1.0653)*CHOOSE(CONTROL!$C$42, 31, 31))/1000000</f>
        <v>19.814579999999999</v>
      </c>
      <c r="Z499" s="38"/>
      <c r="AA499" s="10"/>
      <c r="AB499" s="39"/>
      <c r="AC499" s="33">
        <f>(B499*194.205+C499*267.466+D499*133.845+E499*53.484+F499*40+G499*185+H499*0+I499*100+J499*300)/(194.205+267.466+133.845+53.484+0+40+185+100+300)</f>
        <v>14.591452603689168</v>
      </c>
      <c r="AD499" s="27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14.450220863309353</v>
      </c>
    </row>
    <row r="500" spans="1:30" ht="15.75" x14ac:dyDescent="0.25">
      <c r="A500" s="14">
        <v>56492</v>
      </c>
      <c r="B500" s="10">
        <f>CHOOSE(CONTROL!$C$42, 13.8654, 13.8654) * CHOOSE(CONTROL!$C$21, $C$9, 100%, $E$9)</f>
        <v>13.865399999999999</v>
      </c>
      <c r="C500" s="10">
        <f>CHOOSE(CONTROL!$C$42, 13.8734, 13.8734) * CHOOSE(CONTROL!$C$21, $C$9, 100%, $E$9)</f>
        <v>13.8734</v>
      </c>
      <c r="D500" s="10">
        <f>CHOOSE(CONTROL!$C$42, 14.0485, 14.0485) * CHOOSE(CONTROL!$C$21, $C$9, 100%, $E$9)</f>
        <v>14.048500000000001</v>
      </c>
      <c r="E500" s="10">
        <f>CHOOSE(CONTROL!$C$42, 14.0798, 14.0798) * CHOOSE(CONTROL!$C$21, $C$9, 100%, $E$9)</f>
        <v>14.079800000000001</v>
      </c>
      <c r="F500" s="10">
        <f>CHOOSE(CONTROL!$C$42, 13.8075, 13.8075)*CHOOSE(CONTROL!$C$21, $C$9, 100%, $E$9)</f>
        <v>13.807499999999999</v>
      </c>
      <c r="G500" s="10">
        <f>CHOOSE(CONTROL!$C$42, 13.8245, 13.8245)*CHOOSE(CONTROL!$C$21, $C$9, 100%, $E$9)</f>
        <v>13.8245</v>
      </c>
      <c r="H500" s="10">
        <f>CHOOSE(CONTROL!$C$42, 14.0681, 14.0681) * CHOOSE(CONTROL!$C$21, $C$9, 100%, $E$9)</f>
        <v>14.068099999999999</v>
      </c>
      <c r="I500" s="10">
        <f>CHOOSE(CONTROL!$C$42, 13.8401, 13.8401)* CHOOSE(CONTROL!$C$21, $C$9, 100%, $E$9)</f>
        <v>13.8401</v>
      </c>
      <c r="J500" s="10">
        <f>CHOOSE(CONTROL!$C$42, 13.8001, 13.8001)* CHOOSE(CONTROL!$C$21, $C$9, 100%, $E$9)</f>
        <v>13.8001</v>
      </c>
      <c r="K500" s="10">
        <f>CHOOSE(CONTROL!$C$42, 13.5656, 13.5656) * CHOOSE(CONTROL!$C$21, $C$9, 100%, $E$9)</f>
        <v>13.5656</v>
      </c>
      <c r="L500" s="10">
        <f>CHOOSE(CONTROL!$C$42, 14.6551, 14.6551) * CHOOSE(CONTROL!$C$21, $C$9, 100%, $E$9)</f>
        <v>14.655099999999999</v>
      </c>
      <c r="M500" s="10">
        <f>CHOOSE(CONTROL!$C$42, 13.6545, 13.6545) * CHOOSE(CONTROL!$C$21, $C$9, 100%, $E$9)</f>
        <v>13.654500000000001</v>
      </c>
      <c r="N500" s="10">
        <f>CHOOSE(CONTROL!$C$42, 13.6713, 13.6713) * CHOOSE(CONTROL!$C$21, $C$9, 100%, $E$9)</f>
        <v>13.6713</v>
      </c>
      <c r="O500" s="10">
        <f>CHOOSE(CONTROL!$C$42, 13.919, 13.919) * CHOOSE(CONTROL!$C$21, $C$9, 100%, $E$9)</f>
        <v>13.919</v>
      </c>
      <c r="P500" s="10">
        <f>CHOOSE(CONTROL!$C$42, 13.694, 13.694) * CHOOSE(CONTROL!$C$21, $C$9, 100%, $E$9)</f>
        <v>13.694000000000001</v>
      </c>
      <c r="Q500" s="10">
        <f>CHOOSE(CONTROL!$C$42, 14.5143, 14.5143) * CHOOSE(CONTROL!$C$21, $C$9, 100%, $E$9)</f>
        <v>14.5143</v>
      </c>
      <c r="R500" s="10">
        <f>CHOOSE(CONTROL!$C$42, 15.1376, 15.1376) * CHOOSE(CONTROL!$C$21, $C$9, 100%, $E$9)</f>
        <v>15.137600000000001</v>
      </c>
      <c r="S500" s="10">
        <f>CHOOSE(CONTROL!$C$42, 13.4405, 13.4405) * CHOOSE(CONTROL!$C$21, $C$9, 100%, $E$9)</f>
        <v>13.4405</v>
      </c>
      <c r="T50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38">
        <f>(1000*CHOOSE(CONTROL!$C$42, 695, 695)*CHOOSE(CONTROL!$C$42, 0.5599, 0.5599)*CHOOSE(CONTROL!$C$42, 31, 31))/1000000</f>
        <v>12.063045499999998</v>
      </c>
      <c r="V500" s="38">
        <f>(1000*CHOOSE(CONTROL!$C$42, 500, 500)*CHOOSE(CONTROL!$C$42, 0.275, 0.275)*CHOOSE(CONTROL!$C$42, 31, 31))/1000000</f>
        <v>4.2625000000000002</v>
      </c>
      <c r="W500" s="38">
        <f>(1000*CHOOSE(CONTROL!$C$42, 0.1146, 0.1146)*CHOOSE(CONTROL!$C$42, 121.5, 121.5)*CHOOSE(CONTROL!$C$42, 31, 31))/1000000</f>
        <v>0.43164089999999994</v>
      </c>
      <c r="X500" s="38">
        <f>(31*0.1790888*245000/1000000)+(31*0.2374*100000/1000000)</f>
        <v>2.0961194359999999</v>
      </c>
      <c r="Y500" s="38">
        <f>(1000*600*CHOOSE(CONTROL!$C$42, 1.0653, 1.0653)*CHOOSE(CONTROL!$C$42, 31, 31))/1000000</f>
        <v>19.814579999999999</v>
      </c>
      <c r="Z500" s="38"/>
      <c r="AA500" s="10"/>
      <c r="AB500" s="39"/>
      <c r="AC500" s="33">
        <f>(B500*194.205+C500*267.466+D500*133.845+E500*53.484+F500*40+G500*185+H500*0+I500*100+J500*300)/(194.205+267.466+133.845+53.484+0+40+185+100+300)</f>
        <v>13.870196873704868</v>
      </c>
      <c r="AD500" s="27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13.738263309352517</v>
      </c>
    </row>
    <row r="501" spans="1:30" ht="15.75" x14ac:dyDescent="0.25">
      <c r="A501" s="14">
        <v>56522</v>
      </c>
      <c r="B501" s="10">
        <f>CHOOSE(CONTROL!$C$42, 12.9843, 12.9843) * CHOOSE(CONTROL!$C$21, $C$9, 100%, $E$9)</f>
        <v>12.984299999999999</v>
      </c>
      <c r="C501" s="10">
        <f>CHOOSE(CONTROL!$C$42, 12.9922, 12.9922) * CHOOSE(CONTROL!$C$21, $C$9, 100%, $E$9)</f>
        <v>12.9922</v>
      </c>
      <c r="D501" s="10">
        <f>CHOOSE(CONTROL!$C$42, 13.1674, 13.1674) * CHOOSE(CONTROL!$C$21, $C$9, 100%, $E$9)</f>
        <v>13.167400000000001</v>
      </c>
      <c r="E501" s="10">
        <f>CHOOSE(CONTROL!$C$42, 13.1986, 13.1986) * CHOOSE(CONTROL!$C$21, $C$9, 100%, $E$9)</f>
        <v>13.198600000000001</v>
      </c>
      <c r="F501" s="10">
        <f>CHOOSE(CONTROL!$C$42, 12.926, 12.926)*CHOOSE(CONTROL!$C$21, $C$9, 100%, $E$9)</f>
        <v>12.926</v>
      </c>
      <c r="G501" s="10">
        <f>CHOOSE(CONTROL!$C$42, 12.943, 12.943)*CHOOSE(CONTROL!$C$21, $C$9, 100%, $E$9)</f>
        <v>12.943</v>
      </c>
      <c r="H501" s="10">
        <f>CHOOSE(CONTROL!$C$42, 13.1869, 13.1869) * CHOOSE(CONTROL!$C$21, $C$9, 100%, $E$9)</f>
        <v>13.1869</v>
      </c>
      <c r="I501" s="10">
        <f>CHOOSE(CONTROL!$C$42, 12.9589, 12.9589)* CHOOSE(CONTROL!$C$21, $C$9, 100%, $E$9)</f>
        <v>12.9589</v>
      </c>
      <c r="J501" s="10">
        <f>CHOOSE(CONTROL!$C$42, 12.9186, 12.9186)* CHOOSE(CONTROL!$C$21, $C$9, 100%, $E$9)</f>
        <v>12.9186</v>
      </c>
      <c r="K501" s="10">
        <f>CHOOSE(CONTROL!$C$42, 12.7112, 12.7112) * CHOOSE(CONTROL!$C$21, $C$9, 100%, $E$9)</f>
        <v>12.7112</v>
      </c>
      <c r="L501" s="10">
        <f>CHOOSE(CONTROL!$C$42, 13.7739, 13.7739) * CHOOSE(CONTROL!$C$21, $C$9, 100%, $E$9)</f>
        <v>13.773899999999999</v>
      </c>
      <c r="M501" s="10">
        <f>CHOOSE(CONTROL!$C$42, 12.7845, 12.7845) * CHOOSE(CONTROL!$C$21, $C$9, 100%, $E$9)</f>
        <v>12.7845</v>
      </c>
      <c r="N501" s="10">
        <f>CHOOSE(CONTROL!$C$42, 12.8012, 12.8012) * CHOOSE(CONTROL!$C$21, $C$9, 100%, $E$9)</f>
        <v>12.8012</v>
      </c>
      <c r="O501" s="10">
        <f>CHOOSE(CONTROL!$C$42, 13.0493, 13.0493) * CHOOSE(CONTROL!$C$21, $C$9, 100%, $E$9)</f>
        <v>13.049300000000001</v>
      </c>
      <c r="P501" s="10">
        <f>CHOOSE(CONTROL!$C$42, 12.8242, 12.8242) * CHOOSE(CONTROL!$C$21, $C$9, 100%, $E$9)</f>
        <v>12.824199999999999</v>
      </c>
      <c r="Q501" s="10">
        <f>CHOOSE(CONTROL!$C$42, 13.6446, 13.6446) * CHOOSE(CONTROL!$C$21, $C$9, 100%, $E$9)</f>
        <v>13.644600000000001</v>
      </c>
      <c r="R501" s="10">
        <f>CHOOSE(CONTROL!$C$42, 14.2657, 14.2657) * CHOOSE(CONTROL!$C$21, $C$9, 100%, $E$9)</f>
        <v>14.265700000000001</v>
      </c>
      <c r="S501" s="10">
        <f>CHOOSE(CONTROL!$C$42, 12.5872, 12.5872) * CHOOSE(CONTROL!$C$21, $C$9, 100%, $E$9)</f>
        <v>12.587199999999999</v>
      </c>
      <c r="T50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38">
        <f>(1000*CHOOSE(CONTROL!$C$42, 695, 695)*CHOOSE(CONTROL!$C$42, 0.5599, 0.5599)*CHOOSE(CONTROL!$C$42, 30, 30))/1000000</f>
        <v>11.673914999999997</v>
      </c>
      <c r="V501" s="38">
        <f>(1000*CHOOSE(CONTROL!$C$42, 500, 500)*CHOOSE(CONTROL!$C$42, 0.275, 0.275)*CHOOSE(CONTROL!$C$42, 30, 30))/1000000</f>
        <v>4.125</v>
      </c>
      <c r="W501" s="38">
        <f>(1000*CHOOSE(CONTROL!$C$42, 0.1146, 0.1146)*CHOOSE(CONTROL!$C$42, 121.5, 121.5)*CHOOSE(CONTROL!$C$42, 30, 30))/1000000</f>
        <v>0.417717</v>
      </c>
      <c r="X501" s="38">
        <f>(30*0.1790888*245000/1000000)+(30*0.2374*100000/1000000)</f>
        <v>2.0285026799999999</v>
      </c>
      <c r="Y501" s="38">
        <f>(1000*600*CHOOSE(CONTROL!$C$42, 1.0653, 1.0653)*CHOOSE(CONTROL!$C$42, 30, 30))/1000000</f>
        <v>19.1754</v>
      </c>
      <c r="Z501" s="38"/>
      <c r="AA501" s="10"/>
      <c r="AB501" s="39"/>
      <c r="AC501" s="33">
        <f>(B501*194.205+C501*267.466+D501*133.845+E501*53.484+F501*40+G501*185+H501*0+I501*100+J501*300)/(194.205+267.466+133.845+53.484+0+40+185+100+300)</f>
        <v>12.988898996938776</v>
      </c>
      <c r="AD501" s="27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12.868353237410071</v>
      </c>
    </row>
    <row r="502" spans="1:30" ht="15.75" x14ac:dyDescent="0.25">
      <c r="A502" s="14">
        <v>56553</v>
      </c>
      <c r="B502" s="10">
        <f>CHOOSE(CONTROL!$C$42, 12.7182, 12.7182) * CHOOSE(CONTROL!$C$21, $C$9, 100%, $E$9)</f>
        <v>12.7182</v>
      </c>
      <c r="C502" s="10">
        <f>CHOOSE(CONTROL!$C$42, 12.7236, 12.7236) * CHOOSE(CONTROL!$C$21, $C$9, 100%, $E$9)</f>
        <v>12.723599999999999</v>
      </c>
      <c r="D502" s="10">
        <f>CHOOSE(CONTROL!$C$42, 12.9036, 12.9036) * CHOOSE(CONTROL!$C$21, $C$9, 100%, $E$9)</f>
        <v>12.903600000000001</v>
      </c>
      <c r="E502" s="10">
        <f>CHOOSE(CONTROL!$C$42, 12.9325, 12.9325) * CHOOSE(CONTROL!$C$21, $C$9, 100%, $E$9)</f>
        <v>12.932499999999999</v>
      </c>
      <c r="F502" s="10">
        <f>CHOOSE(CONTROL!$C$42, 12.662, 12.662)*CHOOSE(CONTROL!$C$21, $C$9, 100%, $E$9)</f>
        <v>12.662000000000001</v>
      </c>
      <c r="G502" s="10">
        <f>CHOOSE(CONTROL!$C$42, 12.6786, 12.6786)*CHOOSE(CONTROL!$C$21, $C$9, 100%, $E$9)</f>
        <v>12.678599999999999</v>
      </c>
      <c r="H502" s="10">
        <f>CHOOSE(CONTROL!$C$42, 12.9226, 12.9226) * CHOOSE(CONTROL!$C$21, $C$9, 100%, $E$9)</f>
        <v>12.922599999999999</v>
      </c>
      <c r="I502" s="10">
        <f>CHOOSE(CONTROL!$C$42, 12.6946, 12.6946)* CHOOSE(CONTROL!$C$21, $C$9, 100%, $E$9)</f>
        <v>12.694599999999999</v>
      </c>
      <c r="J502" s="10">
        <f>CHOOSE(CONTROL!$C$42, 12.6546, 12.6546)* CHOOSE(CONTROL!$C$21, $C$9, 100%, $E$9)</f>
        <v>12.6546</v>
      </c>
      <c r="K502" s="10">
        <f>CHOOSE(CONTROL!$C$42, 12.4557, 12.4557) * CHOOSE(CONTROL!$C$21, $C$9, 100%, $E$9)</f>
        <v>12.4557</v>
      </c>
      <c r="L502" s="10">
        <f>CHOOSE(CONTROL!$C$42, 13.5096, 13.5096) * CHOOSE(CONTROL!$C$21, $C$9, 100%, $E$9)</f>
        <v>13.509600000000001</v>
      </c>
      <c r="M502" s="10">
        <f>CHOOSE(CONTROL!$C$42, 12.5238, 12.5238) * CHOOSE(CONTROL!$C$21, $C$9, 100%, $E$9)</f>
        <v>12.5238</v>
      </c>
      <c r="N502" s="10">
        <f>CHOOSE(CONTROL!$C$42, 12.5402, 12.5402) * CHOOSE(CONTROL!$C$21, $C$9, 100%, $E$9)</f>
        <v>12.5402</v>
      </c>
      <c r="O502" s="10">
        <f>CHOOSE(CONTROL!$C$42, 12.7884, 12.7884) * CHOOSE(CONTROL!$C$21, $C$9, 100%, $E$9)</f>
        <v>12.788399999999999</v>
      </c>
      <c r="P502" s="10">
        <f>CHOOSE(CONTROL!$C$42, 12.5634, 12.5634) * CHOOSE(CONTROL!$C$21, $C$9, 100%, $E$9)</f>
        <v>12.5634</v>
      </c>
      <c r="Q502" s="10">
        <f>CHOOSE(CONTROL!$C$42, 13.3837, 13.3837) * CHOOSE(CONTROL!$C$21, $C$9, 100%, $E$9)</f>
        <v>13.383699999999999</v>
      </c>
      <c r="R502" s="10">
        <f>CHOOSE(CONTROL!$C$42, 14.0041, 14.0041) * CHOOSE(CONTROL!$C$21, $C$9, 100%, $E$9)</f>
        <v>14.004099999999999</v>
      </c>
      <c r="S502" s="10">
        <f>CHOOSE(CONTROL!$C$42, 12.3313, 12.3313) * CHOOSE(CONTROL!$C$21, $C$9, 100%, $E$9)</f>
        <v>12.331300000000001</v>
      </c>
      <c r="T50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38">
        <f>(1000*CHOOSE(CONTROL!$C$42, 695, 695)*CHOOSE(CONTROL!$C$42, 0.5599, 0.5599)*CHOOSE(CONTROL!$C$42, 31, 31))/1000000</f>
        <v>12.063045499999998</v>
      </c>
      <c r="V502" s="38">
        <f>(1000*CHOOSE(CONTROL!$C$42, 500, 500)*CHOOSE(CONTROL!$C$42, 0.275, 0.275)*CHOOSE(CONTROL!$C$42, 31, 31))/1000000</f>
        <v>4.2625000000000002</v>
      </c>
      <c r="W502" s="38">
        <f>(1000*CHOOSE(CONTROL!$C$42, 0.1146, 0.1146)*CHOOSE(CONTROL!$C$42, 121.5, 121.5)*CHOOSE(CONTROL!$C$42, 31, 31))/1000000</f>
        <v>0.43164089999999994</v>
      </c>
      <c r="X502" s="38">
        <f>(31*0.1790888*245000/1000000)+(31*0.2374*100000/1000000)</f>
        <v>2.0961194359999999</v>
      </c>
      <c r="Y502" s="38">
        <f>(1000*600*CHOOSE(CONTROL!$C$42, 1.0653, 1.0653)*CHOOSE(CONTROL!$C$42, 31, 31))/1000000</f>
        <v>19.814579999999999</v>
      </c>
      <c r="Z502" s="38"/>
      <c r="AA502" s="10"/>
      <c r="AB502" s="39"/>
      <c r="AC502" s="33">
        <f>(B502*131.881+C502*277.167+D502*79.08+E502*125.872+F502*40+G502*185+H502*0+I502*100+J502*300)/(131.881+277.167+79.08+125.872+0+40+185+100+300)</f>
        <v>12.727980874414852</v>
      </c>
      <c r="AD502" s="27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12.607513669064748</v>
      </c>
    </row>
    <row r="503" spans="1:30" ht="15.75" x14ac:dyDescent="0.25">
      <c r="A503" s="14">
        <v>56583</v>
      </c>
      <c r="B503" s="10">
        <f>CHOOSE(CONTROL!$C$42, 13.0533, 13.0533) * CHOOSE(CONTROL!$C$21, $C$9, 100%, $E$9)</f>
        <v>13.0533</v>
      </c>
      <c r="C503" s="10">
        <f>CHOOSE(CONTROL!$C$42, 13.0584, 13.0584) * CHOOSE(CONTROL!$C$21, $C$9, 100%, $E$9)</f>
        <v>13.058400000000001</v>
      </c>
      <c r="D503" s="10">
        <f>CHOOSE(CONTROL!$C$42, 13.0831, 13.0831) * CHOOSE(CONTROL!$C$21, $C$9, 100%, $E$9)</f>
        <v>13.0831</v>
      </c>
      <c r="E503" s="10">
        <f>CHOOSE(CONTROL!$C$42, 13.1169, 13.1169) * CHOOSE(CONTROL!$C$21, $C$9, 100%, $E$9)</f>
        <v>13.116899999999999</v>
      </c>
      <c r="F503" s="10">
        <f>CHOOSE(CONTROL!$C$42, 13.0189, 13.0189)*CHOOSE(CONTROL!$C$21, $C$9, 100%, $E$9)</f>
        <v>13.0189</v>
      </c>
      <c r="G503" s="10">
        <f>CHOOSE(CONTROL!$C$42, 13.0357, 13.0357)*CHOOSE(CONTROL!$C$21, $C$9, 100%, $E$9)</f>
        <v>13.0357</v>
      </c>
      <c r="H503" s="10">
        <f>CHOOSE(CONTROL!$C$42, 13.1058, 13.1058) * CHOOSE(CONTROL!$C$21, $C$9, 100%, $E$9)</f>
        <v>13.1058</v>
      </c>
      <c r="I503" s="10">
        <f>CHOOSE(CONTROL!$C$42, 13.0528, 13.0528)* CHOOSE(CONTROL!$C$21, $C$9, 100%, $E$9)</f>
        <v>13.0528</v>
      </c>
      <c r="J503" s="10">
        <f>CHOOSE(CONTROL!$C$42, 13.0115, 13.0115)* CHOOSE(CONTROL!$C$21, $C$9, 100%, $E$9)</f>
        <v>13.0115</v>
      </c>
      <c r="K503" s="10">
        <f>CHOOSE(CONTROL!$C$42, 12.8045, 12.8045) * CHOOSE(CONTROL!$C$21, $C$9, 100%, $E$9)</f>
        <v>12.804500000000001</v>
      </c>
      <c r="L503" s="10">
        <f>CHOOSE(CONTROL!$C$42, 13.6928, 13.6928) * CHOOSE(CONTROL!$C$21, $C$9, 100%, $E$9)</f>
        <v>13.6928</v>
      </c>
      <c r="M503" s="10">
        <f>CHOOSE(CONTROL!$C$42, 12.8761, 12.8761) * CHOOSE(CONTROL!$C$21, $C$9, 100%, $E$9)</f>
        <v>12.876099999999999</v>
      </c>
      <c r="N503" s="10">
        <f>CHOOSE(CONTROL!$C$42, 12.8927, 12.8927) * CHOOSE(CONTROL!$C$21, $C$9, 100%, $E$9)</f>
        <v>12.8927</v>
      </c>
      <c r="O503" s="10">
        <f>CHOOSE(CONTROL!$C$42, 12.9692, 12.9692) * CHOOSE(CONTROL!$C$21, $C$9, 100%, $E$9)</f>
        <v>12.969200000000001</v>
      </c>
      <c r="P503" s="10">
        <f>CHOOSE(CONTROL!$C$42, 12.9169, 12.9169) * CHOOSE(CONTROL!$C$21, $C$9, 100%, $E$9)</f>
        <v>12.9169</v>
      </c>
      <c r="Q503" s="10">
        <f>CHOOSE(CONTROL!$C$42, 13.5645, 13.5645) * CHOOSE(CONTROL!$C$21, $C$9, 100%, $E$9)</f>
        <v>13.564500000000001</v>
      </c>
      <c r="R503" s="10">
        <f>CHOOSE(CONTROL!$C$42, 14.1854, 14.1854) * CHOOSE(CONTROL!$C$21, $C$9, 100%, $E$9)</f>
        <v>14.1854</v>
      </c>
      <c r="S503" s="10">
        <f>CHOOSE(CONTROL!$C$42, 12.6562, 12.6562) * CHOOSE(CONTROL!$C$21, $C$9, 100%, $E$9)</f>
        <v>12.6562</v>
      </c>
      <c r="T50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38">
        <f>(1000*CHOOSE(CONTROL!$C$42, 695, 695)*CHOOSE(CONTROL!$C$42, 0.5599, 0.5599)*CHOOSE(CONTROL!$C$42, 30, 30))/1000000</f>
        <v>11.673914999999997</v>
      </c>
      <c r="V503" s="38">
        <f>(1000*CHOOSE(CONTROL!$C$42, 500, 500)*CHOOSE(CONTROL!$C$42, 0.275, 0.275)*CHOOSE(CONTROL!$C$42, 30, 30))/1000000</f>
        <v>4.125</v>
      </c>
      <c r="W503" s="38">
        <f>(1000*CHOOSE(CONTROL!$C$42, 0.1146, 0.1146)*CHOOSE(CONTROL!$C$42, 121.5, 121.5)*CHOOSE(CONTROL!$C$42, 30, 30))/1000000</f>
        <v>0.417717</v>
      </c>
      <c r="X503" s="38">
        <f>(30*0.1790888*100000/1000000)+(30*0.2374*100000/1000000)</f>
        <v>1.2494664</v>
      </c>
      <c r="Y503" s="38">
        <f>(1000*600*CHOOSE(CONTROL!$C$42, 1.0653, 1.0653)*CHOOSE(CONTROL!$C$42, 30, 30))/1000000</f>
        <v>19.1754</v>
      </c>
      <c r="Z503" s="38"/>
      <c r="AA503" s="10"/>
      <c r="AB503" s="39"/>
      <c r="AC503" s="33">
        <f>(B503*122.58+C503*297.941+D503*89.177+E503*40.302+F503*40+G503*160+H503*0+I503*100+J503*300)/(122.58+297.941+89.177+40.302+0+40+160+100+300)</f>
        <v>13.044567983391307</v>
      </c>
      <c r="AD503" s="27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12.925122302158275</v>
      </c>
    </row>
    <row r="504" spans="1:30" ht="15.75" x14ac:dyDescent="0.25">
      <c r="A504" s="14">
        <v>56614</v>
      </c>
      <c r="B504" s="10">
        <f>CHOOSE(CONTROL!$C$42, 13.9444, 13.9444) * CHOOSE(CONTROL!$C$21, $C$9, 100%, $E$9)</f>
        <v>13.9444</v>
      </c>
      <c r="C504" s="10">
        <f>CHOOSE(CONTROL!$C$42, 13.9495, 13.9495) * CHOOSE(CONTROL!$C$21, $C$9, 100%, $E$9)</f>
        <v>13.9495</v>
      </c>
      <c r="D504" s="10">
        <f>CHOOSE(CONTROL!$C$42, 13.9742, 13.9742) * CHOOSE(CONTROL!$C$21, $C$9, 100%, $E$9)</f>
        <v>13.9742</v>
      </c>
      <c r="E504" s="10">
        <f>CHOOSE(CONTROL!$C$42, 14.008, 14.008) * CHOOSE(CONTROL!$C$21, $C$9, 100%, $E$9)</f>
        <v>14.007999999999999</v>
      </c>
      <c r="F504" s="10">
        <f>CHOOSE(CONTROL!$C$42, 13.9118, 13.9118)*CHOOSE(CONTROL!$C$21, $C$9, 100%, $E$9)</f>
        <v>13.911799999999999</v>
      </c>
      <c r="G504" s="10">
        <f>CHOOSE(CONTROL!$C$42, 13.9291, 13.9291)*CHOOSE(CONTROL!$C$21, $C$9, 100%, $E$9)</f>
        <v>13.9291</v>
      </c>
      <c r="H504" s="10">
        <f>CHOOSE(CONTROL!$C$42, 13.9968, 13.9968) * CHOOSE(CONTROL!$C$21, $C$9, 100%, $E$9)</f>
        <v>13.9968</v>
      </c>
      <c r="I504" s="10">
        <f>CHOOSE(CONTROL!$C$42, 13.9439, 13.9439)* CHOOSE(CONTROL!$C$21, $C$9, 100%, $E$9)</f>
        <v>13.943899999999999</v>
      </c>
      <c r="J504" s="10">
        <f>CHOOSE(CONTROL!$C$42, 13.9044, 13.9044)* CHOOSE(CONTROL!$C$21, $C$9, 100%, $E$9)</f>
        <v>13.904400000000001</v>
      </c>
      <c r="K504" s="10">
        <f>CHOOSE(CONTROL!$C$42, 13.6717, 13.6717) * CHOOSE(CONTROL!$C$21, $C$9, 100%, $E$9)</f>
        <v>13.6717</v>
      </c>
      <c r="L504" s="10">
        <f>CHOOSE(CONTROL!$C$42, 14.5838, 14.5838) * CHOOSE(CONTROL!$C$21, $C$9, 100%, $E$9)</f>
        <v>14.5838</v>
      </c>
      <c r="M504" s="10">
        <f>CHOOSE(CONTROL!$C$42, 13.7574, 13.7574) * CHOOSE(CONTROL!$C$21, $C$9, 100%, $E$9)</f>
        <v>13.757400000000001</v>
      </c>
      <c r="N504" s="10">
        <f>CHOOSE(CONTROL!$C$42, 13.7745, 13.7745) * CHOOSE(CONTROL!$C$21, $C$9, 100%, $E$9)</f>
        <v>13.7745</v>
      </c>
      <c r="O504" s="10">
        <f>CHOOSE(CONTROL!$C$42, 13.8487, 13.8487) * CHOOSE(CONTROL!$C$21, $C$9, 100%, $E$9)</f>
        <v>13.848699999999999</v>
      </c>
      <c r="P504" s="10">
        <f>CHOOSE(CONTROL!$C$42, 13.7965, 13.7965) * CHOOSE(CONTROL!$C$21, $C$9, 100%, $E$9)</f>
        <v>13.7965</v>
      </c>
      <c r="Q504" s="10">
        <f>CHOOSE(CONTROL!$C$42, 14.444, 14.444) * CHOOSE(CONTROL!$C$21, $C$9, 100%, $E$9)</f>
        <v>14.444000000000001</v>
      </c>
      <c r="R504" s="10">
        <f>CHOOSE(CONTROL!$C$42, 15.0671, 15.0671) * CHOOSE(CONTROL!$C$21, $C$9, 100%, $E$9)</f>
        <v>15.0671</v>
      </c>
      <c r="S504" s="10">
        <f>CHOOSE(CONTROL!$C$42, 13.519, 13.519) * CHOOSE(CONTROL!$C$21, $C$9, 100%, $E$9)</f>
        <v>13.519</v>
      </c>
      <c r="T50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38">
        <f>(1000*CHOOSE(CONTROL!$C$42, 695, 695)*CHOOSE(CONTROL!$C$42, 0.5599, 0.5599)*CHOOSE(CONTROL!$C$42, 31, 31))/1000000</f>
        <v>12.063045499999998</v>
      </c>
      <c r="V504" s="38">
        <f>(1000*CHOOSE(CONTROL!$C$42, 500, 500)*CHOOSE(CONTROL!$C$42, 0.275, 0.275)*CHOOSE(CONTROL!$C$42, 31, 31))/1000000</f>
        <v>4.2625000000000002</v>
      </c>
      <c r="W504" s="38">
        <f>(1000*CHOOSE(CONTROL!$C$42, 0.1146, 0.1146)*CHOOSE(CONTROL!$C$42, 121.5, 121.5)*CHOOSE(CONTROL!$C$42, 31, 31))/1000000</f>
        <v>0.43164089999999994</v>
      </c>
      <c r="X504" s="38">
        <f>(31*0.1790888*100000/1000000)+(31*0.2374*100000/1000000)</f>
        <v>1.2911152800000001</v>
      </c>
      <c r="Y504" s="38">
        <f>(1000*600*CHOOSE(CONTROL!$C$42, 1.0653, 1.0653)*CHOOSE(CONTROL!$C$42, 31, 31))/1000000</f>
        <v>19.814579999999999</v>
      </c>
      <c r="Z504" s="38"/>
      <c r="AA504" s="10"/>
      <c r="AB504" s="39"/>
      <c r="AC504" s="33">
        <f>(B504*122.58+C504*297.941+D504*89.177+E504*40.302+F504*40+G504*160+H504*0+I504*100+J504*300)/(122.58+297.941+89.177+40.302+0+40+160+100+300)</f>
        <v>13.936520157304347</v>
      </c>
      <c r="AD504" s="27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13.805390647482014</v>
      </c>
    </row>
    <row r="505" spans="1:30" ht="15.75" x14ac:dyDescent="0.25">
      <c r="A505" s="13">
        <v>56645</v>
      </c>
      <c r="B505" s="10">
        <f>CHOOSE(CONTROL!$C$42, 14.8867, 14.8867) * CHOOSE(CONTROL!$C$21, $C$9, 100%, $E$9)</f>
        <v>14.886699999999999</v>
      </c>
      <c r="C505" s="10">
        <f>CHOOSE(CONTROL!$C$42, 14.8918, 14.8918) * CHOOSE(CONTROL!$C$21, $C$9, 100%, $E$9)</f>
        <v>14.8918</v>
      </c>
      <c r="D505" s="10">
        <f>CHOOSE(CONTROL!$C$42, 14.9268, 14.9268) * CHOOSE(CONTROL!$C$21, $C$9, 100%, $E$9)</f>
        <v>14.9268</v>
      </c>
      <c r="E505" s="10">
        <f>CHOOSE(CONTROL!$C$42, 14.9606, 14.9606) * CHOOSE(CONTROL!$C$21, $C$9, 100%, $E$9)</f>
        <v>14.960599999999999</v>
      </c>
      <c r="F505" s="10">
        <f>CHOOSE(CONTROL!$C$42, 14.8679, 14.8679)*CHOOSE(CONTROL!$C$21, $C$9, 100%, $E$9)</f>
        <v>14.867900000000001</v>
      </c>
      <c r="G505" s="10">
        <f>CHOOSE(CONTROL!$C$42, 14.8868, 14.8868)*CHOOSE(CONTROL!$C$21, $C$9, 100%, $E$9)</f>
        <v>14.886799999999999</v>
      </c>
      <c r="H505" s="10">
        <f>CHOOSE(CONTROL!$C$42, 14.9495, 14.9495) * CHOOSE(CONTROL!$C$21, $C$9, 100%, $E$9)</f>
        <v>14.9495</v>
      </c>
      <c r="I505" s="10">
        <f>CHOOSE(CONTROL!$C$42, 14.8939, 14.8939)* CHOOSE(CONTROL!$C$21, $C$9, 100%, $E$9)</f>
        <v>14.8939</v>
      </c>
      <c r="J505" s="10">
        <f>CHOOSE(CONTROL!$C$42, 14.8605, 14.8605)* CHOOSE(CONTROL!$C$21, $C$9, 100%, $E$9)</f>
        <v>14.8605</v>
      </c>
      <c r="K505" s="10">
        <f>CHOOSE(CONTROL!$C$42, 14.6053, 14.6053) * CHOOSE(CONTROL!$C$21, $C$9, 100%, $E$9)</f>
        <v>14.6053</v>
      </c>
      <c r="L505" s="10">
        <f>CHOOSE(CONTROL!$C$42, 15.5365, 15.5365) * CHOOSE(CONTROL!$C$21, $C$9, 100%, $E$9)</f>
        <v>15.5365</v>
      </c>
      <c r="M505" s="10">
        <f>CHOOSE(CONTROL!$C$42, 14.7012, 14.7012) * CHOOSE(CONTROL!$C$21, $C$9, 100%, $E$9)</f>
        <v>14.7012</v>
      </c>
      <c r="N505" s="10">
        <f>CHOOSE(CONTROL!$C$42, 14.7199, 14.7199) * CHOOSE(CONTROL!$C$21, $C$9, 100%, $E$9)</f>
        <v>14.719900000000001</v>
      </c>
      <c r="O505" s="10">
        <f>CHOOSE(CONTROL!$C$42, 14.789, 14.789) * CHOOSE(CONTROL!$C$21, $C$9, 100%, $E$9)</f>
        <v>14.789</v>
      </c>
      <c r="P505" s="10">
        <f>CHOOSE(CONTROL!$C$42, 14.7342, 14.7342) * CHOOSE(CONTROL!$C$21, $C$9, 100%, $E$9)</f>
        <v>14.7342</v>
      </c>
      <c r="Q505" s="10">
        <f>CHOOSE(CONTROL!$C$42, 15.3843, 15.3843) * CHOOSE(CONTROL!$C$21, $C$9, 100%, $E$9)</f>
        <v>15.3843</v>
      </c>
      <c r="R505" s="10">
        <f>CHOOSE(CONTROL!$C$42, 16.0097, 16.0097) * CHOOSE(CONTROL!$C$21, $C$9, 100%, $E$9)</f>
        <v>16.009699999999999</v>
      </c>
      <c r="S505" s="10">
        <f>CHOOSE(CONTROL!$C$42, 14.4314, 14.4314) * CHOOSE(CONTROL!$C$21, $C$9, 100%, $E$9)</f>
        <v>14.4314</v>
      </c>
      <c r="T50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38">
        <f>(1000*CHOOSE(CONTROL!$C$42, 695, 695)*CHOOSE(CONTROL!$C$42, 0.5599, 0.5599)*CHOOSE(CONTROL!$C$42, 31, 31))/1000000</f>
        <v>12.063045499999998</v>
      </c>
      <c r="V505" s="38">
        <f>(1000*CHOOSE(CONTROL!$C$42, 500, 500)*CHOOSE(CONTROL!$C$42, 0.275, 0.275)*CHOOSE(CONTROL!$C$42, 31, 31))/1000000</f>
        <v>4.2625000000000002</v>
      </c>
      <c r="W505" s="38">
        <f>(1000*CHOOSE(CONTROL!$C$42, 0.1146, 0.1146)*CHOOSE(CONTROL!$C$42, 121.5, 121.5)*CHOOSE(CONTROL!$C$42, 31, 31))/1000000</f>
        <v>0.43164089999999994</v>
      </c>
      <c r="X505" s="38">
        <f>(31*0.1790888*100000/1000000)+(31*0.2374*100000/1000000)</f>
        <v>1.2911152800000001</v>
      </c>
      <c r="Y505" s="38">
        <f>(1000*600*CHOOSE(CONTROL!$C$42, 1.0619, 1.0619)*CHOOSE(CONTROL!$C$42, 31, 31))/1000000</f>
        <v>19.751339999999999</v>
      </c>
      <c r="Z505" s="38"/>
      <c r="AA505" s="10"/>
      <c r="AB505" s="39"/>
      <c r="AC505" s="33">
        <f>(B505*122.58+C505*297.941+D505*89.177+E505*40.302+F505*40+G505*160+H505*0+I505*100+J505*300)/(122.58+297.941+89.177+40.302+0+40+160+100+300)</f>
        <v>14.886872012695651</v>
      </c>
      <c r="AD505" s="27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14.74681870503597</v>
      </c>
    </row>
    <row r="506" spans="1:30" ht="15.75" x14ac:dyDescent="0.25">
      <c r="A506" s="13">
        <v>56673</v>
      </c>
      <c r="B506" s="10">
        <f>CHOOSE(CONTROL!$C$42, 15.152, 15.152) * CHOOSE(CONTROL!$C$21, $C$9, 100%, $E$9)</f>
        <v>15.151999999999999</v>
      </c>
      <c r="C506" s="10">
        <f>CHOOSE(CONTROL!$C$42, 15.157, 15.157) * CHOOSE(CONTROL!$C$21, $C$9, 100%, $E$9)</f>
        <v>15.157</v>
      </c>
      <c r="D506" s="10">
        <f>CHOOSE(CONTROL!$C$42, 15.1921, 15.1921) * CHOOSE(CONTROL!$C$21, $C$9, 100%, $E$9)</f>
        <v>15.1921</v>
      </c>
      <c r="E506" s="10">
        <f>CHOOSE(CONTROL!$C$42, 15.2259, 15.2259) * CHOOSE(CONTROL!$C$21, $C$9, 100%, $E$9)</f>
        <v>15.225899999999999</v>
      </c>
      <c r="F506" s="10">
        <f>CHOOSE(CONTROL!$C$42, 15.1327, 15.1327)*CHOOSE(CONTROL!$C$21, $C$9, 100%, $E$9)</f>
        <v>15.1327</v>
      </c>
      <c r="G506" s="10">
        <f>CHOOSE(CONTROL!$C$42, 15.1515, 15.1515)*CHOOSE(CONTROL!$C$21, $C$9, 100%, $E$9)</f>
        <v>15.1515</v>
      </c>
      <c r="H506" s="10">
        <f>CHOOSE(CONTROL!$C$42, 15.2147, 15.2147) * CHOOSE(CONTROL!$C$21, $C$9, 100%, $E$9)</f>
        <v>15.214700000000001</v>
      </c>
      <c r="I506" s="10">
        <f>CHOOSE(CONTROL!$C$42, 15.1592, 15.1592)* CHOOSE(CONTROL!$C$21, $C$9, 100%, $E$9)</f>
        <v>15.1592</v>
      </c>
      <c r="J506" s="10">
        <f>CHOOSE(CONTROL!$C$42, 15.1253, 15.1253)* CHOOSE(CONTROL!$C$21, $C$9, 100%, $E$9)</f>
        <v>15.125299999999999</v>
      </c>
      <c r="K506" s="10">
        <f>CHOOSE(CONTROL!$C$42, 14.8612, 14.8612) * CHOOSE(CONTROL!$C$21, $C$9, 100%, $E$9)</f>
        <v>14.8612</v>
      </c>
      <c r="L506" s="10">
        <f>CHOOSE(CONTROL!$C$42, 15.8017, 15.8017) * CHOOSE(CONTROL!$C$21, $C$9, 100%, $E$9)</f>
        <v>15.8017</v>
      </c>
      <c r="M506" s="10">
        <f>CHOOSE(CONTROL!$C$42, 14.9625, 14.9625) * CHOOSE(CONTROL!$C$21, $C$9, 100%, $E$9)</f>
        <v>14.9625</v>
      </c>
      <c r="N506" s="10">
        <f>CHOOSE(CONTROL!$C$42, 14.9811, 14.9811) * CHOOSE(CONTROL!$C$21, $C$9, 100%, $E$9)</f>
        <v>14.9811</v>
      </c>
      <c r="O506" s="10">
        <f>CHOOSE(CONTROL!$C$42, 15.0508, 15.0508) * CHOOSE(CONTROL!$C$21, $C$9, 100%, $E$9)</f>
        <v>15.050800000000001</v>
      </c>
      <c r="P506" s="10">
        <f>CHOOSE(CONTROL!$C$42, 14.996, 14.996) * CHOOSE(CONTROL!$C$21, $C$9, 100%, $E$9)</f>
        <v>14.996</v>
      </c>
      <c r="Q506" s="10">
        <f>CHOOSE(CONTROL!$C$42, 15.6461, 15.6461) * CHOOSE(CONTROL!$C$21, $C$9, 100%, $E$9)</f>
        <v>15.646100000000001</v>
      </c>
      <c r="R506" s="10">
        <f>CHOOSE(CONTROL!$C$42, 16.2722, 16.2722) * CHOOSE(CONTROL!$C$21, $C$9, 100%, $E$9)</f>
        <v>16.272200000000002</v>
      </c>
      <c r="S506" s="10">
        <f>CHOOSE(CONTROL!$C$42, 14.6883, 14.6883) * CHOOSE(CONTROL!$C$21, $C$9, 100%, $E$9)</f>
        <v>14.6883</v>
      </c>
      <c r="T50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38">
        <f>(1000*CHOOSE(CONTROL!$C$42, 695, 695)*CHOOSE(CONTROL!$C$42, 0.5599, 0.5599)*CHOOSE(CONTROL!$C$42, 28, 28))/1000000</f>
        <v>10.895653999999999</v>
      </c>
      <c r="V506" s="38">
        <f>(1000*CHOOSE(CONTROL!$C$42, 500, 500)*CHOOSE(CONTROL!$C$42, 0.275, 0.275)*CHOOSE(CONTROL!$C$42, 28, 28))/1000000</f>
        <v>3.85</v>
      </c>
      <c r="W506" s="38">
        <f>(1000*CHOOSE(CONTROL!$C$42, 0.1146, 0.1146)*CHOOSE(CONTROL!$C$42, 121.5, 121.5)*CHOOSE(CONTROL!$C$42, 28, 28))/1000000</f>
        <v>0.38986920000000003</v>
      </c>
      <c r="X506" s="38">
        <f>(28*0.1790888*100000/1000000)+(28*0.2374*100000/1000000)</f>
        <v>1.16616864</v>
      </c>
      <c r="Y506" s="38">
        <f>(1000*600*CHOOSE(CONTROL!$C$42, 1.0619, 1.0619)*CHOOSE(CONTROL!$C$42, 28, 28))/1000000</f>
        <v>17.839919999999999</v>
      </c>
      <c r="Z506" s="38"/>
      <c r="AA506" s="10"/>
      <c r="AB506" s="39"/>
      <c r="AC506" s="33">
        <f>(B506*122.58+C506*297.941+D506*89.177+E506*40.302+F506*40+G506*160+H506*0+I506*100+J506*300)/(122.58+297.941+89.177+40.302+0+40+160+100+300)</f>
        <v>15.151914800434783</v>
      </c>
      <c r="AD506" s="27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15.008411510791365</v>
      </c>
    </row>
    <row r="507" spans="1:30" ht="15.75" x14ac:dyDescent="0.25">
      <c r="A507" s="13">
        <v>56704</v>
      </c>
      <c r="B507" s="10">
        <f>CHOOSE(CONTROL!$C$42, 14.7213, 14.7213) * CHOOSE(CONTROL!$C$21, $C$9, 100%, $E$9)</f>
        <v>14.721299999999999</v>
      </c>
      <c r="C507" s="10">
        <f>CHOOSE(CONTROL!$C$42, 14.7264, 14.7264) * CHOOSE(CONTROL!$C$21, $C$9, 100%, $E$9)</f>
        <v>14.7264</v>
      </c>
      <c r="D507" s="10">
        <f>CHOOSE(CONTROL!$C$42, 14.7614, 14.7614) * CHOOSE(CONTROL!$C$21, $C$9, 100%, $E$9)</f>
        <v>14.7614</v>
      </c>
      <c r="E507" s="10">
        <f>CHOOSE(CONTROL!$C$42, 14.7952, 14.7952) * CHOOSE(CONTROL!$C$21, $C$9, 100%, $E$9)</f>
        <v>14.795199999999999</v>
      </c>
      <c r="F507" s="10">
        <f>CHOOSE(CONTROL!$C$42, 14.7007, 14.7007)*CHOOSE(CONTROL!$C$21, $C$9, 100%, $E$9)</f>
        <v>14.700699999999999</v>
      </c>
      <c r="G507" s="10">
        <f>CHOOSE(CONTROL!$C$42, 14.7191, 14.7191)*CHOOSE(CONTROL!$C$21, $C$9, 100%, $E$9)</f>
        <v>14.719099999999999</v>
      </c>
      <c r="H507" s="10">
        <f>CHOOSE(CONTROL!$C$42, 14.7841, 14.7841) * CHOOSE(CONTROL!$C$21, $C$9, 100%, $E$9)</f>
        <v>14.7841</v>
      </c>
      <c r="I507" s="10">
        <f>CHOOSE(CONTROL!$C$42, 14.7286, 14.7286)* CHOOSE(CONTROL!$C$21, $C$9, 100%, $E$9)</f>
        <v>14.7286</v>
      </c>
      <c r="J507" s="10">
        <f>CHOOSE(CONTROL!$C$42, 14.6933, 14.6933)* CHOOSE(CONTROL!$C$21, $C$9, 100%, $E$9)</f>
        <v>14.693300000000001</v>
      </c>
      <c r="K507" s="10">
        <f>CHOOSE(CONTROL!$C$42, 14.441, 14.441) * CHOOSE(CONTROL!$C$21, $C$9, 100%, $E$9)</f>
        <v>14.441000000000001</v>
      </c>
      <c r="L507" s="10">
        <f>CHOOSE(CONTROL!$C$42, 15.3711, 15.3711) * CHOOSE(CONTROL!$C$21, $C$9, 100%, $E$9)</f>
        <v>15.3711</v>
      </c>
      <c r="M507" s="10">
        <f>CHOOSE(CONTROL!$C$42, 14.5361, 14.5361) * CHOOSE(CONTROL!$C$21, $C$9, 100%, $E$9)</f>
        <v>14.536099999999999</v>
      </c>
      <c r="N507" s="10">
        <f>CHOOSE(CONTROL!$C$42, 14.5543, 14.5543) * CHOOSE(CONTROL!$C$21, $C$9, 100%, $E$9)</f>
        <v>14.5543</v>
      </c>
      <c r="O507" s="10">
        <f>CHOOSE(CONTROL!$C$42, 14.6258, 14.6258) * CHOOSE(CONTROL!$C$21, $C$9, 100%, $E$9)</f>
        <v>14.6258</v>
      </c>
      <c r="P507" s="10">
        <f>CHOOSE(CONTROL!$C$42, 14.571, 14.571) * CHOOSE(CONTROL!$C$21, $C$9, 100%, $E$9)</f>
        <v>14.571</v>
      </c>
      <c r="Q507" s="10">
        <f>CHOOSE(CONTROL!$C$42, 15.2211, 15.2211) * CHOOSE(CONTROL!$C$21, $C$9, 100%, $E$9)</f>
        <v>15.2211</v>
      </c>
      <c r="R507" s="10">
        <f>CHOOSE(CONTROL!$C$42, 15.8461, 15.8461) * CHOOSE(CONTROL!$C$21, $C$9, 100%, $E$9)</f>
        <v>15.8461</v>
      </c>
      <c r="S507" s="10">
        <f>CHOOSE(CONTROL!$C$42, 14.2713, 14.2713) * CHOOSE(CONTROL!$C$21, $C$9, 100%, $E$9)</f>
        <v>14.2713</v>
      </c>
      <c r="T50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38">
        <f>(1000*CHOOSE(CONTROL!$C$42, 695, 695)*CHOOSE(CONTROL!$C$42, 0.5599, 0.5599)*CHOOSE(CONTROL!$C$42, 31, 31))/1000000</f>
        <v>12.063045499999998</v>
      </c>
      <c r="V507" s="38">
        <f>(1000*CHOOSE(CONTROL!$C$42, 500, 500)*CHOOSE(CONTROL!$C$42, 0.275, 0.275)*CHOOSE(CONTROL!$C$42, 31, 31))/1000000</f>
        <v>4.2625000000000002</v>
      </c>
      <c r="W507" s="38">
        <f>(1000*CHOOSE(CONTROL!$C$42, 0.1146, 0.1146)*CHOOSE(CONTROL!$C$42, 121.5, 121.5)*CHOOSE(CONTROL!$C$42, 31, 31))/1000000</f>
        <v>0.43164089999999994</v>
      </c>
      <c r="X507" s="38">
        <f>(31*0.1790888*100000/1000000)+(31*0.2374*100000/1000000)</f>
        <v>1.2911152800000001</v>
      </c>
      <c r="Y507" s="38">
        <f>(1000*600*CHOOSE(CONTROL!$C$42, 1.0619, 1.0619)*CHOOSE(CONTROL!$C$42, 31, 31))/1000000</f>
        <v>19.751339999999999</v>
      </c>
      <c r="Z507" s="38"/>
      <c r="AA507" s="10"/>
      <c r="AB507" s="39"/>
      <c r="AC507" s="33">
        <f>(B507*122.58+C507*297.941+D507*89.177+E507*40.302+F507*40+G507*160+H507*0+I507*100+J507*300)/(122.58+297.941+89.177+40.302+0+40+160+100+300)</f>
        <v>14.72062853443478</v>
      </c>
      <c r="AD507" s="27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14.582824460431654</v>
      </c>
    </row>
    <row r="508" spans="1:30" ht="15.75" x14ac:dyDescent="0.25">
      <c r="A508" s="13">
        <v>56734</v>
      </c>
      <c r="B508" s="10">
        <f>CHOOSE(CONTROL!$C$42, 14.6779, 14.6779) * CHOOSE(CONTROL!$C$21, $C$9, 100%, $E$9)</f>
        <v>14.677899999999999</v>
      </c>
      <c r="C508" s="10">
        <f>CHOOSE(CONTROL!$C$42, 14.6825, 14.6825) * CHOOSE(CONTROL!$C$21, $C$9, 100%, $E$9)</f>
        <v>14.682499999999999</v>
      </c>
      <c r="D508" s="10">
        <f>CHOOSE(CONTROL!$C$42, 14.8607, 14.8607) * CHOOSE(CONTROL!$C$21, $C$9, 100%, $E$9)</f>
        <v>14.8607</v>
      </c>
      <c r="E508" s="10">
        <f>CHOOSE(CONTROL!$C$42, 14.8925, 14.8925) * CHOOSE(CONTROL!$C$21, $C$9, 100%, $E$9)</f>
        <v>14.8925</v>
      </c>
      <c r="F508" s="10">
        <f>CHOOSE(CONTROL!$C$42, 14.6214, 14.6214)*CHOOSE(CONTROL!$C$21, $C$9, 100%, $E$9)</f>
        <v>14.6214</v>
      </c>
      <c r="G508" s="10">
        <f>CHOOSE(CONTROL!$C$42, 14.638, 14.638)*CHOOSE(CONTROL!$C$21, $C$9, 100%, $E$9)</f>
        <v>14.638</v>
      </c>
      <c r="H508" s="10">
        <f>CHOOSE(CONTROL!$C$42, 14.882, 14.882) * CHOOSE(CONTROL!$C$21, $C$9, 100%, $E$9)</f>
        <v>14.882</v>
      </c>
      <c r="I508" s="10">
        <f>CHOOSE(CONTROL!$C$42, 14.654, 14.654)* CHOOSE(CONTROL!$C$21, $C$9, 100%, $E$9)</f>
        <v>14.654</v>
      </c>
      <c r="J508" s="10">
        <f>CHOOSE(CONTROL!$C$42, 14.614, 14.614)* CHOOSE(CONTROL!$C$21, $C$9, 100%, $E$9)</f>
        <v>14.614000000000001</v>
      </c>
      <c r="K508" s="10">
        <f>CHOOSE(CONTROL!$C$42, 14.354, 14.354) * CHOOSE(CONTROL!$C$21, $C$9, 100%, $E$9)</f>
        <v>14.353999999999999</v>
      </c>
      <c r="L508" s="10">
        <f>CHOOSE(CONTROL!$C$42, 15.469, 15.469) * CHOOSE(CONTROL!$C$21, $C$9, 100%, $E$9)</f>
        <v>15.468999999999999</v>
      </c>
      <c r="M508" s="10">
        <f>CHOOSE(CONTROL!$C$42, 14.4579, 14.4579) * CHOOSE(CONTROL!$C$21, $C$9, 100%, $E$9)</f>
        <v>14.4579</v>
      </c>
      <c r="N508" s="10">
        <f>CHOOSE(CONTROL!$C$42, 14.4742, 14.4742) * CHOOSE(CONTROL!$C$21, $C$9, 100%, $E$9)</f>
        <v>14.4742</v>
      </c>
      <c r="O508" s="10">
        <f>CHOOSE(CONTROL!$C$42, 14.7224, 14.7224) * CHOOSE(CONTROL!$C$21, $C$9, 100%, $E$9)</f>
        <v>14.7224</v>
      </c>
      <c r="P508" s="10">
        <f>CHOOSE(CONTROL!$C$42, 14.4974, 14.4974) * CHOOSE(CONTROL!$C$21, $C$9, 100%, $E$9)</f>
        <v>14.497400000000001</v>
      </c>
      <c r="Q508" s="10">
        <f>CHOOSE(CONTROL!$C$42, 15.3177, 15.3177) * CHOOSE(CONTROL!$C$21, $C$9, 100%, $E$9)</f>
        <v>15.3177</v>
      </c>
      <c r="R508" s="10">
        <f>CHOOSE(CONTROL!$C$42, 15.943, 15.943) * CHOOSE(CONTROL!$C$21, $C$9, 100%, $E$9)</f>
        <v>15.943</v>
      </c>
      <c r="S508" s="10">
        <f>CHOOSE(CONTROL!$C$42, 14.2286, 14.2286) * CHOOSE(CONTROL!$C$21, $C$9, 100%, $E$9)</f>
        <v>14.2286</v>
      </c>
      <c r="T50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38">
        <f>(1000*CHOOSE(CONTROL!$C$42, 695, 695)*CHOOSE(CONTROL!$C$42, 0.5599, 0.5599)*CHOOSE(CONTROL!$C$42, 30, 30))/1000000</f>
        <v>11.673914999999997</v>
      </c>
      <c r="V508" s="38">
        <f>(1000*CHOOSE(CONTROL!$C$42, 500, 500)*CHOOSE(CONTROL!$C$42, 0.275, 0.275)*CHOOSE(CONTROL!$C$42, 30, 30))/1000000</f>
        <v>4.125</v>
      </c>
      <c r="W508" s="38">
        <f>(1000*CHOOSE(CONTROL!$C$42, 0.1146, 0.1146)*CHOOSE(CONTROL!$C$42, 121.5, 121.5)*CHOOSE(CONTROL!$C$42, 30, 30))/1000000</f>
        <v>0.417717</v>
      </c>
      <c r="X508" s="38">
        <f>(30*0.1790888*245000/1000000)+(30*0.2374*100000/1000000)</f>
        <v>2.0285026799999999</v>
      </c>
      <c r="Y508" s="38">
        <f>(1000*600*CHOOSE(CONTROL!$C$42, 1.0619, 1.0619)*CHOOSE(CONTROL!$C$42, 30, 30))/1000000</f>
        <v>19.1142</v>
      </c>
      <c r="Z508" s="38"/>
      <c r="AA508" s="10"/>
      <c r="AB508" s="39"/>
      <c r="AC508" s="33">
        <f>(B508*141.293+C508*267.993+D508*115.016+E508*89.698+F508*40+G508*185+H508*0+I508*100+J508*300)/(141.293+267.993+115.016+89.698+0+40+185+100+300)</f>
        <v>14.686217500726393</v>
      </c>
      <c r="AD508" s="27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14.541548201438848</v>
      </c>
    </row>
    <row r="509" spans="1:30" ht="15.75" x14ac:dyDescent="0.25">
      <c r="A509" s="13">
        <v>56765</v>
      </c>
      <c r="B509" s="10">
        <f>CHOOSE(CONTROL!$C$42, 14.8094, 14.8094) * CHOOSE(CONTROL!$C$21, $C$9, 100%, $E$9)</f>
        <v>14.8094</v>
      </c>
      <c r="C509" s="10">
        <f>CHOOSE(CONTROL!$C$42, 14.8174, 14.8174) * CHOOSE(CONTROL!$C$21, $C$9, 100%, $E$9)</f>
        <v>14.817399999999999</v>
      </c>
      <c r="D509" s="10">
        <f>CHOOSE(CONTROL!$C$42, 14.9925, 14.9925) * CHOOSE(CONTROL!$C$21, $C$9, 100%, $E$9)</f>
        <v>14.9925</v>
      </c>
      <c r="E509" s="10">
        <f>CHOOSE(CONTROL!$C$42, 15.0237, 15.0237) * CHOOSE(CONTROL!$C$21, $C$9, 100%, $E$9)</f>
        <v>15.0237</v>
      </c>
      <c r="F509" s="10">
        <f>CHOOSE(CONTROL!$C$42, 14.7511, 14.7511)*CHOOSE(CONTROL!$C$21, $C$9, 100%, $E$9)</f>
        <v>14.751099999999999</v>
      </c>
      <c r="G509" s="10">
        <f>CHOOSE(CONTROL!$C$42, 14.768, 14.768)*CHOOSE(CONTROL!$C$21, $C$9, 100%, $E$9)</f>
        <v>14.768000000000001</v>
      </c>
      <c r="H509" s="10">
        <f>CHOOSE(CONTROL!$C$42, 15.0121, 15.0121) * CHOOSE(CONTROL!$C$21, $C$9, 100%, $E$9)</f>
        <v>15.0121</v>
      </c>
      <c r="I509" s="10">
        <f>CHOOSE(CONTROL!$C$42, 14.784, 14.784)* CHOOSE(CONTROL!$C$21, $C$9, 100%, $E$9)</f>
        <v>14.784000000000001</v>
      </c>
      <c r="J509" s="10">
        <f>CHOOSE(CONTROL!$C$42, 14.7437, 14.7437)* CHOOSE(CONTROL!$C$21, $C$9, 100%, $E$9)</f>
        <v>14.7437</v>
      </c>
      <c r="K509" s="10">
        <f>CHOOSE(CONTROL!$C$42, 14.4792, 14.4792) * CHOOSE(CONTROL!$C$21, $C$9, 100%, $E$9)</f>
        <v>14.479200000000001</v>
      </c>
      <c r="L509" s="10">
        <f>CHOOSE(CONTROL!$C$42, 15.5991, 15.5991) * CHOOSE(CONTROL!$C$21, $C$9, 100%, $E$9)</f>
        <v>15.5991</v>
      </c>
      <c r="M509" s="10">
        <f>CHOOSE(CONTROL!$C$42, 14.5859, 14.5859) * CHOOSE(CONTROL!$C$21, $C$9, 100%, $E$9)</f>
        <v>14.585900000000001</v>
      </c>
      <c r="N509" s="10">
        <f>CHOOSE(CONTROL!$C$42, 14.6025, 14.6025) * CHOOSE(CONTROL!$C$21, $C$9, 100%, $E$9)</f>
        <v>14.602499999999999</v>
      </c>
      <c r="O509" s="10">
        <f>CHOOSE(CONTROL!$C$42, 14.8508, 14.8508) * CHOOSE(CONTROL!$C$21, $C$9, 100%, $E$9)</f>
        <v>14.8508</v>
      </c>
      <c r="P509" s="10">
        <f>CHOOSE(CONTROL!$C$42, 14.6258, 14.6258) * CHOOSE(CONTROL!$C$21, $C$9, 100%, $E$9)</f>
        <v>14.6258</v>
      </c>
      <c r="Q509" s="10">
        <f>CHOOSE(CONTROL!$C$42, 15.4461, 15.4461) * CHOOSE(CONTROL!$C$21, $C$9, 100%, $E$9)</f>
        <v>15.446099999999999</v>
      </c>
      <c r="R509" s="10">
        <f>CHOOSE(CONTROL!$C$42, 16.0717, 16.0717) * CHOOSE(CONTROL!$C$21, $C$9, 100%, $E$9)</f>
        <v>16.0717</v>
      </c>
      <c r="S509" s="10">
        <f>CHOOSE(CONTROL!$C$42, 14.3545, 14.3545) * CHOOSE(CONTROL!$C$21, $C$9, 100%, $E$9)</f>
        <v>14.3545</v>
      </c>
      <c r="T50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38">
        <f>(1000*CHOOSE(CONTROL!$C$42, 695, 695)*CHOOSE(CONTROL!$C$42, 0.5599, 0.5599)*CHOOSE(CONTROL!$C$42, 31, 31))/1000000</f>
        <v>12.063045499999998</v>
      </c>
      <c r="V509" s="38">
        <f>(1000*CHOOSE(CONTROL!$C$42, 500, 500)*CHOOSE(CONTROL!$C$42, 0.275, 0.275)*CHOOSE(CONTROL!$C$42, 31, 31))/1000000</f>
        <v>4.2625000000000002</v>
      </c>
      <c r="W509" s="38">
        <f>(1000*CHOOSE(CONTROL!$C$42, 0.1146, 0.1146)*CHOOSE(CONTROL!$C$42, 121.5, 121.5)*CHOOSE(CONTROL!$C$42, 31, 31))/1000000</f>
        <v>0.43164089999999994</v>
      </c>
      <c r="X509" s="38">
        <f>(31*0.1790888*245000/1000000)+(31*0.2374*100000/1000000)</f>
        <v>2.0961194359999999</v>
      </c>
      <c r="Y509" s="38">
        <f>(1000*600*CHOOSE(CONTROL!$C$42, 1.0619, 1.0619)*CHOOSE(CONTROL!$C$42, 31, 31))/1000000</f>
        <v>19.751339999999999</v>
      </c>
      <c r="Z509" s="38"/>
      <c r="AA509" s="10"/>
      <c r="AB509" s="39"/>
      <c r="AC509" s="33">
        <f>(B509*194.205+C509*267.466+D509*133.845+E509*53.484+F509*40+G509*185+H509*0+I509*100+J509*300)/(194.205+267.466+133.845+53.484+0+40+185+100+300)</f>
        <v>14.814005469937205</v>
      </c>
      <c r="AD509" s="27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14.669787050359711</v>
      </c>
    </row>
    <row r="510" spans="1:30" ht="15.75" x14ac:dyDescent="0.25">
      <c r="A510" s="13">
        <v>56795</v>
      </c>
      <c r="B510" s="10">
        <f>CHOOSE(CONTROL!$C$42, 15.2299, 15.2299) * CHOOSE(CONTROL!$C$21, $C$9, 100%, $E$9)</f>
        <v>15.229900000000001</v>
      </c>
      <c r="C510" s="10">
        <f>CHOOSE(CONTROL!$C$42, 15.2379, 15.2379) * CHOOSE(CONTROL!$C$21, $C$9, 100%, $E$9)</f>
        <v>15.2379</v>
      </c>
      <c r="D510" s="10">
        <f>CHOOSE(CONTROL!$C$42, 15.413, 15.413) * CHOOSE(CONTROL!$C$21, $C$9, 100%, $E$9)</f>
        <v>15.413</v>
      </c>
      <c r="E510" s="10">
        <f>CHOOSE(CONTROL!$C$42, 15.4442, 15.4442) * CHOOSE(CONTROL!$C$21, $C$9, 100%, $E$9)</f>
        <v>15.4442</v>
      </c>
      <c r="F510" s="10">
        <f>CHOOSE(CONTROL!$C$42, 15.1717, 15.1717)*CHOOSE(CONTROL!$C$21, $C$9, 100%, $E$9)</f>
        <v>15.1717</v>
      </c>
      <c r="G510" s="10">
        <f>CHOOSE(CONTROL!$C$42, 15.1887, 15.1887)*CHOOSE(CONTROL!$C$21, $C$9, 100%, $E$9)</f>
        <v>15.188700000000001</v>
      </c>
      <c r="H510" s="10">
        <f>CHOOSE(CONTROL!$C$42, 15.4325, 15.4325) * CHOOSE(CONTROL!$C$21, $C$9, 100%, $E$9)</f>
        <v>15.432499999999999</v>
      </c>
      <c r="I510" s="10">
        <f>CHOOSE(CONTROL!$C$42, 15.2045, 15.2045)* CHOOSE(CONTROL!$C$21, $C$9, 100%, $E$9)</f>
        <v>15.204499999999999</v>
      </c>
      <c r="J510" s="10">
        <f>CHOOSE(CONTROL!$C$42, 15.1643, 15.1643)* CHOOSE(CONTROL!$C$21, $C$9, 100%, $E$9)</f>
        <v>15.164300000000001</v>
      </c>
      <c r="K510" s="10">
        <f>CHOOSE(CONTROL!$C$42, 14.8869, 14.8869) * CHOOSE(CONTROL!$C$21, $C$9, 100%, $E$9)</f>
        <v>14.886900000000001</v>
      </c>
      <c r="L510" s="10">
        <f>CHOOSE(CONTROL!$C$42, 16.0195, 16.0195) * CHOOSE(CONTROL!$C$21, $C$9, 100%, $E$9)</f>
        <v>16.019500000000001</v>
      </c>
      <c r="M510" s="10">
        <f>CHOOSE(CONTROL!$C$42, 15.0011, 15.0011) * CHOOSE(CONTROL!$C$21, $C$9, 100%, $E$9)</f>
        <v>15.001099999999999</v>
      </c>
      <c r="N510" s="10">
        <f>CHOOSE(CONTROL!$C$42, 15.0178, 15.0178) * CHOOSE(CONTROL!$C$21, $C$9, 100%, $E$9)</f>
        <v>15.017799999999999</v>
      </c>
      <c r="O510" s="10">
        <f>CHOOSE(CONTROL!$C$42, 15.2658, 15.2658) * CHOOSE(CONTROL!$C$21, $C$9, 100%, $E$9)</f>
        <v>15.2658</v>
      </c>
      <c r="P510" s="10">
        <f>CHOOSE(CONTROL!$C$42, 15.0408, 15.0408) * CHOOSE(CONTROL!$C$21, $C$9, 100%, $E$9)</f>
        <v>15.040800000000001</v>
      </c>
      <c r="Q510" s="10">
        <f>CHOOSE(CONTROL!$C$42, 15.8611, 15.8611) * CHOOSE(CONTROL!$C$21, $C$9, 100%, $E$9)</f>
        <v>15.8611</v>
      </c>
      <c r="R510" s="10">
        <f>CHOOSE(CONTROL!$C$42, 16.4878, 16.4878) * CHOOSE(CONTROL!$C$21, $C$9, 100%, $E$9)</f>
        <v>16.4878</v>
      </c>
      <c r="S510" s="10">
        <f>CHOOSE(CONTROL!$C$42, 14.7617, 14.7617) * CHOOSE(CONTROL!$C$21, $C$9, 100%, $E$9)</f>
        <v>14.761699999999999</v>
      </c>
      <c r="T51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38">
        <f>(1000*CHOOSE(CONTROL!$C$42, 695, 695)*CHOOSE(CONTROL!$C$42, 0.5599, 0.5599)*CHOOSE(CONTROL!$C$42, 30, 30))/1000000</f>
        <v>11.673914999999997</v>
      </c>
      <c r="V510" s="38">
        <f>(1000*CHOOSE(CONTROL!$C$42, 500, 500)*CHOOSE(CONTROL!$C$42, 0.275, 0.275)*CHOOSE(CONTROL!$C$42, 30, 30))/1000000</f>
        <v>4.125</v>
      </c>
      <c r="W510" s="38">
        <f>(1000*CHOOSE(CONTROL!$C$42, 0.1146, 0.1146)*CHOOSE(CONTROL!$C$42, 121.5, 121.5)*CHOOSE(CONTROL!$C$42, 30, 30))/1000000</f>
        <v>0.417717</v>
      </c>
      <c r="X510" s="38">
        <f>(30*0.1790888*245000/1000000)+(30*0.2374*100000/1000000)</f>
        <v>2.0285026799999999</v>
      </c>
      <c r="Y510" s="38">
        <f>(1000*600*CHOOSE(CONTROL!$C$42, 1.0619, 1.0619)*CHOOSE(CONTROL!$C$42, 30, 30))/1000000</f>
        <v>19.1142</v>
      </c>
      <c r="Z510" s="38"/>
      <c r="AA510" s="10"/>
      <c r="AB510" s="39"/>
      <c r="AC510" s="33">
        <f>(B510*194.205+C510*267.466+D510*133.845+E510*53.484+F510*40+G510*185+H510*0+I510*100+J510*300)/(194.205+267.466+133.845+53.484+0+40+185+100+300)</f>
        <v>15.234561199921506</v>
      </c>
      <c r="AD510" s="27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15.084925179856114</v>
      </c>
    </row>
    <row r="511" spans="1:30" ht="15.75" x14ac:dyDescent="0.25">
      <c r="A511" s="13">
        <v>56826</v>
      </c>
      <c r="B511" s="10">
        <f>CHOOSE(CONTROL!$C$42, 14.9374, 14.9374) * CHOOSE(CONTROL!$C$21, $C$9, 100%, $E$9)</f>
        <v>14.9374</v>
      </c>
      <c r="C511" s="10">
        <f>CHOOSE(CONTROL!$C$42, 14.9454, 14.9454) * CHOOSE(CONTROL!$C$21, $C$9, 100%, $E$9)</f>
        <v>14.945399999999999</v>
      </c>
      <c r="D511" s="10">
        <f>CHOOSE(CONTROL!$C$42, 15.1205, 15.1205) * CHOOSE(CONTROL!$C$21, $C$9, 100%, $E$9)</f>
        <v>15.1205</v>
      </c>
      <c r="E511" s="10">
        <f>CHOOSE(CONTROL!$C$42, 15.1518, 15.1518) * CHOOSE(CONTROL!$C$21, $C$9, 100%, $E$9)</f>
        <v>15.1518</v>
      </c>
      <c r="F511" s="10">
        <f>CHOOSE(CONTROL!$C$42, 14.8796, 14.8796)*CHOOSE(CONTROL!$C$21, $C$9, 100%, $E$9)</f>
        <v>14.8796</v>
      </c>
      <c r="G511" s="10">
        <f>CHOOSE(CONTROL!$C$42, 14.8967, 14.8967)*CHOOSE(CONTROL!$C$21, $C$9, 100%, $E$9)</f>
        <v>14.896699999999999</v>
      </c>
      <c r="H511" s="10">
        <f>CHOOSE(CONTROL!$C$42, 15.1401, 15.1401) * CHOOSE(CONTROL!$C$21, $C$9, 100%, $E$9)</f>
        <v>15.1401</v>
      </c>
      <c r="I511" s="10">
        <f>CHOOSE(CONTROL!$C$42, 14.9121, 14.9121)* CHOOSE(CONTROL!$C$21, $C$9, 100%, $E$9)</f>
        <v>14.912100000000001</v>
      </c>
      <c r="J511" s="10">
        <f>CHOOSE(CONTROL!$C$42, 14.8722, 14.8722)* CHOOSE(CONTROL!$C$21, $C$9, 100%, $E$9)</f>
        <v>14.872199999999999</v>
      </c>
      <c r="K511" s="10">
        <f>CHOOSE(CONTROL!$C$42, 14.6043, 14.6043) * CHOOSE(CONTROL!$C$21, $C$9, 100%, $E$9)</f>
        <v>14.6043</v>
      </c>
      <c r="L511" s="10">
        <f>CHOOSE(CONTROL!$C$42, 15.7271, 15.7271) * CHOOSE(CONTROL!$C$21, $C$9, 100%, $E$9)</f>
        <v>15.7271</v>
      </c>
      <c r="M511" s="10">
        <f>CHOOSE(CONTROL!$C$42, 14.7128, 14.7128) * CHOOSE(CONTROL!$C$21, $C$9, 100%, $E$9)</f>
        <v>14.7128</v>
      </c>
      <c r="N511" s="10">
        <f>CHOOSE(CONTROL!$C$42, 14.7296, 14.7296) * CHOOSE(CONTROL!$C$21, $C$9, 100%, $E$9)</f>
        <v>14.7296</v>
      </c>
      <c r="O511" s="10">
        <f>CHOOSE(CONTROL!$C$42, 14.9771, 14.9771) * CHOOSE(CONTROL!$C$21, $C$9, 100%, $E$9)</f>
        <v>14.9771</v>
      </c>
      <c r="P511" s="10">
        <f>CHOOSE(CONTROL!$C$42, 14.7521, 14.7521) * CHOOSE(CONTROL!$C$21, $C$9, 100%, $E$9)</f>
        <v>14.7521</v>
      </c>
      <c r="Q511" s="10">
        <f>CHOOSE(CONTROL!$C$42, 15.5724, 15.5724) * CHOOSE(CONTROL!$C$21, $C$9, 100%, $E$9)</f>
        <v>15.5724</v>
      </c>
      <c r="R511" s="10">
        <f>CHOOSE(CONTROL!$C$42, 16.1984, 16.1984) * CHOOSE(CONTROL!$C$21, $C$9, 100%, $E$9)</f>
        <v>16.198399999999999</v>
      </c>
      <c r="S511" s="10">
        <f>CHOOSE(CONTROL!$C$42, 14.4785, 14.4785) * CHOOSE(CONTROL!$C$21, $C$9, 100%, $E$9)</f>
        <v>14.4785</v>
      </c>
      <c r="T51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38">
        <f>(1000*CHOOSE(CONTROL!$C$42, 695, 695)*CHOOSE(CONTROL!$C$42, 0.5599, 0.5599)*CHOOSE(CONTROL!$C$42, 31, 31))/1000000</f>
        <v>12.063045499999998</v>
      </c>
      <c r="V511" s="38">
        <f>(1000*CHOOSE(CONTROL!$C$42, 500, 500)*CHOOSE(CONTROL!$C$42, 0.275, 0.275)*CHOOSE(CONTROL!$C$42, 31, 31))/1000000</f>
        <v>4.2625000000000002</v>
      </c>
      <c r="W511" s="38">
        <f>(1000*CHOOSE(CONTROL!$C$42, 0.1146, 0.1146)*CHOOSE(CONTROL!$C$42, 121.5, 121.5)*CHOOSE(CONTROL!$C$42, 31, 31))/1000000</f>
        <v>0.43164089999999994</v>
      </c>
      <c r="X511" s="38">
        <f>(31*0.1790888*245000/1000000)+(31*0.2374*100000/1000000)</f>
        <v>2.0961194359999999</v>
      </c>
      <c r="Y511" s="38">
        <f>(1000*600*CHOOSE(CONTROL!$C$42, 1.0619, 1.0619)*CHOOSE(CONTROL!$C$42, 31, 31))/1000000</f>
        <v>19.751339999999999</v>
      </c>
      <c r="Z511" s="38"/>
      <c r="AA511" s="10"/>
      <c r="AB511" s="39"/>
      <c r="AC511" s="33">
        <f>(B511*194.205+C511*267.466+D511*133.845+E511*53.484+F511*40+G511*185+H511*0+I511*100+J511*300)/(194.205+267.466+133.845+53.484+0+40+185+100+300)</f>
        <v>14.942252603689168</v>
      </c>
      <c r="AD511" s="27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14.79647841726619</v>
      </c>
    </row>
    <row r="512" spans="1:30" ht="15.75" x14ac:dyDescent="0.25">
      <c r="A512" s="13">
        <v>56857</v>
      </c>
      <c r="B512" s="10">
        <f>CHOOSE(CONTROL!$C$42, 14.1989, 14.1989) * CHOOSE(CONTROL!$C$21, $C$9, 100%, $E$9)</f>
        <v>14.1989</v>
      </c>
      <c r="C512" s="10">
        <f>CHOOSE(CONTROL!$C$42, 14.2069, 14.2069) * CHOOSE(CONTROL!$C$21, $C$9, 100%, $E$9)</f>
        <v>14.206899999999999</v>
      </c>
      <c r="D512" s="10">
        <f>CHOOSE(CONTROL!$C$42, 14.382, 14.382) * CHOOSE(CONTROL!$C$21, $C$9, 100%, $E$9)</f>
        <v>14.382</v>
      </c>
      <c r="E512" s="10">
        <f>CHOOSE(CONTROL!$C$42, 14.4132, 14.4132) * CHOOSE(CONTROL!$C$21, $C$9, 100%, $E$9)</f>
        <v>14.4132</v>
      </c>
      <c r="F512" s="10">
        <f>CHOOSE(CONTROL!$C$42, 14.141, 14.141)*CHOOSE(CONTROL!$C$21, $C$9, 100%, $E$9)</f>
        <v>14.141</v>
      </c>
      <c r="G512" s="10">
        <f>CHOOSE(CONTROL!$C$42, 14.158, 14.158)*CHOOSE(CONTROL!$C$21, $C$9, 100%, $E$9)</f>
        <v>14.157999999999999</v>
      </c>
      <c r="H512" s="10">
        <f>CHOOSE(CONTROL!$C$42, 14.4016, 14.4016) * CHOOSE(CONTROL!$C$21, $C$9, 100%, $E$9)</f>
        <v>14.4016</v>
      </c>
      <c r="I512" s="10">
        <f>CHOOSE(CONTROL!$C$42, 14.1736, 14.1736)* CHOOSE(CONTROL!$C$21, $C$9, 100%, $E$9)</f>
        <v>14.1736</v>
      </c>
      <c r="J512" s="10">
        <f>CHOOSE(CONTROL!$C$42, 14.1336, 14.1336)* CHOOSE(CONTROL!$C$21, $C$9, 100%, $E$9)</f>
        <v>14.133599999999999</v>
      </c>
      <c r="K512" s="10">
        <f>CHOOSE(CONTROL!$C$42, 13.8886, 13.8886) * CHOOSE(CONTROL!$C$21, $C$9, 100%, $E$9)</f>
        <v>13.8886</v>
      </c>
      <c r="L512" s="10">
        <f>CHOOSE(CONTROL!$C$42, 14.9886, 14.9886) * CHOOSE(CONTROL!$C$21, $C$9, 100%, $E$9)</f>
        <v>14.9886</v>
      </c>
      <c r="M512" s="10">
        <f>CHOOSE(CONTROL!$C$42, 13.9837, 13.9837) * CHOOSE(CONTROL!$C$21, $C$9, 100%, $E$9)</f>
        <v>13.983700000000001</v>
      </c>
      <c r="N512" s="10">
        <f>CHOOSE(CONTROL!$C$42, 14.0005, 14.0005) * CHOOSE(CONTROL!$C$21, $C$9, 100%, $E$9)</f>
        <v>14.000500000000001</v>
      </c>
      <c r="O512" s="10">
        <f>CHOOSE(CONTROL!$C$42, 14.2482, 14.2482) * CHOOSE(CONTROL!$C$21, $C$9, 100%, $E$9)</f>
        <v>14.248200000000001</v>
      </c>
      <c r="P512" s="10">
        <f>CHOOSE(CONTROL!$C$42, 14.0232, 14.0232) * CHOOSE(CONTROL!$C$21, $C$9, 100%, $E$9)</f>
        <v>14.023199999999999</v>
      </c>
      <c r="Q512" s="10">
        <f>CHOOSE(CONTROL!$C$42, 14.8435, 14.8435) * CHOOSE(CONTROL!$C$21, $C$9, 100%, $E$9)</f>
        <v>14.843500000000001</v>
      </c>
      <c r="R512" s="10">
        <f>CHOOSE(CONTROL!$C$42, 15.4676, 15.4676) * CHOOSE(CONTROL!$C$21, $C$9, 100%, $E$9)</f>
        <v>15.467599999999999</v>
      </c>
      <c r="S512" s="10">
        <f>CHOOSE(CONTROL!$C$42, 13.7634, 13.7634) * CHOOSE(CONTROL!$C$21, $C$9, 100%, $E$9)</f>
        <v>13.763400000000001</v>
      </c>
      <c r="T51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38">
        <f>(1000*CHOOSE(CONTROL!$C$42, 695, 695)*CHOOSE(CONTROL!$C$42, 0.5599, 0.5599)*CHOOSE(CONTROL!$C$42, 31, 31))/1000000</f>
        <v>12.063045499999998</v>
      </c>
      <c r="V512" s="38">
        <f>(1000*CHOOSE(CONTROL!$C$42, 500, 500)*CHOOSE(CONTROL!$C$42, 0.275, 0.275)*CHOOSE(CONTROL!$C$42, 31, 31))/1000000</f>
        <v>4.2625000000000002</v>
      </c>
      <c r="W512" s="38">
        <f>(1000*CHOOSE(CONTROL!$C$42, 0.1146, 0.1146)*CHOOSE(CONTROL!$C$42, 121.5, 121.5)*CHOOSE(CONTROL!$C$42, 31, 31))/1000000</f>
        <v>0.43164089999999994</v>
      </c>
      <c r="X512" s="38">
        <f>(31*0.1790888*245000/1000000)+(31*0.2374*100000/1000000)</f>
        <v>2.0961194359999999</v>
      </c>
      <c r="Y512" s="38">
        <f>(1000*600*CHOOSE(CONTROL!$C$42, 1.0619, 1.0619)*CHOOSE(CONTROL!$C$42, 31, 31))/1000000</f>
        <v>19.751339999999999</v>
      </c>
      <c r="Z512" s="38"/>
      <c r="AA512" s="10"/>
      <c r="AB512" s="39"/>
      <c r="AC512" s="33">
        <f>(B512*194.205+C512*267.466+D512*133.845+E512*53.484+F512*40+G512*185+H512*0+I512*100+J512*300)/(194.205+267.466+133.845+53.484+0+40+185+100+300)</f>
        <v>14.203692675588695</v>
      </c>
      <c r="AD512" s="27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14.067463309352517</v>
      </c>
    </row>
    <row r="513" spans="1:30" ht="15.75" x14ac:dyDescent="0.25">
      <c r="A513" s="13">
        <v>56887</v>
      </c>
      <c r="B513" s="10">
        <f>CHOOSE(CONTROL!$C$42, 13.2966, 13.2966) * CHOOSE(CONTROL!$C$21, $C$9, 100%, $E$9)</f>
        <v>13.2966</v>
      </c>
      <c r="C513" s="10">
        <f>CHOOSE(CONTROL!$C$42, 13.3046, 13.3046) * CHOOSE(CONTROL!$C$21, $C$9, 100%, $E$9)</f>
        <v>13.304600000000001</v>
      </c>
      <c r="D513" s="10">
        <f>CHOOSE(CONTROL!$C$42, 13.4797, 13.4797) * CHOOSE(CONTROL!$C$21, $C$9, 100%, $E$9)</f>
        <v>13.479699999999999</v>
      </c>
      <c r="E513" s="10">
        <f>CHOOSE(CONTROL!$C$42, 13.5109, 13.5109) * CHOOSE(CONTROL!$C$21, $C$9, 100%, $E$9)</f>
        <v>13.510899999999999</v>
      </c>
      <c r="F513" s="10">
        <f>CHOOSE(CONTROL!$C$42, 13.2384, 13.2384)*CHOOSE(CONTROL!$C$21, $C$9, 100%, $E$9)</f>
        <v>13.2384</v>
      </c>
      <c r="G513" s="10">
        <f>CHOOSE(CONTROL!$C$42, 13.2553, 13.2553)*CHOOSE(CONTROL!$C$21, $C$9, 100%, $E$9)</f>
        <v>13.2553</v>
      </c>
      <c r="H513" s="10">
        <f>CHOOSE(CONTROL!$C$42, 13.4992, 13.4992) * CHOOSE(CONTROL!$C$21, $C$9, 100%, $E$9)</f>
        <v>13.4992</v>
      </c>
      <c r="I513" s="10">
        <f>CHOOSE(CONTROL!$C$42, 13.2712, 13.2712)* CHOOSE(CONTROL!$C$21, $C$9, 100%, $E$9)</f>
        <v>13.2712</v>
      </c>
      <c r="J513" s="10">
        <f>CHOOSE(CONTROL!$C$42, 13.231, 13.231)* CHOOSE(CONTROL!$C$21, $C$9, 100%, $E$9)</f>
        <v>13.231</v>
      </c>
      <c r="K513" s="10">
        <f>CHOOSE(CONTROL!$C$42, 13.0138, 13.0138) * CHOOSE(CONTROL!$C$21, $C$9, 100%, $E$9)</f>
        <v>13.0138</v>
      </c>
      <c r="L513" s="10">
        <f>CHOOSE(CONTROL!$C$42, 14.0862, 14.0862) * CHOOSE(CONTROL!$C$21, $C$9, 100%, $E$9)</f>
        <v>14.0862</v>
      </c>
      <c r="M513" s="10">
        <f>CHOOSE(CONTROL!$C$42, 13.0927, 13.0927) * CHOOSE(CONTROL!$C$21, $C$9, 100%, $E$9)</f>
        <v>13.092700000000001</v>
      </c>
      <c r="N513" s="10">
        <f>CHOOSE(CONTROL!$C$42, 13.1094, 13.1094) * CHOOSE(CONTROL!$C$21, $C$9, 100%, $E$9)</f>
        <v>13.109400000000001</v>
      </c>
      <c r="O513" s="10">
        <f>CHOOSE(CONTROL!$C$42, 13.3575, 13.3575) * CHOOSE(CONTROL!$C$21, $C$9, 100%, $E$9)</f>
        <v>13.3575</v>
      </c>
      <c r="P513" s="10">
        <f>CHOOSE(CONTROL!$C$42, 13.1325, 13.1325) * CHOOSE(CONTROL!$C$21, $C$9, 100%, $E$9)</f>
        <v>13.1325</v>
      </c>
      <c r="Q513" s="10">
        <f>CHOOSE(CONTROL!$C$42, 13.9528, 13.9528) * CHOOSE(CONTROL!$C$21, $C$9, 100%, $E$9)</f>
        <v>13.9528</v>
      </c>
      <c r="R513" s="10">
        <f>CHOOSE(CONTROL!$C$42, 14.5747, 14.5747) * CHOOSE(CONTROL!$C$21, $C$9, 100%, $E$9)</f>
        <v>14.5747</v>
      </c>
      <c r="S513" s="10">
        <f>CHOOSE(CONTROL!$C$42, 12.8897, 12.8897) * CHOOSE(CONTROL!$C$21, $C$9, 100%, $E$9)</f>
        <v>12.889699999999999</v>
      </c>
      <c r="T51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38">
        <f>(1000*CHOOSE(CONTROL!$C$42, 695, 695)*CHOOSE(CONTROL!$C$42, 0.5599, 0.5599)*CHOOSE(CONTROL!$C$42, 30, 30))/1000000</f>
        <v>11.673914999999997</v>
      </c>
      <c r="V513" s="38">
        <f>(1000*CHOOSE(CONTROL!$C$42, 500, 500)*CHOOSE(CONTROL!$C$42, 0.275, 0.275)*CHOOSE(CONTROL!$C$42, 30, 30))/1000000</f>
        <v>4.125</v>
      </c>
      <c r="W513" s="38">
        <f>(1000*CHOOSE(CONTROL!$C$42, 0.1146, 0.1146)*CHOOSE(CONTROL!$C$42, 121.5, 121.5)*CHOOSE(CONTROL!$C$42, 30, 30))/1000000</f>
        <v>0.417717</v>
      </c>
      <c r="X513" s="38">
        <f>(30*0.1790888*245000/1000000)+(30*0.2374*100000/1000000)</f>
        <v>2.0285026799999999</v>
      </c>
      <c r="Y513" s="38">
        <f>(1000*600*CHOOSE(CONTROL!$C$42, 1.0619, 1.0619)*CHOOSE(CONTROL!$C$42, 30, 30))/1000000</f>
        <v>19.1142</v>
      </c>
      <c r="Z513" s="38"/>
      <c r="AA513" s="10"/>
      <c r="AB513" s="39"/>
      <c r="AC513" s="33">
        <f>(B513*194.205+C513*267.466+D513*133.845+E513*53.484+F513*40+G513*185+H513*0+I513*100+J513*300)/(194.205+267.466+133.845+53.484+0+40+185+100+300)</f>
        <v>13.301246678728416</v>
      </c>
      <c r="AD513" s="27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13.176567625899281</v>
      </c>
    </row>
    <row r="514" spans="1:30" ht="15.75" x14ac:dyDescent="0.25">
      <c r="A514" s="13">
        <v>56918</v>
      </c>
      <c r="B514" s="10">
        <f>CHOOSE(CONTROL!$C$42, 13.0242, 13.0242) * CHOOSE(CONTROL!$C$21, $C$9, 100%, $E$9)</f>
        <v>13.0242</v>
      </c>
      <c r="C514" s="10">
        <f>CHOOSE(CONTROL!$C$42, 13.0295, 13.0295) * CHOOSE(CONTROL!$C$21, $C$9, 100%, $E$9)</f>
        <v>13.029500000000001</v>
      </c>
      <c r="D514" s="10">
        <f>CHOOSE(CONTROL!$C$42, 13.2095, 13.2095) * CHOOSE(CONTROL!$C$21, $C$9, 100%, $E$9)</f>
        <v>13.2095</v>
      </c>
      <c r="E514" s="10">
        <f>CHOOSE(CONTROL!$C$42, 13.2385, 13.2385) * CHOOSE(CONTROL!$C$21, $C$9, 100%, $E$9)</f>
        <v>13.2385</v>
      </c>
      <c r="F514" s="10">
        <f>CHOOSE(CONTROL!$C$42, 12.968, 12.968)*CHOOSE(CONTROL!$C$21, $C$9, 100%, $E$9)</f>
        <v>12.968</v>
      </c>
      <c r="G514" s="10">
        <f>CHOOSE(CONTROL!$C$42, 12.9846, 12.9846)*CHOOSE(CONTROL!$C$21, $C$9, 100%, $E$9)</f>
        <v>12.9846</v>
      </c>
      <c r="H514" s="10">
        <f>CHOOSE(CONTROL!$C$42, 13.2286, 13.2286) * CHOOSE(CONTROL!$C$21, $C$9, 100%, $E$9)</f>
        <v>13.2286</v>
      </c>
      <c r="I514" s="10">
        <f>CHOOSE(CONTROL!$C$42, 13.0006, 13.0006)* CHOOSE(CONTROL!$C$21, $C$9, 100%, $E$9)</f>
        <v>13.0006</v>
      </c>
      <c r="J514" s="10">
        <f>CHOOSE(CONTROL!$C$42, 12.9606, 12.9606)* CHOOSE(CONTROL!$C$21, $C$9, 100%, $E$9)</f>
        <v>12.960599999999999</v>
      </c>
      <c r="K514" s="10">
        <f>CHOOSE(CONTROL!$C$42, 12.7522, 12.7522) * CHOOSE(CONTROL!$C$21, $C$9, 100%, $E$9)</f>
        <v>12.7522</v>
      </c>
      <c r="L514" s="10">
        <f>CHOOSE(CONTROL!$C$42, 13.8156, 13.8156) * CHOOSE(CONTROL!$C$21, $C$9, 100%, $E$9)</f>
        <v>13.8156</v>
      </c>
      <c r="M514" s="10">
        <f>CHOOSE(CONTROL!$C$42, 12.8258, 12.8258) * CHOOSE(CONTROL!$C$21, $C$9, 100%, $E$9)</f>
        <v>12.825799999999999</v>
      </c>
      <c r="N514" s="10">
        <f>CHOOSE(CONTROL!$C$42, 12.8422, 12.8422) * CHOOSE(CONTROL!$C$21, $C$9, 100%, $E$9)</f>
        <v>12.8422</v>
      </c>
      <c r="O514" s="10">
        <f>CHOOSE(CONTROL!$C$42, 13.0904, 13.0904) * CHOOSE(CONTROL!$C$21, $C$9, 100%, $E$9)</f>
        <v>13.090400000000001</v>
      </c>
      <c r="P514" s="10">
        <f>CHOOSE(CONTROL!$C$42, 12.8654, 12.8654) * CHOOSE(CONTROL!$C$21, $C$9, 100%, $E$9)</f>
        <v>12.865399999999999</v>
      </c>
      <c r="Q514" s="10">
        <f>CHOOSE(CONTROL!$C$42, 13.6857, 13.6857) * CHOOSE(CONTROL!$C$21, $C$9, 100%, $E$9)</f>
        <v>13.685700000000001</v>
      </c>
      <c r="R514" s="10">
        <f>CHOOSE(CONTROL!$C$42, 14.3069, 14.3069) * CHOOSE(CONTROL!$C$21, $C$9, 100%, $E$9)</f>
        <v>14.306900000000001</v>
      </c>
      <c r="S514" s="10">
        <f>CHOOSE(CONTROL!$C$42, 12.6276, 12.6276) * CHOOSE(CONTROL!$C$21, $C$9, 100%, $E$9)</f>
        <v>12.627599999999999</v>
      </c>
      <c r="T51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38">
        <f>(1000*CHOOSE(CONTROL!$C$42, 695, 695)*CHOOSE(CONTROL!$C$42, 0.5599, 0.5599)*CHOOSE(CONTROL!$C$42, 31, 31))/1000000</f>
        <v>12.063045499999998</v>
      </c>
      <c r="V514" s="38">
        <f>(1000*CHOOSE(CONTROL!$C$42, 500, 500)*CHOOSE(CONTROL!$C$42, 0.275, 0.275)*CHOOSE(CONTROL!$C$42, 31, 31))/1000000</f>
        <v>4.2625000000000002</v>
      </c>
      <c r="W514" s="38">
        <f>(1000*CHOOSE(CONTROL!$C$42, 0.1146, 0.1146)*CHOOSE(CONTROL!$C$42, 121.5, 121.5)*CHOOSE(CONTROL!$C$42, 31, 31))/1000000</f>
        <v>0.43164089999999994</v>
      </c>
      <c r="X514" s="38">
        <f>(31*0.1790888*245000/1000000)+(31*0.2374*100000/1000000)</f>
        <v>2.0961194359999999</v>
      </c>
      <c r="Y514" s="38">
        <f>(1000*600*CHOOSE(CONTROL!$C$42, 1.0619, 1.0619)*CHOOSE(CONTROL!$C$42, 31, 31))/1000000</f>
        <v>19.751339999999999</v>
      </c>
      <c r="Z514" s="38"/>
      <c r="AA514" s="10"/>
      <c r="AB514" s="39"/>
      <c r="AC514" s="33">
        <f>(B514*131.881+C514*277.167+D514*79.08+E514*125.872+F514*40+G514*185+H514*0+I514*100+J514*300)/(131.881+277.167+79.08+125.872+0+40+185+100+300)</f>
        <v>13.033952121630346</v>
      </c>
      <c r="AD514" s="27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12.909513669064749</v>
      </c>
    </row>
    <row r="515" spans="1:30" ht="15.75" x14ac:dyDescent="0.25">
      <c r="A515" s="13">
        <v>56948</v>
      </c>
      <c r="B515" s="10">
        <f>CHOOSE(CONTROL!$C$42, 13.3673, 13.3673) * CHOOSE(CONTROL!$C$21, $C$9, 100%, $E$9)</f>
        <v>13.3673</v>
      </c>
      <c r="C515" s="10">
        <f>CHOOSE(CONTROL!$C$42, 13.3724, 13.3724) * CHOOSE(CONTROL!$C$21, $C$9, 100%, $E$9)</f>
        <v>13.372400000000001</v>
      </c>
      <c r="D515" s="10">
        <f>CHOOSE(CONTROL!$C$42, 13.3971, 13.3971) * CHOOSE(CONTROL!$C$21, $C$9, 100%, $E$9)</f>
        <v>13.3971</v>
      </c>
      <c r="E515" s="10">
        <f>CHOOSE(CONTROL!$C$42, 13.4309, 13.4309) * CHOOSE(CONTROL!$C$21, $C$9, 100%, $E$9)</f>
        <v>13.430899999999999</v>
      </c>
      <c r="F515" s="10">
        <f>CHOOSE(CONTROL!$C$42, 13.333, 13.333)*CHOOSE(CONTROL!$C$21, $C$9, 100%, $E$9)</f>
        <v>13.333</v>
      </c>
      <c r="G515" s="10">
        <f>CHOOSE(CONTROL!$C$42, 13.3498, 13.3498)*CHOOSE(CONTROL!$C$21, $C$9, 100%, $E$9)</f>
        <v>13.3498</v>
      </c>
      <c r="H515" s="10">
        <f>CHOOSE(CONTROL!$C$42, 13.4198, 13.4198) * CHOOSE(CONTROL!$C$21, $C$9, 100%, $E$9)</f>
        <v>13.4198</v>
      </c>
      <c r="I515" s="10">
        <f>CHOOSE(CONTROL!$C$42, 13.3668, 13.3668)* CHOOSE(CONTROL!$C$21, $C$9, 100%, $E$9)</f>
        <v>13.3668</v>
      </c>
      <c r="J515" s="10">
        <f>CHOOSE(CONTROL!$C$42, 13.3256, 13.3256)* CHOOSE(CONTROL!$C$21, $C$9, 100%, $E$9)</f>
        <v>13.3256</v>
      </c>
      <c r="K515" s="10">
        <f>CHOOSE(CONTROL!$C$42, 13.1088, 13.1088) * CHOOSE(CONTROL!$C$21, $C$9, 100%, $E$9)</f>
        <v>13.1088</v>
      </c>
      <c r="L515" s="10">
        <f>CHOOSE(CONTROL!$C$42, 14.0068, 14.0068) * CHOOSE(CONTROL!$C$21, $C$9, 100%, $E$9)</f>
        <v>14.0068</v>
      </c>
      <c r="M515" s="10">
        <f>CHOOSE(CONTROL!$C$42, 13.1861, 13.1861) * CHOOSE(CONTROL!$C$21, $C$9, 100%, $E$9)</f>
        <v>13.1861</v>
      </c>
      <c r="N515" s="10">
        <f>CHOOSE(CONTROL!$C$42, 13.2027, 13.2027) * CHOOSE(CONTROL!$C$21, $C$9, 100%, $E$9)</f>
        <v>13.2027</v>
      </c>
      <c r="O515" s="10">
        <f>CHOOSE(CONTROL!$C$42, 13.2791, 13.2791) * CHOOSE(CONTROL!$C$21, $C$9, 100%, $E$9)</f>
        <v>13.2791</v>
      </c>
      <c r="P515" s="10">
        <f>CHOOSE(CONTROL!$C$42, 13.2269, 13.2269) * CHOOSE(CONTROL!$C$21, $C$9, 100%, $E$9)</f>
        <v>13.226900000000001</v>
      </c>
      <c r="Q515" s="10">
        <f>CHOOSE(CONTROL!$C$42, 13.8744, 13.8744) * CHOOSE(CONTROL!$C$21, $C$9, 100%, $E$9)</f>
        <v>13.8744</v>
      </c>
      <c r="R515" s="10">
        <f>CHOOSE(CONTROL!$C$42, 14.4961, 14.4961) * CHOOSE(CONTROL!$C$21, $C$9, 100%, $E$9)</f>
        <v>14.4961</v>
      </c>
      <c r="S515" s="10">
        <f>CHOOSE(CONTROL!$C$42, 12.9602, 12.9602) * CHOOSE(CONTROL!$C$21, $C$9, 100%, $E$9)</f>
        <v>12.9602</v>
      </c>
      <c r="T51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38">
        <f>(1000*CHOOSE(CONTROL!$C$42, 695, 695)*CHOOSE(CONTROL!$C$42, 0.5599, 0.5599)*CHOOSE(CONTROL!$C$42, 30, 30))/1000000</f>
        <v>11.673914999999997</v>
      </c>
      <c r="V515" s="38">
        <f>(1000*CHOOSE(CONTROL!$C$42, 500, 500)*CHOOSE(CONTROL!$C$42, 0.275, 0.275)*CHOOSE(CONTROL!$C$42, 30, 30))/1000000</f>
        <v>4.125</v>
      </c>
      <c r="W515" s="38">
        <f>(1000*CHOOSE(CONTROL!$C$42, 0.1146, 0.1146)*CHOOSE(CONTROL!$C$42, 121.5, 121.5)*CHOOSE(CONTROL!$C$42, 30, 30))/1000000</f>
        <v>0.417717</v>
      </c>
      <c r="X515" s="38">
        <f>(30*0.1790888*100000/1000000)+(30*0.2374*100000/1000000)</f>
        <v>1.2494664</v>
      </c>
      <c r="Y515" s="38">
        <f>(1000*600*CHOOSE(CONTROL!$C$42, 1.0619, 1.0619)*CHOOSE(CONTROL!$C$42, 30, 30))/1000000</f>
        <v>19.1142</v>
      </c>
      <c r="Z515" s="38"/>
      <c r="AA515" s="10"/>
      <c r="AB515" s="39"/>
      <c r="AC515" s="33">
        <f>(B515*122.58+C515*297.941+D515*89.177+E515*40.302+F515*40+G515*160+H515*0+I515*100+J515*300)/(122.58+297.941+89.177+40.302+0+40+160+100+300)</f>
        <v>13.358611461652174</v>
      </c>
      <c r="AD515" s="27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13.235076978417267</v>
      </c>
    </row>
    <row r="516" spans="1:30" ht="15.75" x14ac:dyDescent="0.25">
      <c r="A516" s="13">
        <v>56979</v>
      </c>
      <c r="B516" s="10">
        <f>CHOOSE(CONTROL!$C$42, 14.2798, 14.2798) * CHOOSE(CONTROL!$C$21, $C$9, 100%, $E$9)</f>
        <v>14.2798</v>
      </c>
      <c r="C516" s="10">
        <f>CHOOSE(CONTROL!$C$42, 14.2849, 14.2849) * CHOOSE(CONTROL!$C$21, $C$9, 100%, $E$9)</f>
        <v>14.2849</v>
      </c>
      <c r="D516" s="10">
        <f>CHOOSE(CONTROL!$C$42, 14.3096, 14.3096) * CHOOSE(CONTROL!$C$21, $C$9, 100%, $E$9)</f>
        <v>14.3096</v>
      </c>
      <c r="E516" s="10">
        <f>CHOOSE(CONTROL!$C$42, 14.3434, 14.3434) * CHOOSE(CONTROL!$C$21, $C$9, 100%, $E$9)</f>
        <v>14.343400000000001</v>
      </c>
      <c r="F516" s="10">
        <f>CHOOSE(CONTROL!$C$42, 14.2472, 14.2472)*CHOOSE(CONTROL!$C$21, $C$9, 100%, $E$9)</f>
        <v>14.247199999999999</v>
      </c>
      <c r="G516" s="10">
        <f>CHOOSE(CONTROL!$C$42, 14.2645, 14.2645)*CHOOSE(CONTROL!$C$21, $C$9, 100%, $E$9)</f>
        <v>14.2645</v>
      </c>
      <c r="H516" s="10">
        <f>CHOOSE(CONTROL!$C$42, 14.3323, 14.3323) * CHOOSE(CONTROL!$C$21, $C$9, 100%, $E$9)</f>
        <v>14.3323</v>
      </c>
      <c r="I516" s="10">
        <f>CHOOSE(CONTROL!$C$42, 14.2793, 14.2793)* CHOOSE(CONTROL!$C$21, $C$9, 100%, $E$9)</f>
        <v>14.279299999999999</v>
      </c>
      <c r="J516" s="10">
        <f>CHOOSE(CONTROL!$C$42, 14.2398, 14.2398)* CHOOSE(CONTROL!$C$21, $C$9, 100%, $E$9)</f>
        <v>14.239800000000001</v>
      </c>
      <c r="K516" s="10">
        <f>CHOOSE(CONTROL!$C$42, 13.9966, 13.9966) * CHOOSE(CONTROL!$C$21, $C$9, 100%, $E$9)</f>
        <v>13.996600000000001</v>
      </c>
      <c r="L516" s="10">
        <f>CHOOSE(CONTROL!$C$42, 14.9193, 14.9193) * CHOOSE(CONTROL!$C$21, $C$9, 100%, $E$9)</f>
        <v>14.9193</v>
      </c>
      <c r="M516" s="10">
        <f>CHOOSE(CONTROL!$C$42, 14.0885, 14.0885) * CHOOSE(CONTROL!$C$21, $C$9, 100%, $E$9)</f>
        <v>14.0885</v>
      </c>
      <c r="N516" s="10">
        <f>CHOOSE(CONTROL!$C$42, 14.1056, 14.1056) * CHOOSE(CONTROL!$C$21, $C$9, 100%, $E$9)</f>
        <v>14.105600000000001</v>
      </c>
      <c r="O516" s="10">
        <f>CHOOSE(CONTROL!$C$42, 14.1798, 14.1798) * CHOOSE(CONTROL!$C$21, $C$9, 100%, $E$9)</f>
        <v>14.1798</v>
      </c>
      <c r="P516" s="10">
        <f>CHOOSE(CONTROL!$C$42, 14.1276, 14.1276) * CHOOSE(CONTROL!$C$21, $C$9, 100%, $E$9)</f>
        <v>14.127599999999999</v>
      </c>
      <c r="Q516" s="10">
        <f>CHOOSE(CONTROL!$C$42, 14.7751, 14.7751) * CHOOSE(CONTROL!$C$21, $C$9, 100%, $E$9)</f>
        <v>14.7751</v>
      </c>
      <c r="R516" s="10">
        <f>CHOOSE(CONTROL!$C$42, 15.399, 15.399) * CHOOSE(CONTROL!$C$21, $C$9, 100%, $E$9)</f>
        <v>15.398999999999999</v>
      </c>
      <c r="S516" s="10">
        <f>CHOOSE(CONTROL!$C$42, 13.8438, 13.8438) * CHOOSE(CONTROL!$C$21, $C$9, 100%, $E$9)</f>
        <v>13.8438</v>
      </c>
      <c r="T51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38">
        <f>(1000*CHOOSE(CONTROL!$C$42, 695, 695)*CHOOSE(CONTROL!$C$42, 0.5599, 0.5599)*CHOOSE(CONTROL!$C$42, 31, 31))/1000000</f>
        <v>12.063045499999998</v>
      </c>
      <c r="V516" s="38">
        <f>(1000*CHOOSE(CONTROL!$C$42, 500, 500)*CHOOSE(CONTROL!$C$42, 0.275, 0.275)*CHOOSE(CONTROL!$C$42, 31, 31))/1000000</f>
        <v>4.2625000000000002</v>
      </c>
      <c r="W516" s="38">
        <f>(1000*CHOOSE(CONTROL!$C$42, 0.1146, 0.1146)*CHOOSE(CONTROL!$C$42, 121.5, 121.5)*CHOOSE(CONTROL!$C$42, 31, 31))/1000000</f>
        <v>0.43164089999999994</v>
      </c>
      <c r="X516" s="38">
        <f>(31*0.1790888*100000/1000000)+(31*0.2374*100000/1000000)</f>
        <v>1.2911152800000001</v>
      </c>
      <c r="Y516" s="38">
        <f>(1000*600*CHOOSE(CONTROL!$C$42, 1.0619, 1.0619)*CHOOSE(CONTROL!$C$42, 31, 31))/1000000</f>
        <v>19.751339999999999</v>
      </c>
      <c r="Z516" s="38"/>
      <c r="AA516" s="10"/>
      <c r="AB516" s="39"/>
      <c r="AC516" s="33">
        <f>(B516*122.58+C516*297.941+D516*89.177+E516*40.302+F516*40+G516*160+H516*0+I516*100+J516*300)/(122.58+297.941+89.177+40.302+0+40+160+100+300)</f>
        <v>14.271920157304349</v>
      </c>
      <c r="AD516" s="27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14.136490647482013</v>
      </c>
    </row>
    <row r="517" spans="1:30" ht="15.75" x14ac:dyDescent="0.25">
      <c r="A517" s="13">
        <v>57010</v>
      </c>
      <c r="B517" s="10">
        <f>CHOOSE(CONTROL!$C$42, 15.2447, 15.2447) * CHOOSE(CONTROL!$C$21, $C$9, 100%, $E$9)</f>
        <v>15.2447</v>
      </c>
      <c r="C517" s="10">
        <f>CHOOSE(CONTROL!$C$42, 15.2498, 15.2498) * CHOOSE(CONTROL!$C$21, $C$9, 100%, $E$9)</f>
        <v>15.2498</v>
      </c>
      <c r="D517" s="10">
        <f>CHOOSE(CONTROL!$C$42, 15.2848, 15.2848) * CHOOSE(CONTROL!$C$21, $C$9, 100%, $E$9)</f>
        <v>15.284800000000001</v>
      </c>
      <c r="E517" s="10">
        <f>CHOOSE(CONTROL!$C$42, 15.3187, 15.3187) * CHOOSE(CONTROL!$C$21, $C$9, 100%, $E$9)</f>
        <v>15.3187</v>
      </c>
      <c r="F517" s="10">
        <f>CHOOSE(CONTROL!$C$42, 15.226, 15.226)*CHOOSE(CONTROL!$C$21, $C$9, 100%, $E$9)</f>
        <v>15.226000000000001</v>
      </c>
      <c r="G517" s="10">
        <f>CHOOSE(CONTROL!$C$42, 15.2449, 15.2449)*CHOOSE(CONTROL!$C$21, $C$9, 100%, $E$9)</f>
        <v>15.244899999999999</v>
      </c>
      <c r="H517" s="10">
        <f>CHOOSE(CONTROL!$C$42, 15.3075, 15.3075) * CHOOSE(CONTROL!$C$21, $C$9, 100%, $E$9)</f>
        <v>15.307499999999999</v>
      </c>
      <c r="I517" s="10">
        <f>CHOOSE(CONTROL!$C$42, 15.252, 15.252)* CHOOSE(CONTROL!$C$21, $C$9, 100%, $E$9)</f>
        <v>15.252000000000001</v>
      </c>
      <c r="J517" s="10">
        <f>CHOOSE(CONTROL!$C$42, 15.2186, 15.2186)* CHOOSE(CONTROL!$C$21, $C$9, 100%, $E$9)</f>
        <v>15.2186</v>
      </c>
      <c r="K517" s="10">
        <f>CHOOSE(CONTROL!$C$42, 14.9522, 14.9522) * CHOOSE(CONTROL!$C$21, $C$9, 100%, $E$9)</f>
        <v>14.952199999999999</v>
      </c>
      <c r="L517" s="10">
        <f>CHOOSE(CONTROL!$C$42, 15.8945, 15.8945) * CHOOSE(CONTROL!$C$21, $C$9, 100%, $E$9)</f>
        <v>15.894500000000001</v>
      </c>
      <c r="M517" s="10">
        <f>CHOOSE(CONTROL!$C$42, 15.0547, 15.0547) * CHOOSE(CONTROL!$C$21, $C$9, 100%, $E$9)</f>
        <v>15.0547</v>
      </c>
      <c r="N517" s="10">
        <f>CHOOSE(CONTROL!$C$42, 15.0733, 15.0733) * CHOOSE(CONTROL!$C$21, $C$9, 100%, $E$9)</f>
        <v>15.0733</v>
      </c>
      <c r="O517" s="10">
        <f>CHOOSE(CONTROL!$C$42, 15.1424, 15.1424) * CHOOSE(CONTROL!$C$21, $C$9, 100%, $E$9)</f>
        <v>15.1424</v>
      </c>
      <c r="P517" s="10">
        <f>CHOOSE(CONTROL!$C$42, 15.0876, 15.0876) * CHOOSE(CONTROL!$C$21, $C$9, 100%, $E$9)</f>
        <v>15.0876</v>
      </c>
      <c r="Q517" s="10">
        <f>CHOOSE(CONTROL!$C$42, 15.7377, 15.7377) * CHOOSE(CONTROL!$C$21, $C$9, 100%, $E$9)</f>
        <v>15.7377</v>
      </c>
      <c r="R517" s="10">
        <f>CHOOSE(CONTROL!$C$42, 16.3641, 16.3641) * CHOOSE(CONTROL!$C$21, $C$9, 100%, $E$9)</f>
        <v>16.364100000000001</v>
      </c>
      <c r="S517" s="10">
        <f>CHOOSE(CONTROL!$C$42, 14.7781, 14.7781) * CHOOSE(CONTROL!$C$21, $C$9, 100%, $E$9)</f>
        <v>14.7781</v>
      </c>
      <c r="T51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38">
        <f>(1000*CHOOSE(CONTROL!$C$42, 695, 695)*CHOOSE(CONTROL!$C$42, 0.5599, 0.5599)*CHOOSE(CONTROL!$C$42, 31, 31))/1000000</f>
        <v>12.063045499999998</v>
      </c>
      <c r="V517" s="38">
        <f>(1000*CHOOSE(CONTROL!$C$42, 500, 500)*CHOOSE(CONTROL!$C$42, 0.275, 0.275)*CHOOSE(CONTROL!$C$42, 31, 31))/1000000</f>
        <v>4.2625000000000002</v>
      </c>
      <c r="W517" s="38">
        <f>(1000*CHOOSE(CONTROL!$C$42, 0.1146, 0.1146)*CHOOSE(CONTROL!$C$42, 121.5, 121.5)*CHOOSE(CONTROL!$C$42, 31, 31))/1000000</f>
        <v>0.43164089999999994</v>
      </c>
      <c r="X517" s="38">
        <f>(31*0.1790888*100000/1000000)+(31*0.2374*100000/1000000)</f>
        <v>1.2911152800000001</v>
      </c>
      <c r="Y517" s="38">
        <f>(1000*600*CHOOSE(CONTROL!$C$42, 1.0585, 1.0585)*CHOOSE(CONTROL!$C$42, 31, 31))/1000000</f>
        <v>19.688099999999999</v>
      </c>
      <c r="Z517" s="38"/>
      <c r="AA517" s="10"/>
      <c r="AB517" s="39"/>
      <c r="AC517" s="33">
        <f>(B517*122.58+C517*297.941+D517*89.177+E517*40.302+F517*40+G517*160+H517*0+I517*100+J517*300)/(122.58+297.941+89.177+40.302+0+40+160+100+300)</f>
        <v>15.244927691130433</v>
      </c>
      <c r="AD517" s="27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15.100253237410074</v>
      </c>
    </row>
    <row r="518" spans="1:30" ht="15.75" x14ac:dyDescent="0.25">
      <c r="A518" s="13">
        <v>57038</v>
      </c>
      <c r="B518" s="10">
        <f>CHOOSE(CONTROL!$C$42, 15.5164, 15.5164) * CHOOSE(CONTROL!$C$21, $C$9, 100%, $E$9)</f>
        <v>15.516400000000001</v>
      </c>
      <c r="C518" s="10">
        <f>CHOOSE(CONTROL!$C$42, 15.5215, 15.5215) * CHOOSE(CONTROL!$C$21, $C$9, 100%, $E$9)</f>
        <v>15.5215</v>
      </c>
      <c r="D518" s="10">
        <f>CHOOSE(CONTROL!$C$42, 15.5565, 15.5565) * CHOOSE(CONTROL!$C$21, $C$9, 100%, $E$9)</f>
        <v>15.5565</v>
      </c>
      <c r="E518" s="10">
        <f>CHOOSE(CONTROL!$C$42, 15.5903, 15.5903) * CHOOSE(CONTROL!$C$21, $C$9, 100%, $E$9)</f>
        <v>15.590299999999999</v>
      </c>
      <c r="F518" s="10">
        <f>CHOOSE(CONTROL!$C$42, 15.4972, 15.4972)*CHOOSE(CONTROL!$C$21, $C$9, 100%, $E$9)</f>
        <v>15.497199999999999</v>
      </c>
      <c r="G518" s="10">
        <f>CHOOSE(CONTROL!$C$42, 15.5159, 15.5159)*CHOOSE(CONTROL!$C$21, $C$9, 100%, $E$9)</f>
        <v>15.5159</v>
      </c>
      <c r="H518" s="10">
        <f>CHOOSE(CONTROL!$C$42, 15.5792, 15.5792) * CHOOSE(CONTROL!$C$21, $C$9, 100%, $E$9)</f>
        <v>15.5792</v>
      </c>
      <c r="I518" s="10">
        <f>CHOOSE(CONTROL!$C$42, 15.5237, 15.5237)* CHOOSE(CONTROL!$C$21, $C$9, 100%, $E$9)</f>
        <v>15.5237</v>
      </c>
      <c r="J518" s="10">
        <f>CHOOSE(CONTROL!$C$42, 15.4898, 15.4898)* CHOOSE(CONTROL!$C$21, $C$9, 100%, $E$9)</f>
        <v>15.489800000000001</v>
      </c>
      <c r="K518" s="10">
        <f>CHOOSE(CONTROL!$C$42, 15.2143, 15.2143) * CHOOSE(CONTROL!$C$21, $C$9, 100%, $E$9)</f>
        <v>15.2143</v>
      </c>
      <c r="L518" s="10">
        <f>CHOOSE(CONTROL!$C$42, 16.1662, 16.1662) * CHOOSE(CONTROL!$C$21, $C$9, 100%, $E$9)</f>
        <v>16.1662</v>
      </c>
      <c r="M518" s="10">
        <f>CHOOSE(CONTROL!$C$42, 15.3223, 15.3223) * CHOOSE(CONTROL!$C$21, $C$9, 100%, $E$9)</f>
        <v>15.3223</v>
      </c>
      <c r="N518" s="10">
        <f>CHOOSE(CONTROL!$C$42, 15.3408, 15.3408) * CHOOSE(CONTROL!$C$21, $C$9, 100%, $E$9)</f>
        <v>15.3408</v>
      </c>
      <c r="O518" s="10">
        <f>CHOOSE(CONTROL!$C$42, 15.4106, 15.4106) * CHOOSE(CONTROL!$C$21, $C$9, 100%, $E$9)</f>
        <v>15.410600000000001</v>
      </c>
      <c r="P518" s="10">
        <f>CHOOSE(CONTROL!$C$42, 15.3558, 15.3558) * CHOOSE(CONTROL!$C$21, $C$9, 100%, $E$9)</f>
        <v>15.3558</v>
      </c>
      <c r="Q518" s="10">
        <f>CHOOSE(CONTROL!$C$42, 16.0059, 16.0059) * CHOOSE(CONTROL!$C$21, $C$9, 100%, $E$9)</f>
        <v>16.0059</v>
      </c>
      <c r="R518" s="10">
        <f>CHOOSE(CONTROL!$C$42, 16.6329, 16.6329) * CHOOSE(CONTROL!$C$21, $C$9, 100%, $E$9)</f>
        <v>16.632899999999999</v>
      </c>
      <c r="S518" s="10">
        <f>CHOOSE(CONTROL!$C$42, 15.0412, 15.0412) * CHOOSE(CONTROL!$C$21, $C$9, 100%, $E$9)</f>
        <v>15.0412</v>
      </c>
      <c r="T51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18" s="38">
        <f>(1000*CHOOSE(CONTROL!$C$42, 695, 695)*CHOOSE(CONTROL!$C$42, 0.5599, 0.5599)*CHOOSE(CONTROL!$C$42, 29, 29))/1000000</f>
        <v>11.284784499999999</v>
      </c>
      <c r="V518" s="38">
        <f>(1000*CHOOSE(CONTROL!$C$42, 500, 500)*CHOOSE(CONTROL!$C$42, 0.275, 0.275)*CHOOSE(CONTROL!$C$42, 29, 29))/1000000</f>
        <v>3.9874999999999998</v>
      </c>
      <c r="W518" s="38">
        <f>(1000*CHOOSE(CONTROL!$C$42, 0.1146, 0.1146)*CHOOSE(CONTROL!$C$42, 121.5, 121.5)*CHOOSE(CONTROL!$C$42, 29, 29))/1000000</f>
        <v>0.40379309999999996</v>
      </c>
      <c r="X518" s="38">
        <f>(29*0.1790888*100000/1000000)+(29*0.2374*100000/1000000)</f>
        <v>1.2078175199999999</v>
      </c>
      <c r="Y518" s="38">
        <f>(1000*600*CHOOSE(CONTROL!$C$42, 1.0585, 1.0585)*CHOOSE(CONTROL!$C$42, 29, 29))/1000000</f>
        <v>18.417899999999999</v>
      </c>
      <c r="Z518" s="38"/>
      <c r="AA518" s="10"/>
      <c r="AB518" s="39"/>
      <c r="AC518" s="33">
        <f>(B518*122.58+C518*297.941+D518*89.177+E518*40.302+F518*40+G518*160+H518*0+I518*100+J518*300)/(122.58+297.941+89.177+40.302+0+40+160+100+300)</f>
        <v>15.516378969217394</v>
      </c>
      <c r="AD518" s="27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15.368205755395683</v>
      </c>
    </row>
    <row r="519" spans="1:30" ht="15.75" x14ac:dyDescent="0.25">
      <c r="A519" s="13">
        <v>57070</v>
      </c>
      <c r="B519" s="10">
        <f>CHOOSE(CONTROL!$C$42, 15.0754, 15.0754) * CHOOSE(CONTROL!$C$21, $C$9, 100%, $E$9)</f>
        <v>15.0754</v>
      </c>
      <c r="C519" s="10">
        <f>CHOOSE(CONTROL!$C$42, 15.0805, 15.0805) * CHOOSE(CONTROL!$C$21, $C$9, 100%, $E$9)</f>
        <v>15.080500000000001</v>
      </c>
      <c r="D519" s="10">
        <f>CHOOSE(CONTROL!$C$42, 15.1155, 15.1155) * CHOOSE(CONTROL!$C$21, $C$9, 100%, $E$9)</f>
        <v>15.115500000000001</v>
      </c>
      <c r="E519" s="10">
        <f>CHOOSE(CONTROL!$C$42, 15.1493, 15.1493) * CHOOSE(CONTROL!$C$21, $C$9, 100%, $E$9)</f>
        <v>15.1493</v>
      </c>
      <c r="F519" s="10">
        <f>CHOOSE(CONTROL!$C$42, 15.0548, 15.0548)*CHOOSE(CONTROL!$C$21, $C$9, 100%, $E$9)</f>
        <v>15.0548</v>
      </c>
      <c r="G519" s="10">
        <f>CHOOSE(CONTROL!$C$42, 15.0732, 15.0732)*CHOOSE(CONTROL!$C$21, $C$9, 100%, $E$9)</f>
        <v>15.0732</v>
      </c>
      <c r="H519" s="10">
        <f>CHOOSE(CONTROL!$C$42, 15.1382, 15.1382) * CHOOSE(CONTROL!$C$21, $C$9, 100%, $E$9)</f>
        <v>15.138199999999999</v>
      </c>
      <c r="I519" s="10">
        <f>CHOOSE(CONTROL!$C$42, 15.0827, 15.0827)* CHOOSE(CONTROL!$C$21, $C$9, 100%, $E$9)</f>
        <v>15.082700000000001</v>
      </c>
      <c r="J519" s="10">
        <f>CHOOSE(CONTROL!$C$42, 15.0474, 15.0474)* CHOOSE(CONTROL!$C$21, $C$9, 100%, $E$9)</f>
        <v>15.0474</v>
      </c>
      <c r="K519" s="10">
        <f>CHOOSE(CONTROL!$C$42, 14.784, 14.784) * CHOOSE(CONTROL!$C$21, $C$9, 100%, $E$9)</f>
        <v>14.784000000000001</v>
      </c>
      <c r="L519" s="10">
        <f>CHOOSE(CONTROL!$C$42, 15.7252, 15.7252) * CHOOSE(CONTROL!$C$21, $C$9, 100%, $E$9)</f>
        <v>15.725199999999999</v>
      </c>
      <c r="M519" s="10">
        <f>CHOOSE(CONTROL!$C$42, 14.8856, 14.8856) * CHOOSE(CONTROL!$C$21, $C$9, 100%, $E$9)</f>
        <v>14.8856</v>
      </c>
      <c r="N519" s="10">
        <f>CHOOSE(CONTROL!$C$42, 14.9038, 14.9038) * CHOOSE(CONTROL!$C$21, $C$9, 100%, $E$9)</f>
        <v>14.9038</v>
      </c>
      <c r="O519" s="10">
        <f>CHOOSE(CONTROL!$C$42, 14.9753, 14.9753) * CHOOSE(CONTROL!$C$21, $C$9, 100%, $E$9)</f>
        <v>14.975300000000001</v>
      </c>
      <c r="P519" s="10">
        <f>CHOOSE(CONTROL!$C$42, 14.9205, 14.9205) * CHOOSE(CONTROL!$C$21, $C$9, 100%, $E$9)</f>
        <v>14.920500000000001</v>
      </c>
      <c r="Q519" s="10">
        <f>CHOOSE(CONTROL!$C$42, 15.5706, 15.5706) * CHOOSE(CONTROL!$C$21, $C$9, 100%, $E$9)</f>
        <v>15.570600000000001</v>
      </c>
      <c r="R519" s="10">
        <f>CHOOSE(CONTROL!$C$42, 16.1965, 16.1965) * CHOOSE(CONTROL!$C$21, $C$9, 100%, $E$9)</f>
        <v>16.1965</v>
      </c>
      <c r="S519" s="10">
        <f>CHOOSE(CONTROL!$C$42, 14.6142, 14.6142) * CHOOSE(CONTROL!$C$21, $C$9, 100%, $E$9)</f>
        <v>14.6142</v>
      </c>
      <c r="T51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38">
        <f>(1000*CHOOSE(CONTROL!$C$42, 695, 695)*CHOOSE(CONTROL!$C$42, 0.5599, 0.5599)*CHOOSE(CONTROL!$C$42, 31, 31))/1000000</f>
        <v>12.063045499999998</v>
      </c>
      <c r="V519" s="38">
        <f>(1000*CHOOSE(CONTROL!$C$42, 500, 500)*CHOOSE(CONTROL!$C$42, 0.275, 0.275)*CHOOSE(CONTROL!$C$42, 31, 31))/1000000</f>
        <v>4.2625000000000002</v>
      </c>
      <c r="W519" s="38">
        <f>(1000*CHOOSE(CONTROL!$C$42, 0.1146, 0.1146)*CHOOSE(CONTROL!$C$42, 121.5, 121.5)*CHOOSE(CONTROL!$C$42, 31, 31))/1000000</f>
        <v>0.43164089999999994</v>
      </c>
      <c r="X519" s="38">
        <f>(31*0.1790888*100000/1000000)+(31*0.2374*100000/1000000)</f>
        <v>1.2911152800000001</v>
      </c>
      <c r="Y519" s="38">
        <f>(1000*600*CHOOSE(CONTROL!$C$42, 1.0585, 1.0585)*CHOOSE(CONTROL!$C$42, 31, 31))/1000000</f>
        <v>19.688099999999999</v>
      </c>
      <c r="Z519" s="38"/>
      <c r="AA519" s="10"/>
      <c r="AB519" s="39"/>
      <c r="AC519" s="33">
        <f>(B519*122.58+C519*297.941+D519*89.177+E519*40.302+F519*40+G519*160+H519*0+I519*100+J519*300)/(122.58+297.941+89.177+40.302+0+40+160+100+300)</f>
        <v>15.074728534434785</v>
      </c>
      <c r="AD519" s="27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14.932324460431653</v>
      </c>
    </row>
    <row r="520" spans="1:30" ht="15.75" x14ac:dyDescent="0.25">
      <c r="A520" s="13">
        <v>57100</v>
      </c>
      <c r="B520" s="10">
        <f>CHOOSE(CONTROL!$C$42, 15.031, 15.031) * CHOOSE(CONTROL!$C$21, $C$9, 100%, $E$9)</f>
        <v>15.031000000000001</v>
      </c>
      <c r="C520" s="10">
        <f>CHOOSE(CONTROL!$C$42, 15.0355, 15.0355) * CHOOSE(CONTROL!$C$21, $C$9, 100%, $E$9)</f>
        <v>15.035500000000001</v>
      </c>
      <c r="D520" s="10">
        <f>CHOOSE(CONTROL!$C$42, 15.2137, 15.2137) * CHOOSE(CONTROL!$C$21, $C$9, 100%, $E$9)</f>
        <v>15.213699999999999</v>
      </c>
      <c r="E520" s="10">
        <f>CHOOSE(CONTROL!$C$42, 15.2456, 15.2456) * CHOOSE(CONTROL!$C$21, $C$9, 100%, $E$9)</f>
        <v>15.2456</v>
      </c>
      <c r="F520" s="10">
        <f>CHOOSE(CONTROL!$C$42, 14.9744, 14.9744)*CHOOSE(CONTROL!$C$21, $C$9, 100%, $E$9)</f>
        <v>14.974399999999999</v>
      </c>
      <c r="G520" s="10">
        <f>CHOOSE(CONTROL!$C$42, 14.9911, 14.9911)*CHOOSE(CONTROL!$C$21, $C$9, 100%, $E$9)</f>
        <v>14.991099999999999</v>
      </c>
      <c r="H520" s="10">
        <f>CHOOSE(CONTROL!$C$42, 15.235, 15.235) * CHOOSE(CONTROL!$C$21, $C$9, 100%, $E$9)</f>
        <v>15.234999999999999</v>
      </c>
      <c r="I520" s="10">
        <f>CHOOSE(CONTROL!$C$42, 15.007, 15.007)* CHOOSE(CONTROL!$C$21, $C$9, 100%, $E$9)</f>
        <v>15.007</v>
      </c>
      <c r="J520" s="10">
        <f>CHOOSE(CONTROL!$C$42, 14.967, 14.967)* CHOOSE(CONTROL!$C$21, $C$9, 100%, $E$9)</f>
        <v>14.967000000000001</v>
      </c>
      <c r="K520" s="10">
        <f>CHOOSE(CONTROL!$C$42, 14.696, 14.696) * CHOOSE(CONTROL!$C$21, $C$9, 100%, $E$9)</f>
        <v>14.696</v>
      </c>
      <c r="L520" s="10">
        <f>CHOOSE(CONTROL!$C$42, 15.822, 15.822) * CHOOSE(CONTROL!$C$21, $C$9, 100%, $E$9)</f>
        <v>15.821999999999999</v>
      </c>
      <c r="M520" s="10">
        <f>CHOOSE(CONTROL!$C$42, 14.8063, 14.8063) * CHOOSE(CONTROL!$C$21, $C$9, 100%, $E$9)</f>
        <v>14.8063</v>
      </c>
      <c r="N520" s="10">
        <f>CHOOSE(CONTROL!$C$42, 14.8227, 14.8227) * CHOOSE(CONTROL!$C$21, $C$9, 100%, $E$9)</f>
        <v>14.822699999999999</v>
      </c>
      <c r="O520" s="10">
        <f>CHOOSE(CONTROL!$C$42, 15.0709, 15.0709) * CHOOSE(CONTROL!$C$21, $C$9, 100%, $E$9)</f>
        <v>15.0709</v>
      </c>
      <c r="P520" s="10">
        <f>CHOOSE(CONTROL!$C$42, 14.8458, 14.8458) * CHOOSE(CONTROL!$C$21, $C$9, 100%, $E$9)</f>
        <v>14.845800000000001</v>
      </c>
      <c r="Q520" s="10">
        <f>CHOOSE(CONTROL!$C$42, 15.6662, 15.6662) * CHOOSE(CONTROL!$C$21, $C$9, 100%, $E$9)</f>
        <v>15.6662</v>
      </c>
      <c r="R520" s="10">
        <f>CHOOSE(CONTROL!$C$42, 16.2923, 16.2923) * CHOOSE(CONTROL!$C$21, $C$9, 100%, $E$9)</f>
        <v>16.292300000000001</v>
      </c>
      <c r="S520" s="10">
        <f>CHOOSE(CONTROL!$C$42, 14.5704, 14.5704) * CHOOSE(CONTROL!$C$21, $C$9, 100%, $E$9)</f>
        <v>14.570399999999999</v>
      </c>
      <c r="T52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38">
        <f>(1000*CHOOSE(CONTROL!$C$42, 695, 695)*CHOOSE(CONTROL!$C$42, 0.5599, 0.5599)*CHOOSE(CONTROL!$C$42, 30, 30))/1000000</f>
        <v>11.673914999999997</v>
      </c>
      <c r="V520" s="38">
        <f>(1000*CHOOSE(CONTROL!$C$42, 500, 500)*CHOOSE(CONTROL!$C$42, 0.275, 0.275)*CHOOSE(CONTROL!$C$42, 30, 30))/1000000</f>
        <v>4.125</v>
      </c>
      <c r="W520" s="38">
        <f>(1000*CHOOSE(CONTROL!$C$42, 0.1146, 0.1146)*CHOOSE(CONTROL!$C$42, 121.5, 121.5)*CHOOSE(CONTROL!$C$42, 30, 30))/1000000</f>
        <v>0.417717</v>
      </c>
      <c r="X520" s="38">
        <f>(30*0.1790888*245000/1000000)+(30*0.2374*100000/1000000)</f>
        <v>2.0285026799999999</v>
      </c>
      <c r="Y520" s="38">
        <f>(1000*600*CHOOSE(CONTROL!$C$42, 1.0585, 1.0585)*CHOOSE(CONTROL!$C$42, 30, 30))/1000000</f>
        <v>19.053000000000001</v>
      </c>
      <c r="Z520" s="38"/>
      <c r="AA520" s="10"/>
      <c r="AB520" s="39"/>
      <c r="AC520" s="33">
        <f>(B520*141.293+C520*267.993+D520*115.016+E520*89.698+F520*40+G520*185+H520*0+I520*100+J520*300)/(141.293+267.993+115.016+89.698+0+40+185+100+300)</f>
        <v>15.039251075464085</v>
      </c>
      <c r="AD520" s="27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14.889999280575539</v>
      </c>
    </row>
    <row r="521" spans="1:30" ht="15.75" x14ac:dyDescent="0.25">
      <c r="A521" s="13">
        <v>57131</v>
      </c>
      <c r="B521" s="10">
        <f>CHOOSE(CONTROL!$C$42, 15.1656, 15.1656) * CHOOSE(CONTROL!$C$21, $C$9, 100%, $E$9)</f>
        <v>15.1656</v>
      </c>
      <c r="C521" s="10">
        <f>CHOOSE(CONTROL!$C$42, 15.1736, 15.1736) * CHOOSE(CONTROL!$C$21, $C$9, 100%, $E$9)</f>
        <v>15.1736</v>
      </c>
      <c r="D521" s="10">
        <f>CHOOSE(CONTROL!$C$42, 15.3487, 15.3487) * CHOOSE(CONTROL!$C$21, $C$9, 100%, $E$9)</f>
        <v>15.348699999999999</v>
      </c>
      <c r="E521" s="10">
        <f>CHOOSE(CONTROL!$C$42, 15.3799, 15.3799) * CHOOSE(CONTROL!$C$21, $C$9, 100%, $E$9)</f>
        <v>15.379899999999999</v>
      </c>
      <c r="F521" s="10">
        <f>CHOOSE(CONTROL!$C$42, 15.1072, 15.1072)*CHOOSE(CONTROL!$C$21, $C$9, 100%, $E$9)</f>
        <v>15.107200000000001</v>
      </c>
      <c r="G521" s="10">
        <f>CHOOSE(CONTROL!$C$42, 15.1241, 15.1241)*CHOOSE(CONTROL!$C$21, $C$9, 100%, $E$9)</f>
        <v>15.1241</v>
      </c>
      <c r="H521" s="10">
        <f>CHOOSE(CONTROL!$C$42, 15.3682, 15.3682) * CHOOSE(CONTROL!$C$21, $C$9, 100%, $E$9)</f>
        <v>15.3682</v>
      </c>
      <c r="I521" s="10">
        <f>CHOOSE(CONTROL!$C$42, 15.1402, 15.1402)* CHOOSE(CONTROL!$C$21, $C$9, 100%, $E$9)</f>
        <v>15.1402</v>
      </c>
      <c r="J521" s="10">
        <f>CHOOSE(CONTROL!$C$42, 15.0998, 15.0998)* CHOOSE(CONTROL!$C$21, $C$9, 100%, $E$9)</f>
        <v>15.0998</v>
      </c>
      <c r="K521" s="10">
        <f>CHOOSE(CONTROL!$C$42, 14.8242, 14.8242) * CHOOSE(CONTROL!$C$21, $C$9, 100%, $E$9)</f>
        <v>14.824199999999999</v>
      </c>
      <c r="L521" s="10">
        <f>CHOOSE(CONTROL!$C$42, 15.9552, 15.9552) * CHOOSE(CONTROL!$C$21, $C$9, 100%, $E$9)</f>
        <v>15.9552</v>
      </c>
      <c r="M521" s="10">
        <f>CHOOSE(CONTROL!$C$42, 14.9374, 14.9374) * CHOOSE(CONTROL!$C$21, $C$9, 100%, $E$9)</f>
        <v>14.9374</v>
      </c>
      <c r="N521" s="10">
        <f>CHOOSE(CONTROL!$C$42, 14.9541, 14.9541) * CHOOSE(CONTROL!$C$21, $C$9, 100%, $E$9)</f>
        <v>14.9541</v>
      </c>
      <c r="O521" s="10">
        <f>CHOOSE(CONTROL!$C$42, 15.2023, 15.2023) * CHOOSE(CONTROL!$C$21, $C$9, 100%, $E$9)</f>
        <v>15.202299999999999</v>
      </c>
      <c r="P521" s="10">
        <f>CHOOSE(CONTROL!$C$42, 14.9773, 14.9773) * CHOOSE(CONTROL!$C$21, $C$9, 100%, $E$9)</f>
        <v>14.9773</v>
      </c>
      <c r="Q521" s="10">
        <f>CHOOSE(CONTROL!$C$42, 15.7976, 15.7976) * CHOOSE(CONTROL!$C$21, $C$9, 100%, $E$9)</f>
        <v>15.797599999999999</v>
      </c>
      <c r="R521" s="10">
        <f>CHOOSE(CONTROL!$C$42, 16.4241, 16.4241) * CHOOSE(CONTROL!$C$21, $C$9, 100%, $E$9)</f>
        <v>16.424099999999999</v>
      </c>
      <c r="S521" s="10">
        <f>CHOOSE(CONTROL!$C$42, 14.6994, 14.6994) * CHOOSE(CONTROL!$C$21, $C$9, 100%, $E$9)</f>
        <v>14.699400000000001</v>
      </c>
      <c r="T52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38">
        <f>(1000*CHOOSE(CONTROL!$C$42, 695, 695)*CHOOSE(CONTROL!$C$42, 0.5599, 0.5599)*CHOOSE(CONTROL!$C$42, 31, 31))/1000000</f>
        <v>12.063045499999998</v>
      </c>
      <c r="V521" s="38">
        <f>(1000*CHOOSE(CONTROL!$C$42, 500, 500)*CHOOSE(CONTROL!$C$42, 0.275, 0.275)*CHOOSE(CONTROL!$C$42, 31, 31))/1000000</f>
        <v>4.2625000000000002</v>
      </c>
      <c r="W521" s="38">
        <f>(1000*CHOOSE(CONTROL!$C$42, 0.1146, 0.1146)*CHOOSE(CONTROL!$C$42, 121.5, 121.5)*CHOOSE(CONTROL!$C$42, 31, 31))/1000000</f>
        <v>0.43164089999999994</v>
      </c>
      <c r="X521" s="38">
        <f>(31*0.1790888*245000/1000000)+(31*0.2374*100000/1000000)</f>
        <v>2.0961194359999999</v>
      </c>
      <c r="Y521" s="38">
        <f>(1000*600*CHOOSE(CONTROL!$C$42, 1.0585, 1.0585)*CHOOSE(CONTROL!$C$42, 31, 31))/1000000</f>
        <v>19.688099999999999</v>
      </c>
      <c r="Z521" s="38"/>
      <c r="AA521" s="10"/>
      <c r="AB521" s="39"/>
      <c r="AC521" s="33">
        <f>(B521*194.205+C521*267.466+D521*133.845+E521*53.484+F521*40+G521*185+H521*0+I521*100+J521*300)/(194.205+267.466+133.845+53.484+0+40+185+100+300)</f>
        <v>15.170164261145995</v>
      </c>
      <c r="AD521" s="27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15.021310071942445</v>
      </c>
    </row>
    <row r="522" spans="1:30" ht="15.75" x14ac:dyDescent="0.25">
      <c r="A522" s="13">
        <v>57161</v>
      </c>
      <c r="B522" s="10">
        <f>CHOOSE(CONTROL!$C$42, 15.5961, 15.5961) * CHOOSE(CONTROL!$C$21, $C$9, 100%, $E$9)</f>
        <v>15.5961</v>
      </c>
      <c r="C522" s="10">
        <f>CHOOSE(CONTROL!$C$42, 15.6041, 15.6041) * CHOOSE(CONTROL!$C$21, $C$9, 100%, $E$9)</f>
        <v>15.604100000000001</v>
      </c>
      <c r="D522" s="10">
        <f>CHOOSE(CONTROL!$C$42, 15.7793, 15.7793) * CHOOSE(CONTROL!$C$21, $C$9, 100%, $E$9)</f>
        <v>15.779299999999999</v>
      </c>
      <c r="E522" s="10">
        <f>CHOOSE(CONTROL!$C$42, 15.8105, 15.8105) * CHOOSE(CONTROL!$C$21, $C$9, 100%, $E$9)</f>
        <v>15.810499999999999</v>
      </c>
      <c r="F522" s="10">
        <f>CHOOSE(CONTROL!$C$42, 15.538, 15.538)*CHOOSE(CONTROL!$C$21, $C$9, 100%, $E$9)</f>
        <v>15.538</v>
      </c>
      <c r="G522" s="10">
        <f>CHOOSE(CONTROL!$C$42, 15.555, 15.555)*CHOOSE(CONTROL!$C$21, $C$9, 100%, $E$9)</f>
        <v>15.555</v>
      </c>
      <c r="H522" s="10">
        <f>CHOOSE(CONTROL!$C$42, 15.7988, 15.7988) * CHOOSE(CONTROL!$C$21, $C$9, 100%, $E$9)</f>
        <v>15.7988</v>
      </c>
      <c r="I522" s="10">
        <f>CHOOSE(CONTROL!$C$42, 15.5708, 15.5708)* CHOOSE(CONTROL!$C$21, $C$9, 100%, $E$9)</f>
        <v>15.5708</v>
      </c>
      <c r="J522" s="10">
        <f>CHOOSE(CONTROL!$C$42, 15.5306, 15.5306)* CHOOSE(CONTROL!$C$21, $C$9, 100%, $E$9)</f>
        <v>15.5306</v>
      </c>
      <c r="K522" s="10">
        <f>CHOOSE(CONTROL!$C$42, 15.2418, 15.2418) * CHOOSE(CONTROL!$C$21, $C$9, 100%, $E$9)</f>
        <v>15.2418</v>
      </c>
      <c r="L522" s="10">
        <f>CHOOSE(CONTROL!$C$42, 16.3858, 16.3858) * CHOOSE(CONTROL!$C$21, $C$9, 100%, $E$9)</f>
        <v>16.3858</v>
      </c>
      <c r="M522" s="10">
        <f>CHOOSE(CONTROL!$C$42, 15.3626, 15.3626) * CHOOSE(CONTROL!$C$21, $C$9, 100%, $E$9)</f>
        <v>15.3626</v>
      </c>
      <c r="N522" s="10">
        <f>CHOOSE(CONTROL!$C$42, 15.3793, 15.3793) * CHOOSE(CONTROL!$C$21, $C$9, 100%, $E$9)</f>
        <v>15.379300000000001</v>
      </c>
      <c r="O522" s="10">
        <f>CHOOSE(CONTROL!$C$42, 15.6273, 15.6273) * CHOOSE(CONTROL!$C$21, $C$9, 100%, $E$9)</f>
        <v>15.6273</v>
      </c>
      <c r="P522" s="10">
        <f>CHOOSE(CONTROL!$C$42, 15.4023, 15.4023) * CHOOSE(CONTROL!$C$21, $C$9, 100%, $E$9)</f>
        <v>15.4023</v>
      </c>
      <c r="Q522" s="10">
        <f>CHOOSE(CONTROL!$C$42, 16.2226, 16.2226) * CHOOSE(CONTROL!$C$21, $C$9, 100%, $E$9)</f>
        <v>16.2226</v>
      </c>
      <c r="R522" s="10">
        <f>CHOOSE(CONTROL!$C$42, 16.8502, 16.8502) * CHOOSE(CONTROL!$C$21, $C$9, 100%, $E$9)</f>
        <v>16.850200000000001</v>
      </c>
      <c r="S522" s="10">
        <f>CHOOSE(CONTROL!$C$42, 15.1163, 15.1163) * CHOOSE(CONTROL!$C$21, $C$9, 100%, $E$9)</f>
        <v>15.116300000000001</v>
      </c>
      <c r="T52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38">
        <f>(1000*CHOOSE(CONTROL!$C$42, 695, 695)*CHOOSE(CONTROL!$C$42, 0.5599, 0.5599)*CHOOSE(CONTROL!$C$42, 30, 30))/1000000</f>
        <v>11.673914999999997</v>
      </c>
      <c r="V522" s="38">
        <f>(1000*CHOOSE(CONTROL!$C$42, 500, 500)*CHOOSE(CONTROL!$C$42, 0.275, 0.275)*CHOOSE(CONTROL!$C$42, 30, 30))/1000000</f>
        <v>4.125</v>
      </c>
      <c r="W522" s="38">
        <f>(1000*CHOOSE(CONTROL!$C$42, 0.1146, 0.1146)*CHOOSE(CONTROL!$C$42, 121.5, 121.5)*CHOOSE(CONTROL!$C$42, 30, 30))/1000000</f>
        <v>0.417717</v>
      </c>
      <c r="X522" s="38">
        <f>(30*0.1790888*245000/1000000)+(30*0.2374*100000/1000000)</f>
        <v>2.0285026799999999</v>
      </c>
      <c r="Y522" s="38">
        <f>(1000*600*CHOOSE(CONTROL!$C$42, 1.0585, 1.0585)*CHOOSE(CONTROL!$C$42, 30, 30))/1000000</f>
        <v>19.053000000000001</v>
      </c>
      <c r="Z522" s="38"/>
      <c r="AA522" s="10"/>
      <c r="AB522" s="39"/>
      <c r="AC522" s="33">
        <f>(B522*194.205+C522*267.466+D522*133.845+E522*53.484+F522*40+G522*185+H522*0+I522*100+J522*300)/(194.205+267.466+133.845+53.484+0+40+185+100+300)</f>
        <v>15.600824962009417</v>
      </c>
      <c r="AD522" s="27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15.446425179856114</v>
      </c>
    </row>
    <row r="523" spans="1:30" ht="15.75" x14ac:dyDescent="0.25">
      <c r="A523" s="13">
        <v>57192</v>
      </c>
      <c r="B523" s="10">
        <f>CHOOSE(CONTROL!$C$42, 15.2967, 15.2967) * CHOOSE(CONTROL!$C$21, $C$9, 100%, $E$9)</f>
        <v>15.2967</v>
      </c>
      <c r="C523" s="10">
        <f>CHOOSE(CONTROL!$C$42, 15.3047, 15.3047) * CHOOSE(CONTROL!$C$21, $C$9, 100%, $E$9)</f>
        <v>15.3047</v>
      </c>
      <c r="D523" s="10">
        <f>CHOOSE(CONTROL!$C$42, 15.4798, 15.4798) * CHOOSE(CONTROL!$C$21, $C$9, 100%, $E$9)</f>
        <v>15.479799999999999</v>
      </c>
      <c r="E523" s="10">
        <f>CHOOSE(CONTROL!$C$42, 15.511, 15.511) * CHOOSE(CONTROL!$C$21, $C$9, 100%, $E$9)</f>
        <v>15.510999999999999</v>
      </c>
      <c r="F523" s="10">
        <f>CHOOSE(CONTROL!$C$42, 15.2389, 15.2389)*CHOOSE(CONTROL!$C$21, $C$9, 100%, $E$9)</f>
        <v>15.238899999999999</v>
      </c>
      <c r="G523" s="10">
        <f>CHOOSE(CONTROL!$C$42, 15.2559, 15.2559)*CHOOSE(CONTROL!$C$21, $C$9, 100%, $E$9)</f>
        <v>15.2559</v>
      </c>
      <c r="H523" s="10">
        <f>CHOOSE(CONTROL!$C$42, 15.4993, 15.4993) * CHOOSE(CONTROL!$C$21, $C$9, 100%, $E$9)</f>
        <v>15.4993</v>
      </c>
      <c r="I523" s="10">
        <f>CHOOSE(CONTROL!$C$42, 15.2713, 15.2713)* CHOOSE(CONTROL!$C$21, $C$9, 100%, $E$9)</f>
        <v>15.2713</v>
      </c>
      <c r="J523" s="10">
        <f>CHOOSE(CONTROL!$C$42, 15.2315, 15.2315)* CHOOSE(CONTROL!$C$21, $C$9, 100%, $E$9)</f>
        <v>15.2315</v>
      </c>
      <c r="K523" s="10">
        <f>CHOOSE(CONTROL!$C$42, 14.9524, 14.9524) * CHOOSE(CONTROL!$C$21, $C$9, 100%, $E$9)</f>
        <v>14.952400000000001</v>
      </c>
      <c r="L523" s="10">
        <f>CHOOSE(CONTROL!$C$42, 16.0863, 16.0863) * CHOOSE(CONTROL!$C$21, $C$9, 100%, $E$9)</f>
        <v>16.086300000000001</v>
      </c>
      <c r="M523" s="10">
        <f>CHOOSE(CONTROL!$C$42, 15.0674, 15.0674) * CHOOSE(CONTROL!$C$21, $C$9, 100%, $E$9)</f>
        <v>15.067399999999999</v>
      </c>
      <c r="N523" s="10">
        <f>CHOOSE(CONTROL!$C$42, 15.0842, 15.0842) * CHOOSE(CONTROL!$C$21, $C$9, 100%, $E$9)</f>
        <v>15.084199999999999</v>
      </c>
      <c r="O523" s="10">
        <f>CHOOSE(CONTROL!$C$42, 15.3317, 15.3317) * CHOOSE(CONTROL!$C$21, $C$9, 100%, $E$9)</f>
        <v>15.3317</v>
      </c>
      <c r="P523" s="10">
        <f>CHOOSE(CONTROL!$C$42, 15.1067, 15.1067) * CHOOSE(CONTROL!$C$21, $C$9, 100%, $E$9)</f>
        <v>15.1067</v>
      </c>
      <c r="Q523" s="10">
        <f>CHOOSE(CONTROL!$C$42, 15.927, 15.927) * CHOOSE(CONTROL!$C$21, $C$9, 100%, $E$9)</f>
        <v>15.927</v>
      </c>
      <c r="R523" s="10">
        <f>CHOOSE(CONTROL!$C$42, 16.5539, 16.5539) * CHOOSE(CONTROL!$C$21, $C$9, 100%, $E$9)</f>
        <v>16.553899999999999</v>
      </c>
      <c r="S523" s="10">
        <f>CHOOSE(CONTROL!$C$42, 14.8264, 14.8264) * CHOOSE(CONTROL!$C$21, $C$9, 100%, $E$9)</f>
        <v>14.8264</v>
      </c>
      <c r="T52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38">
        <f>(1000*CHOOSE(CONTROL!$C$42, 695, 695)*CHOOSE(CONTROL!$C$42, 0.5599, 0.5599)*CHOOSE(CONTROL!$C$42, 31, 31))/1000000</f>
        <v>12.063045499999998</v>
      </c>
      <c r="V523" s="38">
        <f>(1000*CHOOSE(CONTROL!$C$42, 500, 500)*CHOOSE(CONTROL!$C$42, 0.275, 0.275)*CHOOSE(CONTROL!$C$42, 31, 31))/1000000</f>
        <v>4.2625000000000002</v>
      </c>
      <c r="W523" s="38">
        <f>(1000*CHOOSE(CONTROL!$C$42, 0.1146, 0.1146)*CHOOSE(CONTROL!$C$42, 121.5, 121.5)*CHOOSE(CONTROL!$C$42, 31, 31))/1000000</f>
        <v>0.43164089999999994</v>
      </c>
      <c r="X523" s="38">
        <f>(31*0.1790888*245000/1000000)+(31*0.2374*100000/1000000)</f>
        <v>2.0961194359999999</v>
      </c>
      <c r="Y523" s="38">
        <f>(1000*600*CHOOSE(CONTROL!$C$42, 1.0585, 1.0585)*CHOOSE(CONTROL!$C$42, 31, 31))/1000000</f>
        <v>19.688099999999999</v>
      </c>
      <c r="Z523" s="38"/>
      <c r="AA523" s="10"/>
      <c r="AB523" s="39"/>
      <c r="AC523" s="33">
        <f>(B523*194.205+C523*267.466+D523*133.845+E523*53.484+F523*40+G523*185+H523*0+I523*100+J523*300)/(194.205+267.466+133.845+53.484+0+40+185+100+300)</f>
        <v>15.301526035086345</v>
      </c>
      <c r="AD523" s="27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15.151078417266186</v>
      </c>
    </row>
    <row r="524" spans="1:30" ht="15.75" x14ac:dyDescent="0.25">
      <c r="A524" s="13">
        <v>57223</v>
      </c>
      <c r="B524" s="10">
        <f>CHOOSE(CONTROL!$C$42, 14.5404, 14.5404) * CHOOSE(CONTROL!$C$21, $C$9, 100%, $E$9)</f>
        <v>14.5404</v>
      </c>
      <c r="C524" s="10">
        <f>CHOOSE(CONTROL!$C$42, 14.5484, 14.5484) * CHOOSE(CONTROL!$C$21, $C$9, 100%, $E$9)</f>
        <v>14.548400000000001</v>
      </c>
      <c r="D524" s="10">
        <f>CHOOSE(CONTROL!$C$42, 14.7235, 14.7235) * CHOOSE(CONTROL!$C$21, $C$9, 100%, $E$9)</f>
        <v>14.7235</v>
      </c>
      <c r="E524" s="10">
        <f>CHOOSE(CONTROL!$C$42, 14.7547, 14.7547) * CHOOSE(CONTROL!$C$21, $C$9, 100%, $E$9)</f>
        <v>14.7547</v>
      </c>
      <c r="F524" s="10">
        <f>CHOOSE(CONTROL!$C$42, 14.4825, 14.4825)*CHOOSE(CONTROL!$C$21, $C$9, 100%, $E$9)</f>
        <v>14.4825</v>
      </c>
      <c r="G524" s="10">
        <f>CHOOSE(CONTROL!$C$42, 14.4995, 14.4995)*CHOOSE(CONTROL!$C$21, $C$9, 100%, $E$9)</f>
        <v>14.499499999999999</v>
      </c>
      <c r="H524" s="10">
        <f>CHOOSE(CONTROL!$C$42, 14.7431, 14.7431) * CHOOSE(CONTROL!$C$21, $C$9, 100%, $E$9)</f>
        <v>14.7431</v>
      </c>
      <c r="I524" s="10">
        <f>CHOOSE(CONTROL!$C$42, 14.515, 14.515)* CHOOSE(CONTROL!$C$21, $C$9, 100%, $E$9)</f>
        <v>14.515000000000001</v>
      </c>
      <c r="J524" s="10">
        <f>CHOOSE(CONTROL!$C$42, 14.4751, 14.4751)* CHOOSE(CONTROL!$C$21, $C$9, 100%, $E$9)</f>
        <v>14.475099999999999</v>
      </c>
      <c r="K524" s="10">
        <f>CHOOSE(CONTROL!$C$42, 14.2195, 14.2195) * CHOOSE(CONTROL!$C$21, $C$9, 100%, $E$9)</f>
        <v>14.2195</v>
      </c>
      <c r="L524" s="10">
        <f>CHOOSE(CONTROL!$C$42, 15.3301, 15.3301) * CHOOSE(CONTROL!$C$21, $C$9, 100%, $E$9)</f>
        <v>15.3301</v>
      </c>
      <c r="M524" s="10">
        <f>CHOOSE(CONTROL!$C$42, 14.3208, 14.3208) * CHOOSE(CONTROL!$C$21, $C$9, 100%, $E$9)</f>
        <v>14.3208</v>
      </c>
      <c r="N524" s="10">
        <f>CHOOSE(CONTROL!$C$42, 14.3376, 14.3376) * CHOOSE(CONTROL!$C$21, $C$9, 100%, $E$9)</f>
        <v>14.3376</v>
      </c>
      <c r="O524" s="10">
        <f>CHOOSE(CONTROL!$C$42, 14.5853, 14.5853) * CHOOSE(CONTROL!$C$21, $C$9, 100%, $E$9)</f>
        <v>14.5853</v>
      </c>
      <c r="P524" s="10">
        <f>CHOOSE(CONTROL!$C$42, 14.3602, 14.3602) * CHOOSE(CONTROL!$C$21, $C$9, 100%, $E$9)</f>
        <v>14.360200000000001</v>
      </c>
      <c r="Q524" s="10">
        <f>CHOOSE(CONTROL!$C$42, 15.1806, 15.1806) * CHOOSE(CONTROL!$C$21, $C$9, 100%, $E$9)</f>
        <v>15.1806</v>
      </c>
      <c r="R524" s="10">
        <f>CHOOSE(CONTROL!$C$42, 15.8055, 15.8055) * CHOOSE(CONTROL!$C$21, $C$9, 100%, $E$9)</f>
        <v>15.8055</v>
      </c>
      <c r="S524" s="10">
        <f>CHOOSE(CONTROL!$C$42, 14.0941, 14.0941) * CHOOSE(CONTROL!$C$21, $C$9, 100%, $E$9)</f>
        <v>14.094099999999999</v>
      </c>
      <c r="T52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38">
        <f>(1000*CHOOSE(CONTROL!$C$42, 695, 695)*CHOOSE(CONTROL!$C$42, 0.5599, 0.5599)*CHOOSE(CONTROL!$C$42, 31, 31))/1000000</f>
        <v>12.063045499999998</v>
      </c>
      <c r="V524" s="38">
        <f>(1000*CHOOSE(CONTROL!$C$42, 500, 500)*CHOOSE(CONTROL!$C$42, 0.275, 0.275)*CHOOSE(CONTROL!$C$42, 31, 31))/1000000</f>
        <v>4.2625000000000002</v>
      </c>
      <c r="W524" s="38">
        <f>(1000*CHOOSE(CONTROL!$C$42, 0.1146, 0.1146)*CHOOSE(CONTROL!$C$42, 121.5, 121.5)*CHOOSE(CONTROL!$C$42, 31, 31))/1000000</f>
        <v>0.43164089999999994</v>
      </c>
      <c r="X524" s="38">
        <f>(31*0.1790888*245000/1000000)+(31*0.2374*100000/1000000)</f>
        <v>2.0961194359999999</v>
      </c>
      <c r="Y524" s="38">
        <f>(1000*600*CHOOSE(CONTROL!$C$42, 1.0585, 1.0585)*CHOOSE(CONTROL!$C$42, 31, 31))/1000000</f>
        <v>19.688099999999999</v>
      </c>
      <c r="Z524" s="38"/>
      <c r="AA524" s="10"/>
      <c r="AB524" s="39"/>
      <c r="AC524" s="33">
        <f>(B524*194.205+C524*267.466+D524*133.845+E524*53.484+F524*40+G524*185+H524*0+I524*100+J524*300)/(194.205+267.466+133.845+53.484+0+40+185+100+300)</f>
        <v>14.545184826295133</v>
      </c>
      <c r="AD524" s="27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14.404548920863309</v>
      </c>
    </row>
    <row r="525" spans="1:30" ht="15.75" x14ac:dyDescent="0.25">
      <c r="A525" s="13">
        <v>57253</v>
      </c>
      <c r="B525" s="10">
        <f>CHOOSE(CONTROL!$C$42, 13.6164, 13.6164) * CHOOSE(CONTROL!$C$21, $C$9, 100%, $E$9)</f>
        <v>13.616400000000001</v>
      </c>
      <c r="C525" s="10">
        <f>CHOOSE(CONTROL!$C$42, 13.6244, 13.6244) * CHOOSE(CONTROL!$C$21, $C$9, 100%, $E$9)</f>
        <v>13.6244</v>
      </c>
      <c r="D525" s="10">
        <f>CHOOSE(CONTROL!$C$42, 13.7995, 13.7995) * CHOOSE(CONTROL!$C$21, $C$9, 100%, $E$9)</f>
        <v>13.7995</v>
      </c>
      <c r="E525" s="10">
        <f>CHOOSE(CONTROL!$C$42, 13.8307, 13.8307) * CHOOSE(CONTROL!$C$21, $C$9, 100%, $E$9)</f>
        <v>13.8307</v>
      </c>
      <c r="F525" s="10">
        <f>CHOOSE(CONTROL!$C$42, 13.5582, 13.5582)*CHOOSE(CONTROL!$C$21, $C$9, 100%, $E$9)</f>
        <v>13.558199999999999</v>
      </c>
      <c r="G525" s="10">
        <f>CHOOSE(CONTROL!$C$42, 13.5751, 13.5751)*CHOOSE(CONTROL!$C$21, $C$9, 100%, $E$9)</f>
        <v>13.575100000000001</v>
      </c>
      <c r="H525" s="10">
        <f>CHOOSE(CONTROL!$C$42, 13.819, 13.819) * CHOOSE(CONTROL!$C$21, $C$9, 100%, $E$9)</f>
        <v>13.819000000000001</v>
      </c>
      <c r="I525" s="10">
        <f>CHOOSE(CONTROL!$C$42, 13.591, 13.591)* CHOOSE(CONTROL!$C$21, $C$9, 100%, $E$9)</f>
        <v>13.590999999999999</v>
      </c>
      <c r="J525" s="10">
        <f>CHOOSE(CONTROL!$C$42, 13.5508, 13.5508)* CHOOSE(CONTROL!$C$21, $C$9, 100%, $E$9)</f>
        <v>13.550800000000001</v>
      </c>
      <c r="K525" s="10">
        <f>CHOOSE(CONTROL!$C$42, 13.3236, 13.3236) * CHOOSE(CONTROL!$C$21, $C$9, 100%, $E$9)</f>
        <v>13.323600000000001</v>
      </c>
      <c r="L525" s="10">
        <f>CHOOSE(CONTROL!$C$42, 14.406, 14.406) * CHOOSE(CONTROL!$C$21, $C$9, 100%, $E$9)</f>
        <v>14.406000000000001</v>
      </c>
      <c r="M525" s="10">
        <f>CHOOSE(CONTROL!$C$42, 13.4084, 13.4084) * CHOOSE(CONTROL!$C$21, $C$9, 100%, $E$9)</f>
        <v>13.4084</v>
      </c>
      <c r="N525" s="10">
        <f>CHOOSE(CONTROL!$C$42, 13.4251, 13.4251) * CHOOSE(CONTROL!$C$21, $C$9, 100%, $E$9)</f>
        <v>13.4251</v>
      </c>
      <c r="O525" s="10">
        <f>CHOOSE(CONTROL!$C$42, 13.6732, 13.6732) * CHOOSE(CONTROL!$C$21, $C$9, 100%, $E$9)</f>
        <v>13.6732</v>
      </c>
      <c r="P525" s="10">
        <f>CHOOSE(CONTROL!$C$42, 13.4482, 13.4482) * CHOOSE(CONTROL!$C$21, $C$9, 100%, $E$9)</f>
        <v>13.4482</v>
      </c>
      <c r="Q525" s="10">
        <f>CHOOSE(CONTROL!$C$42, 14.2685, 14.2685) * CHOOSE(CONTROL!$C$21, $C$9, 100%, $E$9)</f>
        <v>14.2685</v>
      </c>
      <c r="R525" s="10">
        <f>CHOOSE(CONTROL!$C$42, 14.8912, 14.8912) * CHOOSE(CONTROL!$C$21, $C$9, 100%, $E$9)</f>
        <v>14.8912</v>
      </c>
      <c r="S525" s="10">
        <f>CHOOSE(CONTROL!$C$42, 13.1993, 13.1993) * CHOOSE(CONTROL!$C$21, $C$9, 100%, $E$9)</f>
        <v>13.199299999999999</v>
      </c>
      <c r="T52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38">
        <f>(1000*CHOOSE(CONTROL!$C$42, 695, 695)*CHOOSE(CONTROL!$C$42, 0.5599, 0.5599)*CHOOSE(CONTROL!$C$42, 30, 30))/1000000</f>
        <v>11.673914999999997</v>
      </c>
      <c r="V525" s="38">
        <f>(1000*CHOOSE(CONTROL!$C$42, 500, 500)*CHOOSE(CONTROL!$C$42, 0.275, 0.275)*CHOOSE(CONTROL!$C$42, 30, 30))/1000000</f>
        <v>4.125</v>
      </c>
      <c r="W525" s="38">
        <f>(1000*CHOOSE(CONTROL!$C$42, 0.1146, 0.1146)*CHOOSE(CONTROL!$C$42, 121.5, 121.5)*CHOOSE(CONTROL!$C$42, 30, 30))/1000000</f>
        <v>0.417717</v>
      </c>
      <c r="X525" s="38">
        <f>(30*0.1790888*245000/1000000)+(30*0.2374*100000/1000000)</f>
        <v>2.0285026799999999</v>
      </c>
      <c r="Y525" s="38">
        <f>(1000*600*CHOOSE(CONTROL!$C$42, 1.0585, 1.0585)*CHOOSE(CONTROL!$C$42, 30, 30))/1000000</f>
        <v>19.053000000000001</v>
      </c>
      <c r="Z525" s="38"/>
      <c r="AA525" s="10"/>
      <c r="AB525" s="39"/>
      <c r="AC525" s="33">
        <f>(B525*194.205+C525*267.466+D525*133.845+E525*53.484+F525*40+G525*185+H525*0+I525*100+J525*300)/(194.205+267.466+133.845+53.484+0+40+185+100+300)</f>
        <v>13.621046678728414</v>
      </c>
      <c r="AD525" s="27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13.492267625899281</v>
      </c>
    </row>
    <row r="526" spans="1:30" ht="15.75" x14ac:dyDescent="0.25">
      <c r="A526" s="13">
        <v>57284</v>
      </c>
      <c r="B526" s="10">
        <f>CHOOSE(CONTROL!$C$42, 13.3375, 13.3375) * CHOOSE(CONTROL!$C$21, $C$9, 100%, $E$9)</f>
        <v>13.3375</v>
      </c>
      <c r="C526" s="10">
        <f>CHOOSE(CONTROL!$C$42, 13.3429, 13.3429) * CHOOSE(CONTROL!$C$21, $C$9, 100%, $E$9)</f>
        <v>13.3429</v>
      </c>
      <c r="D526" s="10">
        <f>CHOOSE(CONTROL!$C$42, 13.5229, 13.5229) * CHOOSE(CONTROL!$C$21, $C$9, 100%, $E$9)</f>
        <v>13.5229</v>
      </c>
      <c r="E526" s="10">
        <f>CHOOSE(CONTROL!$C$42, 13.5518, 13.5518) * CHOOSE(CONTROL!$C$21, $C$9, 100%, $E$9)</f>
        <v>13.5518</v>
      </c>
      <c r="F526" s="10">
        <f>CHOOSE(CONTROL!$C$42, 13.2813, 13.2813)*CHOOSE(CONTROL!$C$21, $C$9, 100%, $E$9)</f>
        <v>13.2813</v>
      </c>
      <c r="G526" s="10">
        <f>CHOOSE(CONTROL!$C$42, 13.2979, 13.2979)*CHOOSE(CONTROL!$C$21, $C$9, 100%, $E$9)</f>
        <v>13.2979</v>
      </c>
      <c r="H526" s="10">
        <f>CHOOSE(CONTROL!$C$42, 13.5419, 13.5419) * CHOOSE(CONTROL!$C$21, $C$9, 100%, $E$9)</f>
        <v>13.5419</v>
      </c>
      <c r="I526" s="10">
        <f>CHOOSE(CONTROL!$C$42, 13.3139, 13.3139)* CHOOSE(CONTROL!$C$21, $C$9, 100%, $E$9)</f>
        <v>13.3139</v>
      </c>
      <c r="J526" s="10">
        <f>CHOOSE(CONTROL!$C$42, 13.2739, 13.2739)* CHOOSE(CONTROL!$C$21, $C$9, 100%, $E$9)</f>
        <v>13.273899999999999</v>
      </c>
      <c r="K526" s="10">
        <f>CHOOSE(CONTROL!$C$42, 13.0557, 13.0557) * CHOOSE(CONTROL!$C$21, $C$9, 100%, $E$9)</f>
        <v>13.0557</v>
      </c>
      <c r="L526" s="10">
        <f>CHOOSE(CONTROL!$C$42, 14.1289, 14.1289) * CHOOSE(CONTROL!$C$21, $C$9, 100%, $E$9)</f>
        <v>14.1289</v>
      </c>
      <c r="M526" s="10">
        <f>CHOOSE(CONTROL!$C$42, 13.1351, 13.1351) * CHOOSE(CONTROL!$C$21, $C$9, 100%, $E$9)</f>
        <v>13.1351</v>
      </c>
      <c r="N526" s="10">
        <f>CHOOSE(CONTROL!$C$42, 13.1515, 13.1515) * CHOOSE(CONTROL!$C$21, $C$9, 100%, $E$9)</f>
        <v>13.1515</v>
      </c>
      <c r="O526" s="10">
        <f>CHOOSE(CONTROL!$C$42, 13.3996, 13.3996) * CHOOSE(CONTROL!$C$21, $C$9, 100%, $E$9)</f>
        <v>13.3996</v>
      </c>
      <c r="P526" s="10">
        <f>CHOOSE(CONTROL!$C$42, 13.1746, 13.1746) * CHOOSE(CONTROL!$C$21, $C$9, 100%, $E$9)</f>
        <v>13.1746</v>
      </c>
      <c r="Q526" s="10">
        <f>CHOOSE(CONTROL!$C$42, 13.9949, 13.9949) * CHOOSE(CONTROL!$C$21, $C$9, 100%, $E$9)</f>
        <v>13.994899999999999</v>
      </c>
      <c r="R526" s="10">
        <f>CHOOSE(CONTROL!$C$42, 14.6169, 14.6169) * CHOOSE(CONTROL!$C$21, $C$9, 100%, $E$9)</f>
        <v>14.616899999999999</v>
      </c>
      <c r="S526" s="10">
        <f>CHOOSE(CONTROL!$C$42, 12.931, 12.931) * CHOOSE(CONTROL!$C$21, $C$9, 100%, $E$9)</f>
        <v>12.930999999999999</v>
      </c>
      <c r="T52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38">
        <f>(1000*CHOOSE(CONTROL!$C$42, 695, 695)*CHOOSE(CONTROL!$C$42, 0.5599, 0.5599)*CHOOSE(CONTROL!$C$42, 31, 31))/1000000</f>
        <v>12.063045499999998</v>
      </c>
      <c r="V526" s="38">
        <f>(1000*CHOOSE(CONTROL!$C$42, 500, 500)*CHOOSE(CONTROL!$C$42, 0.275, 0.275)*CHOOSE(CONTROL!$C$42, 31, 31))/1000000</f>
        <v>4.2625000000000002</v>
      </c>
      <c r="W526" s="38">
        <f>(1000*CHOOSE(CONTROL!$C$42, 0.1146, 0.1146)*CHOOSE(CONTROL!$C$42, 121.5, 121.5)*CHOOSE(CONTROL!$C$42, 31, 31))/1000000</f>
        <v>0.43164089999999994</v>
      </c>
      <c r="X526" s="38">
        <f>(31*0.1790888*245000/1000000)+(31*0.2374*100000/1000000)</f>
        <v>2.0961194359999999</v>
      </c>
      <c r="Y526" s="38">
        <f>(1000*600*CHOOSE(CONTROL!$C$42, 1.0585, 1.0585)*CHOOSE(CONTROL!$C$42, 31, 31))/1000000</f>
        <v>19.688099999999999</v>
      </c>
      <c r="Z526" s="38"/>
      <c r="AA526" s="10"/>
      <c r="AB526" s="39"/>
      <c r="AC526" s="33">
        <f>(B526*131.881+C526*277.167+D526*79.08+E526*125.872+F526*40+G526*185+H526*0+I526*100+J526*300)/(131.881+277.167+79.08+125.872+0+40+185+100+300)</f>
        <v>13.347280874414849</v>
      </c>
      <c r="AD526" s="27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13.218771223021585</v>
      </c>
    </row>
    <row r="527" spans="1:30" ht="15.75" x14ac:dyDescent="0.25">
      <c r="A527" s="13">
        <v>57314</v>
      </c>
      <c r="B527" s="10">
        <f>CHOOSE(CONTROL!$C$42, 13.6889, 13.6889) * CHOOSE(CONTROL!$C$21, $C$9, 100%, $E$9)</f>
        <v>13.6889</v>
      </c>
      <c r="C527" s="10">
        <f>CHOOSE(CONTROL!$C$42, 13.694, 13.694) * CHOOSE(CONTROL!$C$21, $C$9, 100%, $E$9)</f>
        <v>13.694000000000001</v>
      </c>
      <c r="D527" s="10">
        <f>CHOOSE(CONTROL!$C$42, 13.7187, 13.7187) * CHOOSE(CONTROL!$C$21, $C$9, 100%, $E$9)</f>
        <v>13.7187</v>
      </c>
      <c r="E527" s="10">
        <f>CHOOSE(CONTROL!$C$42, 13.7525, 13.7525) * CHOOSE(CONTROL!$C$21, $C$9, 100%, $E$9)</f>
        <v>13.7525</v>
      </c>
      <c r="F527" s="10">
        <f>CHOOSE(CONTROL!$C$42, 13.6545, 13.6545)*CHOOSE(CONTROL!$C$21, $C$9, 100%, $E$9)</f>
        <v>13.654500000000001</v>
      </c>
      <c r="G527" s="10">
        <f>CHOOSE(CONTROL!$C$42, 13.6714, 13.6714)*CHOOSE(CONTROL!$C$21, $C$9, 100%, $E$9)</f>
        <v>13.6714</v>
      </c>
      <c r="H527" s="10">
        <f>CHOOSE(CONTROL!$C$42, 13.7414, 13.7414) * CHOOSE(CONTROL!$C$21, $C$9, 100%, $E$9)</f>
        <v>13.741400000000001</v>
      </c>
      <c r="I527" s="10">
        <f>CHOOSE(CONTROL!$C$42, 13.6884, 13.6884)* CHOOSE(CONTROL!$C$21, $C$9, 100%, $E$9)</f>
        <v>13.6884</v>
      </c>
      <c r="J527" s="10">
        <f>CHOOSE(CONTROL!$C$42, 13.6471, 13.6471)* CHOOSE(CONTROL!$C$21, $C$9, 100%, $E$9)</f>
        <v>13.6471</v>
      </c>
      <c r="K527" s="10">
        <f>CHOOSE(CONTROL!$C$42, 13.4203, 13.4203) * CHOOSE(CONTROL!$C$21, $C$9, 100%, $E$9)</f>
        <v>13.420299999999999</v>
      </c>
      <c r="L527" s="10">
        <f>CHOOSE(CONTROL!$C$42, 14.3284, 14.3284) * CHOOSE(CONTROL!$C$21, $C$9, 100%, $E$9)</f>
        <v>14.3284</v>
      </c>
      <c r="M527" s="10">
        <f>CHOOSE(CONTROL!$C$42, 13.5035, 13.5035) * CHOOSE(CONTROL!$C$21, $C$9, 100%, $E$9)</f>
        <v>13.503500000000001</v>
      </c>
      <c r="N527" s="10">
        <f>CHOOSE(CONTROL!$C$42, 13.5201, 13.5201) * CHOOSE(CONTROL!$C$21, $C$9, 100%, $E$9)</f>
        <v>13.520099999999999</v>
      </c>
      <c r="O527" s="10">
        <f>CHOOSE(CONTROL!$C$42, 13.5965, 13.5965) * CHOOSE(CONTROL!$C$21, $C$9, 100%, $E$9)</f>
        <v>13.596500000000001</v>
      </c>
      <c r="P527" s="10">
        <f>CHOOSE(CONTROL!$C$42, 13.5443, 13.5443) * CHOOSE(CONTROL!$C$21, $C$9, 100%, $E$9)</f>
        <v>13.5443</v>
      </c>
      <c r="Q527" s="10">
        <f>CHOOSE(CONTROL!$C$42, 14.1918, 14.1918) * CHOOSE(CONTROL!$C$21, $C$9, 100%, $E$9)</f>
        <v>14.191800000000001</v>
      </c>
      <c r="R527" s="10">
        <f>CHOOSE(CONTROL!$C$42, 14.8143, 14.8143) * CHOOSE(CONTROL!$C$21, $C$9, 100%, $E$9)</f>
        <v>14.814299999999999</v>
      </c>
      <c r="S527" s="10">
        <f>CHOOSE(CONTROL!$C$42, 13.2716, 13.2716) * CHOOSE(CONTROL!$C$21, $C$9, 100%, $E$9)</f>
        <v>13.271599999999999</v>
      </c>
      <c r="T52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38">
        <f>(1000*CHOOSE(CONTROL!$C$42, 695, 695)*CHOOSE(CONTROL!$C$42, 0.5599, 0.5599)*CHOOSE(CONTROL!$C$42, 30, 30))/1000000</f>
        <v>11.673914999999997</v>
      </c>
      <c r="V527" s="38">
        <f>(1000*CHOOSE(CONTROL!$C$42, 500, 500)*CHOOSE(CONTROL!$C$42, 0.275, 0.275)*CHOOSE(CONTROL!$C$42, 30, 30))/1000000</f>
        <v>4.125</v>
      </c>
      <c r="W527" s="38">
        <f>(1000*CHOOSE(CONTROL!$C$42, 0.1146, 0.1146)*CHOOSE(CONTROL!$C$42, 121.5, 121.5)*CHOOSE(CONTROL!$C$42, 30, 30))/1000000</f>
        <v>0.417717</v>
      </c>
      <c r="X527" s="38">
        <f>(30*0.1790888*100000/1000000)+(30*0.2374*100000/1000000)</f>
        <v>1.2494664</v>
      </c>
      <c r="Y527" s="38">
        <f>(1000*600*CHOOSE(CONTROL!$C$42, 1.0585, 1.0585)*CHOOSE(CONTROL!$C$42, 30, 30))/1000000</f>
        <v>19.053000000000001</v>
      </c>
      <c r="Z527" s="38"/>
      <c r="AA527" s="10"/>
      <c r="AB527" s="39"/>
      <c r="AC527" s="33">
        <f>(B527*122.58+C527*297.941+D527*89.177+E527*40.302+F527*40+G527*160+H527*0+I527*100+J527*300)/(122.58+297.941+89.177+40.302+0+40+160+100+300)</f>
        <v>13.680181896434783</v>
      </c>
      <c r="AD527" s="27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13.552476978417266</v>
      </c>
    </row>
    <row r="528" spans="1:30" ht="15.75" x14ac:dyDescent="0.25">
      <c r="A528" s="13">
        <v>57345</v>
      </c>
      <c r="B528" s="10">
        <f>CHOOSE(CONTROL!$C$42, 14.6233, 14.6233) * CHOOSE(CONTROL!$C$21, $C$9, 100%, $E$9)</f>
        <v>14.6233</v>
      </c>
      <c r="C528" s="10">
        <f>CHOOSE(CONTROL!$C$42, 14.6284, 14.6284) * CHOOSE(CONTROL!$C$21, $C$9, 100%, $E$9)</f>
        <v>14.628399999999999</v>
      </c>
      <c r="D528" s="10">
        <f>CHOOSE(CONTROL!$C$42, 14.6531, 14.6531) * CHOOSE(CONTROL!$C$21, $C$9, 100%, $E$9)</f>
        <v>14.6531</v>
      </c>
      <c r="E528" s="10">
        <f>CHOOSE(CONTROL!$C$42, 14.6869, 14.6869) * CHOOSE(CONTROL!$C$21, $C$9, 100%, $E$9)</f>
        <v>14.6869</v>
      </c>
      <c r="F528" s="10">
        <f>CHOOSE(CONTROL!$C$42, 14.5907, 14.5907)*CHOOSE(CONTROL!$C$21, $C$9, 100%, $E$9)</f>
        <v>14.5907</v>
      </c>
      <c r="G528" s="10">
        <f>CHOOSE(CONTROL!$C$42, 14.608, 14.608)*CHOOSE(CONTROL!$C$21, $C$9, 100%, $E$9)</f>
        <v>14.608000000000001</v>
      </c>
      <c r="H528" s="10">
        <f>CHOOSE(CONTROL!$C$42, 14.6758, 14.6758) * CHOOSE(CONTROL!$C$21, $C$9, 100%, $E$9)</f>
        <v>14.675800000000001</v>
      </c>
      <c r="I528" s="10">
        <f>CHOOSE(CONTROL!$C$42, 14.6228, 14.6228)* CHOOSE(CONTROL!$C$21, $C$9, 100%, $E$9)</f>
        <v>14.6228</v>
      </c>
      <c r="J528" s="10">
        <f>CHOOSE(CONTROL!$C$42, 14.5833, 14.5833)* CHOOSE(CONTROL!$C$21, $C$9, 100%, $E$9)</f>
        <v>14.583299999999999</v>
      </c>
      <c r="K528" s="10">
        <f>CHOOSE(CONTROL!$C$42, 14.3294, 14.3294) * CHOOSE(CONTROL!$C$21, $C$9, 100%, $E$9)</f>
        <v>14.3294</v>
      </c>
      <c r="L528" s="10">
        <f>CHOOSE(CONTROL!$C$42, 15.2628, 15.2628) * CHOOSE(CONTROL!$C$21, $C$9, 100%, $E$9)</f>
        <v>15.2628</v>
      </c>
      <c r="M528" s="10">
        <f>CHOOSE(CONTROL!$C$42, 14.4276, 14.4276) * CHOOSE(CONTROL!$C$21, $C$9, 100%, $E$9)</f>
        <v>14.4276</v>
      </c>
      <c r="N528" s="10">
        <f>CHOOSE(CONTROL!$C$42, 14.4447, 14.4447) * CHOOSE(CONTROL!$C$21, $C$9, 100%, $E$9)</f>
        <v>14.444699999999999</v>
      </c>
      <c r="O528" s="10">
        <f>CHOOSE(CONTROL!$C$42, 14.5189, 14.5189) * CHOOSE(CONTROL!$C$21, $C$9, 100%, $E$9)</f>
        <v>14.5189</v>
      </c>
      <c r="P528" s="10">
        <f>CHOOSE(CONTROL!$C$42, 14.4666, 14.4666) * CHOOSE(CONTROL!$C$21, $C$9, 100%, $E$9)</f>
        <v>14.4666</v>
      </c>
      <c r="Q528" s="10">
        <f>CHOOSE(CONTROL!$C$42, 15.1142, 15.1142) * CHOOSE(CONTROL!$C$21, $C$9, 100%, $E$9)</f>
        <v>15.1142</v>
      </c>
      <c r="R528" s="10">
        <f>CHOOSE(CONTROL!$C$42, 15.7389, 15.7389) * CHOOSE(CONTROL!$C$21, $C$9, 100%, $E$9)</f>
        <v>15.738899999999999</v>
      </c>
      <c r="S528" s="10">
        <f>CHOOSE(CONTROL!$C$42, 14.1764, 14.1764) * CHOOSE(CONTROL!$C$21, $C$9, 100%, $E$9)</f>
        <v>14.176399999999999</v>
      </c>
      <c r="T52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38">
        <f>(1000*CHOOSE(CONTROL!$C$42, 695, 695)*CHOOSE(CONTROL!$C$42, 0.5599, 0.5599)*CHOOSE(CONTROL!$C$42, 31, 31))/1000000</f>
        <v>12.063045499999998</v>
      </c>
      <c r="V528" s="38">
        <f>(1000*CHOOSE(CONTROL!$C$42, 500, 500)*CHOOSE(CONTROL!$C$42, 0.275, 0.275)*CHOOSE(CONTROL!$C$42, 31, 31))/1000000</f>
        <v>4.2625000000000002</v>
      </c>
      <c r="W528" s="38">
        <f>(1000*CHOOSE(CONTROL!$C$42, 0.1146, 0.1146)*CHOOSE(CONTROL!$C$42, 121.5, 121.5)*CHOOSE(CONTROL!$C$42, 31, 31))/1000000</f>
        <v>0.43164089999999994</v>
      </c>
      <c r="X528" s="38">
        <f>(31*0.1790888*100000/1000000)+(31*0.2374*100000/1000000)</f>
        <v>1.2911152800000001</v>
      </c>
      <c r="Y528" s="38">
        <f>(1000*600*CHOOSE(CONTROL!$C$42, 1.0585, 1.0585)*CHOOSE(CONTROL!$C$42, 31, 31))/1000000</f>
        <v>19.688099999999999</v>
      </c>
      <c r="Z528" s="38"/>
      <c r="AA528" s="10"/>
      <c r="AB528" s="39"/>
      <c r="AC528" s="33">
        <f>(B528*122.58+C528*297.941+D528*89.177+E528*40.302+F528*40+G528*160+H528*0+I528*100+J528*300)/(122.58+297.941+89.177+40.302+0+40+160+100+300)</f>
        <v>14.615420157304349</v>
      </c>
      <c r="AD528" s="27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14.475576258992806</v>
      </c>
    </row>
    <row r="529" spans="1:30" ht="15.75" x14ac:dyDescent="0.25">
      <c r="A529" s="13">
        <v>57376</v>
      </c>
      <c r="B529" s="10">
        <f>CHOOSE(CONTROL!$C$42, 15.6114, 15.6114) * CHOOSE(CONTROL!$C$21, $C$9, 100%, $E$9)</f>
        <v>15.6114</v>
      </c>
      <c r="C529" s="10">
        <f>CHOOSE(CONTROL!$C$42, 15.6165, 15.6165) * CHOOSE(CONTROL!$C$21, $C$9, 100%, $E$9)</f>
        <v>15.6165</v>
      </c>
      <c r="D529" s="10">
        <f>CHOOSE(CONTROL!$C$42, 15.6515, 15.6515) * CHOOSE(CONTROL!$C$21, $C$9, 100%, $E$9)</f>
        <v>15.6515</v>
      </c>
      <c r="E529" s="10">
        <f>CHOOSE(CONTROL!$C$42, 15.6853, 15.6853) * CHOOSE(CONTROL!$C$21, $C$9, 100%, $E$9)</f>
        <v>15.6853</v>
      </c>
      <c r="F529" s="10">
        <f>CHOOSE(CONTROL!$C$42, 15.5927, 15.5927)*CHOOSE(CONTROL!$C$21, $C$9, 100%, $E$9)</f>
        <v>15.592700000000001</v>
      </c>
      <c r="G529" s="10">
        <f>CHOOSE(CONTROL!$C$42, 15.6116, 15.6116)*CHOOSE(CONTROL!$C$21, $C$9, 100%, $E$9)</f>
        <v>15.611599999999999</v>
      </c>
      <c r="H529" s="10">
        <f>CHOOSE(CONTROL!$C$42, 15.6742, 15.6742) * CHOOSE(CONTROL!$C$21, $C$9, 100%, $E$9)</f>
        <v>15.674200000000001</v>
      </c>
      <c r="I529" s="10">
        <f>CHOOSE(CONTROL!$C$42, 15.6187, 15.6187)* CHOOSE(CONTROL!$C$21, $C$9, 100%, $E$9)</f>
        <v>15.6187</v>
      </c>
      <c r="J529" s="10">
        <f>CHOOSE(CONTROL!$C$42, 15.5853, 15.5853)* CHOOSE(CONTROL!$C$21, $C$9, 100%, $E$9)</f>
        <v>15.5853</v>
      </c>
      <c r="K529" s="10">
        <f>CHOOSE(CONTROL!$C$42, 15.3075, 15.3075) * CHOOSE(CONTROL!$C$21, $C$9, 100%, $E$9)</f>
        <v>15.307499999999999</v>
      </c>
      <c r="L529" s="10">
        <f>CHOOSE(CONTROL!$C$42, 16.2612, 16.2612) * CHOOSE(CONTROL!$C$21, $C$9, 100%, $E$9)</f>
        <v>16.261199999999999</v>
      </c>
      <c r="M529" s="10">
        <f>CHOOSE(CONTROL!$C$42, 15.4166, 15.4166) * CHOOSE(CONTROL!$C$21, $C$9, 100%, $E$9)</f>
        <v>15.416600000000001</v>
      </c>
      <c r="N529" s="10">
        <f>CHOOSE(CONTROL!$C$42, 15.4352, 15.4352) * CHOOSE(CONTROL!$C$21, $C$9, 100%, $E$9)</f>
        <v>15.4352</v>
      </c>
      <c r="O529" s="10">
        <f>CHOOSE(CONTROL!$C$42, 15.5044, 15.5044) * CHOOSE(CONTROL!$C$21, $C$9, 100%, $E$9)</f>
        <v>15.5044</v>
      </c>
      <c r="P529" s="10">
        <f>CHOOSE(CONTROL!$C$42, 15.4496, 15.4496) * CHOOSE(CONTROL!$C$21, $C$9, 100%, $E$9)</f>
        <v>15.4496</v>
      </c>
      <c r="Q529" s="10">
        <f>CHOOSE(CONTROL!$C$42, 16.0997, 16.0997) * CHOOSE(CONTROL!$C$21, $C$9, 100%, $E$9)</f>
        <v>16.099699999999999</v>
      </c>
      <c r="R529" s="10">
        <f>CHOOSE(CONTROL!$C$42, 16.7269, 16.7269) * CHOOSE(CONTROL!$C$21, $C$9, 100%, $E$9)</f>
        <v>16.726900000000001</v>
      </c>
      <c r="S529" s="10">
        <f>CHOOSE(CONTROL!$C$42, 15.1332, 15.1332) * CHOOSE(CONTROL!$C$21, $C$9, 100%, $E$9)</f>
        <v>15.1332</v>
      </c>
      <c r="T52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38">
        <f>(1000*CHOOSE(CONTROL!$C$42, 695, 695)*CHOOSE(CONTROL!$C$42, 0.5599, 0.5599)*CHOOSE(CONTROL!$C$42, 31, 31))/1000000</f>
        <v>12.063045499999998</v>
      </c>
      <c r="V529" s="38">
        <f>(1000*CHOOSE(CONTROL!$C$42, 500, 500)*CHOOSE(CONTROL!$C$42, 0.275, 0.275)*CHOOSE(CONTROL!$C$42, 31, 31))/1000000</f>
        <v>4.2625000000000002</v>
      </c>
      <c r="W529" s="38">
        <f>(1000*CHOOSE(CONTROL!$C$42, 0.1146, 0.1146)*CHOOSE(CONTROL!$C$42, 121.5, 121.5)*CHOOSE(CONTROL!$C$42, 31, 31))/1000000</f>
        <v>0.43164089999999994</v>
      </c>
      <c r="X529" s="38">
        <f>(31*0.1790888*100000/1000000)+(31*0.2374*100000/1000000)</f>
        <v>1.2911152800000001</v>
      </c>
      <c r="Y529" s="38">
        <f>(1000*600*CHOOSE(CONTROL!$C$42, 1.0585, 1.0585)*CHOOSE(CONTROL!$C$42, 31, 31))/1000000</f>
        <v>19.688099999999999</v>
      </c>
      <c r="Z529" s="38"/>
      <c r="AA529" s="10"/>
      <c r="AB529" s="39"/>
      <c r="AC529" s="33">
        <f>(B529*122.58+C529*297.941+D529*89.177+E529*40.302+F529*40+G529*160+H529*0+I529*100+J529*300)/(122.58+297.941+89.177+40.302+0+40+160+100+300)</f>
        <v>15.611624186608697</v>
      </c>
      <c r="AD529" s="27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15.462212949640289</v>
      </c>
    </row>
    <row r="530" spans="1:30" ht="15.75" x14ac:dyDescent="0.25">
      <c r="A530" s="13">
        <v>57404</v>
      </c>
      <c r="B530" s="10">
        <f>CHOOSE(CONTROL!$C$42, 15.8896, 15.8896) * CHOOSE(CONTROL!$C$21, $C$9, 100%, $E$9)</f>
        <v>15.8896</v>
      </c>
      <c r="C530" s="10">
        <f>CHOOSE(CONTROL!$C$42, 15.8947, 15.8947) * CHOOSE(CONTROL!$C$21, $C$9, 100%, $E$9)</f>
        <v>15.8947</v>
      </c>
      <c r="D530" s="10">
        <f>CHOOSE(CONTROL!$C$42, 15.9297, 15.9297) * CHOOSE(CONTROL!$C$21, $C$9, 100%, $E$9)</f>
        <v>15.9297</v>
      </c>
      <c r="E530" s="10">
        <f>CHOOSE(CONTROL!$C$42, 15.9635, 15.9635) * CHOOSE(CONTROL!$C$21, $C$9, 100%, $E$9)</f>
        <v>15.9635</v>
      </c>
      <c r="F530" s="10">
        <f>CHOOSE(CONTROL!$C$42, 15.8704, 15.8704)*CHOOSE(CONTROL!$C$21, $C$9, 100%, $E$9)</f>
        <v>15.8704</v>
      </c>
      <c r="G530" s="10">
        <f>CHOOSE(CONTROL!$C$42, 15.8891, 15.8891)*CHOOSE(CONTROL!$C$21, $C$9, 100%, $E$9)</f>
        <v>15.889099999999999</v>
      </c>
      <c r="H530" s="10">
        <f>CHOOSE(CONTROL!$C$42, 15.9524, 15.9524) * CHOOSE(CONTROL!$C$21, $C$9, 100%, $E$9)</f>
        <v>15.952400000000001</v>
      </c>
      <c r="I530" s="10">
        <f>CHOOSE(CONTROL!$C$42, 15.8969, 15.8969)* CHOOSE(CONTROL!$C$21, $C$9, 100%, $E$9)</f>
        <v>15.8969</v>
      </c>
      <c r="J530" s="10">
        <f>CHOOSE(CONTROL!$C$42, 15.863, 15.863)* CHOOSE(CONTROL!$C$21, $C$9, 100%, $E$9)</f>
        <v>15.863</v>
      </c>
      <c r="K530" s="10">
        <f>CHOOSE(CONTROL!$C$42, 15.5758, 15.5758) * CHOOSE(CONTROL!$C$21, $C$9, 100%, $E$9)</f>
        <v>15.575799999999999</v>
      </c>
      <c r="L530" s="10">
        <f>CHOOSE(CONTROL!$C$42, 16.5394, 16.5394) * CHOOSE(CONTROL!$C$21, $C$9, 100%, $E$9)</f>
        <v>16.539400000000001</v>
      </c>
      <c r="M530" s="10">
        <f>CHOOSE(CONTROL!$C$42, 15.6907, 15.6907) * CHOOSE(CONTROL!$C$21, $C$9, 100%, $E$9)</f>
        <v>15.6907</v>
      </c>
      <c r="N530" s="10">
        <f>CHOOSE(CONTROL!$C$42, 15.7092, 15.7092) * CHOOSE(CONTROL!$C$21, $C$9, 100%, $E$9)</f>
        <v>15.709199999999999</v>
      </c>
      <c r="O530" s="10">
        <f>CHOOSE(CONTROL!$C$42, 15.779, 15.779) * CHOOSE(CONTROL!$C$21, $C$9, 100%, $E$9)</f>
        <v>15.779</v>
      </c>
      <c r="P530" s="10">
        <f>CHOOSE(CONTROL!$C$42, 15.7242, 15.7242) * CHOOSE(CONTROL!$C$21, $C$9, 100%, $E$9)</f>
        <v>15.7242</v>
      </c>
      <c r="Q530" s="10">
        <f>CHOOSE(CONTROL!$C$42, 16.3743, 16.3743) * CHOOSE(CONTROL!$C$21, $C$9, 100%, $E$9)</f>
        <v>16.374300000000002</v>
      </c>
      <c r="R530" s="10">
        <f>CHOOSE(CONTROL!$C$42, 17.0022, 17.0022) * CHOOSE(CONTROL!$C$21, $C$9, 100%, $E$9)</f>
        <v>17.002199999999998</v>
      </c>
      <c r="S530" s="10">
        <f>CHOOSE(CONTROL!$C$42, 15.4026, 15.4026) * CHOOSE(CONTROL!$C$21, $C$9, 100%, $E$9)</f>
        <v>15.4026</v>
      </c>
      <c r="T53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30" s="38">
        <f>(1000*CHOOSE(CONTROL!$C$42, 695, 695)*CHOOSE(CONTROL!$C$42, 0.5599, 0.5599)*CHOOSE(CONTROL!$C$42, 28, 28))/1000000</f>
        <v>10.895653999999999</v>
      </c>
      <c r="V530" s="38">
        <f>(1000*CHOOSE(CONTROL!$C$42, 500, 500)*CHOOSE(CONTROL!$C$42, 0.275, 0.275)*CHOOSE(CONTROL!$C$42, 28, 28))/1000000</f>
        <v>3.85</v>
      </c>
      <c r="W530" s="38">
        <f>(1000*CHOOSE(CONTROL!$C$42, 0.1146, 0.1146)*CHOOSE(CONTROL!$C$42, 121.5, 121.5)*CHOOSE(CONTROL!$C$42, 28, 28))/1000000</f>
        <v>0.38986920000000003</v>
      </c>
      <c r="X530" s="38">
        <f>(28*0.1790888*100000/1000000)+(28*0.2374*100000/1000000)</f>
        <v>1.16616864</v>
      </c>
      <c r="Y530" s="38">
        <f>(1000*600*CHOOSE(CONTROL!$C$42, 1.0585, 1.0585)*CHOOSE(CONTROL!$C$42, 28, 28))/1000000</f>
        <v>17.782800000000002</v>
      </c>
      <c r="Z530" s="38"/>
      <c r="AA530" s="10"/>
      <c r="AB530" s="39"/>
      <c r="AC530" s="33">
        <f>(B530*122.58+C530*297.941+D530*89.177+E530*40.302+F530*40+G530*160+H530*0+I530*100+J530*300)/(122.58+297.941+89.177+40.302+0+40+160+100+300)</f>
        <v>15.889578969217391</v>
      </c>
      <c r="AD530" s="27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15.736605755395685</v>
      </c>
    </row>
    <row r="531" spans="1:30" ht="15.75" x14ac:dyDescent="0.25">
      <c r="A531" s="13">
        <v>57435</v>
      </c>
      <c r="B531" s="10">
        <f>CHOOSE(CONTROL!$C$42, 15.438, 15.438) * CHOOSE(CONTROL!$C$21, $C$9, 100%, $E$9)</f>
        <v>15.438000000000001</v>
      </c>
      <c r="C531" s="10">
        <f>CHOOSE(CONTROL!$C$42, 15.4431, 15.4431) * CHOOSE(CONTROL!$C$21, $C$9, 100%, $E$9)</f>
        <v>15.443099999999999</v>
      </c>
      <c r="D531" s="10">
        <f>CHOOSE(CONTROL!$C$42, 15.4782, 15.4782) * CHOOSE(CONTROL!$C$21, $C$9, 100%, $E$9)</f>
        <v>15.478199999999999</v>
      </c>
      <c r="E531" s="10">
        <f>CHOOSE(CONTROL!$C$42, 15.512, 15.512) * CHOOSE(CONTROL!$C$21, $C$9, 100%, $E$9)</f>
        <v>15.512</v>
      </c>
      <c r="F531" s="10">
        <f>CHOOSE(CONTROL!$C$42, 15.4174, 15.4174)*CHOOSE(CONTROL!$C$21, $C$9, 100%, $E$9)</f>
        <v>15.417400000000001</v>
      </c>
      <c r="G531" s="10">
        <f>CHOOSE(CONTROL!$C$42, 15.4358, 15.4358)*CHOOSE(CONTROL!$C$21, $C$9, 100%, $E$9)</f>
        <v>15.4358</v>
      </c>
      <c r="H531" s="10">
        <f>CHOOSE(CONTROL!$C$42, 15.5008, 15.5008) * CHOOSE(CONTROL!$C$21, $C$9, 100%, $E$9)</f>
        <v>15.5008</v>
      </c>
      <c r="I531" s="10">
        <f>CHOOSE(CONTROL!$C$42, 15.4453, 15.4453)* CHOOSE(CONTROL!$C$21, $C$9, 100%, $E$9)</f>
        <v>15.4453</v>
      </c>
      <c r="J531" s="10">
        <f>CHOOSE(CONTROL!$C$42, 15.41, 15.41)* CHOOSE(CONTROL!$C$21, $C$9, 100%, $E$9)</f>
        <v>15.41</v>
      </c>
      <c r="K531" s="10">
        <f>CHOOSE(CONTROL!$C$42, 15.1353, 15.1353) * CHOOSE(CONTROL!$C$21, $C$9, 100%, $E$9)</f>
        <v>15.135300000000001</v>
      </c>
      <c r="L531" s="10">
        <f>CHOOSE(CONTROL!$C$42, 16.0878, 16.0878) * CHOOSE(CONTROL!$C$21, $C$9, 100%, $E$9)</f>
        <v>16.087800000000001</v>
      </c>
      <c r="M531" s="10">
        <f>CHOOSE(CONTROL!$C$42, 15.2436, 15.2436) * CHOOSE(CONTROL!$C$21, $C$9, 100%, $E$9)</f>
        <v>15.243600000000001</v>
      </c>
      <c r="N531" s="10">
        <f>CHOOSE(CONTROL!$C$42, 15.2617, 15.2617) * CHOOSE(CONTROL!$C$21, $C$9, 100%, $E$9)</f>
        <v>15.261699999999999</v>
      </c>
      <c r="O531" s="10">
        <f>CHOOSE(CONTROL!$C$42, 15.3332, 15.3332) * CHOOSE(CONTROL!$C$21, $C$9, 100%, $E$9)</f>
        <v>15.3332</v>
      </c>
      <c r="P531" s="10">
        <f>CHOOSE(CONTROL!$C$42, 15.2784, 15.2784) * CHOOSE(CONTROL!$C$21, $C$9, 100%, $E$9)</f>
        <v>15.2784</v>
      </c>
      <c r="Q531" s="10">
        <f>CHOOSE(CONTROL!$C$42, 15.9285, 15.9285) * CHOOSE(CONTROL!$C$21, $C$9, 100%, $E$9)</f>
        <v>15.9285</v>
      </c>
      <c r="R531" s="10">
        <f>CHOOSE(CONTROL!$C$42, 16.5553, 16.5553) * CHOOSE(CONTROL!$C$21, $C$9, 100%, $E$9)</f>
        <v>16.555299999999999</v>
      </c>
      <c r="S531" s="10">
        <f>CHOOSE(CONTROL!$C$42, 14.9653, 14.9653) * CHOOSE(CONTROL!$C$21, $C$9, 100%, $E$9)</f>
        <v>14.965299999999999</v>
      </c>
      <c r="T53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38">
        <f>(1000*CHOOSE(CONTROL!$C$42, 695, 695)*CHOOSE(CONTROL!$C$42, 0.5599, 0.5599)*CHOOSE(CONTROL!$C$42, 31, 31))/1000000</f>
        <v>12.063045499999998</v>
      </c>
      <c r="V531" s="38">
        <f>(1000*CHOOSE(CONTROL!$C$42, 500, 500)*CHOOSE(CONTROL!$C$42, 0.275, 0.275)*CHOOSE(CONTROL!$C$42, 31, 31))/1000000</f>
        <v>4.2625000000000002</v>
      </c>
      <c r="W531" s="38">
        <f>(1000*CHOOSE(CONTROL!$C$42, 0.1146, 0.1146)*CHOOSE(CONTROL!$C$42, 121.5, 121.5)*CHOOSE(CONTROL!$C$42, 31, 31))/1000000</f>
        <v>0.43164089999999994</v>
      </c>
      <c r="X531" s="38">
        <f>(31*0.1790888*100000/1000000)+(31*0.2374*100000/1000000)</f>
        <v>1.2911152800000001</v>
      </c>
      <c r="Y531" s="38">
        <f>(1000*600*CHOOSE(CONTROL!$C$42, 1.0585, 1.0585)*CHOOSE(CONTROL!$C$42, 31, 31))/1000000</f>
        <v>19.688099999999999</v>
      </c>
      <c r="Z531" s="38"/>
      <c r="AA531" s="10"/>
      <c r="AB531" s="39"/>
      <c r="AC531" s="33">
        <f>(B531*122.58+C531*297.941+D531*89.177+E531*40.302+F531*40+G531*160+H531*0+I531*100+J531*300)/(122.58+297.941+89.177+40.302+0+40+160+100+300)</f>
        <v>15.437339793478262</v>
      </c>
      <c r="AD531" s="27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15.290258992805756</v>
      </c>
    </row>
    <row r="532" spans="1:30" ht="15.75" x14ac:dyDescent="0.25">
      <c r="A532" s="13">
        <v>57465</v>
      </c>
      <c r="B532" s="10">
        <f>CHOOSE(CONTROL!$C$42, 15.3925, 15.3925) * CHOOSE(CONTROL!$C$21, $C$9, 100%, $E$9)</f>
        <v>15.3925</v>
      </c>
      <c r="C532" s="10">
        <f>CHOOSE(CONTROL!$C$42, 15.3971, 15.3971) * CHOOSE(CONTROL!$C$21, $C$9, 100%, $E$9)</f>
        <v>15.3971</v>
      </c>
      <c r="D532" s="10">
        <f>CHOOSE(CONTROL!$C$42, 15.5753, 15.5753) * CHOOSE(CONTROL!$C$21, $C$9, 100%, $E$9)</f>
        <v>15.5753</v>
      </c>
      <c r="E532" s="10">
        <f>CHOOSE(CONTROL!$C$42, 15.6071, 15.6071) * CHOOSE(CONTROL!$C$21, $C$9, 100%, $E$9)</f>
        <v>15.607100000000001</v>
      </c>
      <c r="F532" s="10">
        <f>CHOOSE(CONTROL!$C$42, 15.336, 15.336)*CHOOSE(CONTROL!$C$21, $C$9, 100%, $E$9)</f>
        <v>15.336</v>
      </c>
      <c r="G532" s="10">
        <f>CHOOSE(CONTROL!$C$42, 15.3526, 15.3526)*CHOOSE(CONTROL!$C$21, $C$9, 100%, $E$9)</f>
        <v>15.352600000000001</v>
      </c>
      <c r="H532" s="10">
        <f>CHOOSE(CONTROL!$C$42, 15.5966, 15.5966) * CHOOSE(CONTROL!$C$21, $C$9, 100%, $E$9)</f>
        <v>15.5966</v>
      </c>
      <c r="I532" s="10">
        <f>CHOOSE(CONTROL!$C$42, 15.3685, 15.3685)* CHOOSE(CONTROL!$C$21, $C$9, 100%, $E$9)</f>
        <v>15.368499999999999</v>
      </c>
      <c r="J532" s="10">
        <f>CHOOSE(CONTROL!$C$42, 15.3286, 15.3286)* CHOOSE(CONTROL!$C$21, $C$9, 100%, $E$9)</f>
        <v>15.3286</v>
      </c>
      <c r="K532" s="10">
        <f>CHOOSE(CONTROL!$C$42, 15.0463, 15.0463) * CHOOSE(CONTROL!$C$21, $C$9, 100%, $E$9)</f>
        <v>15.0463</v>
      </c>
      <c r="L532" s="10">
        <f>CHOOSE(CONTROL!$C$42, 16.1836, 16.1836) * CHOOSE(CONTROL!$C$21, $C$9, 100%, $E$9)</f>
        <v>16.183599999999998</v>
      </c>
      <c r="M532" s="10">
        <f>CHOOSE(CONTROL!$C$42, 15.1632, 15.1632) * CHOOSE(CONTROL!$C$21, $C$9, 100%, $E$9)</f>
        <v>15.1632</v>
      </c>
      <c r="N532" s="10">
        <f>CHOOSE(CONTROL!$C$42, 15.1796, 15.1796) * CHOOSE(CONTROL!$C$21, $C$9, 100%, $E$9)</f>
        <v>15.179600000000001</v>
      </c>
      <c r="O532" s="10">
        <f>CHOOSE(CONTROL!$C$42, 15.4277, 15.4277) * CHOOSE(CONTROL!$C$21, $C$9, 100%, $E$9)</f>
        <v>15.4277</v>
      </c>
      <c r="P532" s="10">
        <f>CHOOSE(CONTROL!$C$42, 15.2027, 15.2027) * CHOOSE(CONTROL!$C$21, $C$9, 100%, $E$9)</f>
        <v>15.2027</v>
      </c>
      <c r="Q532" s="10">
        <f>CHOOSE(CONTROL!$C$42, 16.023, 16.023) * CHOOSE(CONTROL!$C$21, $C$9, 100%, $E$9)</f>
        <v>16.023</v>
      </c>
      <c r="R532" s="10">
        <f>CHOOSE(CONTROL!$C$42, 16.6501, 16.6501) * CHOOSE(CONTROL!$C$21, $C$9, 100%, $E$9)</f>
        <v>16.650099999999998</v>
      </c>
      <c r="S532" s="10">
        <f>CHOOSE(CONTROL!$C$42, 14.9205, 14.9205) * CHOOSE(CONTROL!$C$21, $C$9, 100%, $E$9)</f>
        <v>14.920500000000001</v>
      </c>
      <c r="T53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38">
        <f>(1000*CHOOSE(CONTROL!$C$42, 695, 695)*CHOOSE(CONTROL!$C$42, 0.5599, 0.5599)*CHOOSE(CONTROL!$C$42, 30, 30))/1000000</f>
        <v>11.673914999999997</v>
      </c>
      <c r="V532" s="38">
        <f>(1000*CHOOSE(CONTROL!$C$42, 500, 500)*CHOOSE(CONTROL!$C$42, 0.275, 0.275)*CHOOSE(CONTROL!$C$42, 30, 30))/1000000</f>
        <v>4.125</v>
      </c>
      <c r="W532" s="38">
        <f>(1000*CHOOSE(CONTROL!$C$42, 0.1146, 0.1146)*CHOOSE(CONTROL!$C$42, 121.5, 121.5)*CHOOSE(CONTROL!$C$42, 30, 30))/1000000</f>
        <v>0.417717</v>
      </c>
      <c r="X532" s="38">
        <f>(30*0.1790888*245000/1000000)+(30*0.2374*100000/1000000)</f>
        <v>2.0285026799999999</v>
      </c>
      <c r="Y532" s="38">
        <f>(1000*600*CHOOSE(CONTROL!$C$42, 1.0585, 1.0585)*CHOOSE(CONTROL!$C$42, 30, 30))/1000000</f>
        <v>19.053000000000001</v>
      </c>
      <c r="Z532" s="38"/>
      <c r="AA532" s="10"/>
      <c r="AB532" s="39"/>
      <c r="AC532" s="33">
        <f>(B532*141.293+C532*267.993+D532*115.016+E532*89.698+F532*40+G532*185+H532*0+I532*100+J532*300)/(141.293+267.993+115.016+89.698+0+40+185+100+300)</f>
        <v>15.400809429701374</v>
      </c>
      <c r="AD532" s="27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15.246871223021584</v>
      </c>
    </row>
    <row r="533" spans="1:30" ht="15.75" x14ac:dyDescent="0.25">
      <c r="A533" s="13">
        <v>57496</v>
      </c>
      <c r="B533" s="10">
        <f>CHOOSE(CONTROL!$C$42, 15.5303, 15.5303) * CHOOSE(CONTROL!$C$21, $C$9, 100%, $E$9)</f>
        <v>15.5303</v>
      </c>
      <c r="C533" s="10">
        <f>CHOOSE(CONTROL!$C$42, 15.5383, 15.5383) * CHOOSE(CONTROL!$C$21, $C$9, 100%, $E$9)</f>
        <v>15.5383</v>
      </c>
      <c r="D533" s="10">
        <f>CHOOSE(CONTROL!$C$42, 15.7134, 15.7134) * CHOOSE(CONTROL!$C$21, $C$9, 100%, $E$9)</f>
        <v>15.7134</v>
      </c>
      <c r="E533" s="10">
        <f>CHOOSE(CONTROL!$C$42, 15.7446, 15.7446) * CHOOSE(CONTROL!$C$21, $C$9, 100%, $E$9)</f>
        <v>15.7446</v>
      </c>
      <c r="F533" s="10">
        <f>CHOOSE(CONTROL!$C$42, 15.472, 15.472)*CHOOSE(CONTROL!$C$21, $C$9, 100%, $E$9)</f>
        <v>15.472</v>
      </c>
      <c r="G533" s="10">
        <f>CHOOSE(CONTROL!$C$42, 15.4889, 15.4889)*CHOOSE(CONTROL!$C$21, $C$9, 100%, $E$9)</f>
        <v>15.488899999999999</v>
      </c>
      <c r="H533" s="10">
        <f>CHOOSE(CONTROL!$C$42, 15.7329, 15.7329) * CHOOSE(CONTROL!$C$21, $C$9, 100%, $E$9)</f>
        <v>15.732900000000001</v>
      </c>
      <c r="I533" s="10">
        <f>CHOOSE(CONTROL!$C$42, 15.5049, 15.5049)* CHOOSE(CONTROL!$C$21, $C$9, 100%, $E$9)</f>
        <v>15.504899999999999</v>
      </c>
      <c r="J533" s="10">
        <f>CHOOSE(CONTROL!$C$42, 15.4646, 15.4646)* CHOOSE(CONTROL!$C$21, $C$9, 100%, $E$9)</f>
        <v>15.464600000000001</v>
      </c>
      <c r="K533" s="10">
        <f>CHOOSE(CONTROL!$C$42, 15.1775, 15.1775) * CHOOSE(CONTROL!$C$21, $C$9, 100%, $E$9)</f>
        <v>15.1775</v>
      </c>
      <c r="L533" s="10">
        <f>CHOOSE(CONTROL!$C$42, 16.3199, 16.3199) * CHOOSE(CONTROL!$C$21, $C$9, 100%, $E$9)</f>
        <v>16.319900000000001</v>
      </c>
      <c r="M533" s="10">
        <f>CHOOSE(CONTROL!$C$42, 15.2974, 15.2974) * CHOOSE(CONTROL!$C$21, $C$9, 100%, $E$9)</f>
        <v>15.2974</v>
      </c>
      <c r="N533" s="10">
        <f>CHOOSE(CONTROL!$C$42, 15.3141, 15.3141) * CHOOSE(CONTROL!$C$21, $C$9, 100%, $E$9)</f>
        <v>15.3141</v>
      </c>
      <c r="O533" s="10">
        <f>CHOOSE(CONTROL!$C$42, 15.5623, 15.5623) * CHOOSE(CONTROL!$C$21, $C$9, 100%, $E$9)</f>
        <v>15.5623</v>
      </c>
      <c r="P533" s="10">
        <f>CHOOSE(CONTROL!$C$42, 15.3373, 15.3373) * CHOOSE(CONTROL!$C$21, $C$9, 100%, $E$9)</f>
        <v>15.337300000000001</v>
      </c>
      <c r="Q533" s="10">
        <f>CHOOSE(CONTROL!$C$42, 16.1576, 16.1576) * CHOOSE(CONTROL!$C$21, $C$9, 100%, $E$9)</f>
        <v>16.157599999999999</v>
      </c>
      <c r="R533" s="10">
        <f>CHOOSE(CONTROL!$C$42, 16.785, 16.785) * CHOOSE(CONTROL!$C$21, $C$9, 100%, $E$9)</f>
        <v>16.785</v>
      </c>
      <c r="S533" s="10">
        <f>CHOOSE(CONTROL!$C$42, 15.0526, 15.0526) * CHOOSE(CONTROL!$C$21, $C$9, 100%, $E$9)</f>
        <v>15.0526</v>
      </c>
      <c r="T53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38">
        <f>(1000*CHOOSE(CONTROL!$C$42, 695, 695)*CHOOSE(CONTROL!$C$42, 0.5599, 0.5599)*CHOOSE(CONTROL!$C$42, 31, 31))/1000000</f>
        <v>12.063045499999998</v>
      </c>
      <c r="V533" s="38">
        <f>(1000*CHOOSE(CONTROL!$C$42, 500, 500)*CHOOSE(CONTROL!$C$42, 0.275, 0.275)*CHOOSE(CONTROL!$C$42, 31, 31))/1000000</f>
        <v>4.2625000000000002</v>
      </c>
      <c r="W533" s="38">
        <f>(1000*CHOOSE(CONTROL!$C$42, 0.1146, 0.1146)*CHOOSE(CONTROL!$C$42, 121.5, 121.5)*CHOOSE(CONTROL!$C$42, 31, 31))/1000000</f>
        <v>0.43164089999999994</v>
      </c>
      <c r="X533" s="38">
        <f>(31*0.1790888*245000/1000000)+(31*0.2374*100000/1000000)</f>
        <v>2.0961194359999999</v>
      </c>
      <c r="Y533" s="38">
        <f>(1000*600*CHOOSE(CONTROL!$C$42, 1.0585, 1.0585)*CHOOSE(CONTROL!$C$42, 31, 31))/1000000</f>
        <v>19.688099999999999</v>
      </c>
      <c r="Z533" s="38"/>
      <c r="AA533" s="10"/>
      <c r="AB533" s="39"/>
      <c r="AC533" s="33">
        <f>(B533*194.205+C533*267.466+D533*133.845+E533*53.484+F533*40+G533*185+H533*0+I533*100+J533*300)/(194.205+267.466+133.845+53.484+0+40+185+100+300)</f>
        <v>15.534905469937204</v>
      </c>
      <c r="AD533" s="27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15.381310071942446</v>
      </c>
    </row>
    <row r="534" spans="1:30" ht="15.75" x14ac:dyDescent="0.25">
      <c r="A534" s="13">
        <v>57526</v>
      </c>
      <c r="B534" s="10">
        <f>CHOOSE(CONTROL!$C$42, 15.9712, 15.9712) * CHOOSE(CONTROL!$C$21, $C$9, 100%, $E$9)</f>
        <v>15.9712</v>
      </c>
      <c r="C534" s="10">
        <f>CHOOSE(CONTROL!$C$42, 15.9792, 15.9792) * CHOOSE(CONTROL!$C$21, $C$9, 100%, $E$9)</f>
        <v>15.979200000000001</v>
      </c>
      <c r="D534" s="10">
        <f>CHOOSE(CONTROL!$C$42, 16.1543, 16.1543) * CHOOSE(CONTROL!$C$21, $C$9, 100%, $E$9)</f>
        <v>16.154299999999999</v>
      </c>
      <c r="E534" s="10">
        <f>CHOOSE(CONTROL!$C$42, 16.1856, 16.1856) * CHOOSE(CONTROL!$C$21, $C$9, 100%, $E$9)</f>
        <v>16.185600000000001</v>
      </c>
      <c r="F534" s="10">
        <f>CHOOSE(CONTROL!$C$42, 15.9131, 15.9131)*CHOOSE(CONTROL!$C$21, $C$9, 100%, $E$9)</f>
        <v>15.9131</v>
      </c>
      <c r="G534" s="10">
        <f>CHOOSE(CONTROL!$C$42, 15.93, 15.93)*CHOOSE(CONTROL!$C$21, $C$9, 100%, $E$9)</f>
        <v>15.93</v>
      </c>
      <c r="H534" s="10">
        <f>CHOOSE(CONTROL!$C$42, 16.1739, 16.1739) * CHOOSE(CONTROL!$C$21, $C$9, 100%, $E$9)</f>
        <v>16.1739</v>
      </c>
      <c r="I534" s="10">
        <f>CHOOSE(CONTROL!$C$42, 15.9459, 15.9459)* CHOOSE(CONTROL!$C$21, $C$9, 100%, $E$9)</f>
        <v>15.9459</v>
      </c>
      <c r="J534" s="10">
        <f>CHOOSE(CONTROL!$C$42, 15.9057, 15.9057)* CHOOSE(CONTROL!$C$21, $C$9, 100%, $E$9)</f>
        <v>15.9057</v>
      </c>
      <c r="K534" s="10">
        <f>CHOOSE(CONTROL!$C$42, 15.6051, 15.6051) * CHOOSE(CONTROL!$C$21, $C$9, 100%, $E$9)</f>
        <v>15.6051</v>
      </c>
      <c r="L534" s="10">
        <f>CHOOSE(CONTROL!$C$42, 16.7609, 16.7609) * CHOOSE(CONTROL!$C$21, $C$9, 100%, $E$9)</f>
        <v>16.760899999999999</v>
      </c>
      <c r="M534" s="10">
        <f>CHOOSE(CONTROL!$C$42, 15.7328, 15.7328) * CHOOSE(CONTROL!$C$21, $C$9, 100%, $E$9)</f>
        <v>15.732799999999999</v>
      </c>
      <c r="N534" s="10">
        <f>CHOOSE(CONTROL!$C$42, 15.7495, 15.7495) * CHOOSE(CONTROL!$C$21, $C$9, 100%, $E$9)</f>
        <v>15.749499999999999</v>
      </c>
      <c r="O534" s="10">
        <f>CHOOSE(CONTROL!$C$42, 15.9975, 15.9975) * CHOOSE(CONTROL!$C$21, $C$9, 100%, $E$9)</f>
        <v>15.9975</v>
      </c>
      <c r="P534" s="10">
        <f>CHOOSE(CONTROL!$C$42, 15.7725, 15.7725) * CHOOSE(CONTROL!$C$21, $C$9, 100%, $E$9)</f>
        <v>15.772500000000001</v>
      </c>
      <c r="Q534" s="10">
        <f>CHOOSE(CONTROL!$C$42, 16.5928, 16.5928) * CHOOSE(CONTROL!$C$21, $C$9, 100%, $E$9)</f>
        <v>16.5928</v>
      </c>
      <c r="R534" s="10">
        <f>CHOOSE(CONTROL!$C$42, 17.2213, 17.2213) * CHOOSE(CONTROL!$C$21, $C$9, 100%, $E$9)</f>
        <v>17.221299999999999</v>
      </c>
      <c r="S534" s="10">
        <f>CHOOSE(CONTROL!$C$42, 15.4795, 15.4795) * CHOOSE(CONTROL!$C$21, $C$9, 100%, $E$9)</f>
        <v>15.4795</v>
      </c>
      <c r="T53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38">
        <f>(1000*CHOOSE(CONTROL!$C$42, 695, 695)*CHOOSE(CONTROL!$C$42, 0.5599, 0.5599)*CHOOSE(CONTROL!$C$42, 30, 30))/1000000</f>
        <v>11.673914999999997</v>
      </c>
      <c r="V534" s="38">
        <f>(1000*CHOOSE(CONTROL!$C$42, 500, 500)*CHOOSE(CONTROL!$C$42, 0.275, 0.275)*CHOOSE(CONTROL!$C$42, 30, 30))/1000000</f>
        <v>4.125</v>
      </c>
      <c r="W534" s="38">
        <f>(1000*CHOOSE(CONTROL!$C$42, 0.1146, 0.1146)*CHOOSE(CONTROL!$C$42, 121.5, 121.5)*CHOOSE(CONTROL!$C$42, 30, 30))/1000000</f>
        <v>0.417717</v>
      </c>
      <c r="X534" s="38">
        <f>(30*0.1790888*245000/1000000)+(30*0.2374*100000/1000000)</f>
        <v>2.0285026799999999</v>
      </c>
      <c r="Y534" s="38">
        <f>(1000*600*CHOOSE(CONTROL!$C$42, 1.0585, 1.0585)*CHOOSE(CONTROL!$C$42, 30, 30))/1000000</f>
        <v>19.053000000000001</v>
      </c>
      <c r="Z534" s="38"/>
      <c r="AA534" s="10"/>
      <c r="AB534" s="39"/>
      <c r="AC534" s="33">
        <f>(B534*194.205+C534*267.466+D534*133.845+E534*53.484+F534*40+G534*185+H534*0+I534*100+J534*300)/(194.205+267.466+133.845+53.484+0+40+185+100+300)</f>
        <v>15.975899934929355</v>
      </c>
      <c r="AD534" s="27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15.816625179856116</v>
      </c>
    </row>
    <row r="535" spans="1:30" ht="15.75" x14ac:dyDescent="0.25">
      <c r="A535" s="13">
        <v>57557</v>
      </c>
      <c r="B535" s="10">
        <f>CHOOSE(CONTROL!$C$42, 15.6645, 15.6645) * CHOOSE(CONTROL!$C$21, $C$9, 100%, $E$9)</f>
        <v>15.6645</v>
      </c>
      <c r="C535" s="10">
        <f>CHOOSE(CONTROL!$C$42, 15.6725, 15.6725) * CHOOSE(CONTROL!$C$21, $C$9, 100%, $E$9)</f>
        <v>15.672499999999999</v>
      </c>
      <c r="D535" s="10">
        <f>CHOOSE(CONTROL!$C$42, 15.8477, 15.8477) * CHOOSE(CONTROL!$C$21, $C$9, 100%, $E$9)</f>
        <v>15.8477</v>
      </c>
      <c r="E535" s="10">
        <f>CHOOSE(CONTROL!$C$42, 15.8789, 15.8789) * CHOOSE(CONTROL!$C$21, $C$9, 100%, $E$9)</f>
        <v>15.8789</v>
      </c>
      <c r="F535" s="10">
        <f>CHOOSE(CONTROL!$C$42, 15.6068, 15.6068)*CHOOSE(CONTROL!$C$21, $C$9, 100%, $E$9)</f>
        <v>15.6068</v>
      </c>
      <c r="G535" s="10">
        <f>CHOOSE(CONTROL!$C$42, 15.6238, 15.6238)*CHOOSE(CONTROL!$C$21, $C$9, 100%, $E$9)</f>
        <v>15.623799999999999</v>
      </c>
      <c r="H535" s="10">
        <f>CHOOSE(CONTROL!$C$42, 15.8672, 15.8672) * CHOOSE(CONTROL!$C$21, $C$9, 100%, $E$9)</f>
        <v>15.8672</v>
      </c>
      <c r="I535" s="10">
        <f>CHOOSE(CONTROL!$C$42, 15.6392, 15.6392)* CHOOSE(CONTROL!$C$21, $C$9, 100%, $E$9)</f>
        <v>15.639200000000001</v>
      </c>
      <c r="J535" s="10">
        <f>CHOOSE(CONTROL!$C$42, 15.5994, 15.5994)* CHOOSE(CONTROL!$C$21, $C$9, 100%, $E$9)</f>
        <v>15.599399999999999</v>
      </c>
      <c r="K535" s="10">
        <f>CHOOSE(CONTROL!$C$42, 15.3088, 15.3088) * CHOOSE(CONTROL!$C$21, $C$9, 100%, $E$9)</f>
        <v>15.3088</v>
      </c>
      <c r="L535" s="10">
        <f>CHOOSE(CONTROL!$C$42, 16.4542, 16.4542) * CHOOSE(CONTROL!$C$21, $C$9, 100%, $E$9)</f>
        <v>16.4542</v>
      </c>
      <c r="M535" s="10">
        <f>CHOOSE(CONTROL!$C$42, 15.4305, 15.4305) * CHOOSE(CONTROL!$C$21, $C$9, 100%, $E$9)</f>
        <v>15.4305</v>
      </c>
      <c r="N535" s="10">
        <f>CHOOSE(CONTROL!$C$42, 15.4473, 15.4473) * CHOOSE(CONTROL!$C$21, $C$9, 100%, $E$9)</f>
        <v>15.4473</v>
      </c>
      <c r="O535" s="10">
        <f>CHOOSE(CONTROL!$C$42, 15.6948, 15.6948) * CHOOSE(CONTROL!$C$21, $C$9, 100%, $E$9)</f>
        <v>15.694800000000001</v>
      </c>
      <c r="P535" s="10">
        <f>CHOOSE(CONTROL!$C$42, 15.4698, 15.4698) * CHOOSE(CONTROL!$C$21, $C$9, 100%, $E$9)</f>
        <v>15.469799999999999</v>
      </c>
      <c r="Q535" s="10">
        <f>CHOOSE(CONTROL!$C$42, 16.2901, 16.2901) * CHOOSE(CONTROL!$C$21, $C$9, 100%, $E$9)</f>
        <v>16.290099999999999</v>
      </c>
      <c r="R535" s="10">
        <f>CHOOSE(CONTROL!$C$42, 16.9179, 16.9179) * CHOOSE(CONTROL!$C$21, $C$9, 100%, $E$9)</f>
        <v>16.917899999999999</v>
      </c>
      <c r="S535" s="10">
        <f>CHOOSE(CONTROL!$C$42, 15.1826, 15.1826) * CHOOSE(CONTROL!$C$21, $C$9, 100%, $E$9)</f>
        <v>15.182600000000001</v>
      </c>
      <c r="T53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38">
        <f>(1000*CHOOSE(CONTROL!$C$42, 695, 695)*CHOOSE(CONTROL!$C$42, 0.5599, 0.5599)*CHOOSE(CONTROL!$C$42, 31, 31))/1000000</f>
        <v>12.063045499999998</v>
      </c>
      <c r="V535" s="38">
        <f>(1000*CHOOSE(CONTROL!$C$42, 500, 500)*CHOOSE(CONTROL!$C$42, 0.275, 0.275)*CHOOSE(CONTROL!$C$42, 31, 31))/1000000</f>
        <v>4.2625000000000002</v>
      </c>
      <c r="W535" s="38">
        <f>(1000*CHOOSE(CONTROL!$C$42, 0.1146, 0.1146)*CHOOSE(CONTROL!$C$42, 121.5, 121.5)*CHOOSE(CONTROL!$C$42, 31, 31))/1000000</f>
        <v>0.43164089999999994</v>
      </c>
      <c r="X535" s="38">
        <f>(31*0.1790888*245000/1000000)+(31*0.2374*100000/1000000)</f>
        <v>2.0961194359999999</v>
      </c>
      <c r="Y535" s="38">
        <f>(1000*600*CHOOSE(CONTROL!$C$42, 1.0585, 1.0585)*CHOOSE(CONTROL!$C$42, 31, 31))/1000000</f>
        <v>19.688099999999999</v>
      </c>
      <c r="Z535" s="38"/>
      <c r="AA535" s="10"/>
      <c r="AB535" s="39"/>
      <c r="AC535" s="33">
        <f>(B535*194.205+C535*267.466+D535*133.845+E535*53.484+F535*40+G535*185+H535*0+I535*100+J535*300)/(194.205+267.466+133.845+53.484+0+40+185+100+300)</f>
        <v>15.669389797174254</v>
      </c>
      <c r="AD535" s="27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15.514178417266189</v>
      </c>
    </row>
    <row r="536" spans="1:30" ht="15.75" x14ac:dyDescent="0.25">
      <c r="A536" s="13">
        <v>57588</v>
      </c>
      <c r="B536" s="10">
        <f>CHOOSE(CONTROL!$C$42, 14.8901, 14.8901) * CHOOSE(CONTROL!$C$21, $C$9, 100%, $E$9)</f>
        <v>14.8901</v>
      </c>
      <c r="C536" s="10">
        <f>CHOOSE(CONTROL!$C$42, 14.8981, 14.8981) * CHOOSE(CONTROL!$C$21, $C$9, 100%, $E$9)</f>
        <v>14.898099999999999</v>
      </c>
      <c r="D536" s="10">
        <f>CHOOSE(CONTROL!$C$42, 15.0732, 15.0732) * CHOOSE(CONTROL!$C$21, $C$9, 100%, $E$9)</f>
        <v>15.0732</v>
      </c>
      <c r="E536" s="10">
        <f>CHOOSE(CONTROL!$C$42, 15.1044, 15.1044) * CHOOSE(CONTROL!$C$21, $C$9, 100%, $E$9)</f>
        <v>15.1044</v>
      </c>
      <c r="F536" s="10">
        <f>CHOOSE(CONTROL!$C$42, 14.8322, 14.8322)*CHOOSE(CONTROL!$C$21, $C$9, 100%, $E$9)</f>
        <v>14.8322</v>
      </c>
      <c r="G536" s="10">
        <f>CHOOSE(CONTROL!$C$42, 14.8492, 14.8492)*CHOOSE(CONTROL!$C$21, $C$9, 100%, $E$9)</f>
        <v>14.8492</v>
      </c>
      <c r="H536" s="10">
        <f>CHOOSE(CONTROL!$C$42, 15.0928, 15.0928) * CHOOSE(CONTROL!$C$21, $C$9, 100%, $E$9)</f>
        <v>15.0928</v>
      </c>
      <c r="I536" s="10">
        <f>CHOOSE(CONTROL!$C$42, 14.8647, 14.8647)* CHOOSE(CONTROL!$C$21, $C$9, 100%, $E$9)</f>
        <v>14.864699999999999</v>
      </c>
      <c r="J536" s="10">
        <f>CHOOSE(CONTROL!$C$42, 14.8248, 14.8248)* CHOOSE(CONTROL!$C$21, $C$9, 100%, $E$9)</f>
        <v>14.8248</v>
      </c>
      <c r="K536" s="10">
        <f>CHOOSE(CONTROL!$C$42, 14.5583, 14.5583) * CHOOSE(CONTROL!$C$21, $C$9, 100%, $E$9)</f>
        <v>14.558299999999999</v>
      </c>
      <c r="L536" s="10">
        <f>CHOOSE(CONTROL!$C$42, 15.6798, 15.6798) * CHOOSE(CONTROL!$C$21, $C$9, 100%, $E$9)</f>
        <v>15.6798</v>
      </c>
      <c r="M536" s="10">
        <f>CHOOSE(CONTROL!$C$42, 14.6659, 14.6659) * CHOOSE(CONTROL!$C$21, $C$9, 100%, $E$9)</f>
        <v>14.665900000000001</v>
      </c>
      <c r="N536" s="10">
        <f>CHOOSE(CONTROL!$C$42, 14.6827, 14.6827) * CHOOSE(CONTROL!$C$21, $C$9, 100%, $E$9)</f>
        <v>14.682700000000001</v>
      </c>
      <c r="O536" s="10">
        <f>CHOOSE(CONTROL!$C$42, 14.9304, 14.9304) * CHOOSE(CONTROL!$C$21, $C$9, 100%, $E$9)</f>
        <v>14.930400000000001</v>
      </c>
      <c r="P536" s="10">
        <f>CHOOSE(CONTROL!$C$42, 14.7054, 14.7054) * CHOOSE(CONTROL!$C$21, $C$9, 100%, $E$9)</f>
        <v>14.705399999999999</v>
      </c>
      <c r="Q536" s="10">
        <f>CHOOSE(CONTROL!$C$42, 15.5257, 15.5257) * CHOOSE(CONTROL!$C$21, $C$9, 100%, $E$9)</f>
        <v>15.525700000000001</v>
      </c>
      <c r="R536" s="10">
        <f>CHOOSE(CONTROL!$C$42, 16.1515, 16.1515) * CHOOSE(CONTROL!$C$21, $C$9, 100%, $E$9)</f>
        <v>16.151499999999999</v>
      </c>
      <c r="S536" s="10">
        <f>CHOOSE(CONTROL!$C$42, 14.4327, 14.4327) * CHOOSE(CONTROL!$C$21, $C$9, 100%, $E$9)</f>
        <v>14.432700000000001</v>
      </c>
      <c r="T53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38">
        <f>(1000*CHOOSE(CONTROL!$C$42, 695, 695)*CHOOSE(CONTROL!$C$42, 0.5599, 0.5599)*CHOOSE(CONTROL!$C$42, 31, 31))/1000000</f>
        <v>12.063045499999998</v>
      </c>
      <c r="V536" s="38">
        <f>(1000*CHOOSE(CONTROL!$C$42, 500, 500)*CHOOSE(CONTROL!$C$42, 0.275, 0.275)*CHOOSE(CONTROL!$C$42, 31, 31))/1000000</f>
        <v>4.2625000000000002</v>
      </c>
      <c r="W536" s="38">
        <f>(1000*CHOOSE(CONTROL!$C$42, 0.1146, 0.1146)*CHOOSE(CONTROL!$C$42, 121.5, 121.5)*CHOOSE(CONTROL!$C$42, 31, 31))/1000000</f>
        <v>0.43164089999999994</v>
      </c>
      <c r="X536" s="38">
        <f>(31*0.1790888*245000/1000000)+(31*0.2374*100000/1000000)</f>
        <v>2.0961194359999999</v>
      </c>
      <c r="Y536" s="38">
        <f>(1000*600*CHOOSE(CONTROL!$C$42, 1.0585, 1.0585)*CHOOSE(CONTROL!$C$42, 31, 31))/1000000</f>
        <v>19.688099999999999</v>
      </c>
      <c r="Z536" s="38"/>
      <c r="AA536" s="10"/>
      <c r="AB536" s="39"/>
      <c r="AC536" s="33">
        <f>(B536*194.205+C536*267.466+D536*133.845+E536*53.484+F536*40+G536*185+H536*0+I536*100+J536*300)/(194.205+267.466+133.845+53.484+0+40+185+100+300)</f>
        <v>14.894884826295133</v>
      </c>
      <c r="AD536" s="27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14.749663309352517</v>
      </c>
    </row>
    <row r="537" spans="1:30" ht="15.75" x14ac:dyDescent="0.25">
      <c r="A537" s="13">
        <v>57618</v>
      </c>
      <c r="B537" s="10">
        <f>CHOOSE(CONTROL!$C$42, 13.9439, 13.9439) * CHOOSE(CONTROL!$C$21, $C$9, 100%, $E$9)</f>
        <v>13.943899999999999</v>
      </c>
      <c r="C537" s="10">
        <f>CHOOSE(CONTROL!$C$42, 13.9519, 13.9519) * CHOOSE(CONTROL!$C$21, $C$9, 100%, $E$9)</f>
        <v>13.9519</v>
      </c>
      <c r="D537" s="10">
        <f>CHOOSE(CONTROL!$C$42, 14.127, 14.127) * CHOOSE(CONTROL!$C$21, $C$9, 100%, $E$9)</f>
        <v>14.127000000000001</v>
      </c>
      <c r="E537" s="10">
        <f>CHOOSE(CONTROL!$C$42, 14.1582, 14.1582) * CHOOSE(CONTROL!$C$21, $C$9, 100%, $E$9)</f>
        <v>14.158200000000001</v>
      </c>
      <c r="F537" s="10">
        <f>CHOOSE(CONTROL!$C$42, 13.8857, 13.8857)*CHOOSE(CONTROL!$C$21, $C$9, 100%, $E$9)</f>
        <v>13.8857</v>
      </c>
      <c r="G537" s="10">
        <f>CHOOSE(CONTROL!$C$42, 13.9026, 13.9026)*CHOOSE(CONTROL!$C$21, $C$9, 100%, $E$9)</f>
        <v>13.9026</v>
      </c>
      <c r="H537" s="10">
        <f>CHOOSE(CONTROL!$C$42, 14.1465, 14.1465) * CHOOSE(CONTROL!$C$21, $C$9, 100%, $E$9)</f>
        <v>14.1465</v>
      </c>
      <c r="I537" s="10">
        <f>CHOOSE(CONTROL!$C$42, 13.9185, 13.9185)* CHOOSE(CONTROL!$C$21, $C$9, 100%, $E$9)</f>
        <v>13.9185</v>
      </c>
      <c r="J537" s="10">
        <f>CHOOSE(CONTROL!$C$42, 13.8783, 13.8783)* CHOOSE(CONTROL!$C$21, $C$9, 100%, $E$9)</f>
        <v>13.878299999999999</v>
      </c>
      <c r="K537" s="10">
        <f>CHOOSE(CONTROL!$C$42, 13.6409, 13.6409) * CHOOSE(CONTROL!$C$21, $C$9, 100%, $E$9)</f>
        <v>13.6409</v>
      </c>
      <c r="L537" s="10">
        <f>CHOOSE(CONTROL!$C$42, 14.7335, 14.7335) * CHOOSE(CONTROL!$C$21, $C$9, 100%, $E$9)</f>
        <v>14.733499999999999</v>
      </c>
      <c r="M537" s="10">
        <f>CHOOSE(CONTROL!$C$42, 13.7317, 13.7317) * CHOOSE(CONTROL!$C$21, $C$9, 100%, $E$9)</f>
        <v>13.7317</v>
      </c>
      <c r="N537" s="10">
        <f>CHOOSE(CONTROL!$C$42, 13.7484, 13.7484) * CHOOSE(CONTROL!$C$21, $C$9, 100%, $E$9)</f>
        <v>13.7484</v>
      </c>
      <c r="O537" s="10">
        <f>CHOOSE(CONTROL!$C$42, 13.9965, 13.9965) * CHOOSE(CONTROL!$C$21, $C$9, 100%, $E$9)</f>
        <v>13.996499999999999</v>
      </c>
      <c r="P537" s="10">
        <f>CHOOSE(CONTROL!$C$42, 13.7714, 13.7714) * CHOOSE(CONTROL!$C$21, $C$9, 100%, $E$9)</f>
        <v>13.7714</v>
      </c>
      <c r="Q537" s="10">
        <f>CHOOSE(CONTROL!$C$42, 14.5918, 14.5918) * CHOOSE(CONTROL!$C$21, $C$9, 100%, $E$9)</f>
        <v>14.591799999999999</v>
      </c>
      <c r="R537" s="10">
        <f>CHOOSE(CONTROL!$C$42, 15.2152, 15.2152) * CHOOSE(CONTROL!$C$21, $C$9, 100%, $E$9)</f>
        <v>15.215199999999999</v>
      </c>
      <c r="S537" s="10">
        <f>CHOOSE(CONTROL!$C$42, 13.5165, 13.5165) * CHOOSE(CONTROL!$C$21, $C$9, 100%, $E$9)</f>
        <v>13.516500000000001</v>
      </c>
      <c r="T53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38">
        <f>(1000*CHOOSE(CONTROL!$C$42, 695, 695)*CHOOSE(CONTROL!$C$42, 0.5599, 0.5599)*CHOOSE(CONTROL!$C$42, 30, 30))/1000000</f>
        <v>11.673914999999997</v>
      </c>
      <c r="V537" s="38">
        <f>(1000*CHOOSE(CONTROL!$C$42, 500, 500)*CHOOSE(CONTROL!$C$42, 0.275, 0.275)*CHOOSE(CONTROL!$C$42, 30, 30))/1000000</f>
        <v>4.125</v>
      </c>
      <c r="W537" s="38">
        <f>(1000*CHOOSE(CONTROL!$C$42, 0.1146, 0.1146)*CHOOSE(CONTROL!$C$42, 121.5, 121.5)*CHOOSE(CONTROL!$C$42, 30, 30))/1000000</f>
        <v>0.417717</v>
      </c>
      <c r="X537" s="38">
        <f>(30*0.1790888*245000/1000000)+(30*0.2374*100000/1000000)</f>
        <v>2.0285026799999999</v>
      </c>
      <c r="Y537" s="38">
        <f>(1000*600*CHOOSE(CONTROL!$C$42, 1.0585, 1.0585)*CHOOSE(CONTROL!$C$42, 30, 30))/1000000</f>
        <v>19.053000000000001</v>
      </c>
      <c r="Z537" s="38"/>
      <c r="AA537" s="10"/>
      <c r="AB537" s="39"/>
      <c r="AC537" s="33">
        <f>(B537*194.205+C537*267.466+D537*133.845+E537*53.484+F537*40+G537*185+H537*0+I537*100+J537*300)/(194.205+267.466+133.845+53.484+0+40+185+100+300)</f>
        <v>13.948546678728414</v>
      </c>
      <c r="AD537" s="27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13.815553237410072</v>
      </c>
    </row>
    <row r="538" spans="1:30" ht="15.75" x14ac:dyDescent="0.25">
      <c r="A538" s="13">
        <v>57649</v>
      </c>
      <c r="B538" s="10">
        <f>CHOOSE(CONTROL!$C$42, 13.6584, 13.6584) * CHOOSE(CONTROL!$C$21, $C$9, 100%, $E$9)</f>
        <v>13.6584</v>
      </c>
      <c r="C538" s="10">
        <f>CHOOSE(CONTROL!$C$42, 13.6637, 13.6637) * CHOOSE(CONTROL!$C$21, $C$9, 100%, $E$9)</f>
        <v>13.6637</v>
      </c>
      <c r="D538" s="10">
        <f>CHOOSE(CONTROL!$C$42, 13.8437, 13.8437) * CHOOSE(CONTROL!$C$21, $C$9, 100%, $E$9)</f>
        <v>13.8437</v>
      </c>
      <c r="E538" s="10">
        <f>CHOOSE(CONTROL!$C$42, 13.8726, 13.8726) * CHOOSE(CONTROL!$C$21, $C$9, 100%, $E$9)</f>
        <v>13.8726</v>
      </c>
      <c r="F538" s="10">
        <f>CHOOSE(CONTROL!$C$42, 13.6021, 13.6021)*CHOOSE(CONTROL!$C$21, $C$9, 100%, $E$9)</f>
        <v>13.6021</v>
      </c>
      <c r="G538" s="10">
        <f>CHOOSE(CONTROL!$C$42, 13.6187, 13.6187)*CHOOSE(CONTROL!$C$21, $C$9, 100%, $E$9)</f>
        <v>13.6187</v>
      </c>
      <c r="H538" s="10">
        <f>CHOOSE(CONTROL!$C$42, 13.8628, 13.8628) * CHOOSE(CONTROL!$C$21, $C$9, 100%, $E$9)</f>
        <v>13.8628</v>
      </c>
      <c r="I538" s="10">
        <f>CHOOSE(CONTROL!$C$42, 13.6347, 13.6347)* CHOOSE(CONTROL!$C$21, $C$9, 100%, $E$9)</f>
        <v>13.6347</v>
      </c>
      <c r="J538" s="10">
        <f>CHOOSE(CONTROL!$C$42, 13.5947, 13.5947)* CHOOSE(CONTROL!$C$21, $C$9, 100%, $E$9)</f>
        <v>13.5947</v>
      </c>
      <c r="K538" s="10">
        <f>CHOOSE(CONTROL!$C$42, 13.3665, 13.3665) * CHOOSE(CONTROL!$C$21, $C$9, 100%, $E$9)</f>
        <v>13.3665</v>
      </c>
      <c r="L538" s="10">
        <f>CHOOSE(CONTROL!$C$42, 14.4498, 14.4498) * CHOOSE(CONTROL!$C$21, $C$9, 100%, $E$9)</f>
        <v>14.4498</v>
      </c>
      <c r="M538" s="10">
        <f>CHOOSE(CONTROL!$C$42, 13.4518, 13.4518) * CHOOSE(CONTROL!$C$21, $C$9, 100%, $E$9)</f>
        <v>13.4518</v>
      </c>
      <c r="N538" s="10">
        <f>CHOOSE(CONTROL!$C$42, 13.4682, 13.4682) * CHOOSE(CONTROL!$C$21, $C$9, 100%, $E$9)</f>
        <v>13.4682</v>
      </c>
      <c r="O538" s="10">
        <f>CHOOSE(CONTROL!$C$42, 13.7163, 13.7163) * CHOOSE(CONTROL!$C$21, $C$9, 100%, $E$9)</f>
        <v>13.7163</v>
      </c>
      <c r="P538" s="10">
        <f>CHOOSE(CONTROL!$C$42, 13.4913, 13.4913) * CHOOSE(CONTROL!$C$21, $C$9, 100%, $E$9)</f>
        <v>13.491300000000001</v>
      </c>
      <c r="Q538" s="10">
        <f>CHOOSE(CONTROL!$C$42, 14.3116, 14.3116) * CHOOSE(CONTROL!$C$21, $C$9, 100%, $E$9)</f>
        <v>14.3116</v>
      </c>
      <c r="R538" s="10">
        <f>CHOOSE(CONTROL!$C$42, 14.9344, 14.9344) * CHOOSE(CONTROL!$C$21, $C$9, 100%, $E$9)</f>
        <v>14.9344</v>
      </c>
      <c r="S538" s="10">
        <f>CHOOSE(CONTROL!$C$42, 13.2417, 13.2417) * CHOOSE(CONTROL!$C$21, $C$9, 100%, $E$9)</f>
        <v>13.2417</v>
      </c>
      <c r="T53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38">
        <f>(1000*CHOOSE(CONTROL!$C$42, 695, 695)*CHOOSE(CONTROL!$C$42, 0.5599, 0.5599)*CHOOSE(CONTROL!$C$42, 31, 31))/1000000</f>
        <v>12.063045499999998</v>
      </c>
      <c r="V538" s="38">
        <f>(1000*CHOOSE(CONTROL!$C$42, 500, 500)*CHOOSE(CONTROL!$C$42, 0.275, 0.275)*CHOOSE(CONTROL!$C$42, 31, 31))/1000000</f>
        <v>4.2625000000000002</v>
      </c>
      <c r="W538" s="38">
        <f>(1000*CHOOSE(CONTROL!$C$42, 0.1146, 0.1146)*CHOOSE(CONTROL!$C$42, 121.5, 121.5)*CHOOSE(CONTROL!$C$42, 31, 31))/1000000</f>
        <v>0.43164089999999994</v>
      </c>
      <c r="X538" s="38">
        <f>(31*0.1790888*245000/1000000)+(31*0.2374*100000/1000000)</f>
        <v>2.0961194359999999</v>
      </c>
      <c r="Y538" s="38">
        <f>(1000*600*CHOOSE(CONTROL!$C$42, 1.0585, 1.0585)*CHOOSE(CONTROL!$C$42, 31, 31))/1000000</f>
        <v>19.688099999999999</v>
      </c>
      <c r="Z538" s="38"/>
      <c r="AA538" s="10"/>
      <c r="AB538" s="39"/>
      <c r="AC538" s="33">
        <f>(B538*131.881+C538*277.167+D538*79.08+E538*125.872+F538*40+G538*185+H538*0+I538*100+J538*300)/(131.881+277.167+79.08+125.872+0+40+185+100+300)</f>
        <v>13.668091518563356</v>
      </c>
      <c r="AD538" s="27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13.535471223021583</v>
      </c>
    </row>
    <row r="539" spans="1:30" ht="15.75" x14ac:dyDescent="0.25">
      <c r="A539" s="13">
        <v>57679</v>
      </c>
      <c r="B539" s="10">
        <f>CHOOSE(CONTROL!$C$42, 14.0182, 14.0182) * CHOOSE(CONTROL!$C$21, $C$9, 100%, $E$9)</f>
        <v>14.0182</v>
      </c>
      <c r="C539" s="10">
        <f>CHOOSE(CONTROL!$C$42, 14.0233, 14.0233) * CHOOSE(CONTROL!$C$21, $C$9, 100%, $E$9)</f>
        <v>14.023300000000001</v>
      </c>
      <c r="D539" s="10">
        <f>CHOOSE(CONTROL!$C$42, 14.048, 14.048) * CHOOSE(CONTROL!$C$21, $C$9, 100%, $E$9)</f>
        <v>14.048</v>
      </c>
      <c r="E539" s="10">
        <f>CHOOSE(CONTROL!$C$42, 14.0818, 14.0818) * CHOOSE(CONTROL!$C$21, $C$9, 100%, $E$9)</f>
        <v>14.081799999999999</v>
      </c>
      <c r="F539" s="10">
        <f>CHOOSE(CONTROL!$C$42, 13.9838, 13.9838)*CHOOSE(CONTROL!$C$21, $C$9, 100%, $E$9)</f>
        <v>13.9838</v>
      </c>
      <c r="G539" s="10">
        <f>CHOOSE(CONTROL!$C$42, 14.0007, 14.0007)*CHOOSE(CONTROL!$C$21, $C$9, 100%, $E$9)</f>
        <v>14.0007</v>
      </c>
      <c r="H539" s="10">
        <f>CHOOSE(CONTROL!$C$42, 14.0707, 14.0707) * CHOOSE(CONTROL!$C$21, $C$9, 100%, $E$9)</f>
        <v>14.0707</v>
      </c>
      <c r="I539" s="10">
        <f>CHOOSE(CONTROL!$C$42, 14.0177, 14.0177)* CHOOSE(CONTROL!$C$21, $C$9, 100%, $E$9)</f>
        <v>14.0177</v>
      </c>
      <c r="J539" s="10">
        <f>CHOOSE(CONTROL!$C$42, 13.9764, 13.9764)* CHOOSE(CONTROL!$C$21, $C$9, 100%, $E$9)</f>
        <v>13.9764</v>
      </c>
      <c r="K539" s="10">
        <f>CHOOSE(CONTROL!$C$42, 13.7393, 13.7393) * CHOOSE(CONTROL!$C$21, $C$9, 100%, $E$9)</f>
        <v>13.7393</v>
      </c>
      <c r="L539" s="10">
        <f>CHOOSE(CONTROL!$C$42, 14.6577, 14.6577) * CHOOSE(CONTROL!$C$21, $C$9, 100%, $E$9)</f>
        <v>14.6577</v>
      </c>
      <c r="M539" s="10">
        <f>CHOOSE(CONTROL!$C$42, 13.8286, 13.8286) * CHOOSE(CONTROL!$C$21, $C$9, 100%, $E$9)</f>
        <v>13.8286</v>
      </c>
      <c r="N539" s="10">
        <f>CHOOSE(CONTROL!$C$42, 13.8452, 13.8452) * CHOOSE(CONTROL!$C$21, $C$9, 100%, $E$9)</f>
        <v>13.8452</v>
      </c>
      <c r="O539" s="10">
        <f>CHOOSE(CONTROL!$C$42, 13.9216, 13.9216) * CHOOSE(CONTROL!$C$21, $C$9, 100%, $E$9)</f>
        <v>13.9216</v>
      </c>
      <c r="P539" s="10">
        <f>CHOOSE(CONTROL!$C$42, 13.8693, 13.8693) * CHOOSE(CONTROL!$C$21, $C$9, 100%, $E$9)</f>
        <v>13.869300000000001</v>
      </c>
      <c r="Q539" s="10">
        <f>CHOOSE(CONTROL!$C$42, 14.5169, 14.5169) * CHOOSE(CONTROL!$C$21, $C$9, 100%, $E$9)</f>
        <v>14.5169</v>
      </c>
      <c r="R539" s="10">
        <f>CHOOSE(CONTROL!$C$42, 15.1402, 15.1402) * CHOOSE(CONTROL!$C$21, $C$9, 100%, $E$9)</f>
        <v>15.1402</v>
      </c>
      <c r="S539" s="10">
        <f>CHOOSE(CONTROL!$C$42, 13.5905, 13.5905) * CHOOSE(CONTROL!$C$21, $C$9, 100%, $E$9)</f>
        <v>13.5905</v>
      </c>
      <c r="T53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38">
        <f>(1000*CHOOSE(CONTROL!$C$42, 695, 695)*CHOOSE(CONTROL!$C$42, 0.5599, 0.5599)*CHOOSE(CONTROL!$C$42, 30, 30))/1000000</f>
        <v>11.673914999999997</v>
      </c>
      <c r="V539" s="38">
        <f>(1000*CHOOSE(CONTROL!$C$42, 500, 500)*CHOOSE(CONTROL!$C$42, 0.275, 0.275)*CHOOSE(CONTROL!$C$42, 30, 30))/1000000</f>
        <v>4.125</v>
      </c>
      <c r="W539" s="38">
        <f>(1000*CHOOSE(CONTROL!$C$42, 0.1146, 0.1146)*CHOOSE(CONTROL!$C$42, 121.5, 121.5)*CHOOSE(CONTROL!$C$42, 30, 30))/1000000</f>
        <v>0.417717</v>
      </c>
      <c r="X539" s="38">
        <f>(30*0.1790888*100000/1000000)+(30*0.2374*100000/1000000)</f>
        <v>1.2494664</v>
      </c>
      <c r="Y539" s="38">
        <f>(1000*600*CHOOSE(CONTROL!$C$42, 1.0585, 1.0585)*CHOOSE(CONTROL!$C$42, 30, 30))/1000000</f>
        <v>19.053000000000001</v>
      </c>
      <c r="Z539" s="38"/>
      <c r="AA539" s="10"/>
      <c r="AB539" s="39"/>
      <c r="AC539" s="33">
        <f>(B539*122.58+C539*297.941+D539*89.177+E539*40.302+F539*40+G539*160+H539*0+I539*100+J539*300)/(122.58+297.941+89.177+40.302+0+40+160+100+300)</f>
        <v>14.009481896434785</v>
      </c>
      <c r="AD539" s="27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13.877562589928059</v>
      </c>
    </row>
    <row r="540" spans="1:30" ht="15.75" x14ac:dyDescent="0.25">
      <c r="A540" s="13">
        <v>57710</v>
      </c>
      <c r="B540" s="10">
        <f>CHOOSE(CONTROL!$C$42, 14.9751, 14.9751) * CHOOSE(CONTROL!$C$21, $C$9, 100%, $E$9)</f>
        <v>14.975099999999999</v>
      </c>
      <c r="C540" s="10">
        <f>CHOOSE(CONTROL!$C$42, 14.9802, 14.9802) * CHOOSE(CONTROL!$C$21, $C$9, 100%, $E$9)</f>
        <v>14.9802</v>
      </c>
      <c r="D540" s="10">
        <f>CHOOSE(CONTROL!$C$42, 15.0049, 15.0049) * CHOOSE(CONTROL!$C$21, $C$9, 100%, $E$9)</f>
        <v>15.004899999999999</v>
      </c>
      <c r="E540" s="10">
        <f>CHOOSE(CONTROL!$C$42, 15.0387, 15.0387) * CHOOSE(CONTROL!$C$21, $C$9, 100%, $E$9)</f>
        <v>15.0387</v>
      </c>
      <c r="F540" s="10">
        <f>CHOOSE(CONTROL!$C$42, 14.9425, 14.9425)*CHOOSE(CONTROL!$C$21, $C$9, 100%, $E$9)</f>
        <v>14.942500000000001</v>
      </c>
      <c r="G540" s="10">
        <f>CHOOSE(CONTROL!$C$42, 14.9598, 14.9598)*CHOOSE(CONTROL!$C$21, $C$9, 100%, $E$9)</f>
        <v>14.9598</v>
      </c>
      <c r="H540" s="10">
        <f>CHOOSE(CONTROL!$C$42, 15.0275, 15.0275) * CHOOSE(CONTROL!$C$21, $C$9, 100%, $E$9)</f>
        <v>15.0275</v>
      </c>
      <c r="I540" s="10">
        <f>CHOOSE(CONTROL!$C$42, 14.9746, 14.9746)* CHOOSE(CONTROL!$C$21, $C$9, 100%, $E$9)</f>
        <v>14.974600000000001</v>
      </c>
      <c r="J540" s="10">
        <f>CHOOSE(CONTROL!$C$42, 14.9351, 14.9351)* CHOOSE(CONTROL!$C$21, $C$9, 100%, $E$9)</f>
        <v>14.9351</v>
      </c>
      <c r="K540" s="10">
        <f>CHOOSE(CONTROL!$C$42, 14.6702, 14.6702) * CHOOSE(CONTROL!$C$21, $C$9, 100%, $E$9)</f>
        <v>14.670199999999999</v>
      </c>
      <c r="L540" s="10">
        <f>CHOOSE(CONTROL!$C$42, 15.6145, 15.6145) * CHOOSE(CONTROL!$C$21, $C$9, 100%, $E$9)</f>
        <v>15.6145</v>
      </c>
      <c r="M540" s="10">
        <f>CHOOSE(CONTROL!$C$42, 14.7748, 14.7748) * CHOOSE(CONTROL!$C$21, $C$9, 100%, $E$9)</f>
        <v>14.774800000000001</v>
      </c>
      <c r="N540" s="10">
        <f>CHOOSE(CONTROL!$C$42, 14.7919, 14.7919) * CHOOSE(CONTROL!$C$21, $C$9, 100%, $E$9)</f>
        <v>14.7919</v>
      </c>
      <c r="O540" s="10">
        <f>CHOOSE(CONTROL!$C$42, 14.8661, 14.8661) * CHOOSE(CONTROL!$C$21, $C$9, 100%, $E$9)</f>
        <v>14.866099999999999</v>
      </c>
      <c r="P540" s="10">
        <f>CHOOSE(CONTROL!$C$42, 14.8138, 14.8138) * CHOOSE(CONTROL!$C$21, $C$9, 100%, $E$9)</f>
        <v>14.813800000000001</v>
      </c>
      <c r="Q540" s="10">
        <f>CHOOSE(CONTROL!$C$42, 15.4614, 15.4614) * CHOOSE(CONTROL!$C$21, $C$9, 100%, $E$9)</f>
        <v>15.461399999999999</v>
      </c>
      <c r="R540" s="10">
        <f>CHOOSE(CONTROL!$C$42, 16.087, 16.087) * CHOOSE(CONTROL!$C$21, $C$9, 100%, $E$9)</f>
        <v>16.087</v>
      </c>
      <c r="S540" s="10">
        <f>CHOOSE(CONTROL!$C$42, 14.517, 14.517) * CHOOSE(CONTROL!$C$21, $C$9, 100%, $E$9)</f>
        <v>14.516999999999999</v>
      </c>
      <c r="T54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38">
        <f>(1000*CHOOSE(CONTROL!$C$42, 695, 695)*CHOOSE(CONTROL!$C$42, 0.5599, 0.5599)*CHOOSE(CONTROL!$C$42, 31, 31))/1000000</f>
        <v>12.063045499999998</v>
      </c>
      <c r="V540" s="38">
        <f>(1000*CHOOSE(CONTROL!$C$42, 500, 500)*CHOOSE(CONTROL!$C$42, 0.275, 0.275)*CHOOSE(CONTROL!$C$42, 31, 31))/1000000</f>
        <v>4.2625000000000002</v>
      </c>
      <c r="W540" s="38">
        <f>(1000*CHOOSE(CONTROL!$C$42, 0.1146, 0.1146)*CHOOSE(CONTROL!$C$42, 121.5, 121.5)*CHOOSE(CONTROL!$C$42, 31, 31))/1000000</f>
        <v>0.43164089999999994</v>
      </c>
      <c r="X540" s="38">
        <f>(31*0.1790888*100000/1000000)+(31*0.2374*100000/1000000)</f>
        <v>1.2911152800000001</v>
      </c>
      <c r="Y540" s="38">
        <f>(1000*600*CHOOSE(CONTROL!$C$42, 1.0585, 1.0585)*CHOOSE(CONTROL!$C$42, 31, 31))/1000000</f>
        <v>19.688099999999999</v>
      </c>
      <c r="Z540" s="38"/>
      <c r="AA540" s="10"/>
      <c r="AB540" s="39"/>
      <c r="AC540" s="33">
        <f>(B540*122.58+C540*297.941+D540*89.177+E540*40.302+F540*40+G540*160+H540*0+I540*100+J540*300)/(122.58+297.941+89.177+40.302+0+40+160+100+300)</f>
        <v>14.967220157304347</v>
      </c>
      <c r="AD540" s="27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14.822776258992805</v>
      </c>
    </row>
    <row r="541" spans="1:30" ht="15.75" x14ac:dyDescent="0.25">
      <c r="A541" s="13">
        <v>57741</v>
      </c>
      <c r="B541" s="10">
        <f>CHOOSE(CONTROL!$C$42, 15.9869, 15.9869) * CHOOSE(CONTROL!$C$21, $C$9, 100%, $E$9)</f>
        <v>15.9869</v>
      </c>
      <c r="C541" s="10">
        <f>CHOOSE(CONTROL!$C$42, 15.992, 15.992) * CHOOSE(CONTROL!$C$21, $C$9, 100%, $E$9)</f>
        <v>15.992000000000001</v>
      </c>
      <c r="D541" s="10">
        <f>CHOOSE(CONTROL!$C$42, 16.027, 16.027) * CHOOSE(CONTROL!$C$21, $C$9, 100%, $E$9)</f>
        <v>16.027000000000001</v>
      </c>
      <c r="E541" s="10">
        <f>CHOOSE(CONTROL!$C$42, 16.0608, 16.0608) * CHOOSE(CONTROL!$C$21, $C$9, 100%, $E$9)</f>
        <v>16.0608</v>
      </c>
      <c r="F541" s="10">
        <f>CHOOSE(CONTROL!$C$42, 15.9682, 15.9682)*CHOOSE(CONTROL!$C$21, $C$9, 100%, $E$9)</f>
        <v>15.9682</v>
      </c>
      <c r="G541" s="10">
        <f>CHOOSE(CONTROL!$C$42, 15.9871, 15.9871)*CHOOSE(CONTROL!$C$21, $C$9, 100%, $E$9)</f>
        <v>15.9871</v>
      </c>
      <c r="H541" s="10">
        <f>CHOOSE(CONTROL!$C$42, 16.0497, 16.0497) * CHOOSE(CONTROL!$C$21, $C$9, 100%, $E$9)</f>
        <v>16.049700000000001</v>
      </c>
      <c r="I541" s="10">
        <f>CHOOSE(CONTROL!$C$42, 15.9942, 15.9942)* CHOOSE(CONTROL!$C$21, $C$9, 100%, $E$9)</f>
        <v>15.994199999999999</v>
      </c>
      <c r="J541" s="10">
        <f>CHOOSE(CONTROL!$C$42, 15.9608, 15.9608)* CHOOSE(CONTROL!$C$21, $C$9, 100%, $E$9)</f>
        <v>15.960800000000001</v>
      </c>
      <c r="K541" s="10">
        <f>CHOOSE(CONTROL!$C$42, 15.6712, 15.6712) * CHOOSE(CONTROL!$C$21, $C$9, 100%, $E$9)</f>
        <v>15.671200000000001</v>
      </c>
      <c r="L541" s="10">
        <f>CHOOSE(CONTROL!$C$42, 16.6367, 16.6367) * CHOOSE(CONTROL!$C$21, $C$9, 100%, $E$9)</f>
        <v>16.636700000000001</v>
      </c>
      <c r="M541" s="10">
        <f>CHOOSE(CONTROL!$C$42, 15.7872, 15.7872) * CHOOSE(CONTROL!$C$21, $C$9, 100%, $E$9)</f>
        <v>15.7872</v>
      </c>
      <c r="N541" s="10">
        <f>CHOOSE(CONTROL!$C$42, 15.8059, 15.8059) * CHOOSE(CONTROL!$C$21, $C$9, 100%, $E$9)</f>
        <v>15.805899999999999</v>
      </c>
      <c r="O541" s="10">
        <f>CHOOSE(CONTROL!$C$42, 15.875, 15.875) * CHOOSE(CONTROL!$C$21, $C$9, 100%, $E$9)</f>
        <v>15.875</v>
      </c>
      <c r="P541" s="10">
        <f>CHOOSE(CONTROL!$C$42, 15.8202, 15.8202) * CHOOSE(CONTROL!$C$21, $C$9, 100%, $E$9)</f>
        <v>15.8202</v>
      </c>
      <c r="Q541" s="10">
        <f>CHOOSE(CONTROL!$C$42, 16.4703, 16.4703) * CHOOSE(CONTROL!$C$21, $C$9, 100%, $E$9)</f>
        <v>16.470300000000002</v>
      </c>
      <c r="R541" s="10">
        <f>CHOOSE(CONTROL!$C$42, 17.0985, 17.0985) * CHOOSE(CONTROL!$C$21, $C$9, 100%, $E$9)</f>
        <v>17.098500000000001</v>
      </c>
      <c r="S541" s="10">
        <f>CHOOSE(CONTROL!$C$42, 15.4968, 15.4968) * CHOOSE(CONTROL!$C$21, $C$9, 100%, $E$9)</f>
        <v>15.4968</v>
      </c>
      <c r="T54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38">
        <f>(1000*CHOOSE(CONTROL!$C$42, 695, 695)*CHOOSE(CONTROL!$C$42, 0.5599, 0.5599)*CHOOSE(CONTROL!$C$42, 31, 31))/1000000</f>
        <v>12.063045499999998</v>
      </c>
      <c r="V541" s="38">
        <f>(1000*CHOOSE(CONTROL!$C$42, 500, 500)*CHOOSE(CONTROL!$C$42, 0.275, 0.275)*CHOOSE(CONTROL!$C$42, 31, 31))/1000000</f>
        <v>4.2625000000000002</v>
      </c>
      <c r="W541" s="38">
        <f>(1000*CHOOSE(CONTROL!$C$42, 0.1146, 0.1146)*CHOOSE(CONTROL!$C$42, 121.5, 121.5)*CHOOSE(CONTROL!$C$42, 31, 31))/1000000</f>
        <v>0.43164089999999994</v>
      </c>
      <c r="X541" s="38">
        <f>(31*0.1790888*100000/1000000)+(31*0.2374*100000/1000000)</f>
        <v>1.2911152800000001</v>
      </c>
      <c r="Y541" s="38">
        <f>(1000*600*CHOOSE(CONTROL!$C$42, 1.0585, 1.0585)*CHOOSE(CONTROL!$C$42, 31, 31))/1000000</f>
        <v>19.688099999999999</v>
      </c>
      <c r="Z541" s="38"/>
      <c r="AA541" s="10"/>
      <c r="AB541" s="39"/>
      <c r="AC541" s="33">
        <f>(B541*122.58+C541*297.941+D541*89.177+E541*40.302+F541*40+G541*160+H541*0+I541*100+J541*300)/(122.58+297.941+89.177+40.302+0+40+160+100+300)</f>
        <v>15.987124186608694</v>
      </c>
      <c r="AD541" s="27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15.832818705035972</v>
      </c>
    </row>
    <row r="542" spans="1:30" ht="15.75" x14ac:dyDescent="0.25">
      <c r="A542" s="13">
        <v>57769</v>
      </c>
      <c r="B542" s="10">
        <f>CHOOSE(CONTROL!$C$42, 16.2718, 16.2718) * CHOOSE(CONTROL!$C$21, $C$9, 100%, $E$9)</f>
        <v>16.271799999999999</v>
      </c>
      <c r="C542" s="10">
        <f>CHOOSE(CONTROL!$C$42, 16.2769, 16.2769) * CHOOSE(CONTROL!$C$21, $C$9, 100%, $E$9)</f>
        <v>16.276900000000001</v>
      </c>
      <c r="D542" s="10">
        <f>CHOOSE(CONTROL!$C$42, 16.3119, 16.3119) * CHOOSE(CONTROL!$C$21, $C$9, 100%, $E$9)</f>
        <v>16.311900000000001</v>
      </c>
      <c r="E542" s="10">
        <f>CHOOSE(CONTROL!$C$42, 16.3457, 16.3457) * CHOOSE(CONTROL!$C$21, $C$9, 100%, $E$9)</f>
        <v>16.345700000000001</v>
      </c>
      <c r="F542" s="10">
        <f>CHOOSE(CONTROL!$C$42, 16.2526, 16.2526)*CHOOSE(CONTROL!$C$21, $C$9, 100%, $E$9)</f>
        <v>16.252600000000001</v>
      </c>
      <c r="G542" s="10">
        <f>CHOOSE(CONTROL!$C$42, 16.2713, 16.2713)*CHOOSE(CONTROL!$C$21, $C$9, 100%, $E$9)</f>
        <v>16.2713</v>
      </c>
      <c r="H542" s="10">
        <f>CHOOSE(CONTROL!$C$42, 16.3346, 16.3346) * CHOOSE(CONTROL!$C$21, $C$9, 100%, $E$9)</f>
        <v>16.334599999999998</v>
      </c>
      <c r="I542" s="10">
        <f>CHOOSE(CONTROL!$C$42, 16.279, 16.279)* CHOOSE(CONTROL!$C$21, $C$9, 100%, $E$9)</f>
        <v>16.279</v>
      </c>
      <c r="J542" s="10">
        <f>CHOOSE(CONTROL!$C$42, 16.2452, 16.2452)* CHOOSE(CONTROL!$C$21, $C$9, 100%, $E$9)</f>
        <v>16.245200000000001</v>
      </c>
      <c r="K542" s="10">
        <f>CHOOSE(CONTROL!$C$42, 15.9461, 15.9461) * CHOOSE(CONTROL!$C$21, $C$9, 100%, $E$9)</f>
        <v>15.946099999999999</v>
      </c>
      <c r="L542" s="10">
        <f>CHOOSE(CONTROL!$C$42, 16.9216, 16.9216) * CHOOSE(CONTROL!$C$21, $C$9, 100%, $E$9)</f>
        <v>16.921600000000002</v>
      </c>
      <c r="M542" s="10">
        <f>CHOOSE(CONTROL!$C$42, 16.0679, 16.0679) * CHOOSE(CONTROL!$C$21, $C$9, 100%, $E$9)</f>
        <v>16.067900000000002</v>
      </c>
      <c r="N542" s="10">
        <f>CHOOSE(CONTROL!$C$42, 16.0864, 16.0864) * CHOOSE(CONTROL!$C$21, $C$9, 100%, $E$9)</f>
        <v>16.086400000000001</v>
      </c>
      <c r="O542" s="10">
        <f>CHOOSE(CONTROL!$C$42, 16.1562, 16.1562) * CHOOSE(CONTROL!$C$21, $C$9, 100%, $E$9)</f>
        <v>16.156199999999998</v>
      </c>
      <c r="P542" s="10">
        <f>CHOOSE(CONTROL!$C$42, 16.1014, 16.1014) * CHOOSE(CONTROL!$C$21, $C$9, 100%, $E$9)</f>
        <v>16.101400000000002</v>
      </c>
      <c r="Q542" s="10">
        <f>CHOOSE(CONTROL!$C$42, 16.7515, 16.7515) * CHOOSE(CONTROL!$C$21, $C$9, 100%, $E$9)</f>
        <v>16.7515</v>
      </c>
      <c r="R542" s="10">
        <f>CHOOSE(CONTROL!$C$42, 17.3804, 17.3804) * CHOOSE(CONTROL!$C$21, $C$9, 100%, $E$9)</f>
        <v>17.380400000000002</v>
      </c>
      <c r="S542" s="10">
        <f>CHOOSE(CONTROL!$C$42, 15.7726, 15.7726) * CHOOSE(CONTROL!$C$21, $C$9, 100%, $E$9)</f>
        <v>15.772600000000001</v>
      </c>
      <c r="T54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38">
        <f>(1000*CHOOSE(CONTROL!$C$42, 695, 695)*CHOOSE(CONTROL!$C$42, 0.5599, 0.5599)*CHOOSE(CONTROL!$C$42, 28, 28))/1000000</f>
        <v>10.895653999999999</v>
      </c>
      <c r="V542" s="38">
        <f>(1000*CHOOSE(CONTROL!$C$42, 500, 500)*CHOOSE(CONTROL!$C$42, 0.275, 0.275)*CHOOSE(CONTROL!$C$42, 28, 28))/1000000</f>
        <v>3.85</v>
      </c>
      <c r="W542" s="38">
        <f>(1000*CHOOSE(CONTROL!$C$42, 0.1146, 0.1146)*CHOOSE(CONTROL!$C$42, 121.5, 121.5)*CHOOSE(CONTROL!$C$42, 28, 28))/1000000</f>
        <v>0.38986920000000003</v>
      </c>
      <c r="X542" s="38">
        <f>(28*0.1790888*100000/1000000)+(28*0.2374*100000/1000000)</f>
        <v>1.16616864</v>
      </c>
      <c r="Y542" s="38">
        <f>(1000*600*CHOOSE(CONTROL!$C$42, 1.0585, 1.0585)*CHOOSE(CONTROL!$C$42, 28, 28))/1000000</f>
        <v>17.782800000000002</v>
      </c>
      <c r="Z542" s="38"/>
      <c r="AA542" s="10"/>
      <c r="AB542" s="39"/>
      <c r="AC542" s="33">
        <f>(B542*122.58+C542*297.941+D542*89.177+E542*40.302+F542*40+G542*160+H542*0+I542*100+J542*300)/(122.58+297.941+89.177+40.302+0+40+160+100+300)</f>
        <v>16.271770273565217</v>
      </c>
      <c r="AD542" s="27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16.113805755395681</v>
      </c>
    </row>
    <row r="543" spans="1:30" ht="15.75" x14ac:dyDescent="0.25">
      <c r="A543" s="13">
        <v>57800</v>
      </c>
      <c r="B543" s="10">
        <f>CHOOSE(CONTROL!$C$42, 15.8094, 15.8094) * CHOOSE(CONTROL!$C$21, $C$9, 100%, $E$9)</f>
        <v>15.8094</v>
      </c>
      <c r="C543" s="10">
        <f>CHOOSE(CONTROL!$C$42, 15.8145, 15.8145) * CHOOSE(CONTROL!$C$21, $C$9, 100%, $E$9)</f>
        <v>15.814500000000001</v>
      </c>
      <c r="D543" s="10">
        <f>CHOOSE(CONTROL!$C$42, 15.8495, 15.8495) * CHOOSE(CONTROL!$C$21, $C$9, 100%, $E$9)</f>
        <v>15.849500000000001</v>
      </c>
      <c r="E543" s="10">
        <f>CHOOSE(CONTROL!$C$42, 15.8833, 15.8833) * CHOOSE(CONTROL!$C$21, $C$9, 100%, $E$9)</f>
        <v>15.8833</v>
      </c>
      <c r="F543" s="10">
        <f>CHOOSE(CONTROL!$C$42, 15.7887, 15.7887)*CHOOSE(CONTROL!$C$21, $C$9, 100%, $E$9)</f>
        <v>15.7887</v>
      </c>
      <c r="G543" s="10">
        <f>CHOOSE(CONTROL!$C$42, 15.8071, 15.8071)*CHOOSE(CONTROL!$C$21, $C$9, 100%, $E$9)</f>
        <v>15.8071</v>
      </c>
      <c r="H543" s="10">
        <f>CHOOSE(CONTROL!$C$42, 15.8722, 15.8722) * CHOOSE(CONTROL!$C$21, $C$9, 100%, $E$9)</f>
        <v>15.872199999999999</v>
      </c>
      <c r="I543" s="10">
        <f>CHOOSE(CONTROL!$C$42, 15.8166, 15.8166)* CHOOSE(CONTROL!$C$21, $C$9, 100%, $E$9)</f>
        <v>15.816599999999999</v>
      </c>
      <c r="J543" s="10">
        <f>CHOOSE(CONTROL!$C$42, 15.7813, 15.7813)* CHOOSE(CONTROL!$C$21, $C$9, 100%, $E$9)</f>
        <v>15.7813</v>
      </c>
      <c r="K543" s="10">
        <f>CHOOSE(CONTROL!$C$42, 15.4951, 15.4951) * CHOOSE(CONTROL!$C$21, $C$9, 100%, $E$9)</f>
        <v>15.495100000000001</v>
      </c>
      <c r="L543" s="10">
        <f>CHOOSE(CONTROL!$C$42, 16.4592, 16.4592) * CHOOSE(CONTROL!$C$21, $C$9, 100%, $E$9)</f>
        <v>16.459199999999999</v>
      </c>
      <c r="M543" s="10">
        <f>CHOOSE(CONTROL!$C$42, 15.6101, 15.6101) * CHOOSE(CONTROL!$C$21, $C$9, 100%, $E$9)</f>
        <v>15.610099999999999</v>
      </c>
      <c r="N543" s="10">
        <f>CHOOSE(CONTROL!$C$42, 15.6282, 15.6282) * CHOOSE(CONTROL!$C$21, $C$9, 100%, $E$9)</f>
        <v>15.6282</v>
      </c>
      <c r="O543" s="10">
        <f>CHOOSE(CONTROL!$C$42, 15.6997, 15.6997) * CHOOSE(CONTROL!$C$21, $C$9, 100%, $E$9)</f>
        <v>15.6997</v>
      </c>
      <c r="P543" s="10">
        <f>CHOOSE(CONTROL!$C$42, 15.645, 15.645) * CHOOSE(CONTROL!$C$21, $C$9, 100%, $E$9)</f>
        <v>15.645</v>
      </c>
      <c r="Q543" s="10">
        <f>CHOOSE(CONTROL!$C$42, 16.295, 16.295) * CHOOSE(CONTROL!$C$21, $C$9, 100%, $E$9)</f>
        <v>16.295000000000002</v>
      </c>
      <c r="R543" s="10">
        <f>CHOOSE(CONTROL!$C$42, 16.9228, 16.9228) * CHOOSE(CONTROL!$C$21, $C$9, 100%, $E$9)</f>
        <v>16.922799999999999</v>
      </c>
      <c r="S543" s="10">
        <f>CHOOSE(CONTROL!$C$42, 15.3249, 15.3249) * CHOOSE(CONTROL!$C$21, $C$9, 100%, $E$9)</f>
        <v>15.3249</v>
      </c>
      <c r="T54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38">
        <f>(1000*CHOOSE(CONTROL!$C$42, 695, 695)*CHOOSE(CONTROL!$C$42, 0.5599, 0.5599)*CHOOSE(CONTROL!$C$42, 31, 31))/1000000</f>
        <v>12.063045499999998</v>
      </c>
      <c r="V543" s="38">
        <f>(1000*CHOOSE(CONTROL!$C$42, 500, 500)*CHOOSE(CONTROL!$C$42, 0.275, 0.275)*CHOOSE(CONTROL!$C$42, 31, 31))/1000000</f>
        <v>4.2625000000000002</v>
      </c>
      <c r="W543" s="38">
        <f>(1000*CHOOSE(CONTROL!$C$42, 0.1146, 0.1146)*CHOOSE(CONTROL!$C$42, 121.5, 121.5)*CHOOSE(CONTROL!$C$42, 31, 31))/1000000</f>
        <v>0.43164089999999994</v>
      </c>
      <c r="X543" s="38">
        <f>(31*0.1790888*100000/1000000)+(31*0.2374*100000/1000000)</f>
        <v>1.2911152800000001</v>
      </c>
      <c r="Y543" s="38">
        <f>(1000*600*CHOOSE(CONTROL!$C$42, 1.0585, 1.0585)*CHOOSE(CONTROL!$C$42, 31, 31))/1000000</f>
        <v>19.688099999999999</v>
      </c>
      <c r="Z543" s="38"/>
      <c r="AA543" s="10"/>
      <c r="AB543" s="39"/>
      <c r="AC543" s="33">
        <f>(B543*122.58+C543*297.941+D543*89.177+E543*40.302+F543*40+G543*160+H543*0+I543*100+J543*300)/(122.58+297.941+89.177+40.302+0+40+160+100+300)</f>
        <v>15.808676360521741</v>
      </c>
      <c r="AD543" s="27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15.656773381294965</v>
      </c>
    </row>
    <row r="544" spans="1:30" ht="15.75" x14ac:dyDescent="0.25">
      <c r="A544" s="13">
        <v>57830</v>
      </c>
      <c r="B544" s="10">
        <f>CHOOSE(CONTROL!$C$42, 15.7627, 15.7627) * CHOOSE(CONTROL!$C$21, $C$9, 100%, $E$9)</f>
        <v>15.762700000000001</v>
      </c>
      <c r="C544" s="10">
        <f>CHOOSE(CONTROL!$C$42, 15.7673, 15.7673) * CHOOSE(CONTROL!$C$21, $C$9, 100%, $E$9)</f>
        <v>15.767300000000001</v>
      </c>
      <c r="D544" s="10">
        <f>CHOOSE(CONTROL!$C$42, 15.9455, 15.9455) * CHOOSE(CONTROL!$C$21, $C$9, 100%, $E$9)</f>
        <v>15.945499999999999</v>
      </c>
      <c r="E544" s="10">
        <f>CHOOSE(CONTROL!$C$42, 15.9773, 15.9773) * CHOOSE(CONTROL!$C$21, $C$9, 100%, $E$9)</f>
        <v>15.9773</v>
      </c>
      <c r="F544" s="10">
        <f>CHOOSE(CONTROL!$C$42, 15.7062, 15.7062)*CHOOSE(CONTROL!$C$21, $C$9, 100%, $E$9)</f>
        <v>15.706200000000001</v>
      </c>
      <c r="G544" s="10">
        <f>CHOOSE(CONTROL!$C$42, 15.7228, 15.7228)*CHOOSE(CONTROL!$C$21, $C$9, 100%, $E$9)</f>
        <v>15.722799999999999</v>
      </c>
      <c r="H544" s="10">
        <f>CHOOSE(CONTROL!$C$42, 15.9668, 15.9668) * CHOOSE(CONTROL!$C$21, $C$9, 100%, $E$9)</f>
        <v>15.966799999999999</v>
      </c>
      <c r="I544" s="10">
        <f>CHOOSE(CONTROL!$C$42, 15.7388, 15.7388)* CHOOSE(CONTROL!$C$21, $C$9, 100%, $E$9)</f>
        <v>15.738799999999999</v>
      </c>
      <c r="J544" s="10">
        <f>CHOOSE(CONTROL!$C$42, 15.6988, 15.6988)* CHOOSE(CONTROL!$C$21, $C$9, 100%, $E$9)</f>
        <v>15.6988</v>
      </c>
      <c r="K544" s="10">
        <f>CHOOSE(CONTROL!$C$42, 15.4049, 15.4049) * CHOOSE(CONTROL!$C$21, $C$9, 100%, $E$9)</f>
        <v>15.4049</v>
      </c>
      <c r="L544" s="10">
        <f>CHOOSE(CONTROL!$C$42, 16.5538, 16.5538) * CHOOSE(CONTROL!$C$21, $C$9, 100%, $E$9)</f>
        <v>16.553799999999999</v>
      </c>
      <c r="M544" s="10">
        <f>CHOOSE(CONTROL!$C$42, 15.5286, 15.5286) * CHOOSE(CONTROL!$C$21, $C$9, 100%, $E$9)</f>
        <v>15.528600000000001</v>
      </c>
      <c r="N544" s="10">
        <f>CHOOSE(CONTROL!$C$42, 15.545, 15.545) * CHOOSE(CONTROL!$C$21, $C$9, 100%, $E$9)</f>
        <v>15.545</v>
      </c>
      <c r="O544" s="10">
        <f>CHOOSE(CONTROL!$C$42, 15.7931, 15.7931) * CHOOSE(CONTROL!$C$21, $C$9, 100%, $E$9)</f>
        <v>15.793100000000001</v>
      </c>
      <c r="P544" s="10">
        <f>CHOOSE(CONTROL!$C$42, 15.5681, 15.5681) * CHOOSE(CONTROL!$C$21, $C$9, 100%, $E$9)</f>
        <v>15.568099999999999</v>
      </c>
      <c r="Q544" s="10">
        <f>CHOOSE(CONTROL!$C$42, 16.3884, 16.3884) * CHOOSE(CONTROL!$C$21, $C$9, 100%, $E$9)</f>
        <v>16.388400000000001</v>
      </c>
      <c r="R544" s="10">
        <f>CHOOSE(CONTROL!$C$42, 17.0164, 17.0164) * CHOOSE(CONTROL!$C$21, $C$9, 100%, $E$9)</f>
        <v>17.016400000000001</v>
      </c>
      <c r="S544" s="10">
        <f>CHOOSE(CONTROL!$C$42, 15.279, 15.279) * CHOOSE(CONTROL!$C$21, $C$9, 100%, $E$9)</f>
        <v>15.279</v>
      </c>
      <c r="T54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38">
        <f>(1000*CHOOSE(CONTROL!$C$42, 695, 695)*CHOOSE(CONTROL!$C$42, 0.5599, 0.5599)*CHOOSE(CONTROL!$C$42, 30, 30))/1000000</f>
        <v>11.673914999999997</v>
      </c>
      <c r="V544" s="38">
        <f>(1000*CHOOSE(CONTROL!$C$42, 500, 500)*CHOOSE(CONTROL!$C$42, 0.275, 0.275)*CHOOSE(CONTROL!$C$42, 30, 30))/1000000</f>
        <v>4.125</v>
      </c>
      <c r="W544" s="38">
        <f>(1000*CHOOSE(CONTROL!$C$42, 0.1146, 0.1146)*CHOOSE(CONTROL!$C$42, 121.5, 121.5)*CHOOSE(CONTROL!$C$42, 30, 30))/1000000</f>
        <v>0.417717</v>
      </c>
      <c r="X544" s="38">
        <f>(30*0.1790888*245000/1000000)+(30*0.2374*100000/1000000)</f>
        <v>2.0285026799999999</v>
      </c>
      <c r="Y544" s="38">
        <f>(1000*600*CHOOSE(CONTROL!$C$42, 1.0585, 1.0585)*CHOOSE(CONTROL!$C$42, 30, 30))/1000000</f>
        <v>19.053000000000001</v>
      </c>
      <c r="Z544" s="38"/>
      <c r="AA544" s="10"/>
      <c r="AB544" s="39"/>
      <c r="AC544" s="33">
        <f>(B544*141.293+C544*267.993+D544*115.016+E544*89.698+F544*40+G544*185+H544*0+I544*100+J544*300)/(141.293+267.993+115.016+89.698+0+40+185+100+300)</f>
        <v>15.771017500726394</v>
      </c>
      <c r="AD544" s="27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15.612271223021583</v>
      </c>
    </row>
    <row r="545" spans="1:30" ht="15.75" x14ac:dyDescent="0.25">
      <c r="A545" s="13">
        <v>57861</v>
      </c>
      <c r="B545" s="10">
        <f>CHOOSE(CONTROL!$C$42, 15.9038, 15.9038) * CHOOSE(CONTROL!$C$21, $C$9, 100%, $E$9)</f>
        <v>15.9038</v>
      </c>
      <c r="C545" s="10">
        <f>CHOOSE(CONTROL!$C$42, 15.9118, 15.9118) * CHOOSE(CONTROL!$C$21, $C$9, 100%, $E$9)</f>
        <v>15.911799999999999</v>
      </c>
      <c r="D545" s="10">
        <f>CHOOSE(CONTROL!$C$42, 16.0869, 16.0869) * CHOOSE(CONTROL!$C$21, $C$9, 100%, $E$9)</f>
        <v>16.0869</v>
      </c>
      <c r="E545" s="10">
        <f>CHOOSE(CONTROL!$C$42, 16.1181, 16.1181) * CHOOSE(CONTROL!$C$21, $C$9, 100%, $E$9)</f>
        <v>16.118099999999998</v>
      </c>
      <c r="F545" s="10">
        <f>CHOOSE(CONTROL!$C$42, 15.8455, 15.8455)*CHOOSE(CONTROL!$C$21, $C$9, 100%, $E$9)</f>
        <v>15.845499999999999</v>
      </c>
      <c r="G545" s="10">
        <f>CHOOSE(CONTROL!$C$42, 15.8623, 15.8623)*CHOOSE(CONTROL!$C$21, $C$9, 100%, $E$9)</f>
        <v>15.862299999999999</v>
      </c>
      <c r="H545" s="10">
        <f>CHOOSE(CONTROL!$C$42, 16.1064, 16.1064) * CHOOSE(CONTROL!$C$21, $C$9, 100%, $E$9)</f>
        <v>16.106400000000001</v>
      </c>
      <c r="I545" s="10">
        <f>CHOOSE(CONTROL!$C$42, 15.8784, 15.8784)* CHOOSE(CONTROL!$C$21, $C$9, 100%, $E$9)</f>
        <v>15.878399999999999</v>
      </c>
      <c r="J545" s="10">
        <f>CHOOSE(CONTROL!$C$42, 15.8381, 15.8381)* CHOOSE(CONTROL!$C$21, $C$9, 100%, $E$9)</f>
        <v>15.838100000000001</v>
      </c>
      <c r="K545" s="10">
        <f>CHOOSE(CONTROL!$C$42, 15.5394, 15.5394) * CHOOSE(CONTROL!$C$21, $C$9, 100%, $E$9)</f>
        <v>15.539400000000001</v>
      </c>
      <c r="L545" s="10">
        <f>CHOOSE(CONTROL!$C$42, 16.6934, 16.6934) * CHOOSE(CONTROL!$C$21, $C$9, 100%, $E$9)</f>
        <v>16.6934</v>
      </c>
      <c r="M545" s="10">
        <f>CHOOSE(CONTROL!$C$42, 15.6661, 15.6661) * CHOOSE(CONTROL!$C$21, $C$9, 100%, $E$9)</f>
        <v>15.6661</v>
      </c>
      <c r="N545" s="10">
        <f>CHOOSE(CONTROL!$C$42, 15.6827, 15.6827) * CHOOSE(CONTROL!$C$21, $C$9, 100%, $E$9)</f>
        <v>15.682700000000001</v>
      </c>
      <c r="O545" s="10">
        <f>CHOOSE(CONTROL!$C$42, 15.931, 15.931) * CHOOSE(CONTROL!$C$21, $C$9, 100%, $E$9)</f>
        <v>15.930999999999999</v>
      </c>
      <c r="P545" s="10">
        <f>CHOOSE(CONTROL!$C$42, 15.706, 15.706) * CHOOSE(CONTROL!$C$21, $C$9, 100%, $E$9)</f>
        <v>15.706</v>
      </c>
      <c r="Q545" s="10">
        <f>CHOOSE(CONTROL!$C$42, 16.5263, 16.5263) * CHOOSE(CONTROL!$C$21, $C$9, 100%, $E$9)</f>
        <v>16.526299999999999</v>
      </c>
      <c r="R545" s="10">
        <f>CHOOSE(CONTROL!$C$42, 17.1546, 17.1546) * CHOOSE(CONTROL!$C$21, $C$9, 100%, $E$9)</f>
        <v>17.154599999999999</v>
      </c>
      <c r="S545" s="10">
        <f>CHOOSE(CONTROL!$C$42, 15.4142, 15.4142) * CHOOSE(CONTROL!$C$21, $C$9, 100%, $E$9)</f>
        <v>15.414199999999999</v>
      </c>
      <c r="T54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38">
        <f>(1000*CHOOSE(CONTROL!$C$42, 695, 695)*CHOOSE(CONTROL!$C$42, 0.5599, 0.5599)*CHOOSE(CONTROL!$C$42, 31, 31))/1000000</f>
        <v>12.063045499999998</v>
      </c>
      <c r="V545" s="38">
        <f>(1000*CHOOSE(CONTROL!$C$42, 500, 500)*CHOOSE(CONTROL!$C$42, 0.275, 0.275)*CHOOSE(CONTROL!$C$42, 31, 31))/1000000</f>
        <v>4.2625000000000002</v>
      </c>
      <c r="W545" s="38">
        <f>(1000*CHOOSE(CONTROL!$C$42, 0.1146, 0.1146)*CHOOSE(CONTROL!$C$42, 121.5, 121.5)*CHOOSE(CONTROL!$C$42, 31, 31))/1000000</f>
        <v>0.43164089999999994</v>
      </c>
      <c r="X545" s="38">
        <f>(31*0.1790888*245000/1000000)+(31*0.2374*100000/1000000)</f>
        <v>2.0961194359999999</v>
      </c>
      <c r="Y545" s="38">
        <f>(1000*600*CHOOSE(CONTROL!$C$42, 1.0585, 1.0585)*CHOOSE(CONTROL!$C$42, 31, 31))/1000000</f>
        <v>19.688099999999999</v>
      </c>
      <c r="Z545" s="38"/>
      <c r="AA545" s="10"/>
      <c r="AB545" s="39"/>
      <c r="AC545" s="33">
        <f>(B545*194.205+C545*267.466+D545*133.845+E545*53.484+F545*40+G545*185+H545*0+I545*100+J545*300)/(194.205+267.466+133.845+53.484+0+40+185+100+300)</f>
        <v>15.908390948744113</v>
      </c>
      <c r="AD545" s="27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15.749987050359712</v>
      </c>
    </row>
    <row r="546" spans="1:30" ht="15.75" x14ac:dyDescent="0.25">
      <c r="A546" s="13">
        <v>57891</v>
      </c>
      <c r="B546" s="10">
        <f>CHOOSE(CONTROL!$C$42, 16.3553, 16.3553) * CHOOSE(CONTROL!$C$21, $C$9, 100%, $E$9)</f>
        <v>16.3553</v>
      </c>
      <c r="C546" s="10">
        <f>CHOOSE(CONTROL!$C$42, 16.3633, 16.3633) * CHOOSE(CONTROL!$C$21, $C$9, 100%, $E$9)</f>
        <v>16.363299999999999</v>
      </c>
      <c r="D546" s="10">
        <f>CHOOSE(CONTROL!$C$42, 16.5384, 16.5384) * CHOOSE(CONTROL!$C$21, $C$9, 100%, $E$9)</f>
        <v>16.538399999999999</v>
      </c>
      <c r="E546" s="10">
        <f>CHOOSE(CONTROL!$C$42, 16.5696, 16.5696) * CHOOSE(CONTROL!$C$21, $C$9, 100%, $E$9)</f>
        <v>16.569600000000001</v>
      </c>
      <c r="F546" s="10">
        <f>CHOOSE(CONTROL!$C$42, 16.2972, 16.2972)*CHOOSE(CONTROL!$C$21, $C$9, 100%, $E$9)</f>
        <v>16.2972</v>
      </c>
      <c r="G546" s="10">
        <f>CHOOSE(CONTROL!$C$42, 16.3141, 16.3141)*CHOOSE(CONTROL!$C$21, $C$9, 100%, $E$9)</f>
        <v>16.3141</v>
      </c>
      <c r="H546" s="10">
        <f>CHOOSE(CONTROL!$C$42, 16.558, 16.558) * CHOOSE(CONTROL!$C$21, $C$9, 100%, $E$9)</f>
        <v>16.558</v>
      </c>
      <c r="I546" s="10">
        <f>CHOOSE(CONTROL!$C$42, 16.3299, 16.3299)* CHOOSE(CONTROL!$C$21, $C$9, 100%, $E$9)</f>
        <v>16.329899999999999</v>
      </c>
      <c r="J546" s="10">
        <f>CHOOSE(CONTROL!$C$42, 16.2898, 16.2898)* CHOOSE(CONTROL!$C$21, $C$9, 100%, $E$9)</f>
        <v>16.2898</v>
      </c>
      <c r="K546" s="10">
        <f>CHOOSE(CONTROL!$C$42, 15.9772, 15.9772) * CHOOSE(CONTROL!$C$21, $C$9, 100%, $E$9)</f>
        <v>15.9772</v>
      </c>
      <c r="L546" s="10">
        <f>CHOOSE(CONTROL!$C$42, 17.145, 17.145) * CHOOSE(CONTROL!$C$21, $C$9, 100%, $E$9)</f>
        <v>17.145</v>
      </c>
      <c r="M546" s="10">
        <f>CHOOSE(CONTROL!$C$42, 16.1119, 16.1119) * CHOOSE(CONTROL!$C$21, $C$9, 100%, $E$9)</f>
        <v>16.111899999999999</v>
      </c>
      <c r="N546" s="10">
        <f>CHOOSE(CONTROL!$C$42, 16.1287, 16.1287) * CHOOSE(CONTROL!$C$21, $C$9, 100%, $E$9)</f>
        <v>16.128699999999998</v>
      </c>
      <c r="O546" s="10">
        <f>CHOOSE(CONTROL!$C$42, 16.3767, 16.3767) * CHOOSE(CONTROL!$C$21, $C$9, 100%, $E$9)</f>
        <v>16.3767</v>
      </c>
      <c r="P546" s="10">
        <f>CHOOSE(CONTROL!$C$42, 16.1516, 16.1516) * CHOOSE(CONTROL!$C$21, $C$9, 100%, $E$9)</f>
        <v>16.151599999999998</v>
      </c>
      <c r="Q546" s="10">
        <f>CHOOSE(CONTROL!$C$42, 16.972, 16.972) * CHOOSE(CONTROL!$C$21, $C$9, 100%, $E$9)</f>
        <v>16.972000000000001</v>
      </c>
      <c r="R546" s="10">
        <f>CHOOSE(CONTROL!$C$42, 17.6014, 17.6014) * CHOOSE(CONTROL!$C$21, $C$9, 100%, $E$9)</f>
        <v>17.601400000000002</v>
      </c>
      <c r="S546" s="10">
        <f>CHOOSE(CONTROL!$C$42, 15.8514, 15.8514) * CHOOSE(CONTROL!$C$21, $C$9, 100%, $E$9)</f>
        <v>15.8514</v>
      </c>
      <c r="T54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38">
        <f>(1000*CHOOSE(CONTROL!$C$42, 695, 695)*CHOOSE(CONTROL!$C$42, 0.5599, 0.5599)*CHOOSE(CONTROL!$C$42, 30, 30))/1000000</f>
        <v>11.673914999999997</v>
      </c>
      <c r="V546" s="38">
        <f>(1000*CHOOSE(CONTROL!$C$42, 500, 500)*CHOOSE(CONTROL!$C$42, 0.275, 0.275)*CHOOSE(CONTROL!$C$42, 30, 30))/1000000</f>
        <v>4.125</v>
      </c>
      <c r="W546" s="38">
        <f>(1000*CHOOSE(CONTROL!$C$42, 0.1146, 0.1146)*CHOOSE(CONTROL!$C$42, 121.5, 121.5)*CHOOSE(CONTROL!$C$42, 30, 30))/1000000</f>
        <v>0.417717</v>
      </c>
      <c r="X546" s="38">
        <f>(30*0.1790888*245000/1000000)+(30*0.2374*100000/1000000)</f>
        <v>2.0285026799999999</v>
      </c>
      <c r="Y546" s="38">
        <f>(1000*600*CHOOSE(CONTROL!$C$42, 1.0585, 1.0585)*CHOOSE(CONTROL!$C$42, 30, 30))/1000000</f>
        <v>19.053000000000001</v>
      </c>
      <c r="Z546" s="38"/>
      <c r="AA546" s="10"/>
      <c r="AB546" s="39"/>
      <c r="AC546" s="33">
        <f>(B546*194.205+C546*267.466+D546*133.845+E546*53.484+F546*40+G546*185+H546*0+I546*100+J546*300)/(194.205+267.466+133.845+53.484+0+40+185+100+300)</f>
        <v>16.359987887519623</v>
      </c>
      <c r="AD546" s="27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16.195776258992804</v>
      </c>
    </row>
    <row r="547" spans="1:30" ht="15.75" x14ac:dyDescent="0.25">
      <c r="A547" s="13">
        <v>57922</v>
      </c>
      <c r="B547" s="10">
        <f>CHOOSE(CONTROL!$C$42, 16.0413, 16.0413) * CHOOSE(CONTROL!$C$21, $C$9, 100%, $E$9)</f>
        <v>16.0413</v>
      </c>
      <c r="C547" s="10">
        <f>CHOOSE(CONTROL!$C$42, 16.0493, 16.0493) * CHOOSE(CONTROL!$C$21, $C$9, 100%, $E$9)</f>
        <v>16.049299999999999</v>
      </c>
      <c r="D547" s="10">
        <f>CHOOSE(CONTROL!$C$42, 16.2244, 16.2244) * CHOOSE(CONTROL!$C$21, $C$9, 100%, $E$9)</f>
        <v>16.224399999999999</v>
      </c>
      <c r="E547" s="10">
        <f>CHOOSE(CONTROL!$C$42, 16.2556, 16.2556) * CHOOSE(CONTROL!$C$21, $C$9, 100%, $E$9)</f>
        <v>16.255600000000001</v>
      </c>
      <c r="F547" s="10">
        <f>CHOOSE(CONTROL!$C$42, 15.9835, 15.9835)*CHOOSE(CONTROL!$C$21, $C$9, 100%, $E$9)</f>
        <v>15.983499999999999</v>
      </c>
      <c r="G547" s="10">
        <f>CHOOSE(CONTROL!$C$42, 16.0005, 16.0005)*CHOOSE(CONTROL!$C$21, $C$9, 100%, $E$9)</f>
        <v>16.000499999999999</v>
      </c>
      <c r="H547" s="10">
        <f>CHOOSE(CONTROL!$C$42, 16.2439, 16.2439) * CHOOSE(CONTROL!$C$21, $C$9, 100%, $E$9)</f>
        <v>16.2439</v>
      </c>
      <c r="I547" s="10">
        <f>CHOOSE(CONTROL!$C$42, 16.0159, 16.0159)* CHOOSE(CONTROL!$C$21, $C$9, 100%, $E$9)</f>
        <v>16.015899999999998</v>
      </c>
      <c r="J547" s="10">
        <f>CHOOSE(CONTROL!$C$42, 15.9761, 15.9761)* CHOOSE(CONTROL!$C$21, $C$9, 100%, $E$9)</f>
        <v>15.976100000000001</v>
      </c>
      <c r="K547" s="10">
        <f>CHOOSE(CONTROL!$C$42, 15.6737, 15.6737) * CHOOSE(CONTROL!$C$21, $C$9, 100%, $E$9)</f>
        <v>15.6737</v>
      </c>
      <c r="L547" s="10">
        <f>CHOOSE(CONTROL!$C$42, 16.8309, 16.8309) * CHOOSE(CONTROL!$C$21, $C$9, 100%, $E$9)</f>
        <v>16.8309</v>
      </c>
      <c r="M547" s="10">
        <f>CHOOSE(CONTROL!$C$42, 15.8023, 15.8023) * CHOOSE(CONTROL!$C$21, $C$9, 100%, $E$9)</f>
        <v>15.802300000000001</v>
      </c>
      <c r="N547" s="10">
        <f>CHOOSE(CONTROL!$C$42, 15.8191, 15.8191) * CHOOSE(CONTROL!$C$21, $C$9, 100%, $E$9)</f>
        <v>15.819100000000001</v>
      </c>
      <c r="O547" s="10">
        <f>CHOOSE(CONTROL!$C$42, 16.0667, 16.0667) * CHOOSE(CONTROL!$C$21, $C$9, 100%, $E$9)</f>
        <v>16.066700000000001</v>
      </c>
      <c r="P547" s="10">
        <f>CHOOSE(CONTROL!$C$42, 15.8417, 15.8417) * CHOOSE(CONTROL!$C$21, $C$9, 100%, $E$9)</f>
        <v>15.841699999999999</v>
      </c>
      <c r="Q547" s="10">
        <f>CHOOSE(CONTROL!$C$42, 16.662, 16.662) * CHOOSE(CONTROL!$C$21, $C$9, 100%, $E$9)</f>
        <v>16.661999999999999</v>
      </c>
      <c r="R547" s="10">
        <f>CHOOSE(CONTROL!$C$42, 17.2906, 17.2906) * CHOOSE(CONTROL!$C$21, $C$9, 100%, $E$9)</f>
        <v>17.290600000000001</v>
      </c>
      <c r="S547" s="10">
        <f>CHOOSE(CONTROL!$C$42, 15.5473, 15.5473) * CHOOSE(CONTROL!$C$21, $C$9, 100%, $E$9)</f>
        <v>15.5473</v>
      </c>
      <c r="T54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38">
        <f>(1000*CHOOSE(CONTROL!$C$42, 695, 695)*CHOOSE(CONTROL!$C$42, 0.5599, 0.5599)*CHOOSE(CONTROL!$C$42, 31, 31))/1000000</f>
        <v>12.063045499999998</v>
      </c>
      <c r="V547" s="38">
        <f>(1000*CHOOSE(CONTROL!$C$42, 500, 500)*CHOOSE(CONTROL!$C$42, 0.275, 0.275)*CHOOSE(CONTROL!$C$42, 31, 31))/1000000</f>
        <v>4.2625000000000002</v>
      </c>
      <c r="W547" s="38">
        <f>(1000*CHOOSE(CONTROL!$C$42, 0.1146, 0.1146)*CHOOSE(CONTROL!$C$42, 121.5, 121.5)*CHOOSE(CONTROL!$C$42, 31, 31))/1000000</f>
        <v>0.43164089999999994</v>
      </c>
      <c r="X547" s="38">
        <f>(31*0.1790888*245000/1000000)+(31*0.2374*100000/1000000)</f>
        <v>2.0961194359999999</v>
      </c>
      <c r="Y547" s="38">
        <f>(1000*600*CHOOSE(CONTROL!$C$42, 1.0585, 1.0585)*CHOOSE(CONTROL!$C$42, 31, 31))/1000000</f>
        <v>19.688099999999999</v>
      </c>
      <c r="Z547" s="38"/>
      <c r="AA547" s="10"/>
      <c r="AB547" s="39"/>
      <c r="AC547" s="33">
        <f>(B547*194.205+C547*267.466+D547*133.845+E547*53.484+F547*40+G547*185+H547*0+I547*100+J547*300)/(194.205+267.466+133.845+53.484+0+40+185+100+300)</f>
        <v>16.046126035086338</v>
      </c>
      <c r="AD547" s="27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15.886020863309351</v>
      </c>
    </row>
    <row r="548" spans="1:30" ht="15.75" x14ac:dyDescent="0.25">
      <c r="A548" s="13">
        <v>57953</v>
      </c>
      <c r="B548" s="10">
        <f>CHOOSE(CONTROL!$C$42, 15.2482, 15.2482) * CHOOSE(CONTROL!$C$21, $C$9, 100%, $E$9)</f>
        <v>15.248200000000001</v>
      </c>
      <c r="C548" s="10">
        <f>CHOOSE(CONTROL!$C$42, 15.2562, 15.2562) * CHOOSE(CONTROL!$C$21, $C$9, 100%, $E$9)</f>
        <v>15.2562</v>
      </c>
      <c r="D548" s="10">
        <f>CHOOSE(CONTROL!$C$42, 15.4313, 15.4313) * CHOOSE(CONTROL!$C$21, $C$9, 100%, $E$9)</f>
        <v>15.4313</v>
      </c>
      <c r="E548" s="10">
        <f>CHOOSE(CONTROL!$C$42, 15.4625, 15.4625) * CHOOSE(CONTROL!$C$21, $C$9, 100%, $E$9)</f>
        <v>15.4625</v>
      </c>
      <c r="F548" s="10">
        <f>CHOOSE(CONTROL!$C$42, 15.1903, 15.1903)*CHOOSE(CONTROL!$C$21, $C$9, 100%, $E$9)</f>
        <v>15.190300000000001</v>
      </c>
      <c r="G548" s="10">
        <f>CHOOSE(CONTROL!$C$42, 15.2073, 15.2073)*CHOOSE(CONTROL!$C$21, $C$9, 100%, $E$9)</f>
        <v>15.2073</v>
      </c>
      <c r="H548" s="10">
        <f>CHOOSE(CONTROL!$C$42, 15.4509, 15.4509) * CHOOSE(CONTROL!$C$21, $C$9, 100%, $E$9)</f>
        <v>15.450900000000001</v>
      </c>
      <c r="I548" s="10">
        <f>CHOOSE(CONTROL!$C$42, 15.2229, 15.2229)* CHOOSE(CONTROL!$C$21, $C$9, 100%, $E$9)</f>
        <v>15.222899999999999</v>
      </c>
      <c r="J548" s="10">
        <f>CHOOSE(CONTROL!$C$42, 15.1829, 15.1829)* CHOOSE(CONTROL!$C$21, $C$9, 100%, $E$9)</f>
        <v>15.1829</v>
      </c>
      <c r="K548" s="10">
        <f>CHOOSE(CONTROL!$C$42, 14.9052, 14.9052) * CHOOSE(CONTROL!$C$21, $C$9, 100%, $E$9)</f>
        <v>14.905200000000001</v>
      </c>
      <c r="L548" s="10">
        <f>CHOOSE(CONTROL!$C$42, 16.0379, 16.0379) * CHOOSE(CONTROL!$C$21, $C$9, 100%, $E$9)</f>
        <v>16.0379</v>
      </c>
      <c r="M548" s="10">
        <f>CHOOSE(CONTROL!$C$42, 15.0194, 15.0194) * CHOOSE(CONTROL!$C$21, $C$9, 100%, $E$9)</f>
        <v>15.019399999999999</v>
      </c>
      <c r="N548" s="10">
        <f>CHOOSE(CONTROL!$C$42, 15.0362, 15.0362) * CHOOSE(CONTROL!$C$21, $C$9, 100%, $E$9)</f>
        <v>15.036199999999999</v>
      </c>
      <c r="O548" s="10">
        <f>CHOOSE(CONTROL!$C$42, 15.2839, 15.2839) * CHOOSE(CONTROL!$C$21, $C$9, 100%, $E$9)</f>
        <v>15.283899999999999</v>
      </c>
      <c r="P548" s="10">
        <f>CHOOSE(CONTROL!$C$42, 15.0589, 15.0589) * CHOOSE(CONTROL!$C$21, $C$9, 100%, $E$9)</f>
        <v>15.0589</v>
      </c>
      <c r="Q548" s="10">
        <f>CHOOSE(CONTROL!$C$42, 15.8792, 15.8792) * CHOOSE(CONTROL!$C$21, $C$9, 100%, $E$9)</f>
        <v>15.879200000000001</v>
      </c>
      <c r="R548" s="10">
        <f>CHOOSE(CONTROL!$C$42, 16.5059, 16.5059) * CHOOSE(CONTROL!$C$21, $C$9, 100%, $E$9)</f>
        <v>16.5059</v>
      </c>
      <c r="S548" s="10">
        <f>CHOOSE(CONTROL!$C$42, 14.7794, 14.7794) * CHOOSE(CONTROL!$C$21, $C$9, 100%, $E$9)</f>
        <v>14.779400000000001</v>
      </c>
      <c r="T54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38">
        <f>(1000*CHOOSE(CONTROL!$C$42, 695, 695)*CHOOSE(CONTROL!$C$42, 0.5599, 0.5599)*CHOOSE(CONTROL!$C$42, 31, 31))/1000000</f>
        <v>12.063045499999998</v>
      </c>
      <c r="V548" s="38">
        <f>(1000*CHOOSE(CONTROL!$C$42, 500, 500)*CHOOSE(CONTROL!$C$42, 0.275, 0.275)*CHOOSE(CONTROL!$C$42, 31, 31))/1000000</f>
        <v>4.2625000000000002</v>
      </c>
      <c r="W548" s="38">
        <f>(1000*CHOOSE(CONTROL!$C$42, 0.1146, 0.1146)*CHOOSE(CONTROL!$C$42, 121.5, 121.5)*CHOOSE(CONTROL!$C$42, 31, 31))/1000000</f>
        <v>0.43164089999999994</v>
      </c>
      <c r="X548" s="38">
        <f>(31*0.1790888*245000/1000000)+(31*0.2374*100000/1000000)</f>
        <v>2.0961194359999999</v>
      </c>
      <c r="Y548" s="38">
        <f>(1000*600*CHOOSE(CONTROL!$C$42, 1.0585, 1.0585)*CHOOSE(CONTROL!$C$42, 31, 31))/1000000</f>
        <v>19.688099999999999</v>
      </c>
      <c r="Z548" s="38"/>
      <c r="AA548" s="10"/>
      <c r="AB548" s="39"/>
      <c r="AC548" s="33">
        <f>(B548*194.205+C548*267.466+D548*133.845+E548*53.484+F548*40+G548*185+H548*0+I548*100+J548*300)/(194.205+267.466+133.845+53.484+0+40+185+100+300)</f>
        <v>15.252992675588697</v>
      </c>
      <c r="AD548" s="27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15.103163309352515</v>
      </c>
    </row>
    <row r="549" spans="1:30" ht="15.75" x14ac:dyDescent="0.25">
      <c r="A549" s="13">
        <v>57983</v>
      </c>
      <c r="B549" s="10">
        <f>CHOOSE(CONTROL!$C$42, 14.2792, 14.2792) * CHOOSE(CONTROL!$C$21, $C$9, 100%, $E$9)</f>
        <v>14.279199999999999</v>
      </c>
      <c r="C549" s="10">
        <f>CHOOSE(CONTROL!$C$42, 14.2872, 14.2872) * CHOOSE(CONTROL!$C$21, $C$9, 100%, $E$9)</f>
        <v>14.2872</v>
      </c>
      <c r="D549" s="10">
        <f>CHOOSE(CONTROL!$C$42, 14.4624, 14.4624) * CHOOSE(CONTROL!$C$21, $C$9, 100%, $E$9)</f>
        <v>14.462400000000001</v>
      </c>
      <c r="E549" s="10">
        <f>CHOOSE(CONTROL!$C$42, 14.4936, 14.4936) * CHOOSE(CONTROL!$C$21, $C$9, 100%, $E$9)</f>
        <v>14.493600000000001</v>
      </c>
      <c r="F549" s="10">
        <f>CHOOSE(CONTROL!$C$42, 14.221, 14.221)*CHOOSE(CONTROL!$C$21, $C$9, 100%, $E$9)</f>
        <v>14.221</v>
      </c>
      <c r="G549" s="10">
        <f>CHOOSE(CONTROL!$C$42, 14.238, 14.238)*CHOOSE(CONTROL!$C$21, $C$9, 100%, $E$9)</f>
        <v>14.238</v>
      </c>
      <c r="H549" s="10">
        <f>CHOOSE(CONTROL!$C$42, 14.4819, 14.4819) * CHOOSE(CONTROL!$C$21, $C$9, 100%, $E$9)</f>
        <v>14.4819</v>
      </c>
      <c r="I549" s="10">
        <f>CHOOSE(CONTROL!$C$42, 14.2539, 14.2539)* CHOOSE(CONTROL!$C$21, $C$9, 100%, $E$9)</f>
        <v>14.2539</v>
      </c>
      <c r="J549" s="10">
        <f>CHOOSE(CONTROL!$C$42, 14.2136, 14.2136)* CHOOSE(CONTROL!$C$21, $C$9, 100%, $E$9)</f>
        <v>14.2136</v>
      </c>
      <c r="K549" s="10">
        <f>CHOOSE(CONTROL!$C$42, 13.9658, 13.9658) * CHOOSE(CONTROL!$C$21, $C$9, 100%, $E$9)</f>
        <v>13.9658</v>
      </c>
      <c r="L549" s="10">
        <f>CHOOSE(CONTROL!$C$42, 15.0689, 15.0689) * CHOOSE(CONTROL!$C$21, $C$9, 100%, $E$9)</f>
        <v>15.068899999999999</v>
      </c>
      <c r="M549" s="10">
        <f>CHOOSE(CONTROL!$C$42, 14.0627, 14.0627) * CHOOSE(CONTROL!$C$21, $C$9, 100%, $E$9)</f>
        <v>14.0627</v>
      </c>
      <c r="N549" s="10">
        <f>CHOOSE(CONTROL!$C$42, 14.0794, 14.0794) * CHOOSE(CONTROL!$C$21, $C$9, 100%, $E$9)</f>
        <v>14.0794</v>
      </c>
      <c r="O549" s="10">
        <f>CHOOSE(CONTROL!$C$42, 14.3275, 14.3275) * CHOOSE(CONTROL!$C$21, $C$9, 100%, $E$9)</f>
        <v>14.327500000000001</v>
      </c>
      <c r="P549" s="10">
        <f>CHOOSE(CONTROL!$C$42, 14.1025, 14.1025) * CHOOSE(CONTROL!$C$21, $C$9, 100%, $E$9)</f>
        <v>14.102499999999999</v>
      </c>
      <c r="Q549" s="10">
        <f>CHOOSE(CONTROL!$C$42, 14.9228, 14.9228) * CHOOSE(CONTROL!$C$21, $C$9, 100%, $E$9)</f>
        <v>14.922800000000001</v>
      </c>
      <c r="R549" s="10">
        <f>CHOOSE(CONTROL!$C$42, 15.5471, 15.5471) * CHOOSE(CONTROL!$C$21, $C$9, 100%, $E$9)</f>
        <v>15.5471</v>
      </c>
      <c r="S549" s="10">
        <f>CHOOSE(CONTROL!$C$42, 13.8412, 13.8412) * CHOOSE(CONTROL!$C$21, $C$9, 100%, $E$9)</f>
        <v>13.841200000000001</v>
      </c>
      <c r="T54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38">
        <f>(1000*CHOOSE(CONTROL!$C$42, 695, 695)*CHOOSE(CONTROL!$C$42, 0.5599, 0.5599)*CHOOSE(CONTROL!$C$42, 30, 30))/1000000</f>
        <v>11.673914999999997</v>
      </c>
      <c r="V549" s="38">
        <f>(1000*CHOOSE(CONTROL!$C$42, 500, 500)*CHOOSE(CONTROL!$C$42, 0.275, 0.275)*CHOOSE(CONTROL!$C$42, 30, 30))/1000000</f>
        <v>4.125</v>
      </c>
      <c r="W549" s="38">
        <f>(1000*CHOOSE(CONTROL!$C$42, 0.1146, 0.1146)*CHOOSE(CONTROL!$C$42, 121.5, 121.5)*CHOOSE(CONTROL!$C$42, 30, 30))/1000000</f>
        <v>0.417717</v>
      </c>
      <c r="X549" s="38">
        <f>(30*0.1790888*245000/1000000)+(30*0.2374*100000/1000000)</f>
        <v>2.0285026799999999</v>
      </c>
      <c r="Y549" s="38">
        <f>(1000*600*CHOOSE(CONTROL!$C$42, 1.0585, 1.0585)*CHOOSE(CONTROL!$C$42, 30, 30))/1000000</f>
        <v>19.053000000000001</v>
      </c>
      <c r="Z549" s="38"/>
      <c r="AA549" s="10"/>
      <c r="AB549" s="39"/>
      <c r="AC549" s="33">
        <f>(B549*194.205+C549*267.466+D549*133.845+E549*53.484+F549*40+G549*185+H549*0+I549*100+J549*300)/(194.205+267.466+133.845+53.484+0+40+185+100+300)</f>
        <v>14.283883753218209</v>
      </c>
      <c r="AD549" s="27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14.14656762589928</v>
      </c>
    </row>
    <row r="550" spans="1:30" ht="15.75" x14ac:dyDescent="0.25">
      <c r="A550" s="13">
        <v>58014</v>
      </c>
      <c r="B550" s="10">
        <f>CHOOSE(CONTROL!$C$42, 13.9869, 13.9869) * CHOOSE(CONTROL!$C$21, $C$9, 100%, $E$9)</f>
        <v>13.9869</v>
      </c>
      <c r="C550" s="10">
        <f>CHOOSE(CONTROL!$C$42, 13.9923, 13.9923) * CHOOSE(CONTROL!$C$21, $C$9, 100%, $E$9)</f>
        <v>13.9923</v>
      </c>
      <c r="D550" s="10">
        <f>CHOOSE(CONTROL!$C$42, 14.1723, 14.1723) * CHOOSE(CONTROL!$C$21, $C$9, 100%, $E$9)</f>
        <v>14.1723</v>
      </c>
      <c r="E550" s="10">
        <f>CHOOSE(CONTROL!$C$42, 14.2012, 14.2012) * CHOOSE(CONTROL!$C$21, $C$9, 100%, $E$9)</f>
        <v>14.2012</v>
      </c>
      <c r="F550" s="10">
        <f>CHOOSE(CONTROL!$C$42, 13.9307, 13.9307)*CHOOSE(CONTROL!$C$21, $C$9, 100%, $E$9)</f>
        <v>13.9307</v>
      </c>
      <c r="G550" s="10">
        <f>CHOOSE(CONTROL!$C$42, 13.9473, 13.9473)*CHOOSE(CONTROL!$C$21, $C$9, 100%, $E$9)</f>
        <v>13.9473</v>
      </c>
      <c r="H550" s="10">
        <f>CHOOSE(CONTROL!$C$42, 14.1913, 14.1913) * CHOOSE(CONTROL!$C$21, $C$9, 100%, $E$9)</f>
        <v>14.1913</v>
      </c>
      <c r="I550" s="10">
        <f>CHOOSE(CONTROL!$C$42, 13.9633, 13.9633)* CHOOSE(CONTROL!$C$21, $C$9, 100%, $E$9)</f>
        <v>13.9633</v>
      </c>
      <c r="J550" s="10">
        <f>CHOOSE(CONTROL!$C$42, 13.9233, 13.9233)* CHOOSE(CONTROL!$C$21, $C$9, 100%, $E$9)</f>
        <v>13.923299999999999</v>
      </c>
      <c r="K550" s="10">
        <f>CHOOSE(CONTROL!$C$42, 13.6848, 13.6848) * CHOOSE(CONTROL!$C$21, $C$9, 100%, $E$9)</f>
        <v>13.684799999999999</v>
      </c>
      <c r="L550" s="10">
        <f>CHOOSE(CONTROL!$C$42, 14.7783, 14.7783) * CHOOSE(CONTROL!$C$21, $C$9, 100%, $E$9)</f>
        <v>14.7783</v>
      </c>
      <c r="M550" s="10">
        <f>CHOOSE(CONTROL!$C$42, 13.7761, 13.7761) * CHOOSE(CONTROL!$C$21, $C$9, 100%, $E$9)</f>
        <v>13.7761</v>
      </c>
      <c r="N550" s="10">
        <f>CHOOSE(CONTROL!$C$42, 13.7925, 13.7925) * CHOOSE(CONTROL!$C$21, $C$9, 100%, $E$9)</f>
        <v>13.7925</v>
      </c>
      <c r="O550" s="10">
        <f>CHOOSE(CONTROL!$C$42, 14.0406, 14.0406) * CHOOSE(CONTROL!$C$21, $C$9, 100%, $E$9)</f>
        <v>14.0406</v>
      </c>
      <c r="P550" s="10">
        <f>CHOOSE(CONTROL!$C$42, 13.8156, 13.8156) * CHOOSE(CONTROL!$C$21, $C$9, 100%, $E$9)</f>
        <v>13.8156</v>
      </c>
      <c r="Q550" s="10">
        <f>CHOOSE(CONTROL!$C$42, 14.6359, 14.6359) * CHOOSE(CONTROL!$C$21, $C$9, 100%, $E$9)</f>
        <v>14.635899999999999</v>
      </c>
      <c r="R550" s="10">
        <f>CHOOSE(CONTROL!$C$42, 15.2595, 15.2595) * CHOOSE(CONTROL!$C$21, $C$9, 100%, $E$9)</f>
        <v>15.259499999999999</v>
      </c>
      <c r="S550" s="10">
        <f>CHOOSE(CONTROL!$C$42, 13.5598, 13.5598) * CHOOSE(CONTROL!$C$21, $C$9, 100%, $E$9)</f>
        <v>13.559799999999999</v>
      </c>
      <c r="T55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38">
        <f>(1000*CHOOSE(CONTROL!$C$42, 695, 695)*CHOOSE(CONTROL!$C$42, 0.5599, 0.5599)*CHOOSE(CONTROL!$C$42, 31, 31))/1000000</f>
        <v>12.063045499999998</v>
      </c>
      <c r="V550" s="38">
        <f>(1000*CHOOSE(CONTROL!$C$42, 500, 500)*CHOOSE(CONTROL!$C$42, 0.275, 0.275)*CHOOSE(CONTROL!$C$42, 31, 31))/1000000</f>
        <v>4.2625000000000002</v>
      </c>
      <c r="W550" s="38">
        <f>(1000*CHOOSE(CONTROL!$C$42, 0.1146, 0.1146)*CHOOSE(CONTROL!$C$42, 121.5, 121.5)*CHOOSE(CONTROL!$C$42, 31, 31))/1000000</f>
        <v>0.43164089999999994</v>
      </c>
      <c r="X550" s="38">
        <f>(31*0.1790888*245000/1000000)+(31*0.2374*100000/1000000)</f>
        <v>2.0961194359999999</v>
      </c>
      <c r="Y550" s="38">
        <f>(1000*600*CHOOSE(CONTROL!$C$42, 1.0585, 1.0585)*CHOOSE(CONTROL!$C$42, 31, 31))/1000000</f>
        <v>19.688099999999999</v>
      </c>
      <c r="Z550" s="38"/>
      <c r="AA550" s="10"/>
      <c r="AB550" s="39"/>
      <c r="AC550" s="33">
        <f>(B550*131.881+C550*277.167+D550*79.08+E550*125.872+F550*40+G550*185+H550*0+I550*100+J550*300)/(131.881+277.167+79.08+125.872+0+40+185+100+300)</f>
        <v>13.996680874414849</v>
      </c>
      <c r="AD550" s="27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13.859771223021582</v>
      </c>
    </row>
    <row r="551" spans="1:30" ht="15.75" x14ac:dyDescent="0.25">
      <c r="A551" s="13">
        <v>58044</v>
      </c>
      <c r="B551" s="10">
        <f>CHOOSE(CONTROL!$C$42, 14.3554, 14.3554) * CHOOSE(CONTROL!$C$21, $C$9, 100%, $E$9)</f>
        <v>14.355399999999999</v>
      </c>
      <c r="C551" s="10">
        <f>CHOOSE(CONTROL!$C$42, 14.3605, 14.3605) * CHOOSE(CONTROL!$C$21, $C$9, 100%, $E$9)</f>
        <v>14.3605</v>
      </c>
      <c r="D551" s="10">
        <f>CHOOSE(CONTROL!$C$42, 14.3852, 14.3852) * CHOOSE(CONTROL!$C$21, $C$9, 100%, $E$9)</f>
        <v>14.385199999999999</v>
      </c>
      <c r="E551" s="10">
        <f>CHOOSE(CONTROL!$C$42, 14.419, 14.419) * CHOOSE(CONTROL!$C$21, $C$9, 100%, $E$9)</f>
        <v>14.419</v>
      </c>
      <c r="F551" s="10">
        <f>CHOOSE(CONTROL!$C$42, 14.3211, 14.3211)*CHOOSE(CONTROL!$C$21, $C$9, 100%, $E$9)</f>
        <v>14.321099999999999</v>
      </c>
      <c r="G551" s="10">
        <f>CHOOSE(CONTROL!$C$42, 14.3379, 14.3379)*CHOOSE(CONTROL!$C$21, $C$9, 100%, $E$9)</f>
        <v>14.337899999999999</v>
      </c>
      <c r="H551" s="10">
        <f>CHOOSE(CONTROL!$C$42, 14.4079, 14.4079) * CHOOSE(CONTROL!$C$21, $C$9, 100%, $E$9)</f>
        <v>14.4079</v>
      </c>
      <c r="I551" s="10">
        <f>CHOOSE(CONTROL!$C$42, 14.3549, 14.3549)* CHOOSE(CONTROL!$C$21, $C$9, 100%, $E$9)</f>
        <v>14.354900000000001</v>
      </c>
      <c r="J551" s="10">
        <f>CHOOSE(CONTROL!$C$42, 14.3137, 14.3137)* CHOOSE(CONTROL!$C$21, $C$9, 100%, $E$9)</f>
        <v>14.313700000000001</v>
      </c>
      <c r="K551" s="10">
        <f>CHOOSE(CONTROL!$C$42, 14.066, 14.066) * CHOOSE(CONTROL!$C$21, $C$9, 100%, $E$9)</f>
        <v>14.066000000000001</v>
      </c>
      <c r="L551" s="10">
        <f>CHOOSE(CONTROL!$C$42, 14.9949, 14.9949) * CHOOSE(CONTROL!$C$21, $C$9, 100%, $E$9)</f>
        <v>14.994899999999999</v>
      </c>
      <c r="M551" s="10">
        <f>CHOOSE(CONTROL!$C$42, 14.1614, 14.1614) * CHOOSE(CONTROL!$C$21, $C$9, 100%, $E$9)</f>
        <v>14.1614</v>
      </c>
      <c r="N551" s="10">
        <f>CHOOSE(CONTROL!$C$42, 14.178, 14.178) * CHOOSE(CONTROL!$C$21, $C$9, 100%, $E$9)</f>
        <v>14.178000000000001</v>
      </c>
      <c r="O551" s="10">
        <f>CHOOSE(CONTROL!$C$42, 14.2544, 14.2544) * CHOOSE(CONTROL!$C$21, $C$9, 100%, $E$9)</f>
        <v>14.2544</v>
      </c>
      <c r="P551" s="10">
        <f>CHOOSE(CONTROL!$C$42, 14.2022, 14.2022) * CHOOSE(CONTROL!$C$21, $C$9, 100%, $E$9)</f>
        <v>14.202199999999999</v>
      </c>
      <c r="Q551" s="10">
        <f>CHOOSE(CONTROL!$C$42, 14.8497, 14.8497) * CHOOSE(CONTROL!$C$21, $C$9, 100%, $E$9)</f>
        <v>14.8497</v>
      </c>
      <c r="R551" s="10">
        <f>CHOOSE(CONTROL!$C$42, 15.4738, 15.4738) * CHOOSE(CONTROL!$C$21, $C$9, 100%, $E$9)</f>
        <v>15.473800000000001</v>
      </c>
      <c r="S551" s="10">
        <f>CHOOSE(CONTROL!$C$42, 13.917, 13.917) * CHOOSE(CONTROL!$C$21, $C$9, 100%, $E$9)</f>
        <v>13.917</v>
      </c>
      <c r="T55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38">
        <f>(1000*CHOOSE(CONTROL!$C$42, 695, 695)*CHOOSE(CONTROL!$C$42, 0.5599, 0.5599)*CHOOSE(CONTROL!$C$42, 30, 30))/1000000</f>
        <v>11.673914999999997</v>
      </c>
      <c r="V551" s="38">
        <f>(1000*CHOOSE(CONTROL!$C$42, 500, 500)*CHOOSE(CONTROL!$C$42, 0.275, 0.275)*CHOOSE(CONTROL!$C$42, 30, 30))/1000000</f>
        <v>4.125</v>
      </c>
      <c r="W551" s="38">
        <f>(1000*CHOOSE(CONTROL!$C$42, 0.1146, 0.1146)*CHOOSE(CONTROL!$C$42, 121.5, 121.5)*CHOOSE(CONTROL!$C$42, 30, 30))/1000000</f>
        <v>0.417717</v>
      </c>
      <c r="X551" s="38">
        <f>(30*0.1790888*100000/1000000)+(30*0.2374*100000/1000000)</f>
        <v>1.2494664</v>
      </c>
      <c r="Y551" s="38">
        <f>(1000*600*CHOOSE(CONTROL!$C$42, 1.0585, 1.0585)*CHOOSE(CONTROL!$C$42, 30, 30))/1000000</f>
        <v>19.053000000000001</v>
      </c>
      <c r="Z551" s="38"/>
      <c r="AA551" s="10"/>
      <c r="AB551" s="39"/>
      <c r="AC551" s="33">
        <f>(B551*122.58+C551*297.941+D551*89.177+E551*40.302+F551*40+G551*160+H551*0+I551*100+J551*300)/(122.58+297.941+89.177+40.302+0+40+160+100+300)</f>
        <v>14.346711461652173</v>
      </c>
      <c r="AD551" s="27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14.210376978417266</v>
      </c>
    </row>
    <row r="552" spans="1:30" ht="15.75" x14ac:dyDescent="0.25">
      <c r="A552" s="13">
        <v>58075</v>
      </c>
      <c r="B552" s="10">
        <f>CHOOSE(CONTROL!$C$42, 15.3353, 15.3353) * CHOOSE(CONTROL!$C$21, $C$9, 100%, $E$9)</f>
        <v>15.3353</v>
      </c>
      <c r="C552" s="10">
        <f>CHOOSE(CONTROL!$C$42, 15.3404, 15.3404) * CHOOSE(CONTROL!$C$21, $C$9, 100%, $E$9)</f>
        <v>15.340400000000001</v>
      </c>
      <c r="D552" s="10">
        <f>CHOOSE(CONTROL!$C$42, 15.3651, 15.3651) * CHOOSE(CONTROL!$C$21, $C$9, 100%, $E$9)</f>
        <v>15.3651</v>
      </c>
      <c r="E552" s="10">
        <f>CHOOSE(CONTROL!$C$42, 15.3989, 15.3989) * CHOOSE(CONTROL!$C$21, $C$9, 100%, $E$9)</f>
        <v>15.398899999999999</v>
      </c>
      <c r="F552" s="10">
        <f>CHOOSE(CONTROL!$C$42, 15.3027, 15.3027)*CHOOSE(CONTROL!$C$21, $C$9, 100%, $E$9)</f>
        <v>15.3027</v>
      </c>
      <c r="G552" s="10">
        <f>CHOOSE(CONTROL!$C$42, 15.32, 15.32)*CHOOSE(CONTROL!$C$21, $C$9, 100%, $E$9)</f>
        <v>15.32</v>
      </c>
      <c r="H552" s="10">
        <f>CHOOSE(CONTROL!$C$42, 15.3878, 15.3878) * CHOOSE(CONTROL!$C$21, $C$9, 100%, $E$9)</f>
        <v>15.3878</v>
      </c>
      <c r="I552" s="10">
        <f>CHOOSE(CONTROL!$C$42, 15.3348, 15.3348)* CHOOSE(CONTROL!$C$21, $C$9, 100%, $E$9)</f>
        <v>15.3348</v>
      </c>
      <c r="J552" s="10">
        <f>CHOOSE(CONTROL!$C$42, 15.2953, 15.2953)* CHOOSE(CONTROL!$C$21, $C$9, 100%, $E$9)</f>
        <v>15.295299999999999</v>
      </c>
      <c r="K552" s="10">
        <f>CHOOSE(CONTROL!$C$42, 15.0192, 15.0192) * CHOOSE(CONTROL!$C$21, $C$9, 100%, $E$9)</f>
        <v>15.0192</v>
      </c>
      <c r="L552" s="10">
        <f>CHOOSE(CONTROL!$C$42, 15.9748, 15.9748) * CHOOSE(CONTROL!$C$21, $C$9, 100%, $E$9)</f>
        <v>15.9748</v>
      </c>
      <c r="M552" s="10">
        <f>CHOOSE(CONTROL!$C$42, 15.1303, 15.1303) * CHOOSE(CONTROL!$C$21, $C$9, 100%, $E$9)</f>
        <v>15.1303</v>
      </c>
      <c r="N552" s="10">
        <f>CHOOSE(CONTROL!$C$42, 15.1474, 15.1474) * CHOOSE(CONTROL!$C$21, $C$9, 100%, $E$9)</f>
        <v>15.147399999999999</v>
      </c>
      <c r="O552" s="10">
        <f>CHOOSE(CONTROL!$C$42, 15.2216, 15.2216) * CHOOSE(CONTROL!$C$21, $C$9, 100%, $E$9)</f>
        <v>15.2216</v>
      </c>
      <c r="P552" s="10">
        <f>CHOOSE(CONTROL!$C$42, 15.1694, 15.1694) * CHOOSE(CONTROL!$C$21, $C$9, 100%, $E$9)</f>
        <v>15.1694</v>
      </c>
      <c r="Q552" s="10">
        <f>CHOOSE(CONTROL!$C$42, 15.8169, 15.8169) * CHOOSE(CONTROL!$C$21, $C$9, 100%, $E$9)</f>
        <v>15.8169</v>
      </c>
      <c r="R552" s="10">
        <f>CHOOSE(CONTROL!$C$42, 16.4434, 16.4434) * CHOOSE(CONTROL!$C$21, $C$9, 100%, $E$9)</f>
        <v>16.4434</v>
      </c>
      <c r="S552" s="10">
        <f>CHOOSE(CONTROL!$C$42, 14.8658, 14.8658) * CHOOSE(CONTROL!$C$21, $C$9, 100%, $E$9)</f>
        <v>14.8658</v>
      </c>
      <c r="T55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38">
        <f>(1000*CHOOSE(CONTROL!$C$42, 695, 695)*CHOOSE(CONTROL!$C$42, 0.5599, 0.5599)*CHOOSE(CONTROL!$C$42, 31, 31))/1000000</f>
        <v>12.063045499999998</v>
      </c>
      <c r="V552" s="38">
        <f>(1000*CHOOSE(CONTROL!$C$42, 500, 500)*CHOOSE(CONTROL!$C$42, 0.275, 0.275)*CHOOSE(CONTROL!$C$42, 31, 31))/1000000</f>
        <v>4.2625000000000002</v>
      </c>
      <c r="W552" s="38">
        <f>(1000*CHOOSE(CONTROL!$C$42, 0.1146, 0.1146)*CHOOSE(CONTROL!$C$42, 121.5, 121.5)*CHOOSE(CONTROL!$C$42, 31, 31))/1000000</f>
        <v>0.43164089999999994</v>
      </c>
      <c r="X552" s="38">
        <f>(31*0.1790888*100000/1000000)+(31*0.2374*100000/1000000)</f>
        <v>1.2911152800000001</v>
      </c>
      <c r="Y552" s="38">
        <f>(1000*600*CHOOSE(CONTROL!$C$42, 1.0585, 1.0585)*CHOOSE(CONTROL!$C$42, 31, 31))/1000000</f>
        <v>19.688099999999999</v>
      </c>
      <c r="Z552" s="38"/>
      <c r="AA552" s="10"/>
      <c r="AB552" s="39"/>
      <c r="AC552" s="33">
        <f>(B552*122.58+C552*297.941+D552*89.177+E552*40.302+F552*40+G552*160+H552*0+I552*100+J552*300)/(122.58+297.941+89.177+40.302+0+40+160+100+300)</f>
        <v>15.327420157304346</v>
      </c>
      <c r="AD552" s="27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15.178290647482015</v>
      </c>
    </row>
    <row r="553" spans="1:30" ht="15.75" x14ac:dyDescent="0.25">
      <c r="A553" s="13">
        <v>58106</v>
      </c>
      <c r="B553" s="10">
        <f>CHOOSE(CONTROL!$C$42, 16.3714, 16.3714) * CHOOSE(CONTROL!$C$21, $C$9, 100%, $E$9)</f>
        <v>16.371400000000001</v>
      </c>
      <c r="C553" s="10">
        <f>CHOOSE(CONTROL!$C$42, 16.3765, 16.3765) * CHOOSE(CONTROL!$C$21, $C$9, 100%, $E$9)</f>
        <v>16.3765</v>
      </c>
      <c r="D553" s="10">
        <f>CHOOSE(CONTROL!$C$42, 16.4116, 16.4116) * CHOOSE(CONTROL!$C$21, $C$9, 100%, $E$9)</f>
        <v>16.4116</v>
      </c>
      <c r="E553" s="10">
        <f>CHOOSE(CONTROL!$C$42, 16.4454, 16.4454) * CHOOSE(CONTROL!$C$21, $C$9, 100%, $E$9)</f>
        <v>16.445399999999999</v>
      </c>
      <c r="F553" s="10">
        <f>CHOOSE(CONTROL!$C$42, 16.3527, 16.3527)*CHOOSE(CONTROL!$C$21, $C$9, 100%, $E$9)</f>
        <v>16.352699999999999</v>
      </c>
      <c r="G553" s="10">
        <f>CHOOSE(CONTROL!$C$42, 16.3716, 16.3716)*CHOOSE(CONTROL!$C$21, $C$9, 100%, $E$9)</f>
        <v>16.371600000000001</v>
      </c>
      <c r="H553" s="10">
        <f>CHOOSE(CONTROL!$C$42, 16.4342, 16.4342) * CHOOSE(CONTROL!$C$21, $C$9, 100%, $E$9)</f>
        <v>16.434200000000001</v>
      </c>
      <c r="I553" s="10">
        <f>CHOOSE(CONTROL!$C$42, 16.3787, 16.3787)* CHOOSE(CONTROL!$C$21, $C$9, 100%, $E$9)</f>
        <v>16.378699999999998</v>
      </c>
      <c r="J553" s="10">
        <f>CHOOSE(CONTROL!$C$42, 16.3453, 16.3453)* CHOOSE(CONTROL!$C$21, $C$9, 100%, $E$9)</f>
        <v>16.345300000000002</v>
      </c>
      <c r="K553" s="10">
        <f>CHOOSE(CONTROL!$C$42, 16.0437, 16.0437) * CHOOSE(CONTROL!$C$21, $C$9, 100%, $E$9)</f>
        <v>16.043700000000001</v>
      </c>
      <c r="L553" s="10">
        <f>CHOOSE(CONTROL!$C$42, 17.0212, 17.0212) * CHOOSE(CONTROL!$C$21, $C$9, 100%, $E$9)</f>
        <v>17.0212</v>
      </c>
      <c r="M553" s="10">
        <f>CHOOSE(CONTROL!$C$42, 16.1668, 16.1668) * CHOOSE(CONTROL!$C$21, $C$9, 100%, $E$9)</f>
        <v>16.166799999999999</v>
      </c>
      <c r="N553" s="10">
        <f>CHOOSE(CONTROL!$C$42, 16.1854, 16.1854) * CHOOSE(CONTROL!$C$21, $C$9, 100%, $E$9)</f>
        <v>16.185400000000001</v>
      </c>
      <c r="O553" s="10">
        <f>CHOOSE(CONTROL!$C$42, 16.2545, 16.2545) * CHOOSE(CONTROL!$C$21, $C$9, 100%, $E$9)</f>
        <v>16.2545</v>
      </c>
      <c r="P553" s="10">
        <f>CHOOSE(CONTROL!$C$42, 16.1997, 16.1997) * CHOOSE(CONTROL!$C$21, $C$9, 100%, $E$9)</f>
        <v>16.1997</v>
      </c>
      <c r="Q553" s="10">
        <f>CHOOSE(CONTROL!$C$42, 16.8498, 16.8498) * CHOOSE(CONTROL!$C$21, $C$9, 100%, $E$9)</f>
        <v>16.849799999999998</v>
      </c>
      <c r="R553" s="10">
        <f>CHOOSE(CONTROL!$C$42, 17.479, 17.479) * CHOOSE(CONTROL!$C$21, $C$9, 100%, $E$9)</f>
        <v>17.478999999999999</v>
      </c>
      <c r="S553" s="10">
        <f>CHOOSE(CONTROL!$C$42, 15.8691, 15.8691) * CHOOSE(CONTROL!$C$21, $C$9, 100%, $E$9)</f>
        <v>15.8691</v>
      </c>
      <c r="T55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38">
        <f>(1000*CHOOSE(CONTROL!$C$42, 695, 695)*CHOOSE(CONTROL!$C$42, 0.5599, 0.5599)*CHOOSE(CONTROL!$C$42, 31, 31))/1000000</f>
        <v>12.063045499999998</v>
      </c>
      <c r="V553" s="38">
        <f>(1000*CHOOSE(CONTROL!$C$42, 500, 500)*CHOOSE(CONTROL!$C$42, 0.275, 0.275)*CHOOSE(CONTROL!$C$42, 31, 31))/1000000</f>
        <v>4.2625000000000002</v>
      </c>
      <c r="W553" s="38">
        <f>(1000*CHOOSE(CONTROL!$C$42, 0.1146, 0.1146)*CHOOSE(CONTROL!$C$42, 121.5, 121.5)*CHOOSE(CONTROL!$C$42, 31, 31))/1000000</f>
        <v>0.43164089999999994</v>
      </c>
      <c r="X553" s="38">
        <f>(31*0.1790888*100000/1000000)+(31*0.2374*100000/1000000)</f>
        <v>1.2911152800000001</v>
      </c>
      <c r="Y553" s="38">
        <f>(1000*600*CHOOSE(CONTROL!$C$42, 1.0585, 1.0585)*CHOOSE(CONTROL!$C$42, 31, 31))/1000000</f>
        <v>19.688099999999999</v>
      </c>
      <c r="Z553" s="38"/>
      <c r="AA553" s="10"/>
      <c r="AB553" s="39"/>
      <c r="AC553" s="33">
        <f>(B553*122.58+C553*297.941+D553*89.177+E553*40.302+F553*40+G553*160+H553*0+I553*100+J553*300)/(122.58+297.941+89.177+40.302+0+40+160+100+300)</f>
        <v>16.371635445652174</v>
      </c>
      <c r="AD553" s="27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16.212353237410071</v>
      </c>
    </row>
    <row r="554" spans="1:30" ht="15.75" x14ac:dyDescent="0.25">
      <c r="A554" s="13">
        <v>58134</v>
      </c>
      <c r="B554" s="10">
        <f>CHOOSE(CONTROL!$C$42, 16.6632, 16.6632) * CHOOSE(CONTROL!$C$21, $C$9, 100%, $E$9)</f>
        <v>16.6632</v>
      </c>
      <c r="C554" s="10">
        <f>CHOOSE(CONTROL!$C$42, 16.6683, 16.6683) * CHOOSE(CONTROL!$C$21, $C$9, 100%, $E$9)</f>
        <v>16.668299999999999</v>
      </c>
      <c r="D554" s="10">
        <f>CHOOSE(CONTROL!$C$42, 16.7033, 16.7033) * CHOOSE(CONTROL!$C$21, $C$9, 100%, $E$9)</f>
        <v>16.703299999999999</v>
      </c>
      <c r="E554" s="10">
        <f>CHOOSE(CONTROL!$C$42, 16.7371, 16.7371) * CHOOSE(CONTROL!$C$21, $C$9, 100%, $E$9)</f>
        <v>16.737100000000002</v>
      </c>
      <c r="F554" s="10">
        <f>CHOOSE(CONTROL!$C$42, 16.6439, 16.6439)*CHOOSE(CONTROL!$C$21, $C$9, 100%, $E$9)</f>
        <v>16.643899999999999</v>
      </c>
      <c r="G554" s="10">
        <f>CHOOSE(CONTROL!$C$42, 16.6627, 16.6627)*CHOOSE(CONTROL!$C$21, $C$9, 100%, $E$9)</f>
        <v>16.662700000000001</v>
      </c>
      <c r="H554" s="10">
        <f>CHOOSE(CONTROL!$C$42, 16.726, 16.726) * CHOOSE(CONTROL!$C$21, $C$9, 100%, $E$9)</f>
        <v>16.725999999999999</v>
      </c>
      <c r="I554" s="10">
        <f>CHOOSE(CONTROL!$C$42, 16.6704, 16.6704)* CHOOSE(CONTROL!$C$21, $C$9, 100%, $E$9)</f>
        <v>16.670400000000001</v>
      </c>
      <c r="J554" s="10">
        <f>CHOOSE(CONTROL!$C$42, 16.6365, 16.6365)* CHOOSE(CONTROL!$C$21, $C$9, 100%, $E$9)</f>
        <v>16.636500000000002</v>
      </c>
      <c r="K554" s="10">
        <f>CHOOSE(CONTROL!$C$42, 16.3252, 16.3252) * CHOOSE(CONTROL!$C$21, $C$9, 100%, $E$9)</f>
        <v>16.325199999999999</v>
      </c>
      <c r="L554" s="10">
        <f>CHOOSE(CONTROL!$C$42, 17.313, 17.313) * CHOOSE(CONTROL!$C$21, $C$9, 100%, $E$9)</f>
        <v>17.312999999999999</v>
      </c>
      <c r="M554" s="10">
        <f>CHOOSE(CONTROL!$C$42, 16.4542, 16.4542) * CHOOSE(CONTROL!$C$21, $C$9, 100%, $E$9)</f>
        <v>16.4542</v>
      </c>
      <c r="N554" s="10">
        <f>CHOOSE(CONTROL!$C$42, 16.4727, 16.4727) * CHOOSE(CONTROL!$C$21, $C$9, 100%, $E$9)</f>
        <v>16.4727</v>
      </c>
      <c r="O554" s="10">
        <f>CHOOSE(CONTROL!$C$42, 16.5425, 16.5425) * CHOOSE(CONTROL!$C$21, $C$9, 100%, $E$9)</f>
        <v>16.5425</v>
      </c>
      <c r="P554" s="10">
        <f>CHOOSE(CONTROL!$C$42, 16.4877, 16.4877) * CHOOSE(CONTROL!$C$21, $C$9, 100%, $E$9)</f>
        <v>16.4877</v>
      </c>
      <c r="Q554" s="10">
        <f>CHOOSE(CONTROL!$C$42, 17.1378, 17.1378) * CHOOSE(CONTROL!$C$21, $C$9, 100%, $E$9)</f>
        <v>17.137799999999999</v>
      </c>
      <c r="R554" s="10">
        <f>CHOOSE(CONTROL!$C$42, 17.7676, 17.7676) * CHOOSE(CONTROL!$C$21, $C$9, 100%, $E$9)</f>
        <v>17.767600000000002</v>
      </c>
      <c r="S554" s="10">
        <f>CHOOSE(CONTROL!$C$42, 16.1516, 16.1516) * CHOOSE(CONTROL!$C$21, $C$9, 100%, $E$9)</f>
        <v>16.151599999999998</v>
      </c>
      <c r="T55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38">
        <f>(1000*CHOOSE(CONTROL!$C$42, 695, 695)*CHOOSE(CONTROL!$C$42, 0.5599, 0.5599)*CHOOSE(CONTROL!$C$42, 28, 28))/1000000</f>
        <v>10.895653999999999</v>
      </c>
      <c r="V554" s="38">
        <f>(1000*CHOOSE(CONTROL!$C$42, 500, 500)*CHOOSE(CONTROL!$C$42, 0.275, 0.275)*CHOOSE(CONTROL!$C$42, 28, 28))/1000000</f>
        <v>3.85</v>
      </c>
      <c r="W554" s="38">
        <f>(1000*CHOOSE(CONTROL!$C$42, 0.1146, 0.1146)*CHOOSE(CONTROL!$C$42, 121.5, 121.5)*CHOOSE(CONTROL!$C$42, 28, 28))/1000000</f>
        <v>0.38986920000000003</v>
      </c>
      <c r="X554" s="38">
        <f>(28*0.1790888*100000/1000000)+(28*0.2374*100000/1000000)</f>
        <v>1.16616864</v>
      </c>
      <c r="Y554" s="38">
        <f>(1000*600*CHOOSE(CONTROL!$C$42, 1.0585, 1.0585)*CHOOSE(CONTROL!$C$42, 28, 28))/1000000</f>
        <v>17.782800000000002</v>
      </c>
      <c r="Z554" s="38"/>
      <c r="AA554" s="10"/>
      <c r="AB554" s="39"/>
      <c r="AC554" s="33">
        <f>(B554*122.58+C554*297.941+D554*89.177+E554*40.302+F554*40+G554*160+H554*0+I554*100+J554*300)/(122.58+297.941+89.177+40.302+0+40+160+100+300)</f>
        <v>16.663140708347825</v>
      </c>
      <c r="AD554" s="27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16.500105755395683</v>
      </c>
    </row>
    <row r="555" spans="1:30" ht="15.75" x14ac:dyDescent="0.25">
      <c r="A555" s="13">
        <v>58165</v>
      </c>
      <c r="B555" s="10">
        <f>CHOOSE(CONTROL!$C$42, 16.1896, 16.1896) * CHOOSE(CONTROL!$C$21, $C$9, 100%, $E$9)</f>
        <v>16.189599999999999</v>
      </c>
      <c r="C555" s="10">
        <f>CHOOSE(CONTROL!$C$42, 16.1947, 16.1947) * CHOOSE(CONTROL!$C$21, $C$9, 100%, $E$9)</f>
        <v>16.194700000000001</v>
      </c>
      <c r="D555" s="10">
        <f>CHOOSE(CONTROL!$C$42, 16.2297, 16.2297) * CHOOSE(CONTROL!$C$21, $C$9, 100%, $E$9)</f>
        <v>16.229700000000001</v>
      </c>
      <c r="E555" s="10">
        <f>CHOOSE(CONTROL!$C$42, 16.2635, 16.2635) * CHOOSE(CONTROL!$C$21, $C$9, 100%, $E$9)</f>
        <v>16.263500000000001</v>
      </c>
      <c r="F555" s="10">
        <f>CHOOSE(CONTROL!$C$42, 16.169, 16.169)*CHOOSE(CONTROL!$C$21, $C$9, 100%, $E$9)</f>
        <v>16.169</v>
      </c>
      <c r="G555" s="10">
        <f>CHOOSE(CONTROL!$C$42, 16.1874, 16.1874)*CHOOSE(CONTROL!$C$21, $C$9, 100%, $E$9)</f>
        <v>16.1874</v>
      </c>
      <c r="H555" s="10">
        <f>CHOOSE(CONTROL!$C$42, 16.2524, 16.2524) * CHOOSE(CONTROL!$C$21, $C$9, 100%, $E$9)</f>
        <v>16.252400000000002</v>
      </c>
      <c r="I555" s="10">
        <f>CHOOSE(CONTROL!$C$42, 16.1969, 16.1969)* CHOOSE(CONTROL!$C$21, $C$9, 100%, $E$9)</f>
        <v>16.196899999999999</v>
      </c>
      <c r="J555" s="10">
        <f>CHOOSE(CONTROL!$C$42, 16.1616, 16.1616)* CHOOSE(CONTROL!$C$21, $C$9, 100%, $E$9)</f>
        <v>16.1616</v>
      </c>
      <c r="K555" s="10">
        <f>CHOOSE(CONTROL!$C$42, 15.8635, 15.8635) * CHOOSE(CONTROL!$C$21, $C$9, 100%, $E$9)</f>
        <v>15.8635</v>
      </c>
      <c r="L555" s="10">
        <f>CHOOSE(CONTROL!$C$42, 16.8394, 16.8394) * CHOOSE(CONTROL!$C$21, $C$9, 100%, $E$9)</f>
        <v>16.839400000000001</v>
      </c>
      <c r="M555" s="10">
        <f>CHOOSE(CONTROL!$C$42, 15.9854, 15.9854) * CHOOSE(CONTROL!$C$21, $C$9, 100%, $E$9)</f>
        <v>15.9854</v>
      </c>
      <c r="N555" s="10">
        <f>CHOOSE(CONTROL!$C$42, 16.0036, 16.0036) * CHOOSE(CONTROL!$C$21, $C$9, 100%, $E$9)</f>
        <v>16.003599999999999</v>
      </c>
      <c r="O555" s="10">
        <f>CHOOSE(CONTROL!$C$42, 16.0751, 16.0751) * CHOOSE(CONTROL!$C$21, $C$9, 100%, $E$9)</f>
        <v>16.075099999999999</v>
      </c>
      <c r="P555" s="10">
        <f>CHOOSE(CONTROL!$C$42, 16.0203, 16.0203) * CHOOSE(CONTROL!$C$21, $C$9, 100%, $E$9)</f>
        <v>16.020299999999999</v>
      </c>
      <c r="Q555" s="10">
        <f>CHOOSE(CONTROL!$C$42, 16.6704, 16.6704) * CHOOSE(CONTROL!$C$21, $C$9, 100%, $E$9)</f>
        <v>16.670400000000001</v>
      </c>
      <c r="R555" s="10">
        <f>CHOOSE(CONTROL!$C$42, 17.299, 17.299) * CHOOSE(CONTROL!$C$21, $C$9, 100%, $E$9)</f>
        <v>17.298999999999999</v>
      </c>
      <c r="S555" s="10">
        <f>CHOOSE(CONTROL!$C$42, 15.6931, 15.6931) * CHOOSE(CONTROL!$C$21, $C$9, 100%, $E$9)</f>
        <v>15.693099999999999</v>
      </c>
      <c r="T55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38">
        <f>(1000*CHOOSE(CONTROL!$C$42, 695, 695)*CHOOSE(CONTROL!$C$42, 0.5599, 0.5599)*CHOOSE(CONTROL!$C$42, 31, 31))/1000000</f>
        <v>12.063045499999998</v>
      </c>
      <c r="V555" s="38">
        <f>(1000*CHOOSE(CONTROL!$C$42, 500, 500)*CHOOSE(CONTROL!$C$42, 0.275, 0.275)*CHOOSE(CONTROL!$C$42, 31, 31))/1000000</f>
        <v>4.2625000000000002</v>
      </c>
      <c r="W555" s="38">
        <f>(1000*CHOOSE(CONTROL!$C$42, 0.1146, 0.1146)*CHOOSE(CONTROL!$C$42, 121.5, 121.5)*CHOOSE(CONTROL!$C$42, 31, 31))/1000000</f>
        <v>0.43164089999999994</v>
      </c>
      <c r="X555" s="38">
        <f>(31*0.1790888*100000/1000000)+(31*0.2374*100000/1000000)</f>
        <v>1.2911152800000001</v>
      </c>
      <c r="Y555" s="38">
        <f>(1000*600*CHOOSE(CONTROL!$C$42, 1.0585, 1.0585)*CHOOSE(CONTROL!$C$42, 31, 31))/1000000</f>
        <v>19.688099999999999</v>
      </c>
      <c r="Z555" s="38"/>
      <c r="AA555" s="10"/>
      <c r="AB555" s="39"/>
      <c r="AC555" s="33">
        <f>(B555*122.58+C555*297.941+D555*89.177+E555*40.302+F555*40+G555*160+H555*0+I555*100+J555*300)/(122.58+297.941+89.177+40.302+0+40+160+100+300)</f>
        <v>16.188928534434783</v>
      </c>
      <c r="AD555" s="27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16.032124460431657</v>
      </c>
    </row>
    <row r="556" spans="1:30" ht="15.75" x14ac:dyDescent="0.25">
      <c r="A556" s="13">
        <v>58195</v>
      </c>
      <c r="B556" s="10">
        <f>CHOOSE(CONTROL!$C$42, 16.1419, 16.1419) * CHOOSE(CONTROL!$C$21, $C$9, 100%, $E$9)</f>
        <v>16.1419</v>
      </c>
      <c r="C556" s="10">
        <f>CHOOSE(CONTROL!$C$42, 16.1464, 16.1464) * CHOOSE(CONTROL!$C$21, $C$9, 100%, $E$9)</f>
        <v>16.1464</v>
      </c>
      <c r="D556" s="10">
        <f>CHOOSE(CONTROL!$C$42, 16.3246, 16.3246) * CHOOSE(CONTROL!$C$21, $C$9, 100%, $E$9)</f>
        <v>16.3246</v>
      </c>
      <c r="E556" s="10">
        <f>CHOOSE(CONTROL!$C$42, 16.3564, 16.3564) * CHOOSE(CONTROL!$C$21, $C$9, 100%, $E$9)</f>
        <v>16.356400000000001</v>
      </c>
      <c r="F556" s="10">
        <f>CHOOSE(CONTROL!$C$42, 16.0853, 16.0853)*CHOOSE(CONTROL!$C$21, $C$9, 100%, $E$9)</f>
        <v>16.0853</v>
      </c>
      <c r="G556" s="10">
        <f>CHOOSE(CONTROL!$C$42, 16.1019, 16.1019)*CHOOSE(CONTROL!$C$21, $C$9, 100%, $E$9)</f>
        <v>16.101900000000001</v>
      </c>
      <c r="H556" s="10">
        <f>CHOOSE(CONTROL!$C$42, 16.3459, 16.3459) * CHOOSE(CONTROL!$C$21, $C$9, 100%, $E$9)</f>
        <v>16.3459</v>
      </c>
      <c r="I556" s="10">
        <f>CHOOSE(CONTROL!$C$42, 16.1179, 16.1179)* CHOOSE(CONTROL!$C$21, $C$9, 100%, $E$9)</f>
        <v>16.117899999999999</v>
      </c>
      <c r="J556" s="10">
        <f>CHOOSE(CONTROL!$C$42, 16.0779, 16.0779)* CHOOSE(CONTROL!$C$21, $C$9, 100%, $E$9)</f>
        <v>16.0779</v>
      </c>
      <c r="K556" s="10">
        <f>CHOOSE(CONTROL!$C$42, 15.7722, 15.7722) * CHOOSE(CONTROL!$C$21, $C$9, 100%, $E$9)</f>
        <v>15.7722</v>
      </c>
      <c r="L556" s="10">
        <f>CHOOSE(CONTROL!$C$42, 16.9329, 16.9329) * CHOOSE(CONTROL!$C$21, $C$9, 100%, $E$9)</f>
        <v>16.9329</v>
      </c>
      <c r="M556" s="10">
        <f>CHOOSE(CONTROL!$C$42, 15.9028, 15.9028) * CHOOSE(CONTROL!$C$21, $C$9, 100%, $E$9)</f>
        <v>15.902799999999999</v>
      </c>
      <c r="N556" s="10">
        <f>CHOOSE(CONTROL!$C$42, 15.9192, 15.9192) * CHOOSE(CONTROL!$C$21, $C$9, 100%, $E$9)</f>
        <v>15.9192</v>
      </c>
      <c r="O556" s="10">
        <f>CHOOSE(CONTROL!$C$42, 16.1673, 16.1673) * CHOOSE(CONTROL!$C$21, $C$9, 100%, $E$9)</f>
        <v>16.167300000000001</v>
      </c>
      <c r="P556" s="10">
        <f>CHOOSE(CONTROL!$C$42, 15.9423, 15.9423) * CHOOSE(CONTROL!$C$21, $C$9, 100%, $E$9)</f>
        <v>15.942299999999999</v>
      </c>
      <c r="Q556" s="10">
        <f>CHOOSE(CONTROL!$C$42, 16.7626, 16.7626) * CHOOSE(CONTROL!$C$21, $C$9, 100%, $E$9)</f>
        <v>16.762599999999999</v>
      </c>
      <c r="R556" s="10">
        <f>CHOOSE(CONTROL!$C$42, 17.3915, 17.3915) * CHOOSE(CONTROL!$C$21, $C$9, 100%, $E$9)</f>
        <v>17.391500000000001</v>
      </c>
      <c r="S556" s="10">
        <f>CHOOSE(CONTROL!$C$42, 15.6461, 15.6461) * CHOOSE(CONTROL!$C$21, $C$9, 100%, $E$9)</f>
        <v>15.646100000000001</v>
      </c>
      <c r="T55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38">
        <f>(1000*CHOOSE(CONTROL!$C$42, 695, 695)*CHOOSE(CONTROL!$C$42, 0.5599, 0.5599)*CHOOSE(CONTROL!$C$42, 30, 30))/1000000</f>
        <v>11.673914999999997</v>
      </c>
      <c r="V556" s="38">
        <f>(1000*CHOOSE(CONTROL!$C$42, 500, 500)*CHOOSE(CONTROL!$C$42, 0.275, 0.275)*CHOOSE(CONTROL!$C$42, 30, 30))/1000000</f>
        <v>4.125</v>
      </c>
      <c r="W556" s="38">
        <f>(1000*CHOOSE(CONTROL!$C$42, 0.1146, 0.1146)*CHOOSE(CONTROL!$C$42, 121.5, 121.5)*CHOOSE(CONTROL!$C$42, 30, 30))/1000000</f>
        <v>0.417717</v>
      </c>
      <c r="X556" s="38">
        <f>(30*0.1790888*245000/1000000)+(30*0.2374*100000/1000000)</f>
        <v>2.0285026799999999</v>
      </c>
      <c r="Y556" s="38">
        <f>(1000*600*CHOOSE(CONTROL!$C$42, 1.0585, 1.0585)*CHOOSE(CONTROL!$C$42, 30, 30))/1000000</f>
        <v>19.053000000000001</v>
      </c>
      <c r="Z556" s="38"/>
      <c r="AA556" s="10"/>
      <c r="AB556" s="39"/>
      <c r="AC556" s="33">
        <f>(B556*141.293+C556*267.993+D556*115.016+E556*89.698+F556*40+G556*185+H556*0+I556*100+J556*300)/(141.293+267.993+115.016+89.698+0+40+185+100+300)</f>
        <v>16.150128904519775</v>
      </c>
      <c r="AD556" s="27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15.986471223021583</v>
      </c>
    </row>
    <row r="557" spans="1:30" ht="15.75" x14ac:dyDescent="0.25">
      <c r="A557" s="13">
        <v>58226</v>
      </c>
      <c r="B557" s="10">
        <f>CHOOSE(CONTROL!$C$42, 16.2862, 16.2862) * CHOOSE(CONTROL!$C$21, $C$9, 100%, $E$9)</f>
        <v>16.286200000000001</v>
      </c>
      <c r="C557" s="10">
        <f>CHOOSE(CONTROL!$C$42, 16.2942, 16.2942) * CHOOSE(CONTROL!$C$21, $C$9, 100%, $E$9)</f>
        <v>16.2942</v>
      </c>
      <c r="D557" s="10">
        <f>CHOOSE(CONTROL!$C$42, 16.4693, 16.4693) * CHOOSE(CONTROL!$C$21, $C$9, 100%, $E$9)</f>
        <v>16.4693</v>
      </c>
      <c r="E557" s="10">
        <f>CHOOSE(CONTROL!$C$42, 16.5006, 16.5006) * CHOOSE(CONTROL!$C$21, $C$9, 100%, $E$9)</f>
        <v>16.500599999999999</v>
      </c>
      <c r="F557" s="10">
        <f>CHOOSE(CONTROL!$C$42, 16.2279, 16.2279)*CHOOSE(CONTROL!$C$21, $C$9, 100%, $E$9)</f>
        <v>16.227900000000002</v>
      </c>
      <c r="G557" s="10">
        <f>CHOOSE(CONTROL!$C$42, 16.2448, 16.2448)*CHOOSE(CONTROL!$C$21, $C$9, 100%, $E$9)</f>
        <v>16.244800000000001</v>
      </c>
      <c r="H557" s="10">
        <f>CHOOSE(CONTROL!$C$42, 16.4889, 16.4889) * CHOOSE(CONTROL!$C$21, $C$9, 100%, $E$9)</f>
        <v>16.488900000000001</v>
      </c>
      <c r="I557" s="10">
        <f>CHOOSE(CONTROL!$C$42, 16.2609, 16.2609)* CHOOSE(CONTROL!$C$21, $C$9, 100%, $E$9)</f>
        <v>16.260899999999999</v>
      </c>
      <c r="J557" s="10">
        <f>CHOOSE(CONTROL!$C$42, 16.2205, 16.2205)* CHOOSE(CONTROL!$C$21, $C$9, 100%, $E$9)</f>
        <v>16.220500000000001</v>
      </c>
      <c r="K557" s="10">
        <f>CHOOSE(CONTROL!$C$42, 15.9099, 15.9099) * CHOOSE(CONTROL!$C$21, $C$9, 100%, $E$9)</f>
        <v>15.9099</v>
      </c>
      <c r="L557" s="10">
        <f>CHOOSE(CONTROL!$C$42, 17.0759, 17.0759) * CHOOSE(CONTROL!$C$21, $C$9, 100%, $E$9)</f>
        <v>17.075900000000001</v>
      </c>
      <c r="M557" s="10">
        <f>CHOOSE(CONTROL!$C$42, 16.0436, 16.0436) * CHOOSE(CONTROL!$C$21, $C$9, 100%, $E$9)</f>
        <v>16.043600000000001</v>
      </c>
      <c r="N557" s="10">
        <f>CHOOSE(CONTROL!$C$42, 16.0603, 16.0603) * CHOOSE(CONTROL!$C$21, $C$9, 100%, $E$9)</f>
        <v>16.060300000000002</v>
      </c>
      <c r="O557" s="10">
        <f>CHOOSE(CONTROL!$C$42, 16.3085, 16.3085) * CHOOSE(CONTROL!$C$21, $C$9, 100%, $E$9)</f>
        <v>16.308499999999999</v>
      </c>
      <c r="P557" s="10">
        <f>CHOOSE(CONTROL!$C$42, 16.0835, 16.0835) * CHOOSE(CONTROL!$C$21, $C$9, 100%, $E$9)</f>
        <v>16.083500000000001</v>
      </c>
      <c r="Q557" s="10">
        <f>CHOOSE(CONTROL!$C$42, 16.9038, 16.9038) * CHOOSE(CONTROL!$C$21, $C$9, 100%, $E$9)</f>
        <v>16.9038</v>
      </c>
      <c r="R557" s="10">
        <f>CHOOSE(CONTROL!$C$42, 17.533, 17.533) * CHOOSE(CONTROL!$C$21, $C$9, 100%, $E$9)</f>
        <v>17.533000000000001</v>
      </c>
      <c r="S557" s="10">
        <f>CHOOSE(CONTROL!$C$42, 15.7845, 15.7845) * CHOOSE(CONTROL!$C$21, $C$9, 100%, $E$9)</f>
        <v>15.7845</v>
      </c>
      <c r="T55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38">
        <f>(1000*CHOOSE(CONTROL!$C$42, 695, 695)*CHOOSE(CONTROL!$C$42, 0.5599, 0.5599)*CHOOSE(CONTROL!$C$42, 31, 31))/1000000</f>
        <v>12.063045499999998</v>
      </c>
      <c r="V557" s="38">
        <f>(1000*CHOOSE(CONTROL!$C$42, 500, 500)*CHOOSE(CONTROL!$C$42, 0.275, 0.275)*CHOOSE(CONTROL!$C$42, 31, 31))/1000000</f>
        <v>4.2625000000000002</v>
      </c>
      <c r="W557" s="38">
        <f>(1000*CHOOSE(CONTROL!$C$42, 0.1146, 0.1146)*CHOOSE(CONTROL!$C$42, 121.5, 121.5)*CHOOSE(CONTROL!$C$42, 31, 31))/1000000</f>
        <v>0.43164089999999994</v>
      </c>
      <c r="X557" s="38">
        <f>(31*0.1790888*245000/1000000)+(31*0.2374*100000/1000000)</f>
        <v>2.0961194359999999</v>
      </c>
      <c r="Y557" s="38">
        <f>(1000*600*CHOOSE(CONTROL!$C$42, 1.0585, 1.0585)*CHOOSE(CONTROL!$C$42, 31, 31))/1000000</f>
        <v>19.688099999999999</v>
      </c>
      <c r="Z557" s="38"/>
      <c r="AA557" s="10"/>
      <c r="AB557" s="39"/>
      <c r="AC557" s="33">
        <f>(B557*194.205+C557*267.466+D557*133.845+E557*53.484+F557*40+G557*185+H557*0+I557*100+J557*300)/(194.205+267.466+133.845+53.484+0+40+185+100+300)</f>
        <v>16.290817517346941</v>
      </c>
      <c r="AD557" s="27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16.127510071942446</v>
      </c>
    </row>
    <row r="558" spans="1:30" ht="15.75" x14ac:dyDescent="0.25">
      <c r="A558" s="13">
        <v>58256</v>
      </c>
      <c r="B558" s="10">
        <f>CHOOSE(CONTROL!$C$42, 16.7486, 16.7486) * CHOOSE(CONTROL!$C$21, $C$9, 100%, $E$9)</f>
        <v>16.7486</v>
      </c>
      <c r="C558" s="10">
        <f>CHOOSE(CONTROL!$C$42, 16.7566, 16.7566) * CHOOSE(CONTROL!$C$21, $C$9, 100%, $E$9)</f>
        <v>16.756599999999999</v>
      </c>
      <c r="D558" s="10">
        <f>CHOOSE(CONTROL!$C$42, 16.9317, 16.9317) * CHOOSE(CONTROL!$C$21, $C$9, 100%, $E$9)</f>
        <v>16.931699999999999</v>
      </c>
      <c r="E558" s="10">
        <f>CHOOSE(CONTROL!$C$42, 16.9629, 16.9629) * CHOOSE(CONTROL!$C$21, $C$9, 100%, $E$9)</f>
        <v>16.962900000000001</v>
      </c>
      <c r="F558" s="10">
        <f>CHOOSE(CONTROL!$C$42, 16.6905, 16.6905)*CHOOSE(CONTROL!$C$21, $C$9, 100%, $E$9)</f>
        <v>16.6905</v>
      </c>
      <c r="G558" s="10">
        <f>CHOOSE(CONTROL!$C$42, 16.7074, 16.7074)*CHOOSE(CONTROL!$C$21, $C$9, 100%, $E$9)</f>
        <v>16.7074</v>
      </c>
      <c r="H558" s="10">
        <f>CHOOSE(CONTROL!$C$42, 16.9513, 16.9513) * CHOOSE(CONTROL!$C$21, $C$9, 100%, $E$9)</f>
        <v>16.9513</v>
      </c>
      <c r="I558" s="10">
        <f>CHOOSE(CONTROL!$C$42, 16.7233, 16.7233)* CHOOSE(CONTROL!$C$21, $C$9, 100%, $E$9)</f>
        <v>16.723299999999998</v>
      </c>
      <c r="J558" s="10">
        <f>CHOOSE(CONTROL!$C$42, 16.6831, 16.6831)* CHOOSE(CONTROL!$C$21, $C$9, 100%, $E$9)</f>
        <v>16.6831</v>
      </c>
      <c r="K558" s="10">
        <f>CHOOSE(CONTROL!$C$42, 16.3582, 16.3582) * CHOOSE(CONTROL!$C$21, $C$9, 100%, $E$9)</f>
        <v>16.3582</v>
      </c>
      <c r="L558" s="10">
        <f>CHOOSE(CONTROL!$C$42, 17.5383, 17.5383) * CHOOSE(CONTROL!$C$21, $C$9, 100%, $E$9)</f>
        <v>17.5383</v>
      </c>
      <c r="M558" s="10">
        <f>CHOOSE(CONTROL!$C$42, 16.5002, 16.5002) * CHOOSE(CONTROL!$C$21, $C$9, 100%, $E$9)</f>
        <v>16.5002</v>
      </c>
      <c r="N558" s="10">
        <f>CHOOSE(CONTROL!$C$42, 16.5169, 16.5169) * CHOOSE(CONTROL!$C$21, $C$9, 100%, $E$9)</f>
        <v>16.5169</v>
      </c>
      <c r="O558" s="10">
        <f>CHOOSE(CONTROL!$C$42, 16.7649, 16.7649) * CHOOSE(CONTROL!$C$21, $C$9, 100%, $E$9)</f>
        <v>16.764900000000001</v>
      </c>
      <c r="P558" s="10">
        <f>CHOOSE(CONTROL!$C$42, 16.5399, 16.5399) * CHOOSE(CONTROL!$C$21, $C$9, 100%, $E$9)</f>
        <v>16.539899999999999</v>
      </c>
      <c r="Q558" s="10">
        <f>CHOOSE(CONTROL!$C$42, 17.3602, 17.3602) * CHOOSE(CONTROL!$C$21, $C$9, 100%, $E$9)</f>
        <v>17.360199999999999</v>
      </c>
      <c r="R558" s="10">
        <f>CHOOSE(CONTROL!$C$42, 17.9906, 17.9906) * CHOOSE(CONTROL!$C$21, $C$9, 100%, $E$9)</f>
        <v>17.990600000000001</v>
      </c>
      <c r="S558" s="10">
        <f>CHOOSE(CONTROL!$C$42, 16.2323, 16.2323) * CHOOSE(CONTROL!$C$21, $C$9, 100%, $E$9)</f>
        <v>16.232299999999999</v>
      </c>
      <c r="T55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38">
        <f>(1000*CHOOSE(CONTROL!$C$42, 695, 695)*CHOOSE(CONTROL!$C$42, 0.5599, 0.5599)*CHOOSE(CONTROL!$C$42, 30, 30))/1000000</f>
        <v>11.673914999999997</v>
      </c>
      <c r="V558" s="38">
        <f>(1000*CHOOSE(CONTROL!$C$42, 500, 500)*CHOOSE(CONTROL!$C$42, 0.275, 0.275)*CHOOSE(CONTROL!$C$42, 30, 30))/1000000</f>
        <v>4.125</v>
      </c>
      <c r="W558" s="38">
        <f>(1000*CHOOSE(CONTROL!$C$42, 0.1146, 0.1146)*CHOOSE(CONTROL!$C$42, 121.5, 121.5)*CHOOSE(CONTROL!$C$42, 30, 30))/1000000</f>
        <v>0.417717</v>
      </c>
      <c r="X558" s="38">
        <f>(30*0.1790888*245000/1000000)+(30*0.2374*100000/1000000)</f>
        <v>2.0285026799999999</v>
      </c>
      <c r="Y558" s="38">
        <f>(1000*600*CHOOSE(CONTROL!$C$42, 1.0585, 1.0585)*CHOOSE(CONTROL!$C$42, 30, 30))/1000000</f>
        <v>19.053000000000001</v>
      </c>
      <c r="Z558" s="38"/>
      <c r="AA558" s="10"/>
      <c r="AB558" s="39"/>
      <c r="AC558" s="33">
        <f>(B558*194.205+C558*267.466+D558*133.845+E558*53.484+F558*40+G558*185+H558*0+I558*100+J558*300)/(194.205+267.466+133.845+53.484+0+40+185+100+300)</f>
        <v>16.753295736813186</v>
      </c>
      <c r="AD558" s="27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16.584025179856113</v>
      </c>
    </row>
    <row r="559" spans="1:30" ht="15.75" x14ac:dyDescent="0.25">
      <c r="A559" s="13">
        <v>58287</v>
      </c>
      <c r="B559" s="10">
        <f>CHOOSE(CONTROL!$C$42, 16.427, 16.427) * CHOOSE(CONTROL!$C$21, $C$9, 100%, $E$9)</f>
        <v>16.427</v>
      </c>
      <c r="C559" s="10">
        <f>CHOOSE(CONTROL!$C$42, 16.435, 16.435) * CHOOSE(CONTROL!$C$21, $C$9, 100%, $E$9)</f>
        <v>16.434999999999999</v>
      </c>
      <c r="D559" s="10">
        <f>CHOOSE(CONTROL!$C$42, 16.6101, 16.6101) * CHOOSE(CONTROL!$C$21, $C$9, 100%, $E$9)</f>
        <v>16.610099999999999</v>
      </c>
      <c r="E559" s="10">
        <f>CHOOSE(CONTROL!$C$42, 16.6414, 16.6414) * CHOOSE(CONTROL!$C$21, $C$9, 100%, $E$9)</f>
        <v>16.641400000000001</v>
      </c>
      <c r="F559" s="10">
        <f>CHOOSE(CONTROL!$C$42, 16.3692, 16.3692)*CHOOSE(CONTROL!$C$21, $C$9, 100%, $E$9)</f>
        <v>16.369199999999999</v>
      </c>
      <c r="G559" s="10">
        <f>CHOOSE(CONTROL!$C$42, 16.3863, 16.3863)*CHOOSE(CONTROL!$C$21, $C$9, 100%, $E$9)</f>
        <v>16.386299999999999</v>
      </c>
      <c r="H559" s="10">
        <f>CHOOSE(CONTROL!$C$42, 16.6297, 16.6297) * CHOOSE(CONTROL!$C$21, $C$9, 100%, $E$9)</f>
        <v>16.6297</v>
      </c>
      <c r="I559" s="10">
        <f>CHOOSE(CONTROL!$C$42, 16.4017, 16.4017)* CHOOSE(CONTROL!$C$21, $C$9, 100%, $E$9)</f>
        <v>16.401700000000002</v>
      </c>
      <c r="J559" s="10">
        <f>CHOOSE(CONTROL!$C$42, 16.3618, 16.3618)* CHOOSE(CONTROL!$C$21, $C$9, 100%, $E$9)</f>
        <v>16.361799999999999</v>
      </c>
      <c r="K559" s="10">
        <f>CHOOSE(CONTROL!$C$42, 16.0474, 16.0474) * CHOOSE(CONTROL!$C$21, $C$9, 100%, $E$9)</f>
        <v>16.0474</v>
      </c>
      <c r="L559" s="10">
        <f>CHOOSE(CONTROL!$C$42, 17.2167, 17.2167) * CHOOSE(CONTROL!$C$21, $C$9, 100%, $E$9)</f>
        <v>17.216699999999999</v>
      </c>
      <c r="M559" s="10">
        <f>CHOOSE(CONTROL!$C$42, 16.1831, 16.1831) * CHOOSE(CONTROL!$C$21, $C$9, 100%, $E$9)</f>
        <v>16.1831</v>
      </c>
      <c r="N559" s="10">
        <f>CHOOSE(CONTROL!$C$42, 16.1999, 16.1999) * CHOOSE(CONTROL!$C$21, $C$9, 100%, $E$9)</f>
        <v>16.1999</v>
      </c>
      <c r="O559" s="10">
        <f>CHOOSE(CONTROL!$C$42, 16.4475, 16.4475) * CHOOSE(CONTROL!$C$21, $C$9, 100%, $E$9)</f>
        <v>16.447500000000002</v>
      </c>
      <c r="P559" s="10">
        <f>CHOOSE(CONTROL!$C$42, 16.2224, 16.2224) * CHOOSE(CONTROL!$C$21, $C$9, 100%, $E$9)</f>
        <v>16.2224</v>
      </c>
      <c r="Q559" s="10">
        <f>CHOOSE(CONTROL!$C$42, 17.0428, 17.0428) * CHOOSE(CONTROL!$C$21, $C$9, 100%, $E$9)</f>
        <v>17.0428</v>
      </c>
      <c r="R559" s="10">
        <f>CHOOSE(CONTROL!$C$42, 17.6724, 17.6724) * CHOOSE(CONTROL!$C$21, $C$9, 100%, $E$9)</f>
        <v>17.6724</v>
      </c>
      <c r="S559" s="10">
        <f>CHOOSE(CONTROL!$C$42, 15.9209, 15.9209) * CHOOSE(CONTROL!$C$21, $C$9, 100%, $E$9)</f>
        <v>15.9209</v>
      </c>
      <c r="T55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38">
        <f>(1000*CHOOSE(CONTROL!$C$42, 695, 695)*CHOOSE(CONTROL!$C$42, 0.5599, 0.5599)*CHOOSE(CONTROL!$C$42, 31, 31))/1000000</f>
        <v>12.063045499999998</v>
      </c>
      <c r="V559" s="38">
        <f>(1000*CHOOSE(CONTROL!$C$42, 500, 500)*CHOOSE(CONTROL!$C$42, 0.275, 0.275)*CHOOSE(CONTROL!$C$42, 31, 31))/1000000</f>
        <v>4.2625000000000002</v>
      </c>
      <c r="W559" s="38">
        <f>(1000*CHOOSE(CONTROL!$C$42, 0.1146, 0.1146)*CHOOSE(CONTROL!$C$42, 121.5, 121.5)*CHOOSE(CONTROL!$C$42, 31, 31))/1000000</f>
        <v>0.43164089999999994</v>
      </c>
      <c r="X559" s="38">
        <f>(31*0.1790888*245000/1000000)+(31*0.2374*100000/1000000)</f>
        <v>2.0961194359999999</v>
      </c>
      <c r="Y559" s="38">
        <f>(1000*600*CHOOSE(CONTROL!$C$42, 1.0585, 1.0585)*CHOOSE(CONTROL!$C$42, 31, 31))/1000000</f>
        <v>19.688099999999999</v>
      </c>
      <c r="Z559" s="38"/>
      <c r="AA559" s="10"/>
      <c r="AB559" s="39"/>
      <c r="AC559" s="33">
        <f>(B559*194.205+C559*267.466+D559*133.845+E559*53.484+F559*40+G559*185+H559*0+I559*100+J559*300)/(194.205+267.466+133.845+53.484+0+40+185+100+300)</f>
        <v>16.431852603689169</v>
      </c>
      <c r="AD559" s="27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16.266806474820143</v>
      </c>
    </row>
    <row r="560" spans="1:30" ht="15.75" x14ac:dyDescent="0.25">
      <c r="A560" s="13">
        <v>58318</v>
      </c>
      <c r="B560" s="10">
        <f>CHOOSE(CONTROL!$C$42, 15.6149, 15.6149) * CHOOSE(CONTROL!$C$21, $C$9, 100%, $E$9)</f>
        <v>15.6149</v>
      </c>
      <c r="C560" s="10">
        <f>CHOOSE(CONTROL!$C$42, 15.6229, 15.6229) * CHOOSE(CONTROL!$C$21, $C$9, 100%, $E$9)</f>
        <v>15.6229</v>
      </c>
      <c r="D560" s="10">
        <f>CHOOSE(CONTROL!$C$42, 15.798, 15.798) * CHOOSE(CONTROL!$C$21, $C$9, 100%, $E$9)</f>
        <v>15.798</v>
      </c>
      <c r="E560" s="10">
        <f>CHOOSE(CONTROL!$C$42, 15.8293, 15.8293) * CHOOSE(CONTROL!$C$21, $C$9, 100%, $E$9)</f>
        <v>15.8293</v>
      </c>
      <c r="F560" s="10">
        <f>CHOOSE(CONTROL!$C$42, 15.557, 15.557)*CHOOSE(CONTROL!$C$21, $C$9, 100%, $E$9)</f>
        <v>15.557</v>
      </c>
      <c r="G560" s="10">
        <f>CHOOSE(CONTROL!$C$42, 15.574, 15.574)*CHOOSE(CONTROL!$C$21, $C$9, 100%, $E$9)</f>
        <v>15.574</v>
      </c>
      <c r="H560" s="10">
        <f>CHOOSE(CONTROL!$C$42, 15.8176, 15.8176) * CHOOSE(CONTROL!$C$21, $C$9, 100%, $E$9)</f>
        <v>15.817600000000001</v>
      </c>
      <c r="I560" s="10">
        <f>CHOOSE(CONTROL!$C$42, 15.5896, 15.5896)* CHOOSE(CONTROL!$C$21, $C$9, 100%, $E$9)</f>
        <v>15.589600000000001</v>
      </c>
      <c r="J560" s="10">
        <f>CHOOSE(CONTROL!$C$42, 15.5496, 15.5496)* CHOOSE(CONTROL!$C$21, $C$9, 100%, $E$9)</f>
        <v>15.5496</v>
      </c>
      <c r="K560" s="10">
        <f>CHOOSE(CONTROL!$C$42, 15.2605, 15.2605) * CHOOSE(CONTROL!$C$21, $C$9, 100%, $E$9)</f>
        <v>15.2605</v>
      </c>
      <c r="L560" s="10">
        <f>CHOOSE(CONTROL!$C$42, 16.4046, 16.4046) * CHOOSE(CONTROL!$C$21, $C$9, 100%, $E$9)</f>
        <v>16.404599999999999</v>
      </c>
      <c r="M560" s="10">
        <f>CHOOSE(CONTROL!$C$42, 15.3814, 15.3814) * CHOOSE(CONTROL!$C$21, $C$9, 100%, $E$9)</f>
        <v>15.381399999999999</v>
      </c>
      <c r="N560" s="10">
        <f>CHOOSE(CONTROL!$C$42, 15.3982, 15.3982) * CHOOSE(CONTROL!$C$21, $C$9, 100%, $E$9)</f>
        <v>15.398199999999999</v>
      </c>
      <c r="O560" s="10">
        <f>CHOOSE(CONTROL!$C$42, 15.6459, 15.6459) * CHOOSE(CONTROL!$C$21, $C$9, 100%, $E$9)</f>
        <v>15.645899999999999</v>
      </c>
      <c r="P560" s="10">
        <f>CHOOSE(CONTROL!$C$42, 15.4208, 15.4208) * CHOOSE(CONTROL!$C$21, $C$9, 100%, $E$9)</f>
        <v>15.4208</v>
      </c>
      <c r="Q560" s="10">
        <f>CHOOSE(CONTROL!$C$42, 16.2412, 16.2412) * CHOOSE(CONTROL!$C$21, $C$9, 100%, $E$9)</f>
        <v>16.241199999999999</v>
      </c>
      <c r="R560" s="10">
        <f>CHOOSE(CONTROL!$C$42, 16.8688, 16.8688) * CHOOSE(CONTROL!$C$21, $C$9, 100%, $E$9)</f>
        <v>16.8688</v>
      </c>
      <c r="S560" s="10">
        <f>CHOOSE(CONTROL!$C$42, 15.1345, 15.1345) * CHOOSE(CONTROL!$C$21, $C$9, 100%, $E$9)</f>
        <v>15.134499999999999</v>
      </c>
      <c r="T56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38">
        <f>(1000*CHOOSE(CONTROL!$C$42, 695, 695)*CHOOSE(CONTROL!$C$42, 0.5599, 0.5599)*CHOOSE(CONTROL!$C$42, 31, 31))/1000000</f>
        <v>12.063045499999998</v>
      </c>
      <c r="V560" s="38">
        <f>(1000*CHOOSE(CONTROL!$C$42, 500, 500)*CHOOSE(CONTROL!$C$42, 0.275, 0.275)*CHOOSE(CONTROL!$C$42, 31, 31))/1000000</f>
        <v>4.2625000000000002</v>
      </c>
      <c r="W560" s="38">
        <f>(1000*CHOOSE(CONTROL!$C$42, 0.1146, 0.1146)*CHOOSE(CONTROL!$C$42, 121.5, 121.5)*CHOOSE(CONTROL!$C$42, 31, 31))/1000000</f>
        <v>0.43164089999999994</v>
      </c>
      <c r="X560" s="38">
        <f>(31*0.1790888*245000/1000000)+(31*0.2374*100000/1000000)</f>
        <v>2.0961194359999999</v>
      </c>
      <c r="Y560" s="38">
        <f>(1000*600*CHOOSE(CONTROL!$C$42, 1.0585, 1.0585)*CHOOSE(CONTROL!$C$42, 31, 31))/1000000</f>
        <v>19.688099999999999</v>
      </c>
      <c r="Z560" s="38"/>
      <c r="AA560" s="10"/>
      <c r="AB560" s="39"/>
      <c r="AC560" s="33">
        <f>(B560*194.205+C560*267.466+D560*133.845+E560*53.484+F560*40+G560*185+H560*0+I560*100+J560*300)/(194.205+267.466+133.845+53.484+0+40+185+100+300)</f>
        <v>15.61969687370487</v>
      </c>
      <c r="AD560" s="27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15.465148920863307</v>
      </c>
    </row>
    <row r="561" spans="1:30" ht="15.75" x14ac:dyDescent="0.25">
      <c r="A561" s="13">
        <v>58348</v>
      </c>
      <c r="B561" s="10">
        <f>CHOOSE(CONTROL!$C$42, 14.6227, 14.6227) * CHOOSE(CONTROL!$C$21, $C$9, 100%, $E$9)</f>
        <v>14.6227</v>
      </c>
      <c r="C561" s="10">
        <f>CHOOSE(CONTROL!$C$42, 14.6307, 14.6307) * CHOOSE(CONTROL!$C$21, $C$9, 100%, $E$9)</f>
        <v>14.630699999999999</v>
      </c>
      <c r="D561" s="10">
        <f>CHOOSE(CONTROL!$C$42, 14.8058, 14.8058) * CHOOSE(CONTROL!$C$21, $C$9, 100%, $E$9)</f>
        <v>14.8058</v>
      </c>
      <c r="E561" s="10">
        <f>CHOOSE(CONTROL!$C$42, 14.837, 14.837) * CHOOSE(CONTROL!$C$21, $C$9, 100%, $E$9)</f>
        <v>14.837</v>
      </c>
      <c r="F561" s="10">
        <f>CHOOSE(CONTROL!$C$42, 14.5645, 14.5645)*CHOOSE(CONTROL!$C$21, $C$9, 100%, $E$9)</f>
        <v>14.564500000000001</v>
      </c>
      <c r="G561" s="10">
        <f>CHOOSE(CONTROL!$C$42, 14.5814, 14.5814)*CHOOSE(CONTROL!$C$21, $C$9, 100%, $E$9)</f>
        <v>14.5814</v>
      </c>
      <c r="H561" s="10">
        <f>CHOOSE(CONTROL!$C$42, 14.8253, 14.8253) * CHOOSE(CONTROL!$C$21, $C$9, 100%, $E$9)</f>
        <v>14.8253</v>
      </c>
      <c r="I561" s="10">
        <f>CHOOSE(CONTROL!$C$42, 14.5973, 14.5973)* CHOOSE(CONTROL!$C$21, $C$9, 100%, $E$9)</f>
        <v>14.597300000000001</v>
      </c>
      <c r="J561" s="10">
        <f>CHOOSE(CONTROL!$C$42, 14.5571, 14.5571)* CHOOSE(CONTROL!$C$21, $C$9, 100%, $E$9)</f>
        <v>14.5571</v>
      </c>
      <c r="K561" s="10">
        <f>CHOOSE(CONTROL!$C$42, 14.2985, 14.2985) * CHOOSE(CONTROL!$C$21, $C$9, 100%, $E$9)</f>
        <v>14.298500000000001</v>
      </c>
      <c r="L561" s="10">
        <f>CHOOSE(CONTROL!$C$42, 15.4123, 15.4123) * CHOOSE(CONTROL!$C$21, $C$9, 100%, $E$9)</f>
        <v>15.4123</v>
      </c>
      <c r="M561" s="10">
        <f>CHOOSE(CONTROL!$C$42, 14.4017, 14.4017) * CHOOSE(CONTROL!$C$21, $C$9, 100%, $E$9)</f>
        <v>14.4017</v>
      </c>
      <c r="N561" s="10">
        <f>CHOOSE(CONTROL!$C$42, 14.4184, 14.4184) * CHOOSE(CONTROL!$C$21, $C$9, 100%, $E$9)</f>
        <v>14.4184</v>
      </c>
      <c r="O561" s="10">
        <f>CHOOSE(CONTROL!$C$42, 14.6665, 14.6665) * CHOOSE(CONTROL!$C$21, $C$9, 100%, $E$9)</f>
        <v>14.666499999999999</v>
      </c>
      <c r="P561" s="10">
        <f>CHOOSE(CONTROL!$C$42, 14.4414, 14.4414) * CHOOSE(CONTROL!$C$21, $C$9, 100%, $E$9)</f>
        <v>14.4414</v>
      </c>
      <c r="Q561" s="10">
        <f>CHOOSE(CONTROL!$C$42, 15.2618, 15.2618) * CHOOSE(CONTROL!$C$21, $C$9, 100%, $E$9)</f>
        <v>15.261799999999999</v>
      </c>
      <c r="R561" s="10">
        <f>CHOOSE(CONTROL!$C$42, 15.8869, 15.8869) * CHOOSE(CONTROL!$C$21, $C$9, 100%, $E$9)</f>
        <v>15.886900000000001</v>
      </c>
      <c r="S561" s="10">
        <f>CHOOSE(CONTROL!$C$42, 14.1737, 14.1737) * CHOOSE(CONTROL!$C$21, $C$9, 100%, $E$9)</f>
        <v>14.1737</v>
      </c>
      <c r="T56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38">
        <f>(1000*CHOOSE(CONTROL!$C$42, 695, 695)*CHOOSE(CONTROL!$C$42, 0.5599, 0.5599)*CHOOSE(CONTROL!$C$42, 30, 30))/1000000</f>
        <v>11.673914999999997</v>
      </c>
      <c r="V561" s="38">
        <f>(1000*CHOOSE(CONTROL!$C$42, 500, 500)*CHOOSE(CONTROL!$C$42, 0.275, 0.275)*CHOOSE(CONTROL!$C$42, 30, 30))/1000000</f>
        <v>4.125</v>
      </c>
      <c r="W561" s="38">
        <f>(1000*CHOOSE(CONTROL!$C$42, 0.1146, 0.1146)*CHOOSE(CONTROL!$C$42, 121.5, 121.5)*CHOOSE(CONTROL!$C$42, 30, 30))/1000000</f>
        <v>0.417717</v>
      </c>
      <c r="X561" s="38">
        <f>(30*0.1790888*245000/1000000)+(30*0.2374*100000/1000000)</f>
        <v>2.0285026799999999</v>
      </c>
      <c r="Y561" s="38">
        <f>(1000*600*CHOOSE(CONTROL!$C$42, 1.0585, 1.0585)*CHOOSE(CONTROL!$C$42, 30, 30))/1000000</f>
        <v>19.053000000000001</v>
      </c>
      <c r="Z561" s="38"/>
      <c r="AA561" s="10"/>
      <c r="AB561" s="39"/>
      <c r="AC561" s="33">
        <f>(B561*194.205+C561*267.466+D561*133.845+E561*53.484+F561*40+G561*185+H561*0+I561*100+J561*300)/(194.205+267.466+133.845+53.484+0+40+185+100+300)</f>
        <v>14.627346678728415</v>
      </c>
      <c r="AD561" s="27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14.48555323741007</v>
      </c>
    </row>
    <row r="562" spans="1:30" ht="15.75" x14ac:dyDescent="0.25">
      <c r="A562" s="13">
        <v>58379</v>
      </c>
      <c r="B562" s="10">
        <f>CHOOSE(CONTROL!$C$42, 14.3234, 14.3234) * CHOOSE(CONTROL!$C$21, $C$9, 100%, $E$9)</f>
        <v>14.323399999999999</v>
      </c>
      <c r="C562" s="10">
        <f>CHOOSE(CONTROL!$C$42, 14.3287, 14.3287) * CHOOSE(CONTROL!$C$21, $C$9, 100%, $E$9)</f>
        <v>14.3287</v>
      </c>
      <c r="D562" s="10">
        <f>CHOOSE(CONTROL!$C$42, 14.5087, 14.5087) * CHOOSE(CONTROL!$C$21, $C$9, 100%, $E$9)</f>
        <v>14.508699999999999</v>
      </c>
      <c r="E562" s="10">
        <f>CHOOSE(CONTROL!$C$42, 14.5376, 14.5376) * CHOOSE(CONTROL!$C$21, $C$9, 100%, $E$9)</f>
        <v>14.537599999999999</v>
      </c>
      <c r="F562" s="10">
        <f>CHOOSE(CONTROL!$C$42, 14.2672, 14.2672)*CHOOSE(CONTROL!$C$21, $C$9, 100%, $E$9)</f>
        <v>14.267200000000001</v>
      </c>
      <c r="G562" s="10">
        <f>CHOOSE(CONTROL!$C$42, 14.2838, 14.2838)*CHOOSE(CONTROL!$C$21, $C$9, 100%, $E$9)</f>
        <v>14.283799999999999</v>
      </c>
      <c r="H562" s="10">
        <f>CHOOSE(CONTROL!$C$42, 14.5278, 14.5278) * CHOOSE(CONTROL!$C$21, $C$9, 100%, $E$9)</f>
        <v>14.527799999999999</v>
      </c>
      <c r="I562" s="10">
        <f>CHOOSE(CONTROL!$C$42, 14.2997, 14.2997)* CHOOSE(CONTROL!$C$21, $C$9, 100%, $E$9)</f>
        <v>14.2997</v>
      </c>
      <c r="J562" s="10">
        <f>CHOOSE(CONTROL!$C$42, 14.2598, 14.2598)* CHOOSE(CONTROL!$C$21, $C$9, 100%, $E$9)</f>
        <v>14.2598</v>
      </c>
      <c r="K562" s="10">
        <f>CHOOSE(CONTROL!$C$42, 14.0108, 14.0108) * CHOOSE(CONTROL!$C$21, $C$9, 100%, $E$9)</f>
        <v>14.0108</v>
      </c>
      <c r="L562" s="10">
        <f>CHOOSE(CONTROL!$C$42, 15.1148, 15.1148) * CHOOSE(CONTROL!$C$21, $C$9, 100%, $E$9)</f>
        <v>15.114800000000001</v>
      </c>
      <c r="M562" s="10">
        <f>CHOOSE(CONTROL!$C$42, 14.1082, 14.1082) * CHOOSE(CONTROL!$C$21, $C$9, 100%, $E$9)</f>
        <v>14.1082</v>
      </c>
      <c r="N562" s="10">
        <f>CHOOSE(CONTROL!$C$42, 14.1246, 14.1246) * CHOOSE(CONTROL!$C$21, $C$9, 100%, $E$9)</f>
        <v>14.124599999999999</v>
      </c>
      <c r="O562" s="10">
        <f>CHOOSE(CONTROL!$C$42, 14.3727, 14.3727) * CHOOSE(CONTROL!$C$21, $C$9, 100%, $E$9)</f>
        <v>14.3727</v>
      </c>
      <c r="P562" s="10">
        <f>CHOOSE(CONTROL!$C$42, 14.1477, 14.1477) * CHOOSE(CONTROL!$C$21, $C$9, 100%, $E$9)</f>
        <v>14.1477</v>
      </c>
      <c r="Q562" s="10">
        <f>CHOOSE(CONTROL!$C$42, 14.968, 14.968) * CHOOSE(CONTROL!$C$21, $C$9, 100%, $E$9)</f>
        <v>14.968</v>
      </c>
      <c r="R562" s="10">
        <f>CHOOSE(CONTROL!$C$42, 15.5925, 15.5925) * CHOOSE(CONTROL!$C$21, $C$9, 100%, $E$9)</f>
        <v>15.592499999999999</v>
      </c>
      <c r="S562" s="10">
        <f>CHOOSE(CONTROL!$C$42, 13.8856, 13.8856) * CHOOSE(CONTROL!$C$21, $C$9, 100%, $E$9)</f>
        <v>13.8856</v>
      </c>
      <c r="T56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38">
        <f>(1000*CHOOSE(CONTROL!$C$42, 695, 695)*CHOOSE(CONTROL!$C$42, 0.5599, 0.5599)*CHOOSE(CONTROL!$C$42, 31, 31))/1000000</f>
        <v>12.063045499999998</v>
      </c>
      <c r="V562" s="38">
        <f>(1000*CHOOSE(CONTROL!$C$42, 500, 500)*CHOOSE(CONTROL!$C$42, 0.275, 0.275)*CHOOSE(CONTROL!$C$42, 31, 31))/1000000</f>
        <v>4.2625000000000002</v>
      </c>
      <c r="W562" s="38">
        <f>(1000*CHOOSE(CONTROL!$C$42, 0.1146, 0.1146)*CHOOSE(CONTROL!$C$42, 121.5, 121.5)*CHOOSE(CONTROL!$C$42, 31, 31))/1000000</f>
        <v>0.43164089999999994</v>
      </c>
      <c r="X562" s="38">
        <f>(31*0.1790888*245000/1000000)+(31*0.2374*100000/1000000)</f>
        <v>2.0961194359999999</v>
      </c>
      <c r="Y562" s="38">
        <f>(1000*600*CHOOSE(CONTROL!$C$42, 1.0585, 1.0585)*CHOOSE(CONTROL!$C$42, 31, 31))/1000000</f>
        <v>19.688099999999999</v>
      </c>
      <c r="Z562" s="38"/>
      <c r="AA562" s="10"/>
      <c r="AB562" s="39"/>
      <c r="AC562" s="33">
        <f>(B562*131.881+C562*277.167+D562*79.08+E562*125.872+F562*40+G562*185+H562*0+I562*100+J562*300)/(131.881+277.167+79.08+125.872+0+40+185+100+300)</f>
        <v>14.33313389144471</v>
      </c>
      <c r="AD562" s="27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14.191871223021584</v>
      </c>
    </row>
    <row r="563" spans="1:30" ht="15.75" x14ac:dyDescent="0.25">
      <c r="A563" s="13">
        <v>58409</v>
      </c>
      <c r="B563" s="10">
        <f>CHOOSE(CONTROL!$C$42, 14.7007, 14.7007) * CHOOSE(CONTROL!$C$21, $C$9, 100%, $E$9)</f>
        <v>14.700699999999999</v>
      </c>
      <c r="C563" s="10">
        <f>CHOOSE(CONTROL!$C$42, 14.7058, 14.7058) * CHOOSE(CONTROL!$C$21, $C$9, 100%, $E$9)</f>
        <v>14.7058</v>
      </c>
      <c r="D563" s="10">
        <f>CHOOSE(CONTROL!$C$42, 14.7305, 14.7305) * CHOOSE(CONTROL!$C$21, $C$9, 100%, $E$9)</f>
        <v>14.730499999999999</v>
      </c>
      <c r="E563" s="10">
        <f>CHOOSE(CONTROL!$C$42, 14.7643, 14.7643) * CHOOSE(CONTROL!$C$21, $C$9, 100%, $E$9)</f>
        <v>14.7643</v>
      </c>
      <c r="F563" s="10">
        <f>CHOOSE(CONTROL!$C$42, 14.6664, 14.6664)*CHOOSE(CONTROL!$C$21, $C$9, 100%, $E$9)</f>
        <v>14.666399999999999</v>
      </c>
      <c r="G563" s="10">
        <f>CHOOSE(CONTROL!$C$42, 14.6832, 14.6832)*CHOOSE(CONTROL!$C$21, $C$9, 100%, $E$9)</f>
        <v>14.683199999999999</v>
      </c>
      <c r="H563" s="10">
        <f>CHOOSE(CONTROL!$C$42, 14.7532, 14.7532) * CHOOSE(CONTROL!$C$21, $C$9, 100%, $E$9)</f>
        <v>14.7532</v>
      </c>
      <c r="I563" s="10">
        <f>CHOOSE(CONTROL!$C$42, 14.7002, 14.7002)* CHOOSE(CONTROL!$C$21, $C$9, 100%, $E$9)</f>
        <v>14.700200000000001</v>
      </c>
      <c r="J563" s="10">
        <f>CHOOSE(CONTROL!$C$42, 14.659, 14.659)* CHOOSE(CONTROL!$C$21, $C$9, 100%, $E$9)</f>
        <v>14.659000000000001</v>
      </c>
      <c r="K563" s="10">
        <f>CHOOSE(CONTROL!$C$42, 14.4006, 14.4006) * CHOOSE(CONTROL!$C$21, $C$9, 100%, $E$9)</f>
        <v>14.400600000000001</v>
      </c>
      <c r="L563" s="10">
        <f>CHOOSE(CONTROL!$C$42, 15.3402, 15.3402) * CHOOSE(CONTROL!$C$21, $C$9, 100%, $E$9)</f>
        <v>15.340199999999999</v>
      </c>
      <c r="M563" s="10">
        <f>CHOOSE(CONTROL!$C$42, 14.5023, 14.5023) * CHOOSE(CONTROL!$C$21, $C$9, 100%, $E$9)</f>
        <v>14.5023</v>
      </c>
      <c r="N563" s="10">
        <f>CHOOSE(CONTROL!$C$42, 14.5188, 14.5188) * CHOOSE(CONTROL!$C$21, $C$9, 100%, $E$9)</f>
        <v>14.518800000000001</v>
      </c>
      <c r="O563" s="10">
        <f>CHOOSE(CONTROL!$C$42, 14.5953, 14.5953) * CHOOSE(CONTROL!$C$21, $C$9, 100%, $E$9)</f>
        <v>14.5953</v>
      </c>
      <c r="P563" s="10">
        <f>CHOOSE(CONTROL!$C$42, 14.543, 14.543) * CHOOSE(CONTROL!$C$21, $C$9, 100%, $E$9)</f>
        <v>14.542999999999999</v>
      </c>
      <c r="Q563" s="10">
        <f>CHOOSE(CONTROL!$C$42, 15.1906, 15.1906) * CHOOSE(CONTROL!$C$21, $C$9, 100%, $E$9)</f>
        <v>15.1906</v>
      </c>
      <c r="R563" s="10">
        <f>CHOOSE(CONTROL!$C$42, 15.8155, 15.8155) * CHOOSE(CONTROL!$C$21, $C$9, 100%, $E$9)</f>
        <v>15.8155</v>
      </c>
      <c r="S563" s="10">
        <f>CHOOSE(CONTROL!$C$42, 14.2514, 14.2514) * CHOOSE(CONTROL!$C$21, $C$9, 100%, $E$9)</f>
        <v>14.2514</v>
      </c>
      <c r="T56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38">
        <f>(1000*CHOOSE(CONTROL!$C$42, 695, 695)*CHOOSE(CONTROL!$C$42, 0.5599, 0.5599)*CHOOSE(CONTROL!$C$42, 30, 30))/1000000</f>
        <v>11.673914999999997</v>
      </c>
      <c r="V563" s="38">
        <f>(1000*CHOOSE(CONTROL!$C$42, 500, 500)*CHOOSE(CONTROL!$C$42, 0.275, 0.275)*CHOOSE(CONTROL!$C$42, 30, 30))/1000000</f>
        <v>4.125</v>
      </c>
      <c r="W563" s="38">
        <f>(1000*CHOOSE(CONTROL!$C$42, 0.1146, 0.1146)*CHOOSE(CONTROL!$C$42, 121.5, 121.5)*CHOOSE(CONTROL!$C$42, 30, 30))/1000000</f>
        <v>0.417717</v>
      </c>
      <c r="X563" s="38">
        <f>(30*0.1790888*100000/1000000)+(30*0.2374*100000/1000000)</f>
        <v>1.2494664</v>
      </c>
      <c r="Y563" s="38">
        <f>(1000*600*CHOOSE(CONTROL!$C$42, 1.0585, 1.0585)*CHOOSE(CONTROL!$C$42, 30, 30))/1000000</f>
        <v>19.053000000000001</v>
      </c>
      <c r="Z563" s="38"/>
      <c r="AA563" s="10"/>
      <c r="AB563" s="39"/>
      <c r="AC563" s="33">
        <f>(B563*122.58+C563*297.941+D563*89.177+E563*40.302+F563*40+G563*160+H563*0+I563*100+J563*300)/(122.58+297.941+89.177+40.302+0+40+160+100+300)</f>
        <v>14.692011461652175</v>
      </c>
      <c r="AD563" s="27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14.551256834532374</v>
      </c>
    </row>
    <row r="564" spans="1:30" ht="15.75" x14ac:dyDescent="0.25">
      <c r="A564" s="13">
        <v>58440</v>
      </c>
      <c r="B564" s="10">
        <f>CHOOSE(CONTROL!$C$42, 15.7041, 15.7041) * CHOOSE(CONTROL!$C$21, $C$9, 100%, $E$9)</f>
        <v>15.7041</v>
      </c>
      <c r="C564" s="10">
        <f>CHOOSE(CONTROL!$C$42, 15.7092, 15.7092) * CHOOSE(CONTROL!$C$21, $C$9, 100%, $E$9)</f>
        <v>15.709199999999999</v>
      </c>
      <c r="D564" s="10">
        <f>CHOOSE(CONTROL!$C$42, 15.7339, 15.7339) * CHOOSE(CONTROL!$C$21, $C$9, 100%, $E$9)</f>
        <v>15.7339</v>
      </c>
      <c r="E564" s="10">
        <f>CHOOSE(CONTROL!$C$42, 15.7677, 15.7677) * CHOOSE(CONTROL!$C$21, $C$9, 100%, $E$9)</f>
        <v>15.7677</v>
      </c>
      <c r="F564" s="10">
        <f>CHOOSE(CONTROL!$C$42, 15.6716, 15.6716)*CHOOSE(CONTROL!$C$21, $C$9, 100%, $E$9)</f>
        <v>15.6716</v>
      </c>
      <c r="G564" s="10">
        <f>CHOOSE(CONTROL!$C$42, 15.6888, 15.6888)*CHOOSE(CONTROL!$C$21, $C$9, 100%, $E$9)</f>
        <v>15.688800000000001</v>
      </c>
      <c r="H564" s="10">
        <f>CHOOSE(CONTROL!$C$42, 15.7566, 15.7566) * CHOOSE(CONTROL!$C$21, $C$9, 100%, $E$9)</f>
        <v>15.756600000000001</v>
      </c>
      <c r="I564" s="10">
        <f>CHOOSE(CONTROL!$C$42, 15.7036, 15.7036)* CHOOSE(CONTROL!$C$21, $C$9, 100%, $E$9)</f>
        <v>15.7036</v>
      </c>
      <c r="J564" s="10">
        <f>CHOOSE(CONTROL!$C$42, 15.6642, 15.6642)* CHOOSE(CONTROL!$C$21, $C$9, 100%, $E$9)</f>
        <v>15.664199999999999</v>
      </c>
      <c r="K564" s="10">
        <f>CHOOSE(CONTROL!$C$42, 15.3765, 15.3765) * CHOOSE(CONTROL!$C$21, $C$9, 100%, $E$9)</f>
        <v>15.3765</v>
      </c>
      <c r="L564" s="10">
        <f>CHOOSE(CONTROL!$C$42, 16.3436, 16.3436) * CHOOSE(CONTROL!$C$21, $C$9, 100%, $E$9)</f>
        <v>16.343599999999999</v>
      </c>
      <c r="M564" s="10">
        <f>CHOOSE(CONTROL!$C$42, 15.4944, 15.4944) * CHOOSE(CONTROL!$C$21, $C$9, 100%, $E$9)</f>
        <v>15.494400000000001</v>
      </c>
      <c r="N564" s="10">
        <f>CHOOSE(CONTROL!$C$42, 15.5115, 15.5115) * CHOOSE(CONTROL!$C$21, $C$9, 100%, $E$9)</f>
        <v>15.5115</v>
      </c>
      <c r="O564" s="10">
        <f>CHOOSE(CONTROL!$C$42, 15.5857, 15.5857) * CHOOSE(CONTROL!$C$21, $C$9, 100%, $E$9)</f>
        <v>15.585699999999999</v>
      </c>
      <c r="P564" s="10">
        <f>CHOOSE(CONTROL!$C$42, 15.5334, 15.5334) * CHOOSE(CONTROL!$C$21, $C$9, 100%, $E$9)</f>
        <v>15.5334</v>
      </c>
      <c r="Q564" s="10">
        <f>CHOOSE(CONTROL!$C$42, 16.181, 16.181) * CHOOSE(CONTROL!$C$21, $C$9, 100%, $E$9)</f>
        <v>16.181000000000001</v>
      </c>
      <c r="R564" s="10">
        <f>CHOOSE(CONTROL!$C$42, 16.8084, 16.8084) * CHOOSE(CONTROL!$C$21, $C$9, 100%, $E$9)</f>
        <v>16.808399999999999</v>
      </c>
      <c r="S564" s="10">
        <f>CHOOSE(CONTROL!$C$42, 15.223, 15.223) * CHOOSE(CONTROL!$C$21, $C$9, 100%, $E$9)</f>
        <v>15.223000000000001</v>
      </c>
      <c r="T56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38">
        <f>(1000*CHOOSE(CONTROL!$C$42, 695, 695)*CHOOSE(CONTROL!$C$42, 0.5599, 0.5599)*CHOOSE(CONTROL!$C$42, 31, 31))/1000000</f>
        <v>12.063045499999998</v>
      </c>
      <c r="V564" s="38">
        <f>(1000*CHOOSE(CONTROL!$C$42, 500, 500)*CHOOSE(CONTROL!$C$42, 0.275, 0.275)*CHOOSE(CONTROL!$C$42, 31, 31))/1000000</f>
        <v>4.2625000000000002</v>
      </c>
      <c r="W564" s="38">
        <f>(1000*CHOOSE(CONTROL!$C$42, 0.1146, 0.1146)*CHOOSE(CONTROL!$C$42, 121.5, 121.5)*CHOOSE(CONTROL!$C$42, 31, 31))/1000000</f>
        <v>0.43164089999999994</v>
      </c>
      <c r="X564" s="38">
        <f>(31*0.1790888*100000/1000000)+(31*0.2374*100000/1000000)</f>
        <v>1.2911152800000001</v>
      </c>
      <c r="Y564" s="38">
        <f>(1000*600*CHOOSE(CONTROL!$C$42, 1.0585, 1.0585)*CHOOSE(CONTROL!$C$42, 31, 31))/1000000</f>
        <v>19.688099999999999</v>
      </c>
      <c r="Z564" s="38"/>
      <c r="AA564" s="10"/>
      <c r="AB564" s="39"/>
      <c r="AC564" s="33">
        <f>(B564*122.58+C564*297.941+D564*89.177+E564*40.302+F564*40+G564*160+H564*0+I564*100+J564*300)/(122.58+297.941+89.177+40.302+0+40+160+100+300)</f>
        <v>15.69624972252174</v>
      </c>
      <c r="AD564" s="27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15.542376258992805</v>
      </c>
    </row>
    <row r="565" spans="1:30" ht="15.75" x14ac:dyDescent="0.25">
      <c r="A565" s="13">
        <v>58471</v>
      </c>
      <c r="B565" s="10">
        <f>CHOOSE(CONTROL!$C$42, 16.7652, 16.7652) * CHOOSE(CONTROL!$C$21, $C$9, 100%, $E$9)</f>
        <v>16.7652</v>
      </c>
      <c r="C565" s="10">
        <f>CHOOSE(CONTROL!$C$42, 16.7703, 16.7703) * CHOOSE(CONTROL!$C$21, $C$9, 100%, $E$9)</f>
        <v>16.770299999999999</v>
      </c>
      <c r="D565" s="10">
        <f>CHOOSE(CONTROL!$C$42, 16.8053, 16.8053) * CHOOSE(CONTROL!$C$21, $C$9, 100%, $E$9)</f>
        <v>16.805299999999999</v>
      </c>
      <c r="E565" s="10">
        <f>CHOOSE(CONTROL!$C$42, 16.8391, 16.8391) * CHOOSE(CONTROL!$C$21, $C$9, 100%, $E$9)</f>
        <v>16.839099999999998</v>
      </c>
      <c r="F565" s="10">
        <f>CHOOSE(CONTROL!$C$42, 16.7465, 16.7465)*CHOOSE(CONTROL!$C$21, $C$9, 100%, $E$9)</f>
        <v>16.746500000000001</v>
      </c>
      <c r="G565" s="10">
        <f>CHOOSE(CONTROL!$C$42, 16.7654, 16.7654)*CHOOSE(CONTROL!$C$21, $C$9, 100%, $E$9)</f>
        <v>16.7654</v>
      </c>
      <c r="H565" s="10">
        <f>CHOOSE(CONTROL!$C$42, 16.828, 16.828) * CHOOSE(CONTROL!$C$21, $C$9, 100%, $E$9)</f>
        <v>16.827999999999999</v>
      </c>
      <c r="I565" s="10">
        <f>CHOOSE(CONTROL!$C$42, 16.7724, 16.7724)* CHOOSE(CONTROL!$C$21, $C$9, 100%, $E$9)</f>
        <v>16.772400000000001</v>
      </c>
      <c r="J565" s="10">
        <f>CHOOSE(CONTROL!$C$42, 16.7391, 16.7391)* CHOOSE(CONTROL!$C$21, $C$9, 100%, $E$9)</f>
        <v>16.739100000000001</v>
      </c>
      <c r="K565" s="10">
        <f>CHOOSE(CONTROL!$C$42, 16.4252, 16.4252) * CHOOSE(CONTROL!$C$21, $C$9, 100%, $E$9)</f>
        <v>16.4252</v>
      </c>
      <c r="L565" s="10">
        <f>CHOOSE(CONTROL!$C$42, 17.415, 17.415) * CHOOSE(CONTROL!$C$21, $C$9, 100%, $E$9)</f>
        <v>17.414999999999999</v>
      </c>
      <c r="M565" s="10">
        <f>CHOOSE(CONTROL!$C$42, 16.5554, 16.5554) * CHOOSE(CONTROL!$C$21, $C$9, 100%, $E$9)</f>
        <v>16.555399999999999</v>
      </c>
      <c r="N565" s="10">
        <f>CHOOSE(CONTROL!$C$42, 16.5741, 16.5741) * CHOOSE(CONTROL!$C$21, $C$9, 100%, $E$9)</f>
        <v>16.574100000000001</v>
      </c>
      <c r="O565" s="10">
        <f>CHOOSE(CONTROL!$C$42, 16.6432, 16.6432) * CHOOSE(CONTROL!$C$21, $C$9, 100%, $E$9)</f>
        <v>16.6432</v>
      </c>
      <c r="P565" s="10">
        <f>CHOOSE(CONTROL!$C$42, 16.5884, 16.5884) * CHOOSE(CONTROL!$C$21, $C$9, 100%, $E$9)</f>
        <v>16.5884</v>
      </c>
      <c r="Q565" s="10">
        <f>CHOOSE(CONTROL!$C$42, 17.2385, 17.2385) * CHOOSE(CONTROL!$C$21, $C$9, 100%, $E$9)</f>
        <v>17.238499999999998</v>
      </c>
      <c r="R565" s="10">
        <f>CHOOSE(CONTROL!$C$42, 17.8686, 17.8686) * CHOOSE(CONTROL!$C$21, $C$9, 100%, $E$9)</f>
        <v>17.868600000000001</v>
      </c>
      <c r="S565" s="10">
        <f>CHOOSE(CONTROL!$C$42, 16.2504, 16.2504) * CHOOSE(CONTROL!$C$21, $C$9, 100%, $E$9)</f>
        <v>16.250399999999999</v>
      </c>
      <c r="T56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38">
        <f>(1000*CHOOSE(CONTROL!$C$42, 695, 695)*CHOOSE(CONTROL!$C$42, 0.5599, 0.5599)*CHOOSE(CONTROL!$C$42, 31, 31))/1000000</f>
        <v>12.063045499999998</v>
      </c>
      <c r="V565" s="38">
        <f>(1000*CHOOSE(CONTROL!$C$42, 500, 500)*CHOOSE(CONTROL!$C$42, 0.275, 0.275)*CHOOSE(CONTROL!$C$42, 31, 31))/1000000</f>
        <v>4.2625000000000002</v>
      </c>
      <c r="W565" s="38">
        <f>(1000*CHOOSE(CONTROL!$C$42, 0.1146, 0.1146)*CHOOSE(CONTROL!$C$42, 121.5, 121.5)*CHOOSE(CONTROL!$C$42, 31, 31))/1000000</f>
        <v>0.43164089999999994</v>
      </c>
      <c r="X565" s="38">
        <f>(31*0.1790888*100000/1000000)+(31*0.2374*100000/1000000)</f>
        <v>1.2911152800000001</v>
      </c>
      <c r="Y565" s="38">
        <f>(1000*600*CHOOSE(CONTROL!$C$42, 1.0585, 1.0585)*CHOOSE(CONTROL!$C$42, 31, 31))/1000000</f>
        <v>19.688099999999999</v>
      </c>
      <c r="Z565" s="38"/>
      <c r="AA565" s="10"/>
      <c r="AB565" s="39"/>
      <c r="AC565" s="33">
        <f>(B565*122.58+C565*297.941+D565*89.177+E565*40.302+F565*40+G565*160+H565*0+I565*100+J565*300)/(122.58+297.941+89.177+40.302+0+40+160+100+300)</f>
        <v>16.765415490956521</v>
      </c>
      <c r="AD565" s="27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16.601018705035973</v>
      </c>
    </row>
    <row r="566" spans="1:30" ht="15.75" x14ac:dyDescent="0.25">
      <c r="A566" s="13">
        <v>58499</v>
      </c>
      <c r="B566" s="10">
        <f>CHOOSE(CONTROL!$C$42, 17.0639, 17.0639) * CHOOSE(CONTROL!$C$21, $C$9, 100%, $E$9)</f>
        <v>17.0639</v>
      </c>
      <c r="C566" s="10">
        <f>CHOOSE(CONTROL!$C$42, 17.069, 17.069) * CHOOSE(CONTROL!$C$21, $C$9, 100%, $E$9)</f>
        <v>17.068999999999999</v>
      </c>
      <c r="D566" s="10">
        <f>CHOOSE(CONTROL!$C$42, 17.104, 17.104) * CHOOSE(CONTROL!$C$21, $C$9, 100%, $E$9)</f>
        <v>17.103999999999999</v>
      </c>
      <c r="E566" s="10">
        <f>CHOOSE(CONTROL!$C$42, 17.1378, 17.1378) * CHOOSE(CONTROL!$C$21, $C$9, 100%, $E$9)</f>
        <v>17.137799999999999</v>
      </c>
      <c r="F566" s="10">
        <f>CHOOSE(CONTROL!$C$42, 17.0447, 17.0447)*CHOOSE(CONTROL!$C$21, $C$9, 100%, $E$9)</f>
        <v>17.044699999999999</v>
      </c>
      <c r="G566" s="10">
        <f>CHOOSE(CONTROL!$C$42, 17.0634, 17.0634)*CHOOSE(CONTROL!$C$21, $C$9, 100%, $E$9)</f>
        <v>17.063400000000001</v>
      </c>
      <c r="H566" s="10">
        <f>CHOOSE(CONTROL!$C$42, 17.1267, 17.1267) * CHOOSE(CONTROL!$C$21, $C$9, 100%, $E$9)</f>
        <v>17.1267</v>
      </c>
      <c r="I566" s="10">
        <f>CHOOSE(CONTROL!$C$42, 17.0712, 17.0712)* CHOOSE(CONTROL!$C$21, $C$9, 100%, $E$9)</f>
        <v>17.071200000000001</v>
      </c>
      <c r="J566" s="10">
        <f>CHOOSE(CONTROL!$C$42, 17.0373, 17.0373)* CHOOSE(CONTROL!$C$21, $C$9, 100%, $E$9)</f>
        <v>17.037299999999998</v>
      </c>
      <c r="K566" s="10">
        <f>CHOOSE(CONTROL!$C$42, 16.7135, 16.7135) * CHOOSE(CONTROL!$C$21, $C$9, 100%, $E$9)</f>
        <v>16.7135</v>
      </c>
      <c r="L566" s="10">
        <f>CHOOSE(CONTROL!$C$42, 17.7137, 17.7137) * CHOOSE(CONTROL!$C$21, $C$9, 100%, $E$9)</f>
        <v>17.713699999999999</v>
      </c>
      <c r="M566" s="10">
        <f>CHOOSE(CONTROL!$C$42, 16.8498, 16.8498) * CHOOSE(CONTROL!$C$21, $C$9, 100%, $E$9)</f>
        <v>16.849799999999998</v>
      </c>
      <c r="N566" s="10">
        <f>CHOOSE(CONTROL!$C$42, 16.8683, 16.8683) * CHOOSE(CONTROL!$C$21, $C$9, 100%, $E$9)</f>
        <v>16.868300000000001</v>
      </c>
      <c r="O566" s="10">
        <f>CHOOSE(CONTROL!$C$42, 16.9381, 16.9381) * CHOOSE(CONTROL!$C$21, $C$9, 100%, $E$9)</f>
        <v>16.938099999999999</v>
      </c>
      <c r="P566" s="10">
        <f>CHOOSE(CONTROL!$C$42, 16.8833, 16.8833) * CHOOSE(CONTROL!$C$21, $C$9, 100%, $E$9)</f>
        <v>16.883299999999998</v>
      </c>
      <c r="Q566" s="10">
        <f>CHOOSE(CONTROL!$C$42, 17.5334, 17.5334) * CHOOSE(CONTROL!$C$21, $C$9, 100%, $E$9)</f>
        <v>17.5334</v>
      </c>
      <c r="R566" s="10">
        <f>CHOOSE(CONTROL!$C$42, 18.1642, 18.1642) * CHOOSE(CONTROL!$C$21, $C$9, 100%, $E$9)</f>
        <v>18.164200000000001</v>
      </c>
      <c r="S566" s="10">
        <f>CHOOSE(CONTROL!$C$42, 16.5397, 16.5397) * CHOOSE(CONTROL!$C$21, $C$9, 100%, $E$9)</f>
        <v>16.5397</v>
      </c>
      <c r="T56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66" s="38">
        <f>(1000*CHOOSE(CONTROL!$C$42, 695, 695)*CHOOSE(CONTROL!$C$42, 0.5599, 0.5599)*CHOOSE(CONTROL!$C$42, 29, 29))/1000000</f>
        <v>11.284784499999999</v>
      </c>
      <c r="V566" s="38">
        <f>(1000*CHOOSE(CONTROL!$C$42, 500, 500)*CHOOSE(CONTROL!$C$42, 0.275, 0.275)*CHOOSE(CONTROL!$C$42, 29, 29))/1000000</f>
        <v>3.9874999999999998</v>
      </c>
      <c r="W566" s="38">
        <f>(1000*CHOOSE(CONTROL!$C$42, 0.1146, 0.1146)*CHOOSE(CONTROL!$C$42, 121.5, 121.5)*CHOOSE(CONTROL!$C$42, 29, 29))/1000000</f>
        <v>0.40379309999999996</v>
      </c>
      <c r="X566" s="38">
        <f>(29*0.1790888*100000/1000000)+(29*0.2374*100000/1000000)</f>
        <v>1.2078175199999999</v>
      </c>
      <c r="Y566" s="38">
        <f>(1000*600*CHOOSE(CONTROL!$C$42, 1.0585, 1.0585)*CHOOSE(CONTROL!$C$42, 29, 29))/1000000</f>
        <v>18.417899999999999</v>
      </c>
      <c r="Z566" s="38"/>
      <c r="AA566" s="10"/>
      <c r="AB566" s="39"/>
      <c r="AC566" s="33">
        <f>(B566*122.58+C566*297.941+D566*89.177+E566*40.302+F566*40+G566*160+H566*0+I566*100+J566*300)/(122.58+297.941+89.177+40.302+0+40+160+100+300)</f>
        <v>17.063878969217392</v>
      </c>
      <c r="AD566" s="27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16.895705755395682</v>
      </c>
    </row>
    <row r="567" spans="1:30" ht="15.75" x14ac:dyDescent="0.25">
      <c r="A567" s="13">
        <v>58531</v>
      </c>
      <c r="B567" s="10">
        <f>CHOOSE(CONTROL!$C$42, 16.579, 16.579) * CHOOSE(CONTROL!$C$21, $C$9, 100%, $E$9)</f>
        <v>16.579000000000001</v>
      </c>
      <c r="C567" s="10">
        <f>CHOOSE(CONTROL!$C$42, 16.5841, 16.5841) * CHOOSE(CONTROL!$C$21, $C$9, 100%, $E$9)</f>
        <v>16.584099999999999</v>
      </c>
      <c r="D567" s="10">
        <f>CHOOSE(CONTROL!$C$42, 16.6191, 16.6191) * CHOOSE(CONTROL!$C$21, $C$9, 100%, $E$9)</f>
        <v>16.6191</v>
      </c>
      <c r="E567" s="10">
        <f>CHOOSE(CONTROL!$C$42, 16.6529, 16.6529) * CHOOSE(CONTROL!$C$21, $C$9, 100%, $E$9)</f>
        <v>16.652899999999999</v>
      </c>
      <c r="F567" s="10">
        <f>CHOOSE(CONTROL!$C$42, 16.5584, 16.5584)*CHOOSE(CONTROL!$C$21, $C$9, 100%, $E$9)</f>
        <v>16.558399999999999</v>
      </c>
      <c r="G567" s="10">
        <f>CHOOSE(CONTROL!$C$42, 16.5768, 16.5768)*CHOOSE(CONTROL!$C$21, $C$9, 100%, $E$9)</f>
        <v>16.576799999999999</v>
      </c>
      <c r="H567" s="10">
        <f>CHOOSE(CONTROL!$C$42, 16.6418, 16.6418) * CHOOSE(CONTROL!$C$21, $C$9, 100%, $E$9)</f>
        <v>16.6418</v>
      </c>
      <c r="I567" s="10">
        <f>CHOOSE(CONTROL!$C$42, 16.5863, 16.5863)* CHOOSE(CONTROL!$C$21, $C$9, 100%, $E$9)</f>
        <v>16.586300000000001</v>
      </c>
      <c r="J567" s="10">
        <f>CHOOSE(CONTROL!$C$42, 16.551, 16.551)* CHOOSE(CONTROL!$C$21, $C$9, 100%, $E$9)</f>
        <v>16.550999999999998</v>
      </c>
      <c r="K567" s="10">
        <f>CHOOSE(CONTROL!$C$42, 16.2407, 16.2407) * CHOOSE(CONTROL!$C$21, $C$9, 100%, $E$9)</f>
        <v>16.2407</v>
      </c>
      <c r="L567" s="10">
        <f>CHOOSE(CONTROL!$C$42, 17.2288, 17.2288) * CHOOSE(CONTROL!$C$21, $C$9, 100%, $E$9)</f>
        <v>17.2288</v>
      </c>
      <c r="M567" s="10">
        <f>CHOOSE(CONTROL!$C$42, 16.3698, 16.3698) * CHOOSE(CONTROL!$C$21, $C$9, 100%, $E$9)</f>
        <v>16.369800000000001</v>
      </c>
      <c r="N567" s="10">
        <f>CHOOSE(CONTROL!$C$42, 16.3879, 16.3879) * CHOOSE(CONTROL!$C$21, $C$9, 100%, $E$9)</f>
        <v>16.387899999999998</v>
      </c>
      <c r="O567" s="10">
        <f>CHOOSE(CONTROL!$C$42, 16.4594, 16.4594) * CHOOSE(CONTROL!$C$21, $C$9, 100%, $E$9)</f>
        <v>16.459399999999999</v>
      </c>
      <c r="P567" s="10">
        <f>CHOOSE(CONTROL!$C$42, 16.4046, 16.4046) * CHOOSE(CONTROL!$C$21, $C$9, 100%, $E$9)</f>
        <v>16.404599999999999</v>
      </c>
      <c r="Q567" s="10">
        <f>CHOOSE(CONTROL!$C$42, 17.0547, 17.0547) * CHOOSE(CONTROL!$C$21, $C$9, 100%, $E$9)</f>
        <v>17.0547</v>
      </c>
      <c r="R567" s="10">
        <f>CHOOSE(CONTROL!$C$42, 17.6844, 17.6844) * CHOOSE(CONTROL!$C$21, $C$9, 100%, $E$9)</f>
        <v>17.6844</v>
      </c>
      <c r="S567" s="10">
        <f>CHOOSE(CONTROL!$C$42, 16.0701, 16.0701) * CHOOSE(CONTROL!$C$21, $C$9, 100%, $E$9)</f>
        <v>16.0701</v>
      </c>
      <c r="T56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38">
        <f>(1000*CHOOSE(CONTROL!$C$42, 695, 695)*CHOOSE(CONTROL!$C$42, 0.5599, 0.5599)*CHOOSE(CONTROL!$C$42, 31, 31))/1000000</f>
        <v>12.063045499999998</v>
      </c>
      <c r="V567" s="38">
        <f>(1000*CHOOSE(CONTROL!$C$42, 500, 500)*CHOOSE(CONTROL!$C$42, 0.275, 0.275)*CHOOSE(CONTROL!$C$42, 31, 31))/1000000</f>
        <v>4.2625000000000002</v>
      </c>
      <c r="W567" s="38">
        <f>(1000*CHOOSE(CONTROL!$C$42, 0.1146, 0.1146)*CHOOSE(CONTROL!$C$42, 121.5, 121.5)*CHOOSE(CONTROL!$C$42, 31, 31))/1000000</f>
        <v>0.43164089999999994</v>
      </c>
      <c r="X567" s="38">
        <f>(31*0.1790888*100000/1000000)+(31*0.2374*100000/1000000)</f>
        <v>1.2911152800000001</v>
      </c>
      <c r="Y567" s="38">
        <f>(1000*600*CHOOSE(CONTROL!$C$42, 1.0585, 1.0585)*CHOOSE(CONTROL!$C$42, 31, 31))/1000000</f>
        <v>19.688099999999999</v>
      </c>
      <c r="Z567" s="38"/>
      <c r="AA567" s="10"/>
      <c r="AB567" s="39"/>
      <c r="AC567" s="33">
        <f>(B567*122.58+C567*297.941+D567*89.177+E567*40.302+F567*40+G567*160+H567*0+I567*100+J567*300)/(122.58+297.941+89.177+40.302+0+40+160+100+300)</f>
        <v>16.578328534434782</v>
      </c>
      <c r="AD567" s="27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16.416458992805754</v>
      </c>
    </row>
    <row r="568" spans="1:30" ht="15.75" x14ac:dyDescent="0.25">
      <c r="A568" s="13">
        <v>58561</v>
      </c>
      <c r="B568" s="10">
        <f>CHOOSE(CONTROL!$C$42, 16.5301, 16.5301) * CHOOSE(CONTROL!$C$21, $C$9, 100%, $E$9)</f>
        <v>16.530100000000001</v>
      </c>
      <c r="C568" s="10">
        <f>CHOOSE(CONTROL!$C$42, 16.5346, 16.5346) * CHOOSE(CONTROL!$C$21, $C$9, 100%, $E$9)</f>
        <v>16.534600000000001</v>
      </c>
      <c r="D568" s="10">
        <f>CHOOSE(CONTROL!$C$42, 16.7128, 16.7128) * CHOOSE(CONTROL!$C$21, $C$9, 100%, $E$9)</f>
        <v>16.712800000000001</v>
      </c>
      <c r="E568" s="10">
        <f>CHOOSE(CONTROL!$C$42, 16.7447, 16.7447) * CHOOSE(CONTROL!$C$21, $C$9, 100%, $E$9)</f>
        <v>16.744700000000002</v>
      </c>
      <c r="F568" s="10">
        <f>CHOOSE(CONTROL!$C$42, 16.4735, 16.4735)*CHOOSE(CONTROL!$C$21, $C$9, 100%, $E$9)</f>
        <v>16.473500000000001</v>
      </c>
      <c r="G568" s="10">
        <f>CHOOSE(CONTROL!$C$42, 16.4901, 16.4901)*CHOOSE(CONTROL!$C$21, $C$9, 100%, $E$9)</f>
        <v>16.490100000000002</v>
      </c>
      <c r="H568" s="10">
        <f>CHOOSE(CONTROL!$C$42, 16.7341, 16.7341) * CHOOSE(CONTROL!$C$21, $C$9, 100%, $E$9)</f>
        <v>16.734100000000002</v>
      </c>
      <c r="I568" s="10">
        <f>CHOOSE(CONTROL!$C$42, 16.5061, 16.5061)* CHOOSE(CONTROL!$C$21, $C$9, 100%, $E$9)</f>
        <v>16.5061</v>
      </c>
      <c r="J568" s="10">
        <f>CHOOSE(CONTROL!$C$42, 16.4661, 16.4661)* CHOOSE(CONTROL!$C$21, $C$9, 100%, $E$9)</f>
        <v>16.466100000000001</v>
      </c>
      <c r="K568" s="10">
        <f>CHOOSE(CONTROL!$C$42, 16.1483, 16.1483) * CHOOSE(CONTROL!$C$21, $C$9, 100%, $E$9)</f>
        <v>16.148299999999999</v>
      </c>
      <c r="L568" s="10">
        <f>CHOOSE(CONTROL!$C$42, 17.3211, 17.3211) * CHOOSE(CONTROL!$C$21, $C$9, 100%, $E$9)</f>
        <v>17.321100000000001</v>
      </c>
      <c r="M568" s="10">
        <f>CHOOSE(CONTROL!$C$42, 16.286, 16.286) * CHOOSE(CONTROL!$C$21, $C$9, 100%, $E$9)</f>
        <v>16.286000000000001</v>
      </c>
      <c r="N568" s="10">
        <f>CHOOSE(CONTROL!$C$42, 16.3024, 16.3024) * CHOOSE(CONTROL!$C$21, $C$9, 100%, $E$9)</f>
        <v>16.302399999999999</v>
      </c>
      <c r="O568" s="10">
        <f>CHOOSE(CONTROL!$C$42, 16.5505, 16.5505) * CHOOSE(CONTROL!$C$21, $C$9, 100%, $E$9)</f>
        <v>16.5505</v>
      </c>
      <c r="P568" s="10">
        <f>CHOOSE(CONTROL!$C$42, 16.3255, 16.3255) * CHOOSE(CONTROL!$C$21, $C$9, 100%, $E$9)</f>
        <v>16.325500000000002</v>
      </c>
      <c r="Q568" s="10">
        <f>CHOOSE(CONTROL!$C$42, 17.1458, 17.1458) * CHOOSE(CONTROL!$C$21, $C$9, 100%, $E$9)</f>
        <v>17.145800000000001</v>
      </c>
      <c r="R568" s="10">
        <f>CHOOSE(CONTROL!$C$42, 17.7757, 17.7757) * CHOOSE(CONTROL!$C$21, $C$9, 100%, $E$9)</f>
        <v>17.775700000000001</v>
      </c>
      <c r="S568" s="10">
        <f>CHOOSE(CONTROL!$C$42, 16.022, 16.022) * CHOOSE(CONTROL!$C$21, $C$9, 100%, $E$9)</f>
        <v>16.021999999999998</v>
      </c>
      <c r="T56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38">
        <f>(1000*CHOOSE(CONTROL!$C$42, 695, 695)*CHOOSE(CONTROL!$C$42, 0.5599, 0.5599)*CHOOSE(CONTROL!$C$42, 30, 30))/1000000</f>
        <v>11.673914999999997</v>
      </c>
      <c r="V568" s="38">
        <f>(1000*CHOOSE(CONTROL!$C$42, 500, 500)*CHOOSE(CONTROL!$C$42, 0.275, 0.275)*CHOOSE(CONTROL!$C$42, 30, 30))/1000000</f>
        <v>4.125</v>
      </c>
      <c r="W568" s="38">
        <f>(1000*CHOOSE(CONTROL!$C$42, 0.1146, 0.1146)*CHOOSE(CONTROL!$C$42, 121.5, 121.5)*CHOOSE(CONTROL!$C$42, 30, 30))/1000000</f>
        <v>0.417717</v>
      </c>
      <c r="X568" s="38">
        <f>(30*0.1790888*245000/1000000)+(30*0.2374*100000/1000000)</f>
        <v>2.0285026799999999</v>
      </c>
      <c r="Y568" s="38">
        <f>(1000*600*CHOOSE(CONTROL!$C$42, 1.0585, 1.0585)*CHOOSE(CONTROL!$C$42, 30, 30))/1000000</f>
        <v>19.053000000000001</v>
      </c>
      <c r="Z568" s="38"/>
      <c r="AA568" s="10"/>
      <c r="AB568" s="39"/>
      <c r="AC568" s="33">
        <f>(B568*141.293+C568*267.993+D568*115.016+E568*89.698+F568*40+G568*185+H568*0+I568*100+J568*300)/(141.293+267.993+115.016+89.698+0+40+185+100+300)</f>
        <v>16.538336144067799</v>
      </c>
      <c r="AD568" s="27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16.369671223021584</v>
      </c>
    </row>
    <row r="569" spans="1:30" ht="15.75" x14ac:dyDescent="0.25">
      <c r="A569" s="13">
        <v>58592</v>
      </c>
      <c r="B569" s="10">
        <f>CHOOSE(CONTROL!$C$42, 16.6779, 16.6779) * CHOOSE(CONTROL!$C$21, $C$9, 100%, $E$9)</f>
        <v>16.677900000000001</v>
      </c>
      <c r="C569" s="10">
        <f>CHOOSE(CONTROL!$C$42, 16.6859, 16.6859) * CHOOSE(CONTROL!$C$21, $C$9, 100%, $E$9)</f>
        <v>16.6859</v>
      </c>
      <c r="D569" s="10">
        <f>CHOOSE(CONTROL!$C$42, 16.861, 16.861) * CHOOSE(CONTROL!$C$21, $C$9, 100%, $E$9)</f>
        <v>16.861000000000001</v>
      </c>
      <c r="E569" s="10">
        <f>CHOOSE(CONTROL!$C$42, 16.8922, 16.8922) * CHOOSE(CONTROL!$C$21, $C$9, 100%, $E$9)</f>
        <v>16.892199999999999</v>
      </c>
      <c r="F569" s="10">
        <f>CHOOSE(CONTROL!$C$42, 16.6196, 16.6196)*CHOOSE(CONTROL!$C$21, $C$9, 100%, $E$9)</f>
        <v>16.619599999999998</v>
      </c>
      <c r="G569" s="10">
        <f>CHOOSE(CONTROL!$C$42, 16.6365, 16.6365)*CHOOSE(CONTROL!$C$21, $C$9, 100%, $E$9)</f>
        <v>16.636500000000002</v>
      </c>
      <c r="H569" s="10">
        <f>CHOOSE(CONTROL!$C$42, 16.8805, 16.8805) * CHOOSE(CONTROL!$C$21, $C$9, 100%, $E$9)</f>
        <v>16.880500000000001</v>
      </c>
      <c r="I569" s="10">
        <f>CHOOSE(CONTROL!$C$42, 16.6525, 16.6525)* CHOOSE(CONTROL!$C$21, $C$9, 100%, $E$9)</f>
        <v>16.6525</v>
      </c>
      <c r="J569" s="10">
        <f>CHOOSE(CONTROL!$C$42, 16.6122, 16.6122)* CHOOSE(CONTROL!$C$21, $C$9, 100%, $E$9)</f>
        <v>16.612200000000001</v>
      </c>
      <c r="K569" s="10">
        <f>CHOOSE(CONTROL!$C$42, 16.2893, 16.2893) * CHOOSE(CONTROL!$C$21, $C$9, 100%, $E$9)</f>
        <v>16.289300000000001</v>
      </c>
      <c r="L569" s="10">
        <f>CHOOSE(CONTROL!$C$42, 17.4675, 17.4675) * CHOOSE(CONTROL!$C$21, $C$9, 100%, $E$9)</f>
        <v>17.467500000000001</v>
      </c>
      <c r="M569" s="10">
        <f>CHOOSE(CONTROL!$C$42, 16.4302, 16.4302) * CHOOSE(CONTROL!$C$21, $C$9, 100%, $E$9)</f>
        <v>16.430199999999999</v>
      </c>
      <c r="N569" s="10">
        <f>CHOOSE(CONTROL!$C$42, 16.4468, 16.4468) * CHOOSE(CONTROL!$C$21, $C$9, 100%, $E$9)</f>
        <v>16.4468</v>
      </c>
      <c r="O569" s="10">
        <f>CHOOSE(CONTROL!$C$42, 16.6951, 16.6951) * CHOOSE(CONTROL!$C$21, $C$9, 100%, $E$9)</f>
        <v>16.6951</v>
      </c>
      <c r="P569" s="10">
        <f>CHOOSE(CONTROL!$C$42, 16.47, 16.47) * CHOOSE(CONTROL!$C$21, $C$9, 100%, $E$9)</f>
        <v>16.47</v>
      </c>
      <c r="Q569" s="10">
        <f>CHOOSE(CONTROL!$C$42, 17.2904, 17.2904) * CHOOSE(CONTROL!$C$21, $C$9, 100%, $E$9)</f>
        <v>17.290400000000002</v>
      </c>
      <c r="R569" s="10">
        <f>CHOOSE(CONTROL!$C$42, 17.9206, 17.9206) * CHOOSE(CONTROL!$C$21, $C$9, 100%, $E$9)</f>
        <v>17.9206</v>
      </c>
      <c r="S569" s="10">
        <f>CHOOSE(CONTROL!$C$42, 16.1638, 16.1638) * CHOOSE(CONTROL!$C$21, $C$9, 100%, $E$9)</f>
        <v>16.163799999999998</v>
      </c>
      <c r="T56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38">
        <f>(1000*CHOOSE(CONTROL!$C$42, 695, 695)*CHOOSE(CONTROL!$C$42, 0.5599, 0.5599)*CHOOSE(CONTROL!$C$42, 31, 31))/1000000</f>
        <v>12.063045499999998</v>
      </c>
      <c r="V569" s="38">
        <f>(1000*CHOOSE(CONTROL!$C$42, 500, 500)*CHOOSE(CONTROL!$C$42, 0.275, 0.275)*CHOOSE(CONTROL!$C$42, 31, 31))/1000000</f>
        <v>4.2625000000000002</v>
      </c>
      <c r="W569" s="38">
        <f>(1000*CHOOSE(CONTROL!$C$42, 0.1146, 0.1146)*CHOOSE(CONTROL!$C$42, 121.5, 121.5)*CHOOSE(CONTROL!$C$42, 31, 31))/1000000</f>
        <v>0.43164089999999994</v>
      </c>
      <c r="X569" s="38">
        <f>(31*0.1790888*245000/1000000)+(31*0.2374*100000/1000000)</f>
        <v>2.0961194359999999</v>
      </c>
      <c r="Y569" s="38">
        <f>(1000*600*CHOOSE(CONTROL!$C$42, 1.0585, 1.0585)*CHOOSE(CONTROL!$C$42, 31, 31))/1000000</f>
        <v>19.688099999999999</v>
      </c>
      <c r="Z569" s="38"/>
      <c r="AA569" s="10"/>
      <c r="AB569" s="39"/>
      <c r="AC569" s="33">
        <f>(B569*194.205+C569*267.466+D569*133.845+E569*53.484+F569*40+G569*185+H569*0+I569*100+J569*300)/(194.205+267.466+133.845+53.484+0+40+185+100+300)</f>
        <v>16.682505469937205</v>
      </c>
      <c r="AD569" s="27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16.514072661870504</v>
      </c>
    </row>
    <row r="570" spans="1:30" ht="15.75" x14ac:dyDescent="0.25">
      <c r="A570" s="13">
        <v>58622</v>
      </c>
      <c r="B570" s="10">
        <f>CHOOSE(CONTROL!$C$42, 17.1514, 17.1514) * CHOOSE(CONTROL!$C$21, $C$9, 100%, $E$9)</f>
        <v>17.151399999999999</v>
      </c>
      <c r="C570" s="10">
        <f>CHOOSE(CONTROL!$C$42, 17.1594, 17.1594) * CHOOSE(CONTROL!$C$21, $C$9, 100%, $E$9)</f>
        <v>17.159400000000002</v>
      </c>
      <c r="D570" s="10">
        <f>CHOOSE(CONTROL!$C$42, 17.3345, 17.3345) * CHOOSE(CONTROL!$C$21, $C$9, 100%, $E$9)</f>
        <v>17.334499999999998</v>
      </c>
      <c r="E570" s="10">
        <f>CHOOSE(CONTROL!$C$42, 17.3657, 17.3657) * CHOOSE(CONTROL!$C$21, $C$9, 100%, $E$9)</f>
        <v>17.3657</v>
      </c>
      <c r="F570" s="10">
        <f>CHOOSE(CONTROL!$C$42, 17.0932, 17.0932)*CHOOSE(CONTROL!$C$21, $C$9, 100%, $E$9)</f>
        <v>17.0932</v>
      </c>
      <c r="G570" s="10">
        <f>CHOOSE(CONTROL!$C$42, 17.1102, 17.1102)*CHOOSE(CONTROL!$C$21, $C$9, 100%, $E$9)</f>
        <v>17.110199999999999</v>
      </c>
      <c r="H570" s="10">
        <f>CHOOSE(CONTROL!$C$42, 17.354, 17.354) * CHOOSE(CONTROL!$C$21, $C$9, 100%, $E$9)</f>
        <v>17.353999999999999</v>
      </c>
      <c r="I570" s="10">
        <f>CHOOSE(CONTROL!$C$42, 17.126, 17.126)* CHOOSE(CONTROL!$C$21, $C$9, 100%, $E$9)</f>
        <v>17.126000000000001</v>
      </c>
      <c r="J570" s="10">
        <f>CHOOSE(CONTROL!$C$42, 17.0858, 17.0858)* CHOOSE(CONTROL!$C$21, $C$9, 100%, $E$9)</f>
        <v>17.085799999999999</v>
      </c>
      <c r="K570" s="10">
        <f>CHOOSE(CONTROL!$C$42, 16.7484, 16.7484) * CHOOSE(CONTROL!$C$21, $C$9, 100%, $E$9)</f>
        <v>16.7484</v>
      </c>
      <c r="L570" s="10">
        <f>CHOOSE(CONTROL!$C$42, 17.941, 17.941) * CHOOSE(CONTROL!$C$21, $C$9, 100%, $E$9)</f>
        <v>17.940999999999999</v>
      </c>
      <c r="M570" s="10">
        <f>CHOOSE(CONTROL!$C$42, 16.8977, 16.8977) * CHOOSE(CONTROL!$C$21, $C$9, 100%, $E$9)</f>
        <v>16.8977</v>
      </c>
      <c r="N570" s="10">
        <f>CHOOSE(CONTROL!$C$42, 16.9144, 16.9144) * CHOOSE(CONTROL!$C$21, $C$9, 100%, $E$9)</f>
        <v>16.914400000000001</v>
      </c>
      <c r="O570" s="10">
        <f>CHOOSE(CONTROL!$C$42, 17.1624, 17.1624) * CHOOSE(CONTROL!$C$21, $C$9, 100%, $E$9)</f>
        <v>17.162400000000002</v>
      </c>
      <c r="P570" s="10">
        <f>CHOOSE(CONTROL!$C$42, 16.9374, 16.9374) * CHOOSE(CONTROL!$C$21, $C$9, 100%, $E$9)</f>
        <v>16.9374</v>
      </c>
      <c r="Q570" s="10">
        <f>CHOOSE(CONTROL!$C$42, 17.7577, 17.7577) * CHOOSE(CONTROL!$C$21, $C$9, 100%, $E$9)</f>
        <v>17.7577</v>
      </c>
      <c r="R570" s="10">
        <f>CHOOSE(CONTROL!$C$42, 18.3891, 18.3891) * CHOOSE(CONTROL!$C$21, $C$9, 100%, $E$9)</f>
        <v>18.389099999999999</v>
      </c>
      <c r="S570" s="10">
        <f>CHOOSE(CONTROL!$C$42, 16.6223, 16.6223) * CHOOSE(CONTROL!$C$21, $C$9, 100%, $E$9)</f>
        <v>16.622299999999999</v>
      </c>
      <c r="T57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38">
        <f>(1000*CHOOSE(CONTROL!$C$42, 695, 695)*CHOOSE(CONTROL!$C$42, 0.5599, 0.5599)*CHOOSE(CONTROL!$C$42, 30, 30))/1000000</f>
        <v>11.673914999999997</v>
      </c>
      <c r="V570" s="38">
        <f>(1000*CHOOSE(CONTROL!$C$42, 500, 500)*CHOOSE(CONTROL!$C$42, 0.275, 0.275)*CHOOSE(CONTROL!$C$42, 30, 30))/1000000</f>
        <v>4.125</v>
      </c>
      <c r="W570" s="38">
        <f>(1000*CHOOSE(CONTROL!$C$42, 0.1146, 0.1146)*CHOOSE(CONTROL!$C$42, 121.5, 121.5)*CHOOSE(CONTROL!$C$42, 30, 30))/1000000</f>
        <v>0.417717</v>
      </c>
      <c r="X570" s="38">
        <f>(30*0.1790888*245000/1000000)+(30*0.2374*100000/1000000)</f>
        <v>2.0285026799999999</v>
      </c>
      <c r="Y570" s="38">
        <f>(1000*600*CHOOSE(CONTROL!$C$42, 1.0585, 1.0585)*CHOOSE(CONTROL!$C$42, 30, 30))/1000000</f>
        <v>19.053000000000001</v>
      </c>
      <c r="Z570" s="38"/>
      <c r="AA570" s="10"/>
      <c r="AB570" s="39"/>
      <c r="AC570" s="33">
        <f>(B570*194.205+C570*267.466+D570*133.845+E570*53.484+F570*40+G570*185+H570*0+I570*100+J570*300)/(194.205+267.466+133.845+53.484+0+40+185+100+300)</f>
        <v>17.156061199921503</v>
      </c>
      <c r="AD570" s="27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16.981525179856114</v>
      </c>
    </row>
    <row r="571" spans="1:30" ht="15.75" x14ac:dyDescent="0.25">
      <c r="A571" s="13">
        <v>58653</v>
      </c>
      <c r="B571" s="10">
        <f>CHOOSE(CONTROL!$C$42, 16.8221, 16.8221) * CHOOSE(CONTROL!$C$21, $C$9, 100%, $E$9)</f>
        <v>16.822099999999999</v>
      </c>
      <c r="C571" s="10">
        <f>CHOOSE(CONTROL!$C$42, 16.83, 16.83) * CHOOSE(CONTROL!$C$21, $C$9, 100%, $E$9)</f>
        <v>16.829999999999998</v>
      </c>
      <c r="D571" s="10">
        <f>CHOOSE(CONTROL!$C$42, 17.0052, 17.0052) * CHOOSE(CONTROL!$C$21, $C$9, 100%, $E$9)</f>
        <v>17.005199999999999</v>
      </c>
      <c r="E571" s="10">
        <f>CHOOSE(CONTROL!$C$42, 17.0364, 17.0364) * CHOOSE(CONTROL!$C$21, $C$9, 100%, $E$9)</f>
        <v>17.0364</v>
      </c>
      <c r="F571" s="10">
        <f>CHOOSE(CONTROL!$C$42, 16.7643, 16.7643)*CHOOSE(CONTROL!$C$21, $C$9, 100%, $E$9)</f>
        <v>16.764299999999999</v>
      </c>
      <c r="G571" s="10">
        <f>CHOOSE(CONTROL!$C$42, 16.7813, 16.7813)*CHOOSE(CONTROL!$C$21, $C$9, 100%, $E$9)</f>
        <v>16.781300000000002</v>
      </c>
      <c r="H571" s="10">
        <f>CHOOSE(CONTROL!$C$42, 17.0247, 17.0247) * CHOOSE(CONTROL!$C$21, $C$9, 100%, $E$9)</f>
        <v>17.024699999999999</v>
      </c>
      <c r="I571" s="10">
        <f>CHOOSE(CONTROL!$C$42, 16.7967, 16.7967)* CHOOSE(CONTROL!$C$21, $C$9, 100%, $E$9)</f>
        <v>16.796700000000001</v>
      </c>
      <c r="J571" s="10">
        <f>CHOOSE(CONTROL!$C$42, 16.7569, 16.7569)* CHOOSE(CONTROL!$C$21, $C$9, 100%, $E$9)</f>
        <v>16.756900000000002</v>
      </c>
      <c r="K571" s="10">
        <f>CHOOSE(CONTROL!$C$42, 16.4301, 16.4301) * CHOOSE(CONTROL!$C$21, $C$9, 100%, $E$9)</f>
        <v>16.430099999999999</v>
      </c>
      <c r="L571" s="10">
        <f>CHOOSE(CONTROL!$C$42, 17.6117, 17.6117) * CHOOSE(CONTROL!$C$21, $C$9, 100%, $E$9)</f>
        <v>17.611699999999999</v>
      </c>
      <c r="M571" s="10">
        <f>CHOOSE(CONTROL!$C$42, 16.573, 16.573) * CHOOSE(CONTROL!$C$21, $C$9, 100%, $E$9)</f>
        <v>16.573</v>
      </c>
      <c r="N571" s="10">
        <f>CHOOSE(CONTROL!$C$42, 16.5898, 16.5898) * CHOOSE(CONTROL!$C$21, $C$9, 100%, $E$9)</f>
        <v>16.5898</v>
      </c>
      <c r="O571" s="10">
        <f>CHOOSE(CONTROL!$C$42, 16.8374, 16.8374) * CHOOSE(CONTROL!$C$21, $C$9, 100%, $E$9)</f>
        <v>16.837399999999999</v>
      </c>
      <c r="P571" s="10">
        <f>CHOOSE(CONTROL!$C$42, 16.6124, 16.6124) * CHOOSE(CONTROL!$C$21, $C$9, 100%, $E$9)</f>
        <v>16.612400000000001</v>
      </c>
      <c r="Q571" s="10">
        <f>CHOOSE(CONTROL!$C$42, 17.4327, 17.4327) * CHOOSE(CONTROL!$C$21, $C$9, 100%, $E$9)</f>
        <v>17.432700000000001</v>
      </c>
      <c r="R571" s="10">
        <f>CHOOSE(CONTROL!$C$42, 18.0633, 18.0633) * CHOOSE(CONTROL!$C$21, $C$9, 100%, $E$9)</f>
        <v>18.063300000000002</v>
      </c>
      <c r="S571" s="10">
        <f>CHOOSE(CONTROL!$C$42, 16.3034, 16.3034) * CHOOSE(CONTROL!$C$21, $C$9, 100%, $E$9)</f>
        <v>16.3034</v>
      </c>
      <c r="T57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38">
        <f>(1000*CHOOSE(CONTROL!$C$42, 695, 695)*CHOOSE(CONTROL!$C$42, 0.5599, 0.5599)*CHOOSE(CONTROL!$C$42, 31, 31))/1000000</f>
        <v>12.063045499999998</v>
      </c>
      <c r="V571" s="38">
        <f>(1000*CHOOSE(CONTROL!$C$42, 500, 500)*CHOOSE(CONTROL!$C$42, 0.275, 0.275)*CHOOSE(CONTROL!$C$42, 31, 31))/1000000</f>
        <v>4.2625000000000002</v>
      </c>
      <c r="W571" s="38">
        <f>(1000*CHOOSE(CONTROL!$C$42, 0.1146, 0.1146)*CHOOSE(CONTROL!$C$42, 121.5, 121.5)*CHOOSE(CONTROL!$C$42, 31, 31))/1000000</f>
        <v>0.43164089999999994</v>
      </c>
      <c r="X571" s="38">
        <f>(31*0.1790888*245000/1000000)+(31*0.2374*100000/1000000)</f>
        <v>2.0961194359999999</v>
      </c>
      <c r="Y571" s="38">
        <f>(1000*600*CHOOSE(CONTROL!$C$42, 1.0585, 1.0585)*CHOOSE(CONTROL!$C$42, 31, 31))/1000000</f>
        <v>19.688099999999999</v>
      </c>
      <c r="Z571" s="38"/>
      <c r="AA571" s="10"/>
      <c r="AB571" s="39"/>
      <c r="AC571" s="33">
        <f>(B571*194.205+C571*267.466+D571*133.845+E571*53.484+F571*40+G571*185+H571*0+I571*100+J571*300)/(194.205+267.466+133.845+53.484+0+40+185+100+300)</f>
        <v>16.826905040894818</v>
      </c>
      <c r="AD571" s="27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16.656720863309353</v>
      </c>
    </row>
    <row r="572" spans="1:30" ht="15.75" x14ac:dyDescent="0.25">
      <c r="A572" s="13">
        <v>58684</v>
      </c>
      <c r="B572" s="10">
        <f>CHOOSE(CONTROL!$C$42, 15.9904, 15.9904) * CHOOSE(CONTROL!$C$21, $C$9, 100%, $E$9)</f>
        <v>15.990399999999999</v>
      </c>
      <c r="C572" s="10">
        <f>CHOOSE(CONTROL!$C$42, 15.9984, 15.9984) * CHOOSE(CONTROL!$C$21, $C$9, 100%, $E$9)</f>
        <v>15.9984</v>
      </c>
      <c r="D572" s="10">
        <f>CHOOSE(CONTROL!$C$42, 16.1736, 16.1736) * CHOOSE(CONTROL!$C$21, $C$9, 100%, $E$9)</f>
        <v>16.1736</v>
      </c>
      <c r="E572" s="10">
        <f>CHOOSE(CONTROL!$C$42, 16.2048, 16.2048) * CHOOSE(CONTROL!$C$21, $C$9, 100%, $E$9)</f>
        <v>16.204799999999999</v>
      </c>
      <c r="F572" s="10">
        <f>CHOOSE(CONTROL!$C$42, 15.9325, 15.9325)*CHOOSE(CONTROL!$C$21, $C$9, 100%, $E$9)</f>
        <v>15.932499999999999</v>
      </c>
      <c r="G572" s="10">
        <f>CHOOSE(CONTROL!$C$42, 15.9495, 15.9495)*CHOOSE(CONTROL!$C$21, $C$9, 100%, $E$9)</f>
        <v>15.9495</v>
      </c>
      <c r="H572" s="10">
        <f>CHOOSE(CONTROL!$C$42, 16.1931, 16.1931) * CHOOSE(CONTROL!$C$21, $C$9, 100%, $E$9)</f>
        <v>16.193100000000001</v>
      </c>
      <c r="I572" s="10">
        <f>CHOOSE(CONTROL!$C$42, 15.9651, 15.9651)* CHOOSE(CONTROL!$C$21, $C$9, 100%, $E$9)</f>
        <v>15.9651</v>
      </c>
      <c r="J572" s="10">
        <f>CHOOSE(CONTROL!$C$42, 15.9251, 15.9251)* CHOOSE(CONTROL!$C$21, $C$9, 100%, $E$9)</f>
        <v>15.9251</v>
      </c>
      <c r="K572" s="10">
        <f>CHOOSE(CONTROL!$C$42, 15.6243, 15.6243) * CHOOSE(CONTROL!$C$21, $C$9, 100%, $E$9)</f>
        <v>15.6243</v>
      </c>
      <c r="L572" s="10">
        <f>CHOOSE(CONTROL!$C$42, 16.7801, 16.7801) * CHOOSE(CONTROL!$C$21, $C$9, 100%, $E$9)</f>
        <v>16.780100000000001</v>
      </c>
      <c r="M572" s="10">
        <f>CHOOSE(CONTROL!$C$42, 15.752, 15.752) * CHOOSE(CONTROL!$C$21, $C$9, 100%, $E$9)</f>
        <v>15.752000000000001</v>
      </c>
      <c r="N572" s="10">
        <f>CHOOSE(CONTROL!$C$42, 15.7688, 15.7688) * CHOOSE(CONTROL!$C$21, $C$9, 100%, $E$9)</f>
        <v>15.768800000000001</v>
      </c>
      <c r="O572" s="10">
        <f>CHOOSE(CONTROL!$C$42, 16.0165, 16.0165) * CHOOSE(CONTROL!$C$21, $C$9, 100%, $E$9)</f>
        <v>16.016500000000001</v>
      </c>
      <c r="P572" s="10">
        <f>CHOOSE(CONTROL!$C$42, 15.7915, 15.7915) * CHOOSE(CONTROL!$C$21, $C$9, 100%, $E$9)</f>
        <v>15.791499999999999</v>
      </c>
      <c r="Q572" s="10">
        <f>CHOOSE(CONTROL!$C$42, 16.6118, 16.6118) * CHOOSE(CONTROL!$C$21, $C$9, 100%, $E$9)</f>
        <v>16.611799999999999</v>
      </c>
      <c r="R572" s="10">
        <f>CHOOSE(CONTROL!$C$42, 17.2403, 17.2403) * CHOOSE(CONTROL!$C$21, $C$9, 100%, $E$9)</f>
        <v>17.240300000000001</v>
      </c>
      <c r="S572" s="10">
        <f>CHOOSE(CONTROL!$C$42, 15.4981, 15.4981) * CHOOSE(CONTROL!$C$21, $C$9, 100%, $E$9)</f>
        <v>15.498100000000001</v>
      </c>
      <c r="T57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38">
        <f>(1000*CHOOSE(CONTROL!$C$42, 695, 695)*CHOOSE(CONTROL!$C$42, 0.5599, 0.5599)*CHOOSE(CONTROL!$C$42, 31, 31))/1000000</f>
        <v>12.063045499999998</v>
      </c>
      <c r="V572" s="38">
        <f>(1000*CHOOSE(CONTROL!$C$42, 500, 500)*CHOOSE(CONTROL!$C$42, 0.275, 0.275)*CHOOSE(CONTROL!$C$42, 31, 31))/1000000</f>
        <v>4.2625000000000002</v>
      </c>
      <c r="W572" s="38">
        <f>(1000*CHOOSE(CONTROL!$C$42, 0.1146, 0.1146)*CHOOSE(CONTROL!$C$42, 121.5, 121.5)*CHOOSE(CONTROL!$C$42, 31, 31))/1000000</f>
        <v>0.43164089999999994</v>
      </c>
      <c r="X572" s="38">
        <f>(31*0.1790888*245000/1000000)+(31*0.2374*100000/1000000)</f>
        <v>2.0961194359999999</v>
      </c>
      <c r="Y572" s="38">
        <f>(1000*600*CHOOSE(CONTROL!$C$42, 1.0585, 1.0585)*CHOOSE(CONTROL!$C$42, 31, 31))/1000000</f>
        <v>19.688099999999999</v>
      </c>
      <c r="Z572" s="38"/>
      <c r="AA572" s="10"/>
      <c r="AB572" s="39"/>
      <c r="AC572" s="33">
        <f>(B572*194.205+C572*267.466+D572*133.845+E572*53.484+F572*40+G572*185+H572*0+I572*100+J572*300)/(194.205+267.466+133.845+53.484+0+40+185+100+300)</f>
        <v>15.995207379591836</v>
      </c>
      <c r="AD572" s="27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15.835763309352517</v>
      </c>
    </row>
    <row r="573" spans="1:30" ht="15.75" x14ac:dyDescent="0.25">
      <c r="A573" s="13">
        <v>58714</v>
      </c>
      <c r="B573" s="10">
        <f>CHOOSE(CONTROL!$C$42, 14.9744, 14.9744) * CHOOSE(CONTROL!$C$21, $C$9, 100%, $E$9)</f>
        <v>14.974399999999999</v>
      </c>
      <c r="C573" s="10">
        <f>CHOOSE(CONTROL!$C$42, 14.9824, 14.9824) * CHOOSE(CONTROL!$C$21, $C$9, 100%, $E$9)</f>
        <v>14.9824</v>
      </c>
      <c r="D573" s="10">
        <f>CHOOSE(CONTROL!$C$42, 15.1575, 15.1575) * CHOOSE(CONTROL!$C$21, $C$9, 100%, $E$9)</f>
        <v>15.157500000000001</v>
      </c>
      <c r="E573" s="10">
        <f>CHOOSE(CONTROL!$C$42, 15.1887, 15.1887) * CHOOSE(CONTROL!$C$21, $C$9, 100%, $E$9)</f>
        <v>15.188700000000001</v>
      </c>
      <c r="F573" s="10">
        <f>CHOOSE(CONTROL!$C$42, 14.9161, 14.9161)*CHOOSE(CONTROL!$C$21, $C$9, 100%, $E$9)</f>
        <v>14.9161</v>
      </c>
      <c r="G573" s="10">
        <f>CHOOSE(CONTROL!$C$42, 14.9331, 14.9331)*CHOOSE(CONTROL!$C$21, $C$9, 100%, $E$9)</f>
        <v>14.9331</v>
      </c>
      <c r="H573" s="10">
        <f>CHOOSE(CONTROL!$C$42, 15.177, 15.177) * CHOOSE(CONTROL!$C$21, $C$9, 100%, $E$9)</f>
        <v>15.177</v>
      </c>
      <c r="I573" s="10">
        <f>CHOOSE(CONTROL!$C$42, 14.949, 14.949)* CHOOSE(CONTROL!$C$21, $C$9, 100%, $E$9)</f>
        <v>14.949</v>
      </c>
      <c r="J573" s="10">
        <f>CHOOSE(CONTROL!$C$42, 14.9087, 14.9087)* CHOOSE(CONTROL!$C$21, $C$9, 100%, $E$9)</f>
        <v>14.9087</v>
      </c>
      <c r="K573" s="10">
        <f>CHOOSE(CONTROL!$C$42, 14.6392, 14.6392) * CHOOSE(CONTROL!$C$21, $C$9, 100%, $E$9)</f>
        <v>14.639200000000001</v>
      </c>
      <c r="L573" s="10">
        <f>CHOOSE(CONTROL!$C$42, 15.764, 15.764) * CHOOSE(CONTROL!$C$21, $C$9, 100%, $E$9)</f>
        <v>15.763999999999999</v>
      </c>
      <c r="M573" s="10">
        <f>CHOOSE(CONTROL!$C$42, 14.7488, 14.7488) * CHOOSE(CONTROL!$C$21, $C$9, 100%, $E$9)</f>
        <v>14.748799999999999</v>
      </c>
      <c r="N573" s="10">
        <f>CHOOSE(CONTROL!$C$42, 14.7655, 14.7655) * CHOOSE(CONTROL!$C$21, $C$9, 100%, $E$9)</f>
        <v>14.765499999999999</v>
      </c>
      <c r="O573" s="10">
        <f>CHOOSE(CONTROL!$C$42, 15.0136, 15.0136) * CHOOSE(CONTROL!$C$21, $C$9, 100%, $E$9)</f>
        <v>15.0136</v>
      </c>
      <c r="P573" s="10">
        <f>CHOOSE(CONTROL!$C$42, 14.7886, 14.7886) * CHOOSE(CONTROL!$C$21, $C$9, 100%, $E$9)</f>
        <v>14.788600000000001</v>
      </c>
      <c r="Q573" s="10">
        <f>CHOOSE(CONTROL!$C$42, 15.6089, 15.6089) * CHOOSE(CONTROL!$C$21, $C$9, 100%, $E$9)</f>
        <v>15.6089</v>
      </c>
      <c r="R573" s="10">
        <f>CHOOSE(CONTROL!$C$42, 16.2349, 16.2349) * CHOOSE(CONTROL!$C$21, $C$9, 100%, $E$9)</f>
        <v>16.2349</v>
      </c>
      <c r="S573" s="10">
        <f>CHOOSE(CONTROL!$C$42, 14.5143, 14.5143) * CHOOSE(CONTROL!$C$21, $C$9, 100%, $E$9)</f>
        <v>14.5143</v>
      </c>
      <c r="T57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38">
        <f>(1000*CHOOSE(CONTROL!$C$42, 695, 695)*CHOOSE(CONTROL!$C$42, 0.5599, 0.5599)*CHOOSE(CONTROL!$C$42, 30, 30))/1000000</f>
        <v>11.673914999999997</v>
      </c>
      <c r="V573" s="38">
        <f>(1000*CHOOSE(CONTROL!$C$42, 500, 500)*CHOOSE(CONTROL!$C$42, 0.275, 0.275)*CHOOSE(CONTROL!$C$42, 30, 30))/1000000</f>
        <v>4.125</v>
      </c>
      <c r="W573" s="38">
        <f>(1000*CHOOSE(CONTROL!$C$42, 0.1146, 0.1146)*CHOOSE(CONTROL!$C$42, 121.5, 121.5)*CHOOSE(CONTROL!$C$42, 30, 30))/1000000</f>
        <v>0.417717</v>
      </c>
      <c r="X573" s="38">
        <f>(30*0.1790888*245000/1000000)+(30*0.2374*100000/1000000)</f>
        <v>2.0285026799999999</v>
      </c>
      <c r="Y573" s="38">
        <f>(1000*600*CHOOSE(CONTROL!$C$42, 1.0585, 1.0585)*CHOOSE(CONTROL!$C$42, 30, 30))/1000000</f>
        <v>19.053000000000001</v>
      </c>
      <c r="Z573" s="38"/>
      <c r="AA573" s="10"/>
      <c r="AB573" s="39"/>
      <c r="AC573" s="33">
        <f>(B573*194.205+C573*267.466+D573*133.845+E573*53.484+F573*40+G573*185+H573*0+I573*100+J573*300)/(194.205+267.466+133.845+53.484+0+40+185+100+300)</f>
        <v>14.979019991130299</v>
      </c>
      <c r="AD573" s="27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14.832667625899283</v>
      </c>
    </row>
    <row r="574" spans="1:30" ht="15.75" x14ac:dyDescent="0.25">
      <c r="A574" s="13">
        <v>58745</v>
      </c>
      <c r="B574" s="10">
        <f>CHOOSE(CONTROL!$C$42, 14.6679, 14.6679) * CHOOSE(CONTROL!$C$21, $C$9, 100%, $E$9)</f>
        <v>14.667899999999999</v>
      </c>
      <c r="C574" s="10">
        <f>CHOOSE(CONTROL!$C$42, 14.6733, 14.6733) * CHOOSE(CONTROL!$C$21, $C$9, 100%, $E$9)</f>
        <v>14.673299999999999</v>
      </c>
      <c r="D574" s="10">
        <f>CHOOSE(CONTROL!$C$42, 14.8533, 14.8533) * CHOOSE(CONTROL!$C$21, $C$9, 100%, $E$9)</f>
        <v>14.853300000000001</v>
      </c>
      <c r="E574" s="10">
        <f>CHOOSE(CONTROL!$C$42, 14.8822, 14.8822) * CHOOSE(CONTROL!$C$21, $C$9, 100%, $E$9)</f>
        <v>14.882199999999999</v>
      </c>
      <c r="F574" s="10">
        <f>CHOOSE(CONTROL!$C$42, 14.6117, 14.6117)*CHOOSE(CONTROL!$C$21, $C$9, 100%, $E$9)</f>
        <v>14.611700000000001</v>
      </c>
      <c r="G574" s="10">
        <f>CHOOSE(CONTROL!$C$42, 14.6283, 14.6283)*CHOOSE(CONTROL!$C$21, $C$9, 100%, $E$9)</f>
        <v>14.628299999999999</v>
      </c>
      <c r="H574" s="10">
        <f>CHOOSE(CONTROL!$C$42, 14.8723, 14.8723) * CHOOSE(CONTROL!$C$21, $C$9, 100%, $E$9)</f>
        <v>14.872299999999999</v>
      </c>
      <c r="I574" s="10">
        <f>CHOOSE(CONTROL!$C$42, 14.6443, 14.6443)* CHOOSE(CONTROL!$C$21, $C$9, 100%, $E$9)</f>
        <v>14.644299999999999</v>
      </c>
      <c r="J574" s="10">
        <f>CHOOSE(CONTROL!$C$42, 14.6043, 14.6043)* CHOOSE(CONTROL!$C$21, $C$9, 100%, $E$9)</f>
        <v>14.6043</v>
      </c>
      <c r="K574" s="10">
        <f>CHOOSE(CONTROL!$C$42, 14.3446, 14.3446) * CHOOSE(CONTROL!$C$21, $C$9, 100%, $E$9)</f>
        <v>14.3446</v>
      </c>
      <c r="L574" s="10">
        <f>CHOOSE(CONTROL!$C$42, 15.4593, 15.4593) * CHOOSE(CONTROL!$C$21, $C$9, 100%, $E$9)</f>
        <v>15.459300000000001</v>
      </c>
      <c r="M574" s="10">
        <f>CHOOSE(CONTROL!$C$42, 14.4483, 14.4483) * CHOOSE(CONTROL!$C$21, $C$9, 100%, $E$9)</f>
        <v>14.4483</v>
      </c>
      <c r="N574" s="10">
        <f>CHOOSE(CONTROL!$C$42, 14.4647, 14.4647) * CHOOSE(CONTROL!$C$21, $C$9, 100%, $E$9)</f>
        <v>14.464700000000001</v>
      </c>
      <c r="O574" s="10">
        <f>CHOOSE(CONTROL!$C$42, 14.7128, 14.7128) * CHOOSE(CONTROL!$C$21, $C$9, 100%, $E$9)</f>
        <v>14.7128</v>
      </c>
      <c r="P574" s="10">
        <f>CHOOSE(CONTROL!$C$42, 14.4878, 14.4878) * CHOOSE(CONTROL!$C$21, $C$9, 100%, $E$9)</f>
        <v>14.4878</v>
      </c>
      <c r="Q574" s="10">
        <f>CHOOSE(CONTROL!$C$42, 15.3081, 15.3081) * CHOOSE(CONTROL!$C$21, $C$9, 100%, $E$9)</f>
        <v>15.3081</v>
      </c>
      <c r="R574" s="10">
        <f>CHOOSE(CONTROL!$C$42, 15.9334, 15.9334) * CHOOSE(CONTROL!$C$21, $C$9, 100%, $E$9)</f>
        <v>15.933400000000001</v>
      </c>
      <c r="S574" s="10">
        <f>CHOOSE(CONTROL!$C$42, 14.2192, 14.2192) * CHOOSE(CONTROL!$C$21, $C$9, 100%, $E$9)</f>
        <v>14.219200000000001</v>
      </c>
      <c r="T57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38">
        <f>(1000*CHOOSE(CONTROL!$C$42, 695, 695)*CHOOSE(CONTROL!$C$42, 0.5599, 0.5599)*CHOOSE(CONTROL!$C$42, 31, 31))/1000000</f>
        <v>12.063045499999998</v>
      </c>
      <c r="V574" s="38">
        <f>(1000*CHOOSE(CONTROL!$C$42, 500, 500)*CHOOSE(CONTROL!$C$42, 0.275, 0.275)*CHOOSE(CONTROL!$C$42, 31, 31))/1000000</f>
        <v>4.2625000000000002</v>
      </c>
      <c r="W574" s="38">
        <f>(1000*CHOOSE(CONTROL!$C$42, 0.1146, 0.1146)*CHOOSE(CONTROL!$C$42, 121.5, 121.5)*CHOOSE(CONTROL!$C$42, 31, 31))/1000000</f>
        <v>0.43164089999999994</v>
      </c>
      <c r="X574" s="38">
        <f>(31*0.1790888*245000/1000000)+(31*0.2374*100000/1000000)</f>
        <v>2.0961194359999999</v>
      </c>
      <c r="Y574" s="38">
        <f>(1000*600*CHOOSE(CONTROL!$C$42, 1.0585, 1.0585)*CHOOSE(CONTROL!$C$42, 31, 31))/1000000</f>
        <v>19.688099999999999</v>
      </c>
      <c r="Z574" s="38"/>
      <c r="AA574" s="10"/>
      <c r="AB574" s="39"/>
      <c r="AC574" s="33">
        <f>(B574*131.881+C574*277.167+D574*79.08+E574*125.872+F574*40+G574*185+H574*0+I574*100+J574*300)/(131.881+277.167+79.08+125.872+0+40+185+100+300)</f>
        <v>14.67768087441485</v>
      </c>
      <c r="AD574" s="27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14.531971223021582</v>
      </c>
    </row>
    <row r="575" spans="1:30" ht="15.75" x14ac:dyDescent="0.25">
      <c r="A575" s="13">
        <v>58775</v>
      </c>
      <c r="B575" s="10">
        <f>CHOOSE(CONTROL!$C$42, 15.0544, 15.0544) * CHOOSE(CONTROL!$C$21, $C$9, 100%, $E$9)</f>
        <v>15.054399999999999</v>
      </c>
      <c r="C575" s="10">
        <f>CHOOSE(CONTROL!$C$42, 15.0595, 15.0595) * CHOOSE(CONTROL!$C$21, $C$9, 100%, $E$9)</f>
        <v>15.0595</v>
      </c>
      <c r="D575" s="10">
        <f>CHOOSE(CONTROL!$C$42, 15.0841, 15.0841) * CHOOSE(CONTROL!$C$21, $C$9, 100%, $E$9)</f>
        <v>15.084099999999999</v>
      </c>
      <c r="E575" s="10">
        <f>CHOOSE(CONTROL!$C$42, 15.1179, 15.1179) * CHOOSE(CONTROL!$C$21, $C$9, 100%, $E$9)</f>
        <v>15.117900000000001</v>
      </c>
      <c r="F575" s="10">
        <f>CHOOSE(CONTROL!$C$42, 15.02, 15.02)*CHOOSE(CONTROL!$C$21, $C$9, 100%, $E$9)</f>
        <v>15.02</v>
      </c>
      <c r="G575" s="10">
        <f>CHOOSE(CONTROL!$C$42, 15.0368, 15.0368)*CHOOSE(CONTROL!$C$21, $C$9, 100%, $E$9)</f>
        <v>15.036799999999999</v>
      </c>
      <c r="H575" s="10">
        <f>CHOOSE(CONTROL!$C$42, 15.1068, 15.1068) * CHOOSE(CONTROL!$C$21, $C$9, 100%, $E$9)</f>
        <v>15.1068</v>
      </c>
      <c r="I575" s="10">
        <f>CHOOSE(CONTROL!$C$42, 15.0539, 15.0539)* CHOOSE(CONTROL!$C$21, $C$9, 100%, $E$9)</f>
        <v>15.053900000000001</v>
      </c>
      <c r="J575" s="10">
        <f>CHOOSE(CONTROL!$C$42, 15.0126, 15.0126)* CHOOSE(CONTROL!$C$21, $C$9, 100%, $E$9)</f>
        <v>15.012600000000001</v>
      </c>
      <c r="K575" s="10">
        <f>CHOOSE(CONTROL!$C$42, 14.7431, 14.7431) * CHOOSE(CONTROL!$C$21, $C$9, 100%, $E$9)</f>
        <v>14.7431</v>
      </c>
      <c r="L575" s="10">
        <f>CHOOSE(CONTROL!$C$42, 15.6938, 15.6938) * CHOOSE(CONTROL!$C$21, $C$9, 100%, $E$9)</f>
        <v>15.6938</v>
      </c>
      <c r="M575" s="10">
        <f>CHOOSE(CONTROL!$C$42, 14.8513, 14.8513) * CHOOSE(CONTROL!$C$21, $C$9, 100%, $E$9)</f>
        <v>14.8513</v>
      </c>
      <c r="N575" s="10">
        <f>CHOOSE(CONTROL!$C$42, 14.8679, 14.8679) * CHOOSE(CONTROL!$C$21, $C$9, 100%, $E$9)</f>
        <v>14.867900000000001</v>
      </c>
      <c r="O575" s="10">
        <f>CHOOSE(CONTROL!$C$42, 14.9443, 14.9443) * CHOOSE(CONTROL!$C$21, $C$9, 100%, $E$9)</f>
        <v>14.9443</v>
      </c>
      <c r="P575" s="10">
        <f>CHOOSE(CONTROL!$C$42, 14.8921, 14.8921) * CHOOSE(CONTROL!$C$21, $C$9, 100%, $E$9)</f>
        <v>14.892099999999999</v>
      </c>
      <c r="Q575" s="10">
        <f>CHOOSE(CONTROL!$C$42, 15.5396, 15.5396) * CHOOSE(CONTROL!$C$21, $C$9, 100%, $E$9)</f>
        <v>15.5396</v>
      </c>
      <c r="R575" s="10">
        <f>CHOOSE(CONTROL!$C$42, 16.1655, 16.1655) * CHOOSE(CONTROL!$C$21, $C$9, 100%, $E$9)</f>
        <v>16.165500000000002</v>
      </c>
      <c r="S575" s="10">
        <f>CHOOSE(CONTROL!$C$42, 14.5938, 14.5938) * CHOOSE(CONTROL!$C$21, $C$9, 100%, $E$9)</f>
        <v>14.5938</v>
      </c>
      <c r="T57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38">
        <f>(1000*CHOOSE(CONTROL!$C$42, 695, 695)*CHOOSE(CONTROL!$C$42, 0.5599, 0.5599)*CHOOSE(CONTROL!$C$42, 30, 30))/1000000</f>
        <v>11.673914999999997</v>
      </c>
      <c r="V575" s="38">
        <f>(1000*CHOOSE(CONTROL!$C$42, 500, 500)*CHOOSE(CONTROL!$C$42, 0.275, 0.275)*CHOOSE(CONTROL!$C$42, 30, 30))/1000000</f>
        <v>4.125</v>
      </c>
      <c r="W575" s="38">
        <f>(1000*CHOOSE(CONTROL!$C$42, 0.1146, 0.1146)*CHOOSE(CONTROL!$C$42, 121.5, 121.5)*CHOOSE(CONTROL!$C$42, 30, 30))/1000000</f>
        <v>0.417717</v>
      </c>
      <c r="X575" s="38">
        <f>(30*0.1790888*100000/1000000)+(30*0.2374*100000/1000000)</f>
        <v>1.2494664</v>
      </c>
      <c r="Y575" s="38">
        <f>(1000*600*CHOOSE(CONTROL!$C$42, 1.0585, 1.0585)*CHOOSE(CONTROL!$C$42, 30, 30))/1000000</f>
        <v>19.053000000000001</v>
      </c>
      <c r="Z575" s="38"/>
      <c r="AA575" s="10"/>
      <c r="AB575" s="39"/>
      <c r="AC575" s="33">
        <f>(B575*122.58+C575*297.941+D575*89.177+E575*40.302+F575*40+G575*160+H575*0+I575*100+J575*300)/(122.58+297.941+89.177+40.302+0+40+160+100+300)</f>
        <v>15.045656724347829</v>
      </c>
      <c r="AD575" s="27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14.900276978417267</v>
      </c>
    </row>
    <row r="576" spans="1:30" ht="15.75" x14ac:dyDescent="0.25">
      <c r="A576" s="13">
        <v>58806</v>
      </c>
      <c r="B576" s="10">
        <f>CHOOSE(CONTROL!$C$42, 16.0819, 16.0819) * CHOOSE(CONTROL!$C$21, $C$9, 100%, $E$9)</f>
        <v>16.081900000000001</v>
      </c>
      <c r="C576" s="10">
        <f>CHOOSE(CONTROL!$C$42, 16.087, 16.087) * CHOOSE(CONTROL!$C$21, $C$9, 100%, $E$9)</f>
        <v>16.087</v>
      </c>
      <c r="D576" s="10">
        <f>CHOOSE(CONTROL!$C$42, 16.1117, 16.1117) * CHOOSE(CONTROL!$C$21, $C$9, 100%, $E$9)</f>
        <v>16.111699999999999</v>
      </c>
      <c r="E576" s="10">
        <f>CHOOSE(CONTROL!$C$42, 16.1455, 16.1455) * CHOOSE(CONTROL!$C$21, $C$9, 100%, $E$9)</f>
        <v>16.145499999999998</v>
      </c>
      <c r="F576" s="10">
        <f>CHOOSE(CONTROL!$C$42, 16.0493, 16.0493)*CHOOSE(CONTROL!$C$21, $C$9, 100%, $E$9)</f>
        <v>16.049299999999999</v>
      </c>
      <c r="G576" s="10">
        <f>CHOOSE(CONTROL!$C$42, 16.0666, 16.0666)*CHOOSE(CONTROL!$C$21, $C$9, 100%, $E$9)</f>
        <v>16.066600000000001</v>
      </c>
      <c r="H576" s="10">
        <f>CHOOSE(CONTROL!$C$42, 16.1343, 16.1343) * CHOOSE(CONTROL!$C$21, $C$9, 100%, $E$9)</f>
        <v>16.1343</v>
      </c>
      <c r="I576" s="10">
        <f>CHOOSE(CONTROL!$C$42, 16.0814, 16.0814)* CHOOSE(CONTROL!$C$21, $C$9, 100%, $E$9)</f>
        <v>16.081399999999999</v>
      </c>
      <c r="J576" s="10">
        <f>CHOOSE(CONTROL!$C$42, 16.0419, 16.0419)* CHOOSE(CONTROL!$C$21, $C$9, 100%, $E$9)</f>
        <v>16.041899999999998</v>
      </c>
      <c r="K576" s="10">
        <f>CHOOSE(CONTROL!$C$42, 15.7424, 15.7424) * CHOOSE(CONTROL!$C$21, $C$9, 100%, $E$9)</f>
        <v>15.7424</v>
      </c>
      <c r="L576" s="10">
        <f>CHOOSE(CONTROL!$C$42, 16.7213, 16.7213) * CHOOSE(CONTROL!$C$21, $C$9, 100%, $E$9)</f>
        <v>16.721299999999999</v>
      </c>
      <c r="M576" s="10">
        <f>CHOOSE(CONTROL!$C$42, 15.8673, 15.8673) * CHOOSE(CONTROL!$C$21, $C$9, 100%, $E$9)</f>
        <v>15.8673</v>
      </c>
      <c r="N576" s="10">
        <f>CHOOSE(CONTROL!$C$42, 15.8843, 15.8843) * CHOOSE(CONTROL!$C$21, $C$9, 100%, $E$9)</f>
        <v>15.8843</v>
      </c>
      <c r="O576" s="10">
        <f>CHOOSE(CONTROL!$C$42, 15.9585, 15.9585) * CHOOSE(CONTROL!$C$21, $C$9, 100%, $E$9)</f>
        <v>15.958500000000001</v>
      </c>
      <c r="P576" s="10">
        <f>CHOOSE(CONTROL!$C$42, 15.9063, 15.9063) * CHOOSE(CONTROL!$C$21, $C$9, 100%, $E$9)</f>
        <v>15.9063</v>
      </c>
      <c r="Q576" s="10">
        <f>CHOOSE(CONTROL!$C$42, 16.5538, 16.5538) * CHOOSE(CONTROL!$C$21, $C$9, 100%, $E$9)</f>
        <v>16.553799999999999</v>
      </c>
      <c r="R576" s="10">
        <f>CHOOSE(CONTROL!$C$42, 17.1822, 17.1822) * CHOOSE(CONTROL!$C$21, $C$9, 100%, $E$9)</f>
        <v>17.182200000000002</v>
      </c>
      <c r="S576" s="10">
        <f>CHOOSE(CONTROL!$C$42, 15.5887, 15.5887) * CHOOSE(CONTROL!$C$21, $C$9, 100%, $E$9)</f>
        <v>15.588699999999999</v>
      </c>
      <c r="T57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38">
        <f>(1000*CHOOSE(CONTROL!$C$42, 695, 695)*CHOOSE(CONTROL!$C$42, 0.5599, 0.5599)*CHOOSE(CONTROL!$C$42, 31, 31))/1000000</f>
        <v>12.063045499999998</v>
      </c>
      <c r="V576" s="38">
        <f>(1000*CHOOSE(CONTROL!$C$42, 500, 500)*CHOOSE(CONTROL!$C$42, 0.275, 0.275)*CHOOSE(CONTROL!$C$42, 31, 31))/1000000</f>
        <v>4.2625000000000002</v>
      </c>
      <c r="W576" s="38">
        <f>(1000*CHOOSE(CONTROL!$C$42, 0.1146, 0.1146)*CHOOSE(CONTROL!$C$42, 121.5, 121.5)*CHOOSE(CONTROL!$C$42, 31, 31))/1000000</f>
        <v>0.43164089999999994</v>
      </c>
      <c r="X576" s="38">
        <f>(31*0.1790888*100000/1000000)+(31*0.2374*100000/1000000)</f>
        <v>1.2911152800000001</v>
      </c>
      <c r="Y576" s="38">
        <f>(1000*600*CHOOSE(CONTROL!$C$42, 1.0585, 1.0585)*CHOOSE(CONTROL!$C$42, 31, 31))/1000000</f>
        <v>19.688099999999999</v>
      </c>
      <c r="Z576" s="38"/>
      <c r="AA576" s="10"/>
      <c r="AB576" s="39"/>
      <c r="AC576" s="33">
        <f>(B576*122.58+C576*297.941+D576*89.177+E576*40.302+F576*40+G576*160+H576*0+I576*100+J576*300)/(122.58+297.941+89.177+40.302+0+40+160+100+300)</f>
        <v>16.074020157304346</v>
      </c>
      <c r="AD576" s="27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15.915225179856115</v>
      </c>
    </row>
    <row r="577" spans="1:30" ht="15.75" x14ac:dyDescent="0.25">
      <c r="A577" s="13">
        <v>58837</v>
      </c>
      <c r="B577" s="10">
        <f>CHOOSE(CONTROL!$C$42, 17.1684, 17.1684) * CHOOSE(CONTROL!$C$21, $C$9, 100%, $E$9)</f>
        <v>17.168399999999998</v>
      </c>
      <c r="C577" s="10">
        <f>CHOOSE(CONTROL!$C$42, 17.1735, 17.1735) * CHOOSE(CONTROL!$C$21, $C$9, 100%, $E$9)</f>
        <v>17.173500000000001</v>
      </c>
      <c r="D577" s="10">
        <f>CHOOSE(CONTROL!$C$42, 17.2085, 17.2085) * CHOOSE(CONTROL!$C$21, $C$9, 100%, $E$9)</f>
        <v>17.208500000000001</v>
      </c>
      <c r="E577" s="10">
        <f>CHOOSE(CONTROL!$C$42, 17.2423, 17.2423) * CHOOSE(CONTROL!$C$21, $C$9, 100%, $E$9)</f>
        <v>17.2423</v>
      </c>
      <c r="F577" s="10">
        <f>CHOOSE(CONTROL!$C$42, 17.1497, 17.1497)*CHOOSE(CONTROL!$C$21, $C$9, 100%, $E$9)</f>
        <v>17.149699999999999</v>
      </c>
      <c r="G577" s="10">
        <f>CHOOSE(CONTROL!$C$42, 17.1686, 17.1686)*CHOOSE(CONTROL!$C$21, $C$9, 100%, $E$9)</f>
        <v>17.168600000000001</v>
      </c>
      <c r="H577" s="10">
        <f>CHOOSE(CONTROL!$C$42, 17.2312, 17.2312) * CHOOSE(CONTROL!$C$21, $C$9, 100%, $E$9)</f>
        <v>17.231200000000001</v>
      </c>
      <c r="I577" s="10">
        <f>CHOOSE(CONTROL!$C$42, 17.1757, 17.1757)* CHOOSE(CONTROL!$C$21, $C$9, 100%, $E$9)</f>
        <v>17.175699999999999</v>
      </c>
      <c r="J577" s="10">
        <f>CHOOSE(CONTROL!$C$42, 17.1423, 17.1423)* CHOOSE(CONTROL!$C$21, $C$9, 100%, $E$9)</f>
        <v>17.142299999999999</v>
      </c>
      <c r="K577" s="10">
        <f>CHOOSE(CONTROL!$C$42, 16.8158, 16.8158) * CHOOSE(CONTROL!$C$21, $C$9, 100%, $E$9)</f>
        <v>16.815799999999999</v>
      </c>
      <c r="L577" s="10">
        <f>CHOOSE(CONTROL!$C$42, 17.8182, 17.8182) * CHOOSE(CONTROL!$C$21, $C$9, 100%, $E$9)</f>
        <v>17.818200000000001</v>
      </c>
      <c r="M577" s="10">
        <f>CHOOSE(CONTROL!$C$42, 16.9534, 16.9534) * CHOOSE(CONTROL!$C$21, $C$9, 100%, $E$9)</f>
        <v>16.953399999999998</v>
      </c>
      <c r="N577" s="10">
        <f>CHOOSE(CONTROL!$C$42, 16.9721, 16.9721) * CHOOSE(CONTROL!$C$21, $C$9, 100%, $E$9)</f>
        <v>16.972100000000001</v>
      </c>
      <c r="O577" s="10">
        <f>CHOOSE(CONTROL!$C$42, 17.0412, 17.0412) * CHOOSE(CONTROL!$C$21, $C$9, 100%, $E$9)</f>
        <v>17.0412</v>
      </c>
      <c r="P577" s="10">
        <f>CHOOSE(CONTROL!$C$42, 16.9864, 16.9864) * CHOOSE(CONTROL!$C$21, $C$9, 100%, $E$9)</f>
        <v>16.9864</v>
      </c>
      <c r="Q577" s="10">
        <f>CHOOSE(CONTROL!$C$42, 17.6365, 17.6365) * CHOOSE(CONTROL!$C$21, $C$9, 100%, $E$9)</f>
        <v>17.636500000000002</v>
      </c>
      <c r="R577" s="10">
        <f>CHOOSE(CONTROL!$C$42, 18.2676, 18.2676) * CHOOSE(CONTROL!$C$21, $C$9, 100%, $E$9)</f>
        <v>18.267600000000002</v>
      </c>
      <c r="S577" s="10">
        <f>CHOOSE(CONTROL!$C$42, 16.6408, 16.6408) * CHOOSE(CONTROL!$C$21, $C$9, 100%, $E$9)</f>
        <v>16.640799999999999</v>
      </c>
      <c r="T57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38">
        <f>(1000*CHOOSE(CONTROL!$C$42, 695, 695)*CHOOSE(CONTROL!$C$42, 0.5599, 0.5599)*CHOOSE(CONTROL!$C$42, 31, 31))/1000000</f>
        <v>12.063045499999998</v>
      </c>
      <c r="V577" s="38">
        <f>(1000*CHOOSE(CONTROL!$C$42, 500, 500)*CHOOSE(CONTROL!$C$42, 0.275, 0.275)*CHOOSE(CONTROL!$C$42, 31, 31))/1000000</f>
        <v>4.2625000000000002</v>
      </c>
      <c r="W577" s="38">
        <f>(1000*CHOOSE(CONTROL!$C$42, 0.1146, 0.1146)*CHOOSE(CONTROL!$C$42, 121.5, 121.5)*CHOOSE(CONTROL!$C$42, 31, 31))/1000000</f>
        <v>0.43164089999999994</v>
      </c>
      <c r="X577" s="38">
        <f>(31*0.1790888*100000/1000000)+(31*0.2374*100000/1000000)</f>
        <v>1.2911152800000001</v>
      </c>
      <c r="Y577" s="38">
        <f>(1000*600*CHOOSE(CONTROL!$C$42, 1.0585, 1.0585)*CHOOSE(CONTROL!$C$42, 31, 31))/1000000</f>
        <v>19.688099999999999</v>
      </c>
      <c r="Z577" s="38"/>
      <c r="AA577" s="10"/>
      <c r="AB577" s="39"/>
      <c r="AC577" s="33">
        <f>(B577*122.58+C577*297.941+D577*89.177+E577*40.302+F577*40+G577*160+H577*0+I577*100+J577*300)/(122.58+297.941+89.177+40.302+0+40+160+100+300)</f>
        <v>17.168624186608692</v>
      </c>
      <c r="AD577" s="27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16.999018705035969</v>
      </c>
    </row>
    <row r="578" spans="1:30" ht="15.75" x14ac:dyDescent="0.25">
      <c r="A578" s="13">
        <v>58865</v>
      </c>
      <c r="B578" s="10">
        <f>CHOOSE(CONTROL!$C$42, 17.4743, 17.4743) * CHOOSE(CONTROL!$C$21, $C$9, 100%, $E$9)</f>
        <v>17.474299999999999</v>
      </c>
      <c r="C578" s="10">
        <f>CHOOSE(CONTROL!$C$42, 17.4794, 17.4794) * CHOOSE(CONTROL!$C$21, $C$9, 100%, $E$9)</f>
        <v>17.479399999999998</v>
      </c>
      <c r="D578" s="10">
        <f>CHOOSE(CONTROL!$C$42, 17.5144, 17.5144) * CHOOSE(CONTROL!$C$21, $C$9, 100%, $E$9)</f>
        <v>17.514399999999998</v>
      </c>
      <c r="E578" s="10">
        <f>CHOOSE(CONTROL!$C$42, 17.5482, 17.5482) * CHOOSE(CONTROL!$C$21, $C$9, 100%, $E$9)</f>
        <v>17.548200000000001</v>
      </c>
      <c r="F578" s="10">
        <f>CHOOSE(CONTROL!$C$42, 17.4551, 17.4551)*CHOOSE(CONTROL!$C$21, $C$9, 100%, $E$9)</f>
        <v>17.455100000000002</v>
      </c>
      <c r="G578" s="10">
        <f>CHOOSE(CONTROL!$C$42, 17.4738, 17.4738)*CHOOSE(CONTROL!$C$21, $C$9, 100%, $E$9)</f>
        <v>17.473800000000001</v>
      </c>
      <c r="H578" s="10">
        <f>CHOOSE(CONTROL!$C$42, 17.5371, 17.5371) * CHOOSE(CONTROL!$C$21, $C$9, 100%, $E$9)</f>
        <v>17.537099999999999</v>
      </c>
      <c r="I578" s="10">
        <f>CHOOSE(CONTROL!$C$42, 17.4816, 17.4816)* CHOOSE(CONTROL!$C$21, $C$9, 100%, $E$9)</f>
        <v>17.4816</v>
      </c>
      <c r="J578" s="10">
        <f>CHOOSE(CONTROL!$C$42, 17.4477, 17.4477)* CHOOSE(CONTROL!$C$21, $C$9, 100%, $E$9)</f>
        <v>17.447700000000001</v>
      </c>
      <c r="K578" s="10">
        <f>CHOOSE(CONTROL!$C$42, 17.1111, 17.1111) * CHOOSE(CONTROL!$C$21, $C$9, 100%, $E$9)</f>
        <v>17.1111</v>
      </c>
      <c r="L578" s="10">
        <f>CHOOSE(CONTROL!$C$42, 18.1241, 18.1241) * CHOOSE(CONTROL!$C$21, $C$9, 100%, $E$9)</f>
        <v>18.124099999999999</v>
      </c>
      <c r="M578" s="10">
        <f>CHOOSE(CONTROL!$C$42, 17.2549, 17.2549) * CHOOSE(CONTROL!$C$21, $C$9, 100%, $E$9)</f>
        <v>17.254899999999999</v>
      </c>
      <c r="N578" s="10">
        <f>CHOOSE(CONTROL!$C$42, 17.2734, 17.2734) * CHOOSE(CONTROL!$C$21, $C$9, 100%, $E$9)</f>
        <v>17.273399999999999</v>
      </c>
      <c r="O578" s="10">
        <f>CHOOSE(CONTROL!$C$42, 17.3431, 17.3431) * CHOOSE(CONTROL!$C$21, $C$9, 100%, $E$9)</f>
        <v>17.3431</v>
      </c>
      <c r="P578" s="10">
        <f>CHOOSE(CONTROL!$C$42, 17.2884, 17.2884) * CHOOSE(CONTROL!$C$21, $C$9, 100%, $E$9)</f>
        <v>17.288399999999999</v>
      </c>
      <c r="Q578" s="10">
        <f>CHOOSE(CONTROL!$C$42, 17.9384, 17.9384) * CHOOSE(CONTROL!$C$21, $C$9, 100%, $E$9)</f>
        <v>17.938400000000001</v>
      </c>
      <c r="R578" s="10">
        <f>CHOOSE(CONTROL!$C$42, 18.5703, 18.5703) * CHOOSE(CONTROL!$C$21, $C$9, 100%, $E$9)</f>
        <v>18.5703</v>
      </c>
      <c r="S578" s="10">
        <f>CHOOSE(CONTROL!$C$42, 16.9371, 16.9371) * CHOOSE(CONTROL!$C$21, $C$9, 100%, $E$9)</f>
        <v>16.937100000000001</v>
      </c>
      <c r="T57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78" s="38">
        <f>(1000*CHOOSE(CONTROL!$C$42, 695, 695)*CHOOSE(CONTROL!$C$42, 0.5599, 0.5599)*CHOOSE(CONTROL!$C$42, 28, 28))/1000000</f>
        <v>10.895653999999999</v>
      </c>
      <c r="V578" s="38">
        <f>(1000*CHOOSE(CONTROL!$C$42, 500, 500)*CHOOSE(CONTROL!$C$42, 0.275, 0.275)*CHOOSE(CONTROL!$C$42, 28, 28))/1000000</f>
        <v>3.85</v>
      </c>
      <c r="W578" s="38">
        <f>(1000*CHOOSE(CONTROL!$C$42, 0.1146, 0.1146)*CHOOSE(CONTROL!$C$42, 121.5, 121.5)*CHOOSE(CONTROL!$C$42, 28, 28))/1000000</f>
        <v>0.38986920000000003</v>
      </c>
      <c r="X578" s="38">
        <f>(28*0.1790888*100000/1000000)+(28*0.2374*100000/1000000)</f>
        <v>1.16616864</v>
      </c>
      <c r="Y578" s="38">
        <f>(1000*600*CHOOSE(CONTROL!$C$42, 1.0585, 1.0585)*CHOOSE(CONTROL!$C$42, 28, 28))/1000000</f>
        <v>17.782800000000002</v>
      </c>
      <c r="Z578" s="38"/>
      <c r="AA578" s="10"/>
      <c r="AB578" s="39"/>
      <c r="AC578" s="33">
        <f>(B578*122.58+C578*297.941+D578*89.177+E578*40.302+F578*40+G578*160+H578*0+I578*100+J578*300)/(122.58+297.941+89.177+40.302+0+40+160+100+300)</f>
        <v>17.474278969217391</v>
      </c>
      <c r="AD578" s="27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17.300760431654677</v>
      </c>
    </row>
    <row r="579" spans="1:30" ht="15.75" x14ac:dyDescent="0.25">
      <c r="A579" s="13">
        <v>58893</v>
      </c>
      <c r="B579" s="10">
        <f>CHOOSE(CONTROL!$C$42, 16.9778, 16.9778) * CHOOSE(CONTROL!$C$21, $C$9, 100%, $E$9)</f>
        <v>16.977799999999998</v>
      </c>
      <c r="C579" s="10">
        <f>CHOOSE(CONTROL!$C$42, 16.9829, 16.9829) * CHOOSE(CONTROL!$C$21, $C$9, 100%, $E$9)</f>
        <v>16.982900000000001</v>
      </c>
      <c r="D579" s="10">
        <f>CHOOSE(CONTROL!$C$42, 17.0179, 17.0179) * CHOOSE(CONTROL!$C$21, $C$9, 100%, $E$9)</f>
        <v>17.017900000000001</v>
      </c>
      <c r="E579" s="10">
        <f>CHOOSE(CONTROL!$C$42, 17.0517, 17.0517) * CHOOSE(CONTROL!$C$21, $C$9, 100%, $E$9)</f>
        <v>17.0517</v>
      </c>
      <c r="F579" s="10">
        <f>CHOOSE(CONTROL!$C$42, 16.9571, 16.9571)*CHOOSE(CONTROL!$C$21, $C$9, 100%, $E$9)</f>
        <v>16.957100000000001</v>
      </c>
      <c r="G579" s="10">
        <f>CHOOSE(CONTROL!$C$42, 16.9755, 16.9755)*CHOOSE(CONTROL!$C$21, $C$9, 100%, $E$9)</f>
        <v>16.9755</v>
      </c>
      <c r="H579" s="10">
        <f>CHOOSE(CONTROL!$C$42, 17.0406, 17.0406) * CHOOSE(CONTROL!$C$21, $C$9, 100%, $E$9)</f>
        <v>17.040600000000001</v>
      </c>
      <c r="I579" s="10">
        <f>CHOOSE(CONTROL!$C$42, 16.985, 16.985)* CHOOSE(CONTROL!$C$21, $C$9, 100%, $E$9)</f>
        <v>16.984999999999999</v>
      </c>
      <c r="J579" s="10">
        <f>CHOOSE(CONTROL!$C$42, 16.9497, 16.9497)* CHOOSE(CONTROL!$C$21, $C$9, 100%, $E$9)</f>
        <v>16.9497</v>
      </c>
      <c r="K579" s="10">
        <f>CHOOSE(CONTROL!$C$42, 16.627, 16.627) * CHOOSE(CONTROL!$C$21, $C$9, 100%, $E$9)</f>
        <v>16.626999999999999</v>
      </c>
      <c r="L579" s="10">
        <f>CHOOSE(CONTROL!$C$42, 17.6276, 17.6276) * CHOOSE(CONTROL!$C$21, $C$9, 100%, $E$9)</f>
        <v>17.627600000000001</v>
      </c>
      <c r="M579" s="10">
        <f>CHOOSE(CONTROL!$C$42, 16.7633, 16.7633) * CHOOSE(CONTROL!$C$21, $C$9, 100%, $E$9)</f>
        <v>16.763300000000001</v>
      </c>
      <c r="N579" s="10">
        <f>CHOOSE(CONTROL!$C$42, 16.7815, 16.7815) * CHOOSE(CONTROL!$C$21, $C$9, 100%, $E$9)</f>
        <v>16.781500000000001</v>
      </c>
      <c r="O579" s="10">
        <f>CHOOSE(CONTROL!$C$42, 16.853, 16.853) * CHOOSE(CONTROL!$C$21, $C$9, 100%, $E$9)</f>
        <v>16.853000000000002</v>
      </c>
      <c r="P579" s="10">
        <f>CHOOSE(CONTROL!$C$42, 16.7982, 16.7982) * CHOOSE(CONTROL!$C$21, $C$9, 100%, $E$9)</f>
        <v>16.798200000000001</v>
      </c>
      <c r="Q579" s="10">
        <f>CHOOSE(CONTROL!$C$42, 17.4483, 17.4483) * CHOOSE(CONTROL!$C$21, $C$9, 100%, $E$9)</f>
        <v>17.4483</v>
      </c>
      <c r="R579" s="10">
        <f>CHOOSE(CONTROL!$C$42, 18.0789, 18.0789) * CHOOSE(CONTROL!$C$21, $C$9, 100%, $E$9)</f>
        <v>18.078900000000001</v>
      </c>
      <c r="S579" s="10">
        <f>CHOOSE(CONTROL!$C$42, 16.4562, 16.4562) * CHOOSE(CONTROL!$C$21, $C$9, 100%, $E$9)</f>
        <v>16.456199999999999</v>
      </c>
      <c r="T57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38">
        <f>(1000*CHOOSE(CONTROL!$C$42, 695, 695)*CHOOSE(CONTROL!$C$42, 0.5599, 0.5599)*CHOOSE(CONTROL!$C$42, 31, 31))/1000000</f>
        <v>12.063045499999998</v>
      </c>
      <c r="V579" s="38">
        <f>(1000*CHOOSE(CONTROL!$C$42, 500, 500)*CHOOSE(CONTROL!$C$42, 0.275, 0.275)*CHOOSE(CONTROL!$C$42, 31, 31))/1000000</f>
        <v>4.2625000000000002</v>
      </c>
      <c r="W579" s="38">
        <f>(1000*CHOOSE(CONTROL!$C$42, 0.1146, 0.1146)*CHOOSE(CONTROL!$C$42, 121.5, 121.5)*CHOOSE(CONTROL!$C$42, 31, 31))/1000000</f>
        <v>0.43164089999999994</v>
      </c>
      <c r="X579" s="38">
        <f>(31*0.1790888*100000/1000000)+(31*0.2374*100000/1000000)</f>
        <v>1.2911152800000001</v>
      </c>
      <c r="Y579" s="38">
        <f>(1000*600*CHOOSE(CONTROL!$C$42, 1.0585, 1.0585)*CHOOSE(CONTROL!$C$42, 31, 31))/1000000</f>
        <v>19.688099999999999</v>
      </c>
      <c r="Z579" s="38"/>
      <c r="AA579" s="10"/>
      <c r="AB579" s="39"/>
      <c r="AC579" s="33">
        <f>(B579*122.58+C579*297.941+D579*89.177+E579*40.302+F579*40+G579*160+H579*0+I579*100+J579*300)/(122.58+297.941+89.177+40.302+0+40+160+100+300)</f>
        <v>16.977076360521739</v>
      </c>
      <c r="AD579" s="27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16.810024460431656</v>
      </c>
    </row>
    <row r="580" spans="1:30" ht="15.75" x14ac:dyDescent="0.25">
      <c r="A580" s="13">
        <v>58926</v>
      </c>
      <c r="B580" s="10">
        <f>CHOOSE(CONTROL!$C$42, 16.9276, 16.9276) * CHOOSE(CONTROL!$C$21, $C$9, 100%, $E$9)</f>
        <v>16.927600000000002</v>
      </c>
      <c r="C580" s="10">
        <f>CHOOSE(CONTROL!$C$42, 16.9322, 16.9322) * CHOOSE(CONTROL!$C$21, $C$9, 100%, $E$9)</f>
        <v>16.932200000000002</v>
      </c>
      <c r="D580" s="10">
        <f>CHOOSE(CONTROL!$C$42, 17.1104, 17.1104) * CHOOSE(CONTROL!$C$21, $C$9, 100%, $E$9)</f>
        <v>17.110399999999998</v>
      </c>
      <c r="E580" s="10">
        <f>CHOOSE(CONTROL!$C$42, 17.1422, 17.1422) * CHOOSE(CONTROL!$C$21, $C$9, 100%, $E$9)</f>
        <v>17.142199999999999</v>
      </c>
      <c r="F580" s="10">
        <f>CHOOSE(CONTROL!$C$42, 16.8711, 16.8711)*CHOOSE(CONTROL!$C$21, $C$9, 100%, $E$9)</f>
        <v>16.871099999999998</v>
      </c>
      <c r="G580" s="10">
        <f>CHOOSE(CONTROL!$C$42, 16.8877, 16.8877)*CHOOSE(CONTROL!$C$21, $C$9, 100%, $E$9)</f>
        <v>16.887699999999999</v>
      </c>
      <c r="H580" s="10">
        <f>CHOOSE(CONTROL!$C$42, 17.1317, 17.1317) * CHOOSE(CONTROL!$C$21, $C$9, 100%, $E$9)</f>
        <v>17.131699999999999</v>
      </c>
      <c r="I580" s="10">
        <f>CHOOSE(CONTROL!$C$42, 16.9036, 16.9036)* CHOOSE(CONTROL!$C$21, $C$9, 100%, $E$9)</f>
        <v>16.903600000000001</v>
      </c>
      <c r="J580" s="10">
        <f>CHOOSE(CONTROL!$C$42, 16.8637, 16.8637)* CHOOSE(CONTROL!$C$21, $C$9, 100%, $E$9)</f>
        <v>16.863700000000001</v>
      </c>
      <c r="K580" s="10">
        <f>CHOOSE(CONTROL!$C$42, 16.5335, 16.5335) * CHOOSE(CONTROL!$C$21, $C$9, 100%, $E$9)</f>
        <v>16.5335</v>
      </c>
      <c r="L580" s="10">
        <f>CHOOSE(CONTROL!$C$42, 17.7187, 17.7187) * CHOOSE(CONTROL!$C$21, $C$9, 100%, $E$9)</f>
        <v>17.718699999999998</v>
      </c>
      <c r="M580" s="10">
        <f>CHOOSE(CONTROL!$C$42, 16.6784, 16.6784) * CHOOSE(CONTROL!$C$21, $C$9, 100%, $E$9)</f>
        <v>16.6784</v>
      </c>
      <c r="N580" s="10">
        <f>CHOOSE(CONTROL!$C$42, 16.6948, 16.6948) * CHOOSE(CONTROL!$C$21, $C$9, 100%, $E$9)</f>
        <v>16.694800000000001</v>
      </c>
      <c r="O580" s="10">
        <f>CHOOSE(CONTROL!$C$42, 16.9429, 16.9429) * CHOOSE(CONTROL!$C$21, $C$9, 100%, $E$9)</f>
        <v>16.942900000000002</v>
      </c>
      <c r="P580" s="10">
        <f>CHOOSE(CONTROL!$C$42, 16.7179, 16.7179) * CHOOSE(CONTROL!$C$21, $C$9, 100%, $E$9)</f>
        <v>16.7179</v>
      </c>
      <c r="Q580" s="10">
        <f>CHOOSE(CONTROL!$C$42, 17.5382, 17.5382) * CHOOSE(CONTROL!$C$21, $C$9, 100%, $E$9)</f>
        <v>17.5382</v>
      </c>
      <c r="R580" s="10">
        <f>CHOOSE(CONTROL!$C$42, 18.1691, 18.1691) * CHOOSE(CONTROL!$C$21, $C$9, 100%, $E$9)</f>
        <v>18.1691</v>
      </c>
      <c r="S580" s="10">
        <f>CHOOSE(CONTROL!$C$42, 16.4069, 16.4069) * CHOOSE(CONTROL!$C$21, $C$9, 100%, $E$9)</f>
        <v>16.4069</v>
      </c>
      <c r="T58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38">
        <f>(1000*CHOOSE(CONTROL!$C$42, 695, 695)*CHOOSE(CONTROL!$C$42, 0.5599, 0.5599)*CHOOSE(CONTROL!$C$42, 30, 30))/1000000</f>
        <v>11.673914999999997</v>
      </c>
      <c r="V580" s="38">
        <f>(1000*CHOOSE(CONTROL!$C$42, 500, 500)*CHOOSE(CONTROL!$C$42, 0.275, 0.275)*CHOOSE(CONTROL!$C$42, 30, 30))/1000000</f>
        <v>4.125</v>
      </c>
      <c r="W580" s="38">
        <f>(1000*CHOOSE(CONTROL!$C$42, 0.1146, 0.1146)*CHOOSE(CONTROL!$C$42, 121.5, 121.5)*CHOOSE(CONTROL!$C$42, 30, 30))/1000000</f>
        <v>0.417717</v>
      </c>
      <c r="X580" s="38">
        <f>(30*0.1790888*245000/1000000)+(30*0.2374*100000/1000000)</f>
        <v>2.0285026799999999</v>
      </c>
      <c r="Y580" s="38">
        <f>(1000*600*CHOOSE(CONTROL!$C$42, 1.0585, 1.0585)*CHOOSE(CONTROL!$C$42, 30, 30))/1000000</f>
        <v>19.053000000000001</v>
      </c>
      <c r="Z580" s="38"/>
      <c r="AA580" s="10"/>
      <c r="AB580" s="39"/>
      <c r="AC580" s="33">
        <f>(B580*141.293+C580*267.993+D580*115.016+E580*89.698+F580*40+G580*185+H580*0+I580*100+J580*300)/(141.293+267.993+115.016+89.698+0+40+185+100+300)</f>
        <v>16.935909429701375</v>
      </c>
      <c r="AD580" s="27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16.762071223021586</v>
      </c>
    </row>
    <row r="581" spans="1:30" ht="15.75" x14ac:dyDescent="0.25">
      <c r="A581" s="13">
        <v>58957</v>
      </c>
      <c r="B581" s="10">
        <f>CHOOSE(CONTROL!$C$42, 17.0789, 17.0789) * CHOOSE(CONTROL!$C$21, $C$9, 100%, $E$9)</f>
        <v>17.078900000000001</v>
      </c>
      <c r="C581" s="10">
        <f>CHOOSE(CONTROL!$C$42, 17.0869, 17.0869) * CHOOSE(CONTROL!$C$21, $C$9, 100%, $E$9)</f>
        <v>17.0869</v>
      </c>
      <c r="D581" s="10">
        <f>CHOOSE(CONTROL!$C$42, 17.2621, 17.2621) * CHOOSE(CONTROL!$C$21, $C$9, 100%, $E$9)</f>
        <v>17.2621</v>
      </c>
      <c r="E581" s="10">
        <f>CHOOSE(CONTROL!$C$42, 17.2933, 17.2933) * CHOOSE(CONTROL!$C$21, $C$9, 100%, $E$9)</f>
        <v>17.293299999999999</v>
      </c>
      <c r="F581" s="10">
        <f>CHOOSE(CONTROL!$C$42, 17.0206, 17.0206)*CHOOSE(CONTROL!$C$21, $C$9, 100%, $E$9)</f>
        <v>17.020600000000002</v>
      </c>
      <c r="G581" s="10">
        <f>CHOOSE(CONTROL!$C$42, 17.0375, 17.0375)*CHOOSE(CONTROL!$C$21, $C$9, 100%, $E$9)</f>
        <v>17.037500000000001</v>
      </c>
      <c r="H581" s="10">
        <f>CHOOSE(CONTROL!$C$42, 17.2816, 17.2816) * CHOOSE(CONTROL!$C$21, $C$9, 100%, $E$9)</f>
        <v>17.281600000000001</v>
      </c>
      <c r="I581" s="10">
        <f>CHOOSE(CONTROL!$C$42, 17.0536, 17.0536)* CHOOSE(CONTROL!$C$21, $C$9, 100%, $E$9)</f>
        <v>17.053599999999999</v>
      </c>
      <c r="J581" s="10">
        <f>CHOOSE(CONTROL!$C$42, 17.0132, 17.0132)* CHOOSE(CONTROL!$C$21, $C$9, 100%, $E$9)</f>
        <v>17.013200000000001</v>
      </c>
      <c r="K581" s="10">
        <f>CHOOSE(CONTROL!$C$42, 16.6779, 16.6779) * CHOOSE(CONTROL!$C$21, $C$9, 100%, $E$9)</f>
        <v>16.677900000000001</v>
      </c>
      <c r="L581" s="10">
        <f>CHOOSE(CONTROL!$C$42, 17.8686, 17.8686) * CHOOSE(CONTROL!$C$21, $C$9, 100%, $E$9)</f>
        <v>17.868600000000001</v>
      </c>
      <c r="M581" s="10">
        <f>CHOOSE(CONTROL!$C$42, 16.826, 16.826) * CHOOSE(CONTROL!$C$21, $C$9, 100%, $E$9)</f>
        <v>16.826000000000001</v>
      </c>
      <c r="N581" s="10">
        <f>CHOOSE(CONTROL!$C$42, 16.8427, 16.8427) * CHOOSE(CONTROL!$C$21, $C$9, 100%, $E$9)</f>
        <v>16.842700000000001</v>
      </c>
      <c r="O581" s="10">
        <f>CHOOSE(CONTROL!$C$42, 17.0909, 17.0909) * CHOOSE(CONTROL!$C$21, $C$9, 100%, $E$9)</f>
        <v>17.090900000000001</v>
      </c>
      <c r="P581" s="10">
        <f>CHOOSE(CONTROL!$C$42, 16.8659, 16.8659) * CHOOSE(CONTROL!$C$21, $C$9, 100%, $E$9)</f>
        <v>16.8659</v>
      </c>
      <c r="Q581" s="10">
        <f>CHOOSE(CONTROL!$C$42, 17.6862, 17.6862) * CHOOSE(CONTROL!$C$21, $C$9, 100%, $E$9)</f>
        <v>17.686199999999999</v>
      </c>
      <c r="R581" s="10">
        <f>CHOOSE(CONTROL!$C$42, 18.3174, 18.3174) * CHOOSE(CONTROL!$C$21, $C$9, 100%, $E$9)</f>
        <v>18.317399999999999</v>
      </c>
      <c r="S581" s="10">
        <f>CHOOSE(CONTROL!$C$42, 16.5521, 16.5521) * CHOOSE(CONTROL!$C$21, $C$9, 100%, $E$9)</f>
        <v>16.552099999999999</v>
      </c>
      <c r="T58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38">
        <f>(1000*CHOOSE(CONTROL!$C$42, 695, 695)*CHOOSE(CONTROL!$C$42, 0.5599, 0.5599)*CHOOSE(CONTROL!$C$42, 31, 31))/1000000</f>
        <v>12.063045499999998</v>
      </c>
      <c r="V581" s="38">
        <f>(1000*CHOOSE(CONTROL!$C$42, 500, 500)*CHOOSE(CONTROL!$C$42, 0.275, 0.275)*CHOOSE(CONTROL!$C$42, 31, 31))/1000000</f>
        <v>4.2625000000000002</v>
      </c>
      <c r="W581" s="38">
        <f>(1000*CHOOSE(CONTROL!$C$42, 0.1146, 0.1146)*CHOOSE(CONTROL!$C$42, 121.5, 121.5)*CHOOSE(CONTROL!$C$42, 31, 31))/1000000</f>
        <v>0.43164089999999994</v>
      </c>
      <c r="X581" s="38">
        <f>(31*0.1790888*245000/1000000)+(31*0.2374*100000/1000000)</f>
        <v>2.0961194359999999</v>
      </c>
      <c r="Y581" s="38">
        <f>(1000*600*CHOOSE(CONTROL!$C$42, 1.0585, 1.0585)*CHOOSE(CONTROL!$C$42, 31, 31))/1000000</f>
        <v>19.688099999999999</v>
      </c>
      <c r="Z581" s="38"/>
      <c r="AA581" s="10"/>
      <c r="AB581" s="39"/>
      <c r="AC581" s="33">
        <f>(B581*194.205+C581*267.466+D581*133.845+E581*53.484+F581*40+G581*185+H581*0+I581*100+J581*300)/(194.205+267.466+133.845+53.484+0+40+185+100+300)</f>
        <v>17.083528023233907</v>
      </c>
      <c r="AD581" s="27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16.909910071942448</v>
      </c>
    </row>
    <row r="582" spans="1:30" ht="15.75" x14ac:dyDescent="0.25">
      <c r="A582" s="13">
        <v>58987</v>
      </c>
      <c r="B582" s="10">
        <f>CHOOSE(CONTROL!$C$42, 17.5638, 17.5638) * CHOOSE(CONTROL!$C$21, $C$9, 100%, $E$9)</f>
        <v>17.563800000000001</v>
      </c>
      <c r="C582" s="10">
        <f>CHOOSE(CONTROL!$C$42, 17.5718, 17.5718) * CHOOSE(CONTROL!$C$21, $C$9, 100%, $E$9)</f>
        <v>17.5718</v>
      </c>
      <c r="D582" s="10">
        <f>CHOOSE(CONTROL!$C$42, 17.7469, 17.7469) * CHOOSE(CONTROL!$C$21, $C$9, 100%, $E$9)</f>
        <v>17.7469</v>
      </c>
      <c r="E582" s="10">
        <f>CHOOSE(CONTROL!$C$42, 17.7781, 17.7781) * CHOOSE(CONTROL!$C$21, $C$9, 100%, $E$9)</f>
        <v>17.778099999999998</v>
      </c>
      <c r="F582" s="10">
        <f>CHOOSE(CONTROL!$C$42, 17.5057, 17.5057)*CHOOSE(CONTROL!$C$21, $C$9, 100%, $E$9)</f>
        <v>17.505700000000001</v>
      </c>
      <c r="G582" s="10">
        <f>CHOOSE(CONTROL!$C$42, 17.5226, 17.5226)*CHOOSE(CONTROL!$C$21, $C$9, 100%, $E$9)</f>
        <v>17.522600000000001</v>
      </c>
      <c r="H582" s="10">
        <f>CHOOSE(CONTROL!$C$42, 17.7665, 17.7665) * CHOOSE(CONTROL!$C$21, $C$9, 100%, $E$9)</f>
        <v>17.766500000000001</v>
      </c>
      <c r="I582" s="10">
        <f>CHOOSE(CONTROL!$C$42, 17.5384, 17.5384)* CHOOSE(CONTROL!$C$21, $C$9, 100%, $E$9)</f>
        <v>17.538399999999999</v>
      </c>
      <c r="J582" s="10">
        <f>CHOOSE(CONTROL!$C$42, 17.4983, 17.4983)* CHOOSE(CONTROL!$C$21, $C$9, 100%, $E$9)</f>
        <v>17.4983</v>
      </c>
      <c r="K582" s="10">
        <f>CHOOSE(CONTROL!$C$42, 17.148, 17.148) * CHOOSE(CONTROL!$C$21, $C$9, 100%, $E$9)</f>
        <v>17.148</v>
      </c>
      <c r="L582" s="10">
        <f>CHOOSE(CONTROL!$C$42, 18.3535, 18.3535) * CHOOSE(CONTROL!$C$21, $C$9, 100%, $E$9)</f>
        <v>18.3535</v>
      </c>
      <c r="M582" s="10">
        <f>CHOOSE(CONTROL!$C$42, 17.3048, 17.3048) * CHOOSE(CONTROL!$C$21, $C$9, 100%, $E$9)</f>
        <v>17.3048</v>
      </c>
      <c r="N582" s="10">
        <f>CHOOSE(CONTROL!$C$42, 17.3215, 17.3215) * CHOOSE(CONTROL!$C$21, $C$9, 100%, $E$9)</f>
        <v>17.3215</v>
      </c>
      <c r="O582" s="10">
        <f>CHOOSE(CONTROL!$C$42, 17.5695, 17.5695) * CHOOSE(CONTROL!$C$21, $C$9, 100%, $E$9)</f>
        <v>17.569500000000001</v>
      </c>
      <c r="P582" s="10">
        <f>CHOOSE(CONTROL!$C$42, 17.3445, 17.3445) * CHOOSE(CONTROL!$C$21, $C$9, 100%, $E$9)</f>
        <v>17.3445</v>
      </c>
      <c r="Q582" s="10">
        <f>CHOOSE(CONTROL!$C$42, 18.1648, 18.1648) * CHOOSE(CONTROL!$C$21, $C$9, 100%, $E$9)</f>
        <v>18.1648</v>
      </c>
      <c r="R582" s="10">
        <f>CHOOSE(CONTROL!$C$42, 18.7972, 18.7972) * CHOOSE(CONTROL!$C$21, $C$9, 100%, $E$9)</f>
        <v>18.7972</v>
      </c>
      <c r="S582" s="10">
        <f>CHOOSE(CONTROL!$C$42, 17.0216, 17.0216) * CHOOSE(CONTROL!$C$21, $C$9, 100%, $E$9)</f>
        <v>17.021599999999999</v>
      </c>
      <c r="T58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38">
        <f>(1000*CHOOSE(CONTROL!$C$42, 695, 695)*CHOOSE(CONTROL!$C$42, 0.5599, 0.5599)*CHOOSE(CONTROL!$C$42, 30, 30))/1000000</f>
        <v>11.673914999999997</v>
      </c>
      <c r="V582" s="38">
        <f>(1000*CHOOSE(CONTROL!$C$42, 500, 500)*CHOOSE(CONTROL!$C$42, 0.275, 0.275)*CHOOSE(CONTROL!$C$42, 30, 30))/1000000</f>
        <v>4.125</v>
      </c>
      <c r="W582" s="38">
        <f>(1000*CHOOSE(CONTROL!$C$42, 0.1146, 0.1146)*CHOOSE(CONTROL!$C$42, 121.5, 121.5)*CHOOSE(CONTROL!$C$42, 30, 30))/1000000</f>
        <v>0.417717</v>
      </c>
      <c r="X582" s="38">
        <f>(30*0.1790888*245000/1000000)+(30*0.2374*100000/1000000)</f>
        <v>2.0285026799999999</v>
      </c>
      <c r="Y582" s="38">
        <f>(1000*600*CHOOSE(CONTROL!$C$42, 1.0585, 1.0585)*CHOOSE(CONTROL!$C$42, 30, 30))/1000000</f>
        <v>19.053000000000001</v>
      </c>
      <c r="Z582" s="38"/>
      <c r="AA582" s="10"/>
      <c r="AB582" s="39"/>
      <c r="AC582" s="33">
        <f>(B582*194.205+C582*267.466+D582*133.845+E582*53.484+F582*40+G582*185+H582*0+I582*100+J582*300)/(194.205+267.466+133.845+53.484+0+40+185+100+300)</f>
        <v>17.568487887519623</v>
      </c>
      <c r="AD582" s="27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17.388625179856117</v>
      </c>
    </row>
    <row r="583" spans="1:30" ht="15.75" x14ac:dyDescent="0.25">
      <c r="A583" s="13">
        <v>59018</v>
      </c>
      <c r="B583" s="10">
        <f>CHOOSE(CONTROL!$C$42, 17.2266, 17.2266) * CHOOSE(CONTROL!$C$21, $C$9, 100%, $E$9)</f>
        <v>17.226600000000001</v>
      </c>
      <c r="C583" s="10">
        <f>CHOOSE(CONTROL!$C$42, 17.2346, 17.2346) * CHOOSE(CONTROL!$C$21, $C$9, 100%, $E$9)</f>
        <v>17.2346</v>
      </c>
      <c r="D583" s="10">
        <f>CHOOSE(CONTROL!$C$42, 17.4097, 17.4097) * CHOOSE(CONTROL!$C$21, $C$9, 100%, $E$9)</f>
        <v>17.409700000000001</v>
      </c>
      <c r="E583" s="10">
        <f>CHOOSE(CONTROL!$C$42, 17.4409, 17.4409) * CHOOSE(CONTROL!$C$21, $C$9, 100%, $E$9)</f>
        <v>17.440899999999999</v>
      </c>
      <c r="F583" s="10">
        <f>CHOOSE(CONTROL!$C$42, 17.1688, 17.1688)*CHOOSE(CONTROL!$C$21, $C$9, 100%, $E$9)</f>
        <v>17.168800000000001</v>
      </c>
      <c r="G583" s="10">
        <f>CHOOSE(CONTROL!$C$42, 17.1858, 17.1858)*CHOOSE(CONTROL!$C$21, $C$9, 100%, $E$9)</f>
        <v>17.1858</v>
      </c>
      <c r="H583" s="10">
        <f>CHOOSE(CONTROL!$C$42, 17.4292, 17.4292) * CHOOSE(CONTROL!$C$21, $C$9, 100%, $E$9)</f>
        <v>17.429200000000002</v>
      </c>
      <c r="I583" s="10">
        <f>CHOOSE(CONTROL!$C$42, 17.2012, 17.2012)* CHOOSE(CONTROL!$C$21, $C$9, 100%, $E$9)</f>
        <v>17.2012</v>
      </c>
      <c r="J583" s="10">
        <f>CHOOSE(CONTROL!$C$42, 17.1614, 17.1614)* CHOOSE(CONTROL!$C$21, $C$9, 100%, $E$9)</f>
        <v>17.1614</v>
      </c>
      <c r="K583" s="10">
        <f>CHOOSE(CONTROL!$C$42, 16.822, 16.822) * CHOOSE(CONTROL!$C$21, $C$9, 100%, $E$9)</f>
        <v>16.821999999999999</v>
      </c>
      <c r="L583" s="10">
        <f>CHOOSE(CONTROL!$C$42, 18.0162, 18.0162) * CHOOSE(CONTROL!$C$21, $C$9, 100%, $E$9)</f>
        <v>18.016200000000001</v>
      </c>
      <c r="M583" s="10">
        <f>CHOOSE(CONTROL!$C$42, 16.9723, 16.9723) * CHOOSE(CONTROL!$C$21, $C$9, 100%, $E$9)</f>
        <v>16.972300000000001</v>
      </c>
      <c r="N583" s="10">
        <f>CHOOSE(CONTROL!$C$42, 16.9891, 16.9891) * CHOOSE(CONTROL!$C$21, $C$9, 100%, $E$9)</f>
        <v>16.989100000000001</v>
      </c>
      <c r="O583" s="10">
        <f>CHOOSE(CONTROL!$C$42, 17.2367, 17.2367) * CHOOSE(CONTROL!$C$21, $C$9, 100%, $E$9)</f>
        <v>17.236699999999999</v>
      </c>
      <c r="P583" s="10">
        <f>CHOOSE(CONTROL!$C$42, 17.0116, 17.0116) * CHOOSE(CONTROL!$C$21, $C$9, 100%, $E$9)</f>
        <v>17.011600000000001</v>
      </c>
      <c r="Q583" s="10">
        <f>CHOOSE(CONTROL!$C$42, 17.832, 17.832) * CHOOSE(CONTROL!$C$21, $C$9, 100%, $E$9)</f>
        <v>17.832000000000001</v>
      </c>
      <c r="R583" s="10">
        <f>CHOOSE(CONTROL!$C$42, 18.4635, 18.4635) * CHOOSE(CONTROL!$C$21, $C$9, 100%, $E$9)</f>
        <v>18.4635</v>
      </c>
      <c r="S583" s="10">
        <f>CHOOSE(CONTROL!$C$42, 16.6951, 16.6951) * CHOOSE(CONTROL!$C$21, $C$9, 100%, $E$9)</f>
        <v>16.6951</v>
      </c>
      <c r="T58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38">
        <f>(1000*CHOOSE(CONTROL!$C$42, 695, 695)*CHOOSE(CONTROL!$C$42, 0.5599, 0.5599)*CHOOSE(CONTROL!$C$42, 31, 31))/1000000</f>
        <v>12.063045499999998</v>
      </c>
      <c r="V583" s="38">
        <f>(1000*CHOOSE(CONTROL!$C$42, 500, 500)*CHOOSE(CONTROL!$C$42, 0.275, 0.275)*CHOOSE(CONTROL!$C$42, 31, 31))/1000000</f>
        <v>4.2625000000000002</v>
      </c>
      <c r="W583" s="38">
        <f>(1000*CHOOSE(CONTROL!$C$42, 0.1146, 0.1146)*CHOOSE(CONTROL!$C$42, 121.5, 121.5)*CHOOSE(CONTROL!$C$42, 31, 31))/1000000</f>
        <v>0.43164089999999994</v>
      </c>
      <c r="X583" s="38">
        <f>(31*0.1790888*245000/1000000)+(31*0.2374*100000/1000000)</f>
        <v>2.0961194359999999</v>
      </c>
      <c r="Y583" s="38">
        <f>(1000*600*CHOOSE(CONTROL!$C$42, 1.0585, 1.0585)*CHOOSE(CONTROL!$C$42, 31, 31))/1000000</f>
        <v>19.688099999999999</v>
      </c>
      <c r="Z583" s="38"/>
      <c r="AA583" s="10"/>
      <c r="AB583" s="39"/>
      <c r="AC583" s="33">
        <f>(B583*194.205+C583*267.466+D583*133.845+E583*53.484+F583*40+G583*185+H583*0+I583*100+J583*300)/(194.205+267.466+133.845+53.484+0+40+185+100+300)</f>
        <v>17.23142603508634</v>
      </c>
      <c r="AD583" s="27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17.056006474820144</v>
      </c>
    </row>
    <row r="584" spans="1:30" ht="15.75" x14ac:dyDescent="0.25">
      <c r="A584" s="13">
        <v>59049</v>
      </c>
      <c r="B584" s="10">
        <f>CHOOSE(CONTROL!$C$42, 16.375, 16.375) * CHOOSE(CONTROL!$C$21, $C$9, 100%, $E$9)</f>
        <v>16.375</v>
      </c>
      <c r="C584" s="10">
        <f>CHOOSE(CONTROL!$C$42, 16.383, 16.383) * CHOOSE(CONTROL!$C$21, $C$9, 100%, $E$9)</f>
        <v>16.382999999999999</v>
      </c>
      <c r="D584" s="10">
        <f>CHOOSE(CONTROL!$C$42, 16.5581, 16.5581) * CHOOSE(CONTROL!$C$21, $C$9, 100%, $E$9)</f>
        <v>16.5581</v>
      </c>
      <c r="E584" s="10">
        <f>CHOOSE(CONTROL!$C$42, 16.5893, 16.5893) * CHOOSE(CONTROL!$C$21, $C$9, 100%, $E$9)</f>
        <v>16.589300000000001</v>
      </c>
      <c r="F584" s="10">
        <f>CHOOSE(CONTROL!$C$42, 16.3171, 16.3171)*CHOOSE(CONTROL!$C$21, $C$9, 100%, $E$9)</f>
        <v>16.3171</v>
      </c>
      <c r="G584" s="10">
        <f>CHOOSE(CONTROL!$C$42, 16.3341, 16.3341)*CHOOSE(CONTROL!$C$21, $C$9, 100%, $E$9)</f>
        <v>16.334099999999999</v>
      </c>
      <c r="H584" s="10">
        <f>CHOOSE(CONTROL!$C$42, 16.5776, 16.5776) * CHOOSE(CONTROL!$C$21, $C$9, 100%, $E$9)</f>
        <v>16.5776</v>
      </c>
      <c r="I584" s="10">
        <f>CHOOSE(CONTROL!$C$42, 16.3496, 16.3496)* CHOOSE(CONTROL!$C$21, $C$9, 100%, $E$9)</f>
        <v>16.349599999999999</v>
      </c>
      <c r="J584" s="10">
        <f>CHOOSE(CONTROL!$C$42, 16.3097, 16.3097)* CHOOSE(CONTROL!$C$21, $C$9, 100%, $E$9)</f>
        <v>16.309699999999999</v>
      </c>
      <c r="K584" s="10">
        <f>CHOOSE(CONTROL!$C$42, 15.9968, 15.9968) * CHOOSE(CONTROL!$C$21, $C$9, 100%, $E$9)</f>
        <v>15.9968</v>
      </c>
      <c r="L584" s="10">
        <f>CHOOSE(CONTROL!$C$42, 17.1646, 17.1646) * CHOOSE(CONTROL!$C$21, $C$9, 100%, $E$9)</f>
        <v>17.1646</v>
      </c>
      <c r="M584" s="10">
        <f>CHOOSE(CONTROL!$C$42, 16.1316, 16.1316) * CHOOSE(CONTROL!$C$21, $C$9, 100%, $E$9)</f>
        <v>16.131599999999999</v>
      </c>
      <c r="N584" s="10">
        <f>CHOOSE(CONTROL!$C$42, 16.1484, 16.1484) * CHOOSE(CONTROL!$C$21, $C$9, 100%, $E$9)</f>
        <v>16.148399999999999</v>
      </c>
      <c r="O584" s="10">
        <f>CHOOSE(CONTROL!$C$42, 16.3961, 16.3961) * CHOOSE(CONTROL!$C$21, $C$9, 100%, $E$9)</f>
        <v>16.396100000000001</v>
      </c>
      <c r="P584" s="10">
        <f>CHOOSE(CONTROL!$C$42, 16.1711, 16.1711) * CHOOSE(CONTROL!$C$21, $C$9, 100%, $E$9)</f>
        <v>16.171099999999999</v>
      </c>
      <c r="Q584" s="10">
        <f>CHOOSE(CONTROL!$C$42, 16.9914, 16.9914) * CHOOSE(CONTROL!$C$21, $C$9, 100%, $E$9)</f>
        <v>16.991399999999999</v>
      </c>
      <c r="R584" s="10">
        <f>CHOOSE(CONTROL!$C$42, 17.6209, 17.6209) * CHOOSE(CONTROL!$C$21, $C$9, 100%, $E$9)</f>
        <v>17.620899999999999</v>
      </c>
      <c r="S584" s="10">
        <f>CHOOSE(CONTROL!$C$42, 15.8705, 15.8705) * CHOOSE(CONTROL!$C$21, $C$9, 100%, $E$9)</f>
        <v>15.8705</v>
      </c>
      <c r="T58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38">
        <f>(1000*CHOOSE(CONTROL!$C$42, 695, 695)*CHOOSE(CONTROL!$C$42, 0.5599, 0.5599)*CHOOSE(CONTROL!$C$42, 31, 31))/1000000</f>
        <v>12.063045499999998</v>
      </c>
      <c r="V584" s="38">
        <f>(1000*CHOOSE(CONTROL!$C$42, 500, 500)*CHOOSE(CONTROL!$C$42, 0.275, 0.275)*CHOOSE(CONTROL!$C$42, 31, 31))/1000000</f>
        <v>4.2625000000000002</v>
      </c>
      <c r="W584" s="38">
        <f>(1000*CHOOSE(CONTROL!$C$42, 0.1146, 0.1146)*CHOOSE(CONTROL!$C$42, 121.5, 121.5)*CHOOSE(CONTROL!$C$42, 31, 31))/1000000</f>
        <v>0.43164089999999994</v>
      </c>
      <c r="X584" s="38">
        <f>(31*0.1790888*245000/1000000)+(31*0.2374*100000/1000000)</f>
        <v>2.0961194359999999</v>
      </c>
      <c r="Y584" s="38">
        <f>(1000*600*CHOOSE(CONTROL!$C$42, 1.0585, 1.0585)*CHOOSE(CONTROL!$C$42, 31, 31))/1000000</f>
        <v>19.688099999999999</v>
      </c>
      <c r="Z584" s="38"/>
      <c r="AA584" s="10"/>
      <c r="AB584" s="39"/>
      <c r="AC584" s="33">
        <f>(B584*194.205+C584*267.466+D584*133.845+E584*53.484+F584*40+G584*185+H584*0+I584*100+J584*300)/(194.205+267.466+133.845+53.484+0+40+185+100+300)</f>
        <v>16.379784826295133</v>
      </c>
      <c r="AD584" s="27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16.215363309352519</v>
      </c>
    </row>
    <row r="585" spans="1:30" ht="15.75" x14ac:dyDescent="0.25">
      <c r="A585" s="13">
        <v>59079</v>
      </c>
      <c r="B585" s="10">
        <f>CHOOSE(CONTROL!$C$42, 15.3345, 15.3345) * CHOOSE(CONTROL!$C$21, $C$9, 100%, $E$9)</f>
        <v>15.3345</v>
      </c>
      <c r="C585" s="10">
        <f>CHOOSE(CONTROL!$C$42, 15.3425, 15.3425) * CHOOSE(CONTROL!$C$21, $C$9, 100%, $E$9)</f>
        <v>15.342499999999999</v>
      </c>
      <c r="D585" s="10">
        <f>CHOOSE(CONTROL!$C$42, 15.5176, 15.5176) * CHOOSE(CONTROL!$C$21, $C$9, 100%, $E$9)</f>
        <v>15.5176</v>
      </c>
      <c r="E585" s="10">
        <f>CHOOSE(CONTROL!$C$42, 15.5488, 15.5488) * CHOOSE(CONTROL!$C$21, $C$9, 100%, $E$9)</f>
        <v>15.5488</v>
      </c>
      <c r="F585" s="10">
        <f>CHOOSE(CONTROL!$C$42, 15.2763, 15.2763)*CHOOSE(CONTROL!$C$21, $C$9, 100%, $E$9)</f>
        <v>15.276300000000001</v>
      </c>
      <c r="G585" s="10">
        <f>CHOOSE(CONTROL!$C$42, 15.2932, 15.2932)*CHOOSE(CONTROL!$C$21, $C$9, 100%, $E$9)</f>
        <v>15.293200000000001</v>
      </c>
      <c r="H585" s="10">
        <f>CHOOSE(CONTROL!$C$42, 15.5371, 15.5371) * CHOOSE(CONTROL!$C$21, $C$9, 100%, $E$9)</f>
        <v>15.537100000000001</v>
      </c>
      <c r="I585" s="10">
        <f>CHOOSE(CONTROL!$C$42, 15.3091, 15.3091)* CHOOSE(CONTROL!$C$21, $C$9, 100%, $E$9)</f>
        <v>15.309100000000001</v>
      </c>
      <c r="J585" s="10">
        <f>CHOOSE(CONTROL!$C$42, 15.2689, 15.2689)* CHOOSE(CONTROL!$C$21, $C$9, 100%, $E$9)</f>
        <v>15.2689</v>
      </c>
      <c r="K585" s="10">
        <f>CHOOSE(CONTROL!$C$42, 14.9881, 14.9881) * CHOOSE(CONTROL!$C$21, $C$9, 100%, $E$9)</f>
        <v>14.988099999999999</v>
      </c>
      <c r="L585" s="10">
        <f>CHOOSE(CONTROL!$C$42, 16.1241, 16.1241) * CHOOSE(CONTROL!$C$21, $C$9, 100%, $E$9)</f>
        <v>16.124099999999999</v>
      </c>
      <c r="M585" s="10">
        <f>CHOOSE(CONTROL!$C$42, 15.1043, 15.1043) * CHOOSE(CONTROL!$C$21, $C$9, 100%, $E$9)</f>
        <v>15.1043</v>
      </c>
      <c r="N585" s="10">
        <f>CHOOSE(CONTROL!$C$42, 15.121, 15.121) * CHOOSE(CONTROL!$C$21, $C$9, 100%, $E$9)</f>
        <v>15.121</v>
      </c>
      <c r="O585" s="10">
        <f>CHOOSE(CONTROL!$C$42, 15.3691, 15.3691) * CHOOSE(CONTROL!$C$21, $C$9, 100%, $E$9)</f>
        <v>15.3691</v>
      </c>
      <c r="P585" s="10">
        <f>CHOOSE(CONTROL!$C$42, 15.144, 15.144) * CHOOSE(CONTROL!$C$21, $C$9, 100%, $E$9)</f>
        <v>15.144</v>
      </c>
      <c r="Q585" s="10">
        <f>CHOOSE(CONTROL!$C$42, 15.9644, 15.9644) * CHOOSE(CONTROL!$C$21, $C$9, 100%, $E$9)</f>
        <v>15.964399999999999</v>
      </c>
      <c r="R585" s="10">
        <f>CHOOSE(CONTROL!$C$42, 16.5913, 16.5913) * CHOOSE(CONTROL!$C$21, $C$9, 100%, $E$9)</f>
        <v>16.5913</v>
      </c>
      <c r="S585" s="10">
        <f>CHOOSE(CONTROL!$C$42, 14.863, 14.863) * CHOOSE(CONTROL!$C$21, $C$9, 100%, $E$9)</f>
        <v>14.863</v>
      </c>
      <c r="T58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38">
        <f>(1000*CHOOSE(CONTROL!$C$42, 695, 695)*CHOOSE(CONTROL!$C$42, 0.5599, 0.5599)*CHOOSE(CONTROL!$C$42, 30, 30))/1000000</f>
        <v>11.673914999999997</v>
      </c>
      <c r="V585" s="38">
        <f>(1000*CHOOSE(CONTROL!$C$42, 500, 500)*CHOOSE(CONTROL!$C$42, 0.275, 0.275)*CHOOSE(CONTROL!$C$42, 30, 30))/1000000</f>
        <v>4.125</v>
      </c>
      <c r="W585" s="38">
        <f>(1000*CHOOSE(CONTROL!$C$42, 0.1146, 0.1146)*CHOOSE(CONTROL!$C$42, 121.5, 121.5)*CHOOSE(CONTROL!$C$42, 30, 30))/1000000</f>
        <v>0.417717</v>
      </c>
      <c r="X585" s="38">
        <f>(30*0.1790888*245000/1000000)+(30*0.2374*100000/1000000)</f>
        <v>2.0285026799999999</v>
      </c>
      <c r="Y585" s="38">
        <f>(1000*600*CHOOSE(CONTROL!$C$42, 1.0585, 1.0585)*CHOOSE(CONTROL!$C$42, 30, 30))/1000000</f>
        <v>19.053000000000001</v>
      </c>
      <c r="Z585" s="38"/>
      <c r="AA585" s="10"/>
      <c r="AB585" s="39"/>
      <c r="AC585" s="33">
        <f>(B585*194.205+C585*267.466+D585*133.845+E585*53.484+F585*40+G585*185+H585*0+I585*100+J585*300)/(194.205+267.466+133.845+53.484+0+40+185+100+300)</f>
        <v>15.339146678728415</v>
      </c>
      <c r="AD585" s="27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15.188153237410072</v>
      </c>
    </row>
    <row r="586" spans="1:30" ht="15.75" x14ac:dyDescent="0.25">
      <c r="A586" s="13">
        <v>59110</v>
      </c>
      <c r="B586" s="10">
        <f>CHOOSE(CONTROL!$C$42, 15.0207, 15.0207) * CHOOSE(CONTROL!$C$21, $C$9, 100%, $E$9)</f>
        <v>15.0207</v>
      </c>
      <c r="C586" s="10">
        <f>CHOOSE(CONTROL!$C$42, 15.0261, 15.0261) * CHOOSE(CONTROL!$C$21, $C$9, 100%, $E$9)</f>
        <v>15.0261</v>
      </c>
      <c r="D586" s="10">
        <f>CHOOSE(CONTROL!$C$42, 15.2061, 15.2061) * CHOOSE(CONTROL!$C$21, $C$9, 100%, $E$9)</f>
        <v>15.206099999999999</v>
      </c>
      <c r="E586" s="10">
        <f>CHOOSE(CONTROL!$C$42, 15.235, 15.235) * CHOOSE(CONTROL!$C$21, $C$9, 100%, $E$9)</f>
        <v>15.234999999999999</v>
      </c>
      <c r="F586" s="10">
        <f>CHOOSE(CONTROL!$C$42, 14.9645, 14.9645)*CHOOSE(CONTROL!$C$21, $C$9, 100%, $E$9)</f>
        <v>14.964499999999999</v>
      </c>
      <c r="G586" s="10">
        <f>CHOOSE(CONTROL!$C$42, 14.9811, 14.9811)*CHOOSE(CONTROL!$C$21, $C$9, 100%, $E$9)</f>
        <v>14.9811</v>
      </c>
      <c r="H586" s="10">
        <f>CHOOSE(CONTROL!$C$42, 15.2251, 15.2251) * CHOOSE(CONTROL!$C$21, $C$9, 100%, $E$9)</f>
        <v>15.225099999999999</v>
      </c>
      <c r="I586" s="10">
        <f>CHOOSE(CONTROL!$C$42, 14.9971, 14.9971)* CHOOSE(CONTROL!$C$21, $C$9, 100%, $E$9)</f>
        <v>14.9971</v>
      </c>
      <c r="J586" s="10">
        <f>CHOOSE(CONTROL!$C$42, 14.9571, 14.9571)* CHOOSE(CONTROL!$C$21, $C$9, 100%, $E$9)</f>
        <v>14.957100000000001</v>
      </c>
      <c r="K586" s="10">
        <f>CHOOSE(CONTROL!$C$42, 14.6864, 14.6864) * CHOOSE(CONTROL!$C$21, $C$9, 100%, $E$9)</f>
        <v>14.686400000000001</v>
      </c>
      <c r="L586" s="10">
        <f>CHOOSE(CONTROL!$C$42, 15.8121, 15.8121) * CHOOSE(CONTROL!$C$21, $C$9, 100%, $E$9)</f>
        <v>15.812099999999999</v>
      </c>
      <c r="M586" s="10">
        <f>CHOOSE(CONTROL!$C$42, 14.7965, 14.7965) * CHOOSE(CONTROL!$C$21, $C$9, 100%, $E$9)</f>
        <v>14.7965</v>
      </c>
      <c r="N586" s="10">
        <f>CHOOSE(CONTROL!$C$42, 14.8129, 14.8129) * CHOOSE(CONTROL!$C$21, $C$9, 100%, $E$9)</f>
        <v>14.812900000000001</v>
      </c>
      <c r="O586" s="10">
        <f>CHOOSE(CONTROL!$C$42, 15.0611, 15.0611) * CHOOSE(CONTROL!$C$21, $C$9, 100%, $E$9)</f>
        <v>15.0611</v>
      </c>
      <c r="P586" s="10">
        <f>CHOOSE(CONTROL!$C$42, 14.8361, 14.8361) * CHOOSE(CONTROL!$C$21, $C$9, 100%, $E$9)</f>
        <v>14.8361</v>
      </c>
      <c r="Q586" s="10">
        <f>CHOOSE(CONTROL!$C$42, 15.6564, 15.6564) * CHOOSE(CONTROL!$C$21, $C$9, 100%, $E$9)</f>
        <v>15.6564</v>
      </c>
      <c r="R586" s="10">
        <f>CHOOSE(CONTROL!$C$42, 16.2825, 16.2825) * CHOOSE(CONTROL!$C$21, $C$9, 100%, $E$9)</f>
        <v>16.282499999999999</v>
      </c>
      <c r="S586" s="10">
        <f>CHOOSE(CONTROL!$C$42, 14.5608, 14.5608) * CHOOSE(CONTROL!$C$21, $C$9, 100%, $E$9)</f>
        <v>14.5608</v>
      </c>
      <c r="T58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38">
        <f>(1000*CHOOSE(CONTROL!$C$42, 695, 695)*CHOOSE(CONTROL!$C$42, 0.5599, 0.5599)*CHOOSE(CONTROL!$C$42, 31, 31))/1000000</f>
        <v>12.063045499999998</v>
      </c>
      <c r="V586" s="38">
        <f>(1000*CHOOSE(CONTROL!$C$42, 500, 500)*CHOOSE(CONTROL!$C$42, 0.275, 0.275)*CHOOSE(CONTROL!$C$42, 31, 31))/1000000</f>
        <v>4.2625000000000002</v>
      </c>
      <c r="W586" s="38">
        <f>(1000*CHOOSE(CONTROL!$C$42, 0.1146, 0.1146)*CHOOSE(CONTROL!$C$42, 121.5, 121.5)*CHOOSE(CONTROL!$C$42, 31, 31))/1000000</f>
        <v>0.43164089999999994</v>
      </c>
      <c r="X586" s="38">
        <f>(31*0.1790888*245000/1000000)+(31*0.2374*100000/1000000)</f>
        <v>2.0961194359999999</v>
      </c>
      <c r="Y586" s="38">
        <f>(1000*600*CHOOSE(CONTROL!$C$42, 1.0585, 1.0585)*CHOOSE(CONTROL!$C$42, 31, 31))/1000000</f>
        <v>19.688099999999999</v>
      </c>
      <c r="Z586" s="38"/>
      <c r="AA586" s="10"/>
      <c r="AB586" s="39"/>
      <c r="AC586" s="33">
        <f>(B586*131.881+C586*277.167+D586*79.08+E586*125.872+F586*40+G586*185+H586*0+I586*100+J586*300)/(131.881+277.167+79.08+125.872+0+40+185+100+300)</f>
        <v>15.030480874414849</v>
      </c>
      <c r="AD586" s="27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14.88021366906475</v>
      </c>
    </row>
    <row r="587" spans="1:30" ht="15.75" x14ac:dyDescent="0.25">
      <c r="A587" s="13">
        <v>59140</v>
      </c>
      <c r="B587" s="10">
        <f>CHOOSE(CONTROL!$C$42, 15.4165, 15.4165) * CHOOSE(CONTROL!$C$21, $C$9, 100%, $E$9)</f>
        <v>15.416499999999999</v>
      </c>
      <c r="C587" s="10">
        <f>CHOOSE(CONTROL!$C$42, 15.4216, 15.4216) * CHOOSE(CONTROL!$C$21, $C$9, 100%, $E$9)</f>
        <v>15.4216</v>
      </c>
      <c r="D587" s="10">
        <f>CHOOSE(CONTROL!$C$42, 15.4463, 15.4463) * CHOOSE(CONTROL!$C$21, $C$9, 100%, $E$9)</f>
        <v>15.446300000000001</v>
      </c>
      <c r="E587" s="10">
        <f>CHOOSE(CONTROL!$C$42, 15.4801, 15.4801) * CHOOSE(CONTROL!$C$21, $C$9, 100%, $E$9)</f>
        <v>15.4801</v>
      </c>
      <c r="F587" s="10">
        <f>CHOOSE(CONTROL!$C$42, 15.3821, 15.3821)*CHOOSE(CONTROL!$C$21, $C$9, 100%, $E$9)</f>
        <v>15.382099999999999</v>
      </c>
      <c r="G587" s="10">
        <f>CHOOSE(CONTROL!$C$42, 15.3989, 15.3989)*CHOOSE(CONTROL!$C$21, $C$9, 100%, $E$9)</f>
        <v>15.398899999999999</v>
      </c>
      <c r="H587" s="10">
        <f>CHOOSE(CONTROL!$C$42, 15.4689, 15.4689) * CHOOSE(CONTROL!$C$21, $C$9, 100%, $E$9)</f>
        <v>15.4689</v>
      </c>
      <c r="I587" s="10">
        <f>CHOOSE(CONTROL!$C$42, 15.416, 15.416)* CHOOSE(CONTROL!$C$21, $C$9, 100%, $E$9)</f>
        <v>15.416</v>
      </c>
      <c r="J587" s="10">
        <f>CHOOSE(CONTROL!$C$42, 15.3747, 15.3747)* CHOOSE(CONTROL!$C$21, $C$9, 100%, $E$9)</f>
        <v>15.374700000000001</v>
      </c>
      <c r="K587" s="10">
        <f>CHOOSE(CONTROL!$C$42, 15.0939, 15.0939) * CHOOSE(CONTROL!$C$21, $C$9, 100%, $E$9)</f>
        <v>15.0939</v>
      </c>
      <c r="L587" s="10">
        <f>CHOOSE(CONTROL!$C$42, 16.0559, 16.0559) * CHOOSE(CONTROL!$C$21, $C$9, 100%, $E$9)</f>
        <v>16.055900000000001</v>
      </c>
      <c r="M587" s="10">
        <f>CHOOSE(CONTROL!$C$42, 15.2087, 15.2087) * CHOOSE(CONTROL!$C$21, $C$9, 100%, $E$9)</f>
        <v>15.2087</v>
      </c>
      <c r="N587" s="10">
        <f>CHOOSE(CONTROL!$C$42, 15.2253, 15.2253) * CHOOSE(CONTROL!$C$21, $C$9, 100%, $E$9)</f>
        <v>15.225300000000001</v>
      </c>
      <c r="O587" s="10">
        <f>CHOOSE(CONTROL!$C$42, 15.3017, 15.3017) * CHOOSE(CONTROL!$C$21, $C$9, 100%, $E$9)</f>
        <v>15.3017</v>
      </c>
      <c r="P587" s="10">
        <f>CHOOSE(CONTROL!$C$42, 15.2495, 15.2495) * CHOOSE(CONTROL!$C$21, $C$9, 100%, $E$9)</f>
        <v>15.249499999999999</v>
      </c>
      <c r="Q587" s="10">
        <f>CHOOSE(CONTROL!$C$42, 15.897, 15.897) * CHOOSE(CONTROL!$C$21, $C$9, 100%, $E$9)</f>
        <v>15.897</v>
      </c>
      <c r="R587" s="10">
        <f>CHOOSE(CONTROL!$C$42, 16.5238, 16.5238) * CHOOSE(CONTROL!$C$21, $C$9, 100%, $E$9)</f>
        <v>16.523800000000001</v>
      </c>
      <c r="S587" s="10">
        <f>CHOOSE(CONTROL!$C$42, 14.9444, 14.9444) * CHOOSE(CONTROL!$C$21, $C$9, 100%, $E$9)</f>
        <v>14.9444</v>
      </c>
      <c r="T58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38">
        <f>(1000*CHOOSE(CONTROL!$C$42, 695, 695)*CHOOSE(CONTROL!$C$42, 0.5599, 0.5599)*CHOOSE(CONTROL!$C$42, 30, 30))/1000000</f>
        <v>11.673914999999997</v>
      </c>
      <c r="V587" s="38">
        <f>(1000*CHOOSE(CONTROL!$C$42, 500, 500)*CHOOSE(CONTROL!$C$42, 0.275, 0.275)*CHOOSE(CONTROL!$C$42, 30, 30))/1000000</f>
        <v>4.125</v>
      </c>
      <c r="W587" s="38">
        <f>(1000*CHOOSE(CONTROL!$C$42, 0.1146, 0.1146)*CHOOSE(CONTROL!$C$42, 121.5, 121.5)*CHOOSE(CONTROL!$C$42, 30, 30))/1000000</f>
        <v>0.417717</v>
      </c>
      <c r="X587" s="38">
        <f>(30*0.1790888*100000/1000000)+(30*0.2374*100000/1000000)</f>
        <v>1.2494664</v>
      </c>
      <c r="Y587" s="38">
        <f>(1000*600*CHOOSE(CONTROL!$C$42, 1.0585, 1.0585)*CHOOSE(CONTROL!$C$42, 30, 30))/1000000</f>
        <v>19.053000000000001</v>
      </c>
      <c r="Z587" s="38"/>
      <c r="AA587" s="10"/>
      <c r="AB587" s="39"/>
      <c r="AC587" s="33">
        <f>(B587*122.58+C587*297.941+D587*89.177+E587*40.302+F587*40+G587*160+H587*0+I587*100+J587*300)/(122.58+297.941+89.177+40.302+0+40+160+100+300)</f>
        <v>15.407767983391304</v>
      </c>
      <c r="AD587" s="27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15.257676978417267</v>
      </c>
    </row>
    <row r="588" spans="1:30" ht="15.75" x14ac:dyDescent="0.25">
      <c r="A588" s="13">
        <v>59171</v>
      </c>
      <c r="B588" s="10">
        <f>CHOOSE(CONTROL!$C$42, 16.4687, 16.4687) * CHOOSE(CONTROL!$C$21, $C$9, 100%, $E$9)</f>
        <v>16.468699999999998</v>
      </c>
      <c r="C588" s="10">
        <f>CHOOSE(CONTROL!$C$42, 16.4738, 16.4738) * CHOOSE(CONTROL!$C$21, $C$9, 100%, $E$9)</f>
        <v>16.473800000000001</v>
      </c>
      <c r="D588" s="10">
        <f>CHOOSE(CONTROL!$C$42, 16.4985, 16.4985) * CHOOSE(CONTROL!$C$21, $C$9, 100%, $E$9)</f>
        <v>16.4985</v>
      </c>
      <c r="E588" s="10">
        <f>CHOOSE(CONTROL!$C$42, 16.5323, 16.5323) * CHOOSE(CONTROL!$C$21, $C$9, 100%, $E$9)</f>
        <v>16.532299999999999</v>
      </c>
      <c r="F588" s="10">
        <f>CHOOSE(CONTROL!$C$42, 16.4361, 16.4361)*CHOOSE(CONTROL!$C$21, $C$9, 100%, $E$9)</f>
        <v>16.4361</v>
      </c>
      <c r="G588" s="10">
        <f>CHOOSE(CONTROL!$C$42, 16.4534, 16.4534)*CHOOSE(CONTROL!$C$21, $C$9, 100%, $E$9)</f>
        <v>16.453399999999998</v>
      </c>
      <c r="H588" s="10">
        <f>CHOOSE(CONTROL!$C$42, 16.5211, 16.5211) * CHOOSE(CONTROL!$C$21, $C$9, 100%, $E$9)</f>
        <v>16.521100000000001</v>
      </c>
      <c r="I588" s="10">
        <f>CHOOSE(CONTROL!$C$42, 16.4682, 16.4682)* CHOOSE(CONTROL!$C$21, $C$9, 100%, $E$9)</f>
        <v>16.4682</v>
      </c>
      <c r="J588" s="10">
        <f>CHOOSE(CONTROL!$C$42, 16.4287, 16.4287)* CHOOSE(CONTROL!$C$21, $C$9, 100%, $E$9)</f>
        <v>16.428699999999999</v>
      </c>
      <c r="K588" s="10">
        <f>CHOOSE(CONTROL!$C$42, 16.1172, 16.1172) * CHOOSE(CONTROL!$C$21, $C$9, 100%, $E$9)</f>
        <v>16.1172</v>
      </c>
      <c r="L588" s="10">
        <f>CHOOSE(CONTROL!$C$42, 17.1081, 17.1081) * CHOOSE(CONTROL!$C$21, $C$9, 100%, $E$9)</f>
        <v>17.1081</v>
      </c>
      <c r="M588" s="10">
        <f>CHOOSE(CONTROL!$C$42, 16.2491, 16.2491) * CHOOSE(CONTROL!$C$21, $C$9, 100%, $E$9)</f>
        <v>16.249099999999999</v>
      </c>
      <c r="N588" s="10">
        <f>CHOOSE(CONTROL!$C$42, 16.2661, 16.2661) * CHOOSE(CONTROL!$C$21, $C$9, 100%, $E$9)</f>
        <v>16.266100000000002</v>
      </c>
      <c r="O588" s="10">
        <f>CHOOSE(CONTROL!$C$42, 16.3403, 16.3403) * CHOOSE(CONTROL!$C$21, $C$9, 100%, $E$9)</f>
        <v>16.340299999999999</v>
      </c>
      <c r="P588" s="10">
        <f>CHOOSE(CONTROL!$C$42, 16.2881, 16.2881) * CHOOSE(CONTROL!$C$21, $C$9, 100%, $E$9)</f>
        <v>16.2881</v>
      </c>
      <c r="Q588" s="10">
        <f>CHOOSE(CONTROL!$C$42, 16.9356, 16.9356) * CHOOSE(CONTROL!$C$21, $C$9, 100%, $E$9)</f>
        <v>16.935600000000001</v>
      </c>
      <c r="R588" s="10">
        <f>CHOOSE(CONTROL!$C$42, 17.565, 17.565) * CHOOSE(CONTROL!$C$21, $C$9, 100%, $E$9)</f>
        <v>17.565000000000001</v>
      </c>
      <c r="S588" s="10">
        <f>CHOOSE(CONTROL!$C$42, 15.9633, 15.9633) * CHOOSE(CONTROL!$C$21, $C$9, 100%, $E$9)</f>
        <v>15.9633</v>
      </c>
      <c r="T58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38">
        <f>(1000*CHOOSE(CONTROL!$C$42, 695, 695)*CHOOSE(CONTROL!$C$42, 0.5599, 0.5599)*CHOOSE(CONTROL!$C$42, 31, 31))/1000000</f>
        <v>12.063045499999998</v>
      </c>
      <c r="V588" s="38">
        <f>(1000*CHOOSE(CONTROL!$C$42, 500, 500)*CHOOSE(CONTROL!$C$42, 0.275, 0.275)*CHOOSE(CONTROL!$C$42, 31, 31))/1000000</f>
        <v>4.2625000000000002</v>
      </c>
      <c r="W588" s="38">
        <f>(1000*CHOOSE(CONTROL!$C$42, 0.1146, 0.1146)*CHOOSE(CONTROL!$C$42, 121.5, 121.5)*CHOOSE(CONTROL!$C$42, 31, 31))/1000000</f>
        <v>0.43164089999999994</v>
      </c>
      <c r="X588" s="38">
        <f>(31*0.1790888*100000/1000000)+(31*0.2374*100000/1000000)</f>
        <v>1.2911152800000001</v>
      </c>
      <c r="Y588" s="38">
        <f>(1000*600*CHOOSE(CONTROL!$C$42, 1.0585, 1.0585)*CHOOSE(CONTROL!$C$42, 31, 31))/1000000</f>
        <v>19.688099999999999</v>
      </c>
      <c r="Z588" s="38"/>
      <c r="AA588" s="10"/>
      <c r="AB588" s="39"/>
      <c r="AC588" s="33">
        <f>(B588*122.58+C588*297.941+D588*89.177+E588*40.302+F588*40+G588*160+H588*0+I588*100+J588*300)/(122.58+297.941+89.177+40.302+0+40+160+100+300)</f>
        <v>16.460820157304347</v>
      </c>
      <c r="AD588" s="27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16.297025179856114</v>
      </c>
    </row>
    <row r="589" spans="1:30" ht="15.75" x14ac:dyDescent="0.25">
      <c r="A589" s="13">
        <v>59202</v>
      </c>
      <c r="B589" s="10">
        <f>CHOOSE(CONTROL!$C$42, 17.5813, 17.5813) * CHOOSE(CONTROL!$C$21, $C$9, 100%, $E$9)</f>
        <v>17.581299999999999</v>
      </c>
      <c r="C589" s="10">
        <f>CHOOSE(CONTROL!$C$42, 17.5864, 17.5864) * CHOOSE(CONTROL!$C$21, $C$9, 100%, $E$9)</f>
        <v>17.586400000000001</v>
      </c>
      <c r="D589" s="10">
        <f>CHOOSE(CONTROL!$C$42, 17.6214, 17.6214) * CHOOSE(CONTROL!$C$21, $C$9, 100%, $E$9)</f>
        <v>17.621400000000001</v>
      </c>
      <c r="E589" s="10">
        <f>CHOOSE(CONTROL!$C$42, 17.6552, 17.6552) * CHOOSE(CONTROL!$C$21, $C$9, 100%, $E$9)</f>
        <v>17.655200000000001</v>
      </c>
      <c r="F589" s="10">
        <f>CHOOSE(CONTROL!$C$42, 17.5626, 17.5626)*CHOOSE(CONTROL!$C$21, $C$9, 100%, $E$9)</f>
        <v>17.5626</v>
      </c>
      <c r="G589" s="10">
        <f>CHOOSE(CONTROL!$C$42, 17.5815, 17.5815)*CHOOSE(CONTROL!$C$21, $C$9, 100%, $E$9)</f>
        <v>17.581499999999998</v>
      </c>
      <c r="H589" s="10">
        <f>CHOOSE(CONTROL!$C$42, 17.6441, 17.6441) * CHOOSE(CONTROL!$C$21, $C$9, 100%, $E$9)</f>
        <v>17.644100000000002</v>
      </c>
      <c r="I589" s="10">
        <f>CHOOSE(CONTROL!$C$42, 17.5886, 17.5886)* CHOOSE(CONTROL!$C$21, $C$9, 100%, $E$9)</f>
        <v>17.5886</v>
      </c>
      <c r="J589" s="10">
        <f>CHOOSE(CONTROL!$C$42, 17.5552, 17.5552)* CHOOSE(CONTROL!$C$21, $C$9, 100%, $E$9)</f>
        <v>17.555199999999999</v>
      </c>
      <c r="K589" s="10">
        <f>CHOOSE(CONTROL!$C$42, 17.2159, 17.2159) * CHOOSE(CONTROL!$C$21, $C$9, 100%, $E$9)</f>
        <v>17.215900000000001</v>
      </c>
      <c r="L589" s="10">
        <f>CHOOSE(CONTROL!$C$42, 18.2311, 18.2311) * CHOOSE(CONTROL!$C$21, $C$9, 100%, $E$9)</f>
        <v>18.231100000000001</v>
      </c>
      <c r="M589" s="10">
        <f>CHOOSE(CONTROL!$C$42, 17.361, 17.361) * CHOOSE(CONTROL!$C$21, $C$9, 100%, $E$9)</f>
        <v>17.361000000000001</v>
      </c>
      <c r="N589" s="10">
        <f>CHOOSE(CONTROL!$C$42, 17.3796, 17.3796) * CHOOSE(CONTROL!$C$21, $C$9, 100%, $E$9)</f>
        <v>17.3796</v>
      </c>
      <c r="O589" s="10">
        <f>CHOOSE(CONTROL!$C$42, 17.4488, 17.4488) * CHOOSE(CONTROL!$C$21, $C$9, 100%, $E$9)</f>
        <v>17.448799999999999</v>
      </c>
      <c r="P589" s="10">
        <f>CHOOSE(CONTROL!$C$42, 17.394, 17.394) * CHOOSE(CONTROL!$C$21, $C$9, 100%, $E$9)</f>
        <v>17.393999999999998</v>
      </c>
      <c r="Q589" s="10">
        <f>CHOOSE(CONTROL!$C$42, 18.0441, 18.0441) * CHOOSE(CONTROL!$C$21, $C$9, 100%, $E$9)</f>
        <v>18.0441</v>
      </c>
      <c r="R589" s="10">
        <f>CHOOSE(CONTROL!$C$42, 18.6762, 18.6762) * CHOOSE(CONTROL!$C$21, $C$9, 100%, $E$9)</f>
        <v>18.676200000000001</v>
      </c>
      <c r="S589" s="10">
        <f>CHOOSE(CONTROL!$C$42, 17.0407, 17.0407) * CHOOSE(CONTROL!$C$21, $C$9, 100%, $E$9)</f>
        <v>17.040700000000001</v>
      </c>
      <c r="T58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38">
        <f>(1000*CHOOSE(CONTROL!$C$42, 695, 695)*CHOOSE(CONTROL!$C$42, 0.5599, 0.5599)*CHOOSE(CONTROL!$C$42, 31, 31))/1000000</f>
        <v>12.063045499999998</v>
      </c>
      <c r="V589" s="38">
        <f>(1000*CHOOSE(CONTROL!$C$42, 500, 500)*CHOOSE(CONTROL!$C$42, 0.275, 0.275)*CHOOSE(CONTROL!$C$42, 31, 31))/1000000</f>
        <v>4.2625000000000002</v>
      </c>
      <c r="W589" s="38">
        <f>(1000*CHOOSE(CONTROL!$C$42, 0.1146, 0.1146)*CHOOSE(CONTROL!$C$42, 121.5, 121.5)*CHOOSE(CONTROL!$C$42, 31, 31))/1000000</f>
        <v>0.43164089999999994</v>
      </c>
      <c r="X589" s="38">
        <f>(31*0.1790888*100000/1000000)+(31*0.2374*100000/1000000)</f>
        <v>1.2911152800000001</v>
      </c>
      <c r="Y589" s="38">
        <f>(1000*600*CHOOSE(CONTROL!$C$42, 1.0585, 1.0585)*CHOOSE(CONTROL!$C$42, 31, 31))/1000000</f>
        <v>19.688099999999999</v>
      </c>
      <c r="Z589" s="38"/>
      <c r="AA589" s="10"/>
      <c r="AB589" s="39"/>
      <c r="AC589" s="33">
        <f>(B589*122.58+C589*297.941+D589*89.177+E589*40.302+F589*40+G589*160+H589*0+I589*100+J589*300)/(122.58+297.941+89.177+40.302+0+40+160+100+300)</f>
        <v>17.5815241866087</v>
      </c>
      <c r="AD589" s="27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17.406612949640287</v>
      </c>
    </row>
    <row r="590" spans="1:30" ht="15.75" x14ac:dyDescent="0.25">
      <c r="A590" s="13">
        <v>59230</v>
      </c>
      <c r="B590" s="10">
        <f>CHOOSE(CONTROL!$C$42, 17.8946, 17.8946) * CHOOSE(CONTROL!$C$21, $C$9, 100%, $E$9)</f>
        <v>17.894600000000001</v>
      </c>
      <c r="C590" s="10">
        <f>CHOOSE(CONTROL!$C$42, 17.8997, 17.8997) * CHOOSE(CONTROL!$C$21, $C$9, 100%, $E$9)</f>
        <v>17.899699999999999</v>
      </c>
      <c r="D590" s="10">
        <f>CHOOSE(CONTROL!$C$42, 17.9347, 17.9347) * CHOOSE(CONTROL!$C$21, $C$9, 100%, $E$9)</f>
        <v>17.934699999999999</v>
      </c>
      <c r="E590" s="10">
        <f>CHOOSE(CONTROL!$C$42, 17.9685, 17.9685) * CHOOSE(CONTROL!$C$21, $C$9, 100%, $E$9)</f>
        <v>17.968499999999999</v>
      </c>
      <c r="F590" s="10">
        <f>CHOOSE(CONTROL!$C$42, 17.8753, 17.8753)*CHOOSE(CONTROL!$C$21, $C$9, 100%, $E$9)</f>
        <v>17.875299999999999</v>
      </c>
      <c r="G590" s="10">
        <f>CHOOSE(CONTROL!$C$42, 17.8941, 17.8941)*CHOOSE(CONTROL!$C$21, $C$9, 100%, $E$9)</f>
        <v>17.894100000000002</v>
      </c>
      <c r="H590" s="10">
        <f>CHOOSE(CONTROL!$C$42, 17.9574, 17.9574) * CHOOSE(CONTROL!$C$21, $C$9, 100%, $E$9)</f>
        <v>17.9574</v>
      </c>
      <c r="I590" s="10">
        <f>CHOOSE(CONTROL!$C$42, 17.9018, 17.9018)* CHOOSE(CONTROL!$C$21, $C$9, 100%, $E$9)</f>
        <v>17.901800000000001</v>
      </c>
      <c r="J590" s="10">
        <f>CHOOSE(CONTROL!$C$42, 17.8679, 17.8679)* CHOOSE(CONTROL!$C$21, $C$9, 100%, $E$9)</f>
        <v>17.867899999999999</v>
      </c>
      <c r="K590" s="10">
        <f>CHOOSE(CONTROL!$C$42, 17.5182, 17.5182) * CHOOSE(CONTROL!$C$21, $C$9, 100%, $E$9)</f>
        <v>17.5182</v>
      </c>
      <c r="L590" s="10">
        <f>CHOOSE(CONTROL!$C$42, 18.5444, 18.5444) * CHOOSE(CONTROL!$C$21, $C$9, 100%, $E$9)</f>
        <v>18.5444</v>
      </c>
      <c r="M590" s="10">
        <f>CHOOSE(CONTROL!$C$42, 17.6697, 17.6697) * CHOOSE(CONTROL!$C$21, $C$9, 100%, $E$9)</f>
        <v>17.669699999999999</v>
      </c>
      <c r="N590" s="10">
        <f>CHOOSE(CONTROL!$C$42, 17.6882, 17.6882) * CHOOSE(CONTROL!$C$21, $C$9, 100%, $E$9)</f>
        <v>17.688199999999998</v>
      </c>
      <c r="O590" s="10">
        <f>CHOOSE(CONTROL!$C$42, 17.758, 17.758) * CHOOSE(CONTROL!$C$21, $C$9, 100%, $E$9)</f>
        <v>17.757999999999999</v>
      </c>
      <c r="P590" s="10">
        <f>CHOOSE(CONTROL!$C$42, 17.7032, 17.7032) * CHOOSE(CONTROL!$C$21, $C$9, 100%, $E$9)</f>
        <v>17.703199999999999</v>
      </c>
      <c r="Q590" s="10">
        <f>CHOOSE(CONTROL!$C$42, 18.3533, 18.3533) * CHOOSE(CONTROL!$C$21, $C$9, 100%, $E$9)</f>
        <v>18.353300000000001</v>
      </c>
      <c r="R590" s="10">
        <f>CHOOSE(CONTROL!$C$42, 18.9861, 18.9861) * CHOOSE(CONTROL!$C$21, $C$9, 100%, $E$9)</f>
        <v>18.9861</v>
      </c>
      <c r="S590" s="10">
        <f>CHOOSE(CONTROL!$C$42, 17.344, 17.344) * CHOOSE(CONTROL!$C$21, $C$9, 100%, $E$9)</f>
        <v>17.344000000000001</v>
      </c>
      <c r="T59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38">
        <f>(1000*CHOOSE(CONTROL!$C$42, 695, 695)*CHOOSE(CONTROL!$C$42, 0.5599, 0.5599)*CHOOSE(CONTROL!$C$42, 28, 28))/1000000</f>
        <v>10.895653999999999</v>
      </c>
      <c r="V590" s="38">
        <f>(1000*CHOOSE(CONTROL!$C$42, 500, 500)*CHOOSE(CONTROL!$C$42, 0.275, 0.275)*CHOOSE(CONTROL!$C$42, 28, 28))/1000000</f>
        <v>3.85</v>
      </c>
      <c r="W590" s="38">
        <f>(1000*CHOOSE(CONTROL!$C$42, 0.1146, 0.1146)*CHOOSE(CONTROL!$C$42, 121.5, 121.5)*CHOOSE(CONTROL!$C$42, 28, 28))/1000000</f>
        <v>0.38986920000000003</v>
      </c>
      <c r="X590" s="38">
        <f>(28*0.1790888*100000/1000000)+(28*0.2374*100000/1000000)</f>
        <v>1.16616864</v>
      </c>
      <c r="Y590" s="38">
        <f>(1000*600*CHOOSE(CONTROL!$C$42, 1.0585, 1.0585)*CHOOSE(CONTROL!$C$42, 28, 28))/1000000</f>
        <v>17.782800000000002</v>
      </c>
      <c r="Z590" s="38"/>
      <c r="AA590" s="10"/>
      <c r="AB590" s="39"/>
      <c r="AC590" s="33">
        <f>(B590*122.58+C590*297.941+D590*89.177+E590*40.302+F590*40+G590*160+H590*0+I590*100+J590*300)/(122.58+297.941+89.177+40.302+0+40+160+100+300)</f>
        <v>17.894540708347826</v>
      </c>
      <c r="AD590" s="27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17.715605755395682</v>
      </c>
    </row>
    <row r="591" spans="1:30" ht="15.75" x14ac:dyDescent="0.25">
      <c r="A591" s="13">
        <v>59261</v>
      </c>
      <c r="B591" s="10">
        <f>CHOOSE(CONTROL!$C$42, 17.3861, 17.3861) * CHOOSE(CONTROL!$C$21, $C$9, 100%, $E$9)</f>
        <v>17.386099999999999</v>
      </c>
      <c r="C591" s="10">
        <f>CHOOSE(CONTROL!$C$42, 17.3912, 17.3912) * CHOOSE(CONTROL!$C$21, $C$9, 100%, $E$9)</f>
        <v>17.391200000000001</v>
      </c>
      <c r="D591" s="10">
        <f>CHOOSE(CONTROL!$C$42, 17.4262, 17.4262) * CHOOSE(CONTROL!$C$21, $C$9, 100%, $E$9)</f>
        <v>17.426200000000001</v>
      </c>
      <c r="E591" s="10">
        <f>CHOOSE(CONTROL!$C$42, 17.46, 17.46) * CHOOSE(CONTROL!$C$21, $C$9, 100%, $E$9)</f>
        <v>17.46</v>
      </c>
      <c r="F591" s="10">
        <f>CHOOSE(CONTROL!$C$42, 17.3655, 17.3655)*CHOOSE(CONTROL!$C$21, $C$9, 100%, $E$9)</f>
        <v>17.365500000000001</v>
      </c>
      <c r="G591" s="10">
        <f>CHOOSE(CONTROL!$C$42, 17.3838, 17.3838)*CHOOSE(CONTROL!$C$21, $C$9, 100%, $E$9)</f>
        <v>17.383800000000001</v>
      </c>
      <c r="H591" s="10">
        <f>CHOOSE(CONTROL!$C$42, 17.4489, 17.4489) * CHOOSE(CONTROL!$C$21, $C$9, 100%, $E$9)</f>
        <v>17.448899999999998</v>
      </c>
      <c r="I591" s="10">
        <f>CHOOSE(CONTROL!$C$42, 17.3933, 17.3933)* CHOOSE(CONTROL!$C$21, $C$9, 100%, $E$9)</f>
        <v>17.3933</v>
      </c>
      <c r="J591" s="10">
        <f>CHOOSE(CONTROL!$C$42, 17.3581, 17.3581)* CHOOSE(CONTROL!$C$21, $C$9, 100%, $E$9)</f>
        <v>17.3581</v>
      </c>
      <c r="K591" s="10">
        <f>CHOOSE(CONTROL!$C$42, 17.0226, 17.0226) * CHOOSE(CONTROL!$C$21, $C$9, 100%, $E$9)</f>
        <v>17.022600000000001</v>
      </c>
      <c r="L591" s="10">
        <f>CHOOSE(CONTROL!$C$42, 18.0359, 18.0359) * CHOOSE(CONTROL!$C$21, $C$9, 100%, $E$9)</f>
        <v>18.035900000000002</v>
      </c>
      <c r="M591" s="10">
        <f>CHOOSE(CONTROL!$C$42, 17.1664, 17.1664) * CHOOSE(CONTROL!$C$21, $C$9, 100%, $E$9)</f>
        <v>17.166399999999999</v>
      </c>
      <c r="N591" s="10">
        <f>CHOOSE(CONTROL!$C$42, 17.1845, 17.1845) * CHOOSE(CONTROL!$C$21, $C$9, 100%, $E$9)</f>
        <v>17.1845</v>
      </c>
      <c r="O591" s="10">
        <f>CHOOSE(CONTROL!$C$42, 17.256, 17.256) * CHOOSE(CONTROL!$C$21, $C$9, 100%, $E$9)</f>
        <v>17.256</v>
      </c>
      <c r="P591" s="10">
        <f>CHOOSE(CONTROL!$C$42, 17.2013, 17.2013) * CHOOSE(CONTROL!$C$21, $C$9, 100%, $E$9)</f>
        <v>17.2013</v>
      </c>
      <c r="Q591" s="10">
        <f>CHOOSE(CONTROL!$C$42, 17.8513, 17.8513) * CHOOSE(CONTROL!$C$21, $C$9, 100%, $E$9)</f>
        <v>17.851299999999998</v>
      </c>
      <c r="R591" s="10">
        <f>CHOOSE(CONTROL!$C$42, 18.483, 18.483) * CHOOSE(CONTROL!$C$21, $C$9, 100%, $E$9)</f>
        <v>18.483000000000001</v>
      </c>
      <c r="S591" s="10">
        <f>CHOOSE(CONTROL!$C$42, 16.8516, 16.8516) * CHOOSE(CONTROL!$C$21, $C$9, 100%, $E$9)</f>
        <v>16.851600000000001</v>
      </c>
      <c r="T59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38">
        <f>(1000*CHOOSE(CONTROL!$C$42, 695, 695)*CHOOSE(CONTROL!$C$42, 0.5599, 0.5599)*CHOOSE(CONTROL!$C$42, 31, 31))/1000000</f>
        <v>12.063045499999998</v>
      </c>
      <c r="V591" s="38">
        <f>(1000*CHOOSE(CONTROL!$C$42, 500, 500)*CHOOSE(CONTROL!$C$42, 0.275, 0.275)*CHOOSE(CONTROL!$C$42, 31, 31))/1000000</f>
        <v>4.2625000000000002</v>
      </c>
      <c r="W591" s="38">
        <f>(1000*CHOOSE(CONTROL!$C$42, 0.1146, 0.1146)*CHOOSE(CONTROL!$C$42, 121.5, 121.5)*CHOOSE(CONTROL!$C$42, 31, 31))/1000000</f>
        <v>0.43164089999999994</v>
      </c>
      <c r="X591" s="38">
        <f>(31*0.1790888*100000/1000000)+(31*0.2374*100000/1000000)</f>
        <v>1.2911152800000001</v>
      </c>
      <c r="Y591" s="38">
        <f>(1000*600*CHOOSE(CONTROL!$C$42, 1.0585, 1.0585)*CHOOSE(CONTROL!$C$42, 31, 31))/1000000</f>
        <v>19.688099999999999</v>
      </c>
      <c r="Z591" s="38"/>
      <c r="AA591" s="10"/>
      <c r="AB591" s="39"/>
      <c r="AC591" s="33">
        <f>(B591*122.58+C591*297.941+D591*89.177+E591*40.302+F591*40+G591*160+H591*0+I591*100+J591*300)/(122.58+297.941+89.177+40.302+0+40+160+100+300)</f>
        <v>17.385405925739136</v>
      </c>
      <c r="AD591" s="27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17.213073381294961</v>
      </c>
    </row>
    <row r="592" spans="1:30" ht="15.75" x14ac:dyDescent="0.25">
      <c r="A592" s="13">
        <v>59291</v>
      </c>
      <c r="B592" s="10">
        <f>CHOOSE(CONTROL!$C$42, 17.3347, 17.3347) * CHOOSE(CONTROL!$C$21, $C$9, 100%, $E$9)</f>
        <v>17.334700000000002</v>
      </c>
      <c r="C592" s="10">
        <f>CHOOSE(CONTROL!$C$42, 17.3393, 17.3393) * CHOOSE(CONTROL!$C$21, $C$9, 100%, $E$9)</f>
        <v>17.339300000000001</v>
      </c>
      <c r="D592" s="10">
        <f>CHOOSE(CONTROL!$C$42, 17.5175, 17.5175) * CHOOSE(CONTROL!$C$21, $C$9, 100%, $E$9)</f>
        <v>17.517499999999998</v>
      </c>
      <c r="E592" s="10">
        <f>CHOOSE(CONTROL!$C$42, 17.5493, 17.5493) * CHOOSE(CONTROL!$C$21, $C$9, 100%, $E$9)</f>
        <v>17.549299999999999</v>
      </c>
      <c r="F592" s="10">
        <f>CHOOSE(CONTROL!$C$42, 17.2782, 17.2782)*CHOOSE(CONTROL!$C$21, $C$9, 100%, $E$9)</f>
        <v>17.278199999999998</v>
      </c>
      <c r="G592" s="10">
        <f>CHOOSE(CONTROL!$C$42, 17.2948, 17.2948)*CHOOSE(CONTROL!$C$21, $C$9, 100%, $E$9)</f>
        <v>17.294799999999999</v>
      </c>
      <c r="H592" s="10">
        <f>CHOOSE(CONTROL!$C$42, 17.5388, 17.5388) * CHOOSE(CONTROL!$C$21, $C$9, 100%, $E$9)</f>
        <v>17.538799999999998</v>
      </c>
      <c r="I592" s="10">
        <f>CHOOSE(CONTROL!$C$42, 17.3108, 17.3108)* CHOOSE(CONTROL!$C$21, $C$9, 100%, $E$9)</f>
        <v>17.3108</v>
      </c>
      <c r="J592" s="10">
        <f>CHOOSE(CONTROL!$C$42, 17.2708, 17.2708)* CHOOSE(CONTROL!$C$21, $C$9, 100%, $E$9)</f>
        <v>17.270800000000001</v>
      </c>
      <c r="K592" s="10">
        <f>CHOOSE(CONTROL!$C$42, 16.9279, 16.9279) * CHOOSE(CONTROL!$C$21, $C$9, 100%, $E$9)</f>
        <v>16.927900000000001</v>
      </c>
      <c r="L592" s="10">
        <f>CHOOSE(CONTROL!$C$42, 18.1258, 18.1258) * CHOOSE(CONTROL!$C$21, $C$9, 100%, $E$9)</f>
        <v>18.125800000000002</v>
      </c>
      <c r="M592" s="10">
        <f>CHOOSE(CONTROL!$C$42, 17.0803, 17.0803) * CHOOSE(CONTROL!$C$21, $C$9, 100%, $E$9)</f>
        <v>17.080300000000001</v>
      </c>
      <c r="N592" s="10">
        <f>CHOOSE(CONTROL!$C$42, 17.0966, 17.0966) * CHOOSE(CONTROL!$C$21, $C$9, 100%, $E$9)</f>
        <v>17.096599999999999</v>
      </c>
      <c r="O592" s="10">
        <f>CHOOSE(CONTROL!$C$42, 17.3448, 17.3448) * CHOOSE(CONTROL!$C$21, $C$9, 100%, $E$9)</f>
        <v>17.344799999999999</v>
      </c>
      <c r="P592" s="10">
        <f>CHOOSE(CONTROL!$C$42, 17.1198, 17.1198) * CHOOSE(CONTROL!$C$21, $C$9, 100%, $E$9)</f>
        <v>17.119800000000001</v>
      </c>
      <c r="Q592" s="10">
        <f>CHOOSE(CONTROL!$C$42, 17.9401, 17.9401) * CHOOSE(CONTROL!$C$21, $C$9, 100%, $E$9)</f>
        <v>17.940100000000001</v>
      </c>
      <c r="R592" s="10">
        <f>CHOOSE(CONTROL!$C$42, 18.5719, 18.5719) * CHOOSE(CONTROL!$C$21, $C$9, 100%, $E$9)</f>
        <v>18.571899999999999</v>
      </c>
      <c r="S592" s="10">
        <f>CHOOSE(CONTROL!$C$42, 16.8011, 16.8011) * CHOOSE(CONTROL!$C$21, $C$9, 100%, $E$9)</f>
        <v>16.801100000000002</v>
      </c>
      <c r="T59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38">
        <f>(1000*CHOOSE(CONTROL!$C$42, 695, 695)*CHOOSE(CONTROL!$C$42, 0.5599, 0.5599)*CHOOSE(CONTROL!$C$42, 30, 30))/1000000</f>
        <v>11.673914999999997</v>
      </c>
      <c r="V592" s="38">
        <f>(1000*CHOOSE(CONTROL!$C$42, 500, 500)*CHOOSE(CONTROL!$C$42, 0.275, 0.275)*CHOOSE(CONTROL!$C$42, 30, 30))/1000000</f>
        <v>4.125</v>
      </c>
      <c r="W592" s="38">
        <f>(1000*CHOOSE(CONTROL!$C$42, 0.1146, 0.1146)*CHOOSE(CONTROL!$C$42, 121.5, 121.5)*CHOOSE(CONTROL!$C$42, 30, 30))/1000000</f>
        <v>0.417717</v>
      </c>
      <c r="X592" s="38">
        <f>(30*0.1790888*245000/1000000)+(30*0.2374*100000/1000000)</f>
        <v>2.0285026799999999</v>
      </c>
      <c r="Y592" s="38">
        <f>(1000*600*CHOOSE(CONTROL!$C$42, 1.0585, 1.0585)*CHOOSE(CONTROL!$C$42, 30, 30))/1000000</f>
        <v>19.053000000000001</v>
      </c>
      <c r="Z592" s="38"/>
      <c r="AA592" s="10"/>
      <c r="AB592" s="39"/>
      <c r="AC592" s="33">
        <f>(B592*141.293+C592*267.993+D592*115.016+E592*89.698+F592*40+G592*185+H592*0+I592*100+J592*300)/(141.293+267.993+115.016+89.698+0+40+185+100+300)</f>
        <v>17.343017500726393</v>
      </c>
      <c r="AD592" s="27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17.206802877697839</v>
      </c>
    </row>
    <row r="593" spans="1:30" ht="15.75" x14ac:dyDescent="0.25">
      <c r="A593" s="13">
        <v>59322</v>
      </c>
      <c r="B593" s="10">
        <f>CHOOSE(CONTROL!$C$42, 17.4896, 17.4896) * CHOOSE(CONTROL!$C$21, $C$9, 100%, $E$9)</f>
        <v>17.489599999999999</v>
      </c>
      <c r="C593" s="10">
        <f>CHOOSE(CONTROL!$C$42, 17.4976, 17.4976) * CHOOSE(CONTROL!$C$21, $C$9, 100%, $E$9)</f>
        <v>17.497599999999998</v>
      </c>
      <c r="D593" s="10">
        <f>CHOOSE(CONTROL!$C$42, 17.6728, 17.6728) * CHOOSE(CONTROL!$C$21, $C$9, 100%, $E$9)</f>
        <v>17.672799999999999</v>
      </c>
      <c r="E593" s="10">
        <f>CHOOSE(CONTROL!$C$42, 17.704, 17.704) * CHOOSE(CONTROL!$C$21, $C$9, 100%, $E$9)</f>
        <v>17.704000000000001</v>
      </c>
      <c r="F593" s="10">
        <f>CHOOSE(CONTROL!$C$42, 17.4313, 17.4313)*CHOOSE(CONTROL!$C$21, $C$9, 100%, $E$9)</f>
        <v>17.4313</v>
      </c>
      <c r="G593" s="10">
        <f>CHOOSE(CONTROL!$C$42, 17.4482, 17.4482)*CHOOSE(CONTROL!$C$21, $C$9, 100%, $E$9)</f>
        <v>17.4482</v>
      </c>
      <c r="H593" s="10">
        <f>CHOOSE(CONTROL!$C$42, 17.6923, 17.6923) * CHOOSE(CONTROL!$C$21, $C$9, 100%, $E$9)</f>
        <v>17.692299999999999</v>
      </c>
      <c r="I593" s="10">
        <f>CHOOSE(CONTROL!$C$42, 17.4643, 17.4643)* CHOOSE(CONTROL!$C$21, $C$9, 100%, $E$9)</f>
        <v>17.464300000000001</v>
      </c>
      <c r="J593" s="10">
        <f>CHOOSE(CONTROL!$C$42, 17.4239, 17.4239)* CHOOSE(CONTROL!$C$21, $C$9, 100%, $E$9)</f>
        <v>17.4239</v>
      </c>
      <c r="K593" s="10">
        <f>CHOOSE(CONTROL!$C$42, 17.0757, 17.0757) * CHOOSE(CONTROL!$C$21, $C$9, 100%, $E$9)</f>
        <v>17.075700000000001</v>
      </c>
      <c r="L593" s="10">
        <f>CHOOSE(CONTROL!$C$42, 18.2793, 18.2793) * CHOOSE(CONTROL!$C$21, $C$9, 100%, $E$9)</f>
        <v>18.279299999999999</v>
      </c>
      <c r="M593" s="10">
        <f>CHOOSE(CONTROL!$C$42, 17.2314, 17.2314) * CHOOSE(CONTROL!$C$21, $C$9, 100%, $E$9)</f>
        <v>17.231400000000001</v>
      </c>
      <c r="N593" s="10">
        <f>CHOOSE(CONTROL!$C$42, 17.2481, 17.2481) * CHOOSE(CONTROL!$C$21, $C$9, 100%, $E$9)</f>
        <v>17.248100000000001</v>
      </c>
      <c r="O593" s="10">
        <f>CHOOSE(CONTROL!$C$42, 17.4963, 17.4963) * CHOOSE(CONTROL!$C$21, $C$9, 100%, $E$9)</f>
        <v>17.496300000000002</v>
      </c>
      <c r="P593" s="10">
        <f>CHOOSE(CONTROL!$C$42, 17.2713, 17.2713) * CHOOSE(CONTROL!$C$21, $C$9, 100%, $E$9)</f>
        <v>17.2713</v>
      </c>
      <c r="Q593" s="10">
        <f>CHOOSE(CONTROL!$C$42, 18.0916, 18.0916) * CHOOSE(CONTROL!$C$21, $C$9, 100%, $E$9)</f>
        <v>18.0916</v>
      </c>
      <c r="R593" s="10">
        <f>CHOOSE(CONTROL!$C$42, 18.7238, 18.7238) * CHOOSE(CONTROL!$C$21, $C$9, 100%, $E$9)</f>
        <v>18.723800000000001</v>
      </c>
      <c r="S593" s="10">
        <f>CHOOSE(CONTROL!$C$42, 16.9498, 16.9498) * CHOOSE(CONTROL!$C$21, $C$9, 100%, $E$9)</f>
        <v>16.9498</v>
      </c>
      <c r="T59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38">
        <f>(1000*CHOOSE(CONTROL!$C$42, 695, 695)*CHOOSE(CONTROL!$C$42, 0.5599, 0.5599)*CHOOSE(CONTROL!$C$42, 31, 31))/1000000</f>
        <v>12.063045499999998</v>
      </c>
      <c r="V593" s="38">
        <f>(1000*CHOOSE(CONTROL!$C$42, 500, 500)*CHOOSE(CONTROL!$C$42, 0.275, 0.275)*CHOOSE(CONTROL!$C$42, 31, 31))/1000000</f>
        <v>4.2625000000000002</v>
      </c>
      <c r="W593" s="38">
        <f>(1000*CHOOSE(CONTROL!$C$42, 0.1146, 0.1146)*CHOOSE(CONTROL!$C$42, 121.5, 121.5)*CHOOSE(CONTROL!$C$42, 31, 31))/1000000</f>
        <v>0.43164089999999994</v>
      </c>
      <c r="X593" s="38">
        <f>(31*0.1790888*245000/1000000)+(31*0.2374*100000/1000000)</f>
        <v>2.0961194359999999</v>
      </c>
      <c r="Y593" s="38">
        <f>(1000*600*CHOOSE(CONTROL!$C$42, 1.0585, 1.0585)*CHOOSE(CONTROL!$C$42, 31, 31))/1000000</f>
        <v>19.688099999999999</v>
      </c>
      <c r="Z593" s="38"/>
      <c r="AA593" s="10"/>
      <c r="AB593" s="39"/>
      <c r="AC593" s="33">
        <f>(B593*194.205+C593*267.466+D593*133.845+E593*53.484+F593*40+G593*185+H593*0+I593*100+J593*300)/(194.205+267.466+133.845+53.484+0+40+185+100+300)</f>
        <v>17.494228023233909</v>
      </c>
      <c r="AD593" s="27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17.358164748201439</v>
      </c>
    </row>
    <row r="594" spans="1:30" ht="15.75" x14ac:dyDescent="0.25">
      <c r="A594" s="13">
        <v>59352</v>
      </c>
      <c r="B594" s="10">
        <f>CHOOSE(CONTROL!$C$42, 17.9861, 17.9861) * CHOOSE(CONTROL!$C$21, $C$9, 100%, $E$9)</f>
        <v>17.9861</v>
      </c>
      <c r="C594" s="10">
        <f>CHOOSE(CONTROL!$C$42, 17.9941, 17.9941) * CHOOSE(CONTROL!$C$21, $C$9, 100%, $E$9)</f>
        <v>17.9941</v>
      </c>
      <c r="D594" s="10">
        <f>CHOOSE(CONTROL!$C$42, 18.1693, 18.1693) * CHOOSE(CONTROL!$C$21, $C$9, 100%, $E$9)</f>
        <v>18.1693</v>
      </c>
      <c r="E594" s="10">
        <f>CHOOSE(CONTROL!$C$42, 18.2005, 18.2005) * CHOOSE(CONTROL!$C$21, $C$9, 100%, $E$9)</f>
        <v>18.200500000000002</v>
      </c>
      <c r="F594" s="10">
        <f>CHOOSE(CONTROL!$C$42, 17.928, 17.928)*CHOOSE(CONTROL!$C$21, $C$9, 100%, $E$9)</f>
        <v>17.928000000000001</v>
      </c>
      <c r="G594" s="10">
        <f>CHOOSE(CONTROL!$C$42, 17.945, 17.945)*CHOOSE(CONTROL!$C$21, $C$9, 100%, $E$9)</f>
        <v>17.945</v>
      </c>
      <c r="H594" s="10">
        <f>CHOOSE(CONTROL!$C$42, 18.1888, 18.1888) * CHOOSE(CONTROL!$C$21, $C$9, 100%, $E$9)</f>
        <v>18.188800000000001</v>
      </c>
      <c r="I594" s="10">
        <f>CHOOSE(CONTROL!$C$42, 17.9608, 17.9608)* CHOOSE(CONTROL!$C$21, $C$9, 100%, $E$9)</f>
        <v>17.960799999999999</v>
      </c>
      <c r="J594" s="10">
        <f>CHOOSE(CONTROL!$C$42, 17.9206, 17.9206)* CHOOSE(CONTROL!$C$21, $C$9, 100%, $E$9)</f>
        <v>17.9206</v>
      </c>
      <c r="K594" s="10">
        <f>CHOOSE(CONTROL!$C$42, 17.5571, 17.5571) * CHOOSE(CONTROL!$C$21, $C$9, 100%, $E$9)</f>
        <v>17.557099999999998</v>
      </c>
      <c r="L594" s="10">
        <f>CHOOSE(CONTROL!$C$42, 18.7758, 18.7758) * CHOOSE(CONTROL!$C$21, $C$9, 100%, $E$9)</f>
        <v>18.7758</v>
      </c>
      <c r="M594" s="10">
        <f>CHOOSE(CONTROL!$C$42, 17.7217, 17.7217) * CHOOSE(CONTROL!$C$21, $C$9, 100%, $E$9)</f>
        <v>17.721699999999998</v>
      </c>
      <c r="N594" s="10">
        <f>CHOOSE(CONTROL!$C$42, 17.7384, 17.7384) * CHOOSE(CONTROL!$C$21, $C$9, 100%, $E$9)</f>
        <v>17.738399999999999</v>
      </c>
      <c r="O594" s="10">
        <f>CHOOSE(CONTROL!$C$42, 17.9864, 17.9864) * CHOOSE(CONTROL!$C$21, $C$9, 100%, $E$9)</f>
        <v>17.9864</v>
      </c>
      <c r="P594" s="10">
        <f>CHOOSE(CONTROL!$C$42, 17.7614, 17.7614) * CHOOSE(CONTROL!$C$21, $C$9, 100%, $E$9)</f>
        <v>17.761399999999998</v>
      </c>
      <c r="Q594" s="10">
        <f>CHOOSE(CONTROL!$C$42, 18.5817, 18.5817) * CHOOSE(CONTROL!$C$21, $C$9, 100%, $E$9)</f>
        <v>18.581700000000001</v>
      </c>
      <c r="R594" s="10">
        <f>CHOOSE(CONTROL!$C$42, 19.2151, 19.2151) * CHOOSE(CONTROL!$C$21, $C$9, 100%, $E$9)</f>
        <v>19.2151</v>
      </c>
      <c r="S594" s="10">
        <f>CHOOSE(CONTROL!$C$42, 17.4306, 17.4306) * CHOOSE(CONTROL!$C$21, $C$9, 100%, $E$9)</f>
        <v>17.430599999999998</v>
      </c>
      <c r="T59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38">
        <f>(1000*CHOOSE(CONTROL!$C$42, 695, 695)*CHOOSE(CONTROL!$C$42, 0.5599, 0.5599)*CHOOSE(CONTROL!$C$42, 30, 30))/1000000</f>
        <v>11.673914999999997</v>
      </c>
      <c r="V594" s="38">
        <f>(1000*CHOOSE(CONTROL!$C$42, 500, 500)*CHOOSE(CONTROL!$C$42, 0.275, 0.275)*CHOOSE(CONTROL!$C$42, 30, 30))/1000000</f>
        <v>4.125</v>
      </c>
      <c r="W594" s="38">
        <f>(1000*CHOOSE(CONTROL!$C$42, 0.1146, 0.1146)*CHOOSE(CONTROL!$C$42, 121.5, 121.5)*CHOOSE(CONTROL!$C$42, 30, 30))/1000000</f>
        <v>0.417717</v>
      </c>
      <c r="X594" s="38">
        <f>(30*0.1790888*245000/1000000)+(30*0.2374*100000/1000000)</f>
        <v>2.0285026799999999</v>
      </c>
      <c r="Y594" s="38">
        <f>(1000*600*CHOOSE(CONTROL!$C$42, 1.0585, 1.0585)*CHOOSE(CONTROL!$C$42, 30, 30))/1000000</f>
        <v>19.053000000000001</v>
      </c>
      <c r="Z594" s="38"/>
      <c r="AA594" s="10"/>
      <c r="AB594" s="39"/>
      <c r="AC594" s="33">
        <f>(B594*194.205+C594*267.466+D594*133.845+E594*53.484+F594*40+G594*185+H594*0+I594*100+J594*300)/(194.205+267.466+133.845+53.484+0+40+185+100+300)</f>
        <v>17.99082496200942</v>
      </c>
      <c r="AD594" s="27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17.848345323741004</v>
      </c>
    </row>
    <row r="595" spans="1:30" ht="15.75" x14ac:dyDescent="0.25">
      <c r="A595" s="13">
        <v>59383</v>
      </c>
      <c r="B595" s="10">
        <f>CHOOSE(CONTROL!$C$42, 17.6408, 17.6408) * CHOOSE(CONTROL!$C$21, $C$9, 100%, $E$9)</f>
        <v>17.640799999999999</v>
      </c>
      <c r="C595" s="10">
        <f>CHOOSE(CONTROL!$C$42, 17.6488, 17.6488) * CHOOSE(CONTROL!$C$21, $C$9, 100%, $E$9)</f>
        <v>17.648800000000001</v>
      </c>
      <c r="D595" s="10">
        <f>CHOOSE(CONTROL!$C$42, 17.8239, 17.8239) * CHOOSE(CONTROL!$C$21, $C$9, 100%, $E$9)</f>
        <v>17.823899999999998</v>
      </c>
      <c r="E595" s="10">
        <f>CHOOSE(CONTROL!$C$42, 17.8552, 17.8552) * CHOOSE(CONTROL!$C$21, $C$9, 100%, $E$9)</f>
        <v>17.8552</v>
      </c>
      <c r="F595" s="10">
        <f>CHOOSE(CONTROL!$C$42, 17.583, 17.583)*CHOOSE(CONTROL!$C$21, $C$9, 100%, $E$9)</f>
        <v>17.582999999999998</v>
      </c>
      <c r="G595" s="10">
        <f>CHOOSE(CONTROL!$C$42, 17.6001, 17.6001)*CHOOSE(CONTROL!$C$21, $C$9, 100%, $E$9)</f>
        <v>17.600100000000001</v>
      </c>
      <c r="H595" s="10">
        <f>CHOOSE(CONTROL!$C$42, 17.8435, 17.8435) * CHOOSE(CONTROL!$C$21, $C$9, 100%, $E$9)</f>
        <v>17.843499999999999</v>
      </c>
      <c r="I595" s="10">
        <f>CHOOSE(CONTROL!$C$42, 17.6155, 17.6155)* CHOOSE(CONTROL!$C$21, $C$9, 100%, $E$9)</f>
        <v>17.615500000000001</v>
      </c>
      <c r="J595" s="10">
        <f>CHOOSE(CONTROL!$C$42, 17.5756, 17.5756)* CHOOSE(CONTROL!$C$21, $C$9, 100%, $E$9)</f>
        <v>17.575600000000001</v>
      </c>
      <c r="K595" s="10">
        <f>CHOOSE(CONTROL!$C$42, 17.2234, 17.2234) * CHOOSE(CONTROL!$C$21, $C$9, 100%, $E$9)</f>
        <v>17.223400000000002</v>
      </c>
      <c r="L595" s="10">
        <f>CHOOSE(CONTROL!$C$42, 18.4305, 18.4305) * CHOOSE(CONTROL!$C$21, $C$9, 100%, $E$9)</f>
        <v>18.430499999999999</v>
      </c>
      <c r="M595" s="10">
        <f>CHOOSE(CONTROL!$C$42, 17.3812, 17.3812) * CHOOSE(CONTROL!$C$21, $C$9, 100%, $E$9)</f>
        <v>17.3812</v>
      </c>
      <c r="N595" s="10">
        <f>CHOOSE(CONTROL!$C$42, 17.398, 17.398) * CHOOSE(CONTROL!$C$21, $C$9, 100%, $E$9)</f>
        <v>17.398</v>
      </c>
      <c r="O595" s="10">
        <f>CHOOSE(CONTROL!$C$42, 17.6455, 17.6455) * CHOOSE(CONTROL!$C$21, $C$9, 100%, $E$9)</f>
        <v>17.645499999999998</v>
      </c>
      <c r="P595" s="10">
        <f>CHOOSE(CONTROL!$C$42, 17.4205, 17.4205) * CHOOSE(CONTROL!$C$21, $C$9, 100%, $E$9)</f>
        <v>17.420500000000001</v>
      </c>
      <c r="Q595" s="10">
        <f>CHOOSE(CONTROL!$C$42, 18.2408, 18.2408) * CHOOSE(CONTROL!$C$21, $C$9, 100%, $E$9)</f>
        <v>18.2408</v>
      </c>
      <c r="R595" s="10">
        <f>CHOOSE(CONTROL!$C$42, 18.8734, 18.8734) * CHOOSE(CONTROL!$C$21, $C$9, 100%, $E$9)</f>
        <v>18.8734</v>
      </c>
      <c r="S595" s="10">
        <f>CHOOSE(CONTROL!$C$42, 17.0962, 17.0962) * CHOOSE(CONTROL!$C$21, $C$9, 100%, $E$9)</f>
        <v>17.0962</v>
      </c>
      <c r="T59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38">
        <f>(1000*CHOOSE(CONTROL!$C$42, 695, 695)*CHOOSE(CONTROL!$C$42, 0.5599, 0.5599)*CHOOSE(CONTROL!$C$42, 31, 31))/1000000</f>
        <v>12.063045499999998</v>
      </c>
      <c r="V595" s="38">
        <f>(1000*CHOOSE(CONTROL!$C$42, 500, 500)*CHOOSE(CONTROL!$C$42, 0.275, 0.275)*CHOOSE(CONTROL!$C$42, 31, 31))/1000000</f>
        <v>4.2625000000000002</v>
      </c>
      <c r="W595" s="38">
        <f>(1000*CHOOSE(CONTROL!$C$42, 0.1146, 0.1146)*CHOOSE(CONTROL!$C$42, 121.5, 121.5)*CHOOSE(CONTROL!$C$42, 31, 31))/1000000</f>
        <v>0.43164089999999994</v>
      </c>
      <c r="X595" s="38">
        <f>(31*0.1790888*245000/1000000)+(31*0.2374*100000/1000000)</f>
        <v>2.0961194359999999</v>
      </c>
      <c r="Y595" s="38">
        <f>(1000*600*CHOOSE(CONTROL!$C$42, 1.0585, 1.0585)*CHOOSE(CONTROL!$C$42, 31, 31))/1000000</f>
        <v>19.688099999999999</v>
      </c>
      <c r="Z595" s="38"/>
      <c r="AA595" s="10"/>
      <c r="AB595" s="39"/>
      <c r="AC595" s="33">
        <f>(B595*194.205+C595*267.466+D595*133.845+E595*53.484+F595*40+G595*185+H595*0+I595*100+J595*300)/(194.205+267.466+133.845+53.484+0+40+185+100+300)</f>
        <v>17.645652603689168</v>
      </c>
      <c r="AD595" s="27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17.507612230215827</v>
      </c>
    </row>
    <row r="596" spans="1:30" ht="15.75" x14ac:dyDescent="0.25">
      <c r="A596" s="13">
        <v>59414</v>
      </c>
      <c r="B596" s="10">
        <f>CHOOSE(CONTROL!$C$42, 16.7688, 16.7688) * CHOOSE(CONTROL!$C$21, $C$9, 100%, $E$9)</f>
        <v>16.768799999999999</v>
      </c>
      <c r="C596" s="10">
        <f>CHOOSE(CONTROL!$C$42, 16.7768, 16.7768) * CHOOSE(CONTROL!$C$21, $C$9, 100%, $E$9)</f>
        <v>16.776800000000001</v>
      </c>
      <c r="D596" s="10">
        <f>CHOOSE(CONTROL!$C$42, 16.9519, 16.9519) * CHOOSE(CONTROL!$C$21, $C$9, 100%, $E$9)</f>
        <v>16.951899999999998</v>
      </c>
      <c r="E596" s="10">
        <f>CHOOSE(CONTROL!$C$42, 16.9831, 16.9831) * CHOOSE(CONTROL!$C$21, $C$9, 100%, $E$9)</f>
        <v>16.9831</v>
      </c>
      <c r="F596" s="10">
        <f>CHOOSE(CONTROL!$C$42, 16.7109, 16.7109)*CHOOSE(CONTROL!$C$21, $C$9, 100%, $E$9)</f>
        <v>16.710899999999999</v>
      </c>
      <c r="G596" s="10">
        <f>CHOOSE(CONTROL!$C$42, 16.7279, 16.7279)*CHOOSE(CONTROL!$C$21, $C$9, 100%, $E$9)</f>
        <v>16.727900000000002</v>
      </c>
      <c r="H596" s="10">
        <f>CHOOSE(CONTROL!$C$42, 16.9714, 16.9714) * CHOOSE(CONTROL!$C$21, $C$9, 100%, $E$9)</f>
        <v>16.971399999999999</v>
      </c>
      <c r="I596" s="10">
        <f>CHOOSE(CONTROL!$C$42, 16.7434, 16.7434)* CHOOSE(CONTROL!$C$21, $C$9, 100%, $E$9)</f>
        <v>16.743400000000001</v>
      </c>
      <c r="J596" s="10">
        <f>CHOOSE(CONTROL!$C$42, 16.7035, 16.7035)* CHOOSE(CONTROL!$C$21, $C$9, 100%, $E$9)</f>
        <v>16.703499999999998</v>
      </c>
      <c r="K596" s="10">
        <f>CHOOSE(CONTROL!$C$42, 16.3783, 16.3783) * CHOOSE(CONTROL!$C$21, $C$9, 100%, $E$9)</f>
        <v>16.378299999999999</v>
      </c>
      <c r="L596" s="10">
        <f>CHOOSE(CONTROL!$C$42, 17.5584, 17.5584) * CHOOSE(CONTROL!$C$21, $C$9, 100%, $E$9)</f>
        <v>17.558399999999999</v>
      </c>
      <c r="M596" s="10">
        <f>CHOOSE(CONTROL!$C$42, 16.5203, 16.5203) * CHOOSE(CONTROL!$C$21, $C$9, 100%, $E$9)</f>
        <v>16.520299999999999</v>
      </c>
      <c r="N596" s="10">
        <f>CHOOSE(CONTROL!$C$42, 16.5371, 16.5371) * CHOOSE(CONTROL!$C$21, $C$9, 100%, $E$9)</f>
        <v>16.537099999999999</v>
      </c>
      <c r="O596" s="10">
        <f>CHOOSE(CONTROL!$C$42, 16.7848, 16.7848) * CHOOSE(CONTROL!$C$21, $C$9, 100%, $E$9)</f>
        <v>16.784800000000001</v>
      </c>
      <c r="P596" s="10">
        <f>CHOOSE(CONTROL!$C$42, 16.5598, 16.5598) * CHOOSE(CONTROL!$C$21, $C$9, 100%, $E$9)</f>
        <v>16.559799999999999</v>
      </c>
      <c r="Q596" s="10">
        <f>CHOOSE(CONTROL!$C$42, 17.3801, 17.3801) * CHOOSE(CONTROL!$C$21, $C$9, 100%, $E$9)</f>
        <v>17.380099999999999</v>
      </c>
      <c r="R596" s="10">
        <f>CHOOSE(CONTROL!$C$42, 18.0105, 18.0105) * CHOOSE(CONTROL!$C$21, $C$9, 100%, $E$9)</f>
        <v>18.0105</v>
      </c>
      <c r="S596" s="10">
        <f>CHOOSE(CONTROL!$C$42, 16.2518, 16.2518) * CHOOSE(CONTROL!$C$21, $C$9, 100%, $E$9)</f>
        <v>16.251799999999999</v>
      </c>
      <c r="T59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38">
        <f>(1000*CHOOSE(CONTROL!$C$42, 695, 695)*CHOOSE(CONTROL!$C$42, 0.5599, 0.5599)*CHOOSE(CONTROL!$C$42, 31, 31))/1000000</f>
        <v>12.063045499999998</v>
      </c>
      <c r="V596" s="38">
        <f>(1000*CHOOSE(CONTROL!$C$42, 500, 500)*CHOOSE(CONTROL!$C$42, 0.275, 0.275)*CHOOSE(CONTROL!$C$42, 31, 31))/1000000</f>
        <v>4.2625000000000002</v>
      </c>
      <c r="W596" s="38">
        <f>(1000*CHOOSE(CONTROL!$C$42, 0.1146, 0.1146)*CHOOSE(CONTROL!$C$42, 121.5, 121.5)*CHOOSE(CONTROL!$C$42, 31, 31))/1000000</f>
        <v>0.43164089999999994</v>
      </c>
      <c r="X596" s="38">
        <f>(31*0.1790888*245000/1000000)+(31*0.2374*100000/1000000)</f>
        <v>2.0961194359999999</v>
      </c>
      <c r="Y596" s="38">
        <f>(1000*600*CHOOSE(CONTROL!$C$42, 1.0585, 1.0585)*CHOOSE(CONTROL!$C$42, 31, 31))/1000000</f>
        <v>19.688099999999999</v>
      </c>
      <c r="Z596" s="38"/>
      <c r="AA596" s="10"/>
      <c r="AB596" s="39"/>
      <c r="AC596" s="33">
        <f>(B596*194.205+C596*267.466+D596*133.845+E596*53.484+F596*40+G596*185+H596*0+I596*100+J596*300)/(194.205+267.466+133.845+53.484+0+40+185+100+300)</f>
        <v>16.773584826295131</v>
      </c>
      <c r="AD596" s="27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16.646831654676259</v>
      </c>
    </row>
    <row r="597" spans="1:30" ht="15.75" x14ac:dyDescent="0.25">
      <c r="A597" s="13">
        <v>59444</v>
      </c>
      <c r="B597" s="10">
        <f>CHOOSE(CONTROL!$C$42, 15.7033, 15.7033) * CHOOSE(CONTROL!$C$21, $C$9, 100%, $E$9)</f>
        <v>15.7033</v>
      </c>
      <c r="C597" s="10">
        <f>CHOOSE(CONTROL!$C$42, 15.7113, 15.7113) * CHOOSE(CONTROL!$C$21, $C$9, 100%, $E$9)</f>
        <v>15.7113</v>
      </c>
      <c r="D597" s="10">
        <f>CHOOSE(CONTROL!$C$42, 15.8864, 15.8864) * CHOOSE(CONTROL!$C$21, $C$9, 100%, $E$9)</f>
        <v>15.8864</v>
      </c>
      <c r="E597" s="10">
        <f>CHOOSE(CONTROL!$C$42, 15.9176, 15.9176) * CHOOSE(CONTROL!$C$21, $C$9, 100%, $E$9)</f>
        <v>15.9176</v>
      </c>
      <c r="F597" s="10">
        <f>CHOOSE(CONTROL!$C$42, 15.6451, 15.6451)*CHOOSE(CONTROL!$C$21, $C$9, 100%, $E$9)</f>
        <v>15.645099999999999</v>
      </c>
      <c r="G597" s="10">
        <f>CHOOSE(CONTROL!$C$42, 15.662, 15.662)*CHOOSE(CONTROL!$C$21, $C$9, 100%, $E$9)</f>
        <v>15.662000000000001</v>
      </c>
      <c r="H597" s="10">
        <f>CHOOSE(CONTROL!$C$42, 15.9059, 15.9059) * CHOOSE(CONTROL!$C$21, $C$9, 100%, $E$9)</f>
        <v>15.905900000000001</v>
      </c>
      <c r="I597" s="10">
        <f>CHOOSE(CONTROL!$C$42, 15.6779, 15.6779)* CHOOSE(CONTROL!$C$21, $C$9, 100%, $E$9)</f>
        <v>15.677899999999999</v>
      </c>
      <c r="J597" s="10">
        <f>CHOOSE(CONTROL!$C$42, 15.6377, 15.6377)* CHOOSE(CONTROL!$C$21, $C$9, 100%, $E$9)</f>
        <v>15.637700000000001</v>
      </c>
      <c r="K597" s="10">
        <f>CHOOSE(CONTROL!$C$42, 15.3454, 15.3454) * CHOOSE(CONTROL!$C$21, $C$9, 100%, $E$9)</f>
        <v>15.3454</v>
      </c>
      <c r="L597" s="10">
        <f>CHOOSE(CONTROL!$C$42, 16.4929, 16.4929) * CHOOSE(CONTROL!$C$21, $C$9, 100%, $E$9)</f>
        <v>16.492899999999999</v>
      </c>
      <c r="M597" s="10">
        <f>CHOOSE(CONTROL!$C$42, 15.4683, 15.4683) * CHOOSE(CONTROL!$C$21, $C$9, 100%, $E$9)</f>
        <v>15.468299999999999</v>
      </c>
      <c r="N597" s="10">
        <f>CHOOSE(CONTROL!$C$42, 15.485, 15.485) * CHOOSE(CONTROL!$C$21, $C$9, 100%, $E$9)</f>
        <v>15.484999999999999</v>
      </c>
      <c r="O597" s="10">
        <f>CHOOSE(CONTROL!$C$42, 15.7331, 15.7331) * CHOOSE(CONTROL!$C$21, $C$9, 100%, $E$9)</f>
        <v>15.7331</v>
      </c>
      <c r="P597" s="10">
        <f>CHOOSE(CONTROL!$C$42, 15.508, 15.508) * CHOOSE(CONTROL!$C$21, $C$9, 100%, $E$9)</f>
        <v>15.507999999999999</v>
      </c>
      <c r="Q597" s="10">
        <f>CHOOSE(CONTROL!$C$42, 16.3284, 16.3284) * CHOOSE(CONTROL!$C$21, $C$9, 100%, $E$9)</f>
        <v>16.328399999999998</v>
      </c>
      <c r="R597" s="10">
        <f>CHOOSE(CONTROL!$C$42, 16.9562, 16.9562) * CHOOSE(CONTROL!$C$21, $C$9, 100%, $E$9)</f>
        <v>16.956199999999999</v>
      </c>
      <c r="S597" s="10">
        <f>CHOOSE(CONTROL!$C$42, 15.2201, 15.2201) * CHOOSE(CONTROL!$C$21, $C$9, 100%, $E$9)</f>
        <v>15.2201</v>
      </c>
      <c r="T59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38">
        <f>(1000*CHOOSE(CONTROL!$C$42, 695, 695)*CHOOSE(CONTROL!$C$42, 0.5599, 0.5599)*CHOOSE(CONTROL!$C$42, 30, 30))/1000000</f>
        <v>11.673914999999997</v>
      </c>
      <c r="V597" s="38">
        <f>(1000*CHOOSE(CONTROL!$C$42, 500, 500)*CHOOSE(CONTROL!$C$42, 0.275, 0.275)*CHOOSE(CONTROL!$C$42, 30, 30))/1000000</f>
        <v>4.125</v>
      </c>
      <c r="W597" s="38">
        <f>(1000*CHOOSE(CONTROL!$C$42, 0.1146, 0.1146)*CHOOSE(CONTROL!$C$42, 121.5, 121.5)*CHOOSE(CONTROL!$C$42, 30, 30))/1000000</f>
        <v>0.417717</v>
      </c>
      <c r="X597" s="38">
        <f>(30*0.1790888*245000/1000000)+(30*0.2374*100000/1000000)</f>
        <v>2.0285026799999999</v>
      </c>
      <c r="Y597" s="38">
        <f>(1000*600*CHOOSE(CONTROL!$C$42, 1.0585, 1.0585)*CHOOSE(CONTROL!$C$42, 30, 30))/1000000</f>
        <v>19.053000000000001</v>
      </c>
      <c r="Z597" s="38"/>
      <c r="AA597" s="10"/>
      <c r="AB597" s="39"/>
      <c r="AC597" s="33">
        <f>(B597*194.205+C597*267.466+D597*133.845+E597*53.484+F597*40+G597*185+H597*0+I597*100+J597*300)/(194.205+267.466+133.845+53.484+0+40+185+100+300)</f>
        <v>15.707946678728415</v>
      </c>
      <c r="AD597" s="27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15.594990647482012</v>
      </c>
    </row>
    <row r="598" spans="1:30" ht="15.75" x14ac:dyDescent="0.25">
      <c r="A598" s="13">
        <v>59475</v>
      </c>
      <c r="B598" s="10">
        <f>CHOOSE(CONTROL!$C$42, 15.382, 15.382) * CHOOSE(CONTROL!$C$21, $C$9, 100%, $E$9)</f>
        <v>15.382</v>
      </c>
      <c r="C598" s="10">
        <f>CHOOSE(CONTROL!$C$42, 15.3874, 15.3874) * CHOOSE(CONTROL!$C$21, $C$9, 100%, $E$9)</f>
        <v>15.3874</v>
      </c>
      <c r="D598" s="10">
        <f>CHOOSE(CONTROL!$C$42, 15.5674, 15.5674) * CHOOSE(CONTROL!$C$21, $C$9, 100%, $E$9)</f>
        <v>15.567399999999999</v>
      </c>
      <c r="E598" s="10">
        <f>CHOOSE(CONTROL!$C$42, 15.5963, 15.5963) * CHOOSE(CONTROL!$C$21, $C$9, 100%, $E$9)</f>
        <v>15.596299999999999</v>
      </c>
      <c r="F598" s="10">
        <f>CHOOSE(CONTROL!$C$42, 15.3258, 15.3258)*CHOOSE(CONTROL!$C$21, $C$9, 100%, $E$9)</f>
        <v>15.325799999999999</v>
      </c>
      <c r="G598" s="10">
        <f>CHOOSE(CONTROL!$C$42, 15.3424, 15.3424)*CHOOSE(CONTROL!$C$21, $C$9, 100%, $E$9)</f>
        <v>15.3424</v>
      </c>
      <c r="H598" s="10">
        <f>CHOOSE(CONTROL!$C$42, 15.5864, 15.5864) * CHOOSE(CONTROL!$C$21, $C$9, 100%, $E$9)</f>
        <v>15.586399999999999</v>
      </c>
      <c r="I598" s="10">
        <f>CHOOSE(CONTROL!$C$42, 15.3584, 15.3584)* CHOOSE(CONTROL!$C$21, $C$9, 100%, $E$9)</f>
        <v>15.3584</v>
      </c>
      <c r="J598" s="10">
        <f>CHOOSE(CONTROL!$C$42, 15.3184, 15.3184)* CHOOSE(CONTROL!$C$21, $C$9, 100%, $E$9)</f>
        <v>15.3184</v>
      </c>
      <c r="K598" s="10">
        <f>CHOOSE(CONTROL!$C$42, 15.0364, 15.0364) * CHOOSE(CONTROL!$C$21, $C$9, 100%, $E$9)</f>
        <v>15.0364</v>
      </c>
      <c r="L598" s="10">
        <f>CHOOSE(CONTROL!$C$42, 16.1734, 16.1734) * CHOOSE(CONTROL!$C$21, $C$9, 100%, $E$9)</f>
        <v>16.173400000000001</v>
      </c>
      <c r="M598" s="10">
        <f>CHOOSE(CONTROL!$C$42, 15.1532, 15.1532) * CHOOSE(CONTROL!$C$21, $C$9, 100%, $E$9)</f>
        <v>15.1532</v>
      </c>
      <c r="N598" s="10">
        <f>CHOOSE(CONTROL!$C$42, 15.1695, 15.1695) * CHOOSE(CONTROL!$C$21, $C$9, 100%, $E$9)</f>
        <v>15.169499999999999</v>
      </c>
      <c r="O598" s="10">
        <f>CHOOSE(CONTROL!$C$42, 15.4177, 15.4177) * CHOOSE(CONTROL!$C$21, $C$9, 100%, $E$9)</f>
        <v>15.4177</v>
      </c>
      <c r="P598" s="10">
        <f>CHOOSE(CONTROL!$C$42, 15.1927, 15.1927) * CHOOSE(CONTROL!$C$21, $C$9, 100%, $E$9)</f>
        <v>15.1927</v>
      </c>
      <c r="Q598" s="10">
        <f>CHOOSE(CONTROL!$C$42, 16.013, 16.013) * CHOOSE(CONTROL!$C$21, $C$9, 100%, $E$9)</f>
        <v>16.013000000000002</v>
      </c>
      <c r="R598" s="10">
        <f>CHOOSE(CONTROL!$C$42, 16.64, 16.64) * CHOOSE(CONTROL!$C$21, $C$9, 100%, $E$9)</f>
        <v>16.64</v>
      </c>
      <c r="S598" s="10">
        <f>CHOOSE(CONTROL!$C$42, 14.9107, 14.9107) * CHOOSE(CONTROL!$C$21, $C$9, 100%, $E$9)</f>
        <v>14.9107</v>
      </c>
      <c r="T59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38">
        <f>(1000*CHOOSE(CONTROL!$C$42, 695, 695)*CHOOSE(CONTROL!$C$42, 0.5599, 0.5599)*CHOOSE(CONTROL!$C$42, 31, 31))/1000000</f>
        <v>12.063045499999998</v>
      </c>
      <c r="V598" s="38">
        <f>(1000*CHOOSE(CONTROL!$C$42, 500, 500)*CHOOSE(CONTROL!$C$42, 0.275, 0.275)*CHOOSE(CONTROL!$C$42, 31, 31))/1000000</f>
        <v>4.2625000000000002</v>
      </c>
      <c r="W598" s="38">
        <f>(1000*CHOOSE(CONTROL!$C$42, 0.1146, 0.1146)*CHOOSE(CONTROL!$C$42, 121.5, 121.5)*CHOOSE(CONTROL!$C$42, 31, 31))/1000000</f>
        <v>0.43164089999999994</v>
      </c>
      <c r="X598" s="38">
        <f>(31*0.1790888*245000/1000000)+(31*0.2374*100000/1000000)</f>
        <v>2.0961194359999999</v>
      </c>
      <c r="Y598" s="38">
        <f>(1000*600*CHOOSE(CONTROL!$C$42, 1.0585, 1.0585)*CHOOSE(CONTROL!$C$42, 31, 31))/1000000</f>
        <v>19.688099999999999</v>
      </c>
      <c r="Z598" s="38"/>
      <c r="AA598" s="10"/>
      <c r="AB598" s="39"/>
      <c r="AC598" s="33">
        <f>(B598*131.881+C598*277.167+D598*79.08+E598*125.872+F598*40+G598*185+H598*0+I598*100+J598*300)/(131.881+277.167+79.08+125.872+0+40+185+100+300)</f>
        <v>15.391780874414851</v>
      </c>
      <c r="AD598" s="27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15.279702877697842</v>
      </c>
    </row>
    <row r="599" spans="1:30" ht="15.75" x14ac:dyDescent="0.25">
      <c r="A599" s="13">
        <v>59505</v>
      </c>
      <c r="B599" s="10">
        <f>CHOOSE(CONTROL!$C$42, 15.7873, 15.7873) * CHOOSE(CONTROL!$C$21, $C$9, 100%, $E$9)</f>
        <v>15.7873</v>
      </c>
      <c r="C599" s="10">
        <f>CHOOSE(CONTROL!$C$42, 15.7924, 15.7924) * CHOOSE(CONTROL!$C$21, $C$9, 100%, $E$9)</f>
        <v>15.792400000000001</v>
      </c>
      <c r="D599" s="10">
        <f>CHOOSE(CONTROL!$C$42, 15.8171, 15.8171) * CHOOSE(CONTROL!$C$21, $C$9, 100%, $E$9)</f>
        <v>15.8171</v>
      </c>
      <c r="E599" s="10">
        <f>CHOOSE(CONTROL!$C$42, 15.8509, 15.8509) * CHOOSE(CONTROL!$C$21, $C$9, 100%, $E$9)</f>
        <v>15.850899999999999</v>
      </c>
      <c r="F599" s="10">
        <f>CHOOSE(CONTROL!$C$42, 15.7529, 15.7529)*CHOOSE(CONTROL!$C$21, $C$9, 100%, $E$9)</f>
        <v>15.7529</v>
      </c>
      <c r="G599" s="10">
        <f>CHOOSE(CONTROL!$C$42, 15.7697, 15.7697)*CHOOSE(CONTROL!$C$21, $C$9, 100%, $E$9)</f>
        <v>15.7697</v>
      </c>
      <c r="H599" s="10">
        <f>CHOOSE(CONTROL!$C$42, 15.8397, 15.8397) * CHOOSE(CONTROL!$C$21, $C$9, 100%, $E$9)</f>
        <v>15.839700000000001</v>
      </c>
      <c r="I599" s="10">
        <f>CHOOSE(CONTROL!$C$42, 15.7868, 15.7868)* CHOOSE(CONTROL!$C$21, $C$9, 100%, $E$9)</f>
        <v>15.786799999999999</v>
      </c>
      <c r="J599" s="10">
        <f>CHOOSE(CONTROL!$C$42, 15.7455, 15.7455)* CHOOSE(CONTROL!$C$21, $C$9, 100%, $E$9)</f>
        <v>15.7455</v>
      </c>
      <c r="K599" s="10">
        <f>CHOOSE(CONTROL!$C$42, 15.4532, 15.4532) * CHOOSE(CONTROL!$C$21, $C$9, 100%, $E$9)</f>
        <v>15.453200000000001</v>
      </c>
      <c r="L599" s="10">
        <f>CHOOSE(CONTROL!$C$42, 16.4267, 16.4267) * CHOOSE(CONTROL!$C$21, $C$9, 100%, $E$9)</f>
        <v>16.4267</v>
      </c>
      <c r="M599" s="10">
        <f>CHOOSE(CONTROL!$C$42, 15.5747, 15.5747) * CHOOSE(CONTROL!$C$21, $C$9, 100%, $E$9)</f>
        <v>15.5747</v>
      </c>
      <c r="N599" s="10">
        <f>CHOOSE(CONTROL!$C$42, 15.5913, 15.5913) * CHOOSE(CONTROL!$C$21, $C$9, 100%, $E$9)</f>
        <v>15.5913</v>
      </c>
      <c r="O599" s="10">
        <f>CHOOSE(CONTROL!$C$42, 15.6677, 15.6677) * CHOOSE(CONTROL!$C$21, $C$9, 100%, $E$9)</f>
        <v>15.6677</v>
      </c>
      <c r="P599" s="10">
        <f>CHOOSE(CONTROL!$C$42, 15.6155, 15.6155) * CHOOSE(CONTROL!$C$21, $C$9, 100%, $E$9)</f>
        <v>15.615500000000001</v>
      </c>
      <c r="Q599" s="10">
        <f>CHOOSE(CONTROL!$C$42, 16.263, 16.263) * CHOOSE(CONTROL!$C$21, $C$9, 100%, $E$9)</f>
        <v>16.263000000000002</v>
      </c>
      <c r="R599" s="10">
        <f>CHOOSE(CONTROL!$C$42, 16.8907, 16.8907) * CHOOSE(CONTROL!$C$21, $C$9, 100%, $E$9)</f>
        <v>16.890699999999999</v>
      </c>
      <c r="S599" s="10">
        <f>CHOOSE(CONTROL!$C$42, 15.3035, 15.3035) * CHOOSE(CONTROL!$C$21, $C$9, 100%, $E$9)</f>
        <v>15.3035</v>
      </c>
      <c r="T59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38">
        <f>(1000*CHOOSE(CONTROL!$C$42, 695, 695)*CHOOSE(CONTROL!$C$42, 0.5599, 0.5599)*CHOOSE(CONTROL!$C$42, 30, 30))/1000000</f>
        <v>11.673914999999997</v>
      </c>
      <c r="V599" s="38">
        <f>(1000*CHOOSE(CONTROL!$C$42, 500, 500)*CHOOSE(CONTROL!$C$42, 0.275, 0.275)*CHOOSE(CONTROL!$C$42, 30, 30))/1000000</f>
        <v>4.125</v>
      </c>
      <c r="W599" s="38">
        <f>(1000*CHOOSE(CONTROL!$C$42, 0.1146, 0.1146)*CHOOSE(CONTROL!$C$42, 121.5, 121.5)*CHOOSE(CONTROL!$C$42, 30, 30))/1000000</f>
        <v>0.417717</v>
      </c>
      <c r="X599" s="38">
        <f>(30*0.1790888*100000/1000000)+(30*0.2374*100000/1000000)</f>
        <v>1.2494664</v>
      </c>
      <c r="Y599" s="38">
        <f>(1000*600*CHOOSE(CONTROL!$C$42, 1.0585, 1.0585)*CHOOSE(CONTROL!$C$42, 30, 30))/1000000</f>
        <v>19.053000000000001</v>
      </c>
      <c r="Z599" s="38"/>
      <c r="AA599" s="10"/>
      <c r="AB599" s="39"/>
      <c r="AC599" s="33">
        <f>(B599*122.58+C599*297.941+D599*89.177+E599*40.302+F599*40+G599*160+H599*0+I599*100+J599*300)/(122.58+297.941+89.177+40.302+0+40+160+100+300)</f>
        <v>15.778567983391303</v>
      </c>
      <c r="AD599" s="27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15.623676978417267</v>
      </c>
    </row>
    <row r="600" spans="1:30" ht="15.75" x14ac:dyDescent="0.25">
      <c r="A600" s="13">
        <v>59536</v>
      </c>
      <c r="B600" s="10">
        <f>CHOOSE(CONTROL!$C$42, 16.8648, 16.8648) * CHOOSE(CONTROL!$C$21, $C$9, 100%, $E$9)</f>
        <v>16.864799999999999</v>
      </c>
      <c r="C600" s="10">
        <f>CHOOSE(CONTROL!$C$42, 16.8699, 16.8699) * CHOOSE(CONTROL!$C$21, $C$9, 100%, $E$9)</f>
        <v>16.869900000000001</v>
      </c>
      <c r="D600" s="10">
        <f>CHOOSE(CONTROL!$C$42, 16.8946, 16.8946) * CHOOSE(CONTROL!$C$21, $C$9, 100%, $E$9)</f>
        <v>16.894600000000001</v>
      </c>
      <c r="E600" s="10">
        <f>CHOOSE(CONTROL!$C$42, 16.9284, 16.9284) * CHOOSE(CONTROL!$C$21, $C$9, 100%, $E$9)</f>
        <v>16.9284</v>
      </c>
      <c r="F600" s="10">
        <f>CHOOSE(CONTROL!$C$42, 16.8322, 16.8322)*CHOOSE(CONTROL!$C$21, $C$9, 100%, $E$9)</f>
        <v>16.8322</v>
      </c>
      <c r="G600" s="10">
        <f>CHOOSE(CONTROL!$C$42, 16.8495, 16.8495)*CHOOSE(CONTROL!$C$21, $C$9, 100%, $E$9)</f>
        <v>16.849499999999999</v>
      </c>
      <c r="H600" s="10">
        <f>CHOOSE(CONTROL!$C$42, 16.9172, 16.9172) * CHOOSE(CONTROL!$C$21, $C$9, 100%, $E$9)</f>
        <v>16.917200000000001</v>
      </c>
      <c r="I600" s="10">
        <f>CHOOSE(CONTROL!$C$42, 16.8643, 16.8643)* CHOOSE(CONTROL!$C$21, $C$9, 100%, $E$9)</f>
        <v>16.8643</v>
      </c>
      <c r="J600" s="10">
        <f>CHOOSE(CONTROL!$C$42, 16.8248, 16.8248)* CHOOSE(CONTROL!$C$21, $C$9, 100%, $E$9)</f>
        <v>16.8248</v>
      </c>
      <c r="K600" s="10">
        <f>CHOOSE(CONTROL!$C$42, 16.5009, 16.5009) * CHOOSE(CONTROL!$C$21, $C$9, 100%, $E$9)</f>
        <v>16.500900000000001</v>
      </c>
      <c r="L600" s="10">
        <f>CHOOSE(CONTROL!$C$42, 17.5042, 17.5042) * CHOOSE(CONTROL!$C$21, $C$9, 100%, $E$9)</f>
        <v>17.504200000000001</v>
      </c>
      <c r="M600" s="10">
        <f>CHOOSE(CONTROL!$C$42, 16.64, 16.64) * CHOOSE(CONTROL!$C$21, $C$9, 100%, $E$9)</f>
        <v>16.64</v>
      </c>
      <c r="N600" s="10">
        <f>CHOOSE(CONTROL!$C$42, 16.6571, 16.6571) * CHOOSE(CONTROL!$C$21, $C$9, 100%, $E$9)</f>
        <v>16.6571</v>
      </c>
      <c r="O600" s="10">
        <f>CHOOSE(CONTROL!$C$42, 16.7313, 16.7313) * CHOOSE(CONTROL!$C$21, $C$9, 100%, $E$9)</f>
        <v>16.731300000000001</v>
      </c>
      <c r="P600" s="10">
        <f>CHOOSE(CONTROL!$C$42, 16.679, 16.679) * CHOOSE(CONTROL!$C$21, $C$9, 100%, $E$9)</f>
        <v>16.678999999999998</v>
      </c>
      <c r="Q600" s="10">
        <f>CHOOSE(CONTROL!$C$42, 17.3266, 17.3266) * CHOOSE(CONTROL!$C$21, $C$9, 100%, $E$9)</f>
        <v>17.326599999999999</v>
      </c>
      <c r="R600" s="10">
        <f>CHOOSE(CONTROL!$C$42, 17.9569, 17.9569) * CHOOSE(CONTROL!$C$21, $C$9, 100%, $E$9)</f>
        <v>17.956900000000001</v>
      </c>
      <c r="S600" s="10">
        <f>CHOOSE(CONTROL!$C$42, 16.3468, 16.3468) * CHOOSE(CONTROL!$C$21, $C$9, 100%, $E$9)</f>
        <v>16.346800000000002</v>
      </c>
      <c r="T60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38">
        <f>(1000*CHOOSE(CONTROL!$C$42, 695, 695)*CHOOSE(CONTROL!$C$42, 0.5599, 0.5599)*CHOOSE(CONTROL!$C$42, 31, 31))/1000000</f>
        <v>12.063045499999998</v>
      </c>
      <c r="V600" s="38">
        <f>(1000*CHOOSE(CONTROL!$C$42, 500, 500)*CHOOSE(CONTROL!$C$42, 0.275, 0.275)*CHOOSE(CONTROL!$C$42, 31, 31))/1000000</f>
        <v>4.2625000000000002</v>
      </c>
      <c r="W600" s="38">
        <f>(1000*CHOOSE(CONTROL!$C$42, 0.1146, 0.1146)*CHOOSE(CONTROL!$C$42, 121.5, 121.5)*CHOOSE(CONTROL!$C$42, 31, 31))/1000000</f>
        <v>0.43164089999999994</v>
      </c>
      <c r="X600" s="38">
        <f>(31*0.1790888*100000/1000000)+(31*0.2374*100000/1000000)</f>
        <v>1.2911152800000001</v>
      </c>
      <c r="Y600" s="38">
        <f>(1000*600*CHOOSE(CONTROL!$C$42, 1.0585, 1.0585)*CHOOSE(CONTROL!$C$42, 31, 31))/1000000</f>
        <v>19.688099999999999</v>
      </c>
      <c r="Z600" s="38"/>
      <c r="AA600" s="10"/>
      <c r="AB600" s="39"/>
      <c r="AC600" s="33">
        <f>(B600*122.58+C600*297.941+D600*89.177+E600*40.302+F600*40+G600*160+H600*0+I600*100+J600*300)/(122.58+297.941+89.177+40.302+0+40+160+100+300)</f>
        <v>16.856920157304348</v>
      </c>
      <c r="AD600" s="27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16.687976258992805</v>
      </c>
    </row>
    <row r="601" spans="1:30" ht="15.75" x14ac:dyDescent="0.25">
      <c r="A601" s="13">
        <v>59567</v>
      </c>
      <c r="B601" s="10">
        <f>CHOOSE(CONTROL!$C$42, 18.0041, 18.0041) * CHOOSE(CONTROL!$C$21, $C$9, 100%, $E$9)</f>
        <v>18.004100000000001</v>
      </c>
      <c r="C601" s="10">
        <f>CHOOSE(CONTROL!$C$42, 18.0092, 18.0092) * CHOOSE(CONTROL!$C$21, $C$9, 100%, $E$9)</f>
        <v>18.0092</v>
      </c>
      <c r="D601" s="10">
        <f>CHOOSE(CONTROL!$C$42, 18.0443, 18.0443) * CHOOSE(CONTROL!$C$21, $C$9, 100%, $E$9)</f>
        <v>18.0443</v>
      </c>
      <c r="E601" s="10">
        <f>CHOOSE(CONTROL!$C$42, 18.0781, 18.0781) * CHOOSE(CONTROL!$C$21, $C$9, 100%, $E$9)</f>
        <v>18.078099999999999</v>
      </c>
      <c r="F601" s="10">
        <f>CHOOSE(CONTROL!$C$42, 17.9854, 17.9854)*CHOOSE(CONTROL!$C$21, $C$9, 100%, $E$9)</f>
        <v>17.985399999999998</v>
      </c>
      <c r="G601" s="10">
        <f>CHOOSE(CONTROL!$C$42, 18.0043, 18.0043)*CHOOSE(CONTROL!$C$21, $C$9, 100%, $E$9)</f>
        <v>18.004300000000001</v>
      </c>
      <c r="H601" s="10">
        <f>CHOOSE(CONTROL!$C$42, 18.0669, 18.0669) * CHOOSE(CONTROL!$C$21, $C$9, 100%, $E$9)</f>
        <v>18.0669</v>
      </c>
      <c r="I601" s="10">
        <f>CHOOSE(CONTROL!$C$42, 18.0114, 18.0114)* CHOOSE(CONTROL!$C$21, $C$9, 100%, $E$9)</f>
        <v>18.011399999999998</v>
      </c>
      <c r="J601" s="10">
        <f>CHOOSE(CONTROL!$C$42, 17.978, 17.978)* CHOOSE(CONTROL!$C$21, $C$9, 100%, $E$9)</f>
        <v>17.978000000000002</v>
      </c>
      <c r="K601" s="10">
        <f>CHOOSE(CONTROL!$C$42, 17.6255, 17.6255) * CHOOSE(CONTROL!$C$21, $C$9, 100%, $E$9)</f>
        <v>17.625499999999999</v>
      </c>
      <c r="L601" s="10">
        <f>CHOOSE(CONTROL!$C$42, 18.6539, 18.6539) * CHOOSE(CONTROL!$C$21, $C$9, 100%, $E$9)</f>
        <v>18.6539</v>
      </c>
      <c r="M601" s="10">
        <f>CHOOSE(CONTROL!$C$42, 17.7783, 17.7783) * CHOOSE(CONTROL!$C$21, $C$9, 100%, $E$9)</f>
        <v>17.778300000000002</v>
      </c>
      <c r="N601" s="10">
        <f>CHOOSE(CONTROL!$C$42, 17.797, 17.797) * CHOOSE(CONTROL!$C$21, $C$9, 100%, $E$9)</f>
        <v>17.797000000000001</v>
      </c>
      <c r="O601" s="10">
        <f>CHOOSE(CONTROL!$C$42, 17.8661, 17.8661) * CHOOSE(CONTROL!$C$21, $C$9, 100%, $E$9)</f>
        <v>17.866099999999999</v>
      </c>
      <c r="P601" s="10">
        <f>CHOOSE(CONTROL!$C$42, 17.8113, 17.8113) * CHOOSE(CONTROL!$C$21, $C$9, 100%, $E$9)</f>
        <v>17.811299999999999</v>
      </c>
      <c r="Q601" s="10">
        <f>CHOOSE(CONTROL!$C$42, 18.4614, 18.4614) * CHOOSE(CONTROL!$C$21, $C$9, 100%, $E$9)</f>
        <v>18.461400000000001</v>
      </c>
      <c r="R601" s="10">
        <f>CHOOSE(CONTROL!$C$42, 19.0946, 19.0946) * CHOOSE(CONTROL!$C$21, $C$9, 100%, $E$9)</f>
        <v>19.0946</v>
      </c>
      <c r="S601" s="10">
        <f>CHOOSE(CONTROL!$C$42, 17.4501, 17.4501) * CHOOSE(CONTROL!$C$21, $C$9, 100%, $E$9)</f>
        <v>17.450099999999999</v>
      </c>
      <c r="T60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38">
        <f>(1000*CHOOSE(CONTROL!$C$42, 695, 695)*CHOOSE(CONTROL!$C$42, 0.5599, 0.5599)*CHOOSE(CONTROL!$C$42, 31, 31))/1000000</f>
        <v>12.063045499999998</v>
      </c>
      <c r="V601" s="38">
        <f>(1000*CHOOSE(CONTROL!$C$42, 500, 500)*CHOOSE(CONTROL!$C$42, 0.275, 0.275)*CHOOSE(CONTROL!$C$42, 31, 31))/1000000</f>
        <v>4.2625000000000002</v>
      </c>
      <c r="W601" s="38">
        <f>(1000*CHOOSE(CONTROL!$C$42, 0.1146, 0.1146)*CHOOSE(CONTROL!$C$42, 121.5, 121.5)*CHOOSE(CONTROL!$C$42, 31, 31))/1000000</f>
        <v>0.43164089999999994</v>
      </c>
      <c r="X601" s="38">
        <f>(31*0.1790888*100000/1000000)+(31*0.2374*100000/1000000)</f>
        <v>1.2911152800000001</v>
      </c>
      <c r="Y601" s="38">
        <f>(1000*600*CHOOSE(CONTROL!$C$42, 1.0585, 1.0585)*CHOOSE(CONTROL!$C$42, 31, 31))/1000000</f>
        <v>19.688099999999999</v>
      </c>
      <c r="Z601" s="38"/>
      <c r="AA601" s="10"/>
      <c r="AB601" s="39"/>
      <c r="AC601" s="33">
        <f>(B601*122.58+C601*297.941+D601*89.177+E601*40.302+F601*40+G601*160+H601*0+I601*100+J601*300)/(122.58+297.941+89.177+40.302+0+40+160+100+300)</f>
        <v>18.004335445652174</v>
      </c>
      <c r="AD601" s="27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17.823918705035972</v>
      </c>
    </row>
    <row r="602" spans="1:30" ht="15.75" x14ac:dyDescent="0.25">
      <c r="A602" s="13">
        <v>59595</v>
      </c>
      <c r="B602" s="10">
        <f>CHOOSE(CONTROL!$C$42, 18.3249, 18.3249) * CHOOSE(CONTROL!$C$21, $C$9, 100%, $E$9)</f>
        <v>18.3249</v>
      </c>
      <c r="C602" s="10">
        <f>CHOOSE(CONTROL!$C$42, 18.33, 18.33) * CHOOSE(CONTROL!$C$21, $C$9, 100%, $E$9)</f>
        <v>18.329999999999998</v>
      </c>
      <c r="D602" s="10">
        <f>CHOOSE(CONTROL!$C$42, 18.3651, 18.3651) * CHOOSE(CONTROL!$C$21, $C$9, 100%, $E$9)</f>
        <v>18.365100000000002</v>
      </c>
      <c r="E602" s="10">
        <f>CHOOSE(CONTROL!$C$42, 18.3989, 18.3989) * CHOOSE(CONTROL!$C$21, $C$9, 100%, $E$9)</f>
        <v>18.398900000000001</v>
      </c>
      <c r="F602" s="10">
        <f>CHOOSE(CONTROL!$C$42, 18.3057, 18.3057)*CHOOSE(CONTROL!$C$21, $C$9, 100%, $E$9)</f>
        <v>18.305700000000002</v>
      </c>
      <c r="G602" s="10">
        <f>CHOOSE(CONTROL!$C$42, 18.3244, 18.3244)*CHOOSE(CONTROL!$C$21, $C$9, 100%, $E$9)</f>
        <v>18.324400000000001</v>
      </c>
      <c r="H602" s="10">
        <f>CHOOSE(CONTROL!$C$42, 18.3877, 18.3877) * CHOOSE(CONTROL!$C$21, $C$9, 100%, $E$9)</f>
        <v>18.387699999999999</v>
      </c>
      <c r="I602" s="10">
        <f>CHOOSE(CONTROL!$C$42, 18.3322, 18.3322)* CHOOSE(CONTROL!$C$21, $C$9, 100%, $E$9)</f>
        <v>18.3322</v>
      </c>
      <c r="J602" s="10">
        <f>CHOOSE(CONTROL!$C$42, 18.2983, 18.2983)* CHOOSE(CONTROL!$C$21, $C$9, 100%, $E$9)</f>
        <v>18.298300000000001</v>
      </c>
      <c r="K602" s="10">
        <f>CHOOSE(CONTROL!$C$42, 17.9351, 17.9351) * CHOOSE(CONTROL!$C$21, $C$9, 100%, $E$9)</f>
        <v>17.935099999999998</v>
      </c>
      <c r="L602" s="10">
        <f>CHOOSE(CONTROL!$C$42, 18.9747, 18.9747) * CHOOSE(CONTROL!$C$21, $C$9, 100%, $E$9)</f>
        <v>18.974699999999999</v>
      </c>
      <c r="M602" s="10">
        <f>CHOOSE(CONTROL!$C$42, 18.0945, 18.0945) * CHOOSE(CONTROL!$C$21, $C$9, 100%, $E$9)</f>
        <v>18.0945</v>
      </c>
      <c r="N602" s="10">
        <f>CHOOSE(CONTROL!$C$42, 18.113, 18.113) * CHOOSE(CONTROL!$C$21, $C$9, 100%, $E$9)</f>
        <v>18.113</v>
      </c>
      <c r="O602" s="10">
        <f>CHOOSE(CONTROL!$C$42, 18.1827, 18.1827) * CHOOSE(CONTROL!$C$21, $C$9, 100%, $E$9)</f>
        <v>18.182700000000001</v>
      </c>
      <c r="P602" s="10">
        <f>CHOOSE(CONTROL!$C$42, 18.128, 18.128) * CHOOSE(CONTROL!$C$21, $C$9, 100%, $E$9)</f>
        <v>18.128</v>
      </c>
      <c r="Q602" s="10">
        <f>CHOOSE(CONTROL!$C$42, 18.778, 18.778) * CHOOSE(CONTROL!$C$21, $C$9, 100%, $E$9)</f>
        <v>18.777999999999999</v>
      </c>
      <c r="R602" s="10">
        <f>CHOOSE(CONTROL!$C$42, 19.412, 19.412) * CHOOSE(CONTROL!$C$21, $C$9, 100%, $E$9)</f>
        <v>19.411999999999999</v>
      </c>
      <c r="S602" s="10">
        <f>CHOOSE(CONTROL!$C$42, 17.7607, 17.7607) * CHOOSE(CONTROL!$C$21, $C$9, 100%, $E$9)</f>
        <v>17.7607</v>
      </c>
      <c r="T60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38">
        <f>(1000*CHOOSE(CONTROL!$C$42, 695, 695)*CHOOSE(CONTROL!$C$42, 0.5599, 0.5599)*CHOOSE(CONTROL!$C$42, 28, 28))/1000000</f>
        <v>10.895653999999999</v>
      </c>
      <c r="V602" s="38">
        <f>(1000*CHOOSE(CONTROL!$C$42, 500, 500)*CHOOSE(CONTROL!$C$42, 0.275, 0.275)*CHOOSE(CONTROL!$C$42, 28, 28))/1000000</f>
        <v>3.85</v>
      </c>
      <c r="W602" s="38">
        <f>(1000*CHOOSE(CONTROL!$C$42, 0.1146, 0.1146)*CHOOSE(CONTROL!$C$42, 121.5, 121.5)*CHOOSE(CONTROL!$C$42, 28, 28))/1000000</f>
        <v>0.38986920000000003</v>
      </c>
      <c r="X602" s="38">
        <f>(28*0.1790888*100000/1000000)+(28*0.2374*100000/1000000)</f>
        <v>1.16616864</v>
      </c>
      <c r="Y602" s="38">
        <f>(1000*600*CHOOSE(CONTROL!$C$42, 1.0585, 1.0585)*CHOOSE(CONTROL!$C$42, 28, 28))/1000000</f>
        <v>17.782800000000002</v>
      </c>
      <c r="Z602" s="38"/>
      <c r="AA602" s="10"/>
      <c r="AB602" s="39"/>
      <c r="AC602" s="33">
        <f>(B602*122.58+C602*297.941+D602*89.177+E602*40.302+F602*40+G602*160+H602*0+I602*100+J602*300)/(122.58+297.941+89.177+40.302+0+40+160+100+300)</f>
        <v>18.32489022826087</v>
      </c>
      <c r="AD602" s="27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18.140360431654678</v>
      </c>
    </row>
    <row r="603" spans="1:30" ht="15.75" x14ac:dyDescent="0.25">
      <c r="A603" s="13">
        <v>59626</v>
      </c>
      <c r="B603" s="10">
        <f>CHOOSE(CONTROL!$C$42, 17.8042, 17.8042) * CHOOSE(CONTROL!$C$21, $C$9, 100%, $E$9)</f>
        <v>17.804200000000002</v>
      </c>
      <c r="C603" s="10">
        <f>CHOOSE(CONTROL!$C$42, 17.8093, 17.8093) * CHOOSE(CONTROL!$C$21, $C$9, 100%, $E$9)</f>
        <v>17.8093</v>
      </c>
      <c r="D603" s="10">
        <f>CHOOSE(CONTROL!$C$42, 17.8443, 17.8443) * CHOOSE(CONTROL!$C$21, $C$9, 100%, $E$9)</f>
        <v>17.8443</v>
      </c>
      <c r="E603" s="10">
        <f>CHOOSE(CONTROL!$C$42, 17.8781, 17.8781) * CHOOSE(CONTROL!$C$21, $C$9, 100%, $E$9)</f>
        <v>17.8781</v>
      </c>
      <c r="F603" s="10">
        <f>CHOOSE(CONTROL!$C$42, 17.7836, 17.7836)*CHOOSE(CONTROL!$C$21, $C$9, 100%, $E$9)</f>
        <v>17.7836</v>
      </c>
      <c r="G603" s="10">
        <f>CHOOSE(CONTROL!$C$42, 17.802, 17.802)*CHOOSE(CONTROL!$C$21, $C$9, 100%, $E$9)</f>
        <v>17.802</v>
      </c>
      <c r="H603" s="10">
        <f>CHOOSE(CONTROL!$C$42, 17.867, 17.867) * CHOOSE(CONTROL!$C$21, $C$9, 100%, $E$9)</f>
        <v>17.867000000000001</v>
      </c>
      <c r="I603" s="10">
        <f>CHOOSE(CONTROL!$C$42, 17.8115, 17.8115)* CHOOSE(CONTROL!$C$21, $C$9, 100%, $E$9)</f>
        <v>17.811499999999999</v>
      </c>
      <c r="J603" s="10">
        <f>CHOOSE(CONTROL!$C$42, 17.7762, 17.7762)* CHOOSE(CONTROL!$C$21, $C$9, 100%, $E$9)</f>
        <v>17.776199999999999</v>
      </c>
      <c r="K603" s="10">
        <f>CHOOSE(CONTROL!$C$42, 17.4277, 17.4277) * CHOOSE(CONTROL!$C$21, $C$9, 100%, $E$9)</f>
        <v>17.427700000000002</v>
      </c>
      <c r="L603" s="10">
        <f>CHOOSE(CONTROL!$C$42, 18.454, 18.454) * CHOOSE(CONTROL!$C$21, $C$9, 100%, $E$9)</f>
        <v>18.454000000000001</v>
      </c>
      <c r="M603" s="10">
        <f>CHOOSE(CONTROL!$C$42, 17.5791, 17.5791) * CHOOSE(CONTROL!$C$21, $C$9, 100%, $E$9)</f>
        <v>17.5791</v>
      </c>
      <c r="N603" s="10">
        <f>CHOOSE(CONTROL!$C$42, 17.5973, 17.5973) * CHOOSE(CONTROL!$C$21, $C$9, 100%, $E$9)</f>
        <v>17.597300000000001</v>
      </c>
      <c r="O603" s="10">
        <f>CHOOSE(CONTROL!$C$42, 17.6688, 17.6688) * CHOOSE(CONTROL!$C$21, $C$9, 100%, $E$9)</f>
        <v>17.668800000000001</v>
      </c>
      <c r="P603" s="10">
        <f>CHOOSE(CONTROL!$C$42, 17.614, 17.614) * CHOOSE(CONTROL!$C$21, $C$9, 100%, $E$9)</f>
        <v>17.614000000000001</v>
      </c>
      <c r="Q603" s="10">
        <f>CHOOSE(CONTROL!$C$42, 18.2641, 18.2641) * CHOOSE(CONTROL!$C$21, $C$9, 100%, $E$9)</f>
        <v>18.264099999999999</v>
      </c>
      <c r="R603" s="10">
        <f>CHOOSE(CONTROL!$C$42, 18.8967, 18.8967) * CHOOSE(CONTROL!$C$21, $C$9, 100%, $E$9)</f>
        <v>18.896699999999999</v>
      </c>
      <c r="S603" s="10">
        <f>CHOOSE(CONTROL!$C$42, 17.2565, 17.2565) * CHOOSE(CONTROL!$C$21, $C$9, 100%, $E$9)</f>
        <v>17.256499999999999</v>
      </c>
      <c r="T60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38">
        <f>(1000*CHOOSE(CONTROL!$C$42, 695, 695)*CHOOSE(CONTROL!$C$42, 0.5599, 0.5599)*CHOOSE(CONTROL!$C$42, 31, 31))/1000000</f>
        <v>12.063045499999998</v>
      </c>
      <c r="V603" s="38">
        <f>(1000*CHOOSE(CONTROL!$C$42, 500, 500)*CHOOSE(CONTROL!$C$42, 0.275, 0.275)*CHOOSE(CONTROL!$C$42, 31, 31))/1000000</f>
        <v>4.2625000000000002</v>
      </c>
      <c r="W603" s="38">
        <f>(1000*CHOOSE(CONTROL!$C$42, 0.1146, 0.1146)*CHOOSE(CONTROL!$C$42, 121.5, 121.5)*CHOOSE(CONTROL!$C$42, 31, 31))/1000000</f>
        <v>0.43164089999999994</v>
      </c>
      <c r="X603" s="38">
        <f>(31*0.1790888*100000/1000000)+(31*0.2374*100000/1000000)</f>
        <v>1.2911152800000001</v>
      </c>
      <c r="Y603" s="38">
        <f>(1000*600*CHOOSE(CONTROL!$C$42, 1.0585, 1.0585)*CHOOSE(CONTROL!$C$42, 31, 31))/1000000</f>
        <v>19.688099999999999</v>
      </c>
      <c r="Z603" s="38"/>
      <c r="AA603" s="10"/>
      <c r="AB603" s="39"/>
      <c r="AC603" s="33">
        <f>(B603*122.58+C603*297.941+D603*89.177+E603*40.302+F603*40+G603*160+H603*0+I603*100+J603*300)/(122.58+297.941+89.177+40.302+0+40+160+100+300)</f>
        <v>17.803528534434779</v>
      </c>
      <c r="AD603" s="27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17.625824460431655</v>
      </c>
    </row>
    <row r="604" spans="1:30" ht="15.75" x14ac:dyDescent="0.25">
      <c r="A604" s="13">
        <v>59656</v>
      </c>
      <c r="B604" s="10">
        <f>CHOOSE(CONTROL!$C$42, 17.7516, 17.7516) * CHOOSE(CONTROL!$C$21, $C$9, 100%, $E$9)</f>
        <v>17.7516</v>
      </c>
      <c r="C604" s="10">
        <f>CHOOSE(CONTROL!$C$42, 17.7562, 17.7562) * CHOOSE(CONTROL!$C$21, $C$9, 100%, $E$9)</f>
        <v>17.7562</v>
      </c>
      <c r="D604" s="10">
        <f>CHOOSE(CONTROL!$C$42, 17.9344, 17.9344) * CHOOSE(CONTROL!$C$21, $C$9, 100%, $E$9)</f>
        <v>17.9344</v>
      </c>
      <c r="E604" s="10">
        <f>CHOOSE(CONTROL!$C$42, 17.9662, 17.9662) * CHOOSE(CONTROL!$C$21, $C$9, 100%, $E$9)</f>
        <v>17.966200000000001</v>
      </c>
      <c r="F604" s="10">
        <f>CHOOSE(CONTROL!$C$42, 17.6951, 17.6951)*CHOOSE(CONTROL!$C$21, $C$9, 100%, $E$9)</f>
        <v>17.6951</v>
      </c>
      <c r="G604" s="10">
        <f>CHOOSE(CONTROL!$C$42, 17.7117, 17.7117)*CHOOSE(CONTROL!$C$21, $C$9, 100%, $E$9)</f>
        <v>17.7117</v>
      </c>
      <c r="H604" s="10">
        <f>CHOOSE(CONTROL!$C$42, 17.9557, 17.9557) * CHOOSE(CONTROL!$C$21, $C$9, 100%, $E$9)</f>
        <v>17.9557</v>
      </c>
      <c r="I604" s="10">
        <f>CHOOSE(CONTROL!$C$42, 17.7276, 17.7276)* CHOOSE(CONTROL!$C$21, $C$9, 100%, $E$9)</f>
        <v>17.727599999999999</v>
      </c>
      <c r="J604" s="10">
        <f>CHOOSE(CONTROL!$C$42, 17.6877, 17.6877)* CHOOSE(CONTROL!$C$21, $C$9, 100%, $E$9)</f>
        <v>17.6877</v>
      </c>
      <c r="K604" s="10">
        <f>CHOOSE(CONTROL!$C$42, 17.3317, 17.3317) * CHOOSE(CONTROL!$C$21, $C$9, 100%, $E$9)</f>
        <v>17.331700000000001</v>
      </c>
      <c r="L604" s="10">
        <f>CHOOSE(CONTROL!$C$42, 18.5427, 18.5427) * CHOOSE(CONTROL!$C$21, $C$9, 100%, $E$9)</f>
        <v>18.5427</v>
      </c>
      <c r="M604" s="10">
        <f>CHOOSE(CONTROL!$C$42, 17.4917, 17.4917) * CHOOSE(CONTROL!$C$21, $C$9, 100%, $E$9)</f>
        <v>17.491700000000002</v>
      </c>
      <c r="N604" s="10">
        <f>CHOOSE(CONTROL!$C$42, 17.5081, 17.5081) * CHOOSE(CONTROL!$C$21, $C$9, 100%, $E$9)</f>
        <v>17.508099999999999</v>
      </c>
      <c r="O604" s="10">
        <f>CHOOSE(CONTROL!$C$42, 17.7563, 17.7563) * CHOOSE(CONTROL!$C$21, $C$9, 100%, $E$9)</f>
        <v>17.7563</v>
      </c>
      <c r="P604" s="10">
        <f>CHOOSE(CONTROL!$C$42, 17.5312, 17.5312) * CHOOSE(CONTROL!$C$21, $C$9, 100%, $E$9)</f>
        <v>17.531199999999998</v>
      </c>
      <c r="Q604" s="10">
        <f>CHOOSE(CONTROL!$C$42, 18.3516, 18.3516) * CHOOSE(CONTROL!$C$21, $C$9, 100%, $E$9)</f>
        <v>18.351600000000001</v>
      </c>
      <c r="R604" s="10">
        <f>CHOOSE(CONTROL!$C$42, 18.9844, 18.9844) * CHOOSE(CONTROL!$C$21, $C$9, 100%, $E$9)</f>
        <v>18.984400000000001</v>
      </c>
      <c r="S604" s="10">
        <f>CHOOSE(CONTROL!$C$42, 17.2048, 17.2048) * CHOOSE(CONTROL!$C$21, $C$9, 100%, $E$9)</f>
        <v>17.204799999999999</v>
      </c>
      <c r="T60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38">
        <f>(1000*CHOOSE(CONTROL!$C$42, 695, 695)*CHOOSE(CONTROL!$C$42, 0.5599, 0.5599)*CHOOSE(CONTROL!$C$42, 30, 30))/1000000</f>
        <v>11.673914999999997</v>
      </c>
      <c r="V604" s="38">
        <f>(1000*CHOOSE(CONTROL!$C$42, 500, 500)*CHOOSE(CONTROL!$C$42, 0.275, 0.275)*CHOOSE(CONTROL!$C$42, 30, 30))/1000000</f>
        <v>4.125</v>
      </c>
      <c r="W604" s="38">
        <f>(1000*CHOOSE(CONTROL!$C$42, 0.1146, 0.1146)*CHOOSE(CONTROL!$C$42, 121.5, 121.5)*CHOOSE(CONTROL!$C$42, 30, 30))/1000000</f>
        <v>0.417717</v>
      </c>
      <c r="X604" s="38">
        <f>(30*0.1790888*245000/1000000)+(30*0.2374*100000/1000000)</f>
        <v>2.0285026799999999</v>
      </c>
      <c r="Y604" s="38">
        <f>(1000*600*CHOOSE(CONTROL!$C$42, 1.0585, 1.0585)*CHOOSE(CONTROL!$C$42, 30, 30))/1000000</f>
        <v>19.053000000000001</v>
      </c>
      <c r="Z604" s="38"/>
      <c r="AA604" s="10"/>
      <c r="AB604" s="39"/>
      <c r="AC604" s="33">
        <f>(B604*141.293+C604*267.993+D604*115.016+E604*89.698+F604*40+G604*185+H604*0+I604*100+J604*300)/(141.293+267.993+115.016+89.698+0+40+185+100+300)</f>
        <v>17.759909429701374</v>
      </c>
      <c r="AD604" s="27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17.618253956834533</v>
      </c>
    </row>
    <row r="605" spans="1:30" ht="15.75" x14ac:dyDescent="0.25">
      <c r="A605" s="13">
        <v>59687</v>
      </c>
      <c r="B605" s="10">
        <f>CHOOSE(CONTROL!$C$42, 17.9102, 17.9102) * CHOOSE(CONTROL!$C$21, $C$9, 100%, $E$9)</f>
        <v>17.9102</v>
      </c>
      <c r="C605" s="10">
        <f>CHOOSE(CONTROL!$C$42, 17.9182, 17.9182) * CHOOSE(CONTROL!$C$21, $C$9, 100%, $E$9)</f>
        <v>17.918199999999999</v>
      </c>
      <c r="D605" s="10">
        <f>CHOOSE(CONTROL!$C$42, 18.0933, 18.0933) * CHOOSE(CONTROL!$C$21, $C$9, 100%, $E$9)</f>
        <v>18.093299999999999</v>
      </c>
      <c r="E605" s="10">
        <f>CHOOSE(CONTROL!$C$42, 18.1245, 18.1245) * CHOOSE(CONTROL!$C$21, $C$9, 100%, $E$9)</f>
        <v>18.124500000000001</v>
      </c>
      <c r="F605" s="10">
        <f>CHOOSE(CONTROL!$C$42, 17.8519, 17.8519)*CHOOSE(CONTROL!$C$21, $C$9, 100%, $E$9)</f>
        <v>17.851900000000001</v>
      </c>
      <c r="G605" s="10">
        <f>CHOOSE(CONTROL!$C$42, 17.8688, 17.8688)*CHOOSE(CONTROL!$C$21, $C$9, 100%, $E$9)</f>
        <v>17.8688</v>
      </c>
      <c r="H605" s="10">
        <f>CHOOSE(CONTROL!$C$42, 18.1129, 18.1129) * CHOOSE(CONTROL!$C$21, $C$9, 100%, $E$9)</f>
        <v>18.1129</v>
      </c>
      <c r="I605" s="10">
        <f>CHOOSE(CONTROL!$C$42, 17.8848, 17.8848)* CHOOSE(CONTROL!$C$21, $C$9, 100%, $E$9)</f>
        <v>17.884799999999998</v>
      </c>
      <c r="J605" s="10">
        <f>CHOOSE(CONTROL!$C$42, 17.8445, 17.8445)* CHOOSE(CONTROL!$C$21, $C$9, 100%, $E$9)</f>
        <v>17.8445</v>
      </c>
      <c r="K605" s="10">
        <f>CHOOSE(CONTROL!$C$42, 17.4832, 17.4832) * CHOOSE(CONTROL!$C$21, $C$9, 100%, $E$9)</f>
        <v>17.4832</v>
      </c>
      <c r="L605" s="10">
        <f>CHOOSE(CONTROL!$C$42, 18.6999, 18.6999) * CHOOSE(CONTROL!$C$21, $C$9, 100%, $E$9)</f>
        <v>18.6999</v>
      </c>
      <c r="M605" s="10">
        <f>CHOOSE(CONTROL!$C$42, 17.6465, 17.6465) * CHOOSE(CONTROL!$C$21, $C$9, 100%, $E$9)</f>
        <v>17.6465</v>
      </c>
      <c r="N605" s="10">
        <f>CHOOSE(CONTROL!$C$42, 17.6632, 17.6632) * CHOOSE(CONTROL!$C$21, $C$9, 100%, $E$9)</f>
        <v>17.6632</v>
      </c>
      <c r="O605" s="10">
        <f>CHOOSE(CONTROL!$C$42, 17.9114, 17.9114) * CHOOSE(CONTROL!$C$21, $C$9, 100%, $E$9)</f>
        <v>17.9114</v>
      </c>
      <c r="P605" s="10">
        <f>CHOOSE(CONTROL!$C$42, 17.6864, 17.6864) * CHOOSE(CONTROL!$C$21, $C$9, 100%, $E$9)</f>
        <v>17.686399999999999</v>
      </c>
      <c r="Q605" s="10">
        <f>CHOOSE(CONTROL!$C$42, 18.5067, 18.5067) * CHOOSE(CONTROL!$C$21, $C$9, 100%, $E$9)</f>
        <v>18.506699999999999</v>
      </c>
      <c r="R605" s="10">
        <f>CHOOSE(CONTROL!$C$42, 19.14, 19.14) * CHOOSE(CONTROL!$C$21, $C$9, 100%, $E$9)</f>
        <v>19.14</v>
      </c>
      <c r="S605" s="10">
        <f>CHOOSE(CONTROL!$C$42, 17.357, 17.357) * CHOOSE(CONTROL!$C$21, $C$9, 100%, $E$9)</f>
        <v>17.356999999999999</v>
      </c>
      <c r="T60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38">
        <f>(1000*CHOOSE(CONTROL!$C$42, 695, 695)*CHOOSE(CONTROL!$C$42, 0.5599, 0.5599)*CHOOSE(CONTROL!$C$42, 31, 31))/1000000</f>
        <v>12.063045499999998</v>
      </c>
      <c r="V605" s="38">
        <f>(1000*CHOOSE(CONTROL!$C$42, 500, 500)*CHOOSE(CONTROL!$C$42, 0.275, 0.275)*CHOOSE(CONTROL!$C$42, 31, 31))/1000000</f>
        <v>4.2625000000000002</v>
      </c>
      <c r="W605" s="38">
        <f>(1000*CHOOSE(CONTROL!$C$42, 0.1146, 0.1146)*CHOOSE(CONTROL!$C$42, 121.5, 121.5)*CHOOSE(CONTROL!$C$42, 31, 31))/1000000</f>
        <v>0.43164089999999994</v>
      </c>
      <c r="X605" s="38">
        <f>(31*0.1790888*245000/1000000)+(31*0.2374*100000/1000000)</f>
        <v>2.0961194359999999</v>
      </c>
      <c r="Y605" s="38">
        <f>(1000*600*CHOOSE(CONTROL!$C$42, 1.0585, 1.0585)*CHOOSE(CONTROL!$C$42, 31, 31))/1000000</f>
        <v>19.688099999999999</v>
      </c>
      <c r="Z605" s="38"/>
      <c r="AA605" s="10"/>
      <c r="AB605" s="39"/>
      <c r="AC605" s="33">
        <f>(B605*194.205+C605*267.466+D605*133.845+E605*53.484+F605*40+G605*185+H605*0+I605*100+J605*300)/(194.205+267.466+133.845+53.484+0+40+185+100+300)</f>
        <v>17.914805469937207</v>
      </c>
      <c r="AD605" s="27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17.773264748201438</v>
      </c>
    </row>
    <row r="606" spans="1:30" ht="15.75" x14ac:dyDescent="0.25">
      <c r="A606" s="13">
        <v>59717</v>
      </c>
      <c r="B606" s="10">
        <f>CHOOSE(CONTROL!$C$42, 18.4186, 18.4186) * CHOOSE(CONTROL!$C$21, $C$9, 100%, $E$9)</f>
        <v>18.418600000000001</v>
      </c>
      <c r="C606" s="10">
        <f>CHOOSE(CONTROL!$C$42, 18.4266, 18.4266) * CHOOSE(CONTROL!$C$21, $C$9, 100%, $E$9)</f>
        <v>18.426600000000001</v>
      </c>
      <c r="D606" s="10">
        <f>CHOOSE(CONTROL!$C$42, 18.6018, 18.6018) * CHOOSE(CONTROL!$C$21, $C$9, 100%, $E$9)</f>
        <v>18.601800000000001</v>
      </c>
      <c r="E606" s="10">
        <f>CHOOSE(CONTROL!$C$42, 18.633, 18.633) * CHOOSE(CONTROL!$C$21, $C$9, 100%, $E$9)</f>
        <v>18.632999999999999</v>
      </c>
      <c r="F606" s="10">
        <f>CHOOSE(CONTROL!$C$42, 18.3605, 18.3605)*CHOOSE(CONTROL!$C$21, $C$9, 100%, $E$9)</f>
        <v>18.360499999999998</v>
      </c>
      <c r="G606" s="10">
        <f>CHOOSE(CONTROL!$C$42, 18.3775, 18.3775)*CHOOSE(CONTROL!$C$21, $C$9, 100%, $E$9)</f>
        <v>18.377500000000001</v>
      </c>
      <c r="H606" s="10">
        <f>CHOOSE(CONTROL!$C$42, 18.6213, 18.6213) * CHOOSE(CONTROL!$C$21, $C$9, 100%, $E$9)</f>
        <v>18.621300000000002</v>
      </c>
      <c r="I606" s="10">
        <f>CHOOSE(CONTROL!$C$42, 18.3933, 18.3933)* CHOOSE(CONTROL!$C$21, $C$9, 100%, $E$9)</f>
        <v>18.3933</v>
      </c>
      <c r="J606" s="10">
        <f>CHOOSE(CONTROL!$C$42, 18.3531, 18.3531)* CHOOSE(CONTROL!$C$21, $C$9, 100%, $E$9)</f>
        <v>18.353100000000001</v>
      </c>
      <c r="K606" s="10">
        <f>CHOOSE(CONTROL!$C$42, 17.9761, 17.9761) * CHOOSE(CONTROL!$C$21, $C$9, 100%, $E$9)</f>
        <v>17.976099999999999</v>
      </c>
      <c r="L606" s="10">
        <f>CHOOSE(CONTROL!$C$42, 19.2083, 19.2083) * CHOOSE(CONTROL!$C$21, $C$9, 100%, $E$9)</f>
        <v>19.208300000000001</v>
      </c>
      <c r="M606" s="10">
        <f>CHOOSE(CONTROL!$C$42, 18.1486, 18.1486) * CHOOSE(CONTROL!$C$21, $C$9, 100%, $E$9)</f>
        <v>18.148599999999998</v>
      </c>
      <c r="N606" s="10">
        <f>CHOOSE(CONTROL!$C$42, 18.1653, 18.1653) * CHOOSE(CONTROL!$C$21, $C$9, 100%, $E$9)</f>
        <v>18.165299999999998</v>
      </c>
      <c r="O606" s="10">
        <f>CHOOSE(CONTROL!$C$42, 18.4133, 18.4133) * CHOOSE(CONTROL!$C$21, $C$9, 100%, $E$9)</f>
        <v>18.4133</v>
      </c>
      <c r="P606" s="10">
        <f>CHOOSE(CONTROL!$C$42, 18.1883, 18.1883) * CHOOSE(CONTROL!$C$21, $C$9, 100%, $E$9)</f>
        <v>18.188300000000002</v>
      </c>
      <c r="Q606" s="10">
        <f>CHOOSE(CONTROL!$C$42, 19.0086, 19.0086) * CHOOSE(CONTROL!$C$21, $C$9, 100%, $E$9)</f>
        <v>19.008600000000001</v>
      </c>
      <c r="R606" s="10">
        <f>CHOOSE(CONTROL!$C$42, 19.6431, 19.6431) * CHOOSE(CONTROL!$C$21, $C$9, 100%, $E$9)</f>
        <v>19.6431</v>
      </c>
      <c r="S606" s="10">
        <f>CHOOSE(CONTROL!$C$42, 17.8494, 17.8494) * CHOOSE(CONTROL!$C$21, $C$9, 100%, $E$9)</f>
        <v>17.849399999999999</v>
      </c>
      <c r="T60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38">
        <f>(1000*CHOOSE(CONTROL!$C$42, 695, 695)*CHOOSE(CONTROL!$C$42, 0.5599, 0.5599)*CHOOSE(CONTROL!$C$42, 30, 30))/1000000</f>
        <v>11.673914999999997</v>
      </c>
      <c r="V606" s="38">
        <f>(1000*CHOOSE(CONTROL!$C$42, 500, 500)*CHOOSE(CONTROL!$C$42, 0.275, 0.275)*CHOOSE(CONTROL!$C$42, 30, 30))/1000000</f>
        <v>4.125</v>
      </c>
      <c r="W606" s="38">
        <f>(1000*CHOOSE(CONTROL!$C$42, 0.1146, 0.1146)*CHOOSE(CONTROL!$C$42, 121.5, 121.5)*CHOOSE(CONTROL!$C$42, 30, 30))/1000000</f>
        <v>0.417717</v>
      </c>
      <c r="X606" s="38">
        <f>(30*0.1790888*245000/1000000)+(30*0.2374*100000/1000000)</f>
        <v>2.0285026799999999</v>
      </c>
      <c r="Y606" s="38">
        <f>(1000*600*CHOOSE(CONTROL!$C$42, 1.0585, 1.0585)*CHOOSE(CONTROL!$C$42, 30, 30))/1000000</f>
        <v>19.053000000000001</v>
      </c>
      <c r="Z606" s="38"/>
      <c r="AA606" s="10"/>
      <c r="AB606" s="39"/>
      <c r="AC606" s="33">
        <f>(B606*194.205+C606*267.466+D606*133.845+E606*53.484+F606*40+G606*185+H606*0+I606*100+J606*300)/(194.205+267.466+133.845+53.484+0+40+185+100+300)</f>
        <v>18.423324962009421</v>
      </c>
      <c r="AD606" s="27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18.275245323741004</v>
      </c>
    </row>
    <row r="607" spans="1:30" ht="15.75" x14ac:dyDescent="0.25">
      <c r="A607" s="13">
        <v>59748</v>
      </c>
      <c r="B607" s="10">
        <f>CHOOSE(CONTROL!$C$42, 18.065, 18.065) * CHOOSE(CONTROL!$C$21, $C$9, 100%, $E$9)</f>
        <v>18.065000000000001</v>
      </c>
      <c r="C607" s="10">
        <f>CHOOSE(CONTROL!$C$42, 18.073, 18.073) * CHOOSE(CONTROL!$C$21, $C$9, 100%, $E$9)</f>
        <v>18.073</v>
      </c>
      <c r="D607" s="10">
        <f>CHOOSE(CONTROL!$C$42, 18.2481, 18.2481) * CHOOSE(CONTROL!$C$21, $C$9, 100%, $E$9)</f>
        <v>18.248100000000001</v>
      </c>
      <c r="E607" s="10">
        <f>CHOOSE(CONTROL!$C$42, 18.2794, 18.2794) * CHOOSE(CONTROL!$C$21, $C$9, 100%, $E$9)</f>
        <v>18.279399999999999</v>
      </c>
      <c r="F607" s="10">
        <f>CHOOSE(CONTROL!$C$42, 18.0072, 18.0072)*CHOOSE(CONTROL!$C$21, $C$9, 100%, $E$9)</f>
        <v>18.007200000000001</v>
      </c>
      <c r="G607" s="10">
        <f>CHOOSE(CONTROL!$C$42, 18.0243, 18.0243)*CHOOSE(CONTROL!$C$21, $C$9, 100%, $E$9)</f>
        <v>18.0243</v>
      </c>
      <c r="H607" s="10">
        <f>CHOOSE(CONTROL!$C$42, 18.2677, 18.2677) * CHOOSE(CONTROL!$C$21, $C$9, 100%, $E$9)</f>
        <v>18.267700000000001</v>
      </c>
      <c r="I607" s="10">
        <f>CHOOSE(CONTROL!$C$42, 18.0397, 18.0397)* CHOOSE(CONTROL!$C$21, $C$9, 100%, $E$9)</f>
        <v>18.0397</v>
      </c>
      <c r="J607" s="10">
        <f>CHOOSE(CONTROL!$C$42, 17.9998, 17.9998)* CHOOSE(CONTROL!$C$21, $C$9, 100%, $E$9)</f>
        <v>17.9998</v>
      </c>
      <c r="K607" s="10">
        <f>CHOOSE(CONTROL!$C$42, 17.6343, 17.6343) * CHOOSE(CONTROL!$C$21, $C$9, 100%, $E$9)</f>
        <v>17.6343</v>
      </c>
      <c r="L607" s="10">
        <f>CHOOSE(CONTROL!$C$42, 18.8547, 18.8547) * CHOOSE(CONTROL!$C$21, $C$9, 100%, $E$9)</f>
        <v>18.854700000000001</v>
      </c>
      <c r="M607" s="10">
        <f>CHOOSE(CONTROL!$C$42, 17.7999, 17.7999) * CHOOSE(CONTROL!$C$21, $C$9, 100%, $E$9)</f>
        <v>17.799900000000001</v>
      </c>
      <c r="N607" s="10">
        <f>CHOOSE(CONTROL!$C$42, 17.8167, 17.8167) * CHOOSE(CONTROL!$C$21, $C$9, 100%, $E$9)</f>
        <v>17.816700000000001</v>
      </c>
      <c r="O607" s="10">
        <f>CHOOSE(CONTROL!$C$42, 18.0642, 18.0642) * CHOOSE(CONTROL!$C$21, $C$9, 100%, $E$9)</f>
        <v>18.0642</v>
      </c>
      <c r="P607" s="10">
        <f>CHOOSE(CONTROL!$C$42, 17.8392, 17.8392) * CHOOSE(CONTROL!$C$21, $C$9, 100%, $E$9)</f>
        <v>17.839200000000002</v>
      </c>
      <c r="Q607" s="10">
        <f>CHOOSE(CONTROL!$C$42, 18.6595, 18.6595) * CHOOSE(CONTROL!$C$21, $C$9, 100%, $E$9)</f>
        <v>18.659500000000001</v>
      </c>
      <c r="R607" s="10">
        <f>CHOOSE(CONTROL!$C$42, 19.2932, 19.2932) * CHOOSE(CONTROL!$C$21, $C$9, 100%, $E$9)</f>
        <v>19.293199999999999</v>
      </c>
      <c r="S607" s="10">
        <f>CHOOSE(CONTROL!$C$42, 17.507, 17.507) * CHOOSE(CONTROL!$C$21, $C$9, 100%, $E$9)</f>
        <v>17.507000000000001</v>
      </c>
      <c r="T60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38">
        <f>(1000*CHOOSE(CONTROL!$C$42, 695, 695)*CHOOSE(CONTROL!$C$42, 0.5599, 0.5599)*CHOOSE(CONTROL!$C$42, 31, 31))/1000000</f>
        <v>12.063045499999998</v>
      </c>
      <c r="V607" s="38">
        <f>(1000*CHOOSE(CONTROL!$C$42, 500, 500)*CHOOSE(CONTROL!$C$42, 0.275, 0.275)*CHOOSE(CONTROL!$C$42, 31, 31))/1000000</f>
        <v>4.2625000000000002</v>
      </c>
      <c r="W607" s="38">
        <f>(1000*CHOOSE(CONTROL!$C$42, 0.1146, 0.1146)*CHOOSE(CONTROL!$C$42, 121.5, 121.5)*CHOOSE(CONTROL!$C$42, 31, 31))/1000000</f>
        <v>0.43164089999999994</v>
      </c>
      <c r="X607" s="38">
        <f>(31*0.1790888*245000/1000000)+(31*0.2374*100000/1000000)</f>
        <v>2.0961194359999999</v>
      </c>
      <c r="Y607" s="38">
        <f>(1000*600*CHOOSE(CONTROL!$C$42, 1.0585, 1.0585)*CHOOSE(CONTROL!$C$42, 31, 31))/1000000</f>
        <v>19.688099999999999</v>
      </c>
      <c r="Z607" s="38"/>
      <c r="AA607" s="10"/>
      <c r="AB607" s="39"/>
      <c r="AC607" s="33">
        <f>(B607*194.205+C607*267.466+D607*133.845+E607*53.484+F607*40+G607*185+H607*0+I607*100+J607*300)/(194.205+267.466+133.845+53.484+0+40+185+100+300)</f>
        <v>18.069852603689167</v>
      </c>
      <c r="AD607" s="27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17.926312230215828</v>
      </c>
    </row>
    <row r="608" spans="1:30" ht="15.75" x14ac:dyDescent="0.25">
      <c r="A608" s="13">
        <v>59779</v>
      </c>
      <c r="B608" s="10">
        <f>CHOOSE(CONTROL!$C$42, 17.172, 17.172) * CHOOSE(CONTROL!$C$21, $C$9, 100%, $E$9)</f>
        <v>17.172000000000001</v>
      </c>
      <c r="C608" s="10">
        <f>CHOOSE(CONTROL!$C$42, 17.18, 17.18) * CHOOSE(CONTROL!$C$21, $C$9, 100%, $E$9)</f>
        <v>17.18</v>
      </c>
      <c r="D608" s="10">
        <f>CHOOSE(CONTROL!$C$42, 17.3551, 17.3551) * CHOOSE(CONTROL!$C$21, $C$9, 100%, $E$9)</f>
        <v>17.3551</v>
      </c>
      <c r="E608" s="10">
        <f>CHOOSE(CONTROL!$C$42, 17.3863, 17.3863) * CHOOSE(CONTROL!$C$21, $C$9, 100%, $E$9)</f>
        <v>17.386299999999999</v>
      </c>
      <c r="F608" s="10">
        <f>CHOOSE(CONTROL!$C$42, 17.1141, 17.1141)*CHOOSE(CONTROL!$C$21, $C$9, 100%, $E$9)</f>
        <v>17.114100000000001</v>
      </c>
      <c r="G608" s="10">
        <f>CHOOSE(CONTROL!$C$42, 17.1311, 17.1311)*CHOOSE(CONTROL!$C$21, $C$9, 100%, $E$9)</f>
        <v>17.1311</v>
      </c>
      <c r="H608" s="10">
        <f>CHOOSE(CONTROL!$C$42, 17.3747, 17.3747) * CHOOSE(CONTROL!$C$21, $C$9, 100%, $E$9)</f>
        <v>17.374700000000001</v>
      </c>
      <c r="I608" s="10">
        <f>CHOOSE(CONTROL!$C$42, 17.1466, 17.1466)* CHOOSE(CONTROL!$C$21, $C$9, 100%, $E$9)</f>
        <v>17.146599999999999</v>
      </c>
      <c r="J608" s="10">
        <f>CHOOSE(CONTROL!$C$42, 17.1067, 17.1067)* CHOOSE(CONTROL!$C$21, $C$9, 100%, $E$9)</f>
        <v>17.1067</v>
      </c>
      <c r="K608" s="10">
        <f>CHOOSE(CONTROL!$C$42, 16.7689, 16.7689) * CHOOSE(CONTROL!$C$21, $C$9, 100%, $E$9)</f>
        <v>16.768899999999999</v>
      </c>
      <c r="L608" s="10">
        <f>CHOOSE(CONTROL!$C$42, 17.9617, 17.9617) * CHOOSE(CONTROL!$C$21, $C$9, 100%, $E$9)</f>
        <v>17.9617</v>
      </c>
      <c r="M608" s="10">
        <f>CHOOSE(CONTROL!$C$42, 16.9183, 16.9183) * CHOOSE(CONTROL!$C$21, $C$9, 100%, $E$9)</f>
        <v>16.918299999999999</v>
      </c>
      <c r="N608" s="10">
        <f>CHOOSE(CONTROL!$C$42, 16.9351, 16.9351) * CHOOSE(CONTROL!$C$21, $C$9, 100%, $E$9)</f>
        <v>16.935099999999998</v>
      </c>
      <c r="O608" s="10">
        <f>CHOOSE(CONTROL!$C$42, 17.1828, 17.1828) * CHOOSE(CONTROL!$C$21, $C$9, 100%, $E$9)</f>
        <v>17.1828</v>
      </c>
      <c r="P608" s="10">
        <f>CHOOSE(CONTROL!$C$42, 16.9578, 16.9578) * CHOOSE(CONTROL!$C$21, $C$9, 100%, $E$9)</f>
        <v>16.957799999999999</v>
      </c>
      <c r="Q608" s="10">
        <f>CHOOSE(CONTROL!$C$42, 17.7781, 17.7781) * CHOOSE(CONTROL!$C$21, $C$9, 100%, $E$9)</f>
        <v>17.778099999999998</v>
      </c>
      <c r="R608" s="10">
        <f>CHOOSE(CONTROL!$C$42, 18.4095, 18.4095) * CHOOSE(CONTROL!$C$21, $C$9, 100%, $E$9)</f>
        <v>18.409500000000001</v>
      </c>
      <c r="S608" s="10">
        <f>CHOOSE(CONTROL!$C$42, 16.6422, 16.6422) * CHOOSE(CONTROL!$C$21, $C$9, 100%, $E$9)</f>
        <v>16.642199999999999</v>
      </c>
      <c r="T60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38">
        <f>(1000*CHOOSE(CONTROL!$C$42, 695, 695)*CHOOSE(CONTROL!$C$42, 0.5599, 0.5599)*CHOOSE(CONTROL!$C$42, 31, 31))/1000000</f>
        <v>12.063045499999998</v>
      </c>
      <c r="V608" s="38">
        <f>(1000*CHOOSE(CONTROL!$C$42, 500, 500)*CHOOSE(CONTROL!$C$42, 0.275, 0.275)*CHOOSE(CONTROL!$C$42, 31, 31))/1000000</f>
        <v>4.2625000000000002</v>
      </c>
      <c r="W608" s="38">
        <f>(1000*CHOOSE(CONTROL!$C$42, 0.1146, 0.1146)*CHOOSE(CONTROL!$C$42, 121.5, 121.5)*CHOOSE(CONTROL!$C$42, 31, 31))/1000000</f>
        <v>0.43164089999999994</v>
      </c>
      <c r="X608" s="38">
        <f>(31*0.1790888*245000/1000000)+(31*0.2374*100000/1000000)</f>
        <v>2.0961194359999999</v>
      </c>
      <c r="Y608" s="38">
        <f>(1000*600*CHOOSE(CONTROL!$C$42, 1.0585, 1.0585)*CHOOSE(CONTROL!$C$42, 31, 31))/1000000</f>
        <v>19.688099999999999</v>
      </c>
      <c r="Z608" s="38"/>
      <c r="AA608" s="10"/>
      <c r="AB608" s="39"/>
      <c r="AC608" s="33">
        <f>(B608*194.205+C608*267.466+D608*133.845+E608*53.484+F608*40+G608*185+H608*0+I608*100+J608*300)/(194.205+267.466+133.845+53.484+0+40+185+100+300)</f>
        <v>17.176784826295133</v>
      </c>
      <c r="AD608" s="27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17.044831654676262</v>
      </c>
    </row>
    <row r="609" spans="1:30" ht="15.75" x14ac:dyDescent="0.25">
      <c r="A609" s="13">
        <v>59809</v>
      </c>
      <c r="B609" s="10">
        <f>CHOOSE(CONTROL!$C$42, 16.0809, 16.0809) * CHOOSE(CONTROL!$C$21, $C$9, 100%, $E$9)</f>
        <v>16.0809</v>
      </c>
      <c r="C609" s="10">
        <f>CHOOSE(CONTROL!$C$42, 16.0889, 16.0889) * CHOOSE(CONTROL!$C$21, $C$9, 100%, $E$9)</f>
        <v>16.088899999999999</v>
      </c>
      <c r="D609" s="10">
        <f>CHOOSE(CONTROL!$C$42, 16.264, 16.264) * CHOOSE(CONTROL!$C$21, $C$9, 100%, $E$9)</f>
        <v>16.263999999999999</v>
      </c>
      <c r="E609" s="10">
        <f>CHOOSE(CONTROL!$C$42, 16.2952, 16.2952) * CHOOSE(CONTROL!$C$21, $C$9, 100%, $E$9)</f>
        <v>16.295200000000001</v>
      </c>
      <c r="F609" s="10">
        <f>CHOOSE(CONTROL!$C$42, 16.0227, 16.0227)*CHOOSE(CONTROL!$C$21, $C$9, 100%, $E$9)</f>
        <v>16.0227</v>
      </c>
      <c r="G609" s="10">
        <f>CHOOSE(CONTROL!$C$42, 16.0396, 16.0396)*CHOOSE(CONTROL!$C$21, $C$9, 100%, $E$9)</f>
        <v>16.0396</v>
      </c>
      <c r="H609" s="10">
        <f>CHOOSE(CONTROL!$C$42, 16.2836, 16.2836) * CHOOSE(CONTROL!$C$21, $C$9, 100%, $E$9)</f>
        <v>16.2836</v>
      </c>
      <c r="I609" s="10">
        <f>CHOOSE(CONTROL!$C$42, 16.0556, 16.0556)* CHOOSE(CONTROL!$C$21, $C$9, 100%, $E$9)</f>
        <v>16.055599999999998</v>
      </c>
      <c r="J609" s="10">
        <f>CHOOSE(CONTROL!$C$42, 16.0153, 16.0153)* CHOOSE(CONTROL!$C$21, $C$9, 100%, $E$9)</f>
        <v>16.0153</v>
      </c>
      <c r="K609" s="10">
        <f>CHOOSE(CONTROL!$C$42, 15.7112, 15.7112) * CHOOSE(CONTROL!$C$21, $C$9, 100%, $E$9)</f>
        <v>15.7112</v>
      </c>
      <c r="L609" s="10">
        <f>CHOOSE(CONTROL!$C$42, 16.8706, 16.8706) * CHOOSE(CONTROL!$C$21, $C$9, 100%, $E$9)</f>
        <v>16.8706</v>
      </c>
      <c r="M609" s="10">
        <f>CHOOSE(CONTROL!$C$42, 15.841, 15.841) * CHOOSE(CONTROL!$C$21, $C$9, 100%, $E$9)</f>
        <v>15.840999999999999</v>
      </c>
      <c r="N609" s="10">
        <f>CHOOSE(CONTROL!$C$42, 15.8577, 15.8577) * CHOOSE(CONTROL!$C$21, $C$9, 100%, $E$9)</f>
        <v>15.857699999999999</v>
      </c>
      <c r="O609" s="10">
        <f>CHOOSE(CONTROL!$C$42, 16.1058, 16.1058) * CHOOSE(CONTROL!$C$21, $C$9, 100%, $E$9)</f>
        <v>16.105799999999999</v>
      </c>
      <c r="P609" s="10">
        <f>CHOOSE(CONTROL!$C$42, 15.8808, 15.8808) * CHOOSE(CONTROL!$C$21, $C$9, 100%, $E$9)</f>
        <v>15.880800000000001</v>
      </c>
      <c r="Q609" s="10">
        <f>CHOOSE(CONTROL!$C$42, 16.7011, 16.7011) * CHOOSE(CONTROL!$C$21, $C$9, 100%, $E$9)</f>
        <v>16.7011</v>
      </c>
      <c r="R609" s="10">
        <f>CHOOSE(CONTROL!$C$42, 17.3299, 17.3299) * CHOOSE(CONTROL!$C$21, $C$9, 100%, $E$9)</f>
        <v>17.329899999999999</v>
      </c>
      <c r="S609" s="10">
        <f>CHOOSE(CONTROL!$C$42, 15.5857, 15.5857) * CHOOSE(CONTROL!$C$21, $C$9, 100%, $E$9)</f>
        <v>15.585699999999999</v>
      </c>
      <c r="T60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38">
        <f>(1000*CHOOSE(CONTROL!$C$42, 695, 695)*CHOOSE(CONTROL!$C$42, 0.5599, 0.5599)*CHOOSE(CONTROL!$C$42, 30, 30))/1000000</f>
        <v>11.673914999999997</v>
      </c>
      <c r="V609" s="38">
        <f>(1000*CHOOSE(CONTROL!$C$42, 500, 500)*CHOOSE(CONTROL!$C$42, 0.275, 0.275)*CHOOSE(CONTROL!$C$42, 30, 30))/1000000</f>
        <v>4.125</v>
      </c>
      <c r="W609" s="38">
        <f>(1000*CHOOSE(CONTROL!$C$42, 0.1146, 0.1146)*CHOOSE(CONTROL!$C$42, 121.5, 121.5)*CHOOSE(CONTROL!$C$42, 30, 30))/1000000</f>
        <v>0.417717</v>
      </c>
      <c r="X609" s="38">
        <f>(30*0.1790888*245000/1000000)+(30*0.2374*100000/1000000)</f>
        <v>2.0285026799999999</v>
      </c>
      <c r="Y609" s="38">
        <f>(1000*600*CHOOSE(CONTROL!$C$42, 1.0585, 1.0585)*CHOOSE(CONTROL!$C$42, 30, 30))/1000000</f>
        <v>19.053000000000001</v>
      </c>
      <c r="Z609" s="38"/>
      <c r="AA609" s="10"/>
      <c r="AB609" s="39"/>
      <c r="AC609" s="33">
        <f>(B609*194.205+C609*267.466+D609*133.845+E609*53.484+F609*40+G609*185+H609*0+I609*100+J609*300)/(194.205+267.466+133.845+53.484+0+40+185+100+300)</f>
        <v>16.08555452802198</v>
      </c>
      <c r="AD609" s="27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15.967705035971221</v>
      </c>
    </row>
    <row r="610" spans="1:30" ht="15.75" x14ac:dyDescent="0.25">
      <c r="A610" s="13">
        <v>59840</v>
      </c>
      <c r="B610" s="10">
        <f>CHOOSE(CONTROL!$C$42, 15.752, 15.752) * CHOOSE(CONTROL!$C$21, $C$9, 100%, $E$9)</f>
        <v>15.752000000000001</v>
      </c>
      <c r="C610" s="10">
        <f>CHOOSE(CONTROL!$C$42, 15.7574, 15.7574) * CHOOSE(CONTROL!$C$21, $C$9, 100%, $E$9)</f>
        <v>15.757400000000001</v>
      </c>
      <c r="D610" s="10">
        <f>CHOOSE(CONTROL!$C$42, 15.9373, 15.9373) * CHOOSE(CONTROL!$C$21, $C$9, 100%, $E$9)</f>
        <v>15.9373</v>
      </c>
      <c r="E610" s="10">
        <f>CHOOSE(CONTROL!$C$42, 15.9663, 15.9663) * CHOOSE(CONTROL!$C$21, $C$9, 100%, $E$9)</f>
        <v>15.9663</v>
      </c>
      <c r="F610" s="10">
        <f>CHOOSE(CONTROL!$C$42, 15.6958, 15.6958)*CHOOSE(CONTROL!$C$21, $C$9, 100%, $E$9)</f>
        <v>15.6958</v>
      </c>
      <c r="G610" s="10">
        <f>CHOOSE(CONTROL!$C$42, 15.7124, 15.7124)*CHOOSE(CONTROL!$C$21, $C$9, 100%, $E$9)</f>
        <v>15.712400000000001</v>
      </c>
      <c r="H610" s="10">
        <f>CHOOSE(CONTROL!$C$42, 15.9564, 15.9564) * CHOOSE(CONTROL!$C$21, $C$9, 100%, $E$9)</f>
        <v>15.9564</v>
      </c>
      <c r="I610" s="10">
        <f>CHOOSE(CONTROL!$C$42, 15.7284, 15.7284)* CHOOSE(CONTROL!$C$21, $C$9, 100%, $E$9)</f>
        <v>15.728400000000001</v>
      </c>
      <c r="J610" s="10">
        <f>CHOOSE(CONTROL!$C$42, 15.6884, 15.6884)* CHOOSE(CONTROL!$C$21, $C$9, 100%, $E$9)</f>
        <v>15.6884</v>
      </c>
      <c r="K610" s="10">
        <f>CHOOSE(CONTROL!$C$42, 15.3948, 15.3948) * CHOOSE(CONTROL!$C$21, $C$9, 100%, $E$9)</f>
        <v>15.3948</v>
      </c>
      <c r="L610" s="10">
        <f>CHOOSE(CONTROL!$C$42, 16.5434, 16.5434) * CHOOSE(CONTROL!$C$21, $C$9, 100%, $E$9)</f>
        <v>16.543399999999998</v>
      </c>
      <c r="M610" s="10">
        <f>CHOOSE(CONTROL!$C$42, 15.5183, 15.5183) * CHOOSE(CONTROL!$C$21, $C$9, 100%, $E$9)</f>
        <v>15.5183</v>
      </c>
      <c r="N610" s="10">
        <f>CHOOSE(CONTROL!$C$42, 15.5347, 15.5347) * CHOOSE(CONTROL!$C$21, $C$9, 100%, $E$9)</f>
        <v>15.534700000000001</v>
      </c>
      <c r="O610" s="10">
        <f>CHOOSE(CONTROL!$C$42, 15.7829, 15.7829) * CHOOSE(CONTROL!$C$21, $C$9, 100%, $E$9)</f>
        <v>15.7829</v>
      </c>
      <c r="P610" s="10">
        <f>CHOOSE(CONTROL!$C$42, 15.5579, 15.5579) * CHOOSE(CONTROL!$C$21, $C$9, 100%, $E$9)</f>
        <v>15.5579</v>
      </c>
      <c r="Q610" s="10">
        <f>CHOOSE(CONTROL!$C$42, 16.3782, 16.3782) * CHOOSE(CONTROL!$C$21, $C$9, 100%, $E$9)</f>
        <v>16.3782</v>
      </c>
      <c r="R610" s="10">
        <f>CHOOSE(CONTROL!$C$42, 17.0061, 17.0061) * CHOOSE(CONTROL!$C$21, $C$9, 100%, $E$9)</f>
        <v>17.0061</v>
      </c>
      <c r="S610" s="10">
        <f>CHOOSE(CONTROL!$C$42, 15.2689, 15.2689) * CHOOSE(CONTROL!$C$21, $C$9, 100%, $E$9)</f>
        <v>15.2689</v>
      </c>
      <c r="T61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38">
        <f>(1000*CHOOSE(CONTROL!$C$42, 695, 695)*CHOOSE(CONTROL!$C$42, 0.5599, 0.5599)*CHOOSE(CONTROL!$C$42, 31, 31))/1000000</f>
        <v>12.063045499999998</v>
      </c>
      <c r="V610" s="38">
        <f>(1000*CHOOSE(CONTROL!$C$42, 500, 500)*CHOOSE(CONTROL!$C$42, 0.275, 0.275)*CHOOSE(CONTROL!$C$42, 31, 31))/1000000</f>
        <v>4.2625000000000002</v>
      </c>
      <c r="W610" s="38">
        <f>(1000*CHOOSE(CONTROL!$C$42, 0.1146, 0.1146)*CHOOSE(CONTROL!$C$42, 121.5, 121.5)*CHOOSE(CONTROL!$C$42, 31, 31))/1000000</f>
        <v>0.43164089999999994</v>
      </c>
      <c r="X610" s="38">
        <f>(31*0.1790888*245000/1000000)+(31*0.2374*100000/1000000)</f>
        <v>2.0961194359999999</v>
      </c>
      <c r="Y610" s="38">
        <f>(1000*600*CHOOSE(CONTROL!$C$42, 1.0585, 1.0585)*CHOOSE(CONTROL!$C$42, 31, 31))/1000000</f>
        <v>19.688099999999999</v>
      </c>
      <c r="Z610" s="38"/>
      <c r="AA610" s="10"/>
      <c r="AB610" s="39"/>
      <c r="AC610" s="33">
        <f>(B610*131.881+C610*277.167+D610*79.08+E610*125.872+F610*40+G610*185+H610*0+I610*100+J610*300)/(131.881+277.167+79.08+125.872+0+40+185+100+300)</f>
        <v>15.761774491848264</v>
      </c>
      <c r="AD610" s="27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15.64486834532374</v>
      </c>
    </row>
    <row r="611" spans="1:30" ht="15.75" x14ac:dyDescent="0.25">
      <c r="A611" s="13">
        <v>59870</v>
      </c>
      <c r="B611" s="10">
        <f>CHOOSE(CONTROL!$C$42, 16.167, 16.167) * CHOOSE(CONTROL!$C$21, $C$9, 100%, $E$9)</f>
        <v>16.167000000000002</v>
      </c>
      <c r="C611" s="10">
        <f>CHOOSE(CONTROL!$C$42, 16.1721, 16.1721) * CHOOSE(CONTROL!$C$21, $C$9, 100%, $E$9)</f>
        <v>16.1721</v>
      </c>
      <c r="D611" s="10">
        <f>CHOOSE(CONTROL!$C$42, 16.1968, 16.1968) * CHOOSE(CONTROL!$C$21, $C$9, 100%, $E$9)</f>
        <v>16.1968</v>
      </c>
      <c r="E611" s="10">
        <f>CHOOSE(CONTROL!$C$42, 16.2306, 16.2306) * CHOOSE(CONTROL!$C$21, $C$9, 100%, $E$9)</f>
        <v>16.230599999999999</v>
      </c>
      <c r="F611" s="10">
        <f>CHOOSE(CONTROL!$C$42, 16.1326, 16.1326)*CHOOSE(CONTROL!$C$21, $C$9, 100%, $E$9)</f>
        <v>16.1326</v>
      </c>
      <c r="G611" s="10">
        <f>CHOOSE(CONTROL!$C$42, 16.1494, 16.1494)*CHOOSE(CONTROL!$C$21, $C$9, 100%, $E$9)</f>
        <v>16.1494</v>
      </c>
      <c r="H611" s="10">
        <f>CHOOSE(CONTROL!$C$42, 16.2195, 16.2195) * CHOOSE(CONTROL!$C$21, $C$9, 100%, $E$9)</f>
        <v>16.2195</v>
      </c>
      <c r="I611" s="10">
        <f>CHOOSE(CONTROL!$C$42, 16.1665, 16.1665)* CHOOSE(CONTROL!$C$21, $C$9, 100%, $E$9)</f>
        <v>16.166499999999999</v>
      </c>
      <c r="J611" s="10">
        <f>CHOOSE(CONTROL!$C$42, 16.1252, 16.1252)* CHOOSE(CONTROL!$C$21, $C$9, 100%, $E$9)</f>
        <v>16.1252</v>
      </c>
      <c r="K611" s="10">
        <f>CHOOSE(CONTROL!$C$42, 15.8211, 15.8211) * CHOOSE(CONTROL!$C$21, $C$9, 100%, $E$9)</f>
        <v>15.821099999999999</v>
      </c>
      <c r="L611" s="10">
        <f>CHOOSE(CONTROL!$C$42, 16.8065, 16.8065) * CHOOSE(CONTROL!$C$21, $C$9, 100%, $E$9)</f>
        <v>16.8065</v>
      </c>
      <c r="M611" s="10">
        <f>CHOOSE(CONTROL!$C$42, 15.9495, 15.9495) * CHOOSE(CONTROL!$C$21, $C$9, 100%, $E$9)</f>
        <v>15.9495</v>
      </c>
      <c r="N611" s="10">
        <f>CHOOSE(CONTROL!$C$42, 15.9661, 15.9661) * CHOOSE(CONTROL!$C$21, $C$9, 100%, $E$9)</f>
        <v>15.966100000000001</v>
      </c>
      <c r="O611" s="10">
        <f>CHOOSE(CONTROL!$C$42, 16.0425, 16.0425) * CHOOSE(CONTROL!$C$21, $C$9, 100%, $E$9)</f>
        <v>16.0425</v>
      </c>
      <c r="P611" s="10">
        <f>CHOOSE(CONTROL!$C$42, 15.9903, 15.9903) * CHOOSE(CONTROL!$C$21, $C$9, 100%, $E$9)</f>
        <v>15.9903</v>
      </c>
      <c r="Q611" s="10">
        <f>CHOOSE(CONTROL!$C$42, 16.6378, 16.6378) * CHOOSE(CONTROL!$C$21, $C$9, 100%, $E$9)</f>
        <v>16.637799999999999</v>
      </c>
      <c r="R611" s="10">
        <f>CHOOSE(CONTROL!$C$42, 17.2664, 17.2664) * CHOOSE(CONTROL!$C$21, $C$9, 100%, $E$9)</f>
        <v>17.266400000000001</v>
      </c>
      <c r="S611" s="10">
        <f>CHOOSE(CONTROL!$C$42, 15.6712, 15.6712) * CHOOSE(CONTROL!$C$21, $C$9, 100%, $E$9)</f>
        <v>15.671200000000001</v>
      </c>
      <c r="T61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38">
        <f>(1000*CHOOSE(CONTROL!$C$42, 695, 695)*CHOOSE(CONTROL!$C$42, 0.5599, 0.5599)*CHOOSE(CONTROL!$C$42, 30, 30))/1000000</f>
        <v>11.673914999999997</v>
      </c>
      <c r="V611" s="38">
        <f>(1000*CHOOSE(CONTROL!$C$42, 500, 500)*CHOOSE(CONTROL!$C$42, 0.275, 0.275)*CHOOSE(CONTROL!$C$42, 30, 30))/1000000</f>
        <v>4.125</v>
      </c>
      <c r="W611" s="38">
        <f>(1000*CHOOSE(CONTROL!$C$42, 0.1146, 0.1146)*CHOOSE(CONTROL!$C$42, 121.5, 121.5)*CHOOSE(CONTROL!$C$42, 30, 30))/1000000</f>
        <v>0.417717</v>
      </c>
      <c r="X611" s="38">
        <f>(30*0.1790888*100000/1000000)+(30*0.2374*100000/1000000)</f>
        <v>1.2494664</v>
      </c>
      <c r="Y611" s="38">
        <f>(1000*600*CHOOSE(CONTROL!$C$42, 1.0585, 1.0585)*CHOOSE(CONTROL!$C$42, 30, 30))/1000000</f>
        <v>19.053000000000001</v>
      </c>
      <c r="Z611" s="38"/>
      <c r="AA611" s="10"/>
      <c r="AB611" s="39"/>
      <c r="AC611" s="33">
        <f>(B611*122.58+C611*297.941+D611*89.177+E611*40.302+F611*40+G611*160+H611*0+I611*100+J611*300)/(122.58+297.941+89.177+40.302+0+40+160+100+300)</f>
        <v>16.158267983391305</v>
      </c>
      <c r="AD611" s="27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15.998476978417267</v>
      </c>
    </row>
    <row r="612" spans="1:30" ht="15.75" x14ac:dyDescent="0.25">
      <c r="A612" s="13">
        <v>59901</v>
      </c>
      <c r="B612" s="10">
        <f>CHOOSE(CONTROL!$C$42, 17.2704, 17.2704) * CHOOSE(CONTROL!$C$21, $C$9, 100%, $E$9)</f>
        <v>17.270399999999999</v>
      </c>
      <c r="C612" s="10">
        <f>CHOOSE(CONTROL!$C$42, 17.2755, 17.2755) * CHOOSE(CONTROL!$C$21, $C$9, 100%, $E$9)</f>
        <v>17.275500000000001</v>
      </c>
      <c r="D612" s="10">
        <f>CHOOSE(CONTROL!$C$42, 17.3002, 17.3002) * CHOOSE(CONTROL!$C$21, $C$9, 100%, $E$9)</f>
        <v>17.3002</v>
      </c>
      <c r="E612" s="10">
        <f>CHOOSE(CONTROL!$C$42, 17.334, 17.334) * CHOOSE(CONTROL!$C$21, $C$9, 100%, $E$9)</f>
        <v>17.334</v>
      </c>
      <c r="F612" s="10">
        <f>CHOOSE(CONTROL!$C$42, 17.2378, 17.2378)*CHOOSE(CONTROL!$C$21, $C$9, 100%, $E$9)</f>
        <v>17.2378</v>
      </c>
      <c r="G612" s="10">
        <f>CHOOSE(CONTROL!$C$42, 17.2551, 17.2551)*CHOOSE(CONTROL!$C$21, $C$9, 100%, $E$9)</f>
        <v>17.255099999999999</v>
      </c>
      <c r="H612" s="10">
        <f>CHOOSE(CONTROL!$C$42, 17.3228, 17.3228) * CHOOSE(CONTROL!$C$21, $C$9, 100%, $E$9)</f>
        <v>17.322800000000001</v>
      </c>
      <c r="I612" s="10">
        <f>CHOOSE(CONTROL!$C$42, 17.2699, 17.2699)* CHOOSE(CONTROL!$C$21, $C$9, 100%, $E$9)</f>
        <v>17.2699</v>
      </c>
      <c r="J612" s="10">
        <f>CHOOSE(CONTROL!$C$42, 17.2304, 17.2304)* CHOOSE(CONTROL!$C$21, $C$9, 100%, $E$9)</f>
        <v>17.230399999999999</v>
      </c>
      <c r="K612" s="10">
        <f>CHOOSE(CONTROL!$C$42, 16.8939, 16.8939) * CHOOSE(CONTROL!$C$21, $C$9, 100%, $E$9)</f>
        <v>16.893899999999999</v>
      </c>
      <c r="L612" s="10">
        <f>CHOOSE(CONTROL!$C$42, 17.9098, 17.9098) * CHOOSE(CONTROL!$C$21, $C$9, 100%, $E$9)</f>
        <v>17.909800000000001</v>
      </c>
      <c r="M612" s="10">
        <f>CHOOSE(CONTROL!$C$42, 17.0404, 17.0404) * CHOOSE(CONTROL!$C$21, $C$9, 100%, $E$9)</f>
        <v>17.040400000000002</v>
      </c>
      <c r="N612" s="10">
        <f>CHOOSE(CONTROL!$C$42, 17.0574, 17.0574) * CHOOSE(CONTROL!$C$21, $C$9, 100%, $E$9)</f>
        <v>17.057400000000001</v>
      </c>
      <c r="O612" s="10">
        <f>CHOOSE(CONTROL!$C$42, 17.1316, 17.1316) * CHOOSE(CONTROL!$C$21, $C$9, 100%, $E$9)</f>
        <v>17.131599999999999</v>
      </c>
      <c r="P612" s="10">
        <f>CHOOSE(CONTROL!$C$42, 17.0794, 17.0794) * CHOOSE(CONTROL!$C$21, $C$9, 100%, $E$9)</f>
        <v>17.0794</v>
      </c>
      <c r="Q612" s="10">
        <f>CHOOSE(CONTROL!$C$42, 17.7269, 17.7269) * CHOOSE(CONTROL!$C$21, $C$9, 100%, $E$9)</f>
        <v>17.726900000000001</v>
      </c>
      <c r="R612" s="10">
        <f>CHOOSE(CONTROL!$C$42, 18.3583, 18.3583) * CHOOSE(CONTROL!$C$21, $C$9, 100%, $E$9)</f>
        <v>18.3583</v>
      </c>
      <c r="S612" s="10">
        <f>CHOOSE(CONTROL!$C$42, 16.7396, 16.7396) * CHOOSE(CONTROL!$C$21, $C$9, 100%, $E$9)</f>
        <v>16.739599999999999</v>
      </c>
      <c r="T61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38">
        <f>(1000*CHOOSE(CONTROL!$C$42, 695, 695)*CHOOSE(CONTROL!$C$42, 0.5599, 0.5599)*CHOOSE(CONTROL!$C$42, 31, 31))/1000000</f>
        <v>12.063045499999998</v>
      </c>
      <c r="V612" s="38">
        <f>(1000*CHOOSE(CONTROL!$C$42, 500, 500)*CHOOSE(CONTROL!$C$42, 0.275, 0.275)*CHOOSE(CONTROL!$C$42, 31, 31))/1000000</f>
        <v>4.2625000000000002</v>
      </c>
      <c r="W612" s="38">
        <f>(1000*CHOOSE(CONTROL!$C$42, 0.1146, 0.1146)*CHOOSE(CONTROL!$C$42, 121.5, 121.5)*CHOOSE(CONTROL!$C$42, 31, 31))/1000000</f>
        <v>0.43164089999999994</v>
      </c>
      <c r="X612" s="38">
        <f>(31*0.1790888*100000/1000000)+(31*0.2374*100000/1000000)</f>
        <v>1.2911152800000001</v>
      </c>
      <c r="Y612" s="38">
        <f>(1000*600*CHOOSE(CONTROL!$C$42, 1.0585, 1.0585)*CHOOSE(CONTROL!$C$42, 31, 31))/1000000</f>
        <v>19.688099999999999</v>
      </c>
      <c r="Z612" s="38"/>
      <c r="AA612" s="10"/>
      <c r="AB612" s="39"/>
      <c r="AC612" s="33">
        <f>(B612*122.58+C612*297.941+D612*89.177+E612*40.302+F612*40+G612*160+H612*0+I612*100+J612*300)/(122.58+297.941+89.177+40.302+0+40+160+100+300)</f>
        <v>17.262520157304348</v>
      </c>
      <c r="AD612" s="27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17.088325179856117</v>
      </c>
    </row>
    <row r="613" spans="1:30" ht="15.75" x14ac:dyDescent="0.25">
      <c r="A613" s="13">
        <v>59932</v>
      </c>
      <c r="B613" s="10">
        <f>CHOOSE(CONTROL!$C$42, 18.4371, 18.4371) * CHOOSE(CONTROL!$C$21, $C$9, 100%, $E$9)</f>
        <v>18.437100000000001</v>
      </c>
      <c r="C613" s="10">
        <f>CHOOSE(CONTROL!$C$42, 18.4422, 18.4422) * CHOOSE(CONTROL!$C$21, $C$9, 100%, $E$9)</f>
        <v>18.4422</v>
      </c>
      <c r="D613" s="10">
        <f>CHOOSE(CONTROL!$C$42, 18.4772, 18.4772) * CHOOSE(CONTROL!$C$21, $C$9, 100%, $E$9)</f>
        <v>18.4772</v>
      </c>
      <c r="E613" s="10">
        <f>CHOOSE(CONTROL!$C$42, 18.5111, 18.5111) * CHOOSE(CONTROL!$C$21, $C$9, 100%, $E$9)</f>
        <v>18.511099999999999</v>
      </c>
      <c r="F613" s="10">
        <f>CHOOSE(CONTROL!$C$42, 18.4184, 18.4184)*CHOOSE(CONTROL!$C$21, $C$9, 100%, $E$9)</f>
        <v>18.418399999999998</v>
      </c>
      <c r="G613" s="10">
        <f>CHOOSE(CONTROL!$C$42, 18.4373, 18.4373)*CHOOSE(CONTROL!$C$21, $C$9, 100%, $E$9)</f>
        <v>18.4373</v>
      </c>
      <c r="H613" s="10">
        <f>CHOOSE(CONTROL!$C$42, 18.4999, 18.4999) * CHOOSE(CONTROL!$C$21, $C$9, 100%, $E$9)</f>
        <v>18.4999</v>
      </c>
      <c r="I613" s="10">
        <f>CHOOSE(CONTROL!$C$42, 18.4444, 18.4444)* CHOOSE(CONTROL!$C$21, $C$9, 100%, $E$9)</f>
        <v>18.444400000000002</v>
      </c>
      <c r="J613" s="10">
        <f>CHOOSE(CONTROL!$C$42, 18.411, 18.411)* CHOOSE(CONTROL!$C$21, $C$9, 100%, $E$9)</f>
        <v>18.411000000000001</v>
      </c>
      <c r="K613" s="10">
        <f>CHOOSE(CONTROL!$C$42, 18.045, 18.045) * CHOOSE(CONTROL!$C$21, $C$9, 100%, $E$9)</f>
        <v>18.045000000000002</v>
      </c>
      <c r="L613" s="10">
        <f>CHOOSE(CONTROL!$C$42, 19.0869, 19.0869) * CHOOSE(CONTROL!$C$21, $C$9, 100%, $E$9)</f>
        <v>19.0869</v>
      </c>
      <c r="M613" s="10">
        <f>CHOOSE(CONTROL!$C$42, 18.2057, 18.2057) * CHOOSE(CONTROL!$C$21, $C$9, 100%, $E$9)</f>
        <v>18.2057</v>
      </c>
      <c r="N613" s="10">
        <f>CHOOSE(CONTROL!$C$42, 18.2244, 18.2244) * CHOOSE(CONTROL!$C$21, $C$9, 100%, $E$9)</f>
        <v>18.224399999999999</v>
      </c>
      <c r="O613" s="10">
        <f>CHOOSE(CONTROL!$C$42, 18.2935, 18.2935) * CHOOSE(CONTROL!$C$21, $C$9, 100%, $E$9)</f>
        <v>18.293500000000002</v>
      </c>
      <c r="P613" s="10">
        <f>CHOOSE(CONTROL!$C$42, 18.2387, 18.2387) * CHOOSE(CONTROL!$C$21, $C$9, 100%, $E$9)</f>
        <v>18.238700000000001</v>
      </c>
      <c r="Q613" s="10">
        <f>CHOOSE(CONTROL!$C$42, 18.8888, 18.8888) * CHOOSE(CONTROL!$C$21, $C$9, 100%, $E$9)</f>
        <v>18.8888</v>
      </c>
      <c r="R613" s="10">
        <f>CHOOSE(CONTROL!$C$42, 19.523, 19.523) * CHOOSE(CONTROL!$C$21, $C$9, 100%, $E$9)</f>
        <v>19.523</v>
      </c>
      <c r="S613" s="10">
        <f>CHOOSE(CONTROL!$C$42, 17.8693, 17.8693) * CHOOSE(CONTROL!$C$21, $C$9, 100%, $E$9)</f>
        <v>17.869299999999999</v>
      </c>
      <c r="T61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38">
        <f>(1000*CHOOSE(CONTROL!$C$42, 695, 695)*CHOOSE(CONTROL!$C$42, 0.5599, 0.5599)*CHOOSE(CONTROL!$C$42, 31, 31))/1000000</f>
        <v>12.063045499999998</v>
      </c>
      <c r="V613" s="38">
        <f>(1000*CHOOSE(CONTROL!$C$42, 500, 500)*CHOOSE(CONTROL!$C$42, 0.275, 0.275)*CHOOSE(CONTROL!$C$42, 31, 31))/1000000</f>
        <v>4.2625000000000002</v>
      </c>
      <c r="W613" s="38">
        <f>(1000*CHOOSE(CONTROL!$C$42, 0.1146, 0.1146)*CHOOSE(CONTROL!$C$42, 121.5, 121.5)*CHOOSE(CONTROL!$C$42, 31, 31))/1000000</f>
        <v>0.43164089999999994</v>
      </c>
      <c r="X613" s="38">
        <f>(31*0.1790888*100000/1000000)+(31*0.2374*100000/1000000)</f>
        <v>1.2911152800000001</v>
      </c>
      <c r="Y613" s="38">
        <f>(1000*600*CHOOSE(CONTROL!$C$42, 1.0585, 1.0585)*CHOOSE(CONTROL!$C$42, 31, 31))/1000000</f>
        <v>19.688099999999999</v>
      </c>
      <c r="Z613" s="38"/>
      <c r="AA613" s="10"/>
      <c r="AB613" s="39"/>
      <c r="AC613" s="33">
        <f>(B613*122.58+C613*297.941+D613*89.177+E613*40.302+F613*40+G613*160+H613*0+I613*100+J613*300)/(122.58+297.941+89.177+40.302+0+40+160+100+300)</f>
        <v>18.437327691130434</v>
      </c>
      <c r="AD613" s="27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18.251318705035974</v>
      </c>
    </row>
    <row r="614" spans="1:30" ht="15.75" x14ac:dyDescent="0.25">
      <c r="A614" s="13">
        <v>59961</v>
      </c>
      <c r="B614" s="10">
        <f>CHOOSE(CONTROL!$C$42, 18.7656, 18.7656) * CHOOSE(CONTROL!$C$21, $C$9, 100%, $E$9)</f>
        <v>18.765599999999999</v>
      </c>
      <c r="C614" s="10">
        <f>CHOOSE(CONTROL!$C$42, 18.7707, 18.7707) * CHOOSE(CONTROL!$C$21, $C$9, 100%, $E$9)</f>
        <v>18.770700000000001</v>
      </c>
      <c r="D614" s="10">
        <f>CHOOSE(CONTROL!$C$42, 18.8057, 18.8057) * CHOOSE(CONTROL!$C$21, $C$9, 100%, $E$9)</f>
        <v>18.805700000000002</v>
      </c>
      <c r="E614" s="10">
        <f>CHOOSE(CONTROL!$C$42, 18.8396, 18.8396) * CHOOSE(CONTROL!$C$21, $C$9, 100%, $E$9)</f>
        <v>18.839600000000001</v>
      </c>
      <c r="F614" s="10">
        <f>CHOOSE(CONTROL!$C$42, 18.7464, 18.7464)*CHOOSE(CONTROL!$C$21, $C$9, 100%, $E$9)</f>
        <v>18.746400000000001</v>
      </c>
      <c r="G614" s="10">
        <f>CHOOSE(CONTROL!$C$42, 18.7651, 18.7651)*CHOOSE(CONTROL!$C$21, $C$9, 100%, $E$9)</f>
        <v>18.7651</v>
      </c>
      <c r="H614" s="10">
        <f>CHOOSE(CONTROL!$C$42, 18.8284, 18.8284) * CHOOSE(CONTROL!$C$21, $C$9, 100%, $E$9)</f>
        <v>18.828399999999998</v>
      </c>
      <c r="I614" s="10">
        <f>CHOOSE(CONTROL!$C$42, 18.7729, 18.7729)* CHOOSE(CONTROL!$C$21, $C$9, 100%, $E$9)</f>
        <v>18.7729</v>
      </c>
      <c r="J614" s="10">
        <f>CHOOSE(CONTROL!$C$42, 18.739, 18.739)* CHOOSE(CONTROL!$C$21, $C$9, 100%, $E$9)</f>
        <v>18.739000000000001</v>
      </c>
      <c r="K614" s="10">
        <f>CHOOSE(CONTROL!$C$42, 18.3621, 18.3621) * CHOOSE(CONTROL!$C$21, $C$9, 100%, $E$9)</f>
        <v>18.362100000000002</v>
      </c>
      <c r="L614" s="10">
        <f>CHOOSE(CONTROL!$C$42, 19.4154, 19.4154) * CHOOSE(CONTROL!$C$21, $C$9, 100%, $E$9)</f>
        <v>19.415400000000002</v>
      </c>
      <c r="M614" s="10">
        <f>CHOOSE(CONTROL!$C$42, 18.5294, 18.5294) * CHOOSE(CONTROL!$C$21, $C$9, 100%, $E$9)</f>
        <v>18.529399999999999</v>
      </c>
      <c r="N614" s="10">
        <f>CHOOSE(CONTROL!$C$42, 18.548, 18.548) * CHOOSE(CONTROL!$C$21, $C$9, 100%, $E$9)</f>
        <v>18.547999999999998</v>
      </c>
      <c r="O614" s="10">
        <f>CHOOSE(CONTROL!$C$42, 18.6177, 18.6177) * CHOOSE(CONTROL!$C$21, $C$9, 100%, $E$9)</f>
        <v>18.617699999999999</v>
      </c>
      <c r="P614" s="10">
        <f>CHOOSE(CONTROL!$C$42, 18.563, 18.563) * CHOOSE(CONTROL!$C$21, $C$9, 100%, $E$9)</f>
        <v>18.562999999999999</v>
      </c>
      <c r="Q614" s="10">
        <f>CHOOSE(CONTROL!$C$42, 19.213, 19.213) * CHOOSE(CONTROL!$C$21, $C$9, 100%, $E$9)</f>
        <v>19.213000000000001</v>
      </c>
      <c r="R614" s="10">
        <f>CHOOSE(CONTROL!$C$42, 19.8481, 19.8481) * CHOOSE(CONTROL!$C$21, $C$9, 100%, $E$9)</f>
        <v>19.848099999999999</v>
      </c>
      <c r="S614" s="10">
        <f>CHOOSE(CONTROL!$C$42, 18.1874, 18.1874) * CHOOSE(CONTROL!$C$21, $C$9, 100%, $E$9)</f>
        <v>18.1874</v>
      </c>
      <c r="T61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14" s="38">
        <f>(1000*CHOOSE(CONTROL!$C$42, 695, 695)*CHOOSE(CONTROL!$C$42, 0.5599, 0.5599)*CHOOSE(CONTROL!$C$42, 29, 29))/1000000</f>
        <v>11.284784499999999</v>
      </c>
      <c r="V614" s="38">
        <f>(1000*CHOOSE(CONTROL!$C$42, 500, 500)*CHOOSE(CONTROL!$C$42, 0.275, 0.275)*CHOOSE(CONTROL!$C$42, 29, 29))/1000000</f>
        <v>3.9874999999999998</v>
      </c>
      <c r="W614" s="38">
        <f>(1000*CHOOSE(CONTROL!$C$42, 0.1146, 0.1146)*CHOOSE(CONTROL!$C$42, 121.5, 121.5)*CHOOSE(CONTROL!$C$42, 29, 29))/1000000</f>
        <v>0.40379309999999996</v>
      </c>
      <c r="X614" s="38">
        <f>(29*0.1790888*100000/1000000)+(29*0.2374*100000/1000000)</f>
        <v>1.2078175199999999</v>
      </c>
      <c r="Y614" s="38">
        <f>(1000*600*CHOOSE(CONTROL!$C$42, 1.0585, 1.0585)*CHOOSE(CONTROL!$C$42, 29, 29))/1000000</f>
        <v>18.417899999999999</v>
      </c>
      <c r="Z614" s="38"/>
      <c r="AA614" s="10"/>
      <c r="AB614" s="39"/>
      <c r="AC614" s="33">
        <f>(B614*122.58+C614*297.941+D614*89.177+E614*40.302+F614*40+G614*160+H614*0+I614*100+J614*300)/(122.58+297.941+89.177+40.302+0+40+160+100+300)</f>
        <v>18.765582473739133</v>
      </c>
      <c r="AD614" s="27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18.575325899280575</v>
      </c>
    </row>
    <row r="615" spans="1:30" ht="15.75" x14ac:dyDescent="0.25">
      <c r="A615" s="13">
        <v>59992</v>
      </c>
      <c r="B615" s="10">
        <f>CHOOSE(CONTROL!$C$42, 18.2324, 18.2324) * CHOOSE(CONTROL!$C$21, $C$9, 100%, $E$9)</f>
        <v>18.232399999999998</v>
      </c>
      <c r="C615" s="10">
        <f>CHOOSE(CONTROL!$C$42, 18.2375, 18.2375) * CHOOSE(CONTROL!$C$21, $C$9, 100%, $E$9)</f>
        <v>18.237500000000001</v>
      </c>
      <c r="D615" s="10">
        <f>CHOOSE(CONTROL!$C$42, 18.2725, 18.2725) * CHOOSE(CONTROL!$C$21, $C$9, 100%, $E$9)</f>
        <v>18.272500000000001</v>
      </c>
      <c r="E615" s="10">
        <f>CHOOSE(CONTROL!$C$42, 18.3063, 18.3063) * CHOOSE(CONTROL!$C$21, $C$9, 100%, $E$9)</f>
        <v>18.3063</v>
      </c>
      <c r="F615" s="10">
        <f>CHOOSE(CONTROL!$C$42, 18.2118, 18.2118)*CHOOSE(CONTROL!$C$21, $C$9, 100%, $E$9)</f>
        <v>18.2118</v>
      </c>
      <c r="G615" s="10">
        <f>CHOOSE(CONTROL!$C$42, 18.2302, 18.2302)*CHOOSE(CONTROL!$C$21, $C$9, 100%, $E$9)</f>
        <v>18.2302</v>
      </c>
      <c r="H615" s="10">
        <f>CHOOSE(CONTROL!$C$42, 18.2952, 18.2952) * CHOOSE(CONTROL!$C$21, $C$9, 100%, $E$9)</f>
        <v>18.295200000000001</v>
      </c>
      <c r="I615" s="10">
        <f>CHOOSE(CONTROL!$C$42, 18.2396, 18.2396)* CHOOSE(CONTROL!$C$21, $C$9, 100%, $E$9)</f>
        <v>18.239599999999999</v>
      </c>
      <c r="J615" s="10">
        <f>CHOOSE(CONTROL!$C$42, 18.2044, 18.2044)* CHOOSE(CONTROL!$C$21, $C$9, 100%, $E$9)</f>
        <v>18.2044</v>
      </c>
      <c r="K615" s="10">
        <f>CHOOSE(CONTROL!$C$42, 17.8425, 17.8425) * CHOOSE(CONTROL!$C$21, $C$9, 100%, $E$9)</f>
        <v>17.842500000000001</v>
      </c>
      <c r="L615" s="10">
        <f>CHOOSE(CONTROL!$C$42, 18.8822, 18.8822) * CHOOSE(CONTROL!$C$21, $C$9, 100%, $E$9)</f>
        <v>18.882200000000001</v>
      </c>
      <c r="M615" s="10">
        <f>CHOOSE(CONTROL!$C$42, 18.0018, 18.0018) * CHOOSE(CONTROL!$C$21, $C$9, 100%, $E$9)</f>
        <v>18.001799999999999</v>
      </c>
      <c r="N615" s="10">
        <f>CHOOSE(CONTROL!$C$42, 18.0199, 18.0199) * CHOOSE(CONTROL!$C$21, $C$9, 100%, $E$9)</f>
        <v>18.0199</v>
      </c>
      <c r="O615" s="10">
        <f>CHOOSE(CONTROL!$C$42, 18.0914, 18.0914) * CHOOSE(CONTROL!$C$21, $C$9, 100%, $E$9)</f>
        <v>18.0914</v>
      </c>
      <c r="P615" s="10">
        <f>CHOOSE(CONTROL!$C$42, 18.0366, 18.0366) * CHOOSE(CONTROL!$C$21, $C$9, 100%, $E$9)</f>
        <v>18.0366</v>
      </c>
      <c r="Q615" s="10">
        <f>CHOOSE(CONTROL!$C$42, 18.6867, 18.6867) * CHOOSE(CONTROL!$C$21, $C$9, 100%, $E$9)</f>
        <v>18.686699999999998</v>
      </c>
      <c r="R615" s="10">
        <f>CHOOSE(CONTROL!$C$42, 19.3204, 19.3204) * CHOOSE(CONTROL!$C$21, $C$9, 100%, $E$9)</f>
        <v>19.320399999999999</v>
      </c>
      <c r="S615" s="10">
        <f>CHOOSE(CONTROL!$C$42, 17.6711, 17.6711) * CHOOSE(CONTROL!$C$21, $C$9, 100%, $E$9)</f>
        <v>17.671099999999999</v>
      </c>
      <c r="T61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38">
        <f>(1000*CHOOSE(CONTROL!$C$42, 695, 695)*CHOOSE(CONTROL!$C$42, 0.5599, 0.5599)*CHOOSE(CONTROL!$C$42, 31, 31))/1000000</f>
        <v>12.063045499999998</v>
      </c>
      <c r="V615" s="38">
        <f>(1000*CHOOSE(CONTROL!$C$42, 500, 500)*CHOOSE(CONTROL!$C$42, 0.275, 0.275)*CHOOSE(CONTROL!$C$42, 31, 31))/1000000</f>
        <v>4.2625000000000002</v>
      </c>
      <c r="W615" s="38">
        <f>(1000*CHOOSE(CONTROL!$C$42, 0.1146, 0.1146)*CHOOSE(CONTROL!$C$42, 121.5, 121.5)*CHOOSE(CONTROL!$C$42, 31, 31))/1000000</f>
        <v>0.43164089999999994</v>
      </c>
      <c r="X615" s="38">
        <f>(31*0.1790888*100000/1000000)+(31*0.2374*100000/1000000)</f>
        <v>1.2911152800000001</v>
      </c>
      <c r="Y615" s="38">
        <f>(1000*600*CHOOSE(CONTROL!$C$42, 1.0585, 1.0585)*CHOOSE(CONTROL!$C$42, 31, 31))/1000000</f>
        <v>19.688099999999999</v>
      </c>
      <c r="Z615" s="38"/>
      <c r="AA615" s="10"/>
      <c r="AB615" s="39"/>
      <c r="AC615" s="33">
        <f>(B615*122.58+C615*297.941+D615*89.177+E615*40.302+F615*40+G615*160+H615*0+I615*100+J615*300)/(122.58+297.941+89.177+40.302+0+40+160+100+300)</f>
        <v>18.231719838782606</v>
      </c>
      <c r="AD615" s="27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18.048458992805756</v>
      </c>
    </row>
    <row r="616" spans="1:30" ht="15.75" x14ac:dyDescent="0.25">
      <c r="A616" s="13">
        <v>60022</v>
      </c>
      <c r="B616" s="10">
        <f>CHOOSE(CONTROL!$C$42, 18.1785, 18.1785) * CHOOSE(CONTROL!$C$21, $C$9, 100%, $E$9)</f>
        <v>18.1785</v>
      </c>
      <c r="C616" s="10">
        <f>CHOOSE(CONTROL!$C$42, 18.1831, 18.1831) * CHOOSE(CONTROL!$C$21, $C$9, 100%, $E$9)</f>
        <v>18.1831</v>
      </c>
      <c r="D616" s="10">
        <f>CHOOSE(CONTROL!$C$42, 18.3613, 18.3613) * CHOOSE(CONTROL!$C$21, $C$9, 100%, $E$9)</f>
        <v>18.3613</v>
      </c>
      <c r="E616" s="10">
        <f>CHOOSE(CONTROL!$C$42, 18.3931, 18.3931) * CHOOSE(CONTROL!$C$21, $C$9, 100%, $E$9)</f>
        <v>18.3931</v>
      </c>
      <c r="F616" s="10">
        <f>CHOOSE(CONTROL!$C$42, 18.122, 18.122)*CHOOSE(CONTROL!$C$21, $C$9, 100%, $E$9)</f>
        <v>18.122</v>
      </c>
      <c r="G616" s="10">
        <f>CHOOSE(CONTROL!$C$42, 18.1386, 18.1386)*CHOOSE(CONTROL!$C$21, $C$9, 100%, $E$9)</f>
        <v>18.1386</v>
      </c>
      <c r="H616" s="10">
        <f>CHOOSE(CONTROL!$C$42, 18.3826, 18.3826) * CHOOSE(CONTROL!$C$21, $C$9, 100%, $E$9)</f>
        <v>18.3826</v>
      </c>
      <c r="I616" s="10">
        <f>CHOOSE(CONTROL!$C$42, 18.1545, 18.1545)* CHOOSE(CONTROL!$C$21, $C$9, 100%, $E$9)</f>
        <v>18.154499999999999</v>
      </c>
      <c r="J616" s="10">
        <f>CHOOSE(CONTROL!$C$42, 18.1146, 18.1146)* CHOOSE(CONTROL!$C$21, $C$9, 100%, $E$9)</f>
        <v>18.114599999999999</v>
      </c>
      <c r="K616" s="10">
        <f>CHOOSE(CONTROL!$C$42, 17.7453, 17.7453) * CHOOSE(CONTROL!$C$21, $C$9, 100%, $E$9)</f>
        <v>17.7453</v>
      </c>
      <c r="L616" s="10">
        <f>CHOOSE(CONTROL!$C$42, 18.9696, 18.9696) * CHOOSE(CONTROL!$C$21, $C$9, 100%, $E$9)</f>
        <v>18.9696</v>
      </c>
      <c r="M616" s="10">
        <f>CHOOSE(CONTROL!$C$42, 17.9131, 17.9131) * CHOOSE(CONTROL!$C$21, $C$9, 100%, $E$9)</f>
        <v>17.9131</v>
      </c>
      <c r="N616" s="10">
        <f>CHOOSE(CONTROL!$C$42, 17.9295, 17.9295) * CHOOSE(CONTROL!$C$21, $C$9, 100%, $E$9)</f>
        <v>17.929500000000001</v>
      </c>
      <c r="O616" s="10">
        <f>CHOOSE(CONTROL!$C$42, 18.1776, 18.1776) * CHOOSE(CONTROL!$C$21, $C$9, 100%, $E$9)</f>
        <v>18.177600000000002</v>
      </c>
      <c r="P616" s="10">
        <f>CHOOSE(CONTROL!$C$42, 17.9526, 17.9526) * CHOOSE(CONTROL!$C$21, $C$9, 100%, $E$9)</f>
        <v>17.9526</v>
      </c>
      <c r="Q616" s="10">
        <f>CHOOSE(CONTROL!$C$42, 18.7729, 18.7729) * CHOOSE(CONTROL!$C$21, $C$9, 100%, $E$9)</f>
        <v>18.7729</v>
      </c>
      <c r="R616" s="10">
        <f>CHOOSE(CONTROL!$C$42, 19.4069, 19.4069) * CHOOSE(CONTROL!$C$21, $C$9, 100%, $E$9)</f>
        <v>19.4069</v>
      </c>
      <c r="S616" s="10">
        <f>CHOOSE(CONTROL!$C$42, 17.6182, 17.6182) * CHOOSE(CONTROL!$C$21, $C$9, 100%, $E$9)</f>
        <v>17.618200000000002</v>
      </c>
      <c r="T6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38">
        <f>(1000*CHOOSE(CONTROL!$C$42, 695, 695)*CHOOSE(CONTROL!$C$42, 0.5599, 0.5599)*CHOOSE(CONTROL!$C$42, 30, 30))/1000000</f>
        <v>11.673914999999997</v>
      </c>
      <c r="V616" s="38">
        <f>(1000*CHOOSE(CONTROL!$C$42, 500, 500)*CHOOSE(CONTROL!$C$42, 0.275, 0.275)*CHOOSE(CONTROL!$C$42, 30, 30))/1000000</f>
        <v>4.125</v>
      </c>
      <c r="W616" s="38">
        <f>(1000*CHOOSE(CONTROL!$C$42, 0.1146, 0.1146)*CHOOSE(CONTROL!$C$42, 121.5, 121.5)*CHOOSE(CONTROL!$C$42, 30, 30))/1000000</f>
        <v>0.417717</v>
      </c>
      <c r="X616" s="38">
        <f>(30*0.1790888*245000/1000000)+(30*0.2374*100000/1000000)</f>
        <v>2.0285026799999999</v>
      </c>
      <c r="Y616" s="38">
        <f>(1000*600*CHOOSE(CONTROL!$C$42, 1.0585, 1.0585)*CHOOSE(CONTROL!$C$42, 30, 30))/1000000</f>
        <v>19.053000000000001</v>
      </c>
      <c r="Z616" s="38"/>
      <c r="AA616" s="10"/>
      <c r="AB616" s="39"/>
      <c r="AC616" s="33">
        <f>(B616*141.293+C616*267.993+D616*115.016+E616*89.698+F616*40+G616*185+H616*0+I616*100+J616*300)/(141.293+267.993+115.016+89.698+0+40+185+100+300)</f>
        <v>18.18680942970137</v>
      </c>
      <c r="AD616" s="27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18.039608633093525</v>
      </c>
    </row>
    <row r="617" spans="1:30" ht="15.75" x14ac:dyDescent="0.25">
      <c r="A617" s="13">
        <v>60053</v>
      </c>
      <c r="B617" s="10">
        <f>CHOOSE(CONTROL!$C$42, 18.3409, 18.3409) * CHOOSE(CONTROL!$C$21, $C$9, 100%, $E$9)</f>
        <v>18.340900000000001</v>
      </c>
      <c r="C617" s="10">
        <f>CHOOSE(CONTROL!$C$42, 18.3489, 18.3489) * CHOOSE(CONTROL!$C$21, $C$9, 100%, $E$9)</f>
        <v>18.3489</v>
      </c>
      <c r="D617" s="10">
        <f>CHOOSE(CONTROL!$C$42, 18.524, 18.524) * CHOOSE(CONTROL!$C$21, $C$9, 100%, $E$9)</f>
        <v>18.524000000000001</v>
      </c>
      <c r="E617" s="10">
        <f>CHOOSE(CONTROL!$C$42, 18.5552, 18.5552) * CHOOSE(CONTROL!$C$21, $C$9, 100%, $E$9)</f>
        <v>18.555199999999999</v>
      </c>
      <c r="F617" s="10">
        <f>CHOOSE(CONTROL!$C$42, 18.2826, 18.2826)*CHOOSE(CONTROL!$C$21, $C$9, 100%, $E$9)</f>
        <v>18.282599999999999</v>
      </c>
      <c r="G617" s="10">
        <f>CHOOSE(CONTROL!$C$42, 18.2994, 18.2994)*CHOOSE(CONTROL!$C$21, $C$9, 100%, $E$9)</f>
        <v>18.299399999999999</v>
      </c>
      <c r="H617" s="10">
        <f>CHOOSE(CONTROL!$C$42, 18.5435, 18.5435) * CHOOSE(CONTROL!$C$21, $C$9, 100%, $E$9)</f>
        <v>18.543500000000002</v>
      </c>
      <c r="I617" s="10">
        <f>CHOOSE(CONTROL!$C$42, 18.3155, 18.3155)* CHOOSE(CONTROL!$C$21, $C$9, 100%, $E$9)</f>
        <v>18.3155</v>
      </c>
      <c r="J617" s="10">
        <f>CHOOSE(CONTROL!$C$42, 18.2752, 18.2752)* CHOOSE(CONTROL!$C$21, $C$9, 100%, $E$9)</f>
        <v>18.275200000000002</v>
      </c>
      <c r="K617" s="10">
        <f>CHOOSE(CONTROL!$C$42, 17.9004, 17.9004) * CHOOSE(CONTROL!$C$21, $C$9, 100%, $E$9)</f>
        <v>17.900400000000001</v>
      </c>
      <c r="L617" s="10">
        <f>CHOOSE(CONTROL!$C$42, 19.1305, 19.1305) * CHOOSE(CONTROL!$C$21, $C$9, 100%, $E$9)</f>
        <v>19.130500000000001</v>
      </c>
      <c r="M617" s="10">
        <f>CHOOSE(CONTROL!$C$42, 18.0716, 18.0716) * CHOOSE(CONTROL!$C$21, $C$9, 100%, $E$9)</f>
        <v>18.0716</v>
      </c>
      <c r="N617" s="10">
        <f>CHOOSE(CONTROL!$C$42, 18.0883, 18.0883) * CHOOSE(CONTROL!$C$21, $C$9, 100%, $E$9)</f>
        <v>18.0883</v>
      </c>
      <c r="O617" s="10">
        <f>CHOOSE(CONTROL!$C$42, 18.3365, 18.3365) * CHOOSE(CONTROL!$C$21, $C$9, 100%, $E$9)</f>
        <v>18.336500000000001</v>
      </c>
      <c r="P617" s="10">
        <f>CHOOSE(CONTROL!$C$42, 18.1115, 18.1115) * CHOOSE(CONTROL!$C$21, $C$9, 100%, $E$9)</f>
        <v>18.111499999999999</v>
      </c>
      <c r="Q617" s="10">
        <f>CHOOSE(CONTROL!$C$42, 18.9318, 18.9318) * CHOOSE(CONTROL!$C$21, $C$9, 100%, $E$9)</f>
        <v>18.931799999999999</v>
      </c>
      <c r="R617" s="10">
        <f>CHOOSE(CONTROL!$C$42, 19.5662, 19.5662) * CHOOSE(CONTROL!$C$21, $C$9, 100%, $E$9)</f>
        <v>19.566199999999998</v>
      </c>
      <c r="S617" s="10">
        <f>CHOOSE(CONTROL!$C$42, 17.7741, 17.7741) * CHOOSE(CONTROL!$C$21, $C$9, 100%, $E$9)</f>
        <v>17.774100000000001</v>
      </c>
      <c r="T61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38">
        <f>(1000*CHOOSE(CONTROL!$C$42, 695, 695)*CHOOSE(CONTROL!$C$42, 0.5599, 0.5599)*CHOOSE(CONTROL!$C$42, 31, 31))/1000000</f>
        <v>12.063045499999998</v>
      </c>
      <c r="V617" s="38">
        <f>(1000*CHOOSE(CONTROL!$C$42, 500, 500)*CHOOSE(CONTROL!$C$42, 0.275, 0.275)*CHOOSE(CONTROL!$C$42, 31, 31))/1000000</f>
        <v>4.2625000000000002</v>
      </c>
      <c r="W617" s="38">
        <f>(1000*CHOOSE(CONTROL!$C$42, 0.1146, 0.1146)*CHOOSE(CONTROL!$C$42, 121.5, 121.5)*CHOOSE(CONTROL!$C$42, 31, 31))/1000000</f>
        <v>0.43164089999999994</v>
      </c>
      <c r="X617" s="38">
        <f>(31*0.1790888*245000/1000000)+(31*0.2374*100000/1000000)</f>
        <v>2.0961194359999999</v>
      </c>
      <c r="Y617" s="38">
        <f>(1000*600*CHOOSE(CONTROL!$C$42, 1.0585, 1.0585)*CHOOSE(CONTROL!$C$42, 31, 31))/1000000</f>
        <v>19.688099999999999</v>
      </c>
      <c r="Z617" s="38"/>
      <c r="AA617" s="10"/>
      <c r="AB617" s="39"/>
      <c r="AC617" s="33">
        <f>(B617*194.205+C617*267.466+D617*133.845+E617*53.484+F617*40+G617*185+H617*0+I617*100+J617*300)/(194.205+267.466+133.845+53.484+0+40+185+100+300)</f>
        <v>18.345490948744111</v>
      </c>
      <c r="AD617" s="27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18.198364748201442</v>
      </c>
    </row>
    <row r="618" spans="1:30" ht="15.75" x14ac:dyDescent="0.25">
      <c r="A618" s="13">
        <v>60083</v>
      </c>
      <c r="B618" s="10">
        <f>CHOOSE(CONTROL!$C$42, 18.8615, 18.8615) * CHOOSE(CONTROL!$C$21, $C$9, 100%, $E$9)</f>
        <v>18.861499999999999</v>
      </c>
      <c r="C618" s="10">
        <f>CHOOSE(CONTROL!$C$42, 18.8695, 18.8695) * CHOOSE(CONTROL!$C$21, $C$9, 100%, $E$9)</f>
        <v>18.869499999999999</v>
      </c>
      <c r="D618" s="10">
        <f>CHOOSE(CONTROL!$C$42, 19.0446, 19.0446) * CHOOSE(CONTROL!$C$21, $C$9, 100%, $E$9)</f>
        <v>19.044599999999999</v>
      </c>
      <c r="E618" s="10">
        <f>CHOOSE(CONTROL!$C$42, 19.0759, 19.0759) * CHOOSE(CONTROL!$C$21, $C$9, 100%, $E$9)</f>
        <v>19.075900000000001</v>
      </c>
      <c r="F618" s="10">
        <f>CHOOSE(CONTROL!$C$42, 18.8034, 18.8034)*CHOOSE(CONTROL!$C$21, $C$9, 100%, $E$9)</f>
        <v>18.8034</v>
      </c>
      <c r="G618" s="10">
        <f>CHOOSE(CONTROL!$C$42, 18.8203, 18.8203)*CHOOSE(CONTROL!$C$21, $C$9, 100%, $E$9)</f>
        <v>18.8203</v>
      </c>
      <c r="H618" s="10">
        <f>CHOOSE(CONTROL!$C$42, 19.0642, 19.0642) * CHOOSE(CONTROL!$C$21, $C$9, 100%, $E$9)</f>
        <v>19.0642</v>
      </c>
      <c r="I618" s="10">
        <f>CHOOSE(CONTROL!$C$42, 18.8362, 18.8362)* CHOOSE(CONTROL!$C$21, $C$9, 100%, $E$9)</f>
        <v>18.836200000000002</v>
      </c>
      <c r="J618" s="10">
        <f>CHOOSE(CONTROL!$C$42, 18.796, 18.796)* CHOOSE(CONTROL!$C$21, $C$9, 100%, $E$9)</f>
        <v>18.795999999999999</v>
      </c>
      <c r="K618" s="10">
        <f>CHOOSE(CONTROL!$C$42, 18.4052, 18.4052) * CHOOSE(CONTROL!$C$21, $C$9, 100%, $E$9)</f>
        <v>18.405200000000001</v>
      </c>
      <c r="L618" s="10">
        <f>CHOOSE(CONTROL!$C$42, 19.6512, 19.6512) * CHOOSE(CONTROL!$C$21, $C$9, 100%, $E$9)</f>
        <v>19.651199999999999</v>
      </c>
      <c r="M618" s="10">
        <f>CHOOSE(CONTROL!$C$42, 18.5857, 18.5857) * CHOOSE(CONTROL!$C$21, $C$9, 100%, $E$9)</f>
        <v>18.585699999999999</v>
      </c>
      <c r="N618" s="10">
        <f>CHOOSE(CONTROL!$C$42, 18.6024, 18.6024) * CHOOSE(CONTROL!$C$21, $C$9, 100%, $E$9)</f>
        <v>18.602399999999999</v>
      </c>
      <c r="O618" s="10">
        <f>CHOOSE(CONTROL!$C$42, 18.8504, 18.8504) * CHOOSE(CONTROL!$C$21, $C$9, 100%, $E$9)</f>
        <v>18.8504</v>
      </c>
      <c r="P618" s="10">
        <f>CHOOSE(CONTROL!$C$42, 18.6254, 18.6254) * CHOOSE(CONTROL!$C$21, $C$9, 100%, $E$9)</f>
        <v>18.625399999999999</v>
      </c>
      <c r="Q618" s="10">
        <f>CHOOSE(CONTROL!$C$42, 19.4457, 19.4457) * CHOOSE(CONTROL!$C$21, $C$9, 100%, $E$9)</f>
        <v>19.445699999999999</v>
      </c>
      <c r="R618" s="10">
        <f>CHOOSE(CONTROL!$C$42, 20.0814, 20.0814) * CHOOSE(CONTROL!$C$21, $C$9, 100%, $E$9)</f>
        <v>20.081399999999999</v>
      </c>
      <c r="S618" s="10">
        <f>CHOOSE(CONTROL!$C$42, 18.2782, 18.2782) * CHOOSE(CONTROL!$C$21, $C$9, 100%, $E$9)</f>
        <v>18.278199999999998</v>
      </c>
      <c r="T61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38">
        <f>(1000*CHOOSE(CONTROL!$C$42, 695, 695)*CHOOSE(CONTROL!$C$42, 0.5599, 0.5599)*CHOOSE(CONTROL!$C$42, 30, 30))/1000000</f>
        <v>11.673914999999997</v>
      </c>
      <c r="V618" s="38">
        <f>(1000*CHOOSE(CONTROL!$C$42, 500, 500)*CHOOSE(CONTROL!$C$42, 0.275, 0.275)*CHOOSE(CONTROL!$C$42, 30, 30))/1000000</f>
        <v>4.125</v>
      </c>
      <c r="W618" s="38">
        <f>(1000*CHOOSE(CONTROL!$C$42, 0.1146, 0.1146)*CHOOSE(CONTROL!$C$42, 121.5, 121.5)*CHOOSE(CONTROL!$C$42, 30, 30))/1000000</f>
        <v>0.417717</v>
      </c>
      <c r="X618" s="38">
        <f>(30*0.1790888*245000/1000000)+(30*0.2374*100000/1000000)</f>
        <v>2.0285026799999999</v>
      </c>
      <c r="Y618" s="38">
        <f>(1000*600*CHOOSE(CONTROL!$C$42, 1.0585, 1.0585)*CHOOSE(CONTROL!$C$42, 30, 30))/1000000</f>
        <v>19.053000000000001</v>
      </c>
      <c r="Z618" s="38"/>
      <c r="AA618" s="10"/>
      <c r="AB618" s="39"/>
      <c r="AC618" s="33">
        <f>(B618*194.205+C618*267.466+D618*133.845+E618*53.484+F618*40+G618*185+H618*0+I618*100+J618*300)/(194.205+267.466+133.845+53.484+0+40+185+100+300)</f>
        <v>18.866199934929355</v>
      </c>
      <c r="AD618" s="27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18.712345323741008</v>
      </c>
    </row>
    <row r="619" spans="1:30" ht="15.75" x14ac:dyDescent="0.25">
      <c r="A619" s="13">
        <v>60114</v>
      </c>
      <c r="B619" s="10">
        <f>CHOOSE(CONTROL!$C$42, 18.4994, 18.4994) * CHOOSE(CONTROL!$C$21, $C$9, 100%, $E$9)</f>
        <v>18.499400000000001</v>
      </c>
      <c r="C619" s="10">
        <f>CHOOSE(CONTROL!$C$42, 18.5074, 18.5074) * CHOOSE(CONTROL!$C$21, $C$9, 100%, $E$9)</f>
        <v>18.507400000000001</v>
      </c>
      <c r="D619" s="10">
        <f>CHOOSE(CONTROL!$C$42, 18.6825, 18.6825) * CHOOSE(CONTROL!$C$21, $C$9, 100%, $E$9)</f>
        <v>18.682500000000001</v>
      </c>
      <c r="E619" s="10">
        <f>CHOOSE(CONTROL!$C$42, 18.7137, 18.7137) * CHOOSE(CONTROL!$C$21, $C$9, 100%, $E$9)</f>
        <v>18.713699999999999</v>
      </c>
      <c r="F619" s="10">
        <f>CHOOSE(CONTROL!$C$42, 18.4416, 18.4416)*CHOOSE(CONTROL!$C$21, $C$9, 100%, $E$9)</f>
        <v>18.441600000000001</v>
      </c>
      <c r="G619" s="10">
        <f>CHOOSE(CONTROL!$C$42, 18.4587, 18.4587)*CHOOSE(CONTROL!$C$21, $C$9, 100%, $E$9)</f>
        <v>18.4587</v>
      </c>
      <c r="H619" s="10">
        <f>CHOOSE(CONTROL!$C$42, 18.7021, 18.7021) * CHOOSE(CONTROL!$C$21, $C$9, 100%, $E$9)</f>
        <v>18.702100000000002</v>
      </c>
      <c r="I619" s="10">
        <f>CHOOSE(CONTROL!$C$42, 18.4741, 18.4741)* CHOOSE(CONTROL!$C$21, $C$9, 100%, $E$9)</f>
        <v>18.4741</v>
      </c>
      <c r="J619" s="10">
        <f>CHOOSE(CONTROL!$C$42, 18.4342, 18.4342)* CHOOSE(CONTROL!$C$21, $C$9, 100%, $E$9)</f>
        <v>18.434200000000001</v>
      </c>
      <c r="K619" s="10">
        <f>CHOOSE(CONTROL!$C$42, 18.0551, 18.0551) * CHOOSE(CONTROL!$C$21, $C$9, 100%, $E$9)</f>
        <v>18.055099999999999</v>
      </c>
      <c r="L619" s="10">
        <f>CHOOSE(CONTROL!$C$42, 19.2891, 19.2891) * CHOOSE(CONTROL!$C$21, $C$9, 100%, $E$9)</f>
        <v>19.289100000000001</v>
      </c>
      <c r="M619" s="10">
        <f>CHOOSE(CONTROL!$C$42, 18.2286, 18.2286) * CHOOSE(CONTROL!$C$21, $C$9, 100%, $E$9)</f>
        <v>18.2286</v>
      </c>
      <c r="N619" s="10">
        <f>CHOOSE(CONTROL!$C$42, 18.2454, 18.2454) * CHOOSE(CONTROL!$C$21, $C$9, 100%, $E$9)</f>
        <v>18.2454</v>
      </c>
      <c r="O619" s="10">
        <f>CHOOSE(CONTROL!$C$42, 18.493, 18.493) * CHOOSE(CONTROL!$C$21, $C$9, 100%, $E$9)</f>
        <v>18.492999999999999</v>
      </c>
      <c r="P619" s="10">
        <f>CHOOSE(CONTROL!$C$42, 18.268, 18.268) * CHOOSE(CONTROL!$C$21, $C$9, 100%, $E$9)</f>
        <v>18.268000000000001</v>
      </c>
      <c r="Q619" s="10">
        <f>CHOOSE(CONTROL!$C$42, 19.0883, 19.0883) * CHOOSE(CONTROL!$C$21, $C$9, 100%, $E$9)</f>
        <v>19.0883</v>
      </c>
      <c r="R619" s="10">
        <f>CHOOSE(CONTROL!$C$42, 19.723, 19.723) * CHOOSE(CONTROL!$C$21, $C$9, 100%, $E$9)</f>
        <v>19.722999999999999</v>
      </c>
      <c r="S619" s="10">
        <f>CHOOSE(CONTROL!$C$42, 17.9276, 17.9276) * CHOOSE(CONTROL!$C$21, $C$9, 100%, $E$9)</f>
        <v>17.927600000000002</v>
      </c>
      <c r="T61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38">
        <f>(1000*CHOOSE(CONTROL!$C$42, 695, 695)*CHOOSE(CONTROL!$C$42, 0.5599, 0.5599)*CHOOSE(CONTROL!$C$42, 31, 31))/1000000</f>
        <v>12.063045499999998</v>
      </c>
      <c r="V619" s="38">
        <f>(1000*CHOOSE(CONTROL!$C$42, 500, 500)*CHOOSE(CONTROL!$C$42, 0.275, 0.275)*CHOOSE(CONTROL!$C$42, 31, 31))/1000000</f>
        <v>4.2625000000000002</v>
      </c>
      <c r="W619" s="38">
        <f>(1000*CHOOSE(CONTROL!$C$42, 0.1146, 0.1146)*CHOOSE(CONTROL!$C$42, 121.5, 121.5)*CHOOSE(CONTROL!$C$42, 31, 31))/1000000</f>
        <v>0.43164089999999994</v>
      </c>
      <c r="X619" s="38">
        <f>(31*0.1790888*245000/1000000)+(31*0.2374*100000/1000000)</f>
        <v>2.0961194359999999</v>
      </c>
      <c r="Y619" s="38">
        <f>(1000*600*CHOOSE(CONTROL!$C$42, 1.0585, 1.0585)*CHOOSE(CONTROL!$C$42, 31, 31))/1000000</f>
        <v>19.688099999999999</v>
      </c>
      <c r="Z619" s="38"/>
      <c r="AA619" s="10"/>
      <c r="AB619" s="39"/>
      <c r="AC619" s="33">
        <f>(B619*194.205+C619*267.466+D619*133.845+E619*53.484+F619*40+G619*185+H619*0+I619*100+J619*300)/(194.205+267.466+133.845+53.484+0+40+185+100+300)</f>
        <v>18.504248405572998</v>
      </c>
      <c r="AD619" s="27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18.355071942446042</v>
      </c>
    </row>
    <row r="620" spans="1:30" ht="15.75" x14ac:dyDescent="0.25">
      <c r="A620" s="13">
        <v>60145</v>
      </c>
      <c r="B620" s="10">
        <f>CHOOSE(CONTROL!$C$42, 17.5849, 17.5849) * CHOOSE(CONTROL!$C$21, $C$9, 100%, $E$9)</f>
        <v>17.584900000000001</v>
      </c>
      <c r="C620" s="10">
        <f>CHOOSE(CONTROL!$C$42, 17.5929, 17.5929) * CHOOSE(CONTROL!$C$21, $C$9, 100%, $E$9)</f>
        <v>17.5929</v>
      </c>
      <c r="D620" s="10">
        <f>CHOOSE(CONTROL!$C$42, 17.7681, 17.7681) * CHOOSE(CONTROL!$C$21, $C$9, 100%, $E$9)</f>
        <v>17.7681</v>
      </c>
      <c r="E620" s="10">
        <f>CHOOSE(CONTROL!$C$42, 17.7993, 17.7993) * CHOOSE(CONTROL!$C$21, $C$9, 100%, $E$9)</f>
        <v>17.799299999999999</v>
      </c>
      <c r="F620" s="10">
        <f>CHOOSE(CONTROL!$C$42, 17.527, 17.527)*CHOOSE(CONTROL!$C$21, $C$9, 100%, $E$9)</f>
        <v>17.527000000000001</v>
      </c>
      <c r="G620" s="10">
        <f>CHOOSE(CONTROL!$C$42, 17.5441, 17.5441)*CHOOSE(CONTROL!$C$21, $C$9, 100%, $E$9)</f>
        <v>17.5441</v>
      </c>
      <c r="H620" s="10">
        <f>CHOOSE(CONTROL!$C$42, 17.7876, 17.7876) * CHOOSE(CONTROL!$C$21, $C$9, 100%, $E$9)</f>
        <v>17.787600000000001</v>
      </c>
      <c r="I620" s="10">
        <f>CHOOSE(CONTROL!$C$42, 17.5596, 17.5596)* CHOOSE(CONTROL!$C$21, $C$9, 100%, $E$9)</f>
        <v>17.5596</v>
      </c>
      <c r="J620" s="10">
        <f>CHOOSE(CONTROL!$C$42, 17.5196, 17.5196)* CHOOSE(CONTROL!$C$21, $C$9, 100%, $E$9)</f>
        <v>17.519600000000001</v>
      </c>
      <c r="K620" s="10">
        <f>CHOOSE(CONTROL!$C$42, 17.169, 17.169) * CHOOSE(CONTROL!$C$21, $C$9, 100%, $E$9)</f>
        <v>17.169</v>
      </c>
      <c r="L620" s="10">
        <f>CHOOSE(CONTROL!$C$42, 18.3746, 18.3746) * CHOOSE(CONTROL!$C$21, $C$9, 100%, $E$9)</f>
        <v>18.374600000000001</v>
      </c>
      <c r="M620" s="10">
        <f>CHOOSE(CONTROL!$C$42, 17.3259, 17.3259) * CHOOSE(CONTROL!$C$21, $C$9, 100%, $E$9)</f>
        <v>17.325900000000001</v>
      </c>
      <c r="N620" s="10">
        <f>CHOOSE(CONTROL!$C$42, 17.3427, 17.3427) * CHOOSE(CONTROL!$C$21, $C$9, 100%, $E$9)</f>
        <v>17.342700000000001</v>
      </c>
      <c r="O620" s="10">
        <f>CHOOSE(CONTROL!$C$42, 17.5904, 17.5904) * CHOOSE(CONTROL!$C$21, $C$9, 100%, $E$9)</f>
        <v>17.590399999999999</v>
      </c>
      <c r="P620" s="10">
        <f>CHOOSE(CONTROL!$C$42, 17.3654, 17.3654) * CHOOSE(CONTROL!$C$21, $C$9, 100%, $E$9)</f>
        <v>17.365400000000001</v>
      </c>
      <c r="Q620" s="10">
        <f>CHOOSE(CONTROL!$C$42, 18.1857, 18.1857) * CHOOSE(CONTROL!$C$21, $C$9, 100%, $E$9)</f>
        <v>18.185700000000001</v>
      </c>
      <c r="R620" s="10">
        <f>CHOOSE(CONTROL!$C$42, 18.8181, 18.8181) * CHOOSE(CONTROL!$C$21, $C$9, 100%, $E$9)</f>
        <v>18.818100000000001</v>
      </c>
      <c r="S620" s="10">
        <f>CHOOSE(CONTROL!$C$42, 17.0421, 17.0421) * CHOOSE(CONTROL!$C$21, $C$9, 100%, $E$9)</f>
        <v>17.042100000000001</v>
      </c>
      <c r="T62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38">
        <f>(1000*CHOOSE(CONTROL!$C$42, 695, 695)*CHOOSE(CONTROL!$C$42, 0.5599, 0.5599)*CHOOSE(CONTROL!$C$42, 31, 31))/1000000</f>
        <v>12.063045499999998</v>
      </c>
      <c r="V620" s="38">
        <f>(1000*CHOOSE(CONTROL!$C$42, 500, 500)*CHOOSE(CONTROL!$C$42, 0.275, 0.275)*CHOOSE(CONTROL!$C$42, 31, 31))/1000000</f>
        <v>4.2625000000000002</v>
      </c>
      <c r="W620" s="38">
        <f>(1000*CHOOSE(CONTROL!$C$42, 0.1146, 0.1146)*CHOOSE(CONTROL!$C$42, 121.5, 121.5)*CHOOSE(CONTROL!$C$42, 31, 31))/1000000</f>
        <v>0.43164089999999994</v>
      </c>
      <c r="X620" s="38">
        <f>(31*0.1790888*245000/1000000)+(31*0.2374*100000/1000000)</f>
        <v>2.0961194359999999</v>
      </c>
      <c r="Y620" s="38">
        <f>(1000*600*CHOOSE(CONTROL!$C$42, 1.0585, 1.0585)*CHOOSE(CONTROL!$C$42, 31, 31))/1000000</f>
        <v>19.688099999999999</v>
      </c>
      <c r="Z620" s="38"/>
      <c r="AA620" s="10"/>
      <c r="AB620" s="39"/>
      <c r="AC620" s="33">
        <f>(B620*194.205+C620*267.466+D620*133.845+E620*53.484+F620*40+G620*185+H620*0+I620*100+J620*300)/(194.205+267.466+133.845+53.484+0+40+185+100+300)</f>
        <v>17.58972190078493</v>
      </c>
      <c r="AD620" s="27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17.452431654676264</v>
      </c>
    </row>
    <row r="621" spans="1:30" ht="15.75" x14ac:dyDescent="0.25">
      <c r="A621" s="13">
        <v>60175</v>
      </c>
      <c r="B621" s="10">
        <f>CHOOSE(CONTROL!$C$42, 16.4676, 16.4676) * CHOOSE(CONTROL!$C$21, $C$9, 100%, $E$9)</f>
        <v>16.467600000000001</v>
      </c>
      <c r="C621" s="10">
        <f>CHOOSE(CONTROL!$C$42, 16.4756, 16.4756) * CHOOSE(CONTROL!$C$21, $C$9, 100%, $E$9)</f>
        <v>16.4756</v>
      </c>
      <c r="D621" s="10">
        <f>CHOOSE(CONTROL!$C$42, 16.6507, 16.6507) * CHOOSE(CONTROL!$C$21, $C$9, 100%, $E$9)</f>
        <v>16.650700000000001</v>
      </c>
      <c r="E621" s="10">
        <f>CHOOSE(CONTROL!$C$42, 16.682, 16.682) * CHOOSE(CONTROL!$C$21, $C$9, 100%, $E$9)</f>
        <v>16.681999999999999</v>
      </c>
      <c r="F621" s="10">
        <f>CHOOSE(CONTROL!$C$42, 16.4094, 16.4094)*CHOOSE(CONTROL!$C$21, $C$9, 100%, $E$9)</f>
        <v>16.409400000000002</v>
      </c>
      <c r="G621" s="10">
        <f>CHOOSE(CONTROL!$C$42, 16.4263, 16.4263)*CHOOSE(CONTROL!$C$21, $C$9, 100%, $E$9)</f>
        <v>16.426300000000001</v>
      </c>
      <c r="H621" s="10">
        <f>CHOOSE(CONTROL!$C$42, 16.6703, 16.6703) * CHOOSE(CONTROL!$C$21, $C$9, 100%, $E$9)</f>
        <v>16.670300000000001</v>
      </c>
      <c r="I621" s="10">
        <f>CHOOSE(CONTROL!$C$42, 16.4423, 16.4423)* CHOOSE(CONTROL!$C$21, $C$9, 100%, $E$9)</f>
        <v>16.442299999999999</v>
      </c>
      <c r="J621" s="10">
        <f>CHOOSE(CONTROL!$C$42, 16.402, 16.402)* CHOOSE(CONTROL!$C$21, $C$9, 100%, $E$9)</f>
        <v>16.402000000000001</v>
      </c>
      <c r="K621" s="10">
        <f>CHOOSE(CONTROL!$C$42, 16.0859, 16.0859) * CHOOSE(CONTROL!$C$21, $C$9, 100%, $E$9)</f>
        <v>16.085899999999999</v>
      </c>
      <c r="L621" s="10">
        <f>CHOOSE(CONTROL!$C$42, 17.2573, 17.2573) * CHOOSE(CONTROL!$C$21, $C$9, 100%, $E$9)</f>
        <v>17.257300000000001</v>
      </c>
      <c r="M621" s="10">
        <f>CHOOSE(CONTROL!$C$42, 16.2227, 16.2227) * CHOOSE(CONTROL!$C$21, $C$9, 100%, $E$9)</f>
        <v>16.2227</v>
      </c>
      <c r="N621" s="10">
        <f>CHOOSE(CONTROL!$C$42, 16.2394, 16.2394) * CHOOSE(CONTROL!$C$21, $C$9, 100%, $E$9)</f>
        <v>16.2394</v>
      </c>
      <c r="O621" s="10">
        <f>CHOOSE(CONTROL!$C$42, 16.4875, 16.4875) * CHOOSE(CONTROL!$C$21, $C$9, 100%, $E$9)</f>
        <v>16.487500000000001</v>
      </c>
      <c r="P621" s="10">
        <f>CHOOSE(CONTROL!$C$42, 16.2625, 16.2625) * CHOOSE(CONTROL!$C$21, $C$9, 100%, $E$9)</f>
        <v>16.262499999999999</v>
      </c>
      <c r="Q621" s="10">
        <f>CHOOSE(CONTROL!$C$42, 17.0828, 17.0828) * CHOOSE(CONTROL!$C$21, $C$9, 100%, $E$9)</f>
        <v>17.082799999999999</v>
      </c>
      <c r="R621" s="10">
        <f>CHOOSE(CONTROL!$C$42, 17.7125, 17.7125) * CHOOSE(CONTROL!$C$21, $C$9, 100%, $E$9)</f>
        <v>17.712499999999999</v>
      </c>
      <c r="S621" s="10">
        <f>CHOOSE(CONTROL!$C$42, 15.9602, 15.9602) * CHOOSE(CONTROL!$C$21, $C$9, 100%, $E$9)</f>
        <v>15.9602</v>
      </c>
      <c r="T62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38">
        <f>(1000*CHOOSE(CONTROL!$C$42, 695, 695)*CHOOSE(CONTROL!$C$42, 0.5599, 0.5599)*CHOOSE(CONTROL!$C$42, 30, 30))/1000000</f>
        <v>11.673914999999997</v>
      </c>
      <c r="V621" s="38">
        <f>(1000*CHOOSE(CONTROL!$C$42, 500, 500)*CHOOSE(CONTROL!$C$42, 0.275, 0.275)*CHOOSE(CONTROL!$C$42, 30, 30))/1000000</f>
        <v>4.125</v>
      </c>
      <c r="W621" s="38">
        <f>(1000*CHOOSE(CONTROL!$C$42, 0.1146, 0.1146)*CHOOSE(CONTROL!$C$42, 121.5, 121.5)*CHOOSE(CONTROL!$C$42, 30, 30))/1000000</f>
        <v>0.417717</v>
      </c>
      <c r="X621" s="38">
        <f>(30*0.1790888*245000/1000000)+(30*0.2374*100000/1000000)</f>
        <v>2.0285026799999999</v>
      </c>
      <c r="Y621" s="38">
        <f>(1000*600*CHOOSE(CONTROL!$C$42, 1.0585, 1.0585)*CHOOSE(CONTROL!$C$42, 30, 30))/1000000</f>
        <v>19.053000000000001</v>
      </c>
      <c r="Z621" s="38"/>
      <c r="AA621" s="10"/>
      <c r="AB621" s="39"/>
      <c r="AC621" s="33">
        <f>(B621*194.205+C621*267.466+D621*133.845+E621*53.484+F621*40+G621*185+H621*0+I621*100+J621*300)/(194.205+267.466+133.845+53.484+0+40+185+100+300)</f>
        <v>16.472258726138147</v>
      </c>
      <c r="AD621" s="27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16.349405035971223</v>
      </c>
    </row>
    <row r="622" spans="1:30" ht="15.75" x14ac:dyDescent="0.25">
      <c r="A622" s="13">
        <v>60206</v>
      </c>
      <c r="B622" s="10">
        <f>CHOOSE(CONTROL!$C$42, 16.1309, 16.1309) * CHOOSE(CONTROL!$C$21, $C$9, 100%, $E$9)</f>
        <v>16.1309</v>
      </c>
      <c r="C622" s="10">
        <f>CHOOSE(CONTROL!$C$42, 16.1362, 16.1362) * CHOOSE(CONTROL!$C$21, $C$9, 100%, $E$9)</f>
        <v>16.136199999999999</v>
      </c>
      <c r="D622" s="10">
        <f>CHOOSE(CONTROL!$C$42, 16.3162, 16.3162) * CHOOSE(CONTROL!$C$21, $C$9, 100%, $E$9)</f>
        <v>16.316199999999998</v>
      </c>
      <c r="E622" s="10">
        <f>CHOOSE(CONTROL!$C$42, 16.3451, 16.3451) * CHOOSE(CONTROL!$C$21, $C$9, 100%, $E$9)</f>
        <v>16.345099999999999</v>
      </c>
      <c r="F622" s="10">
        <f>CHOOSE(CONTROL!$C$42, 16.0746, 16.0746)*CHOOSE(CONTROL!$C$21, $C$9, 100%, $E$9)</f>
        <v>16.0746</v>
      </c>
      <c r="G622" s="10">
        <f>CHOOSE(CONTROL!$C$42, 16.0912, 16.0912)*CHOOSE(CONTROL!$C$21, $C$9, 100%, $E$9)</f>
        <v>16.091200000000001</v>
      </c>
      <c r="H622" s="10">
        <f>CHOOSE(CONTROL!$C$42, 16.3353, 16.3353) * CHOOSE(CONTROL!$C$21, $C$9, 100%, $E$9)</f>
        <v>16.3353</v>
      </c>
      <c r="I622" s="10">
        <f>CHOOSE(CONTROL!$C$42, 16.1072, 16.1072)* CHOOSE(CONTROL!$C$21, $C$9, 100%, $E$9)</f>
        <v>16.107199999999999</v>
      </c>
      <c r="J622" s="10">
        <f>CHOOSE(CONTROL!$C$42, 16.0672, 16.0672)* CHOOSE(CONTROL!$C$21, $C$9, 100%, $E$9)</f>
        <v>16.0672</v>
      </c>
      <c r="K622" s="10">
        <f>CHOOSE(CONTROL!$C$42, 15.7619, 15.7619) * CHOOSE(CONTROL!$C$21, $C$9, 100%, $E$9)</f>
        <v>15.761900000000001</v>
      </c>
      <c r="L622" s="10">
        <f>CHOOSE(CONTROL!$C$42, 16.9223, 16.9223) * CHOOSE(CONTROL!$C$21, $C$9, 100%, $E$9)</f>
        <v>16.9223</v>
      </c>
      <c r="M622" s="10">
        <f>CHOOSE(CONTROL!$C$42, 15.8923, 15.8923) * CHOOSE(CONTROL!$C$21, $C$9, 100%, $E$9)</f>
        <v>15.892300000000001</v>
      </c>
      <c r="N622" s="10">
        <f>CHOOSE(CONTROL!$C$42, 15.9087, 15.9087) * CHOOSE(CONTROL!$C$21, $C$9, 100%, $E$9)</f>
        <v>15.9087</v>
      </c>
      <c r="O622" s="10">
        <f>CHOOSE(CONTROL!$C$42, 16.1568, 16.1568) * CHOOSE(CONTROL!$C$21, $C$9, 100%, $E$9)</f>
        <v>16.1568</v>
      </c>
      <c r="P622" s="10">
        <f>CHOOSE(CONTROL!$C$42, 15.9318, 15.9318) * CHOOSE(CONTROL!$C$21, $C$9, 100%, $E$9)</f>
        <v>15.931800000000001</v>
      </c>
      <c r="Q622" s="10">
        <f>CHOOSE(CONTROL!$C$42, 16.7521, 16.7521) * CHOOSE(CONTROL!$C$21, $C$9, 100%, $E$9)</f>
        <v>16.752099999999999</v>
      </c>
      <c r="R622" s="10">
        <f>CHOOSE(CONTROL!$C$42, 17.381, 17.381) * CHOOSE(CONTROL!$C$21, $C$9, 100%, $E$9)</f>
        <v>17.381</v>
      </c>
      <c r="S622" s="10">
        <f>CHOOSE(CONTROL!$C$42, 15.6358, 15.6358) * CHOOSE(CONTROL!$C$21, $C$9, 100%, $E$9)</f>
        <v>15.6358</v>
      </c>
      <c r="T6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38">
        <f>(1000*CHOOSE(CONTROL!$C$42, 695, 695)*CHOOSE(CONTROL!$C$42, 0.5599, 0.5599)*CHOOSE(CONTROL!$C$42, 31, 31))/1000000</f>
        <v>12.063045499999998</v>
      </c>
      <c r="V622" s="38">
        <f>(1000*CHOOSE(CONTROL!$C$42, 500, 500)*CHOOSE(CONTROL!$C$42, 0.275, 0.275)*CHOOSE(CONTROL!$C$42, 31, 31))/1000000</f>
        <v>4.2625000000000002</v>
      </c>
      <c r="W622" s="38">
        <f>(1000*CHOOSE(CONTROL!$C$42, 0.1146, 0.1146)*CHOOSE(CONTROL!$C$42, 121.5, 121.5)*CHOOSE(CONTROL!$C$42, 31, 31))/1000000</f>
        <v>0.43164089999999994</v>
      </c>
      <c r="X622" s="38">
        <f>(31*0.1790888*245000/1000000)+(31*0.2374*100000/1000000)</f>
        <v>2.0961194359999999</v>
      </c>
      <c r="Y622" s="38">
        <f>(1000*600*CHOOSE(CONTROL!$C$42, 1.0585, 1.0585)*CHOOSE(CONTROL!$C$42, 31, 31))/1000000</f>
        <v>19.688099999999999</v>
      </c>
      <c r="Z622" s="38"/>
      <c r="AA622" s="10"/>
      <c r="AB622" s="39"/>
      <c r="AC622" s="33">
        <f>(B622*131.881+C622*277.167+D622*79.08+E622*125.872+F622*40+G622*185+H622*0+I622*100+J622*300)/(131.881+277.167+79.08+125.872+0+40+185+100+300)</f>
        <v>16.140591518563355</v>
      </c>
      <c r="AD622" s="27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16.018808633093524</v>
      </c>
    </row>
    <row r="623" spans="1:30" ht="15.75" x14ac:dyDescent="0.25">
      <c r="A623" s="13">
        <v>60236</v>
      </c>
      <c r="B623" s="10">
        <f>CHOOSE(CONTROL!$C$42, 16.5558, 16.5558) * CHOOSE(CONTROL!$C$21, $C$9, 100%, $E$9)</f>
        <v>16.555800000000001</v>
      </c>
      <c r="C623" s="10">
        <f>CHOOSE(CONTROL!$C$42, 16.5609, 16.5609) * CHOOSE(CONTROL!$C$21, $C$9, 100%, $E$9)</f>
        <v>16.5609</v>
      </c>
      <c r="D623" s="10">
        <f>CHOOSE(CONTROL!$C$42, 16.5856, 16.5856) * CHOOSE(CONTROL!$C$21, $C$9, 100%, $E$9)</f>
        <v>16.585599999999999</v>
      </c>
      <c r="E623" s="10">
        <f>CHOOSE(CONTROL!$C$42, 16.6194, 16.6194) * CHOOSE(CONTROL!$C$21, $C$9, 100%, $E$9)</f>
        <v>16.619399999999999</v>
      </c>
      <c r="F623" s="10">
        <f>CHOOSE(CONTROL!$C$42, 16.5215, 16.5215)*CHOOSE(CONTROL!$C$21, $C$9, 100%, $E$9)</f>
        <v>16.5215</v>
      </c>
      <c r="G623" s="10">
        <f>CHOOSE(CONTROL!$C$42, 16.5383, 16.5383)*CHOOSE(CONTROL!$C$21, $C$9, 100%, $E$9)</f>
        <v>16.5383</v>
      </c>
      <c r="H623" s="10">
        <f>CHOOSE(CONTROL!$C$42, 16.6083, 16.6083) * CHOOSE(CONTROL!$C$21, $C$9, 100%, $E$9)</f>
        <v>16.6083</v>
      </c>
      <c r="I623" s="10">
        <f>CHOOSE(CONTROL!$C$42, 16.5553, 16.5553)* CHOOSE(CONTROL!$C$21, $C$9, 100%, $E$9)</f>
        <v>16.555299999999999</v>
      </c>
      <c r="J623" s="10">
        <f>CHOOSE(CONTROL!$C$42, 16.5141, 16.5141)* CHOOSE(CONTROL!$C$21, $C$9, 100%, $E$9)</f>
        <v>16.514099999999999</v>
      </c>
      <c r="K623" s="10">
        <f>CHOOSE(CONTROL!$C$42, 16.1978, 16.1978) * CHOOSE(CONTROL!$C$21, $C$9, 100%, $E$9)</f>
        <v>16.197800000000001</v>
      </c>
      <c r="L623" s="10">
        <f>CHOOSE(CONTROL!$C$42, 17.1953, 17.1953) * CHOOSE(CONTROL!$C$21, $C$9, 100%, $E$9)</f>
        <v>17.1953</v>
      </c>
      <c r="M623" s="10">
        <f>CHOOSE(CONTROL!$C$42, 16.3333, 16.3333) * CHOOSE(CONTROL!$C$21, $C$9, 100%, $E$9)</f>
        <v>16.333300000000001</v>
      </c>
      <c r="N623" s="10">
        <f>CHOOSE(CONTROL!$C$42, 16.3499, 16.3499) * CHOOSE(CONTROL!$C$21, $C$9, 100%, $E$9)</f>
        <v>16.349900000000002</v>
      </c>
      <c r="O623" s="10">
        <f>CHOOSE(CONTROL!$C$42, 16.4264, 16.4264) * CHOOSE(CONTROL!$C$21, $C$9, 100%, $E$9)</f>
        <v>16.426400000000001</v>
      </c>
      <c r="P623" s="10">
        <f>CHOOSE(CONTROL!$C$42, 16.3741, 16.3741) * CHOOSE(CONTROL!$C$21, $C$9, 100%, $E$9)</f>
        <v>16.374099999999999</v>
      </c>
      <c r="Q623" s="10">
        <f>CHOOSE(CONTROL!$C$42, 17.0217, 17.0217) * CHOOSE(CONTROL!$C$21, $C$9, 100%, $E$9)</f>
        <v>17.021699999999999</v>
      </c>
      <c r="R623" s="10">
        <f>CHOOSE(CONTROL!$C$42, 17.6512, 17.6512) * CHOOSE(CONTROL!$C$21, $C$9, 100%, $E$9)</f>
        <v>17.651199999999999</v>
      </c>
      <c r="S623" s="10">
        <f>CHOOSE(CONTROL!$C$42, 16.0477, 16.0477) * CHOOSE(CONTROL!$C$21, $C$9, 100%, $E$9)</f>
        <v>16.047699999999999</v>
      </c>
      <c r="T6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38">
        <f>(1000*CHOOSE(CONTROL!$C$42, 695, 695)*CHOOSE(CONTROL!$C$42, 0.5599, 0.5599)*CHOOSE(CONTROL!$C$42, 30, 30))/1000000</f>
        <v>11.673914999999997</v>
      </c>
      <c r="V623" s="38">
        <f>(1000*CHOOSE(CONTROL!$C$42, 500, 500)*CHOOSE(CONTROL!$C$42, 0.275, 0.275)*CHOOSE(CONTROL!$C$42, 30, 30))/1000000</f>
        <v>4.125</v>
      </c>
      <c r="W623" s="38">
        <f>(1000*CHOOSE(CONTROL!$C$42, 0.1146, 0.1146)*CHOOSE(CONTROL!$C$42, 121.5, 121.5)*CHOOSE(CONTROL!$C$42, 30, 30))/1000000</f>
        <v>0.417717</v>
      </c>
      <c r="X623" s="38">
        <f>(30*0.1790888*100000/1000000)+(30*0.2374*100000/1000000)</f>
        <v>1.2494664</v>
      </c>
      <c r="Y623" s="38">
        <f>(1000*600*CHOOSE(CONTROL!$C$42, 1.0585, 1.0585)*CHOOSE(CONTROL!$C$42, 30, 30))/1000000</f>
        <v>19.053000000000001</v>
      </c>
      <c r="Z623" s="38"/>
      <c r="AA623" s="10"/>
      <c r="AB623" s="39"/>
      <c r="AC623" s="33">
        <f>(B623*122.58+C623*297.941+D623*89.177+E623*40.302+F623*40+G623*160+H623*0+I623*100+J623*300)/(122.58+297.941+89.177+40.302+0+40+160+100+300)</f>
        <v>16.547111461652175</v>
      </c>
      <c r="AD623" s="27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16.382322302158272</v>
      </c>
    </row>
    <row r="624" spans="1:30" ht="15.75" x14ac:dyDescent="0.25">
      <c r="A624" s="13">
        <v>60267</v>
      </c>
      <c r="B624" s="10">
        <f>CHOOSE(CONTROL!$C$42, 17.6857, 17.6857) * CHOOSE(CONTROL!$C$21, $C$9, 100%, $E$9)</f>
        <v>17.685700000000001</v>
      </c>
      <c r="C624" s="10">
        <f>CHOOSE(CONTROL!$C$42, 17.6908, 17.6908) * CHOOSE(CONTROL!$C$21, $C$9, 100%, $E$9)</f>
        <v>17.690799999999999</v>
      </c>
      <c r="D624" s="10">
        <f>CHOOSE(CONTROL!$C$42, 17.7155, 17.7155) * CHOOSE(CONTROL!$C$21, $C$9, 100%, $E$9)</f>
        <v>17.715499999999999</v>
      </c>
      <c r="E624" s="10">
        <f>CHOOSE(CONTROL!$C$42, 17.7493, 17.7493) * CHOOSE(CONTROL!$C$21, $C$9, 100%, $E$9)</f>
        <v>17.749300000000002</v>
      </c>
      <c r="F624" s="10">
        <f>CHOOSE(CONTROL!$C$42, 17.6532, 17.6532)*CHOOSE(CONTROL!$C$21, $C$9, 100%, $E$9)</f>
        <v>17.653199999999998</v>
      </c>
      <c r="G624" s="10">
        <f>CHOOSE(CONTROL!$C$42, 17.6704, 17.6704)*CHOOSE(CONTROL!$C$21, $C$9, 100%, $E$9)</f>
        <v>17.670400000000001</v>
      </c>
      <c r="H624" s="10">
        <f>CHOOSE(CONTROL!$C$42, 17.7382, 17.7382) * CHOOSE(CONTROL!$C$21, $C$9, 100%, $E$9)</f>
        <v>17.738199999999999</v>
      </c>
      <c r="I624" s="10">
        <f>CHOOSE(CONTROL!$C$42, 17.6852, 17.6852)* CHOOSE(CONTROL!$C$21, $C$9, 100%, $E$9)</f>
        <v>17.685199999999998</v>
      </c>
      <c r="J624" s="10">
        <f>CHOOSE(CONTROL!$C$42, 17.6458, 17.6458)* CHOOSE(CONTROL!$C$21, $C$9, 100%, $E$9)</f>
        <v>17.645800000000001</v>
      </c>
      <c r="K624" s="10">
        <f>CHOOSE(CONTROL!$C$42, 17.2962, 17.2962) * CHOOSE(CONTROL!$C$21, $C$9, 100%, $E$9)</f>
        <v>17.296199999999999</v>
      </c>
      <c r="L624" s="10">
        <f>CHOOSE(CONTROL!$C$42, 18.3252, 18.3252) * CHOOSE(CONTROL!$C$21, $C$9, 100%, $E$9)</f>
        <v>18.325199999999999</v>
      </c>
      <c r="M624" s="10">
        <f>CHOOSE(CONTROL!$C$42, 17.4504, 17.4504) * CHOOSE(CONTROL!$C$21, $C$9, 100%, $E$9)</f>
        <v>17.450399999999998</v>
      </c>
      <c r="N624" s="10">
        <f>CHOOSE(CONTROL!$C$42, 17.4674, 17.4674) * CHOOSE(CONTROL!$C$21, $C$9, 100%, $E$9)</f>
        <v>17.467400000000001</v>
      </c>
      <c r="O624" s="10">
        <f>CHOOSE(CONTROL!$C$42, 17.5416, 17.5416) * CHOOSE(CONTROL!$C$21, $C$9, 100%, $E$9)</f>
        <v>17.541599999999999</v>
      </c>
      <c r="P624" s="10">
        <f>CHOOSE(CONTROL!$C$42, 17.4894, 17.4894) * CHOOSE(CONTROL!$C$21, $C$9, 100%, $E$9)</f>
        <v>17.4894</v>
      </c>
      <c r="Q624" s="10">
        <f>CHOOSE(CONTROL!$C$42, 18.1369, 18.1369) * CHOOSE(CONTROL!$C$21, $C$9, 100%, $E$9)</f>
        <v>18.136900000000001</v>
      </c>
      <c r="R624" s="10">
        <f>CHOOSE(CONTROL!$C$42, 18.7693, 18.7693) * CHOOSE(CONTROL!$C$21, $C$9, 100%, $E$9)</f>
        <v>18.769300000000001</v>
      </c>
      <c r="S624" s="10">
        <f>CHOOSE(CONTROL!$C$42, 17.1418, 17.1418) * CHOOSE(CONTROL!$C$21, $C$9, 100%, $E$9)</f>
        <v>17.1418</v>
      </c>
      <c r="T6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38">
        <f>(1000*CHOOSE(CONTROL!$C$42, 695, 695)*CHOOSE(CONTROL!$C$42, 0.5599, 0.5599)*CHOOSE(CONTROL!$C$42, 31, 31))/1000000</f>
        <v>12.063045499999998</v>
      </c>
      <c r="V624" s="38">
        <f>(1000*CHOOSE(CONTROL!$C$42, 500, 500)*CHOOSE(CONTROL!$C$42, 0.275, 0.275)*CHOOSE(CONTROL!$C$42, 31, 31))/1000000</f>
        <v>4.2625000000000002</v>
      </c>
      <c r="W624" s="38">
        <f>(1000*CHOOSE(CONTROL!$C$42, 0.1146, 0.1146)*CHOOSE(CONTROL!$C$42, 121.5, 121.5)*CHOOSE(CONTROL!$C$42, 31, 31))/1000000</f>
        <v>0.43164089999999994</v>
      </c>
      <c r="X624" s="38">
        <f>(31*0.1790888*100000/1000000)+(31*0.2374*100000/1000000)</f>
        <v>1.2911152800000001</v>
      </c>
      <c r="Y624" s="38">
        <f>(1000*600*CHOOSE(CONTROL!$C$42, 1.0585, 1.0585)*CHOOSE(CONTROL!$C$42, 31, 31))/1000000</f>
        <v>19.688099999999999</v>
      </c>
      <c r="Z624" s="38"/>
      <c r="AA624" s="10"/>
      <c r="AB624" s="39"/>
      <c r="AC624" s="33">
        <f>(B624*122.58+C624*297.941+D624*89.177+E624*40.302+F624*40+G624*160+H624*0+I624*100+J624*300)/(122.58+297.941+89.177+40.302+0+40+160+100+300)</f>
        <v>17.677849722521742</v>
      </c>
      <c r="AD624" s="27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17.498325179856113</v>
      </c>
    </row>
    <row r="625" spans="1:30" ht="15.75" x14ac:dyDescent="0.25">
      <c r="A625" s="13">
        <v>60298</v>
      </c>
      <c r="B625" s="10">
        <f>CHOOSE(CONTROL!$C$42, 18.8805, 18.8805) * CHOOSE(CONTROL!$C$21, $C$9, 100%, $E$9)</f>
        <v>18.880500000000001</v>
      </c>
      <c r="C625" s="10">
        <f>CHOOSE(CONTROL!$C$42, 18.8856, 18.8856) * CHOOSE(CONTROL!$C$21, $C$9, 100%, $E$9)</f>
        <v>18.8856</v>
      </c>
      <c r="D625" s="10">
        <f>CHOOSE(CONTROL!$C$42, 18.9206, 18.9206) * CHOOSE(CONTROL!$C$21, $C$9, 100%, $E$9)</f>
        <v>18.9206</v>
      </c>
      <c r="E625" s="10">
        <f>CHOOSE(CONTROL!$C$42, 18.9544, 18.9544) * CHOOSE(CONTROL!$C$21, $C$9, 100%, $E$9)</f>
        <v>18.9544</v>
      </c>
      <c r="F625" s="10">
        <f>CHOOSE(CONTROL!$C$42, 18.8618, 18.8618)*CHOOSE(CONTROL!$C$21, $C$9, 100%, $E$9)</f>
        <v>18.861799999999999</v>
      </c>
      <c r="G625" s="10">
        <f>CHOOSE(CONTROL!$C$42, 18.8807, 18.8807)*CHOOSE(CONTROL!$C$21, $C$9, 100%, $E$9)</f>
        <v>18.880700000000001</v>
      </c>
      <c r="H625" s="10">
        <f>CHOOSE(CONTROL!$C$42, 18.9433, 18.9433) * CHOOSE(CONTROL!$C$21, $C$9, 100%, $E$9)</f>
        <v>18.943300000000001</v>
      </c>
      <c r="I625" s="10">
        <f>CHOOSE(CONTROL!$C$42, 18.8878, 18.8878)* CHOOSE(CONTROL!$C$21, $C$9, 100%, $E$9)</f>
        <v>18.887799999999999</v>
      </c>
      <c r="J625" s="10">
        <f>CHOOSE(CONTROL!$C$42, 18.8544, 18.8544)* CHOOSE(CONTROL!$C$21, $C$9, 100%, $E$9)</f>
        <v>18.854399999999998</v>
      </c>
      <c r="K625" s="10">
        <f>CHOOSE(CONTROL!$C$42, 18.4745, 18.4745) * CHOOSE(CONTROL!$C$21, $C$9, 100%, $E$9)</f>
        <v>18.474499999999999</v>
      </c>
      <c r="L625" s="10">
        <f>CHOOSE(CONTROL!$C$42, 19.5303, 19.5303) * CHOOSE(CONTROL!$C$21, $C$9, 100%, $E$9)</f>
        <v>19.5303</v>
      </c>
      <c r="M625" s="10">
        <f>CHOOSE(CONTROL!$C$42, 18.6434, 18.6434) * CHOOSE(CONTROL!$C$21, $C$9, 100%, $E$9)</f>
        <v>18.6434</v>
      </c>
      <c r="N625" s="10">
        <f>CHOOSE(CONTROL!$C$42, 18.662, 18.662) * CHOOSE(CONTROL!$C$21, $C$9, 100%, $E$9)</f>
        <v>18.661999999999999</v>
      </c>
      <c r="O625" s="10">
        <f>CHOOSE(CONTROL!$C$42, 18.7311, 18.7311) * CHOOSE(CONTROL!$C$21, $C$9, 100%, $E$9)</f>
        <v>18.731100000000001</v>
      </c>
      <c r="P625" s="10">
        <f>CHOOSE(CONTROL!$C$42, 18.6764, 18.6764) * CHOOSE(CONTROL!$C$21, $C$9, 100%, $E$9)</f>
        <v>18.676400000000001</v>
      </c>
      <c r="Q625" s="10">
        <f>CHOOSE(CONTROL!$C$42, 19.3264, 19.3264) * CHOOSE(CONTROL!$C$21, $C$9, 100%, $E$9)</f>
        <v>19.3264</v>
      </c>
      <c r="R625" s="10">
        <f>CHOOSE(CONTROL!$C$42, 19.9618, 19.9618) * CHOOSE(CONTROL!$C$21, $C$9, 100%, $E$9)</f>
        <v>19.9618</v>
      </c>
      <c r="S625" s="10">
        <f>CHOOSE(CONTROL!$C$42, 18.2987, 18.2987) * CHOOSE(CONTROL!$C$21, $C$9, 100%, $E$9)</f>
        <v>18.2987</v>
      </c>
      <c r="T6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38">
        <f>(1000*CHOOSE(CONTROL!$C$42, 695, 695)*CHOOSE(CONTROL!$C$42, 0.5599, 0.5599)*CHOOSE(CONTROL!$C$42, 31, 31))/1000000</f>
        <v>12.063045499999998</v>
      </c>
      <c r="V625" s="38">
        <f>(1000*CHOOSE(CONTROL!$C$42, 500, 500)*CHOOSE(CONTROL!$C$42, 0.275, 0.275)*CHOOSE(CONTROL!$C$42, 31, 31))/1000000</f>
        <v>4.2625000000000002</v>
      </c>
      <c r="W625" s="38">
        <f>(1000*CHOOSE(CONTROL!$C$42, 0.1146, 0.1146)*CHOOSE(CONTROL!$C$42, 121.5, 121.5)*CHOOSE(CONTROL!$C$42, 31, 31))/1000000</f>
        <v>0.43164089999999994</v>
      </c>
      <c r="X625" s="38">
        <f>(31*0.1790888*100000/1000000)+(31*0.2374*100000/1000000)</f>
        <v>1.2911152800000001</v>
      </c>
      <c r="Y625" s="38">
        <f>(1000*600*CHOOSE(CONTROL!$C$42, 1.0585, 1.0585)*CHOOSE(CONTROL!$C$42, 31, 31))/1000000</f>
        <v>19.688099999999999</v>
      </c>
      <c r="Z625" s="38"/>
      <c r="AA625" s="10"/>
      <c r="AB625" s="39"/>
      <c r="AC625" s="33">
        <f>(B625*122.58+C625*297.941+D625*89.177+E625*40.302+F625*40+G625*160+H625*0+I625*100+J625*300)/(122.58+297.941+89.177+40.302+0+40+160+100+300)</f>
        <v>18.880724186608695</v>
      </c>
      <c r="AD625" s="27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18.688967625899281</v>
      </c>
    </row>
    <row r="626" spans="1:30" ht="15.75" x14ac:dyDescent="0.25">
      <c r="A626" s="13">
        <v>60326</v>
      </c>
      <c r="B626" s="10">
        <f>CHOOSE(CONTROL!$C$42, 19.2169, 19.2169) * CHOOSE(CONTROL!$C$21, $C$9, 100%, $E$9)</f>
        <v>19.216899999999999</v>
      </c>
      <c r="C626" s="10">
        <f>CHOOSE(CONTROL!$C$42, 19.222, 19.222) * CHOOSE(CONTROL!$C$21, $C$9, 100%, $E$9)</f>
        <v>19.222000000000001</v>
      </c>
      <c r="D626" s="10">
        <f>CHOOSE(CONTROL!$C$42, 19.257, 19.257) * CHOOSE(CONTROL!$C$21, $C$9, 100%, $E$9)</f>
        <v>19.257000000000001</v>
      </c>
      <c r="E626" s="10">
        <f>CHOOSE(CONTROL!$C$42, 19.2908, 19.2908) * CHOOSE(CONTROL!$C$21, $C$9, 100%, $E$9)</f>
        <v>19.290800000000001</v>
      </c>
      <c r="F626" s="10">
        <f>CHOOSE(CONTROL!$C$42, 19.1977, 19.1977)*CHOOSE(CONTROL!$C$21, $C$9, 100%, $E$9)</f>
        <v>19.197700000000001</v>
      </c>
      <c r="G626" s="10">
        <f>CHOOSE(CONTROL!$C$42, 19.2164, 19.2164)*CHOOSE(CONTROL!$C$21, $C$9, 100%, $E$9)</f>
        <v>19.2164</v>
      </c>
      <c r="H626" s="10">
        <f>CHOOSE(CONTROL!$C$42, 19.2797, 19.2797) * CHOOSE(CONTROL!$C$21, $C$9, 100%, $E$9)</f>
        <v>19.279699999999998</v>
      </c>
      <c r="I626" s="10">
        <f>CHOOSE(CONTROL!$C$42, 19.2242, 19.2242)* CHOOSE(CONTROL!$C$21, $C$9, 100%, $E$9)</f>
        <v>19.2242</v>
      </c>
      <c r="J626" s="10">
        <f>CHOOSE(CONTROL!$C$42, 19.1903, 19.1903)* CHOOSE(CONTROL!$C$21, $C$9, 100%, $E$9)</f>
        <v>19.190300000000001</v>
      </c>
      <c r="K626" s="10">
        <f>CHOOSE(CONTROL!$C$42, 18.7993, 18.7993) * CHOOSE(CONTROL!$C$21, $C$9, 100%, $E$9)</f>
        <v>18.799299999999999</v>
      </c>
      <c r="L626" s="10">
        <f>CHOOSE(CONTROL!$C$42, 19.8667, 19.8667) * CHOOSE(CONTROL!$C$21, $C$9, 100%, $E$9)</f>
        <v>19.866700000000002</v>
      </c>
      <c r="M626" s="10">
        <f>CHOOSE(CONTROL!$C$42, 18.9749, 18.9749) * CHOOSE(CONTROL!$C$21, $C$9, 100%, $E$9)</f>
        <v>18.974900000000002</v>
      </c>
      <c r="N626" s="10">
        <f>CHOOSE(CONTROL!$C$42, 18.9934, 18.9934) * CHOOSE(CONTROL!$C$21, $C$9, 100%, $E$9)</f>
        <v>18.993400000000001</v>
      </c>
      <c r="O626" s="10">
        <f>CHOOSE(CONTROL!$C$42, 19.0632, 19.0632) * CHOOSE(CONTROL!$C$21, $C$9, 100%, $E$9)</f>
        <v>19.063199999999998</v>
      </c>
      <c r="P626" s="10">
        <f>CHOOSE(CONTROL!$C$42, 19.0084, 19.0084) * CHOOSE(CONTROL!$C$21, $C$9, 100%, $E$9)</f>
        <v>19.008400000000002</v>
      </c>
      <c r="Q626" s="10">
        <f>CHOOSE(CONTROL!$C$42, 19.6585, 19.6585) * CHOOSE(CONTROL!$C$21, $C$9, 100%, $E$9)</f>
        <v>19.6585</v>
      </c>
      <c r="R626" s="10">
        <f>CHOOSE(CONTROL!$C$42, 20.2946, 20.2946) * CHOOSE(CONTROL!$C$21, $C$9, 100%, $E$9)</f>
        <v>20.294599999999999</v>
      </c>
      <c r="S626" s="10">
        <f>CHOOSE(CONTROL!$C$42, 18.6244, 18.6244) * CHOOSE(CONTROL!$C$21, $C$9, 100%, $E$9)</f>
        <v>18.624400000000001</v>
      </c>
      <c r="T62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6" s="38">
        <f>(1000*CHOOSE(CONTROL!$C$42, 695, 695)*CHOOSE(CONTROL!$C$42, 0.5599, 0.5599)*CHOOSE(CONTROL!$C$42, 28, 28))/1000000</f>
        <v>10.895653999999999</v>
      </c>
      <c r="V626" s="38">
        <f>(1000*CHOOSE(CONTROL!$C$42, 500, 500)*CHOOSE(CONTROL!$C$42, 0.275, 0.275)*CHOOSE(CONTROL!$C$42, 28, 28))/1000000</f>
        <v>3.85</v>
      </c>
      <c r="W626" s="38">
        <f>(1000*CHOOSE(CONTROL!$C$42, 0.1146, 0.1146)*CHOOSE(CONTROL!$C$42, 121.5, 121.5)*CHOOSE(CONTROL!$C$42, 28, 28))/1000000</f>
        <v>0.38986920000000003</v>
      </c>
      <c r="X626" s="38">
        <f>(28*0.1790888*100000/1000000)+(28*0.2374*100000/1000000)</f>
        <v>1.16616864</v>
      </c>
      <c r="Y626" s="38">
        <f>(1000*600*CHOOSE(CONTROL!$C$42, 1.0585, 1.0585)*CHOOSE(CONTROL!$C$42, 28, 28))/1000000</f>
        <v>17.782800000000002</v>
      </c>
      <c r="Z626" s="38"/>
      <c r="AA626" s="10"/>
      <c r="AB626" s="39"/>
      <c r="AC626" s="33">
        <f>(B626*122.58+C626*297.941+D626*89.177+E626*40.302+F626*40+G626*160+H626*0+I626*100+J626*300)/(122.58+297.941+89.177+40.302+0+40+160+100+300)</f>
        <v>19.21687896921739</v>
      </c>
      <c r="AD626" s="27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19.020805755395681</v>
      </c>
    </row>
    <row r="627" spans="1:30" ht="15.75" x14ac:dyDescent="0.25">
      <c r="A627" s="13">
        <v>60357</v>
      </c>
      <c r="B627" s="10">
        <f>CHOOSE(CONTROL!$C$42, 18.6709, 18.6709) * CHOOSE(CONTROL!$C$21, $C$9, 100%, $E$9)</f>
        <v>18.6709</v>
      </c>
      <c r="C627" s="10">
        <f>CHOOSE(CONTROL!$C$42, 18.676, 18.676) * CHOOSE(CONTROL!$C$21, $C$9, 100%, $E$9)</f>
        <v>18.675999999999998</v>
      </c>
      <c r="D627" s="10">
        <f>CHOOSE(CONTROL!$C$42, 18.711, 18.711) * CHOOSE(CONTROL!$C$21, $C$9, 100%, $E$9)</f>
        <v>18.710999999999999</v>
      </c>
      <c r="E627" s="10">
        <f>CHOOSE(CONTROL!$C$42, 18.7448, 18.7448) * CHOOSE(CONTROL!$C$21, $C$9, 100%, $E$9)</f>
        <v>18.744800000000001</v>
      </c>
      <c r="F627" s="10">
        <f>CHOOSE(CONTROL!$C$42, 18.6502, 18.6502)*CHOOSE(CONTROL!$C$21, $C$9, 100%, $E$9)</f>
        <v>18.650200000000002</v>
      </c>
      <c r="G627" s="10">
        <f>CHOOSE(CONTROL!$C$42, 18.6686, 18.6686)*CHOOSE(CONTROL!$C$21, $C$9, 100%, $E$9)</f>
        <v>18.668600000000001</v>
      </c>
      <c r="H627" s="10">
        <f>CHOOSE(CONTROL!$C$42, 18.7337, 18.7337) * CHOOSE(CONTROL!$C$21, $C$9, 100%, $E$9)</f>
        <v>18.733699999999999</v>
      </c>
      <c r="I627" s="10">
        <f>CHOOSE(CONTROL!$C$42, 18.6781, 18.6781)* CHOOSE(CONTROL!$C$21, $C$9, 100%, $E$9)</f>
        <v>18.678100000000001</v>
      </c>
      <c r="J627" s="10">
        <f>CHOOSE(CONTROL!$C$42, 18.6428, 18.6428)* CHOOSE(CONTROL!$C$21, $C$9, 100%, $E$9)</f>
        <v>18.642800000000001</v>
      </c>
      <c r="K627" s="10">
        <f>CHOOSE(CONTROL!$C$42, 18.2673, 18.2673) * CHOOSE(CONTROL!$C$21, $C$9, 100%, $E$9)</f>
        <v>18.267299999999999</v>
      </c>
      <c r="L627" s="10">
        <f>CHOOSE(CONTROL!$C$42, 19.3207, 19.3207) * CHOOSE(CONTROL!$C$21, $C$9, 100%, $E$9)</f>
        <v>19.320699999999999</v>
      </c>
      <c r="M627" s="10">
        <f>CHOOSE(CONTROL!$C$42, 18.4345, 18.4345) * CHOOSE(CONTROL!$C$21, $C$9, 100%, $E$9)</f>
        <v>18.4345</v>
      </c>
      <c r="N627" s="10">
        <f>CHOOSE(CONTROL!$C$42, 18.4527, 18.4527) * CHOOSE(CONTROL!$C$21, $C$9, 100%, $E$9)</f>
        <v>18.4527</v>
      </c>
      <c r="O627" s="10">
        <f>CHOOSE(CONTROL!$C$42, 18.5242, 18.5242) * CHOOSE(CONTROL!$C$21, $C$9, 100%, $E$9)</f>
        <v>18.5242</v>
      </c>
      <c r="P627" s="10">
        <f>CHOOSE(CONTROL!$C$42, 18.4694, 18.4694) * CHOOSE(CONTROL!$C$21, $C$9, 100%, $E$9)</f>
        <v>18.4694</v>
      </c>
      <c r="Q627" s="10">
        <f>CHOOSE(CONTROL!$C$42, 19.1195, 19.1195) * CHOOSE(CONTROL!$C$21, $C$9, 100%, $E$9)</f>
        <v>19.119499999999999</v>
      </c>
      <c r="R627" s="10">
        <f>CHOOSE(CONTROL!$C$42, 19.7543, 19.7543) * CHOOSE(CONTROL!$C$21, $C$9, 100%, $E$9)</f>
        <v>19.754300000000001</v>
      </c>
      <c r="S627" s="10">
        <f>CHOOSE(CONTROL!$C$42, 18.0957, 18.0957) * CHOOSE(CONTROL!$C$21, $C$9, 100%, $E$9)</f>
        <v>18.095700000000001</v>
      </c>
      <c r="T6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38">
        <f>(1000*CHOOSE(CONTROL!$C$42, 695, 695)*CHOOSE(CONTROL!$C$42, 0.5599, 0.5599)*CHOOSE(CONTROL!$C$42, 31, 31))/1000000</f>
        <v>12.063045499999998</v>
      </c>
      <c r="V627" s="38">
        <f>(1000*CHOOSE(CONTROL!$C$42, 500, 500)*CHOOSE(CONTROL!$C$42, 0.275, 0.275)*CHOOSE(CONTROL!$C$42, 31, 31))/1000000</f>
        <v>4.2625000000000002</v>
      </c>
      <c r="W627" s="38">
        <f>(1000*CHOOSE(CONTROL!$C$42, 0.1146, 0.1146)*CHOOSE(CONTROL!$C$42, 121.5, 121.5)*CHOOSE(CONTROL!$C$42, 31, 31))/1000000</f>
        <v>0.43164089999999994</v>
      </c>
      <c r="X627" s="38">
        <f>(31*0.1790888*100000/1000000)+(31*0.2374*100000/1000000)</f>
        <v>1.2911152800000001</v>
      </c>
      <c r="Y627" s="38">
        <f>(1000*600*CHOOSE(CONTROL!$C$42, 1.0585, 1.0585)*CHOOSE(CONTROL!$C$42, 31, 31))/1000000</f>
        <v>19.688099999999999</v>
      </c>
      <c r="Z627" s="38"/>
      <c r="AA627" s="10"/>
      <c r="AB627" s="39"/>
      <c r="AC627" s="33">
        <f>(B627*122.58+C627*297.941+D627*89.177+E627*40.302+F627*40+G627*160+H627*0+I627*100+J627*300)/(122.58+297.941+89.177+40.302+0+40+160+100+300)</f>
        <v>18.67017636052174</v>
      </c>
      <c r="AD627" s="27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18.481224460431655</v>
      </c>
    </row>
    <row r="628" spans="1:30" ht="15.75" x14ac:dyDescent="0.25">
      <c r="A628" s="13">
        <v>60387</v>
      </c>
      <c r="B628" s="10">
        <f>CHOOSE(CONTROL!$C$42, 18.6157, 18.6157) * CHOOSE(CONTROL!$C$21, $C$9, 100%, $E$9)</f>
        <v>18.6157</v>
      </c>
      <c r="C628" s="10">
        <f>CHOOSE(CONTROL!$C$42, 18.6202, 18.6202) * CHOOSE(CONTROL!$C$21, $C$9, 100%, $E$9)</f>
        <v>18.620200000000001</v>
      </c>
      <c r="D628" s="10">
        <f>CHOOSE(CONTROL!$C$42, 18.7984, 18.7984) * CHOOSE(CONTROL!$C$21, $C$9, 100%, $E$9)</f>
        <v>18.798400000000001</v>
      </c>
      <c r="E628" s="10">
        <f>CHOOSE(CONTROL!$C$42, 18.8303, 18.8303) * CHOOSE(CONTROL!$C$21, $C$9, 100%, $E$9)</f>
        <v>18.830300000000001</v>
      </c>
      <c r="F628" s="10">
        <f>CHOOSE(CONTROL!$C$42, 18.5591, 18.5591)*CHOOSE(CONTROL!$C$21, $C$9, 100%, $E$9)</f>
        <v>18.559100000000001</v>
      </c>
      <c r="G628" s="10">
        <f>CHOOSE(CONTROL!$C$42, 18.5757, 18.5757)*CHOOSE(CONTROL!$C$21, $C$9, 100%, $E$9)</f>
        <v>18.575700000000001</v>
      </c>
      <c r="H628" s="10">
        <f>CHOOSE(CONTROL!$C$42, 18.8197, 18.8197) * CHOOSE(CONTROL!$C$21, $C$9, 100%, $E$9)</f>
        <v>18.819700000000001</v>
      </c>
      <c r="I628" s="10">
        <f>CHOOSE(CONTROL!$C$42, 18.5917, 18.5917)* CHOOSE(CONTROL!$C$21, $C$9, 100%, $E$9)</f>
        <v>18.591699999999999</v>
      </c>
      <c r="J628" s="10">
        <f>CHOOSE(CONTROL!$C$42, 18.5517, 18.5517)* CHOOSE(CONTROL!$C$21, $C$9, 100%, $E$9)</f>
        <v>18.5517</v>
      </c>
      <c r="K628" s="10">
        <f>CHOOSE(CONTROL!$C$42, 18.1688, 18.1688) * CHOOSE(CONTROL!$C$21, $C$9, 100%, $E$9)</f>
        <v>18.168800000000001</v>
      </c>
      <c r="L628" s="10">
        <f>CHOOSE(CONTROL!$C$42, 19.4067, 19.4067) * CHOOSE(CONTROL!$C$21, $C$9, 100%, $E$9)</f>
        <v>19.406700000000001</v>
      </c>
      <c r="M628" s="10">
        <f>CHOOSE(CONTROL!$C$42, 18.3446, 18.3446) * CHOOSE(CONTROL!$C$21, $C$9, 100%, $E$9)</f>
        <v>18.3446</v>
      </c>
      <c r="N628" s="10">
        <f>CHOOSE(CONTROL!$C$42, 18.361, 18.361) * CHOOSE(CONTROL!$C$21, $C$9, 100%, $E$9)</f>
        <v>18.361000000000001</v>
      </c>
      <c r="O628" s="10">
        <f>CHOOSE(CONTROL!$C$42, 18.6091, 18.6091) * CHOOSE(CONTROL!$C$21, $C$9, 100%, $E$9)</f>
        <v>18.609100000000002</v>
      </c>
      <c r="P628" s="10">
        <f>CHOOSE(CONTROL!$C$42, 18.3841, 18.3841) * CHOOSE(CONTROL!$C$21, $C$9, 100%, $E$9)</f>
        <v>18.3841</v>
      </c>
      <c r="Q628" s="10">
        <f>CHOOSE(CONTROL!$C$42, 19.2044, 19.2044) * CHOOSE(CONTROL!$C$21, $C$9, 100%, $E$9)</f>
        <v>19.2044</v>
      </c>
      <c r="R628" s="10">
        <f>CHOOSE(CONTROL!$C$42, 19.8394, 19.8394) * CHOOSE(CONTROL!$C$21, $C$9, 100%, $E$9)</f>
        <v>19.839400000000001</v>
      </c>
      <c r="S628" s="10">
        <f>CHOOSE(CONTROL!$C$42, 18.0415, 18.0415) * CHOOSE(CONTROL!$C$21, $C$9, 100%, $E$9)</f>
        <v>18.041499999999999</v>
      </c>
      <c r="T6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38">
        <f>(1000*CHOOSE(CONTROL!$C$42, 695, 695)*CHOOSE(CONTROL!$C$42, 0.5599, 0.5599)*CHOOSE(CONTROL!$C$42, 30, 30))/1000000</f>
        <v>11.673914999999997</v>
      </c>
      <c r="V628" s="38">
        <f>(1000*CHOOSE(CONTROL!$C$42, 500, 500)*CHOOSE(CONTROL!$C$42, 0.275, 0.275)*CHOOSE(CONTROL!$C$42, 30, 30))/1000000</f>
        <v>4.125</v>
      </c>
      <c r="W628" s="38">
        <f>(1000*CHOOSE(CONTROL!$C$42, 0.1146, 0.1146)*CHOOSE(CONTROL!$C$42, 121.5, 121.5)*CHOOSE(CONTROL!$C$42, 30, 30))/1000000</f>
        <v>0.417717</v>
      </c>
      <c r="X628" s="38">
        <f>(30*0.1790888*245000/1000000)+(30*0.2374*100000/1000000)</f>
        <v>2.0285026799999999</v>
      </c>
      <c r="Y628" s="38">
        <f>(1000*600*CHOOSE(CONTROL!$C$42, 1.0585, 1.0585)*CHOOSE(CONTROL!$C$42, 30, 30))/1000000</f>
        <v>19.053000000000001</v>
      </c>
      <c r="Z628" s="38"/>
      <c r="AA628" s="10"/>
      <c r="AB628" s="39"/>
      <c r="AC628" s="33">
        <f>(B628*141.293+C628*267.993+D628*115.016+E628*89.698+F628*40+G628*185+H628*0+I628*100+J628*300)/(141.293+267.993+115.016+89.698+0+40+185+100+300)</f>
        <v>18.623936144067798</v>
      </c>
      <c r="AD628" s="27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18.471108633093525</v>
      </c>
    </row>
    <row r="629" spans="1:30" ht="15.75" x14ac:dyDescent="0.25">
      <c r="A629" s="13">
        <v>60418</v>
      </c>
      <c r="B629" s="10">
        <f>CHOOSE(CONTROL!$C$42, 18.7819, 18.7819) * CHOOSE(CONTROL!$C$21, $C$9, 100%, $E$9)</f>
        <v>18.7819</v>
      </c>
      <c r="C629" s="10">
        <f>CHOOSE(CONTROL!$C$42, 18.7899, 18.7899) * CHOOSE(CONTROL!$C$21, $C$9, 100%, $E$9)</f>
        <v>18.789899999999999</v>
      </c>
      <c r="D629" s="10">
        <f>CHOOSE(CONTROL!$C$42, 18.965, 18.965) * CHOOSE(CONTROL!$C$21, $C$9, 100%, $E$9)</f>
        <v>18.965</v>
      </c>
      <c r="E629" s="10">
        <f>CHOOSE(CONTROL!$C$42, 18.9962, 18.9962) * CHOOSE(CONTROL!$C$21, $C$9, 100%, $E$9)</f>
        <v>18.996200000000002</v>
      </c>
      <c r="F629" s="10">
        <f>CHOOSE(CONTROL!$C$42, 18.7236, 18.7236)*CHOOSE(CONTROL!$C$21, $C$9, 100%, $E$9)</f>
        <v>18.723600000000001</v>
      </c>
      <c r="G629" s="10">
        <f>CHOOSE(CONTROL!$C$42, 18.7405, 18.7405)*CHOOSE(CONTROL!$C$21, $C$9, 100%, $E$9)</f>
        <v>18.740500000000001</v>
      </c>
      <c r="H629" s="10">
        <f>CHOOSE(CONTROL!$C$42, 18.9846, 18.9846) * CHOOSE(CONTROL!$C$21, $C$9, 100%, $E$9)</f>
        <v>18.9846</v>
      </c>
      <c r="I629" s="10">
        <f>CHOOSE(CONTROL!$C$42, 18.7565, 18.7565)* CHOOSE(CONTROL!$C$21, $C$9, 100%, $E$9)</f>
        <v>18.756499999999999</v>
      </c>
      <c r="J629" s="10">
        <f>CHOOSE(CONTROL!$C$42, 18.7162, 18.7162)* CHOOSE(CONTROL!$C$21, $C$9, 100%, $E$9)</f>
        <v>18.716200000000001</v>
      </c>
      <c r="K629" s="10">
        <f>CHOOSE(CONTROL!$C$42, 18.3276, 18.3276) * CHOOSE(CONTROL!$C$21, $C$9, 100%, $E$9)</f>
        <v>18.3276</v>
      </c>
      <c r="L629" s="10">
        <f>CHOOSE(CONTROL!$C$42, 19.5716, 19.5716) * CHOOSE(CONTROL!$C$21, $C$9, 100%, $E$9)</f>
        <v>19.5716</v>
      </c>
      <c r="M629" s="10">
        <f>CHOOSE(CONTROL!$C$42, 18.5069, 18.5069) * CHOOSE(CONTROL!$C$21, $C$9, 100%, $E$9)</f>
        <v>18.506900000000002</v>
      </c>
      <c r="N629" s="10">
        <f>CHOOSE(CONTROL!$C$42, 18.5236, 18.5236) * CHOOSE(CONTROL!$C$21, $C$9, 100%, $E$9)</f>
        <v>18.523599999999998</v>
      </c>
      <c r="O629" s="10">
        <f>CHOOSE(CONTROL!$C$42, 18.7718, 18.7718) * CHOOSE(CONTROL!$C$21, $C$9, 100%, $E$9)</f>
        <v>18.771799999999999</v>
      </c>
      <c r="P629" s="10">
        <f>CHOOSE(CONTROL!$C$42, 18.5468, 18.5468) * CHOOSE(CONTROL!$C$21, $C$9, 100%, $E$9)</f>
        <v>18.546800000000001</v>
      </c>
      <c r="Q629" s="10">
        <f>CHOOSE(CONTROL!$C$42, 19.3671, 19.3671) * CHOOSE(CONTROL!$C$21, $C$9, 100%, $E$9)</f>
        <v>19.367100000000001</v>
      </c>
      <c r="R629" s="10">
        <f>CHOOSE(CONTROL!$C$42, 20.0026, 20.0026) * CHOOSE(CONTROL!$C$21, $C$9, 100%, $E$9)</f>
        <v>20.002600000000001</v>
      </c>
      <c r="S629" s="10">
        <f>CHOOSE(CONTROL!$C$42, 18.2011, 18.2011) * CHOOSE(CONTROL!$C$21, $C$9, 100%, $E$9)</f>
        <v>18.2011</v>
      </c>
      <c r="T62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38">
        <f>(1000*CHOOSE(CONTROL!$C$42, 695, 695)*CHOOSE(CONTROL!$C$42, 0.5599, 0.5599)*CHOOSE(CONTROL!$C$42, 31, 31))/1000000</f>
        <v>12.063045499999998</v>
      </c>
      <c r="V629" s="38">
        <f>(1000*CHOOSE(CONTROL!$C$42, 500, 500)*CHOOSE(CONTROL!$C$42, 0.275, 0.275)*CHOOSE(CONTROL!$C$42, 31, 31))/1000000</f>
        <v>4.2625000000000002</v>
      </c>
      <c r="W629" s="38">
        <f>(1000*CHOOSE(CONTROL!$C$42, 0.1146, 0.1146)*CHOOSE(CONTROL!$C$42, 121.5, 121.5)*CHOOSE(CONTROL!$C$42, 31, 31))/1000000</f>
        <v>0.43164089999999994</v>
      </c>
      <c r="X629" s="38">
        <f>(31*0.1790888*245000/1000000)+(31*0.2374*100000/1000000)</f>
        <v>2.0961194359999999</v>
      </c>
      <c r="Y629" s="38">
        <f>(1000*600*CHOOSE(CONTROL!$C$42, 1.0585, 1.0585)*CHOOSE(CONTROL!$C$42, 31, 31))/1000000</f>
        <v>19.688099999999999</v>
      </c>
      <c r="Z629" s="38"/>
      <c r="AA629" s="10"/>
      <c r="AB629" s="39"/>
      <c r="AC629" s="33">
        <f>(B629*194.205+C629*267.466+D629*133.845+E629*53.484+F629*40+G629*185+H629*0+I629*100+J629*300)/(194.205+267.466+133.845+53.484+0+40+185+100+300)</f>
        <v>18.786505469937207</v>
      </c>
      <c r="AD629" s="27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18.63366474820144</v>
      </c>
    </row>
    <row r="630" spans="1:30" ht="15.75" x14ac:dyDescent="0.25">
      <c r="A630" s="13">
        <v>60448</v>
      </c>
      <c r="B630" s="10">
        <f>CHOOSE(CONTROL!$C$42, 19.3151, 19.3151) * CHOOSE(CONTROL!$C$21, $C$9, 100%, $E$9)</f>
        <v>19.315100000000001</v>
      </c>
      <c r="C630" s="10">
        <f>CHOOSE(CONTROL!$C$42, 19.3231, 19.3231) * CHOOSE(CONTROL!$C$21, $C$9, 100%, $E$9)</f>
        <v>19.3231</v>
      </c>
      <c r="D630" s="10">
        <f>CHOOSE(CONTROL!$C$42, 19.4982, 19.4982) * CHOOSE(CONTROL!$C$21, $C$9, 100%, $E$9)</f>
        <v>19.498200000000001</v>
      </c>
      <c r="E630" s="10">
        <f>CHOOSE(CONTROL!$C$42, 19.5294, 19.5294) * CHOOSE(CONTROL!$C$21, $C$9, 100%, $E$9)</f>
        <v>19.529399999999999</v>
      </c>
      <c r="F630" s="10">
        <f>CHOOSE(CONTROL!$C$42, 19.2569, 19.2569)*CHOOSE(CONTROL!$C$21, $C$9, 100%, $E$9)</f>
        <v>19.256900000000002</v>
      </c>
      <c r="G630" s="10">
        <f>CHOOSE(CONTROL!$C$42, 19.2739, 19.2739)*CHOOSE(CONTROL!$C$21, $C$9, 100%, $E$9)</f>
        <v>19.273900000000001</v>
      </c>
      <c r="H630" s="10">
        <f>CHOOSE(CONTROL!$C$42, 19.5177, 19.5177) * CHOOSE(CONTROL!$C$21, $C$9, 100%, $E$9)</f>
        <v>19.517700000000001</v>
      </c>
      <c r="I630" s="10">
        <f>CHOOSE(CONTROL!$C$42, 19.2897, 19.2897)* CHOOSE(CONTROL!$C$21, $C$9, 100%, $E$9)</f>
        <v>19.2897</v>
      </c>
      <c r="J630" s="10">
        <f>CHOOSE(CONTROL!$C$42, 19.2495, 19.2495)* CHOOSE(CONTROL!$C$21, $C$9, 100%, $E$9)</f>
        <v>19.249500000000001</v>
      </c>
      <c r="K630" s="10">
        <f>CHOOSE(CONTROL!$C$42, 18.8446, 18.8446) * CHOOSE(CONTROL!$C$21, $C$9, 100%, $E$9)</f>
        <v>18.8446</v>
      </c>
      <c r="L630" s="10">
        <f>CHOOSE(CONTROL!$C$42, 20.1047, 20.1047) * CHOOSE(CONTROL!$C$21, $C$9, 100%, $E$9)</f>
        <v>20.104700000000001</v>
      </c>
      <c r="M630" s="10">
        <f>CHOOSE(CONTROL!$C$42, 19.0334, 19.0334) * CHOOSE(CONTROL!$C$21, $C$9, 100%, $E$9)</f>
        <v>19.0334</v>
      </c>
      <c r="N630" s="10">
        <f>CHOOSE(CONTROL!$C$42, 19.0501, 19.0501) * CHOOSE(CONTROL!$C$21, $C$9, 100%, $E$9)</f>
        <v>19.0501</v>
      </c>
      <c r="O630" s="10">
        <f>CHOOSE(CONTROL!$C$42, 19.2981, 19.2981) * CHOOSE(CONTROL!$C$21, $C$9, 100%, $E$9)</f>
        <v>19.298100000000002</v>
      </c>
      <c r="P630" s="10">
        <f>CHOOSE(CONTROL!$C$42, 19.0731, 19.0731) * CHOOSE(CONTROL!$C$21, $C$9, 100%, $E$9)</f>
        <v>19.0731</v>
      </c>
      <c r="Q630" s="10">
        <f>CHOOSE(CONTROL!$C$42, 19.8934, 19.8934) * CHOOSE(CONTROL!$C$21, $C$9, 100%, $E$9)</f>
        <v>19.8934</v>
      </c>
      <c r="R630" s="10">
        <f>CHOOSE(CONTROL!$C$42, 20.5301, 20.5301) * CHOOSE(CONTROL!$C$21, $C$9, 100%, $E$9)</f>
        <v>20.530100000000001</v>
      </c>
      <c r="S630" s="10">
        <f>CHOOSE(CONTROL!$C$42, 18.7174, 18.7174) * CHOOSE(CONTROL!$C$21, $C$9, 100%, $E$9)</f>
        <v>18.717400000000001</v>
      </c>
      <c r="T63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38">
        <f>(1000*CHOOSE(CONTROL!$C$42, 695, 695)*CHOOSE(CONTROL!$C$42, 0.5599, 0.5599)*CHOOSE(CONTROL!$C$42, 30, 30))/1000000</f>
        <v>11.673914999999997</v>
      </c>
      <c r="V630" s="38">
        <f>(1000*CHOOSE(CONTROL!$C$42, 500, 500)*CHOOSE(CONTROL!$C$42, 0.275, 0.275)*CHOOSE(CONTROL!$C$42, 30, 30))/1000000</f>
        <v>4.125</v>
      </c>
      <c r="W630" s="38">
        <f>(1000*CHOOSE(CONTROL!$C$42, 0.1146, 0.1146)*CHOOSE(CONTROL!$C$42, 121.5, 121.5)*CHOOSE(CONTROL!$C$42, 30, 30))/1000000</f>
        <v>0.417717</v>
      </c>
      <c r="X630" s="38">
        <f>(30*0.1790888*245000/1000000)+(30*0.2374*100000/1000000)</f>
        <v>2.0285026799999999</v>
      </c>
      <c r="Y630" s="38">
        <f>(1000*600*CHOOSE(CONTROL!$C$42, 1.0585, 1.0585)*CHOOSE(CONTROL!$C$42, 30, 30))/1000000</f>
        <v>19.053000000000001</v>
      </c>
      <c r="Z630" s="38"/>
      <c r="AA630" s="10"/>
      <c r="AB630" s="39"/>
      <c r="AC630" s="33">
        <f>(B630*194.205+C630*267.466+D630*133.845+E630*53.484+F630*40+G630*185+H630*0+I630*100+J630*300)/(194.205+267.466+133.845+53.484+0+40+185+100+300)</f>
        <v>19.319761199921508</v>
      </c>
      <c r="AD630" s="27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19.160045323741006</v>
      </c>
    </row>
    <row r="631" spans="1:30" ht="15.75" x14ac:dyDescent="0.25">
      <c r="A631" s="13">
        <v>60479</v>
      </c>
      <c r="B631" s="10">
        <f>CHOOSE(CONTROL!$C$42, 18.9442, 18.9442) * CHOOSE(CONTROL!$C$21, $C$9, 100%, $E$9)</f>
        <v>18.944199999999999</v>
      </c>
      <c r="C631" s="10">
        <f>CHOOSE(CONTROL!$C$42, 18.9522, 18.9522) * CHOOSE(CONTROL!$C$21, $C$9, 100%, $E$9)</f>
        <v>18.952200000000001</v>
      </c>
      <c r="D631" s="10">
        <f>CHOOSE(CONTROL!$C$42, 19.1274, 19.1274) * CHOOSE(CONTROL!$C$21, $C$9, 100%, $E$9)</f>
        <v>19.127400000000002</v>
      </c>
      <c r="E631" s="10">
        <f>CHOOSE(CONTROL!$C$42, 19.1586, 19.1586) * CHOOSE(CONTROL!$C$21, $C$9, 100%, $E$9)</f>
        <v>19.1586</v>
      </c>
      <c r="F631" s="10">
        <f>CHOOSE(CONTROL!$C$42, 18.8864, 18.8864)*CHOOSE(CONTROL!$C$21, $C$9, 100%, $E$9)</f>
        <v>18.886399999999998</v>
      </c>
      <c r="G631" s="10">
        <f>CHOOSE(CONTROL!$C$42, 18.9035, 18.9035)*CHOOSE(CONTROL!$C$21, $C$9, 100%, $E$9)</f>
        <v>18.903500000000001</v>
      </c>
      <c r="H631" s="10">
        <f>CHOOSE(CONTROL!$C$42, 19.1469, 19.1469) * CHOOSE(CONTROL!$C$21, $C$9, 100%, $E$9)</f>
        <v>19.146899999999999</v>
      </c>
      <c r="I631" s="10">
        <f>CHOOSE(CONTROL!$C$42, 18.9189, 18.9189)* CHOOSE(CONTROL!$C$21, $C$9, 100%, $E$9)</f>
        <v>18.918900000000001</v>
      </c>
      <c r="J631" s="10">
        <f>CHOOSE(CONTROL!$C$42, 18.879, 18.879)* CHOOSE(CONTROL!$C$21, $C$9, 100%, $E$9)</f>
        <v>18.879000000000001</v>
      </c>
      <c r="K631" s="10">
        <f>CHOOSE(CONTROL!$C$42, 18.4861, 18.4861) * CHOOSE(CONTROL!$C$21, $C$9, 100%, $E$9)</f>
        <v>18.4861</v>
      </c>
      <c r="L631" s="10">
        <f>CHOOSE(CONTROL!$C$42, 19.7339, 19.7339) * CHOOSE(CONTROL!$C$21, $C$9, 100%, $E$9)</f>
        <v>19.733899999999998</v>
      </c>
      <c r="M631" s="10">
        <f>CHOOSE(CONTROL!$C$42, 18.6677, 18.6677) * CHOOSE(CONTROL!$C$21, $C$9, 100%, $E$9)</f>
        <v>18.6677</v>
      </c>
      <c r="N631" s="10">
        <f>CHOOSE(CONTROL!$C$42, 18.6845, 18.6845) * CHOOSE(CONTROL!$C$21, $C$9, 100%, $E$9)</f>
        <v>18.6845</v>
      </c>
      <c r="O631" s="10">
        <f>CHOOSE(CONTROL!$C$42, 18.9321, 18.9321) * CHOOSE(CONTROL!$C$21, $C$9, 100%, $E$9)</f>
        <v>18.932099999999998</v>
      </c>
      <c r="P631" s="10">
        <f>CHOOSE(CONTROL!$C$42, 18.7071, 18.7071) * CHOOSE(CONTROL!$C$21, $C$9, 100%, $E$9)</f>
        <v>18.707100000000001</v>
      </c>
      <c r="Q631" s="10">
        <f>CHOOSE(CONTROL!$C$42, 19.5274, 19.5274) * CHOOSE(CONTROL!$C$21, $C$9, 100%, $E$9)</f>
        <v>19.5274</v>
      </c>
      <c r="R631" s="10">
        <f>CHOOSE(CONTROL!$C$42, 20.1632, 20.1632) * CHOOSE(CONTROL!$C$21, $C$9, 100%, $E$9)</f>
        <v>20.1632</v>
      </c>
      <c r="S631" s="10">
        <f>CHOOSE(CONTROL!$C$42, 18.3583, 18.3583) * CHOOSE(CONTROL!$C$21, $C$9, 100%, $E$9)</f>
        <v>18.3583</v>
      </c>
      <c r="T63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38">
        <f>(1000*CHOOSE(CONTROL!$C$42, 695, 695)*CHOOSE(CONTROL!$C$42, 0.5599, 0.5599)*CHOOSE(CONTROL!$C$42, 31, 31))/1000000</f>
        <v>12.063045499999998</v>
      </c>
      <c r="V631" s="38">
        <f>(1000*CHOOSE(CONTROL!$C$42, 500, 500)*CHOOSE(CONTROL!$C$42, 0.275, 0.275)*CHOOSE(CONTROL!$C$42, 31, 31))/1000000</f>
        <v>4.2625000000000002</v>
      </c>
      <c r="W631" s="38">
        <f>(1000*CHOOSE(CONTROL!$C$42, 0.1146, 0.1146)*CHOOSE(CONTROL!$C$42, 121.5, 121.5)*CHOOSE(CONTROL!$C$42, 31, 31))/1000000</f>
        <v>0.43164089999999994</v>
      </c>
      <c r="X631" s="38">
        <f>(31*0.1790888*245000/1000000)+(31*0.2374*100000/1000000)</f>
        <v>2.0961194359999999</v>
      </c>
      <c r="Y631" s="38">
        <f>(1000*600*CHOOSE(CONTROL!$C$42, 1.0585, 1.0585)*CHOOSE(CONTROL!$C$42, 31, 31))/1000000</f>
        <v>19.688099999999999</v>
      </c>
      <c r="Z631" s="38"/>
      <c r="AA631" s="10"/>
      <c r="AB631" s="39"/>
      <c r="AC631" s="33">
        <f>(B631*194.205+C631*267.466+D631*133.845+E631*53.484+F631*40+G631*185+H631*0+I631*100+J631*300)/(194.205+267.466+133.845+53.484+0+40+185+100+300)</f>
        <v>18.949063109576141</v>
      </c>
      <c r="AD631" s="27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18.794171942446042</v>
      </c>
    </row>
    <row r="632" spans="1:30" ht="15.75" x14ac:dyDescent="0.25">
      <c r="A632" s="13">
        <v>60510</v>
      </c>
      <c r="B632" s="10">
        <f>CHOOSE(CONTROL!$C$42, 18.0078, 18.0078) * CHOOSE(CONTROL!$C$21, $C$9, 100%, $E$9)</f>
        <v>18.0078</v>
      </c>
      <c r="C632" s="10">
        <f>CHOOSE(CONTROL!$C$42, 18.0158, 18.0158) * CHOOSE(CONTROL!$C$21, $C$9, 100%, $E$9)</f>
        <v>18.015799999999999</v>
      </c>
      <c r="D632" s="10">
        <f>CHOOSE(CONTROL!$C$42, 18.1909, 18.1909) * CHOOSE(CONTROL!$C$21, $C$9, 100%, $E$9)</f>
        <v>18.190899999999999</v>
      </c>
      <c r="E632" s="10">
        <f>CHOOSE(CONTROL!$C$42, 18.2221, 18.2221) * CHOOSE(CONTROL!$C$21, $C$9, 100%, $E$9)</f>
        <v>18.222100000000001</v>
      </c>
      <c r="F632" s="10">
        <f>CHOOSE(CONTROL!$C$42, 17.9499, 17.9499)*CHOOSE(CONTROL!$C$21, $C$9, 100%, $E$9)</f>
        <v>17.9499</v>
      </c>
      <c r="G632" s="10">
        <f>CHOOSE(CONTROL!$C$42, 17.9669, 17.9669)*CHOOSE(CONTROL!$C$21, $C$9, 100%, $E$9)</f>
        <v>17.966899999999999</v>
      </c>
      <c r="H632" s="10">
        <f>CHOOSE(CONTROL!$C$42, 18.2105, 18.2105) * CHOOSE(CONTROL!$C$21, $C$9, 100%, $E$9)</f>
        <v>18.2105</v>
      </c>
      <c r="I632" s="10">
        <f>CHOOSE(CONTROL!$C$42, 17.9824, 17.9824)* CHOOSE(CONTROL!$C$21, $C$9, 100%, $E$9)</f>
        <v>17.982399999999998</v>
      </c>
      <c r="J632" s="10">
        <f>CHOOSE(CONTROL!$C$42, 17.9425, 17.9425)* CHOOSE(CONTROL!$C$21, $C$9, 100%, $E$9)</f>
        <v>17.942499999999999</v>
      </c>
      <c r="K632" s="10">
        <f>CHOOSE(CONTROL!$C$42, 17.5786, 17.5786) * CHOOSE(CONTROL!$C$21, $C$9, 100%, $E$9)</f>
        <v>17.578600000000002</v>
      </c>
      <c r="L632" s="10">
        <f>CHOOSE(CONTROL!$C$42, 18.7975, 18.7975) * CHOOSE(CONTROL!$C$21, $C$9, 100%, $E$9)</f>
        <v>18.797499999999999</v>
      </c>
      <c r="M632" s="10">
        <f>CHOOSE(CONTROL!$C$42, 17.7433, 17.7433) * CHOOSE(CONTROL!$C$21, $C$9, 100%, $E$9)</f>
        <v>17.743300000000001</v>
      </c>
      <c r="N632" s="10">
        <f>CHOOSE(CONTROL!$C$42, 17.7601, 17.7601) * CHOOSE(CONTROL!$C$21, $C$9, 100%, $E$9)</f>
        <v>17.760100000000001</v>
      </c>
      <c r="O632" s="10">
        <f>CHOOSE(CONTROL!$C$42, 18.0078, 18.0078) * CHOOSE(CONTROL!$C$21, $C$9, 100%, $E$9)</f>
        <v>18.0078</v>
      </c>
      <c r="P632" s="10">
        <f>CHOOSE(CONTROL!$C$42, 17.7827, 17.7827) * CHOOSE(CONTROL!$C$21, $C$9, 100%, $E$9)</f>
        <v>17.782699999999998</v>
      </c>
      <c r="Q632" s="10">
        <f>CHOOSE(CONTROL!$C$42, 18.6031, 18.6031) * CHOOSE(CONTROL!$C$21, $C$9, 100%, $E$9)</f>
        <v>18.603100000000001</v>
      </c>
      <c r="R632" s="10">
        <f>CHOOSE(CONTROL!$C$42, 19.2366, 19.2366) * CHOOSE(CONTROL!$C$21, $C$9, 100%, $E$9)</f>
        <v>19.236599999999999</v>
      </c>
      <c r="S632" s="10">
        <f>CHOOSE(CONTROL!$C$42, 17.4515, 17.4515) * CHOOSE(CONTROL!$C$21, $C$9, 100%, $E$9)</f>
        <v>17.451499999999999</v>
      </c>
      <c r="T63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38">
        <f>(1000*CHOOSE(CONTROL!$C$42, 695, 695)*CHOOSE(CONTROL!$C$42, 0.5599, 0.5599)*CHOOSE(CONTROL!$C$42, 31, 31))/1000000</f>
        <v>12.063045499999998</v>
      </c>
      <c r="V632" s="38">
        <f>(1000*CHOOSE(CONTROL!$C$42, 500, 500)*CHOOSE(CONTROL!$C$42, 0.275, 0.275)*CHOOSE(CONTROL!$C$42, 31, 31))/1000000</f>
        <v>4.2625000000000002</v>
      </c>
      <c r="W632" s="38">
        <f>(1000*CHOOSE(CONTROL!$C$42, 0.1146, 0.1146)*CHOOSE(CONTROL!$C$42, 121.5, 121.5)*CHOOSE(CONTROL!$C$42, 31, 31))/1000000</f>
        <v>0.43164089999999994</v>
      </c>
      <c r="X632" s="38">
        <f>(31*0.1790888*245000/1000000)+(31*0.2374*100000/1000000)</f>
        <v>2.0961194359999999</v>
      </c>
      <c r="Y632" s="38">
        <f>(1000*600*CHOOSE(CONTROL!$C$42, 1.0585, 1.0585)*CHOOSE(CONTROL!$C$42, 31, 31))/1000000</f>
        <v>19.688099999999999</v>
      </c>
      <c r="Z632" s="38"/>
      <c r="AA632" s="10"/>
      <c r="AB632" s="39"/>
      <c r="AC632" s="33">
        <f>(B632*194.205+C632*267.466+D632*133.845+E632*53.484+F632*40+G632*185+H632*0+I632*100+J632*300)/(194.205+267.466+133.845+53.484+0+40+185+100+300)</f>
        <v>18.012584826295136</v>
      </c>
      <c r="AD632" s="27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17.869817266187052</v>
      </c>
    </row>
    <row r="633" spans="1:30" ht="15.75" x14ac:dyDescent="0.25">
      <c r="A633" s="13">
        <v>60540</v>
      </c>
      <c r="B633" s="10">
        <f>CHOOSE(CONTROL!$C$42, 16.8636, 16.8636) * CHOOSE(CONTROL!$C$21, $C$9, 100%, $E$9)</f>
        <v>16.863600000000002</v>
      </c>
      <c r="C633" s="10">
        <f>CHOOSE(CONTROL!$C$42, 16.8716, 16.8716) * CHOOSE(CONTROL!$C$21, $C$9, 100%, $E$9)</f>
        <v>16.871600000000001</v>
      </c>
      <c r="D633" s="10">
        <f>CHOOSE(CONTROL!$C$42, 17.0468, 17.0468) * CHOOSE(CONTROL!$C$21, $C$9, 100%, $E$9)</f>
        <v>17.046800000000001</v>
      </c>
      <c r="E633" s="10">
        <f>CHOOSE(CONTROL!$C$42, 17.078, 17.078) * CHOOSE(CONTROL!$C$21, $C$9, 100%, $E$9)</f>
        <v>17.077999999999999</v>
      </c>
      <c r="F633" s="10">
        <f>CHOOSE(CONTROL!$C$42, 16.8054, 16.8054)*CHOOSE(CONTROL!$C$21, $C$9, 100%, $E$9)</f>
        <v>16.805399999999999</v>
      </c>
      <c r="G633" s="10">
        <f>CHOOSE(CONTROL!$C$42, 16.8223, 16.8223)*CHOOSE(CONTROL!$C$21, $C$9, 100%, $E$9)</f>
        <v>16.822299999999998</v>
      </c>
      <c r="H633" s="10">
        <f>CHOOSE(CONTROL!$C$42, 17.0663, 17.0663) * CHOOSE(CONTROL!$C$21, $C$9, 100%, $E$9)</f>
        <v>17.066299999999998</v>
      </c>
      <c r="I633" s="10">
        <f>CHOOSE(CONTROL!$C$42, 16.8383, 16.8383)* CHOOSE(CONTROL!$C$21, $C$9, 100%, $E$9)</f>
        <v>16.8383</v>
      </c>
      <c r="J633" s="10">
        <f>CHOOSE(CONTROL!$C$42, 16.798, 16.798)* CHOOSE(CONTROL!$C$21, $C$9, 100%, $E$9)</f>
        <v>16.797999999999998</v>
      </c>
      <c r="K633" s="10">
        <f>CHOOSE(CONTROL!$C$42, 16.4695, 16.4695) * CHOOSE(CONTROL!$C$21, $C$9, 100%, $E$9)</f>
        <v>16.4695</v>
      </c>
      <c r="L633" s="10">
        <f>CHOOSE(CONTROL!$C$42, 17.6533, 17.6533) * CHOOSE(CONTROL!$C$21, $C$9, 100%, $E$9)</f>
        <v>17.653300000000002</v>
      </c>
      <c r="M633" s="10">
        <f>CHOOSE(CONTROL!$C$42, 16.6136, 16.6136) * CHOOSE(CONTROL!$C$21, $C$9, 100%, $E$9)</f>
        <v>16.613600000000002</v>
      </c>
      <c r="N633" s="10">
        <f>CHOOSE(CONTROL!$C$42, 16.6303, 16.6303) * CHOOSE(CONTROL!$C$21, $C$9, 100%, $E$9)</f>
        <v>16.630299999999998</v>
      </c>
      <c r="O633" s="10">
        <f>CHOOSE(CONTROL!$C$42, 16.8784, 16.8784) * CHOOSE(CONTROL!$C$21, $C$9, 100%, $E$9)</f>
        <v>16.878399999999999</v>
      </c>
      <c r="P633" s="10">
        <f>CHOOSE(CONTROL!$C$42, 16.6534, 16.6534) * CHOOSE(CONTROL!$C$21, $C$9, 100%, $E$9)</f>
        <v>16.653400000000001</v>
      </c>
      <c r="Q633" s="10">
        <f>CHOOSE(CONTROL!$C$42, 17.4737, 17.4737) * CHOOSE(CONTROL!$C$21, $C$9, 100%, $E$9)</f>
        <v>17.473700000000001</v>
      </c>
      <c r="R633" s="10">
        <f>CHOOSE(CONTROL!$C$42, 18.1044, 18.1044) * CHOOSE(CONTROL!$C$21, $C$9, 100%, $E$9)</f>
        <v>18.104399999999998</v>
      </c>
      <c r="S633" s="10">
        <f>CHOOSE(CONTROL!$C$42, 16.3436, 16.3436) * CHOOSE(CONTROL!$C$21, $C$9, 100%, $E$9)</f>
        <v>16.343599999999999</v>
      </c>
      <c r="T63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38">
        <f>(1000*CHOOSE(CONTROL!$C$42, 695, 695)*CHOOSE(CONTROL!$C$42, 0.5599, 0.5599)*CHOOSE(CONTROL!$C$42, 30, 30))/1000000</f>
        <v>11.673914999999997</v>
      </c>
      <c r="V633" s="38">
        <f>(1000*CHOOSE(CONTROL!$C$42, 500, 500)*CHOOSE(CONTROL!$C$42, 0.275, 0.275)*CHOOSE(CONTROL!$C$42, 30, 30))/1000000</f>
        <v>4.125</v>
      </c>
      <c r="W633" s="38">
        <f>(1000*CHOOSE(CONTROL!$C$42, 0.1146, 0.1146)*CHOOSE(CONTROL!$C$42, 121.5, 121.5)*CHOOSE(CONTROL!$C$42, 30, 30))/1000000</f>
        <v>0.417717</v>
      </c>
      <c r="X633" s="38">
        <f>(30*0.1790888*245000/1000000)+(30*0.2374*100000/1000000)</f>
        <v>2.0285026799999999</v>
      </c>
      <c r="Y633" s="38">
        <f>(1000*600*CHOOSE(CONTROL!$C$42, 1.0585, 1.0585)*CHOOSE(CONTROL!$C$42, 30, 30))/1000000</f>
        <v>19.053000000000001</v>
      </c>
      <c r="Z633" s="38"/>
      <c r="AA633" s="10"/>
      <c r="AB633" s="39"/>
      <c r="AC633" s="33">
        <f>(B633*194.205+C633*267.466+D633*133.845+E633*53.484+F633*40+G633*185+H633*0+I633*100+J633*300)/(194.205+267.466+133.845+53.484+0+40+185+100+300)</f>
        <v>16.868269232025117</v>
      </c>
      <c r="AD633" s="27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16.740305035971225</v>
      </c>
    </row>
    <row r="634" spans="1:30" ht="15.75" x14ac:dyDescent="0.25">
      <c r="A634" s="13">
        <v>60571</v>
      </c>
      <c r="B634" s="10">
        <f>CHOOSE(CONTROL!$C$42, 16.5188, 16.5188) * CHOOSE(CONTROL!$C$21, $C$9, 100%, $E$9)</f>
        <v>16.518799999999999</v>
      </c>
      <c r="C634" s="10">
        <f>CHOOSE(CONTROL!$C$42, 16.5242, 16.5242) * CHOOSE(CONTROL!$C$21, $C$9, 100%, $E$9)</f>
        <v>16.5242</v>
      </c>
      <c r="D634" s="10">
        <f>CHOOSE(CONTROL!$C$42, 16.7042, 16.7042) * CHOOSE(CONTROL!$C$21, $C$9, 100%, $E$9)</f>
        <v>16.7042</v>
      </c>
      <c r="E634" s="10">
        <f>CHOOSE(CONTROL!$C$42, 16.7331, 16.7331) * CHOOSE(CONTROL!$C$21, $C$9, 100%, $E$9)</f>
        <v>16.7331</v>
      </c>
      <c r="F634" s="10">
        <f>CHOOSE(CONTROL!$C$42, 16.4626, 16.4626)*CHOOSE(CONTROL!$C$21, $C$9, 100%, $E$9)</f>
        <v>16.462599999999998</v>
      </c>
      <c r="G634" s="10">
        <f>CHOOSE(CONTROL!$C$42, 16.4792, 16.4792)*CHOOSE(CONTROL!$C$21, $C$9, 100%, $E$9)</f>
        <v>16.479199999999999</v>
      </c>
      <c r="H634" s="10">
        <f>CHOOSE(CONTROL!$C$42, 16.7232, 16.7232) * CHOOSE(CONTROL!$C$21, $C$9, 100%, $E$9)</f>
        <v>16.723199999999999</v>
      </c>
      <c r="I634" s="10">
        <f>CHOOSE(CONTROL!$C$42, 16.4952, 16.4952)* CHOOSE(CONTROL!$C$21, $C$9, 100%, $E$9)</f>
        <v>16.495200000000001</v>
      </c>
      <c r="J634" s="10">
        <f>CHOOSE(CONTROL!$C$42, 16.4552, 16.4552)* CHOOSE(CONTROL!$C$21, $C$9, 100%, $E$9)</f>
        <v>16.455200000000001</v>
      </c>
      <c r="K634" s="10">
        <f>CHOOSE(CONTROL!$C$42, 16.1377, 16.1377) * CHOOSE(CONTROL!$C$21, $C$9, 100%, $E$9)</f>
        <v>16.137699999999999</v>
      </c>
      <c r="L634" s="10">
        <f>CHOOSE(CONTROL!$C$42, 17.3102, 17.3102) * CHOOSE(CONTROL!$C$21, $C$9, 100%, $E$9)</f>
        <v>17.310199999999998</v>
      </c>
      <c r="M634" s="10">
        <f>CHOOSE(CONTROL!$C$42, 16.2752, 16.2752) * CHOOSE(CONTROL!$C$21, $C$9, 100%, $E$9)</f>
        <v>16.275200000000002</v>
      </c>
      <c r="N634" s="10">
        <f>CHOOSE(CONTROL!$C$42, 16.2916, 16.2916) * CHOOSE(CONTROL!$C$21, $C$9, 100%, $E$9)</f>
        <v>16.291599999999999</v>
      </c>
      <c r="O634" s="10">
        <f>CHOOSE(CONTROL!$C$42, 16.5398, 16.5398) * CHOOSE(CONTROL!$C$21, $C$9, 100%, $E$9)</f>
        <v>16.5398</v>
      </c>
      <c r="P634" s="10">
        <f>CHOOSE(CONTROL!$C$42, 16.3148, 16.3148) * CHOOSE(CONTROL!$C$21, $C$9, 100%, $E$9)</f>
        <v>16.314800000000002</v>
      </c>
      <c r="Q634" s="10">
        <f>CHOOSE(CONTROL!$C$42, 17.1351, 17.1351) * CHOOSE(CONTROL!$C$21, $C$9, 100%, $E$9)</f>
        <v>17.135100000000001</v>
      </c>
      <c r="R634" s="10">
        <f>CHOOSE(CONTROL!$C$42, 17.7649, 17.7649) * CHOOSE(CONTROL!$C$21, $C$9, 100%, $E$9)</f>
        <v>17.764900000000001</v>
      </c>
      <c r="S634" s="10">
        <f>CHOOSE(CONTROL!$C$42, 16.0115, 16.0115) * CHOOSE(CONTROL!$C$21, $C$9, 100%, $E$9)</f>
        <v>16.011500000000002</v>
      </c>
      <c r="T6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38">
        <f>(1000*CHOOSE(CONTROL!$C$42, 695, 695)*CHOOSE(CONTROL!$C$42, 0.5599, 0.5599)*CHOOSE(CONTROL!$C$42, 31, 31))/1000000</f>
        <v>12.063045499999998</v>
      </c>
      <c r="V634" s="38">
        <f>(1000*CHOOSE(CONTROL!$C$42, 500, 500)*CHOOSE(CONTROL!$C$42, 0.275, 0.275)*CHOOSE(CONTROL!$C$42, 31, 31))/1000000</f>
        <v>4.2625000000000002</v>
      </c>
      <c r="W634" s="38">
        <f>(1000*CHOOSE(CONTROL!$C$42, 0.1146, 0.1146)*CHOOSE(CONTROL!$C$42, 121.5, 121.5)*CHOOSE(CONTROL!$C$42, 31, 31))/1000000</f>
        <v>0.43164089999999994</v>
      </c>
      <c r="X634" s="38">
        <f>(31*0.1790888*245000/1000000)+(31*0.2374*100000/1000000)</f>
        <v>2.0961194359999999</v>
      </c>
      <c r="Y634" s="38">
        <f>(1000*600*CHOOSE(CONTROL!$C$42, 1.0585, 1.0585)*CHOOSE(CONTROL!$C$42, 31, 31))/1000000</f>
        <v>19.688099999999999</v>
      </c>
      <c r="Z634" s="38"/>
      <c r="AA634" s="10"/>
      <c r="AB634" s="39"/>
      <c r="AC634" s="33">
        <f>(B634*131.881+C634*277.167+D634*79.08+E634*125.872+F634*40+G634*185+H634*0+I634*100+J634*300)/(131.881+277.167+79.08+125.872+0+40+185+100+300)</f>
        <v>16.528580874414853</v>
      </c>
      <c r="AD634" s="27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16.401768345323742</v>
      </c>
    </row>
    <row r="635" spans="1:30" ht="15.75" x14ac:dyDescent="0.25">
      <c r="A635" s="13">
        <v>60601</v>
      </c>
      <c r="B635" s="10">
        <f>CHOOSE(CONTROL!$C$42, 16.954, 16.954) * CHOOSE(CONTROL!$C$21, $C$9, 100%, $E$9)</f>
        <v>16.954000000000001</v>
      </c>
      <c r="C635" s="10">
        <f>CHOOSE(CONTROL!$C$42, 16.9591, 16.9591) * CHOOSE(CONTROL!$C$21, $C$9, 100%, $E$9)</f>
        <v>16.959099999999999</v>
      </c>
      <c r="D635" s="10">
        <f>CHOOSE(CONTROL!$C$42, 16.9838, 16.9838) * CHOOSE(CONTROL!$C$21, $C$9, 100%, $E$9)</f>
        <v>16.983799999999999</v>
      </c>
      <c r="E635" s="10">
        <f>CHOOSE(CONTROL!$C$42, 17.0176, 17.0176) * CHOOSE(CONTROL!$C$21, $C$9, 100%, $E$9)</f>
        <v>17.017600000000002</v>
      </c>
      <c r="F635" s="10">
        <f>CHOOSE(CONTROL!$C$42, 16.9197, 16.9197)*CHOOSE(CONTROL!$C$21, $C$9, 100%, $E$9)</f>
        <v>16.919699999999999</v>
      </c>
      <c r="G635" s="10">
        <f>CHOOSE(CONTROL!$C$42, 16.9365, 16.9365)*CHOOSE(CONTROL!$C$21, $C$9, 100%, $E$9)</f>
        <v>16.936499999999999</v>
      </c>
      <c r="H635" s="10">
        <f>CHOOSE(CONTROL!$C$42, 17.0065, 17.0065) * CHOOSE(CONTROL!$C$21, $C$9, 100%, $E$9)</f>
        <v>17.006499999999999</v>
      </c>
      <c r="I635" s="10">
        <f>CHOOSE(CONTROL!$C$42, 16.9535, 16.9535)* CHOOSE(CONTROL!$C$21, $C$9, 100%, $E$9)</f>
        <v>16.953499999999998</v>
      </c>
      <c r="J635" s="10">
        <f>CHOOSE(CONTROL!$C$42, 16.9123, 16.9123)* CHOOSE(CONTROL!$C$21, $C$9, 100%, $E$9)</f>
        <v>16.912299999999998</v>
      </c>
      <c r="K635" s="10">
        <f>CHOOSE(CONTROL!$C$42, 16.5835, 16.5835) * CHOOSE(CONTROL!$C$21, $C$9, 100%, $E$9)</f>
        <v>16.583500000000001</v>
      </c>
      <c r="L635" s="10">
        <f>CHOOSE(CONTROL!$C$42, 17.5935, 17.5935) * CHOOSE(CONTROL!$C$21, $C$9, 100%, $E$9)</f>
        <v>17.593499999999999</v>
      </c>
      <c r="M635" s="10">
        <f>CHOOSE(CONTROL!$C$42, 16.7264, 16.7264) * CHOOSE(CONTROL!$C$21, $C$9, 100%, $E$9)</f>
        <v>16.726400000000002</v>
      </c>
      <c r="N635" s="10">
        <f>CHOOSE(CONTROL!$C$42, 16.743, 16.743) * CHOOSE(CONTROL!$C$21, $C$9, 100%, $E$9)</f>
        <v>16.742999999999999</v>
      </c>
      <c r="O635" s="10">
        <f>CHOOSE(CONTROL!$C$42, 16.8194, 16.8194) * CHOOSE(CONTROL!$C$21, $C$9, 100%, $E$9)</f>
        <v>16.819400000000002</v>
      </c>
      <c r="P635" s="10">
        <f>CHOOSE(CONTROL!$C$42, 16.7672, 16.7672) * CHOOSE(CONTROL!$C$21, $C$9, 100%, $E$9)</f>
        <v>16.767199999999999</v>
      </c>
      <c r="Q635" s="10">
        <f>CHOOSE(CONTROL!$C$42, 17.4147, 17.4147) * CHOOSE(CONTROL!$C$21, $C$9, 100%, $E$9)</f>
        <v>17.4147</v>
      </c>
      <c r="R635" s="10">
        <f>CHOOSE(CONTROL!$C$42, 18.0452, 18.0452) * CHOOSE(CONTROL!$C$21, $C$9, 100%, $E$9)</f>
        <v>18.045200000000001</v>
      </c>
      <c r="S635" s="10">
        <f>CHOOSE(CONTROL!$C$42, 16.4332, 16.4332) * CHOOSE(CONTROL!$C$21, $C$9, 100%, $E$9)</f>
        <v>16.433199999999999</v>
      </c>
      <c r="T6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38">
        <f>(1000*CHOOSE(CONTROL!$C$42, 695, 695)*CHOOSE(CONTROL!$C$42, 0.5599, 0.5599)*CHOOSE(CONTROL!$C$42, 30, 30))/1000000</f>
        <v>11.673914999999997</v>
      </c>
      <c r="V635" s="38">
        <f>(1000*CHOOSE(CONTROL!$C$42, 500, 500)*CHOOSE(CONTROL!$C$42, 0.275, 0.275)*CHOOSE(CONTROL!$C$42, 30, 30))/1000000</f>
        <v>4.125</v>
      </c>
      <c r="W635" s="38">
        <f>(1000*CHOOSE(CONTROL!$C$42, 0.1146, 0.1146)*CHOOSE(CONTROL!$C$42, 121.5, 121.5)*CHOOSE(CONTROL!$C$42, 30, 30))/1000000</f>
        <v>0.417717</v>
      </c>
      <c r="X635" s="38">
        <f>(30*0.1790888*100000/1000000)+(30*0.2374*100000/1000000)</f>
        <v>1.2494664</v>
      </c>
      <c r="Y635" s="38">
        <f>(1000*600*CHOOSE(CONTROL!$C$42, 1.0585, 1.0585)*CHOOSE(CONTROL!$C$42, 30, 30))/1000000</f>
        <v>19.053000000000001</v>
      </c>
      <c r="Z635" s="38"/>
      <c r="AA635" s="10"/>
      <c r="AB635" s="39"/>
      <c r="AC635" s="33">
        <f>(B635*122.58+C635*297.941+D635*89.177+E635*40.302+F635*40+G635*160+H635*0+I635*100+J635*300)/(122.58+297.941+89.177+40.302+0+40+160+100+300)</f>
        <v>16.945311461652175</v>
      </c>
      <c r="AD635" s="27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16.775376978417267</v>
      </c>
    </row>
    <row r="636" spans="1:30" ht="15.75" x14ac:dyDescent="0.25">
      <c r="A636" s="13">
        <v>60632</v>
      </c>
      <c r="B636" s="10">
        <f>CHOOSE(CONTROL!$C$42, 18.1111, 18.1111) * CHOOSE(CONTROL!$C$21, $C$9, 100%, $E$9)</f>
        <v>18.1111</v>
      </c>
      <c r="C636" s="10">
        <f>CHOOSE(CONTROL!$C$42, 18.1162, 18.1162) * CHOOSE(CONTROL!$C$21, $C$9, 100%, $E$9)</f>
        <v>18.116199999999999</v>
      </c>
      <c r="D636" s="10">
        <f>CHOOSE(CONTROL!$C$42, 18.1409, 18.1409) * CHOOSE(CONTROL!$C$21, $C$9, 100%, $E$9)</f>
        <v>18.140899999999998</v>
      </c>
      <c r="E636" s="10">
        <f>CHOOSE(CONTROL!$C$42, 18.1747, 18.1747) * CHOOSE(CONTROL!$C$21, $C$9, 100%, $E$9)</f>
        <v>18.174700000000001</v>
      </c>
      <c r="F636" s="10">
        <f>CHOOSE(CONTROL!$C$42, 18.0785, 18.0785)*CHOOSE(CONTROL!$C$21, $C$9, 100%, $E$9)</f>
        <v>18.078499999999998</v>
      </c>
      <c r="G636" s="10">
        <f>CHOOSE(CONTROL!$C$42, 18.0958, 18.0958)*CHOOSE(CONTROL!$C$21, $C$9, 100%, $E$9)</f>
        <v>18.095800000000001</v>
      </c>
      <c r="H636" s="10">
        <f>CHOOSE(CONTROL!$C$42, 18.1635, 18.1635) * CHOOSE(CONTROL!$C$21, $C$9, 100%, $E$9)</f>
        <v>18.163499999999999</v>
      </c>
      <c r="I636" s="10">
        <f>CHOOSE(CONTROL!$C$42, 18.1106, 18.1106)* CHOOSE(CONTROL!$C$21, $C$9, 100%, $E$9)</f>
        <v>18.110600000000002</v>
      </c>
      <c r="J636" s="10">
        <f>CHOOSE(CONTROL!$C$42, 18.0711, 18.0711)* CHOOSE(CONTROL!$C$21, $C$9, 100%, $E$9)</f>
        <v>18.071100000000001</v>
      </c>
      <c r="K636" s="10">
        <f>CHOOSE(CONTROL!$C$42, 17.7083, 17.7083) * CHOOSE(CONTROL!$C$21, $C$9, 100%, $E$9)</f>
        <v>17.708300000000001</v>
      </c>
      <c r="L636" s="10">
        <f>CHOOSE(CONTROL!$C$42, 18.7505, 18.7505) * CHOOSE(CONTROL!$C$21, $C$9, 100%, $E$9)</f>
        <v>18.750499999999999</v>
      </c>
      <c r="M636" s="10">
        <f>CHOOSE(CONTROL!$C$42, 17.8702, 17.8702) * CHOOSE(CONTROL!$C$21, $C$9, 100%, $E$9)</f>
        <v>17.870200000000001</v>
      </c>
      <c r="N636" s="10">
        <f>CHOOSE(CONTROL!$C$42, 17.8873, 17.8873) * CHOOSE(CONTROL!$C$21, $C$9, 100%, $E$9)</f>
        <v>17.8873</v>
      </c>
      <c r="O636" s="10">
        <f>CHOOSE(CONTROL!$C$42, 17.9614, 17.9614) * CHOOSE(CONTROL!$C$21, $C$9, 100%, $E$9)</f>
        <v>17.961400000000001</v>
      </c>
      <c r="P636" s="10">
        <f>CHOOSE(CONTROL!$C$42, 17.9092, 17.9092) * CHOOSE(CONTROL!$C$21, $C$9, 100%, $E$9)</f>
        <v>17.909199999999998</v>
      </c>
      <c r="Q636" s="10">
        <f>CHOOSE(CONTROL!$C$42, 18.5567, 18.5567) * CHOOSE(CONTROL!$C$21, $C$9, 100%, $E$9)</f>
        <v>18.556699999999999</v>
      </c>
      <c r="R636" s="10">
        <f>CHOOSE(CONTROL!$C$42, 19.1901, 19.1901) * CHOOSE(CONTROL!$C$21, $C$9, 100%, $E$9)</f>
        <v>19.190100000000001</v>
      </c>
      <c r="S636" s="10">
        <f>CHOOSE(CONTROL!$C$42, 17.5536, 17.5536) * CHOOSE(CONTROL!$C$21, $C$9, 100%, $E$9)</f>
        <v>17.553599999999999</v>
      </c>
      <c r="T6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38">
        <f>(1000*CHOOSE(CONTROL!$C$42, 695, 695)*CHOOSE(CONTROL!$C$42, 0.5599, 0.5599)*CHOOSE(CONTROL!$C$42, 31, 31))/1000000</f>
        <v>12.063045499999998</v>
      </c>
      <c r="V636" s="38">
        <f>(1000*CHOOSE(CONTROL!$C$42, 500, 500)*CHOOSE(CONTROL!$C$42, 0.275, 0.275)*CHOOSE(CONTROL!$C$42, 31, 31))/1000000</f>
        <v>4.2625000000000002</v>
      </c>
      <c r="W636" s="38">
        <f>(1000*CHOOSE(CONTROL!$C$42, 0.1146, 0.1146)*CHOOSE(CONTROL!$C$42, 121.5, 121.5)*CHOOSE(CONTROL!$C$42, 31, 31))/1000000</f>
        <v>0.43164089999999994</v>
      </c>
      <c r="X636" s="38">
        <f>(31*0.1790888*100000/1000000)+(31*0.2374*100000/1000000)</f>
        <v>1.2911152800000001</v>
      </c>
      <c r="Y636" s="38">
        <f>(1000*600*CHOOSE(CONTROL!$C$42, 1.0585, 1.0585)*CHOOSE(CONTROL!$C$42, 31, 31))/1000000</f>
        <v>19.688099999999999</v>
      </c>
      <c r="Z636" s="38"/>
      <c r="AA636" s="10"/>
      <c r="AB636" s="39"/>
      <c r="AC636" s="33">
        <f>(B636*122.58+C636*297.941+D636*89.177+E636*40.302+F636*40+G636*160+H636*0+I636*100+J636*300)/(122.58+297.941+89.177+40.302+0+40+160+100+300)</f>
        <v>18.103220157304346</v>
      </c>
      <c r="AD636" s="27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17.918130935251799</v>
      </c>
    </row>
    <row r="637" spans="1:30" ht="15.75" x14ac:dyDescent="0.25">
      <c r="A637" s="13">
        <v>60663</v>
      </c>
      <c r="B637" s="10">
        <f>CHOOSE(CONTROL!$C$42, 19.3346, 19.3346) * CHOOSE(CONTROL!$C$21, $C$9, 100%, $E$9)</f>
        <v>19.334599999999998</v>
      </c>
      <c r="C637" s="10">
        <f>CHOOSE(CONTROL!$C$42, 19.3397, 19.3397) * CHOOSE(CONTROL!$C$21, $C$9, 100%, $E$9)</f>
        <v>19.339700000000001</v>
      </c>
      <c r="D637" s="10">
        <f>CHOOSE(CONTROL!$C$42, 19.3747, 19.3747) * CHOOSE(CONTROL!$C$21, $C$9, 100%, $E$9)</f>
        <v>19.374700000000001</v>
      </c>
      <c r="E637" s="10">
        <f>CHOOSE(CONTROL!$C$42, 19.4085, 19.4085) * CHOOSE(CONTROL!$C$21, $C$9, 100%, $E$9)</f>
        <v>19.4085</v>
      </c>
      <c r="F637" s="10">
        <f>CHOOSE(CONTROL!$C$42, 19.3159, 19.3159)*CHOOSE(CONTROL!$C$21, $C$9, 100%, $E$9)</f>
        <v>19.315899999999999</v>
      </c>
      <c r="G637" s="10">
        <f>CHOOSE(CONTROL!$C$42, 19.3347, 19.3347)*CHOOSE(CONTROL!$C$21, $C$9, 100%, $E$9)</f>
        <v>19.334700000000002</v>
      </c>
      <c r="H637" s="10">
        <f>CHOOSE(CONTROL!$C$42, 19.3974, 19.3974) * CHOOSE(CONTROL!$C$21, $C$9, 100%, $E$9)</f>
        <v>19.397400000000001</v>
      </c>
      <c r="I637" s="10">
        <f>CHOOSE(CONTROL!$C$42, 19.3418, 19.3418)* CHOOSE(CONTROL!$C$21, $C$9, 100%, $E$9)</f>
        <v>19.341799999999999</v>
      </c>
      <c r="J637" s="10">
        <f>CHOOSE(CONTROL!$C$42, 19.3085, 19.3085)* CHOOSE(CONTROL!$C$21, $C$9, 100%, $E$9)</f>
        <v>19.308499999999999</v>
      </c>
      <c r="K637" s="10">
        <f>CHOOSE(CONTROL!$C$42, 18.9144, 18.9144) * CHOOSE(CONTROL!$C$21, $C$9, 100%, $E$9)</f>
        <v>18.914400000000001</v>
      </c>
      <c r="L637" s="10">
        <f>CHOOSE(CONTROL!$C$42, 19.9844, 19.9844) * CHOOSE(CONTROL!$C$21, $C$9, 100%, $E$9)</f>
        <v>19.984400000000001</v>
      </c>
      <c r="M637" s="10">
        <f>CHOOSE(CONTROL!$C$42, 19.0915, 19.0915) * CHOOSE(CONTROL!$C$21, $C$9, 100%, $E$9)</f>
        <v>19.0915</v>
      </c>
      <c r="N637" s="10">
        <f>CHOOSE(CONTROL!$C$42, 19.1102, 19.1102) * CHOOSE(CONTROL!$C$21, $C$9, 100%, $E$9)</f>
        <v>19.110199999999999</v>
      </c>
      <c r="O637" s="10">
        <f>CHOOSE(CONTROL!$C$42, 19.1793, 19.1793) * CHOOSE(CONTROL!$C$21, $C$9, 100%, $E$9)</f>
        <v>19.179300000000001</v>
      </c>
      <c r="P637" s="10">
        <f>CHOOSE(CONTROL!$C$42, 19.1245, 19.1245) * CHOOSE(CONTROL!$C$21, $C$9, 100%, $E$9)</f>
        <v>19.124500000000001</v>
      </c>
      <c r="Q637" s="10">
        <f>CHOOSE(CONTROL!$C$42, 19.7746, 19.7746) * CHOOSE(CONTROL!$C$21, $C$9, 100%, $E$9)</f>
        <v>19.7746</v>
      </c>
      <c r="R637" s="10">
        <f>CHOOSE(CONTROL!$C$42, 20.411, 20.411) * CHOOSE(CONTROL!$C$21, $C$9, 100%, $E$9)</f>
        <v>20.411000000000001</v>
      </c>
      <c r="S637" s="10">
        <f>CHOOSE(CONTROL!$C$42, 18.7383, 18.7383) * CHOOSE(CONTROL!$C$21, $C$9, 100%, $E$9)</f>
        <v>18.738299999999999</v>
      </c>
      <c r="T6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38">
        <f>(1000*CHOOSE(CONTROL!$C$42, 695, 695)*CHOOSE(CONTROL!$C$42, 0.5599, 0.5599)*CHOOSE(CONTROL!$C$42, 31, 31))/1000000</f>
        <v>12.063045499999998</v>
      </c>
      <c r="V637" s="38">
        <f>(1000*CHOOSE(CONTROL!$C$42, 500, 500)*CHOOSE(CONTROL!$C$42, 0.275, 0.275)*CHOOSE(CONTROL!$C$42, 31, 31))/1000000</f>
        <v>4.2625000000000002</v>
      </c>
      <c r="W637" s="38">
        <f>(1000*CHOOSE(CONTROL!$C$42, 0.1146, 0.1146)*CHOOSE(CONTROL!$C$42, 121.5, 121.5)*CHOOSE(CONTROL!$C$42, 31, 31))/1000000</f>
        <v>0.43164089999999994</v>
      </c>
      <c r="X637" s="38">
        <f>(31*0.1790888*100000/1000000)+(31*0.2374*100000/1000000)</f>
        <v>1.2911152800000001</v>
      </c>
      <c r="Y637" s="38">
        <f>(1000*600*CHOOSE(CONTROL!$C$42, 1.0585, 1.0585)*CHOOSE(CONTROL!$C$42, 31, 31))/1000000</f>
        <v>19.688099999999999</v>
      </c>
      <c r="Z637" s="38"/>
      <c r="AA637" s="10"/>
      <c r="AB637" s="39"/>
      <c r="AC637" s="33">
        <f>(B637*122.58+C637*297.941+D637*89.177+E637*40.302+F637*40+G637*160+H637*0+I637*100+J637*300)/(122.58+297.941+89.177+40.302+0+40+160+100+300)</f>
        <v>19.334801577913041</v>
      </c>
      <c r="AD637" s="27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19.137118705035974</v>
      </c>
    </row>
    <row r="638" spans="1:30" ht="15.75" x14ac:dyDescent="0.25">
      <c r="A638" s="13">
        <v>60691</v>
      </c>
      <c r="B638" s="10">
        <f>CHOOSE(CONTROL!$C$42, 19.679, 19.679) * CHOOSE(CONTROL!$C$21, $C$9, 100%, $E$9)</f>
        <v>19.678999999999998</v>
      </c>
      <c r="C638" s="10">
        <f>CHOOSE(CONTROL!$C$42, 19.6841, 19.6841) * CHOOSE(CONTROL!$C$21, $C$9, 100%, $E$9)</f>
        <v>19.684100000000001</v>
      </c>
      <c r="D638" s="10">
        <f>CHOOSE(CONTROL!$C$42, 19.7192, 19.7192) * CHOOSE(CONTROL!$C$21, $C$9, 100%, $E$9)</f>
        <v>19.719200000000001</v>
      </c>
      <c r="E638" s="10">
        <f>CHOOSE(CONTROL!$C$42, 19.753, 19.753) * CHOOSE(CONTROL!$C$21, $C$9, 100%, $E$9)</f>
        <v>19.753</v>
      </c>
      <c r="F638" s="10">
        <f>CHOOSE(CONTROL!$C$42, 19.6598, 19.6598)*CHOOSE(CONTROL!$C$21, $C$9, 100%, $E$9)</f>
        <v>19.659800000000001</v>
      </c>
      <c r="G638" s="10">
        <f>CHOOSE(CONTROL!$C$42, 19.6786, 19.6786)*CHOOSE(CONTROL!$C$21, $C$9, 100%, $E$9)</f>
        <v>19.678599999999999</v>
      </c>
      <c r="H638" s="10">
        <f>CHOOSE(CONTROL!$C$42, 19.7418, 19.7418) * CHOOSE(CONTROL!$C$21, $C$9, 100%, $E$9)</f>
        <v>19.741800000000001</v>
      </c>
      <c r="I638" s="10">
        <f>CHOOSE(CONTROL!$C$42, 19.6863, 19.6863)* CHOOSE(CONTROL!$C$21, $C$9, 100%, $E$9)</f>
        <v>19.686299999999999</v>
      </c>
      <c r="J638" s="10">
        <f>CHOOSE(CONTROL!$C$42, 19.6524, 19.6524)* CHOOSE(CONTROL!$C$21, $C$9, 100%, $E$9)</f>
        <v>19.6524</v>
      </c>
      <c r="K638" s="10">
        <f>CHOOSE(CONTROL!$C$42, 19.247, 19.247) * CHOOSE(CONTROL!$C$21, $C$9, 100%, $E$9)</f>
        <v>19.247</v>
      </c>
      <c r="L638" s="10">
        <f>CHOOSE(CONTROL!$C$42, 20.3288, 20.3288) * CHOOSE(CONTROL!$C$21, $C$9, 100%, $E$9)</f>
        <v>20.328800000000001</v>
      </c>
      <c r="M638" s="10">
        <f>CHOOSE(CONTROL!$C$42, 19.431, 19.431) * CHOOSE(CONTROL!$C$21, $C$9, 100%, $E$9)</f>
        <v>19.431000000000001</v>
      </c>
      <c r="N638" s="10">
        <f>CHOOSE(CONTROL!$C$42, 19.4495, 19.4495) * CHOOSE(CONTROL!$C$21, $C$9, 100%, $E$9)</f>
        <v>19.4495</v>
      </c>
      <c r="O638" s="10">
        <f>CHOOSE(CONTROL!$C$42, 19.5193, 19.5193) * CHOOSE(CONTROL!$C$21, $C$9, 100%, $E$9)</f>
        <v>19.519300000000001</v>
      </c>
      <c r="P638" s="10">
        <f>CHOOSE(CONTROL!$C$42, 19.4645, 19.4645) * CHOOSE(CONTROL!$C$21, $C$9, 100%, $E$9)</f>
        <v>19.464500000000001</v>
      </c>
      <c r="Q638" s="10">
        <f>CHOOSE(CONTROL!$C$42, 20.1146, 20.1146) * CHOOSE(CONTROL!$C$21, $C$9, 100%, $E$9)</f>
        <v>20.114599999999999</v>
      </c>
      <c r="R638" s="10">
        <f>CHOOSE(CONTROL!$C$42, 20.7519, 20.7519) * CHOOSE(CONTROL!$C$21, $C$9, 100%, $E$9)</f>
        <v>20.751899999999999</v>
      </c>
      <c r="S638" s="10">
        <f>CHOOSE(CONTROL!$C$42, 19.0719, 19.0719) * CHOOSE(CONTROL!$C$21, $C$9, 100%, $E$9)</f>
        <v>19.071899999999999</v>
      </c>
      <c r="T63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38">
        <f>(1000*CHOOSE(CONTROL!$C$42, 695, 695)*CHOOSE(CONTROL!$C$42, 0.5599, 0.5599)*CHOOSE(CONTROL!$C$42, 28, 28))/1000000</f>
        <v>10.895653999999999</v>
      </c>
      <c r="V638" s="38">
        <f>(1000*CHOOSE(CONTROL!$C$42, 500, 500)*CHOOSE(CONTROL!$C$42, 0.275, 0.275)*CHOOSE(CONTROL!$C$42, 28, 28))/1000000</f>
        <v>3.85</v>
      </c>
      <c r="W638" s="38">
        <f>(1000*CHOOSE(CONTROL!$C$42, 0.1146, 0.1146)*CHOOSE(CONTROL!$C$42, 121.5, 121.5)*CHOOSE(CONTROL!$C$42, 28, 28))/1000000</f>
        <v>0.38986920000000003</v>
      </c>
      <c r="X638" s="38">
        <f>(28*0.1790888*100000/1000000)+(28*0.2374*100000/1000000)</f>
        <v>1.16616864</v>
      </c>
      <c r="Y638" s="38">
        <f>(1000*600*CHOOSE(CONTROL!$C$42, 1.0585, 1.0585)*CHOOSE(CONTROL!$C$42, 28, 28))/1000000</f>
        <v>17.782800000000002</v>
      </c>
      <c r="Z638" s="38"/>
      <c r="AA638" s="10"/>
      <c r="AB638" s="39"/>
      <c r="AC638" s="33">
        <f>(B638*122.58+C638*297.941+D638*89.177+E638*40.302+F638*40+G638*160+H638*0+I638*100+J638*300)/(122.58+297.941+89.177+40.302+0+40+160+100+300)</f>
        <v>19.67900414130435</v>
      </c>
      <c r="AD638" s="27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19.476905755395688</v>
      </c>
    </row>
    <row r="639" spans="1:30" ht="15.75" x14ac:dyDescent="0.25">
      <c r="A639" s="13">
        <v>60722</v>
      </c>
      <c r="B639" s="10">
        <f>CHOOSE(CONTROL!$C$42, 19.1199, 19.1199) * CHOOSE(CONTROL!$C$21, $C$9, 100%, $E$9)</f>
        <v>19.119900000000001</v>
      </c>
      <c r="C639" s="10">
        <f>CHOOSE(CONTROL!$C$42, 19.125, 19.125) * CHOOSE(CONTROL!$C$21, $C$9, 100%, $E$9)</f>
        <v>19.125</v>
      </c>
      <c r="D639" s="10">
        <f>CHOOSE(CONTROL!$C$42, 19.16, 19.16) * CHOOSE(CONTROL!$C$21, $C$9, 100%, $E$9)</f>
        <v>19.16</v>
      </c>
      <c r="E639" s="10">
        <f>CHOOSE(CONTROL!$C$42, 19.1938, 19.1938) * CHOOSE(CONTROL!$C$21, $C$9, 100%, $E$9)</f>
        <v>19.1938</v>
      </c>
      <c r="F639" s="10">
        <f>CHOOSE(CONTROL!$C$42, 19.0993, 19.0993)*CHOOSE(CONTROL!$C$21, $C$9, 100%, $E$9)</f>
        <v>19.099299999999999</v>
      </c>
      <c r="G639" s="10">
        <f>CHOOSE(CONTROL!$C$42, 19.1176, 19.1176)*CHOOSE(CONTROL!$C$21, $C$9, 100%, $E$9)</f>
        <v>19.117599999999999</v>
      </c>
      <c r="H639" s="10">
        <f>CHOOSE(CONTROL!$C$42, 19.1827, 19.1827) * CHOOSE(CONTROL!$C$21, $C$9, 100%, $E$9)</f>
        <v>19.182700000000001</v>
      </c>
      <c r="I639" s="10">
        <f>CHOOSE(CONTROL!$C$42, 19.1271, 19.1271)* CHOOSE(CONTROL!$C$21, $C$9, 100%, $E$9)</f>
        <v>19.127099999999999</v>
      </c>
      <c r="J639" s="10">
        <f>CHOOSE(CONTROL!$C$42, 19.0919, 19.0919)* CHOOSE(CONTROL!$C$21, $C$9, 100%, $E$9)</f>
        <v>19.091899999999999</v>
      </c>
      <c r="K639" s="10">
        <f>CHOOSE(CONTROL!$C$42, 18.7022, 18.7022) * CHOOSE(CONTROL!$C$21, $C$9, 100%, $E$9)</f>
        <v>18.702200000000001</v>
      </c>
      <c r="L639" s="10">
        <f>CHOOSE(CONTROL!$C$42, 19.7697, 19.7697) * CHOOSE(CONTROL!$C$21, $C$9, 100%, $E$9)</f>
        <v>19.7697</v>
      </c>
      <c r="M639" s="10">
        <f>CHOOSE(CONTROL!$C$42, 18.8777, 18.8777) * CHOOSE(CONTROL!$C$21, $C$9, 100%, $E$9)</f>
        <v>18.877700000000001</v>
      </c>
      <c r="N639" s="10">
        <f>CHOOSE(CONTROL!$C$42, 18.8959, 18.8959) * CHOOSE(CONTROL!$C$21, $C$9, 100%, $E$9)</f>
        <v>18.895900000000001</v>
      </c>
      <c r="O639" s="10">
        <f>CHOOSE(CONTROL!$C$42, 18.9674, 18.9674) * CHOOSE(CONTROL!$C$21, $C$9, 100%, $E$9)</f>
        <v>18.967400000000001</v>
      </c>
      <c r="P639" s="10">
        <f>CHOOSE(CONTROL!$C$42, 18.9126, 18.9126) * CHOOSE(CONTROL!$C$21, $C$9, 100%, $E$9)</f>
        <v>18.912600000000001</v>
      </c>
      <c r="Q639" s="10">
        <f>CHOOSE(CONTROL!$C$42, 19.5627, 19.5627) * CHOOSE(CONTROL!$C$21, $C$9, 100%, $E$9)</f>
        <v>19.5627</v>
      </c>
      <c r="R639" s="10">
        <f>CHOOSE(CONTROL!$C$42, 20.1986, 20.1986) * CHOOSE(CONTROL!$C$21, $C$9, 100%, $E$9)</f>
        <v>20.198599999999999</v>
      </c>
      <c r="S639" s="10">
        <f>CHOOSE(CONTROL!$C$42, 18.5304, 18.5304) * CHOOSE(CONTROL!$C$21, $C$9, 100%, $E$9)</f>
        <v>18.5304</v>
      </c>
      <c r="T6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38">
        <f>(1000*CHOOSE(CONTROL!$C$42, 695, 695)*CHOOSE(CONTROL!$C$42, 0.5599, 0.5599)*CHOOSE(CONTROL!$C$42, 31, 31))/1000000</f>
        <v>12.063045499999998</v>
      </c>
      <c r="V639" s="38">
        <f>(1000*CHOOSE(CONTROL!$C$42, 500, 500)*CHOOSE(CONTROL!$C$42, 0.275, 0.275)*CHOOSE(CONTROL!$C$42, 31, 31))/1000000</f>
        <v>4.2625000000000002</v>
      </c>
      <c r="W639" s="38">
        <f>(1000*CHOOSE(CONTROL!$C$42, 0.1146, 0.1146)*CHOOSE(CONTROL!$C$42, 121.5, 121.5)*CHOOSE(CONTROL!$C$42, 31, 31))/1000000</f>
        <v>0.43164089999999994</v>
      </c>
      <c r="X639" s="38">
        <f>(31*0.1790888*100000/1000000)+(31*0.2374*100000/1000000)</f>
        <v>1.2911152800000001</v>
      </c>
      <c r="Y639" s="38">
        <f>(1000*600*CHOOSE(CONTROL!$C$42, 1.0585, 1.0585)*CHOOSE(CONTROL!$C$42, 31, 31))/1000000</f>
        <v>19.688099999999999</v>
      </c>
      <c r="Z639" s="38"/>
      <c r="AA639" s="10"/>
      <c r="AB639" s="39"/>
      <c r="AC639" s="33">
        <f>(B639*122.58+C639*297.941+D639*89.177+E639*40.302+F639*40+G639*160+H639*0+I639*100+J639*300)/(122.58+297.941+89.177+40.302+0+40+160+100+300)</f>
        <v>19.119205925739131</v>
      </c>
      <c r="AD639" s="27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18.924424460431656</v>
      </c>
    </row>
    <row r="640" spans="1:30" ht="15.75" x14ac:dyDescent="0.25">
      <c r="A640" s="13">
        <v>60752</v>
      </c>
      <c r="B640" s="10">
        <f>CHOOSE(CONTROL!$C$42, 19.0633, 19.0633) * CHOOSE(CONTROL!$C$21, $C$9, 100%, $E$9)</f>
        <v>19.063300000000002</v>
      </c>
      <c r="C640" s="10">
        <f>CHOOSE(CONTROL!$C$42, 19.0679, 19.0679) * CHOOSE(CONTROL!$C$21, $C$9, 100%, $E$9)</f>
        <v>19.067900000000002</v>
      </c>
      <c r="D640" s="10">
        <f>CHOOSE(CONTROL!$C$42, 19.2461, 19.2461) * CHOOSE(CONTROL!$C$21, $C$9, 100%, $E$9)</f>
        <v>19.246099999999998</v>
      </c>
      <c r="E640" s="10">
        <f>CHOOSE(CONTROL!$C$42, 19.2779, 19.2779) * CHOOSE(CONTROL!$C$21, $C$9, 100%, $E$9)</f>
        <v>19.277899999999999</v>
      </c>
      <c r="F640" s="10">
        <f>CHOOSE(CONTROL!$C$42, 19.0068, 19.0068)*CHOOSE(CONTROL!$C$21, $C$9, 100%, $E$9)</f>
        <v>19.006799999999998</v>
      </c>
      <c r="G640" s="10">
        <f>CHOOSE(CONTROL!$C$42, 19.0234, 19.0234)*CHOOSE(CONTROL!$C$21, $C$9, 100%, $E$9)</f>
        <v>19.023399999999999</v>
      </c>
      <c r="H640" s="10">
        <f>CHOOSE(CONTROL!$C$42, 19.2674, 19.2674) * CHOOSE(CONTROL!$C$21, $C$9, 100%, $E$9)</f>
        <v>19.267399999999999</v>
      </c>
      <c r="I640" s="10">
        <f>CHOOSE(CONTROL!$C$42, 19.0394, 19.0394)* CHOOSE(CONTROL!$C$21, $C$9, 100%, $E$9)</f>
        <v>19.039400000000001</v>
      </c>
      <c r="J640" s="10">
        <f>CHOOSE(CONTROL!$C$42, 18.9994, 18.9994)* CHOOSE(CONTROL!$C$21, $C$9, 100%, $E$9)</f>
        <v>18.999400000000001</v>
      </c>
      <c r="K640" s="10">
        <f>CHOOSE(CONTROL!$C$42, 18.6025, 18.6025) * CHOOSE(CONTROL!$C$21, $C$9, 100%, $E$9)</f>
        <v>18.602499999999999</v>
      </c>
      <c r="L640" s="10">
        <f>CHOOSE(CONTROL!$C$42, 19.8544, 19.8544) * CHOOSE(CONTROL!$C$21, $C$9, 100%, $E$9)</f>
        <v>19.854399999999998</v>
      </c>
      <c r="M640" s="10">
        <f>CHOOSE(CONTROL!$C$42, 18.7865, 18.7865) * CHOOSE(CONTROL!$C$21, $C$9, 100%, $E$9)</f>
        <v>18.7865</v>
      </c>
      <c r="N640" s="10">
        <f>CHOOSE(CONTROL!$C$42, 18.8029, 18.8029) * CHOOSE(CONTROL!$C$21, $C$9, 100%, $E$9)</f>
        <v>18.802900000000001</v>
      </c>
      <c r="O640" s="10">
        <f>CHOOSE(CONTROL!$C$42, 19.051, 19.051) * CHOOSE(CONTROL!$C$21, $C$9, 100%, $E$9)</f>
        <v>19.050999999999998</v>
      </c>
      <c r="P640" s="10">
        <f>CHOOSE(CONTROL!$C$42, 18.826, 18.826) * CHOOSE(CONTROL!$C$21, $C$9, 100%, $E$9)</f>
        <v>18.826000000000001</v>
      </c>
      <c r="Q640" s="10">
        <f>CHOOSE(CONTROL!$C$42, 19.6463, 19.6463) * CHOOSE(CONTROL!$C$21, $C$9, 100%, $E$9)</f>
        <v>19.6463</v>
      </c>
      <c r="R640" s="10">
        <f>CHOOSE(CONTROL!$C$42, 20.2824, 20.2824) * CHOOSE(CONTROL!$C$21, $C$9, 100%, $E$9)</f>
        <v>20.282399999999999</v>
      </c>
      <c r="S640" s="10">
        <f>CHOOSE(CONTROL!$C$42, 18.475, 18.475) * CHOOSE(CONTROL!$C$21, $C$9, 100%, $E$9)</f>
        <v>18.475000000000001</v>
      </c>
      <c r="T6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38">
        <f>(1000*CHOOSE(CONTROL!$C$42, 695, 695)*CHOOSE(CONTROL!$C$42, 0.5599, 0.5599)*CHOOSE(CONTROL!$C$42, 30, 30))/1000000</f>
        <v>11.673914999999997</v>
      </c>
      <c r="V640" s="38">
        <f>(1000*CHOOSE(CONTROL!$C$42, 500, 500)*CHOOSE(CONTROL!$C$42, 0.275, 0.275)*CHOOSE(CONTROL!$C$42, 30, 30))/1000000</f>
        <v>4.125</v>
      </c>
      <c r="W640" s="38">
        <f>(1000*CHOOSE(CONTROL!$C$42, 0.1146, 0.1146)*CHOOSE(CONTROL!$C$42, 121.5, 121.5)*CHOOSE(CONTROL!$C$42, 30, 30))/1000000</f>
        <v>0.417717</v>
      </c>
      <c r="X640" s="38">
        <f>(30*0.1790888*245000/1000000)+(30*0.2374*100000/1000000)</f>
        <v>2.0285026799999999</v>
      </c>
      <c r="Y640" s="38">
        <f>(1000*600*CHOOSE(CONTROL!$C$42, 1.0585, 1.0585)*CHOOSE(CONTROL!$C$42, 30, 30))/1000000</f>
        <v>19.053000000000001</v>
      </c>
      <c r="Z640" s="38"/>
      <c r="AA640" s="10"/>
      <c r="AB640" s="39"/>
      <c r="AC640" s="33">
        <f>(B640*141.293+C640*267.993+D640*115.016+E640*89.698+F640*40+G640*185+H640*0+I640*100+J640*300)/(141.293+267.993+115.016+89.698+0+40+185+100+300)</f>
        <v>19.07161750072639</v>
      </c>
      <c r="AD640" s="27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18.913008633093526</v>
      </c>
    </row>
    <row r="641" spans="1:30" ht="15.75" x14ac:dyDescent="0.25">
      <c r="A641" s="13">
        <v>60783</v>
      </c>
      <c r="B641" s="10">
        <f>CHOOSE(CONTROL!$C$42, 19.2335, 19.2335) * CHOOSE(CONTROL!$C$21, $C$9, 100%, $E$9)</f>
        <v>19.233499999999999</v>
      </c>
      <c r="C641" s="10">
        <f>CHOOSE(CONTROL!$C$42, 19.2415, 19.2415) * CHOOSE(CONTROL!$C$21, $C$9, 100%, $E$9)</f>
        <v>19.241499999999998</v>
      </c>
      <c r="D641" s="10">
        <f>CHOOSE(CONTROL!$C$42, 19.4166, 19.4166) * CHOOSE(CONTROL!$C$21, $C$9, 100%, $E$9)</f>
        <v>19.416599999999999</v>
      </c>
      <c r="E641" s="10">
        <f>CHOOSE(CONTROL!$C$42, 19.4478, 19.4478) * CHOOSE(CONTROL!$C$21, $C$9, 100%, $E$9)</f>
        <v>19.447800000000001</v>
      </c>
      <c r="F641" s="10">
        <f>CHOOSE(CONTROL!$C$42, 19.1752, 19.1752)*CHOOSE(CONTROL!$C$21, $C$9, 100%, $E$9)</f>
        <v>19.1752</v>
      </c>
      <c r="G641" s="10">
        <f>CHOOSE(CONTROL!$C$42, 19.1921, 19.1921)*CHOOSE(CONTROL!$C$21, $C$9, 100%, $E$9)</f>
        <v>19.1921</v>
      </c>
      <c r="H641" s="10">
        <f>CHOOSE(CONTROL!$C$42, 19.4362, 19.4362) * CHOOSE(CONTROL!$C$21, $C$9, 100%, $E$9)</f>
        <v>19.436199999999999</v>
      </c>
      <c r="I641" s="10">
        <f>CHOOSE(CONTROL!$C$42, 19.2081, 19.2081)* CHOOSE(CONTROL!$C$21, $C$9, 100%, $E$9)</f>
        <v>19.208100000000002</v>
      </c>
      <c r="J641" s="10">
        <f>CHOOSE(CONTROL!$C$42, 19.1678, 19.1678)* CHOOSE(CONTROL!$C$21, $C$9, 100%, $E$9)</f>
        <v>19.1678</v>
      </c>
      <c r="K641" s="10">
        <f>CHOOSE(CONTROL!$C$42, 18.7652, 18.7652) * CHOOSE(CONTROL!$C$21, $C$9, 100%, $E$9)</f>
        <v>18.7652</v>
      </c>
      <c r="L641" s="10">
        <f>CHOOSE(CONTROL!$C$42, 20.0232, 20.0232) * CHOOSE(CONTROL!$C$21, $C$9, 100%, $E$9)</f>
        <v>20.023199999999999</v>
      </c>
      <c r="M641" s="10">
        <f>CHOOSE(CONTROL!$C$42, 18.9527, 18.9527) * CHOOSE(CONTROL!$C$21, $C$9, 100%, $E$9)</f>
        <v>18.9527</v>
      </c>
      <c r="N641" s="10">
        <f>CHOOSE(CONTROL!$C$42, 18.9694, 18.9694) * CHOOSE(CONTROL!$C$21, $C$9, 100%, $E$9)</f>
        <v>18.9694</v>
      </c>
      <c r="O641" s="10">
        <f>CHOOSE(CONTROL!$C$42, 19.2176, 19.2176) * CHOOSE(CONTROL!$C$21, $C$9, 100%, $E$9)</f>
        <v>19.217600000000001</v>
      </c>
      <c r="P641" s="10">
        <f>CHOOSE(CONTROL!$C$42, 18.9926, 18.9926) * CHOOSE(CONTROL!$C$21, $C$9, 100%, $E$9)</f>
        <v>18.992599999999999</v>
      </c>
      <c r="Q641" s="10">
        <f>CHOOSE(CONTROL!$C$42, 19.8129, 19.8129) * CHOOSE(CONTROL!$C$21, $C$9, 100%, $E$9)</f>
        <v>19.812899999999999</v>
      </c>
      <c r="R641" s="10">
        <f>CHOOSE(CONTROL!$C$42, 20.4494, 20.4494) * CHOOSE(CONTROL!$C$21, $C$9, 100%, $E$9)</f>
        <v>20.449400000000001</v>
      </c>
      <c r="S641" s="10">
        <f>CHOOSE(CONTROL!$C$42, 18.6384, 18.6384) * CHOOSE(CONTROL!$C$21, $C$9, 100%, $E$9)</f>
        <v>18.638400000000001</v>
      </c>
      <c r="T6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38">
        <f>(1000*CHOOSE(CONTROL!$C$42, 695, 695)*CHOOSE(CONTROL!$C$42, 0.5599, 0.5599)*CHOOSE(CONTROL!$C$42, 31, 31))/1000000</f>
        <v>12.063045499999998</v>
      </c>
      <c r="V641" s="38">
        <f>(1000*CHOOSE(CONTROL!$C$42, 500, 500)*CHOOSE(CONTROL!$C$42, 0.275, 0.275)*CHOOSE(CONTROL!$C$42, 31, 31))/1000000</f>
        <v>4.2625000000000002</v>
      </c>
      <c r="W641" s="38">
        <f>(1000*CHOOSE(CONTROL!$C$42, 0.1146, 0.1146)*CHOOSE(CONTROL!$C$42, 121.5, 121.5)*CHOOSE(CONTROL!$C$42, 31, 31))/1000000</f>
        <v>0.43164089999999994</v>
      </c>
      <c r="X641" s="38">
        <f>(31*0.1790888*245000/1000000)+(31*0.2374*100000/1000000)</f>
        <v>2.0961194359999999</v>
      </c>
      <c r="Y641" s="38">
        <f>(1000*600*CHOOSE(CONTROL!$C$42, 1.0585, 1.0585)*CHOOSE(CONTROL!$C$42, 31, 31))/1000000</f>
        <v>19.688099999999999</v>
      </c>
      <c r="Z641" s="38"/>
      <c r="AA641" s="10"/>
      <c r="AB641" s="39"/>
      <c r="AC641" s="33">
        <f>(B641*194.205+C641*267.466+D641*133.845+E641*53.484+F641*40+G641*185+H641*0+I641*100+J641*300)/(194.205+267.466+133.845+53.484+0+40+185+100+300)</f>
        <v>19.238105469937206</v>
      </c>
      <c r="AD641" s="27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19.079464748201442</v>
      </c>
    </row>
    <row r="642" spans="1:30" ht="15.75" x14ac:dyDescent="0.25">
      <c r="A642" s="13">
        <v>60813</v>
      </c>
      <c r="B642" s="10">
        <f>CHOOSE(CONTROL!$C$42, 19.7795, 19.7795) * CHOOSE(CONTROL!$C$21, $C$9, 100%, $E$9)</f>
        <v>19.779499999999999</v>
      </c>
      <c r="C642" s="10">
        <f>CHOOSE(CONTROL!$C$42, 19.7875, 19.7875) * CHOOSE(CONTROL!$C$21, $C$9, 100%, $E$9)</f>
        <v>19.787500000000001</v>
      </c>
      <c r="D642" s="10">
        <f>CHOOSE(CONTROL!$C$42, 19.9626, 19.9626) * CHOOSE(CONTROL!$C$21, $C$9, 100%, $E$9)</f>
        <v>19.962599999999998</v>
      </c>
      <c r="E642" s="10">
        <f>CHOOSE(CONTROL!$C$42, 19.9938, 19.9938) * CHOOSE(CONTROL!$C$21, $C$9, 100%, $E$9)</f>
        <v>19.9938</v>
      </c>
      <c r="F642" s="10">
        <f>CHOOSE(CONTROL!$C$42, 19.7214, 19.7214)*CHOOSE(CONTROL!$C$21, $C$9, 100%, $E$9)</f>
        <v>19.721399999999999</v>
      </c>
      <c r="G642" s="10">
        <f>CHOOSE(CONTROL!$C$42, 19.7383, 19.7383)*CHOOSE(CONTROL!$C$21, $C$9, 100%, $E$9)</f>
        <v>19.738299999999999</v>
      </c>
      <c r="H642" s="10">
        <f>CHOOSE(CONTROL!$C$42, 19.9821, 19.9821) * CHOOSE(CONTROL!$C$21, $C$9, 100%, $E$9)</f>
        <v>19.982099999999999</v>
      </c>
      <c r="I642" s="10">
        <f>CHOOSE(CONTROL!$C$42, 19.7541, 19.7541)* CHOOSE(CONTROL!$C$21, $C$9, 100%, $E$9)</f>
        <v>19.754100000000001</v>
      </c>
      <c r="J642" s="10">
        <f>CHOOSE(CONTROL!$C$42, 19.714, 19.714)* CHOOSE(CONTROL!$C$21, $C$9, 100%, $E$9)</f>
        <v>19.713999999999999</v>
      </c>
      <c r="K642" s="10">
        <f>CHOOSE(CONTROL!$C$42, 19.2945, 19.2945) * CHOOSE(CONTROL!$C$21, $C$9, 100%, $E$9)</f>
        <v>19.294499999999999</v>
      </c>
      <c r="L642" s="10">
        <f>CHOOSE(CONTROL!$C$42, 20.5691, 20.5691) * CHOOSE(CONTROL!$C$21, $C$9, 100%, $E$9)</f>
        <v>20.569099999999999</v>
      </c>
      <c r="M642" s="10">
        <f>CHOOSE(CONTROL!$C$42, 19.4918, 19.4918) * CHOOSE(CONTROL!$C$21, $C$9, 100%, $E$9)</f>
        <v>19.491800000000001</v>
      </c>
      <c r="N642" s="10">
        <f>CHOOSE(CONTROL!$C$42, 19.5085, 19.5085) * CHOOSE(CONTROL!$C$21, $C$9, 100%, $E$9)</f>
        <v>19.508500000000002</v>
      </c>
      <c r="O642" s="10">
        <f>CHOOSE(CONTROL!$C$42, 19.7565, 19.7565) * CHOOSE(CONTROL!$C$21, $C$9, 100%, $E$9)</f>
        <v>19.756499999999999</v>
      </c>
      <c r="P642" s="10">
        <f>CHOOSE(CONTROL!$C$42, 19.5315, 19.5315) * CHOOSE(CONTROL!$C$21, $C$9, 100%, $E$9)</f>
        <v>19.531500000000001</v>
      </c>
      <c r="Q642" s="10">
        <f>CHOOSE(CONTROL!$C$42, 20.3518, 20.3518) * CHOOSE(CONTROL!$C$21, $C$9, 100%, $E$9)</f>
        <v>20.351800000000001</v>
      </c>
      <c r="R642" s="10">
        <f>CHOOSE(CONTROL!$C$42, 20.9897, 20.9897) * CHOOSE(CONTROL!$C$21, $C$9, 100%, $E$9)</f>
        <v>20.989699999999999</v>
      </c>
      <c r="S642" s="10">
        <f>CHOOSE(CONTROL!$C$42, 19.1671, 19.1671) * CHOOSE(CONTROL!$C$21, $C$9, 100%, $E$9)</f>
        <v>19.167100000000001</v>
      </c>
      <c r="T6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38">
        <f>(1000*CHOOSE(CONTROL!$C$42, 695, 695)*CHOOSE(CONTROL!$C$42, 0.5599, 0.5599)*CHOOSE(CONTROL!$C$42, 30, 30))/1000000</f>
        <v>11.673914999999997</v>
      </c>
      <c r="V642" s="38">
        <f>(1000*CHOOSE(CONTROL!$C$42, 500, 500)*CHOOSE(CONTROL!$C$42, 0.275, 0.275)*CHOOSE(CONTROL!$C$42, 30, 30))/1000000</f>
        <v>4.125</v>
      </c>
      <c r="W642" s="38">
        <f>(1000*CHOOSE(CONTROL!$C$42, 0.1146, 0.1146)*CHOOSE(CONTROL!$C$42, 121.5, 121.5)*CHOOSE(CONTROL!$C$42, 30, 30))/1000000</f>
        <v>0.417717</v>
      </c>
      <c r="X642" s="38">
        <f>(30*0.1790888*245000/1000000)+(30*0.2374*100000/1000000)</f>
        <v>2.0285026799999999</v>
      </c>
      <c r="Y642" s="38">
        <f>(1000*600*CHOOSE(CONTROL!$C$42, 1.0585, 1.0585)*CHOOSE(CONTROL!$C$42, 30, 30))/1000000</f>
        <v>19.053000000000001</v>
      </c>
      <c r="Z642" s="38"/>
      <c r="AA642" s="10"/>
      <c r="AB642" s="39"/>
      <c r="AC642" s="33">
        <f>(B642*194.205+C642*267.466+D642*133.845+E642*53.484+F642*40+G642*185+H642*0+I642*100+J642*300)/(194.205+267.466+133.845+53.484+0+40+185+100+300)</f>
        <v>19.784187887519622</v>
      </c>
      <c r="AD642" s="27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19.618445323741007</v>
      </c>
    </row>
    <row r="643" spans="1:30" ht="15.75" x14ac:dyDescent="0.25">
      <c r="A643" s="13">
        <v>60844</v>
      </c>
      <c r="B643" s="10">
        <f>CHOOSE(CONTROL!$C$42, 19.3997, 19.3997) * CHOOSE(CONTROL!$C$21, $C$9, 100%, $E$9)</f>
        <v>19.399699999999999</v>
      </c>
      <c r="C643" s="10">
        <f>CHOOSE(CONTROL!$C$42, 19.4077, 19.4077) * CHOOSE(CONTROL!$C$21, $C$9, 100%, $E$9)</f>
        <v>19.407699999999998</v>
      </c>
      <c r="D643" s="10">
        <f>CHOOSE(CONTROL!$C$42, 19.5829, 19.5829) * CHOOSE(CONTROL!$C$21, $C$9, 100%, $E$9)</f>
        <v>19.582899999999999</v>
      </c>
      <c r="E643" s="10">
        <f>CHOOSE(CONTROL!$C$42, 19.6141, 19.6141) * CHOOSE(CONTROL!$C$21, $C$9, 100%, $E$9)</f>
        <v>19.614100000000001</v>
      </c>
      <c r="F643" s="10">
        <f>CHOOSE(CONTROL!$C$42, 19.342, 19.342)*CHOOSE(CONTROL!$C$21, $C$9, 100%, $E$9)</f>
        <v>19.341999999999999</v>
      </c>
      <c r="G643" s="10">
        <f>CHOOSE(CONTROL!$C$42, 19.359, 19.359)*CHOOSE(CONTROL!$C$21, $C$9, 100%, $E$9)</f>
        <v>19.359000000000002</v>
      </c>
      <c r="H643" s="10">
        <f>CHOOSE(CONTROL!$C$42, 19.6024, 19.6024) * CHOOSE(CONTROL!$C$21, $C$9, 100%, $E$9)</f>
        <v>19.602399999999999</v>
      </c>
      <c r="I643" s="10">
        <f>CHOOSE(CONTROL!$C$42, 19.3744, 19.3744)* CHOOSE(CONTROL!$C$21, $C$9, 100%, $E$9)</f>
        <v>19.374400000000001</v>
      </c>
      <c r="J643" s="10">
        <f>CHOOSE(CONTROL!$C$42, 19.3346, 19.3346)* CHOOSE(CONTROL!$C$21, $C$9, 100%, $E$9)</f>
        <v>19.334599999999998</v>
      </c>
      <c r="K643" s="10">
        <f>CHOOSE(CONTROL!$C$42, 18.9274, 18.9274) * CHOOSE(CONTROL!$C$21, $C$9, 100%, $E$9)</f>
        <v>18.927399999999999</v>
      </c>
      <c r="L643" s="10">
        <f>CHOOSE(CONTROL!$C$42, 20.1894, 20.1894) * CHOOSE(CONTROL!$C$21, $C$9, 100%, $E$9)</f>
        <v>20.189399999999999</v>
      </c>
      <c r="M643" s="10">
        <f>CHOOSE(CONTROL!$C$42, 19.1173, 19.1173) * CHOOSE(CONTROL!$C$21, $C$9, 100%, $E$9)</f>
        <v>19.1173</v>
      </c>
      <c r="N643" s="10">
        <f>CHOOSE(CONTROL!$C$42, 19.1341, 19.1341) * CHOOSE(CONTROL!$C$21, $C$9, 100%, $E$9)</f>
        <v>19.1341</v>
      </c>
      <c r="O643" s="10">
        <f>CHOOSE(CONTROL!$C$42, 19.3817, 19.3817) * CHOOSE(CONTROL!$C$21, $C$9, 100%, $E$9)</f>
        <v>19.381699999999999</v>
      </c>
      <c r="P643" s="10">
        <f>CHOOSE(CONTROL!$C$42, 19.1567, 19.1567) * CHOOSE(CONTROL!$C$21, $C$9, 100%, $E$9)</f>
        <v>19.156700000000001</v>
      </c>
      <c r="Q643" s="10">
        <f>CHOOSE(CONTROL!$C$42, 19.977, 19.977) * CHOOSE(CONTROL!$C$21, $C$9, 100%, $E$9)</f>
        <v>19.977</v>
      </c>
      <c r="R643" s="10">
        <f>CHOOSE(CONTROL!$C$42, 20.6139, 20.6139) * CHOOSE(CONTROL!$C$21, $C$9, 100%, $E$9)</f>
        <v>20.613900000000001</v>
      </c>
      <c r="S643" s="10">
        <f>CHOOSE(CONTROL!$C$42, 18.7994, 18.7994) * CHOOSE(CONTROL!$C$21, $C$9, 100%, $E$9)</f>
        <v>18.799399999999999</v>
      </c>
      <c r="T6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38">
        <f>(1000*CHOOSE(CONTROL!$C$42, 695, 695)*CHOOSE(CONTROL!$C$42, 0.5599, 0.5599)*CHOOSE(CONTROL!$C$42, 31, 31))/1000000</f>
        <v>12.063045499999998</v>
      </c>
      <c r="V643" s="38">
        <f>(1000*CHOOSE(CONTROL!$C$42, 500, 500)*CHOOSE(CONTROL!$C$42, 0.275, 0.275)*CHOOSE(CONTROL!$C$42, 31, 31))/1000000</f>
        <v>4.2625000000000002</v>
      </c>
      <c r="W643" s="38">
        <f>(1000*CHOOSE(CONTROL!$C$42, 0.1146, 0.1146)*CHOOSE(CONTROL!$C$42, 121.5, 121.5)*CHOOSE(CONTROL!$C$42, 31, 31))/1000000</f>
        <v>0.43164089999999994</v>
      </c>
      <c r="X643" s="38">
        <f>(31*0.1790888*245000/1000000)+(31*0.2374*100000/1000000)</f>
        <v>2.0961194359999999</v>
      </c>
      <c r="Y643" s="38">
        <f>(1000*600*CHOOSE(CONTROL!$C$42, 1.0585, 1.0585)*CHOOSE(CONTROL!$C$42, 31, 31))/1000000</f>
        <v>19.688099999999999</v>
      </c>
      <c r="Z643" s="38"/>
      <c r="AA643" s="10"/>
      <c r="AB643" s="39"/>
      <c r="AC643" s="33">
        <f>(B643*194.205+C643*267.466+D643*133.845+E643*53.484+F643*40+G643*185+H643*0+I643*100+J643*300)/(194.205+267.466+133.845+53.484+0+40+185+100+300)</f>
        <v>19.40458979717425</v>
      </c>
      <c r="AD643" s="27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19.243771942446042</v>
      </c>
    </row>
    <row r="644" spans="1:30" ht="15.75" x14ac:dyDescent="0.25">
      <c r="A644" s="13">
        <v>60875</v>
      </c>
      <c r="B644" s="10">
        <f>CHOOSE(CONTROL!$C$42, 18.4408, 18.4408) * CHOOSE(CONTROL!$C$21, $C$9, 100%, $E$9)</f>
        <v>18.440799999999999</v>
      </c>
      <c r="C644" s="10">
        <f>CHOOSE(CONTROL!$C$42, 18.4488, 18.4488) * CHOOSE(CONTROL!$C$21, $C$9, 100%, $E$9)</f>
        <v>18.448799999999999</v>
      </c>
      <c r="D644" s="10">
        <f>CHOOSE(CONTROL!$C$42, 18.6239, 18.6239) * CHOOSE(CONTROL!$C$21, $C$9, 100%, $E$9)</f>
        <v>18.623899999999999</v>
      </c>
      <c r="E644" s="10">
        <f>CHOOSE(CONTROL!$C$42, 18.6551, 18.6551) * CHOOSE(CONTROL!$C$21, $C$9, 100%, $E$9)</f>
        <v>18.655100000000001</v>
      </c>
      <c r="F644" s="10">
        <f>CHOOSE(CONTROL!$C$42, 18.3829, 18.3829)*CHOOSE(CONTROL!$C$21, $C$9, 100%, $E$9)</f>
        <v>18.382899999999999</v>
      </c>
      <c r="G644" s="10">
        <f>CHOOSE(CONTROL!$C$42, 18.3999, 18.3999)*CHOOSE(CONTROL!$C$21, $C$9, 100%, $E$9)</f>
        <v>18.399899999999999</v>
      </c>
      <c r="H644" s="10">
        <f>CHOOSE(CONTROL!$C$42, 18.6435, 18.6435) * CHOOSE(CONTROL!$C$21, $C$9, 100%, $E$9)</f>
        <v>18.6435</v>
      </c>
      <c r="I644" s="10">
        <f>CHOOSE(CONTROL!$C$42, 18.4155, 18.4155)* CHOOSE(CONTROL!$C$21, $C$9, 100%, $E$9)</f>
        <v>18.415500000000002</v>
      </c>
      <c r="J644" s="10">
        <f>CHOOSE(CONTROL!$C$42, 18.3755, 18.3755)* CHOOSE(CONTROL!$C$21, $C$9, 100%, $E$9)</f>
        <v>18.375499999999999</v>
      </c>
      <c r="K644" s="10">
        <f>CHOOSE(CONTROL!$C$42, 17.9981, 17.9981) * CHOOSE(CONTROL!$C$21, $C$9, 100%, $E$9)</f>
        <v>17.998100000000001</v>
      </c>
      <c r="L644" s="10">
        <f>CHOOSE(CONTROL!$C$42, 19.2305, 19.2305) * CHOOSE(CONTROL!$C$21, $C$9, 100%, $E$9)</f>
        <v>19.230499999999999</v>
      </c>
      <c r="M644" s="10">
        <f>CHOOSE(CONTROL!$C$42, 18.1707, 18.1707) * CHOOSE(CONTROL!$C$21, $C$9, 100%, $E$9)</f>
        <v>18.1707</v>
      </c>
      <c r="N644" s="10">
        <f>CHOOSE(CONTROL!$C$42, 18.1875, 18.1875) * CHOOSE(CONTROL!$C$21, $C$9, 100%, $E$9)</f>
        <v>18.1875</v>
      </c>
      <c r="O644" s="10">
        <f>CHOOSE(CONTROL!$C$42, 18.4352, 18.4352) * CHOOSE(CONTROL!$C$21, $C$9, 100%, $E$9)</f>
        <v>18.435199999999998</v>
      </c>
      <c r="P644" s="10">
        <f>CHOOSE(CONTROL!$C$42, 18.2101, 18.2101) * CHOOSE(CONTROL!$C$21, $C$9, 100%, $E$9)</f>
        <v>18.210100000000001</v>
      </c>
      <c r="Q644" s="10">
        <f>CHOOSE(CONTROL!$C$42, 19.0305, 19.0305) * CHOOSE(CONTROL!$C$21, $C$9, 100%, $E$9)</f>
        <v>19.0305</v>
      </c>
      <c r="R644" s="10">
        <f>CHOOSE(CONTROL!$C$42, 19.665, 19.665) * CHOOSE(CONTROL!$C$21, $C$9, 100%, $E$9)</f>
        <v>19.664999999999999</v>
      </c>
      <c r="S644" s="10">
        <f>CHOOSE(CONTROL!$C$42, 17.8708, 17.8708) * CHOOSE(CONTROL!$C$21, $C$9, 100%, $E$9)</f>
        <v>17.870799999999999</v>
      </c>
      <c r="T6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38">
        <f>(1000*CHOOSE(CONTROL!$C$42, 695, 695)*CHOOSE(CONTROL!$C$42, 0.5599, 0.5599)*CHOOSE(CONTROL!$C$42, 31, 31))/1000000</f>
        <v>12.063045499999998</v>
      </c>
      <c r="V644" s="38">
        <f>(1000*CHOOSE(CONTROL!$C$42, 500, 500)*CHOOSE(CONTROL!$C$42, 0.275, 0.275)*CHOOSE(CONTROL!$C$42, 31, 31))/1000000</f>
        <v>4.2625000000000002</v>
      </c>
      <c r="W644" s="38">
        <f>(1000*CHOOSE(CONTROL!$C$42, 0.1146, 0.1146)*CHOOSE(CONTROL!$C$42, 121.5, 121.5)*CHOOSE(CONTROL!$C$42, 31, 31))/1000000</f>
        <v>0.43164089999999994</v>
      </c>
      <c r="X644" s="38">
        <f>(31*0.1790888*245000/1000000)+(31*0.2374*100000/1000000)</f>
        <v>2.0961194359999999</v>
      </c>
      <c r="Y644" s="38">
        <f>(1000*600*CHOOSE(CONTROL!$C$42, 1.0585, 1.0585)*CHOOSE(CONTROL!$C$42, 31, 31))/1000000</f>
        <v>19.688099999999999</v>
      </c>
      <c r="Z644" s="38"/>
      <c r="AA644" s="10"/>
      <c r="AB644" s="39"/>
      <c r="AC644" s="33">
        <f>(B644*194.205+C644*267.466+D644*133.845+E644*53.484+F644*40+G644*185+H644*0+I644*100+J644*300)/(194.205+267.466+133.845+53.484+0+40+185+100+300)</f>
        <v>18.445592675588696</v>
      </c>
      <c r="AD644" s="27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18.297217266187051</v>
      </c>
    </row>
    <row r="645" spans="1:30" ht="15.75" x14ac:dyDescent="0.25">
      <c r="A645" s="13">
        <v>60905</v>
      </c>
      <c r="B645" s="10">
        <f>CHOOSE(CONTROL!$C$42, 17.2692, 17.2692) * CHOOSE(CONTROL!$C$21, $C$9, 100%, $E$9)</f>
        <v>17.269200000000001</v>
      </c>
      <c r="C645" s="10">
        <f>CHOOSE(CONTROL!$C$42, 17.2772, 17.2772) * CHOOSE(CONTROL!$C$21, $C$9, 100%, $E$9)</f>
        <v>17.277200000000001</v>
      </c>
      <c r="D645" s="10">
        <f>CHOOSE(CONTROL!$C$42, 17.4523, 17.4523) * CHOOSE(CONTROL!$C$21, $C$9, 100%, $E$9)</f>
        <v>17.452300000000001</v>
      </c>
      <c r="E645" s="10">
        <f>CHOOSE(CONTROL!$C$42, 17.4835, 17.4835) * CHOOSE(CONTROL!$C$21, $C$9, 100%, $E$9)</f>
        <v>17.483499999999999</v>
      </c>
      <c r="F645" s="10">
        <f>CHOOSE(CONTROL!$C$42, 17.2109, 17.2109)*CHOOSE(CONTROL!$C$21, $C$9, 100%, $E$9)</f>
        <v>17.210899999999999</v>
      </c>
      <c r="G645" s="10">
        <f>CHOOSE(CONTROL!$C$42, 17.2279, 17.2279)*CHOOSE(CONTROL!$C$21, $C$9, 100%, $E$9)</f>
        <v>17.227900000000002</v>
      </c>
      <c r="H645" s="10">
        <f>CHOOSE(CONTROL!$C$42, 17.4718, 17.4718) * CHOOSE(CONTROL!$C$21, $C$9, 100%, $E$9)</f>
        <v>17.471800000000002</v>
      </c>
      <c r="I645" s="10">
        <f>CHOOSE(CONTROL!$C$42, 17.2438, 17.2438)* CHOOSE(CONTROL!$C$21, $C$9, 100%, $E$9)</f>
        <v>17.2438</v>
      </c>
      <c r="J645" s="10">
        <f>CHOOSE(CONTROL!$C$42, 17.2035, 17.2035)* CHOOSE(CONTROL!$C$21, $C$9, 100%, $E$9)</f>
        <v>17.203499999999998</v>
      </c>
      <c r="K645" s="10">
        <f>CHOOSE(CONTROL!$C$42, 16.8624, 16.8624) * CHOOSE(CONTROL!$C$21, $C$9, 100%, $E$9)</f>
        <v>16.862400000000001</v>
      </c>
      <c r="L645" s="10">
        <f>CHOOSE(CONTROL!$C$42, 18.0588, 18.0588) * CHOOSE(CONTROL!$C$21, $C$9, 100%, $E$9)</f>
        <v>18.058800000000002</v>
      </c>
      <c r="M645" s="10">
        <f>CHOOSE(CONTROL!$C$42, 17.0139, 17.0139) * CHOOSE(CONTROL!$C$21, $C$9, 100%, $E$9)</f>
        <v>17.0139</v>
      </c>
      <c r="N645" s="10">
        <f>CHOOSE(CONTROL!$C$42, 17.0306, 17.0306) * CHOOSE(CONTROL!$C$21, $C$9, 100%, $E$9)</f>
        <v>17.0306</v>
      </c>
      <c r="O645" s="10">
        <f>CHOOSE(CONTROL!$C$42, 17.2787, 17.2787) * CHOOSE(CONTROL!$C$21, $C$9, 100%, $E$9)</f>
        <v>17.278700000000001</v>
      </c>
      <c r="P645" s="10">
        <f>CHOOSE(CONTROL!$C$42, 17.0537, 17.0537) * CHOOSE(CONTROL!$C$21, $C$9, 100%, $E$9)</f>
        <v>17.053699999999999</v>
      </c>
      <c r="Q645" s="10">
        <f>CHOOSE(CONTROL!$C$42, 17.874, 17.874) * CHOOSE(CONTROL!$C$21, $C$9, 100%, $E$9)</f>
        <v>17.873999999999999</v>
      </c>
      <c r="R645" s="10">
        <f>CHOOSE(CONTROL!$C$42, 18.5057, 18.5057) * CHOOSE(CONTROL!$C$21, $C$9, 100%, $E$9)</f>
        <v>18.505700000000001</v>
      </c>
      <c r="S645" s="10">
        <f>CHOOSE(CONTROL!$C$42, 16.7363, 16.7363) * CHOOSE(CONTROL!$C$21, $C$9, 100%, $E$9)</f>
        <v>16.7363</v>
      </c>
      <c r="T6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38">
        <f>(1000*CHOOSE(CONTROL!$C$42, 695, 695)*CHOOSE(CONTROL!$C$42, 0.5599, 0.5599)*CHOOSE(CONTROL!$C$42, 30, 30))/1000000</f>
        <v>11.673914999999997</v>
      </c>
      <c r="V645" s="38">
        <f>(1000*CHOOSE(CONTROL!$C$42, 500, 500)*CHOOSE(CONTROL!$C$42, 0.275, 0.275)*CHOOSE(CONTROL!$C$42, 30, 30))/1000000</f>
        <v>4.125</v>
      </c>
      <c r="W645" s="38">
        <f>(1000*CHOOSE(CONTROL!$C$42, 0.1146, 0.1146)*CHOOSE(CONTROL!$C$42, 121.5, 121.5)*CHOOSE(CONTROL!$C$42, 30, 30))/1000000</f>
        <v>0.417717</v>
      </c>
      <c r="X645" s="38">
        <f>(30*0.1790888*245000/1000000)+(30*0.2374*100000/1000000)</f>
        <v>2.0285026799999999</v>
      </c>
      <c r="Y645" s="38">
        <f>(1000*600*CHOOSE(CONTROL!$C$42, 1.0585, 1.0585)*CHOOSE(CONTROL!$C$42, 30, 30))/1000000</f>
        <v>19.053000000000001</v>
      </c>
      <c r="Z645" s="38"/>
      <c r="AA645" s="10"/>
      <c r="AB645" s="39"/>
      <c r="AC645" s="33">
        <f>(B645*194.205+C645*267.466+D645*133.845+E645*53.484+F645*40+G645*185+H645*0+I645*100+J645*300)/(194.205+267.466+133.845+53.484+0+40+185+100+300)</f>
        <v>17.273819991130299</v>
      </c>
      <c r="AD645" s="27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17.140605035971223</v>
      </c>
    </row>
    <row r="646" spans="1:30" ht="15.75" x14ac:dyDescent="0.25">
      <c r="A646" s="13">
        <v>60936</v>
      </c>
      <c r="B646" s="10">
        <f>CHOOSE(CONTROL!$C$42, 16.9161, 16.9161) * CHOOSE(CONTROL!$C$21, $C$9, 100%, $E$9)</f>
        <v>16.9161</v>
      </c>
      <c r="C646" s="10">
        <f>CHOOSE(CONTROL!$C$42, 16.9215, 16.9215) * CHOOSE(CONTROL!$C$21, $C$9, 100%, $E$9)</f>
        <v>16.921500000000002</v>
      </c>
      <c r="D646" s="10">
        <f>CHOOSE(CONTROL!$C$42, 17.1015, 17.1015) * CHOOSE(CONTROL!$C$21, $C$9, 100%, $E$9)</f>
        <v>17.101500000000001</v>
      </c>
      <c r="E646" s="10">
        <f>CHOOSE(CONTROL!$C$42, 17.1304, 17.1304) * CHOOSE(CONTROL!$C$21, $C$9, 100%, $E$9)</f>
        <v>17.130400000000002</v>
      </c>
      <c r="F646" s="10">
        <f>CHOOSE(CONTROL!$C$42, 16.8599, 16.8599)*CHOOSE(CONTROL!$C$21, $C$9, 100%, $E$9)</f>
        <v>16.8599</v>
      </c>
      <c r="G646" s="10">
        <f>CHOOSE(CONTROL!$C$42, 16.8765, 16.8765)*CHOOSE(CONTROL!$C$21, $C$9, 100%, $E$9)</f>
        <v>16.8765</v>
      </c>
      <c r="H646" s="10">
        <f>CHOOSE(CONTROL!$C$42, 17.1205, 17.1205) * CHOOSE(CONTROL!$C$21, $C$9, 100%, $E$9)</f>
        <v>17.1205</v>
      </c>
      <c r="I646" s="10">
        <f>CHOOSE(CONTROL!$C$42, 16.8925, 16.8925)* CHOOSE(CONTROL!$C$21, $C$9, 100%, $E$9)</f>
        <v>16.892499999999998</v>
      </c>
      <c r="J646" s="10">
        <f>CHOOSE(CONTROL!$C$42, 16.8525, 16.8525)* CHOOSE(CONTROL!$C$21, $C$9, 100%, $E$9)</f>
        <v>16.852499999999999</v>
      </c>
      <c r="K646" s="10">
        <f>CHOOSE(CONTROL!$C$42, 16.5226, 16.5226) * CHOOSE(CONTROL!$C$21, $C$9, 100%, $E$9)</f>
        <v>16.522600000000001</v>
      </c>
      <c r="L646" s="10">
        <f>CHOOSE(CONTROL!$C$42, 17.7075, 17.7075) * CHOOSE(CONTROL!$C$21, $C$9, 100%, $E$9)</f>
        <v>17.7075</v>
      </c>
      <c r="M646" s="10">
        <f>CHOOSE(CONTROL!$C$42, 16.6674, 16.6674) * CHOOSE(CONTROL!$C$21, $C$9, 100%, $E$9)</f>
        <v>16.667400000000001</v>
      </c>
      <c r="N646" s="10">
        <f>CHOOSE(CONTROL!$C$42, 16.6838, 16.6838) * CHOOSE(CONTROL!$C$21, $C$9, 100%, $E$9)</f>
        <v>16.683800000000002</v>
      </c>
      <c r="O646" s="10">
        <f>CHOOSE(CONTROL!$C$42, 16.9319, 16.9319) * CHOOSE(CONTROL!$C$21, $C$9, 100%, $E$9)</f>
        <v>16.931899999999999</v>
      </c>
      <c r="P646" s="10">
        <f>CHOOSE(CONTROL!$C$42, 16.7069, 16.7069) * CHOOSE(CONTROL!$C$21, $C$9, 100%, $E$9)</f>
        <v>16.706900000000001</v>
      </c>
      <c r="Q646" s="10">
        <f>CHOOSE(CONTROL!$C$42, 17.5272, 17.5272) * CHOOSE(CONTROL!$C$21, $C$9, 100%, $E$9)</f>
        <v>17.527200000000001</v>
      </c>
      <c r="R646" s="10">
        <f>CHOOSE(CONTROL!$C$42, 18.158, 18.158) * CHOOSE(CONTROL!$C$21, $C$9, 100%, $E$9)</f>
        <v>18.158000000000001</v>
      </c>
      <c r="S646" s="10">
        <f>CHOOSE(CONTROL!$C$42, 16.3961, 16.3961) * CHOOSE(CONTROL!$C$21, $C$9, 100%, $E$9)</f>
        <v>16.396100000000001</v>
      </c>
      <c r="T6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38">
        <f>(1000*CHOOSE(CONTROL!$C$42, 695, 695)*CHOOSE(CONTROL!$C$42, 0.5599, 0.5599)*CHOOSE(CONTROL!$C$42, 31, 31))/1000000</f>
        <v>12.063045499999998</v>
      </c>
      <c r="V646" s="38">
        <f>(1000*CHOOSE(CONTROL!$C$42, 500, 500)*CHOOSE(CONTROL!$C$42, 0.275, 0.275)*CHOOSE(CONTROL!$C$42, 31, 31))/1000000</f>
        <v>4.2625000000000002</v>
      </c>
      <c r="W646" s="38">
        <f>(1000*CHOOSE(CONTROL!$C$42, 0.1146, 0.1146)*CHOOSE(CONTROL!$C$42, 121.5, 121.5)*CHOOSE(CONTROL!$C$42, 31, 31))/1000000</f>
        <v>0.43164089999999994</v>
      </c>
      <c r="X646" s="38">
        <f>(31*0.1790888*245000/1000000)+(31*0.2374*100000/1000000)</f>
        <v>2.0961194359999999</v>
      </c>
      <c r="Y646" s="38">
        <f>(1000*600*CHOOSE(CONTROL!$C$42, 1.0585, 1.0585)*CHOOSE(CONTROL!$C$42, 31, 31))/1000000</f>
        <v>19.688099999999999</v>
      </c>
      <c r="Z646" s="38"/>
      <c r="AA646" s="10"/>
      <c r="AB646" s="39"/>
      <c r="AC646" s="33">
        <f>(B646*131.881+C646*277.167+D646*79.08+E646*125.872+F646*40+G646*185+H646*0+I646*100+J646*300)/(131.881+277.167+79.08+125.872+0+40+185+100+300)</f>
        <v>16.925880874414851</v>
      </c>
      <c r="AD646" s="27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16.793908633093526</v>
      </c>
    </row>
    <row r="647" spans="1:30" ht="15.75" x14ac:dyDescent="0.25">
      <c r="A647" s="13">
        <v>60966</v>
      </c>
      <c r="B647" s="10">
        <f>CHOOSE(CONTROL!$C$42, 17.3618, 17.3618) * CHOOSE(CONTROL!$C$21, $C$9, 100%, $E$9)</f>
        <v>17.361799999999999</v>
      </c>
      <c r="C647" s="10">
        <f>CHOOSE(CONTROL!$C$42, 17.3669, 17.3669) * CHOOSE(CONTROL!$C$21, $C$9, 100%, $E$9)</f>
        <v>17.366900000000001</v>
      </c>
      <c r="D647" s="10">
        <f>CHOOSE(CONTROL!$C$42, 17.3916, 17.3916) * CHOOSE(CONTROL!$C$21, $C$9, 100%, $E$9)</f>
        <v>17.3916</v>
      </c>
      <c r="E647" s="10">
        <f>CHOOSE(CONTROL!$C$42, 17.4254, 17.4254) * CHOOSE(CONTROL!$C$21, $C$9, 100%, $E$9)</f>
        <v>17.4254</v>
      </c>
      <c r="F647" s="10">
        <f>CHOOSE(CONTROL!$C$42, 17.3274, 17.3274)*CHOOSE(CONTROL!$C$21, $C$9, 100%, $E$9)</f>
        <v>17.327400000000001</v>
      </c>
      <c r="G647" s="10">
        <f>CHOOSE(CONTROL!$C$42, 17.3442, 17.3442)*CHOOSE(CONTROL!$C$21, $C$9, 100%, $E$9)</f>
        <v>17.344200000000001</v>
      </c>
      <c r="H647" s="10">
        <f>CHOOSE(CONTROL!$C$42, 17.4143, 17.4143) * CHOOSE(CONTROL!$C$21, $C$9, 100%, $E$9)</f>
        <v>17.414300000000001</v>
      </c>
      <c r="I647" s="10">
        <f>CHOOSE(CONTROL!$C$42, 17.3613, 17.3613)* CHOOSE(CONTROL!$C$21, $C$9, 100%, $E$9)</f>
        <v>17.3613</v>
      </c>
      <c r="J647" s="10">
        <f>CHOOSE(CONTROL!$C$42, 17.32, 17.32)* CHOOSE(CONTROL!$C$21, $C$9, 100%, $E$9)</f>
        <v>17.32</v>
      </c>
      <c r="K647" s="10">
        <f>CHOOSE(CONTROL!$C$42, 16.9785, 16.9785) * CHOOSE(CONTROL!$C$21, $C$9, 100%, $E$9)</f>
        <v>16.9785</v>
      </c>
      <c r="L647" s="10">
        <f>CHOOSE(CONTROL!$C$42, 18.0013, 18.0013) * CHOOSE(CONTROL!$C$21, $C$9, 100%, $E$9)</f>
        <v>18.001300000000001</v>
      </c>
      <c r="M647" s="10">
        <f>CHOOSE(CONTROL!$C$42, 17.1289, 17.1289) * CHOOSE(CONTROL!$C$21, $C$9, 100%, $E$9)</f>
        <v>17.128900000000002</v>
      </c>
      <c r="N647" s="10">
        <f>CHOOSE(CONTROL!$C$42, 17.1454, 17.1454) * CHOOSE(CONTROL!$C$21, $C$9, 100%, $E$9)</f>
        <v>17.145399999999999</v>
      </c>
      <c r="O647" s="10">
        <f>CHOOSE(CONTROL!$C$42, 17.2219, 17.2219) * CHOOSE(CONTROL!$C$21, $C$9, 100%, $E$9)</f>
        <v>17.221900000000002</v>
      </c>
      <c r="P647" s="10">
        <f>CHOOSE(CONTROL!$C$42, 17.1696, 17.1696) * CHOOSE(CONTROL!$C$21, $C$9, 100%, $E$9)</f>
        <v>17.169599999999999</v>
      </c>
      <c r="Q647" s="10">
        <f>CHOOSE(CONTROL!$C$42, 17.8172, 17.8172) * CHOOSE(CONTROL!$C$21, $C$9, 100%, $E$9)</f>
        <v>17.8172</v>
      </c>
      <c r="R647" s="10">
        <f>CHOOSE(CONTROL!$C$42, 18.4487, 18.4487) * CHOOSE(CONTROL!$C$21, $C$9, 100%, $E$9)</f>
        <v>18.448699999999999</v>
      </c>
      <c r="S647" s="10">
        <f>CHOOSE(CONTROL!$C$42, 16.8281, 16.8281) * CHOOSE(CONTROL!$C$21, $C$9, 100%, $E$9)</f>
        <v>16.828099999999999</v>
      </c>
      <c r="T6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38">
        <f>(1000*CHOOSE(CONTROL!$C$42, 695, 695)*CHOOSE(CONTROL!$C$42, 0.5599, 0.5599)*CHOOSE(CONTROL!$C$42, 30, 30))/1000000</f>
        <v>11.673914999999997</v>
      </c>
      <c r="V647" s="38">
        <f>(1000*CHOOSE(CONTROL!$C$42, 500, 500)*CHOOSE(CONTROL!$C$42, 0.275, 0.275)*CHOOSE(CONTROL!$C$42, 30, 30))/1000000</f>
        <v>4.125</v>
      </c>
      <c r="W647" s="38">
        <f>(1000*CHOOSE(CONTROL!$C$42, 0.1146, 0.1146)*CHOOSE(CONTROL!$C$42, 121.5, 121.5)*CHOOSE(CONTROL!$C$42, 30, 30))/1000000</f>
        <v>0.417717</v>
      </c>
      <c r="X647" s="38">
        <f>(30*0.1790888*100000/1000000)+(30*0.2374*100000/1000000)</f>
        <v>1.2494664</v>
      </c>
      <c r="Y647" s="38">
        <f>(1000*600*CHOOSE(CONTROL!$C$42, 1.0585, 1.0585)*CHOOSE(CONTROL!$C$42, 30, 30))/1000000</f>
        <v>19.053000000000001</v>
      </c>
      <c r="Z647" s="38"/>
      <c r="AA647" s="10"/>
      <c r="AB647" s="39"/>
      <c r="AC647" s="33">
        <f>(B647*122.58+C647*297.941+D647*89.177+E647*40.302+F647*40+G647*160+H647*0+I647*100+J647*300)/(122.58+297.941+89.177+40.302+0+40+160+100+300)</f>
        <v>17.353067983391302</v>
      </c>
      <c r="AD647" s="27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17.177856834532374</v>
      </c>
    </row>
    <row r="648" spans="1:30" ht="15.75" x14ac:dyDescent="0.25">
      <c r="A648" s="13">
        <v>60997</v>
      </c>
      <c r="B648" s="10">
        <f>CHOOSE(CONTROL!$C$42, 18.5466, 18.5466) * CHOOSE(CONTROL!$C$21, $C$9, 100%, $E$9)</f>
        <v>18.546600000000002</v>
      </c>
      <c r="C648" s="10">
        <f>CHOOSE(CONTROL!$C$42, 18.5517, 18.5517) * CHOOSE(CONTROL!$C$21, $C$9, 100%, $E$9)</f>
        <v>18.5517</v>
      </c>
      <c r="D648" s="10">
        <f>CHOOSE(CONTROL!$C$42, 18.5764, 18.5764) * CHOOSE(CONTROL!$C$21, $C$9, 100%, $E$9)</f>
        <v>18.5764</v>
      </c>
      <c r="E648" s="10">
        <f>CHOOSE(CONTROL!$C$42, 18.6102, 18.6102) * CHOOSE(CONTROL!$C$21, $C$9, 100%, $E$9)</f>
        <v>18.610199999999999</v>
      </c>
      <c r="F648" s="10">
        <f>CHOOSE(CONTROL!$C$42, 18.514, 18.514)*CHOOSE(CONTROL!$C$21, $C$9, 100%, $E$9)</f>
        <v>18.513999999999999</v>
      </c>
      <c r="G648" s="10">
        <f>CHOOSE(CONTROL!$C$42, 18.5313, 18.5313)*CHOOSE(CONTROL!$C$21, $C$9, 100%, $E$9)</f>
        <v>18.531300000000002</v>
      </c>
      <c r="H648" s="10">
        <f>CHOOSE(CONTROL!$C$42, 18.5991, 18.5991) * CHOOSE(CONTROL!$C$21, $C$9, 100%, $E$9)</f>
        <v>18.5991</v>
      </c>
      <c r="I648" s="10">
        <f>CHOOSE(CONTROL!$C$42, 18.5461, 18.5461)* CHOOSE(CONTROL!$C$21, $C$9, 100%, $E$9)</f>
        <v>18.546099999999999</v>
      </c>
      <c r="J648" s="10">
        <f>CHOOSE(CONTROL!$C$42, 18.5066, 18.5066)* CHOOSE(CONTROL!$C$21, $C$9, 100%, $E$9)</f>
        <v>18.506599999999999</v>
      </c>
      <c r="K648" s="10">
        <f>CHOOSE(CONTROL!$C$42, 18.1303, 18.1303) * CHOOSE(CONTROL!$C$21, $C$9, 100%, $E$9)</f>
        <v>18.130299999999998</v>
      </c>
      <c r="L648" s="10">
        <f>CHOOSE(CONTROL!$C$42, 19.1861, 19.1861) * CHOOSE(CONTROL!$C$21, $C$9, 100%, $E$9)</f>
        <v>19.1861</v>
      </c>
      <c r="M648" s="10">
        <f>CHOOSE(CONTROL!$C$42, 18.3001, 18.3001) * CHOOSE(CONTROL!$C$21, $C$9, 100%, $E$9)</f>
        <v>18.3001</v>
      </c>
      <c r="N648" s="10">
        <f>CHOOSE(CONTROL!$C$42, 18.3172, 18.3172) * CHOOSE(CONTROL!$C$21, $C$9, 100%, $E$9)</f>
        <v>18.3172</v>
      </c>
      <c r="O648" s="10">
        <f>CHOOSE(CONTROL!$C$42, 18.3914, 18.3914) * CHOOSE(CONTROL!$C$21, $C$9, 100%, $E$9)</f>
        <v>18.391400000000001</v>
      </c>
      <c r="P648" s="10">
        <f>CHOOSE(CONTROL!$C$42, 18.3391, 18.3391) * CHOOSE(CONTROL!$C$21, $C$9, 100%, $E$9)</f>
        <v>18.339099999999998</v>
      </c>
      <c r="Q648" s="10">
        <f>CHOOSE(CONTROL!$C$42, 18.9867, 18.9867) * CHOOSE(CONTROL!$C$21, $C$9, 100%, $E$9)</f>
        <v>18.986699999999999</v>
      </c>
      <c r="R648" s="10">
        <f>CHOOSE(CONTROL!$C$42, 19.6211, 19.6211) * CHOOSE(CONTROL!$C$21, $C$9, 100%, $E$9)</f>
        <v>19.621099999999998</v>
      </c>
      <c r="S648" s="10">
        <f>CHOOSE(CONTROL!$C$42, 17.9754, 17.9754) * CHOOSE(CONTROL!$C$21, $C$9, 100%, $E$9)</f>
        <v>17.9754</v>
      </c>
      <c r="T6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38">
        <f>(1000*CHOOSE(CONTROL!$C$42, 695, 695)*CHOOSE(CONTROL!$C$42, 0.5599, 0.5599)*CHOOSE(CONTROL!$C$42, 31, 31))/1000000</f>
        <v>12.063045499999998</v>
      </c>
      <c r="V648" s="38">
        <f>(1000*CHOOSE(CONTROL!$C$42, 500, 500)*CHOOSE(CONTROL!$C$42, 0.275, 0.275)*CHOOSE(CONTROL!$C$42, 31, 31))/1000000</f>
        <v>4.2625000000000002</v>
      </c>
      <c r="W648" s="38">
        <f>(1000*CHOOSE(CONTROL!$C$42, 0.1146, 0.1146)*CHOOSE(CONTROL!$C$42, 121.5, 121.5)*CHOOSE(CONTROL!$C$42, 31, 31))/1000000</f>
        <v>0.43164089999999994</v>
      </c>
      <c r="X648" s="38">
        <f>(31*0.1790888*100000/1000000)+(31*0.2374*100000/1000000)</f>
        <v>1.2911152800000001</v>
      </c>
      <c r="Y648" s="38">
        <f>(1000*600*CHOOSE(CONTROL!$C$42, 1.0585, 1.0585)*CHOOSE(CONTROL!$C$42, 31, 31))/1000000</f>
        <v>19.688099999999999</v>
      </c>
      <c r="Z648" s="38"/>
      <c r="AA648" s="10"/>
      <c r="AB648" s="39"/>
      <c r="AC648" s="33">
        <f>(B648*122.58+C648*297.941+D648*89.177+E648*40.302+F648*40+G648*160+H648*0+I648*100+J648*300)/(122.58+297.941+89.177+40.302+0+40+160+100+300)</f>
        <v>18.538720157304347</v>
      </c>
      <c r="AD648" s="27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18.348076258992805</v>
      </c>
    </row>
    <row r="649" spans="1:30" ht="15.75" x14ac:dyDescent="0.25">
      <c r="A649" s="13">
        <v>61028</v>
      </c>
      <c r="B649" s="10">
        <f>CHOOSE(CONTROL!$C$42, 19.7995, 19.7995) * CHOOSE(CONTROL!$C$21, $C$9, 100%, $E$9)</f>
        <v>19.799499999999998</v>
      </c>
      <c r="C649" s="10">
        <f>CHOOSE(CONTROL!$C$42, 19.8046, 19.8046) * CHOOSE(CONTROL!$C$21, $C$9, 100%, $E$9)</f>
        <v>19.804600000000001</v>
      </c>
      <c r="D649" s="10">
        <f>CHOOSE(CONTROL!$C$42, 19.8396, 19.8396) * CHOOSE(CONTROL!$C$21, $C$9, 100%, $E$9)</f>
        <v>19.839600000000001</v>
      </c>
      <c r="E649" s="10">
        <f>CHOOSE(CONTROL!$C$42, 19.8734, 19.8734) * CHOOSE(CONTROL!$C$21, $C$9, 100%, $E$9)</f>
        <v>19.8734</v>
      </c>
      <c r="F649" s="10">
        <f>CHOOSE(CONTROL!$C$42, 19.7808, 19.7808)*CHOOSE(CONTROL!$C$21, $C$9, 100%, $E$9)</f>
        <v>19.780799999999999</v>
      </c>
      <c r="G649" s="10">
        <f>CHOOSE(CONTROL!$C$42, 19.7997, 19.7997)*CHOOSE(CONTROL!$C$21, $C$9, 100%, $E$9)</f>
        <v>19.799700000000001</v>
      </c>
      <c r="H649" s="10">
        <f>CHOOSE(CONTROL!$C$42, 19.8623, 19.8623) * CHOOSE(CONTROL!$C$21, $C$9, 100%, $E$9)</f>
        <v>19.862300000000001</v>
      </c>
      <c r="I649" s="10">
        <f>CHOOSE(CONTROL!$C$42, 19.8068, 19.8068)* CHOOSE(CONTROL!$C$21, $C$9, 100%, $E$9)</f>
        <v>19.806799999999999</v>
      </c>
      <c r="J649" s="10">
        <f>CHOOSE(CONTROL!$C$42, 19.7734, 19.7734)* CHOOSE(CONTROL!$C$21, $C$9, 100%, $E$9)</f>
        <v>19.773399999999999</v>
      </c>
      <c r="K649" s="10">
        <f>CHOOSE(CONTROL!$C$42, 19.3648, 19.3648) * CHOOSE(CONTROL!$C$21, $C$9, 100%, $E$9)</f>
        <v>19.364799999999999</v>
      </c>
      <c r="L649" s="10">
        <f>CHOOSE(CONTROL!$C$42, 20.4493, 20.4493) * CHOOSE(CONTROL!$C$21, $C$9, 100%, $E$9)</f>
        <v>20.449300000000001</v>
      </c>
      <c r="M649" s="10">
        <f>CHOOSE(CONTROL!$C$42, 19.5505, 19.5505) * CHOOSE(CONTROL!$C$21, $C$9, 100%, $E$9)</f>
        <v>19.5505</v>
      </c>
      <c r="N649" s="10">
        <f>CHOOSE(CONTROL!$C$42, 19.5691, 19.5691) * CHOOSE(CONTROL!$C$21, $C$9, 100%, $E$9)</f>
        <v>19.569099999999999</v>
      </c>
      <c r="O649" s="10">
        <f>CHOOSE(CONTROL!$C$42, 19.6382, 19.6382) * CHOOSE(CONTROL!$C$21, $C$9, 100%, $E$9)</f>
        <v>19.638200000000001</v>
      </c>
      <c r="P649" s="10">
        <f>CHOOSE(CONTROL!$C$42, 19.5835, 19.5835) * CHOOSE(CONTROL!$C$21, $C$9, 100%, $E$9)</f>
        <v>19.583500000000001</v>
      </c>
      <c r="Q649" s="10">
        <f>CHOOSE(CONTROL!$C$42, 20.2335, 20.2335) * CHOOSE(CONTROL!$C$21, $C$9, 100%, $E$9)</f>
        <v>20.233499999999999</v>
      </c>
      <c r="R649" s="10">
        <f>CHOOSE(CONTROL!$C$42, 20.8711, 20.8711) * CHOOSE(CONTROL!$C$21, $C$9, 100%, $E$9)</f>
        <v>20.871099999999998</v>
      </c>
      <c r="S649" s="10">
        <f>CHOOSE(CONTROL!$C$42, 19.1885, 19.1885) * CHOOSE(CONTROL!$C$21, $C$9, 100%, $E$9)</f>
        <v>19.188500000000001</v>
      </c>
      <c r="T6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38">
        <f>(1000*CHOOSE(CONTROL!$C$42, 695, 695)*CHOOSE(CONTROL!$C$42, 0.5599, 0.5599)*CHOOSE(CONTROL!$C$42, 31, 31))/1000000</f>
        <v>12.063045499999998</v>
      </c>
      <c r="V649" s="38">
        <f>(1000*CHOOSE(CONTROL!$C$42, 500, 500)*CHOOSE(CONTROL!$C$42, 0.275, 0.275)*CHOOSE(CONTROL!$C$42, 31, 31))/1000000</f>
        <v>4.2625000000000002</v>
      </c>
      <c r="W649" s="38">
        <f>(1000*CHOOSE(CONTROL!$C$42, 0.1146, 0.1146)*CHOOSE(CONTROL!$C$42, 121.5, 121.5)*CHOOSE(CONTROL!$C$42, 31, 31))/1000000</f>
        <v>0.43164089999999994</v>
      </c>
      <c r="X649" s="38">
        <f>(31*0.1790888*100000/1000000)+(31*0.2374*100000/1000000)</f>
        <v>1.2911152800000001</v>
      </c>
      <c r="Y649" s="38">
        <f>(1000*600*CHOOSE(CONTROL!$C$42, 1.0585, 1.0585)*CHOOSE(CONTROL!$C$42, 31, 31))/1000000</f>
        <v>19.688099999999999</v>
      </c>
      <c r="Z649" s="38"/>
      <c r="AA649" s="10"/>
      <c r="AB649" s="39"/>
      <c r="AC649" s="33">
        <f>(B649*122.58+C649*297.941+D649*89.177+E649*40.302+F649*40+G649*160+H649*0+I649*100+J649*300)/(122.58+297.941+89.177+40.302+0+40+160+100+300)</f>
        <v>19.799724186608696</v>
      </c>
      <c r="AD649" s="27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19.596067625899284</v>
      </c>
    </row>
    <row r="650" spans="1:30" ht="15.75" x14ac:dyDescent="0.25">
      <c r="A650" s="13">
        <v>61056</v>
      </c>
      <c r="B650" s="10">
        <f>CHOOSE(CONTROL!$C$42, 20.1523, 20.1523) * CHOOSE(CONTROL!$C$21, $C$9, 100%, $E$9)</f>
        <v>20.1523</v>
      </c>
      <c r="C650" s="10">
        <f>CHOOSE(CONTROL!$C$42, 20.1574, 20.1574) * CHOOSE(CONTROL!$C$21, $C$9, 100%, $E$9)</f>
        <v>20.157399999999999</v>
      </c>
      <c r="D650" s="10">
        <f>CHOOSE(CONTROL!$C$42, 20.1924, 20.1924) * CHOOSE(CONTROL!$C$21, $C$9, 100%, $E$9)</f>
        <v>20.192399999999999</v>
      </c>
      <c r="E650" s="10">
        <f>CHOOSE(CONTROL!$C$42, 20.2262, 20.2262) * CHOOSE(CONTROL!$C$21, $C$9, 100%, $E$9)</f>
        <v>20.226199999999999</v>
      </c>
      <c r="F650" s="10">
        <f>CHOOSE(CONTROL!$C$42, 20.133, 20.133)*CHOOSE(CONTROL!$C$21, $C$9, 100%, $E$9)</f>
        <v>20.132999999999999</v>
      </c>
      <c r="G650" s="10">
        <f>CHOOSE(CONTROL!$C$42, 20.1518, 20.1518)*CHOOSE(CONTROL!$C$21, $C$9, 100%, $E$9)</f>
        <v>20.151800000000001</v>
      </c>
      <c r="H650" s="10">
        <f>CHOOSE(CONTROL!$C$42, 20.2151, 20.2151) * CHOOSE(CONTROL!$C$21, $C$9, 100%, $E$9)</f>
        <v>20.2151</v>
      </c>
      <c r="I650" s="10">
        <f>CHOOSE(CONTROL!$C$42, 20.1595, 20.1595)* CHOOSE(CONTROL!$C$21, $C$9, 100%, $E$9)</f>
        <v>20.159500000000001</v>
      </c>
      <c r="J650" s="10">
        <f>CHOOSE(CONTROL!$C$42, 20.1256, 20.1256)* CHOOSE(CONTROL!$C$21, $C$9, 100%, $E$9)</f>
        <v>20.125599999999999</v>
      </c>
      <c r="K650" s="10">
        <f>CHOOSE(CONTROL!$C$42, 19.7054, 19.7054) * CHOOSE(CONTROL!$C$21, $C$9, 100%, $E$9)</f>
        <v>19.705400000000001</v>
      </c>
      <c r="L650" s="10">
        <f>CHOOSE(CONTROL!$C$42, 20.8021, 20.8021) * CHOOSE(CONTROL!$C$21, $C$9, 100%, $E$9)</f>
        <v>20.802099999999999</v>
      </c>
      <c r="M650" s="10">
        <f>CHOOSE(CONTROL!$C$42, 19.8981, 19.8981) * CHOOSE(CONTROL!$C$21, $C$9, 100%, $E$9)</f>
        <v>19.898099999999999</v>
      </c>
      <c r="N650" s="10">
        <f>CHOOSE(CONTROL!$C$42, 19.9167, 19.9167) * CHOOSE(CONTROL!$C$21, $C$9, 100%, $E$9)</f>
        <v>19.916699999999999</v>
      </c>
      <c r="O650" s="10">
        <f>CHOOSE(CONTROL!$C$42, 19.9864, 19.9864) * CHOOSE(CONTROL!$C$21, $C$9, 100%, $E$9)</f>
        <v>19.9864</v>
      </c>
      <c r="P650" s="10">
        <f>CHOOSE(CONTROL!$C$42, 19.9316, 19.9316) * CHOOSE(CONTROL!$C$21, $C$9, 100%, $E$9)</f>
        <v>19.9316</v>
      </c>
      <c r="Q650" s="10">
        <f>CHOOSE(CONTROL!$C$42, 20.5817, 20.5817) * CHOOSE(CONTROL!$C$21, $C$9, 100%, $E$9)</f>
        <v>20.581700000000001</v>
      </c>
      <c r="R650" s="10">
        <f>CHOOSE(CONTROL!$C$42, 21.2202, 21.2202) * CHOOSE(CONTROL!$C$21, $C$9, 100%, $E$9)</f>
        <v>21.220199999999998</v>
      </c>
      <c r="S650" s="10">
        <f>CHOOSE(CONTROL!$C$42, 19.5301, 19.5301) * CHOOSE(CONTROL!$C$21, $C$9, 100%, $E$9)</f>
        <v>19.530100000000001</v>
      </c>
      <c r="T65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38">
        <f>(1000*CHOOSE(CONTROL!$C$42, 695, 695)*CHOOSE(CONTROL!$C$42, 0.5599, 0.5599)*CHOOSE(CONTROL!$C$42, 28, 28))/1000000</f>
        <v>10.895653999999999</v>
      </c>
      <c r="V650" s="38">
        <f>(1000*CHOOSE(CONTROL!$C$42, 500, 500)*CHOOSE(CONTROL!$C$42, 0.275, 0.275)*CHOOSE(CONTROL!$C$42, 28, 28))/1000000</f>
        <v>3.85</v>
      </c>
      <c r="W650" s="38">
        <f>(1000*CHOOSE(CONTROL!$C$42, 0.1146, 0.1146)*CHOOSE(CONTROL!$C$42, 121.5, 121.5)*CHOOSE(CONTROL!$C$42, 28, 28))/1000000</f>
        <v>0.38986920000000003</v>
      </c>
      <c r="X650" s="38">
        <f>(28*0.1790888*100000/1000000)+(28*0.2374*100000/1000000)</f>
        <v>1.16616864</v>
      </c>
      <c r="Y650" s="38">
        <f>(1000*600*CHOOSE(CONTROL!$C$42, 1.0585, 1.0585)*CHOOSE(CONTROL!$C$42, 28, 28))/1000000</f>
        <v>17.782800000000002</v>
      </c>
      <c r="Z650" s="38"/>
      <c r="AA650" s="10"/>
      <c r="AB650" s="39"/>
      <c r="AC650" s="33">
        <f>(B650*122.58+C650*297.941+D650*89.177+E650*40.302+F650*40+G650*160+H650*0+I650*100+J650*300)/(122.58+297.941+89.177+40.302+0+40+160+100+300)</f>
        <v>20.152240708347826</v>
      </c>
      <c r="AD650" s="27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19.944011510791366</v>
      </c>
    </row>
    <row r="651" spans="1:30" ht="15.75" x14ac:dyDescent="0.25">
      <c r="A651" s="13">
        <v>61087</v>
      </c>
      <c r="B651" s="10">
        <f>CHOOSE(CONTROL!$C$42, 19.5797, 19.5797) * CHOOSE(CONTROL!$C$21, $C$9, 100%, $E$9)</f>
        <v>19.579699999999999</v>
      </c>
      <c r="C651" s="10">
        <f>CHOOSE(CONTROL!$C$42, 19.5848, 19.5848) * CHOOSE(CONTROL!$C$21, $C$9, 100%, $E$9)</f>
        <v>19.584800000000001</v>
      </c>
      <c r="D651" s="10">
        <f>CHOOSE(CONTROL!$C$42, 19.6198, 19.6198) * CHOOSE(CONTROL!$C$21, $C$9, 100%, $E$9)</f>
        <v>19.619800000000001</v>
      </c>
      <c r="E651" s="10">
        <f>CHOOSE(CONTROL!$C$42, 19.6536, 19.6536) * CHOOSE(CONTROL!$C$21, $C$9, 100%, $E$9)</f>
        <v>19.653600000000001</v>
      </c>
      <c r="F651" s="10">
        <f>CHOOSE(CONTROL!$C$42, 19.559, 19.559)*CHOOSE(CONTROL!$C$21, $C$9, 100%, $E$9)</f>
        <v>19.559000000000001</v>
      </c>
      <c r="G651" s="10">
        <f>CHOOSE(CONTROL!$C$42, 19.5774, 19.5774)*CHOOSE(CONTROL!$C$21, $C$9, 100%, $E$9)</f>
        <v>19.577400000000001</v>
      </c>
      <c r="H651" s="10">
        <f>CHOOSE(CONTROL!$C$42, 19.6425, 19.6425) * CHOOSE(CONTROL!$C$21, $C$9, 100%, $E$9)</f>
        <v>19.642499999999998</v>
      </c>
      <c r="I651" s="10">
        <f>CHOOSE(CONTROL!$C$42, 19.5869, 19.5869)* CHOOSE(CONTROL!$C$21, $C$9, 100%, $E$9)</f>
        <v>19.5869</v>
      </c>
      <c r="J651" s="10">
        <f>CHOOSE(CONTROL!$C$42, 19.5516, 19.5516)* CHOOSE(CONTROL!$C$21, $C$9, 100%, $E$9)</f>
        <v>19.551600000000001</v>
      </c>
      <c r="K651" s="10">
        <f>CHOOSE(CONTROL!$C$42, 19.1477, 19.1477) * CHOOSE(CONTROL!$C$21, $C$9, 100%, $E$9)</f>
        <v>19.1477</v>
      </c>
      <c r="L651" s="10">
        <f>CHOOSE(CONTROL!$C$42, 20.2295, 20.2295) * CHOOSE(CONTROL!$C$21, $C$9, 100%, $E$9)</f>
        <v>20.229500000000002</v>
      </c>
      <c r="M651" s="10">
        <f>CHOOSE(CONTROL!$C$42, 19.3316, 19.3316) * CHOOSE(CONTROL!$C$21, $C$9, 100%, $E$9)</f>
        <v>19.331600000000002</v>
      </c>
      <c r="N651" s="10">
        <f>CHOOSE(CONTROL!$C$42, 19.3497, 19.3497) * CHOOSE(CONTROL!$C$21, $C$9, 100%, $E$9)</f>
        <v>19.349699999999999</v>
      </c>
      <c r="O651" s="10">
        <f>CHOOSE(CONTROL!$C$42, 19.4212, 19.4212) * CHOOSE(CONTROL!$C$21, $C$9, 100%, $E$9)</f>
        <v>19.421199999999999</v>
      </c>
      <c r="P651" s="10">
        <f>CHOOSE(CONTROL!$C$42, 19.3665, 19.3665) * CHOOSE(CONTROL!$C$21, $C$9, 100%, $E$9)</f>
        <v>19.366499999999998</v>
      </c>
      <c r="Q651" s="10">
        <f>CHOOSE(CONTROL!$C$42, 20.0165, 20.0165) * CHOOSE(CONTROL!$C$21, $C$9, 100%, $E$9)</f>
        <v>20.016500000000001</v>
      </c>
      <c r="R651" s="10">
        <f>CHOOSE(CONTROL!$C$42, 20.6536, 20.6536) * CHOOSE(CONTROL!$C$21, $C$9, 100%, $E$9)</f>
        <v>20.653600000000001</v>
      </c>
      <c r="S651" s="10">
        <f>CHOOSE(CONTROL!$C$42, 18.9757, 18.9757) * CHOOSE(CONTROL!$C$21, $C$9, 100%, $E$9)</f>
        <v>18.9757</v>
      </c>
      <c r="T6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38">
        <f>(1000*CHOOSE(CONTROL!$C$42, 695, 695)*CHOOSE(CONTROL!$C$42, 0.5599, 0.5599)*CHOOSE(CONTROL!$C$42, 31, 31))/1000000</f>
        <v>12.063045499999998</v>
      </c>
      <c r="V651" s="38">
        <f>(1000*CHOOSE(CONTROL!$C$42, 500, 500)*CHOOSE(CONTROL!$C$42, 0.275, 0.275)*CHOOSE(CONTROL!$C$42, 31, 31))/1000000</f>
        <v>4.2625000000000002</v>
      </c>
      <c r="W651" s="38">
        <f>(1000*CHOOSE(CONTROL!$C$42, 0.1146, 0.1146)*CHOOSE(CONTROL!$C$42, 121.5, 121.5)*CHOOSE(CONTROL!$C$42, 31, 31))/1000000</f>
        <v>0.43164089999999994</v>
      </c>
      <c r="X651" s="38">
        <f>(31*0.1790888*100000/1000000)+(31*0.2374*100000/1000000)</f>
        <v>1.2911152800000001</v>
      </c>
      <c r="Y651" s="38">
        <f>(1000*600*CHOOSE(CONTROL!$C$42, 1.0585, 1.0585)*CHOOSE(CONTROL!$C$42, 31, 31))/1000000</f>
        <v>19.688099999999999</v>
      </c>
      <c r="Z651" s="38"/>
      <c r="AA651" s="10"/>
      <c r="AB651" s="39"/>
      <c r="AC651" s="33">
        <f>(B651*122.58+C651*297.941+D651*89.177+E651*40.302+F651*40+G651*160+H651*0+I651*100+J651*300)/(122.58+297.941+89.177+40.302+0+40+160+100+300)</f>
        <v>19.57897636052174</v>
      </c>
      <c r="AD651" s="27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19.378273381294964</v>
      </c>
    </row>
    <row r="652" spans="1:30" ht="15.75" x14ac:dyDescent="0.25">
      <c r="A652" s="13">
        <v>61117</v>
      </c>
      <c r="B652" s="10">
        <f>CHOOSE(CONTROL!$C$42, 19.5218, 19.5218) * CHOOSE(CONTROL!$C$21, $C$9, 100%, $E$9)</f>
        <v>19.521799999999999</v>
      </c>
      <c r="C652" s="10">
        <f>CHOOSE(CONTROL!$C$42, 19.5263, 19.5263) * CHOOSE(CONTROL!$C$21, $C$9, 100%, $E$9)</f>
        <v>19.526299999999999</v>
      </c>
      <c r="D652" s="10">
        <f>CHOOSE(CONTROL!$C$42, 19.7045, 19.7045) * CHOOSE(CONTROL!$C$21, $C$9, 100%, $E$9)</f>
        <v>19.704499999999999</v>
      </c>
      <c r="E652" s="10">
        <f>CHOOSE(CONTROL!$C$42, 19.7363, 19.7363) * CHOOSE(CONTROL!$C$21, $C$9, 100%, $E$9)</f>
        <v>19.7363</v>
      </c>
      <c r="F652" s="10">
        <f>CHOOSE(CONTROL!$C$42, 19.4652, 19.4652)*CHOOSE(CONTROL!$C$21, $C$9, 100%, $E$9)</f>
        <v>19.465199999999999</v>
      </c>
      <c r="G652" s="10">
        <f>CHOOSE(CONTROL!$C$42, 19.4818, 19.4818)*CHOOSE(CONTROL!$C$21, $C$9, 100%, $E$9)</f>
        <v>19.4818</v>
      </c>
      <c r="H652" s="10">
        <f>CHOOSE(CONTROL!$C$42, 19.7258, 19.7258) * CHOOSE(CONTROL!$C$21, $C$9, 100%, $E$9)</f>
        <v>19.7258</v>
      </c>
      <c r="I652" s="10">
        <f>CHOOSE(CONTROL!$C$42, 19.4978, 19.4978)* CHOOSE(CONTROL!$C$21, $C$9, 100%, $E$9)</f>
        <v>19.497800000000002</v>
      </c>
      <c r="J652" s="10">
        <f>CHOOSE(CONTROL!$C$42, 19.4578, 19.4578)* CHOOSE(CONTROL!$C$21, $C$9, 100%, $E$9)</f>
        <v>19.457799999999999</v>
      </c>
      <c r="K652" s="10">
        <f>CHOOSE(CONTROL!$C$42, 19.0466, 19.0466) * CHOOSE(CONTROL!$C$21, $C$9, 100%, $E$9)</f>
        <v>19.046600000000002</v>
      </c>
      <c r="L652" s="10">
        <f>CHOOSE(CONTROL!$C$42, 20.3128, 20.3128) * CHOOSE(CONTROL!$C$21, $C$9, 100%, $E$9)</f>
        <v>20.312799999999999</v>
      </c>
      <c r="M652" s="10">
        <f>CHOOSE(CONTROL!$C$42, 19.239, 19.239) * CHOOSE(CONTROL!$C$21, $C$9, 100%, $E$9)</f>
        <v>19.239000000000001</v>
      </c>
      <c r="N652" s="10">
        <f>CHOOSE(CONTROL!$C$42, 19.2554, 19.2554) * CHOOSE(CONTROL!$C$21, $C$9, 100%, $E$9)</f>
        <v>19.255400000000002</v>
      </c>
      <c r="O652" s="10">
        <f>CHOOSE(CONTROL!$C$42, 19.5035, 19.5035) * CHOOSE(CONTROL!$C$21, $C$9, 100%, $E$9)</f>
        <v>19.503499999999999</v>
      </c>
      <c r="P652" s="10">
        <f>CHOOSE(CONTROL!$C$42, 19.2785, 19.2785) * CHOOSE(CONTROL!$C$21, $C$9, 100%, $E$9)</f>
        <v>19.278500000000001</v>
      </c>
      <c r="Q652" s="10">
        <f>CHOOSE(CONTROL!$C$42, 20.0988, 20.0988) * CHOOSE(CONTROL!$C$21, $C$9, 100%, $E$9)</f>
        <v>20.098800000000001</v>
      </c>
      <c r="R652" s="10">
        <f>CHOOSE(CONTROL!$C$42, 20.736, 20.736) * CHOOSE(CONTROL!$C$21, $C$9, 100%, $E$9)</f>
        <v>20.736000000000001</v>
      </c>
      <c r="S652" s="10">
        <f>CHOOSE(CONTROL!$C$42, 18.9188, 18.9188) * CHOOSE(CONTROL!$C$21, $C$9, 100%, $E$9)</f>
        <v>18.918800000000001</v>
      </c>
      <c r="T6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38">
        <f>(1000*CHOOSE(CONTROL!$C$42, 695, 695)*CHOOSE(CONTROL!$C$42, 0.5599, 0.5599)*CHOOSE(CONTROL!$C$42, 30, 30))/1000000</f>
        <v>11.673914999999997</v>
      </c>
      <c r="V652" s="38">
        <f>(1000*CHOOSE(CONTROL!$C$42, 500, 500)*CHOOSE(CONTROL!$C$42, 0.275, 0.275)*CHOOSE(CONTROL!$C$42, 30, 30))/1000000</f>
        <v>4.125</v>
      </c>
      <c r="W652" s="38">
        <f>(1000*CHOOSE(CONTROL!$C$42, 0.1146, 0.1146)*CHOOSE(CONTROL!$C$42, 121.5, 121.5)*CHOOSE(CONTROL!$C$42, 30, 30))/1000000</f>
        <v>0.417717</v>
      </c>
      <c r="X652" s="38">
        <f>(30*0.1790888*245000/1000000)+(30*0.2374*100000/1000000)</f>
        <v>2.0285026799999999</v>
      </c>
      <c r="Y652" s="38">
        <f>(1000*600*CHOOSE(CONTROL!$C$42, 1.0585, 1.0585)*CHOOSE(CONTROL!$C$42, 30, 30))/1000000</f>
        <v>19.053000000000001</v>
      </c>
      <c r="Z652" s="38"/>
      <c r="AA652" s="10"/>
      <c r="AB652" s="39"/>
      <c r="AC652" s="33">
        <f>(B652*141.293+C652*267.993+D652*115.016+E652*89.698+F652*40+G652*185+H652*0+I652*100+J652*300)/(141.293+267.993+115.016+89.698+0+40+185+100+300)</f>
        <v>19.530028904519771</v>
      </c>
      <c r="AD652" s="27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19.36550863309353</v>
      </c>
    </row>
    <row r="653" spans="1:30" ht="15.75" x14ac:dyDescent="0.25">
      <c r="A653" s="13">
        <v>61148</v>
      </c>
      <c r="B653" s="10">
        <f>CHOOSE(CONTROL!$C$42, 19.696, 19.696) * CHOOSE(CONTROL!$C$21, $C$9, 100%, $E$9)</f>
        <v>19.696000000000002</v>
      </c>
      <c r="C653" s="10">
        <f>CHOOSE(CONTROL!$C$42, 19.704, 19.704) * CHOOSE(CONTROL!$C$21, $C$9, 100%, $E$9)</f>
        <v>19.704000000000001</v>
      </c>
      <c r="D653" s="10">
        <f>CHOOSE(CONTROL!$C$42, 19.8791, 19.8791) * CHOOSE(CONTROL!$C$21, $C$9, 100%, $E$9)</f>
        <v>19.879100000000001</v>
      </c>
      <c r="E653" s="10">
        <f>CHOOSE(CONTROL!$C$42, 19.9103, 19.9103) * CHOOSE(CONTROL!$C$21, $C$9, 100%, $E$9)</f>
        <v>19.910299999999999</v>
      </c>
      <c r="F653" s="10">
        <f>CHOOSE(CONTROL!$C$42, 19.6377, 19.6377)*CHOOSE(CONTROL!$C$21, $C$9, 100%, $E$9)</f>
        <v>19.637699999999999</v>
      </c>
      <c r="G653" s="10">
        <f>CHOOSE(CONTROL!$C$42, 19.6545, 19.6545)*CHOOSE(CONTROL!$C$21, $C$9, 100%, $E$9)</f>
        <v>19.654499999999999</v>
      </c>
      <c r="H653" s="10">
        <f>CHOOSE(CONTROL!$C$42, 19.8986, 19.8986) * CHOOSE(CONTROL!$C$21, $C$9, 100%, $E$9)</f>
        <v>19.898599999999998</v>
      </c>
      <c r="I653" s="10">
        <f>CHOOSE(CONTROL!$C$42, 19.6706, 19.6706)* CHOOSE(CONTROL!$C$21, $C$9, 100%, $E$9)</f>
        <v>19.6706</v>
      </c>
      <c r="J653" s="10">
        <f>CHOOSE(CONTROL!$C$42, 19.6303, 19.6303)* CHOOSE(CONTROL!$C$21, $C$9, 100%, $E$9)</f>
        <v>19.630299999999998</v>
      </c>
      <c r="K653" s="10">
        <f>CHOOSE(CONTROL!$C$42, 19.2132, 19.2132) * CHOOSE(CONTROL!$C$21, $C$9, 100%, $E$9)</f>
        <v>19.213200000000001</v>
      </c>
      <c r="L653" s="10">
        <f>CHOOSE(CONTROL!$C$42, 20.4856, 20.4856) * CHOOSE(CONTROL!$C$21, $C$9, 100%, $E$9)</f>
        <v>20.485600000000002</v>
      </c>
      <c r="M653" s="10">
        <f>CHOOSE(CONTROL!$C$42, 19.4092, 19.4092) * CHOOSE(CONTROL!$C$21, $C$9, 100%, $E$9)</f>
        <v>19.409199999999998</v>
      </c>
      <c r="N653" s="10">
        <f>CHOOSE(CONTROL!$C$42, 19.4258, 19.4258) * CHOOSE(CONTROL!$C$21, $C$9, 100%, $E$9)</f>
        <v>19.425799999999999</v>
      </c>
      <c r="O653" s="10">
        <f>CHOOSE(CONTROL!$C$42, 19.6741, 19.6741) * CHOOSE(CONTROL!$C$21, $C$9, 100%, $E$9)</f>
        <v>19.674099999999999</v>
      </c>
      <c r="P653" s="10">
        <f>CHOOSE(CONTROL!$C$42, 19.4491, 19.4491) * CHOOSE(CONTROL!$C$21, $C$9, 100%, $E$9)</f>
        <v>19.449100000000001</v>
      </c>
      <c r="Q653" s="10">
        <f>CHOOSE(CONTROL!$C$42, 20.2694, 20.2694) * CHOOSE(CONTROL!$C$21, $C$9, 100%, $E$9)</f>
        <v>20.269400000000001</v>
      </c>
      <c r="R653" s="10">
        <f>CHOOSE(CONTROL!$C$42, 20.9071, 20.9071) * CHOOSE(CONTROL!$C$21, $C$9, 100%, $E$9)</f>
        <v>20.9071</v>
      </c>
      <c r="S653" s="10">
        <f>CHOOSE(CONTROL!$C$42, 19.0862, 19.0862) * CHOOSE(CONTROL!$C$21, $C$9, 100%, $E$9)</f>
        <v>19.086200000000002</v>
      </c>
      <c r="T6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38">
        <f>(1000*CHOOSE(CONTROL!$C$42, 695, 695)*CHOOSE(CONTROL!$C$42, 0.5599, 0.5599)*CHOOSE(CONTROL!$C$42, 31, 31))/1000000</f>
        <v>12.063045499999998</v>
      </c>
      <c r="V653" s="38">
        <f>(1000*CHOOSE(CONTROL!$C$42, 500, 500)*CHOOSE(CONTROL!$C$42, 0.275, 0.275)*CHOOSE(CONTROL!$C$42, 31, 31))/1000000</f>
        <v>4.2625000000000002</v>
      </c>
      <c r="W653" s="38">
        <f>(1000*CHOOSE(CONTROL!$C$42, 0.1146, 0.1146)*CHOOSE(CONTROL!$C$42, 121.5, 121.5)*CHOOSE(CONTROL!$C$42, 31, 31))/1000000</f>
        <v>0.43164089999999994</v>
      </c>
      <c r="X653" s="38">
        <f>(31*0.1790888*245000/1000000)+(31*0.2374*100000/1000000)</f>
        <v>2.0961194359999999</v>
      </c>
      <c r="Y653" s="38">
        <f>(1000*600*CHOOSE(CONTROL!$C$42, 1.0585, 1.0585)*CHOOSE(CONTROL!$C$42, 31, 31))/1000000</f>
        <v>19.688099999999999</v>
      </c>
      <c r="Z653" s="38"/>
      <c r="AA653" s="10"/>
      <c r="AB653" s="39"/>
      <c r="AC653" s="33">
        <f>(B653*194.205+C653*267.466+D653*133.845+E653*53.484+F653*40+G653*185+H653*0+I653*100+J653*300)/(194.205+267.466+133.845+53.484+0+40+185+100+300)</f>
        <v>19.700590948744114</v>
      </c>
      <c r="AD653" s="27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19.535958992805757</v>
      </c>
    </row>
    <row r="654" spans="1:30" ht="15.75" x14ac:dyDescent="0.25">
      <c r="A654" s="13">
        <v>61178</v>
      </c>
      <c r="B654" s="10">
        <f>CHOOSE(CONTROL!$C$42, 20.2551, 20.2551) * CHOOSE(CONTROL!$C$21, $C$9, 100%, $E$9)</f>
        <v>20.255099999999999</v>
      </c>
      <c r="C654" s="10">
        <f>CHOOSE(CONTROL!$C$42, 20.2631, 20.2631) * CHOOSE(CONTROL!$C$21, $C$9, 100%, $E$9)</f>
        <v>20.263100000000001</v>
      </c>
      <c r="D654" s="10">
        <f>CHOOSE(CONTROL!$C$42, 20.4382, 20.4382) * CHOOSE(CONTROL!$C$21, $C$9, 100%, $E$9)</f>
        <v>20.438199999999998</v>
      </c>
      <c r="E654" s="10">
        <f>CHOOSE(CONTROL!$C$42, 20.4694, 20.4694) * CHOOSE(CONTROL!$C$21, $C$9, 100%, $E$9)</f>
        <v>20.4694</v>
      </c>
      <c r="F654" s="10">
        <f>CHOOSE(CONTROL!$C$42, 20.1969, 20.1969)*CHOOSE(CONTROL!$C$21, $C$9, 100%, $E$9)</f>
        <v>20.196899999999999</v>
      </c>
      <c r="G654" s="10">
        <f>CHOOSE(CONTROL!$C$42, 20.2139, 20.2139)*CHOOSE(CONTROL!$C$21, $C$9, 100%, $E$9)</f>
        <v>20.213899999999999</v>
      </c>
      <c r="H654" s="10">
        <f>CHOOSE(CONTROL!$C$42, 20.4577, 20.4577) * CHOOSE(CONTROL!$C$21, $C$9, 100%, $E$9)</f>
        <v>20.457699999999999</v>
      </c>
      <c r="I654" s="10">
        <f>CHOOSE(CONTROL!$C$42, 20.2297, 20.2297)* CHOOSE(CONTROL!$C$21, $C$9, 100%, $E$9)</f>
        <v>20.229700000000001</v>
      </c>
      <c r="J654" s="10">
        <f>CHOOSE(CONTROL!$C$42, 20.1895, 20.1895)* CHOOSE(CONTROL!$C$21, $C$9, 100%, $E$9)</f>
        <v>20.189499999999999</v>
      </c>
      <c r="K654" s="10">
        <f>CHOOSE(CONTROL!$C$42, 19.7552, 19.7552) * CHOOSE(CONTROL!$C$21, $C$9, 100%, $E$9)</f>
        <v>19.755199999999999</v>
      </c>
      <c r="L654" s="10">
        <f>CHOOSE(CONTROL!$C$42, 21.0447, 21.0447) * CHOOSE(CONTROL!$C$21, $C$9, 100%, $E$9)</f>
        <v>21.044699999999999</v>
      </c>
      <c r="M654" s="10">
        <f>CHOOSE(CONTROL!$C$42, 19.9612, 19.9612) * CHOOSE(CONTROL!$C$21, $C$9, 100%, $E$9)</f>
        <v>19.961200000000002</v>
      </c>
      <c r="N654" s="10">
        <f>CHOOSE(CONTROL!$C$42, 19.9779, 19.9779) * CHOOSE(CONTROL!$C$21, $C$9, 100%, $E$9)</f>
        <v>19.977900000000002</v>
      </c>
      <c r="O654" s="10">
        <f>CHOOSE(CONTROL!$C$42, 20.2259, 20.2259) * CHOOSE(CONTROL!$C$21, $C$9, 100%, $E$9)</f>
        <v>20.225899999999999</v>
      </c>
      <c r="P654" s="10">
        <f>CHOOSE(CONTROL!$C$42, 20.0009, 20.0009) * CHOOSE(CONTROL!$C$21, $C$9, 100%, $E$9)</f>
        <v>20.000900000000001</v>
      </c>
      <c r="Q654" s="10">
        <f>CHOOSE(CONTROL!$C$42, 20.8212, 20.8212) * CHOOSE(CONTROL!$C$21, $C$9, 100%, $E$9)</f>
        <v>20.821200000000001</v>
      </c>
      <c r="R654" s="10">
        <f>CHOOSE(CONTROL!$C$42, 21.4603, 21.4603) * CHOOSE(CONTROL!$C$21, $C$9, 100%, $E$9)</f>
        <v>21.4603</v>
      </c>
      <c r="S654" s="10">
        <f>CHOOSE(CONTROL!$C$42, 19.6276, 19.6276) * CHOOSE(CONTROL!$C$21, $C$9, 100%, $E$9)</f>
        <v>19.627600000000001</v>
      </c>
      <c r="T6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38">
        <f>(1000*CHOOSE(CONTROL!$C$42, 695, 695)*CHOOSE(CONTROL!$C$42, 0.5599, 0.5599)*CHOOSE(CONTROL!$C$42, 30, 30))/1000000</f>
        <v>11.673914999999997</v>
      </c>
      <c r="V654" s="38">
        <f>(1000*CHOOSE(CONTROL!$C$42, 500, 500)*CHOOSE(CONTROL!$C$42, 0.275, 0.275)*CHOOSE(CONTROL!$C$42, 30, 30))/1000000</f>
        <v>4.125</v>
      </c>
      <c r="W654" s="38">
        <f>(1000*CHOOSE(CONTROL!$C$42, 0.1146, 0.1146)*CHOOSE(CONTROL!$C$42, 121.5, 121.5)*CHOOSE(CONTROL!$C$42, 30, 30))/1000000</f>
        <v>0.417717</v>
      </c>
      <c r="X654" s="38">
        <f>(30*0.1790888*245000/1000000)+(30*0.2374*100000/1000000)</f>
        <v>2.0285026799999999</v>
      </c>
      <c r="Y654" s="38">
        <f>(1000*600*CHOOSE(CONTROL!$C$42, 1.0585, 1.0585)*CHOOSE(CONTROL!$C$42, 30, 30))/1000000</f>
        <v>19.053000000000001</v>
      </c>
      <c r="Z654" s="38"/>
      <c r="AA654" s="10"/>
      <c r="AB654" s="39"/>
      <c r="AC654" s="33">
        <f>(B654*194.205+C654*267.466+D654*133.845+E654*53.484+F654*40+G654*185+H654*0+I654*100+J654*300)/(194.205+267.466+133.845+53.484+0+40+185+100+300)</f>
        <v>20.259761199921506</v>
      </c>
      <c r="AD654" s="27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20.087845323741007</v>
      </c>
    </row>
    <row r="655" spans="1:30" ht="15.75" x14ac:dyDescent="0.25">
      <c r="A655" s="13">
        <v>61209</v>
      </c>
      <c r="B655" s="10">
        <f>CHOOSE(CONTROL!$C$42, 19.8662, 19.8662) * CHOOSE(CONTROL!$C$21, $C$9, 100%, $E$9)</f>
        <v>19.866199999999999</v>
      </c>
      <c r="C655" s="10">
        <f>CHOOSE(CONTROL!$C$42, 19.8742, 19.8742) * CHOOSE(CONTROL!$C$21, $C$9, 100%, $E$9)</f>
        <v>19.874199999999998</v>
      </c>
      <c r="D655" s="10">
        <f>CHOOSE(CONTROL!$C$42, 20.0493, 20.0493) * CHOOSE(CONTROL!$C$21, $C$9, 100%, $E$9)</f>
        <v>20.049299999999999</v>
      </c>
      <c r="E655" s="10">
        <f>CHOOSE(CONTROL!$C$42, 20.0805, 20.0805) * CHOOSE(CONTROL!$C$21, $C$9, 100%, $E$9)</f>
        <v>20.080500000000001</v>
      </c>
      <c r="F655" s="10">
        <f>CHOOSE(CONTROL!$C$42, 19.8084, 19.8084)*CHOOSE(CONTROL!$C$21, $C$9, 100%, $E$9)</f>
        <v>19.808399999999999</v>
      </c>
      <c r="G655" s="10">
        <f>CHOOSE(CONTROL!$C$42, 19.8255, 19.8255)*CHOOSE(CONTROL!$C$21, $C$9, 100%, $E$9)</f>
        <v>19.825500000000002</v>
      </c>
      <c r="H655" s="10">
        <f>CHOOSE(CONTROL!$C$42, 20.0689, 20.0689) * CHOOSE(CONTROL!$C$21, $C$9, 100%, $E$9)</f>
        <v>20.068899999999999</v>
      </c>
      <c r="I655" s="10">
        <f>CHOOSE(CONTROL!$C$42, 19.8409, 19.8409)* CHOOSE(CONTROL!$C$21, $C$9, 100%, $E$9)</f>
        <v>19.840900000000001</v>
      </c>
      <c r="J655" s="10">
        <f>CHOOSE(CONTROL!$C$42, 19.801, 19.801)* CHOOSE(CONTROL!$C$21, $C$9, 100%, $E$9)</f>
        <v>19.800999999999998</v>
      </c>
      <c r="K655" s="10">
        <f>CHOOSE(CONTROL!$C$42, 19.3793, 19.3793) * CHOOSE(CONTROL!$C$21, $C$9, 100%, $E$9)</f>
        <v>19.379300000000001</v>
      </c>
      <c r="L655" s="10">
        <f>CHOOSE(CONTROL!$C$42, 20.6559, 20.6559) * CHOOSE(CONTROL!$C$21, $C$9, 100%, $E$9)</f>
        <v>20.655899999999999</v>
      </c>
      <c r="M655" s="10">
        <f>CHOOSE(CONTROL!$C$42, 19.5777, 19.5777) * CHOOSE(CONTROL!$C$21, $C$9, 100%, $E$9)</f>
        <v>19.5777</v>
      </c>
      <c r="N655" s="10">
        <f>CHOOSE(CONTROL!$C$42, 19.5945, 19.5945) * CHOOSE(CONTROL!$C$21, $C$9, 100%, $E$9)</f>
        <v>19.5945</v>
      </c>
      <c r="O655" s="10">
        <f>CHOOSE(CONTROL!$C$42, 19.8421, 19.8421) * CHOOSE(CONTROL!$C$21, $C$9, 100%, $E$9)</f>
        <v>19.842099999999999</v>
      </c>
      <c r="P655" s="10">
        <f>CHOOSE(CONTROL!$C$42, 19.6171, 19.6171) * CHOOSE(CONTROL!$C$21, $C$9, 100%, $E$9)</f>
        <v>19.617100000000001</v>
      </c>
      <c r="Q655" s="10">
        <f>CHOOSE(CONTROL!$C$42, 20.4374, 20.4374) * CHOOSE(CONTROL!$C$21, $C$9, 100%, $E$9)</f>
        <v>20.4374</v>
      </c>
      <c r="R655" s="10">
        <f>CHOOSE(CONTROL!$C$42, 21.0755, 21.0755) * CHOOSE(CONTROL!$C$21, $C$9, 100%, $E$9)</f>
        <v>21.075500000000002</v>
      </c>
      <c r="S655" s="10">
        <f>CHOOSE(CONTROL!$C$42, 19.251, 19.251) * CHOOSE(CONTROL!$C$21, $C$9, 100%, $E$9)</f>
        <v>19.251000000000001</v>
      </c>
      <c r="T6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38">
        <f>(1000*CHOOSE(CONTROL!$C$42, 695, 695)*CHOOSE(CONTROL!$C$42, 0.5599, 0.5599)*CHOOSE(CONTROL!$C$42, 31, 31))/1000000</f>
        <v>12.063045499999998</v>
      </c>
      <c r="V655" s="38">
        <f>(1000*CHOOSE(CONTROL!$C$42, 500, 500)*CHOOSE(CONTROL!$C$42, 0.275, 0.275)*CHOOSE(CONTROL!$C$42, 31, 31))/1000000</f>
        <v>4.2625000000000002</v>
      </c>
      <c r="W655" s="38">
        <f>(1000*CHOOSE(CONTROL!$C$42, 0.1146, 0.1146)*CHOOSE(CONTROL!$C$42, 121.5, 121.5)*CHOOSE(CONTROL!$C$42, 31, 31))/1000000</f>
        <v>0.43164089999999994</v>
      </c>
      <c r="X655" s="38">
        <f>(31*0.1790888*245000/1000000)+(31*0.2374*100000/1000000)</f>
        <v>2.0961194359999999</v>
      </c>
      <c r="Y655" s="38">
        <f>(1000*600*CHOOSE(CONTROL!$C$42, 1.0585, 1.0585)*CHOOSE(CONTROL!$C$42, 31, 31))/1000000</f>
        <v>19.688099999999999</v>
      </c>
      <c r="Z655" s="38"/>
      <c r="AA655" s="10"/>
      <c r="AB655" s="39"/>
      <c r="AC655" s="33">
        <f>(B655*194.205+C655*267.466+D655*133.845+E655*53.484+F655*40+G655*185+H655*0+I655*100+J655*300)/(194.205+267.466+133.845+53.484+0+40+185+100+300)</f>
        <v>19.871048405572999</v>
      </c>
      <c r="AD655" s="27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19.704171942446042</v>
      </c>
    </row>
    <row r="656" spans="1:30" ht="15.75" x14ac:dyDescent="0.25">
      <c r="A656" s="13">
        <v>61240</v>
      </c>
      <c r="B656" s="10">
        <f>CHOOSE(CONTROL!$C$42, 18.8842, 18.8842) * CHOOSE(CONTROL!$C$21, $C$9, 100%, $E$9)</f>
        <v>18.8842</v>
      </c>
      <c r="C656" s="10">
        <f>CHOOSE(CONTROL!$C$42, 18.8922, 18.8922) * CHOOSE(CONTROL!$C$21, $C$9, 100%, $E$9)</f>
        <v>18.892199999999999</v>
      </c>
      <c r="D656" s="10">
        <f>CHOOSE(CONTROL!$C$42, 19.0673, 19.0673) * CHOOSE(CONTROL!$C$21, $C$9, 100%, $E$9)</f>
        <v>19.067299999999999</v>
      </c>
      <c r="E656" s="10">
        <f>CHOOSE(CONTROL!$C$42, 19.0986, 19.0986) * CHOOSE(CONTROL!$C$21, $C$9, 100%, $E$9)</f>
        <v>19.098600000000001</v>
      </c>
      <c r="F656" s="10">
        <f>CHOOSE(CONTROL!$C$42, 18.8263, 18.8263)*CHOOSE(CONTROL!$C$21, $C$9, 100%, $E$9)</f>
        <v>18.8263</v>
      </c>
      <c r="G656" s="10">
        <f>CHOOSE(CONTROL!$C$42, 18.8433, 18.8433)*CHOOSE(CONTROL!$C$21, $C$9, 100%, $E$9)</f>
        <v>18.843299999999999</v>
      </c>
      <c r="H656" s="10">
        <f>CHOOSE(CONTROL!$C$42, 19.0869, 19.0869) * CHOOSE(CONTROL!$C$21, $C$9, 100%, $E$9)</f>
        <v>19.0869</v>
      </c>
      <c r="I656" s="10">
        <f>CHOOSE(CONTROL!$C$42, 18.8589, 18.8589)* CHOOSE(CONTROL!$C$21, $C$9, 100%, $E$9)</f>
        <v>18.858899999999998</v>
      </c>
      <c r="J656" s="10">
        <f>CHOOSE(CONTROL!$C$42, 18.8189, 18.8189)* CHOOSE(CONTROL!$C$21, $C$9, 100%, $E$9)</f>
        <v>18.818899999999999</v>
      </c>
      <c r="K656" s="10">
        <f>CHOOSE(CONTROL!$C$42, 18.4277, 18.4277) * CHOOSE(CONTROL!$C$21, $C$9, 100%, $E$9)</f>
        <v>18.427700000000002</v>
      </c>
      <c r="L656" s="10">
        <f>CHOOSE(CONTROL!$C$42, 19.6739, 19.6739) * CHOOSE(CONTROL!$C$21, $C$9, 100%, $E$9)</f>
        <v>19.6739</v>
      </c>
      <c r="M656" s="10">
        <f>CHOOSE(CONTROL!$C$42, 18.6084, 18.6084) * CHOOSE(CONTROL!$C$21, $C$9, 100%, $E$9)</f>
        <v>18.6084</v>
      </c>
      <c r="N656" s="10">
        <f>CHOOSE(CONTROL!$C$42, 18.6251, 18.6251) * CHOOSE(CONTROL!$C$21, $C$9, 100%, $E$9)</f>
        <v>18.6251</v>
      </c>
      <c r="O656" s="10">
        <f>CHOOSE(CONTROL!$C$42, 18.8728, 18.8728) * CHOOSE(CONTROL!$C$21, $C$9, 100%, $E$9)</f>
        <v>18.872800000000002</v>
      </c>
      <c r="P656" s="10">
        <f>CHOOSE(CONTROL!$C$42, 18.6478, 18.6478) * CHOOSE(CONTROL!$C$21, $C$9, 100%, $E$9)</f>
        <v>18.6478</v>
      </c>
      <c r="Q656" s="10">
        <f>CHOOSE(CONTROL!$C$42, 19.4681, 19.4681) * CHOOSE(CONTROL!$C$21, $C$9, 100%, $E$9)</f>
        <v>19.4681</v>
      </c>
      <c r="R656" s="10">
        <f>CHOOSE(CONTROL!$C$42, 20.1038, 20.1038) * CHOOSE(CONTROL!$C$21, $C$9, 100%, $E$9)</f>
        <v>20.1038</v>
      </c>
      <c r="S656" s="10">
        <f>CHOOSE(CONTROL!$C$42, 18.3002, 18.3002) * CHOOSE(CONTROL!$C$21, $C$9, 100%, $E$9)</f>
        <v>18.3002</v>
      </c>
      <c r="T6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38">
        <f>(1000*CHOOSE(CONTROL!$C$42, 695, 695)*CHOOSE(CONTROL!$C$42, 0.5599, 0.5599)*CHOOSE(CONTROL!$C$42, 31, 31))/1000000</f>
        <v>12.063045499999998</v>
      </c>
      <c r="V656" s="38">
        <f>(1000*CHOOSE(CONTROL!$C$42, 500, 500)*CHOOSE(CONTROL!$C$42, 0.275, 0.275)*CHOOSE(CONTROL!$C$42, 31, 31))/1000000</f>
        <v>4.2625000000000002</v>
      </c>
      <c r="W656" s="38">
        <f>(1000*CHOOSE(CONTROL!$C$42, 0.1146, 0.1146)*CHOOSE(CONTROL!$C$42, 121.5, 121.5)*CHOOSE(CONTROL!$C$42, 31, 31))/1000000</f>
        <v>0.43164089999999994</v>
      </c>
      <c r="X656" s="38">
        <f>(31*0.1790888*245000/1000000)+(31*0.2374*100000/1000000)</f>
        <v>2.0961194359999999</v>
      </c>
      <c r="Y656" s="38">
        <f>(1000*600*CHOOSE(CONTROL!$C$42, 1.0585, 1.0585)*CHOOSE(CONTROL!$C$42, 31, 31))/1000000</f>
        <v>19.688099999999999</v>
      </c>
      <c r="Z656" s="38"/>
      <c r="AA656" s="10"/>
      <c r="AB656" s="39"/>
      <c r="AC656" s="33">
        <f>(B656*194.205+C656*267.466+D656*133.845+E656*53.484+F656*40+G656*185+H656*0+I656*100+J656*300)/(194.205+267.466+133.845+53.484+0+40+185+100+300)</f>
        <v>18.888996873704869</v>
      </c>
      <c r="AD656" s="27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18.734866187050361</v>
      </c>
    </row>
    <row r="657" spans="1:30" ht="15.75" x14ac:dyDescent="0.25">
      <c r="A657" s="13">
        <v>61270</v>
      </c>
      <c r="B657" s="10">
        <f>CHOOSE(CONTROL!$C$42, 17.6844, 17.6844) * CHOOSE(CONTROL!$C$21, $C$9, 100%, $E$9)</f>
        <v>17.6844</v>
      </c>
      <c r="C657" s="10">
        <f>CHOOSE(CONTROL!$C$42, 17.6924, 17.6924) * CHOOSE(CONTROL!$C$21, $C$9, 100%, $E$9)</f>
        <v>17.692399999999999</v>
      </c>
      <c r="D657" s="10">
        <f>CHOOSE(CONTROL!$C$42, 17.8675, 17.8675) * CHOOSE(CONTROL!$C$21, $C$9, 100%, $E$9)</f>
        <v>17.8675</v>
      </c>
      <c r="E657" s="10">
        <f>CHOOSE(CONTROL!$C$42, 17.8988, 17.8988) * CHOOSE(CONTROL!$C$21, $C$9, 100%, $E$9)</f>
        <v>17.898800000000001</v>
      </c>
      <c r="F657" s="10">
        <f>CHOOSE(CONTROL!$C$42, 17.6262, 17.6262)*CHOOSE(CONTROL!$C$21, $C$9, 100%, $E$9)</f>
        <v>17.626200000000001</v>
      </c>
      <c r="G657" s="10">
        <f>CHOOSE(CONTROL!$C$42, 17.6431, 17.6431)*CHOOSE(CONTROL!$C$21, $C$9, 100%, $E$9)</f>
        <v>17.6431</v>
      </c>
      <c r="H657" s="10">
        <f>CHOOSE(CONTROL!$C$42, 17.8871, 17.8871) * CHOOSE(CONTROL!$C$21, $C$9, 100%, $E$9)</f>
        <v>17.8871</v>
      </c>
      <c r="I657" s="10">
        <f>CHOOSE(CONTROL!$C$42, 17.6591, 17.6591)* CHOOSE(CONTROL!$C$21, $C$9, 100%, $E$9)</f>
        <v>17.659099999999999</v>
      </c>
      <c r="J657" s="10">
        <f>CHOOSE(CONTROL!$C$42, 17.6188, 17.6188)* CHOOSE(CONTROL!$C$21, $C$9, 100%, $E$9)</f>
        <v>17.6188</v>
      </c>
      <c r="K657" s="10">
        <f>CHOOSE(CONTROL!$C$42, 17.2647, 17.2647) * CHOOSE(CONTROL!$C$21, $C$9, 100%, $E$9)</f>
        <v>17.264700000000001</v>
      </c>
      <c r="L657" s="10">
        <f>CHOOSE(CONTROL!$C$42, 18.4741, 18.4741) * CHOOSE(CONTROL!$C$21, $C$9, 100%, $E$9)</f>
        <v>18.4741</v>
      </c>
      <c r="M657" s="10">
        <f>CHOOSE(CONTROL!$C$42, 17.4238, 17.4238) * CHOOSE(CONTROL!$C$21, $C$9, 100%, $E$9)</f>
        <v>17.4238</v>
      </c>
      <c r="N657" s="10">
        <f>CHOOSE(CONTROL!$C$42, 17.4405, 17.4405) * CHOOSE(CONTROL!$C$21, $C$9, 100%, $E$9)</f>
        <v>17.4405</v>
      </c>
      <c r="O657" s="10">
        <f>CHOOSE(CONTROL!$C$42, 17.6886, 17.6886) * CHOOSE(CONTROL!$C$21, $C$9, 100%, $E$9)</f>
        <v>17.688600000000001</v>
      </c>
      <c r="P657" s="10">
        <f>CHOOSE(CONTROL!$C$42, 17.4636, 17.4636) * CHOOSE(CONTROL!$C$21, $C$9, 100%, $E$9)</f>
        <v>17.4636</v>
      </c>
      <c r="Q657" s="10">
        <f>CHOOSE(CONTROL!$C$42, 18.2839, 18.2839) * CHOOSE(CONTROL!$C$21, $C$9, 100%, $E$9)</f>
        <v>18.283899999999999</v>
      </c>
      <c r="R657" s="10">
        <f>CHOOSE(CONTROL!$C$42, 18.9166, 18.9166) * CHOOSE(CONTROL!$C$21, $C$9, 100%, $E$9)</f>
        <v>18.916599999999999</v>
      </c>
      <c r="S657" s="10">
        <f>CHOOSE(CONTROL!$C$42, 17.1384, 17.1384) * CHOOSE(CONTROL!$C$21, $C$9, 100%, $E$9)</f>
        <v>17.138400000000001</v>
      </c>
      <c r="T6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38">
        <f>(1000*CHOOSE(CONTROL!$C$42, 695, 695)*CHOOSE(CONTROL!$C$42, 0.5599, 0.5599)*CHOOSE(CONTROL!$C$42, 30, 30))/1000000</f>
        <v>11.673914999999997</v>
      </c>
      <c r="V657" s="38">
        <f>(1000*CHOOSE(CONTROL!$C$42, 500, 500)*CHOOSE(CONTROL!$C$42, 0.275, 0.275)*CHOOSE(CONTROL!$C$42, 30, 30))/1000000</f>
        <v>4.125</v>
      </c>
      <c r="W657" s="38">
        <f>(1000*CHOOSE(CONTROL!$C$42, 0.1146, 0.1146)*CHOOSE(CONTROL!$C$42, 121.5, 121.5)*CHOOSE(CONTROL!$C$42, 30, 30))/1000000</f>
        <v>0.417717</v>
      </c>
      <c r="X657" s="38">
        <f>(30*0.1790888*245000/1000000)+(30*0.2374*100000/1000000)</f>
        <v>2.0285026799999999</v>
      </c>
      <c r="Y657" s="38">
        <f>(1000*600*CHOOSE(CONTROL!$C$42, 1.0585, 1.0585)*CHOOSE(CONTROL!$C$42, 30, 30))/1000000</f>
        <v>19.053000000000001</v>
      </c>
      <c r="Z657" s="38"/>
      <c r="AA657" s="10"/>
      <c r="AB657" s="39"/>
      <c r="AC657" s="33">
        <f>(B657*194.205+C657*267.466+D657*133.845+E657*53.484+F657*40+G657*185+H657*0+I657*100+J657*300)/(194.205+267.466+133.845+53.484+0+40+185+100+300)</f>
        <v>17.68905872613815</v>
      </c>
      <c r="AD657" s="27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17.550505035971224</v>
      </c>
    </row>
    <row r="658" spans="1:30" ht="15.75" x14ac:dyDescent="0.25">
      <c r="A658" s="13">
        <v>61301</v>
      </c>
      <c r="B658" s="10">
        <f>CHOOSE(CONTROL!$C$42, 17.323, 17.323) * CHOOSE(CONTROL!$C$21, $C$9, 100%, $E$9)</f>
        <v>17.323</v>
      </c>
      <c r="C658" s="10">
        <f>CHOOSE(CONTROL!$C$42, 17.3283, 17.3283) * CHOOSE(CONTROL!$C$21, $C$9, 100%, $E$9)</f>
        <v>17.328299999999999</v>
      </c>
      <c r="D658" s="10">
        <f>CHOOSE(CONTROL!$C$42, 17.5083, 17.5083) * CHOOSE(CONTROL!$C$21, $C$9, 100%, $E$9)</f>
        <v>17.508299999999998</v>
      </c>
      <c r="E658" s="10">
        <f>CHOOSE(CONTROL!$C$42, 17.5372, 17.5372) * CHOOSE(CONTROL!$C$21, $C$9, 100%, $E$9)</f>
        <v>17.537199999999999</v>
      </c>
      <c r="F658" s="10">
        <f>CHOOSE(CONTROL!$C$42, 17.2667, 17.2667)*CHOOSE(CONTROL!$C$21, $C$9, 100%, $E$9)</f>
        <v>17.2667</v>
      </c>
      <c r="G658" s="10">
        <f>CHOOSE(CONTROL!$C$42, 17.2833, 17.2833)*CHOOSE(CONTROL!$C$21, $C$9, 100%, $E$9)</f>
        <v>17.283300000000001</v>
      </c>
      <c r="H658" s="10">
        <f>CHOOSE(CONTROL!$C$42, 17.5273, 17.5273) * CHOOSE(CONTROL!$C$21, $C$9, 100%, $E$9)</f>
        <v>17.5273</v>
      </c>
      <c r="I658" s="10">
        <f>CHOOSE(CONTROL!$C$42, 17.2993, 17.2993)* CHOOSE(CONTROL!$C$21, $C$9, 100%, $E$9)</f>
        <v>17.299299999999999</v>
      </c>
      <c r="J658" s="10">
        <f>CHOOSE(CONTROL!$C$42, 17.2593, 17.2593)* CHOOSE(CONTROL!$C$21, $C$9, 100%, $E$9)</f>
        <v>17.2593</v>
      </c>
      <c r="K658" s="10">
        <f>CHOOSE(CONTROL!$C$42, 16.9167, 16.9167) * CHOOSE(CONTROL!$C$21, $C$9, 100%, $E$9)</f>
        <v>16.916699999999999</v>
      </c>
      <c r="L658" s="10">
        <f>CHOOSE(CONTROL!$C$42, 18.1143, 18.1143) * CHOOSE(CONTROL!$C$21, $C$9, 100%, $E$9)</f>
        <v>18.1143</v>
      </c>
      <c r="M658" s="10">
        <f>CHOOSE(CONTROL!$C$42, 17.069, 17.069) * CHOOSE(CONTROL!$C$21, $C$9, 100%, $E$9)</f>
        <v>17.068999999999999</v>
      </c>
      <c r="N658" s="10">
        <f>CHOOSE(CONTROL!$C$42, 17.0853, 17.0853) * CHOOSE(CONTROL!$C$21, $C$9, 100%, $E$9)</f>
        <v>17.0853</v>
      </c>
      <c r="O658" s="10">
        <f>CHOOSE(CONTROL!$C$42, 17.3335, 17.3335) * CHOOSE(CONTROL!$C$21, $C$9, 100%, $E$9)</f>
        <v>17.333500000000001</v>
      </c>
      <c r="P658" s="10">
        <f>CHOOSE(CONTROL!$C$42, 17.1085, 17.1085) * CHOOSE(CONTROL!$C$21, $C$9, 100%, $E$9)</f>
        <v>17.108499999999999</v>
      </c>
      <c r="Q658" s="10">
        <f>CHOOSE(CONTROL!$C$42, 17.9288, 17.9288) * CHOOSE(CONTROL!$C$21, $C$9, 100%, $E$9)</f>
        <v>17.928799999999999</v>
      </c>
      <c r="R658" s="10">
        <f>CHOOSE(CONTROL!$C$42, 18.5606, 18.5606) * CHOOSE(CONTROL!$C$21, $C$9, 100%, $E$9)</f>
        <v>18.560600000000001</v>
      </c>
      <c r="S658" s="10">
        <f>CHOOSE(CONTROL!$C$42, 16.7901, 16.7901) * CHOOSE(CONTROL!$C$21, $C$9, 100%, $E$9)</f>
        <v>16.790099999999999</v>
      </c>
      <c r="T6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38">
        <f>(1000*CHOOSE(CONTROL!$C$42, 695, 695)*CHOOSE(CONTROL!$C$42, 0.5599, 0.5599)*CHOOSE(CONTROL!$C$42, 31, 31))/1000000</f>
        <v>12.063045499999998</v>
      </c>
      <c r="V658" s="38">
        <f>(1000*CHOOSE(CONTROL!$C$42, 500, 500)*CHOOSE(CONTROL!$C$42, 0.275, 0.275)*CHOOSE(CONTROL!$C$42, 31, 31))/1000000</f>
        <v>4.2625000000000002</v>
      </c>
      <c r="W658" s="38">
        <f>(1000*CHOOSE(CONTROL!$C$42, 0.1146, 0.1146)*CHOOSE(CONTROL!$C$42, 121.5, 121.5)*CHOOSE(CONTROL!$C$42, 31, 31))/1000000</f>
        <v>0.43164089999999994</v>
      </c>
      <c r="X658" s="38">
        <f>(31*0.1790888*245000/1000000)+(31*0.2374*100000/1000000)</f>
        <v>2.0961194359999999</v>
      </c>
      <c r="Y658" s="38">
        <f>(1000*600*CHOOSE(CONTROL!$C$42, 1.0585, 1.0585)*CHOOSE(CONTROL!$C$42, 31, 31))/1000000</f>
        <v>19.688099999999999</v>
      </c>
      <c r="Z658" s="38"/>
      <c r="AA658" s="10"/>
      <c r="AB658" s="39"/>
      <c r="AC658" s="33">
        <f>(B658*131.881+C658*277.167+D658*79.08+E658*125.872+F658*40+G658*185+H658*0+I658*100+J658*300)/(131.881+277.167+79.08+125.872+0+40+185+100+300)</f>
        <v>17.332691518563355</v>
      </c>
      <c r="AD658" s="27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17.195502877697841</v>
      </c>
    </row>
    <row r="659" spans="1:30" ht="15.75" x14ac:dyDescent="0.25">
      <c r="A659" s="13">
        <v>61331</v>
      </c>
      <c r="B659" s="10">
        <f>CHOOSE(CONTROL!$C$42, 17.7793, 17.7793) * CHOOSE(CONTROL!$C$21, $C$9, 100%, $E$9)</f>
        <v>17.779299999999999</v>
      </c>
      <c r="C659" s="10">
        <f>CHOOSE(CONTROL!$C$42, 17.7844, 17.7844) * CHOOSE(CONTROL!$C$21, $C$9, 100%, $E$9)</f>
        <v>17.784400000000002</v>
      </c>
      <c r="D659" s="10">
        <f>CHOOSE(CONTROL!$C$42, 17.8091, 17.8091) * CHOOSE(CONTROL!$C$21, $C$9, 100%, $E$9)</f>
        <v>17.809100000000001</v>
      </c>
      <c r="E659" s="10">
        <f>CHOOSE(CONTROL!$C$42, 17.8429, 17.8429) * CHOOSE(CONTROL!$C$21, $C$9, 100%, $E$9)</f>
        <v>17.8429</v>
      </c>
      <c r="F659" s="10">
        <f>CHOOSE(CONTROL!$C$42, 17.745, 17.745)*CHOOSE(CONTROL!$C$21, $C$9, 100%, $E$9)</f>
        <v>17.745000000000001</v>
      </c>
      <c r="G659" s="10">
        <f>CHOOSE(CONTROL!$C$42, 17.7618, 17.7618)*CHOOSE(CONTROL!$C$21, $C$9, 100%, $E$9)</f>
        <v>17.761800000000001</v>
      </c>
      <c r="H659" s="10">
        <f>CHOOSE(CONTROL!$C$42, 17.8318, 17.8318) * CHOOSE(CONTROL!$C$21, $C$9, 100%, $E$9)</f>
        <v>17.831800000000001</v>
      </c>
      <c r="I659" s="10">
        <f>CHOOSE(CONTROL!$C$42, 17.7788, 17.7788)* CHOOSE(CONTROL!$C$21, $C$9, 100%, $E$9)</f>
        <v>17.7788</v>
      </c>
      <c r="J659" s="10">
        <f>CHOOSE(CONTROL!$C$42, 17.7376, 17.7376)* CHOOSE(CONTROL!$C$21, $C$9, 100%, $E$9)</f>
        <v>17.7376</v>
      </c>
      <c r="K659" s="10">
        <f>CHOOSE(CONTROL!$C$42, 17.3831, 17.3831) * CHOOSE(CONTROL!$C$21, $C$9, 100%, $E$9)</f>
        <v>17.383099999999999</v>
      </c>
      <c r="L659" s="10">
        <f>CHOOSE(CONTROL!$C$42, 18.4188, 18.4188) * CHOOSE(CONTROL!$C$21, $C$9, 100%, $E$9)</f>
        <v>18.418800000000001</v>
      </c>
      <c r="M659" s="10">
        <f>CHOOSE(CONTROL!$C$42, 17.541, 17.541) * CHOOSE(CONTROL!$C$21, $C$9, 100%, $E$9)</f>
        <v>17.541</v>
      </c>
      <c r="N659" s="10">
        <f>CHOOSE(CONTROL!$C$42, 17.5576, 17.5576) * CHOOSE(CONTROL!$C$21, $C$9, 100%, $E$9)</f>
        <v>17.557600000000001</v>
      </c>
      <c r="O659" s="10">
        <f>CHOOSE(CONTROL!$C$42, 17.634, 17.634) * CHOOSE(CONTROL!$C$21, $C$9, 100%, $E$9)</f>
        <v>17.634</v>
      </c>
      <c r="P659" s="10">
        <f>CHOOSE(CONTROL!$C$42, 17.5818, 17.5818) * CHOOSE(CONTROL!$C$21, $C$9, 100%, $E$9)</f>
        <v>17.581800000000001</v>
      </c>
      <c r="Q659" s="10">
        <f>CHOOSE(CONTROL!$C$42, 18.2293, 18.2293) * CHOOSE(CONTROL!$C$21, $C$9, 100%, $E$9)</f>
        <v>18.229299999999999</v>
      </c>
      <c r="R659" s="10">
        <f>CHOOSE(CONTROL!$C$42, 18.8619, 18.8619) * CHOOSE(CONTROL!$C$21, $C$9, 100%, $E$9)</f>
        <v>18.861899999999999</v>
      </c>
      <c r="S659" s="10">
        <f>CHOOSE(CONTROL!$C$42, 17.2324, 17.2324) * CHOOSE(CONTROL!$C$21, $C$9, 100%, $E$9)</f>
        <v>17.232399999999998</v>
      </c>
      <c r="T6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38">
        <f>(1000*CHOOSE(CONTROL!$C$42, 695, 695)*CHOOSE(CONTROL!$C$42, 0.5599, 0.5599)*CHOOSE(CONTROL!$C$42, 30, 30))/1000000</f>
        <v>11.673914999999997</v>
      </c>
      <c r="V659" s="38">
        <f>(1000*CHOOSE(CONTROL!$C$42, 500, 500)*CHOOSE(CONTROL!$C$42, 0.275, 0.275)*CHOOSE(CONTROL!$C$42, 30, 30))/1000000</f>
        <v>4.125</v>
      </c>
      <c r="W659" s="38">
        <f>(1000*CHOOSE(CONTROL!$C$42, 0.1146, 0.1146)*CHOOSE(CONTROL!$C$42, 121.5, 121.5)*CHOOSE(CONTROL!$C$42, 30, 30))/1000000</f>
        <v>0.417717</v>
      </c>
      <c r="X659" s="38">
        <f>(30*0.1790888*100000/1000000)+(30*0.2374*100000/1000000)</f>
        <v>1.2494664</v>
      </c>
      <c r="Y659" s="38">
        <f>(1000*600*CHOOSE(CONTROL!$C$42, 1.0585, 1.0585)*CHOOSE(CONTROL!$C$42, 30, 30))/1000000</f>
        <v>19.053000000000001</v>
      </c>
      <c r="Z659" s="38"/>
      <c r="AA659" s="10"/>
      <c r="AB659" s="39"/>
      <c r="AC659" s="33">
        <f>(B659*122.58+C659*297.941+D659*89.177+E659*40.302+F659*40+G659*160+H659*0+I659*100+J659*300)/(122.58+297.941+89.177+40.302+0+40+160+100+300)</f>
        <v>17.770611461652173</v>
      </c>
      <c r="AD659" s="27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17.589976978417265</v>
      </c>
    </row>
    <row r="660" spans="1:30" ht="15.75" x14ac:dyDescent="0.25">
      <c r="A660" s="13">
        <v>61362</v>
      </c>
      <c r="B660" s="10">
        <f>CHOOSE(CONTROL!$C$42, 18.9926, 18.9926) * CHOOSE(CONTROL!$C$21, $C$9, 100%, $E$9)</f>
        <v>18.992599999999999</v>
      </c>
      <c r="C660" s="10">
        <f>CHOOSE(CONTROL!$C$42, 18.9977, 18.9977) * CHOOSE(CONTROL!$C$21, $C$9, 100%, $E$9)</f>
        <v>18.997699999999998</v>
      </c>
      <c r="D660" s="10">
        <f>CHOOSE(CONTROL!$C$42, 19.0224, 19.0224) * CHOOSE(CONTROL!$C$21, $C$9, 100%, $E$9)</f>
        <v>19.022400000000001</v>
      </c>
      <c r="E660" s="10">
        <f>CHOOSE(CONTROL!$C$42, 19.0562, 19.0562) * CHOOSE(CONTROL!$C$21, $C$9, 100%, $E$9)</f>
        <v>19.0562</v>
      </c>
      <c r="F660" s="10">
        <f>CHOOSE(CONTROL!$C$42, 18.9601, 18.9601)*CHOOSE(CONTROL!$C$21, $C$9, 100%, $E$9)</f>
        <v>18.960100000000001</v>
      </c>
      <c r="G660" s="10">
        <f>CHOOSE(CONTROL!$C$42, 18.9773, 18.9773)*CHOOSE(CONTROL!$C$21, $C$9, 100%, $E$9)</f>
        <v>18.9773</v>
      </c>
      <c r="H660" s="10">
        <f>CHOOSE(CONTROL!$C$42, 19.0451, 19.0451) * CHOOSE(CONTROL!$C$21, $C$9, 100%, $E$9)</f>
        <v>19.045100000000001</v>
      </c>
      <c r="I660" s="10">
        <f>CHOOSE(CONTROL!$C$42, 18.9921, 18.9921)* CHOOSE(CONTROL!$C$21, $C$9, 100%, $E$9)</f>
        <v>18.992100000000001</v>
      </c>
      <c r="J660" s="10">
        <f>CHOOSE(CONTROL!$C$42, 18.9527, 18.9527)* CHOOSE(CONTROL!$C$21, $C$9, 100%, $E$9)</f>
        <v>18.9527</v>
      </c>
      <c r="K660" s="10">
        <f>CHOOSE(CONTROL!$C$42, 18.5624, 18.5624) * CHOOSE(CONTROL!$C$21, $C$9, 100%, $E$9)</f>
        <v>18.5624</v>
      </c>
      <c r="L660" s="10">
        <f>CHOOSE(CONTROL!$C$42, 19.6321, 19.6321) * CHOOSE(CONTROL!$C$21, $C$9, 100%, $E$9)</f>
        <v>19.632100000000001</v>
      </c>
      <c r="M660" s="10">
        <f>CHOOSE(CONTROL!$C$42, 18.7404, 18.7404) * CHOOSE(CONTROL!$C$21, $C$9, 100%, $E$9)</f>
        <v>18.740400000000001</v>
      </c>
      <c r="N660" s="10">
        <f>CHOOSE(CONTROL!$C$42, 18.7574, 18.7574) * CHOOSE(CONTROL!$C$21, $C$9, 100%, $E$9)</f>
        <v>18.757400000000001</v>
      </c>
      <c r="O660" s="10">
        <f>CHOOSE(CONTROL!$C$42, 18.8316, 18.8316) * CHOOSE(CONTROL!$C$21, $C$9, 100%, $E$9)</f>
        <v>18.831600000000002</v>
      </c>
      <c r="P660" s="10">
        <f>CHOOSE(CONTROL!$C$42, 18.7794, 18.7794) * CHOOSE(CONTROL!$C$21, $C$9, 100%, $E$9)</f>
        <v>18.779399999999999</v>
      </c>
      <c r="Q660" s="10">
        <f>CHOOSE(CONTROL!$C$42, 19.4269, 19.4269) * CHOOSE(CONTROL!$C$21, $C$9, 100%, $E$9)</f>
        <v>19.4269</v>
      </c>
      <c r="R660" s="10">
        <f>CHOOSE(CONTROL!$C$42, 20.0625, 20.0625) * CHOOSE(CONTROL!$C$21, $C$9, 100%, $E$9)</f>
        <v>20.0625</v>
      </c>
      <c r="S660" s="10">
        <f>CHOOSE(CONTROL!$C$42, 18.4072, 18.4072) * CHOOSE(CONTROL!$C$21, $C$9, 100%, $E$9)</f>
        <v>18.4072</v>
      </c>
      <c r="T6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38">
        <f>(1000*CHOOSE(CONTROL!$C$42, 695, 695)*CHOOSE(CONTROL!$C$42, 0.5599, 0.5599)*CHOOSE(CONTROL!$C$42, 31, 31))/1000000</f>
        <v>12.063045499999998</v>
      </c>
      <c r="V660" s="38">
        <f>(1000*CHOOSE(CONTROL!$C$42, 500, 500)*CHOOSE(CONTROL!$C$42, 0.275, 0.275)*CHOOSE(CONTROL!$C$42, 31, 31))/1000000</f>
        <v>4.2625000000000002</v>
      </c>
      <c r="W660" s="38">
        <f>(1000*CHOOSE(CONTROL!$C$42, 0.1146, 0.1146)*CHOOSE(CONTROL!$C$42, 121.5, 121.5)*CHOOSE(CONTROL!$C$42, 31, 31))/1000000</f>
        <v>0.43164089999999994</v>
      </c>
      <c r="X660" s="38">
        <f>(31*0.1790888*100000/1000000)+(31*0.2374*100000/1000000)</f>
        <v>1.2911152800000001</v>
      </c>
      <c r="Y660" s="38">
        <f>(1000*600*CHOOSE(CONTROL!$C$42, 1.0585, 1.0585)*CHOOSE(CONTROL!$C$42, 31, 31))/1000000</f>
        <v>19.688099999999999</v>
      </c>
      <c r="Z660" s="38"/>
      <c r="AA660" s="10"/>
      <c r="AB660" s="39"/>
      <c r="AC660" s="33">
        <f>(B660*122.58+C660*297.941+D660*89.177+E660*40.302+F660*40+G660*160+H660*0+I660*100+J660*300)/(122.58+297.941+89.177+40.302+0+40+160+100+300)</f>
        <v>18.984749722521741</v>
      </c>
      <c r="AD660" s="27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18.788325179856116</v>
      </c>
    </row>
    <row r="661" spans="1:30" ht="15.75" x14ac:dyDescent="0.25">
      <c r="A661" s="13">
        <v>61393</v>
      </c>
      <c r="B661" s="10">
        <f>CHOOSE(CONTROL!$C$42, 20.2757, 20.2757) * CHOOSE(CONTROL!$C$21, $C$9, 100%, $E$9)</f>
        <v>20.275700000000001</v>
      </c>
      <c r="C661" s="10">
        <f>CHOOSE(CONTROL!$C$42, 20.2808, 20.2808) * CHOOSE(CONTROL!$C$21, $C$9, 100%, $E$9)</f>
        <v>20.280799999999999</v>
      </c>
      <c r="D661" s="10">
        <f>CHOOSE(CONTROL!$C$42, 20.3158, 20.3158) * CHOOSE(CONTROL!$C$21, $C$9, 100%, $E$9)</f>
        <v>20.315799999999999</v>
      </c>
      <c r="E661" s="10">
        <f>CHOOSE(CONTROL!$C$42, 20.3496, 20.3496) * CHOOSE(CONTROL!$C$21, $C$9, 100%, $E$9)</f>
        <v>20.349599999999999</v>
      </c>
      <c r="F661" s="10">
        <f>CHOOSE(CONTROL!$C$42, 20.2569, 20.2569)*CHOOSE(CONTROL!$C$21, $C$9, 100%, $E$9)</f>
        <v>20.256900000000002</v>
      </c>
      <c r="G661" s="10">
        <f>CHOOSE(CONTROL!$C$42, 20.2758, 20.2758)*CHOOSE(CONTROL!$C$21, $C$9, 100%, $E$9)</f>
        <v>20.2758</v>
      </c>
      <c r="H661" s="10">
        <f>CHOOSE(CONTROL!$C$42, 20.3384, 20.3384) * CHOOSE(CONTROL!$C$21, $C$9, 100%, $E$9)</f>
        <v>20.3384</v>
      </c>
      <c r="I661" s="10">
        <f>CHOOSE(CONTROL!$C$42, 20.2829, 20.2829)* CHOOSE(CONTROL!$C$21, $C$9, 100%, $E$9)</f>
        <v>20.282900000000001</v>
      </c>
      <c r="J661" s="10">
        <f>CHOOSE(CONTROL!$C$42, 20.2495, 20.2495)* CHOOSE(CONTROL!$C$21, $C$9, 100%, $E$9)</f>
        <v>20.249500000000001</v>
      </c>
      <c r="K661" s="10">
        <f>CHOOSE(CONTROL!$C$42, 19.8261, 19.8261) * CHOOSE(CONTROL!$C$21, $C$9, 100%, $E$9)</f>
        <v>19.8261</v>
      </c>
      <c r="L661" s="10">
        <f>CHOOSE(CONTROL!$C$42, 20.9254, 20.9254) * CHOOSE(CONTROL!$C$21, $C$9, 100%, $E$9)</f>
        <v>20.9254</v>
      </c>
      <c r="M661" s="10">
        <f>CHOOSE(CONTROL!$C$42, 20.0204, 20.0204) * CHOOSE(CONTROL!$C$21, $C$9, 100%, $E$9)</f>
        <v>20.020399999999999</v>
      </c>
      <c r="N661" s="10">
        <f>CHOOSE(CONTROL!$C$42, 20.0391, 20.0391) * CHOOSE(CONTROL!$C$21, $C$9, 100%, $E$9)</f>
        <v>20.039100000000001</v>
      </c>
      <c r="O661" s="10">
        <f>CHOOSE(CONTROL!$C$42, 20.1082, 20.1082) * CHOOSE(CONTROL!$C$21, $C$9, 100%, $E$9)</f>
        <v>20.1082</v>
      </c>
      <c r="P661" s="10">
        <f>CHOOSE(CONTROL!$C$42, 20.0534, 20.0534) * CHOOSE(CONTROL!$C$21, $C$9, 100%, $E$9)</f>
        <v>20.0534</v>
      </c>
      <c r="Q661" s="10">
        <f>CHOOSE(CONTROL!$C$42, 20.7035, 20.7035) * CHOOSE(CONTROL!$C$21, $C$9, 100%, $E$9)</f>
        <v>20.703499999999998</v>
      </c>
      <c r="R661" s="10">
        <f>CHOOSE(CONTROL!$C$42, 21.3423, 21.3423) * CHOOSE(CONTROL!$C$21, $C$9, 100%, $E$9)</f>
        <v>21.342300000000002</v>
      </c>
      <c r="S661" s="10">
        <f>CHOOSE(CONTROL!$C$42, 19.6496, 19.6496) * CHOOSE(CONTROL!$C$21, $C$9, 100%, $E$9)</f>
        <v>19.6496</v>
      </c>
      <c r="T6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38">
        <f>(1000*CHOOSE(CONTROL!$C$42, 695, 695)*CHOOSE(CONTROL!$C$42, 0.5599, 0.5599)*CHOOSE(CONTROL!$C$42, 31, 31))/1000000</f>
        <v>12.063045499999998</v>
      </c>
      <c r="V661" s="38">
        <f>(1000*CHOOSE(CONTROL!$C$42, 500, 500)*CHOOSE(CONTROL!$C$42, 0.275, 0.275)*CHOOSE(CONTROL!$C$42, 31, 31))/1000000</f>
        <v>4.2625000000000002</v>
      </c>
      <c r="W661" s="38">
        <f>(1000*CHOOSE(CONTROL!$C$42, 0.1146, 0.1146)*CHOOSE(CONTROL!$C$42, 121.5, 121.5)*CHOOSE(CONTROL!$C$42, 31, 31))/1000000</f>
        <v>0.43164089999999994</v>
      </c>
      <c r="X661" s="38">
        <f>(31*0.1790888*100000/1000000)+(31*0.2374*100000/1000000)</f>
        <v>1.2911152800000001</v>
      </c>
      <c r="Y661" s="38">
        <f>(1000*600*CHOOSE(CONTROL!$C$42, 1.0585, 1.0585)*CHOOSE(CONTROL!$C$42, 31, 31))/1000000</f>
        <v>19.688099999999999</v>
      </c>
      <c r="Z661" s="38"/>
      <c r="AA661" s="10"/>
      <c r="AB661" s="39"/>
      <c r="AC661" s="33">
        <f>(B661*122.58+C661*297.941+D661*89.177+E661*40.302+F661*40+G661*160+H661*0+I661*100+J661*300)/(122.58+297.941+89.177+40.302+0+40+160+100+300)</f>
        <v>20.27587201269565</v>
      </c>
      <c r="AD661" s="27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20.066018705035972</v>
      </c>
    </row>
    <row r="662" spans="1:30" ht="15.75" x14ac:dyDescent="0.25">
      <c r="A662" s="13">
        <v>61422</v>
      </c>
      <c r="B662" s="10">
        <f>CHOOSE(CONTROL!$C$42, 20.6369, 20.6369) * CHOOSE(CONTROL!$C$21, $C$9, 100%, $E$9)</f>
        <v>20.636900000000001</v>
      </c>
      <c r="C662" s="10">
        <f>CHOOSE(CONTROL!$C$42, 20.642, 20.642) * CHOOSE(CONTROL!$C$21, $C$9, 100%, $E$9)</f>
        <v>20.641999999999999</v>
      </c>
      <c r="D662" s="10">
        <f>CHOOSE(CONTROL!$C$42, 20.677, 20.677) * CHOOSE(CONTROL!$C$21, $C$9, 100%, $E$9)</f>
        <v>20.677</v>
      </c>
      <c r="E662" s="10">
        <f>CHOOSE(CONTROL!$C$42, 20.7108, 20.7108) * CHOOSE(CONTROL!$C$21, $C$9, 100%, $E$9)</f>
        <v>20.710799999999999</v>
      </c>
      <c r="F662" s="10">
        <f>CHOOSE(CONTROL!$C$42, 20.6176, 20.6176)*CHOOSE(CONTROL!$C$21, $C$9, 100%, $E$9)</f>
        <v>20.617599999999999</v>
      </c>
      <c r="G662" s="10">
        <f>CHOOSE(CONTROL!$C$42, 20.6364, 20.6364)*CHOOSE(CONTROL!$C$21, $C$9, 100%, $E$9)</f>
        <v>20.636399999999998</v>
      </c>
      <c r="H662" s="10">
        <f>CHOOSE(CONTROL!$C$42, 20.6997, 20.6997) * CHOOSE(CONTROL!$C$21, $C$9, 100%, $E$9)</f>
        <v>20.6997</v>
      </c>
      <c r="I662" s="10">
        <f>CHOOSE(CONTROL!$C$42, 20.6441, 20.6441)* CHOOSE(CONTROL!$C$21, $C$9, 100%, $E$9)</f>
        <v>20.644100000000002</v>
      </c>
      <c r="J662" s="10">
        <f>CHOOSE(CONTROL!$C$42, 20.6102, 20.6102)* CHOOSE(CONTROL!$C$21, $C$9, 100%, $E$9)</f>
        <v>20.610199999999999</v>
      </c>
      <c r="K662" s="10">
        <f>CHOOSE(CONTROL!$C$42, 20.1749, 20.1749) * CHOOSE(CONTROL!$C$21, $C$9, 100%, $E$9)</f>
        <v>20.174900000000001</v>
      </c>
      <c r="L662" s="10">
        <f>CHOOSE(CONTROL!$C$42, 21.2867, 21.2867) * CHOOSE(CONTROL!$C$21, $C$9, 100%, $E$9)</f>
        <v>21.2867</v>
      </c>
      <c r="M662" s="10">
        <f>CHOOSE(CONTROL!$C$42, 20.3765, 20.3765) * CHOOSE(CONTROL!$C$21, $C$9, 100%, $E$9)</f>
        <v>20.3765</v>
      </c>
      <c r="N662" s="10">
        <f>CHOOSE(CONTROL!$C$42, 20.395, 20.395) * CHOOSE(CONTROL!$C$21, $C$9, 100%, $E$9)</f>
        <v>20.395</v>
      </c>
      <c r="O662" s="10">
        <f>CHOOSE(CONTROL!$C$42, 20.4648, 20.4648) * CHOOSE(CONTROL!$C$21, $C$9, 100%, $E$9)</f>
        <v>20.4648</v>
      </c>
      <c r="P662" s="10">
        <f>CHOOSE(CONTROL!$C$42, 20.41, 20.41) * CHOOSE(CONTROL!$C$21, $C$9, 100%, $E$9)</f>
        <v>20.41</v>
      </c>
      <c r="Q662" s="10">
        <f>CHOOSE(CONTROL!$C$42, 21.0601, 21.0601) * CHOOSE(CONTROL!$C$21, $C$9, 100%, $E$9)</f>
        <v>21.060099999999998</v>
      </c>
      <c r="R662" s="10">
        <f>CHOOSE(CONTROL!$C$42, 21.6997, 21.6997) * CHOOSE(CONTROL!$C$21, $C$9, 100%, $E$9)</f>
        <v>21.6997</v>
      </c>
      <c r="S662" s="10">
        <f>CHOOSE(CONTROL!$C$42, 19.9994, 19.9994) * CHOOSE(CONTROL!$C$21, $C$9, 100%, $E$9)</f>
        <v>19.999400000000001</v>
      </c>
      <c r="T66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62" s="38">
        <f>(1000*CHOOSE(CONTROL!$C$42, 695, 695)*CHOOSE(CONTROL!$C$42, 0.5599, 0.5599)*CHOOSE(CONTROL!$C$42, 29, 29))/1000000</f>
        <v>11.284784499999999</v>
      </c>
      <c r="V662" s="38">
        <f>(1000*CHOOSE(CONTROL!$C$42, 500, 500)*CHOOSE(CONTROL!$C$42, 0.275, 0.275)*CHOOSE(CONTROL!$C$42, 29, 29))/1000000</f>
        <v>3.9874999999999998</v>
      </c>
      <c r="W662" s="38">
        <f>(1000*CHOOSE(CONTROL!$C$42, 0.1146, 0.1146)*CHOOSE(CONTROL!$C$42, 121.5, 121.5)*CHOOSE(CONTROL!$C$42, 29, 29))/1000000</f>
        <v>0.40379309999999996</v>
      </c>
      <c r="X662" s="38">
        <f>(29*0.1790888*100000/1000000)+(29*0.2374*100000/1000000)</f>
        <v>1.2078175199999999</v>
      </c>
      <c r="Y662" s="38">
        <f>(1000*600*CHOOSE(CONTROL!$C$42, 1.0585, 1.0585)*CHOOSE(CONTROL!$C$42, 29, 29))/1000000</f>
        <v>18.417899999999999</v>
      </c>
      <c r="Z662" s="38"/>
      <c r="AA662" s="10"/>
      <c r="AB662" s="39"/>
      <c r="AC662" s="33">
        <f>(B662*122.58+C662*297.941+D662*89.177+E662*40.302+F662*40+G662*160+H662*0+I662*100+J662*300)/(122.58+297.941+89.177+40.302+0+40+160+100+300)</f>
        <v>20.636840708347826</v>
      </c>
      <c r="AD662" s="27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20.422405755395683</v>
      </c>
    </row>
    <row r="663" spans="1:30" ht="15.75" x14ac:dyDescent="0.25">
      <c r="A663" s="13">
        <v>61453</v>
      </c>
      <c r="B663" s="10">
        <f>CHOOSE(CONTROL!$C$42, 20.0505, 20.0505) * CHOOSE(CONTROL!$C$21, $C$9, 100%, $E$9)</f>
        <v>20.0505</v>
      </c>
      <c r="C663" s="10">
        <f>CHOOSE(CONTROL!$C$42, 20.0556, 20.0556) * CHOOSE(CONTROL!$C$21, $C$9, 100%, $E$9)</f>
        <v>20.055599999999998</v>
      </c>
      <c r="D663" s="10">
        <f>CHOOSE(CONTROL!$C$42, 20.0906, 20.0906) * CHOOSE(CONTROL!$C$21, $C$9, 100%, $E$9)</f>
        <v>20.090599999999998</v>
      </c>
      <c r="E663" s="10">
        <f>CHOOSE(CONTROL!$C$42, 20.1244, 20.1244) * CHOOSE(CONTROL!$C$21, $C$9, 100%, $E$9)</f>
        <v>20.124400000000001</v>
      </c>
      <c r="F663" s="10">
        <f>CHOOSE(CONTROL!$C$42, 20.0299, 20.0299)*CHOOSE(CONTROL!$C$21, $C$9, 100%, $E$9)</f>
        <v>20.029900000000001</v>
      </c>
      <c r="G663" s="10">
        <f>CHOOSE(CONTROL!$C$42, 20.0483, 20.0483)*CHOOSE(CONTROL!$C$21, $C$9, 100%, $E$9)</f>
        <v>20.048300000000001</v>
      </c>
      <c r="H663" s="10">
        <f>CHOOSE(CONTROL!$C$42, 20.1133, 20.1133) * CHOOSE(CONTROL!$C$21, $C$9, 100%, $E$9)</f>
        <v>20.113299999999999</v>
      </c>
      <c r="I663" s="10">
        <f>CHOOSE(CONTROL!$C$42, 20.0578, 20.0578)* CHOOSE(CONTROL!$C$21, $C$9, 100%, $E$9)</f>
        <v>20.0578</v>
      </c>
      <c r="J663" s="10">
        <f>CHOOSE(CONTROL!$C$42, 20.0225, 20.0225)* CHOOSE(CONTROL!$C$21, $C$9, 100%, $E$9)</f>
        <v>20.022500000000001</v>
      </c>
      <c r="K663" s="10">
        <f>CHOOSE(CONTROL!$C$42, 19.6038, 19.6038) * CHOOSE(CONTROL!$C$21, $C$9, 100%, $E$9)</f>
        <v>19.6038</v>
      </c>
      <c r="L663" s="10">
        <f>CHOOSE(CONTROL!$C$42, 20.7003, 20.7003) * CHOOSE(CONTROL!$C$21, $C$9, 100%, $E$9)</f>
        <v>20.700299999999999</v>
      </c>
      <c r="M663" s="10">
        <f>CHOOSE(CONTROL!$C$42, 19.7963, 19.7963) * CHOOSE(CONTROL!$C$21, $C$9, 100%, $E$9)</f>
        <v>19.796299999999999</v>
      </c>
      <c r="N663" s="10">
        <f>CHOOSE(CONTROL!$C$42, 19.8145, 19.8145) * CHOOSE(CONTROL!$C$21, $C$9, 100%, $E$9)</f>
        <v>19.814499999999999</v>
      </c>
      <c r="O663" s="10">
        <f>CHOOSE(CONTROL!$C$42, 19.886, 19.886) * CHOOSE(CONTROL!$C$21, $C$9, 100%, $E$9)</f>
        <v>19.885999999999999</v>
      </c>
      <c r="P663" s="10">
        <f>CHOOSE(CONTROL!$C$42, 19.8312, 19.8312) * CHOOSE(CONTROL!$C$21, $C$9, 100%, $E$9)</f>
        <v>19.831199999999999</v>
      </c>
      <c r="Q663" s="10">
        <f>CHOOSE(CONTROL!$C$42, 20.4813, 20.4813) * CHOOSE(CONTROL!$C$21, $C$9, 100%, $E$9)</f>
        <v>20.481300000000001</v>
      </c>
      <c r="R663" s="10">
        <f>CHOOSE(CONTROL!$C$42, 21.1195, 21.1195) * CHOOSE(CONTROL!$C$21, $C$9, 100%, $E$9)</f>
        <v>21.119499999999999</v>
      </c>
      <c r="S663" s="10">
        <f>CHOOSE(CONTROL!$C$42, 19.4316, 19.4316) * CHOOSE(CONTROL!$C$21, $C$9, 100%, $E$9)</f>
        <v>19.4316</v>
      </c>
      <c r="T6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38">
        <f>(1000*CHOOSE(CONTROL!$C$42, 695, 695)*CHOOSE(CONTROL!$C$42, 0.5599, 0.5599)*CHOOSE(CONTROL!$C$42, 31, 31))/1000000</f>
        <v>12.063045499999998</v>
      </c>
      <c r="V663" s="38">
        <f>(1000*CHOOSE(CONTROL!$C$42, 500, 500)*CHOOSE(CONTROL!$C$42, 0.275, 0.275)*CHOOSE(CONTROL!$C$42, 31, 31))/1000000</f>
        <v>4.2625000000000002</v>
      </c>
      <c r="W663" s="38">
        <f>(1000*CHOOSE(CONTROL!$C$42, 0.1146, 0.1146)*CHOOSE(CONTROL!$C$42, 121.5, 121.5)*CHOOSE(CONTROL!$C$42, 31, 31))/1000000</f>
        <v>0.43164089999999994</v>
      </c>
      <c r="X663" s="38">
        <f>(31*0.1790888*100000/1000000)+(31*0.2374*100000/1000000)</f>
        <v>1.2911152800000001</v>
      </c>
      <c r="Y663" s="38">
        <f>(1000*600*CHOOSE(CONTROL!$C$42, 1.0585, 1.0585)*CHOOSE(CONTROL!$C$42, 31, 31))/1000000</f>
        <v>19.688099999999999</v>
      </c>
      <c r="Z663" s="38"/>
      <c r="AA663" s="10"/>
      <c r="AB663" s="39"/>
      <c r="AC663" s="33">
        <f>(B663*122.58+C663*297.941+D663*89.177+E663*40.302+F663*40+G663*160+H663*0+I663*100+J663*300)/(122.58+297.941+89.177+40.302+0+40+160+100+300)</f>
        <v>20.049828534434781</v>
      </c>
      <c r="AD663" s="27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19.843024460431653</v>
      </c>
    </row>
    <row r="664" spans="1:30" ht="15.75" x14ac:dyDescent="0.25">
      <c r="A664" s="13">
        <v>61483</v>
      </c>
      <c r="B664" s="10">
        <f>CHOOSE(CONTROL!$C$42, 19.9912, 19.9912) * CHOOSE(CONTROL!$C$21, $C$9, 100%, $E$9)</f>
        <v>19.991199999999999</v>
      </c>
      <c r="C664" s="10">
        <f>CHOOSE(CONTROL!$C$42, 19.9957, 19.9957) * CHOOSE(CONTROL!$C$21, $C$9, 100%, $E$9)</f>
        <v>19.995699999999999</v>
      </c>
      <c r="D664" s="10">
        <f>CHOOSE(CONTROL!$C$42, 20.1739, 20.1739) * CHOOSE(CONTROL!$C$21, $C$9, 100%, $E$9)</f>
        <v>20.1739</v>
      </c>
      <c r="E664" s="10">
        <f>CHOOSE(CONTROL!$C$42, 20.2058, 20.2058) * CHOOSE(CONTROL!$C$21, $C$9, 100%, $E$9)</f>
        <v>20.2058</v>
      </c>
      <c r="F664" s="10">
        <f>CHOOSE(CONTROL!$C$42, 19.9347, 19.9347)*CHOOSE(CONTROL!$C$21, $C$9, 100%, $E$9)</f>
        <v>19.934699999999999</v>
      </c>
      <c r="G664" s="10">
        <f>CHOOSE(CONTROL!$C$42, 19.9513, 19.9513)*CHOOSE(CONTROL!$C$21, $C$9, 100%, $E$9)</f>
        <v>19.9513</v>
      </c>
      <c r="H664" s="10">
        <f>CHOOSE(CONTROL!$C$42, 20.1952, 20.1952) * CHOOSE(CONTROL!$C$21, $C$9, 100%, $E$9)</f>
        <v>20.1952</v>
      </c>
      <c r="I664" s="10">
        <f>CHOOSE(CONTROL!$C$42, 19.9672, 19.9672)* CHOOSE(CONTROL!$C$21, $C$9, 100%, $E$9)</f>
        <v>19.967199999999998</v>
      </c>
      <c r="J664" s="10">
        <f>CHOOSE(CONTROL!$C$42, 19.9273, 19.9273)* CHOOSE(CONTROL!$C$21, $C$9, 100%, $E$9)</f>
        <v>19.927299999999999</v>
      </c>
      <c r="K664" s="10">
        <f>CHOOSE(CONTROL!$C$42, 19.5014, 19.5014) * CHOOSE(CONTROL!$C$21, $C$9, 100%, $E$9)</f>
        <v>19.5014</v>
      </c>
      <c r="L664" s="10">
        <f>CHOOSE(CONTROL!$C$42, 20.7822, 20.7822) * CHOOSE(CONTROL!$C$21, $C$9, 100%, $E$9)</f>
        <v>20.7822</v>
      </c>
      <c r="M664" s="10">
        <f>CHOOSE(CONTROL!$C$42, 19.7023, 19.7023) * CHOOSE(CONTROL!$C$21, $C$9, 100%, $E$9)</f>
        <v>19.702300000000001</v>
      </c>
      <c r="N664" s="10">
        <f>CHOOSE(CONTROL!$C$42, 19.7187, 19.7187) * CHOOSE(CONTROL!$C$21, $C$9, 100%, $E$9)</f>
        <v>19.718699999999998</v>
      </c>
      <c r="O664" s="10">
        <f>CHOOSE(CONTROL!$C$42, 19.9668, 19.9668) * CHOOSE(CONTROL!$C$21, $C$9, 100%, $E$9)</f>
        <v>19.966799999999999</v>
      </c>
      <c r="P664" s="10">
        <f>CHOOSE(CONTROL!$C$42, 19.7418, 19.7418) * CHOOSE(CONTROL!$C$21, $C$9, 100%, $E$9)</f>
        <v>19.741800000000001</v>
      </c>
      <c r="Q664" s="10">
        <f>CHOOSE(CONTROL!$C$42, 20.5621, 20.5621) * CHOOSE(CONTROL!$C$21, $C$9, 100%, $E$9)</f>
        <v>20.562100000000001</v>
      </c>
      <c r="R664" s="10">
        <f>CHOOSE(CONTROL!$C$42, 21.2005, 21.2005) * CHOOSE(CONTROL!$C$21, $C$9, 100%, $E$9)</f>
        <v>21.200500000000002</v>
      </c>
      <c r="S664" s="10">
        <f>CHOOSE(CONTROL!$C$42, 19.3734, 19.3734) * CHOOSE(CONTROL!$C$21, $C$9, 100%, $E$9)</f>
        <v>19.3734</v>
      </c>
      <c r="T6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38">
        <f>(1000*CHOOSE(CONTROL!$C$42, 695, 695)*CHOOSE(CONTROL!$C$42, 0.5599, 0.5599)*CHOOSE(CONTROL!$C$42, 30, 30))/1000000</f>
        <v>11.673914999999997</v>
      </c>
      <c r="V664" s="38">
        <f>(1000*CHOOSE(CONTROL!$C$42, 500, 500)*CHOOSE(CONTROL!$C$42, 0.275, 0.275)*CHOOSE(CONTROL!$C$42, 30, 30))/1000000</f>
        <v>4.125</v>
      </c>
      <c r="W664" s="38">
        <f>(1000*CHOOSE(CONTROL!$C$42, 0.1146, 0.1146)*CHOOSE(CONTROL!$C$42, 121.5, 121.5)*CHOOSE(CONTROL!$C$42, 30, 30))/1000000</f>
        <v>0.417717</v>
      </c>
      <c r="X664" s="38">
        <f>(30*0.1790888*245000/1000000)+(30*0.2374*100000/1000000)</f>
        <v>2.0285026799999999</v>
      </c>
      <c r="Y664" s="38">
        <f>(1000*600*CHOOSE(CONTROL!$C$42, 1.0585, 1.0585)*CHOOSE(CONTROL!$C$42, 30, 30))/1000000</f>
        <v>19.053000000000001</v>
      </c>
      <c r="Z664" s="38"/>
      <c r="AA664" s="10"/>
      <c r="AB664" s="39"/>
      <c r="AC664" s="33">
        <f>(B664*141.293+C664*267.993+D664*115.016+E664*89.698+F664*40+G664*185+H664*0+I664*100+J664*300)/(141.293+267.993+115.016+89.698+0+40+185+100+300)</f>
        <v>19.999478516949154</v>
      </c>
      <c r="AD664" s="27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19.828808633093526</v>
      </c>
    </row>
    <row r="665" spans="1:30" ht="15.75" x14ac:dyDescent="0.25">
      <c r="A665" s="13">
        <v>61514</v>
      </c>
      <c r="B665" s="10">
        <f>CHOOSE(CONTROL!$C$42, 20.1695, 20.1695) * CHOOSE(CONTROL!$C$21, $C$9, 100%, $E$9)</f>
        <v>20.169499999999999</v>
      </c>
      <c r="C665" s="10">
        <f>CHOOSE(CONTROL!$C$42, 20.1775, 20.1775) * CHOOSE(CONTROL!$C$21, $C$9, 100%, $E$9)</f>
        <v>20.177499999999998</v>
      </c>
      <c r="D665" s="10">
        <f>CHOOSE(CONTROL!$C$42, 20.3527, 20.3527) * CHOOSE(CONTROL!$C$21, $C$9, 100%, $E$9)</f>
        <v>20.352699999999999</v>
      </c>
      <c r="E665" s="10">
        <f>CHOOSE(CONTROL!$C$42, 20.3839, 20.3839) * CHOOSE(CONTROL!$C$21, $C$9, 100%, $E$9)</f>
        <v>20.383900000000001</v>
      </c>
      <c r="F665" s="10">
        <f>CHOOSE(CONTROL!$C$42, 20.1112, 20.1112)*CHOOSE(CONTROL!$C$21, $C$9, 100%, $E$9)</f>
        <v>20.1112</v>
      </c>
      <c r="G665" s="10">
        <f>CHOOSE(CONTROL!$C$42, 20.1281, 20.1281)*CHOOSE(CONTROL!$C$21, $C$9, 100%, $E$9)</f>
        <v>20.1281</v>
      </c>
      <c r="H665" s="10">
        <f>CHOOSE(CONTROL!$C$42, 20.3722, 20.3722) * CHOOSE(CONTROL!$C$21, $C$9, 100%, $E$9)</f>
        <v>20.372199999999999</v>
      </c>
      <c r="I665" s="10">
        <f>CHOOSE(CONTROL!$C$42, 20.1442, 20.1442)* CHOOSE(CONTROL!$C$21, $C$9, 100%, $E$9)</f>
        <v>20.144200000000001</v>
      </c>
      <c r="J665" s="10">
        <f>CHOOSE(CONTROL!$C$42, 20.1038, 20.1038)* CHOOSE(CONTROL!$C$21, $C$9, 100%, $E$9)</f>
        <v>20.1038</v>
      </c>
      <c r="K665" s="10">
        <f>CHOOSE(CONTROL!$C$42, 19.672, 19.672) * CHOOSE(CONTROL!$C$21, $C$9, 100%, $E$9)</f>
        <v>19.672000000000001</v>
      </c>
      <c r="L665" s="10">
        <f>CHOOSE(CONTROL!$C$42, 20.9592, 20.9592) * CHOOSE(CONTROL!$C$21, $C$9, 100%, $E$9)</f>
        <v>20.959199999999999</v>
      </c>
      <c r="M665" s="10">
        <f>CHOOSE(CONTROL!$C$42, 19.8766, 19.8766) * CHOOSE(CONTROL!$C$21, $C$9, 100%, $E$9)</f>
        <v>19.8766</v>
      </c>
      <c r="N665" s="10">
        <f>CHOOSE(CONTROL!$C$42, 19.8933, 19.8933) * CHOOSE(CONTROL!$C$21, $C$9, 100%, $E$9)</f>
        <v>19.8933</v>
      </c>
      <c r="O665" s="10">
        <f>CHOOSE(CONTROL!$C$42, 20.1415, 20.1415) * CHOOSE(CONTROL!$C$21, $C$9, 100%, $E$9)</f>
        <v>20.141500000000001</v>
      </c>
      <c r="P665" s="10">
        <f>CHOOSE(CONTROL!$C$42, 19.9165, 19.9165) * CHOOSE(CONTROL!$C$21, $C$9, 100%, $E$9)</f>
        <v>19.916499999999999</v>
      </c>
      <c r="Q665" s="10">
        <f>CHOOSE(CONTROL!$C$42, 20.7368, 20.7368) * CHOOSE(CONTROL!$C$21, $C$9, 100%, $E$9)</f>
        <v>20.736799999999999</v>
      </c>
      <c r="R665" s="10">
        <f>CHOOSE(CONTROL!$C$42, 21.3757, 21.3757) * CHOOSE(CONTROL!$C$21, $C$9, 100%, $E$9)</f>
        <v>21.375699999999998</v>
      </c>
      <c r="S665" s="10">
        <f>CHOOSE(CONTROL!$C$42, 19.5448, 19.5448) * CHOOSE(CONTROL!$C$21, $C$9, 100%, $E$9)</f>
        <v>19.544799999999999</v>
      </c>
      <c r="T6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38">
        <f>(1000*CHOOSE(CONTROL!$C$42, 695, 695)*CHOOSE(CONTROL!$C$42, 0.5599, 0.5599)*CHOOSE(CONTROL!$C$42, 31, 31))/1000000</f>
        <v>12.063045499999998</v>
      </c>
      <c r="V665" s="38">
        <f>(1000*CHOOSE(CONTROL!$C$42, 500, 500)*CHOOSE(CONTROL!$C$42, 0.275, 0.275)*CHOOSE(CONTROL!$C$42, 31, 31))/1000000</f>
        <v>4.2625000000000002</v>
      </c>
      <c r="W665" s="38">
        <f>(1000*CHOOSE(CONTROL!$C$42, 0.1146, 0.1146)*CHOOSE(CONTROL!$C$42, 121.5, 121.5)*CHOOSE(CONTROL!$C$42, 31, 31))/1000000</f>
        <v>0.43164089999999994</v>
      </c>
      <c r="X665" s="38">
        <f>(31*0.1790888*245000/1000000)+(31*0.2374*100000/1000000)</f>
        <v>2.0961194359999999</v>
      </c>
      <c r="Y665" s="38">
        <f>(1000*600*CHOOSE(CONTROL!$C$42, 1.0585, 1.0585)*CHOOSE(CONTROL!$C$42, 31, 31))/1000000</f>
        <v>19.688099999999999</v>
      </c>
      <c r="Z665" s="38"/>
      <c r="AA665" s="10"/>
      <c r="AB665" s="39"/>
      <c r="AC665" s="33">
        <f>(B665*194.205+C665*267.466+D665*133.845+E665*53.484+F665*40+G665*185+H665*0+I665*100+J665*300)/(194.205+267.466+133.845+53.484+0+40+185+100+300)</f>
        <v>20.174128023233912</v>
      </c>
      <c r="AD665" s="27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20.003364748201438</v>
      </c>
    </row>
    <row r="666" spans="1:30" ht="15.75" x14ac:dyDescent="0.25">
      <c r="A666" s="13">
        <v>61544</v>
      </c>
      <c r="B666" s="10">
        <f>CHOOSE(CONTROL!$C$42, 20.7421, 20.7421) * CHOOSE(CONTROL!$C$21, $C$9, 100%, $E$9)</f>
        <v>20.742100000000001</v>
      </c>
      <c r="C666" s="10">
        <f>CHOOSE(CONTROL!$C$42, 20.7501, 20.7501) * CHOOSE(CONTROL!$C$21, $C$9, 100%, $E$9)</f>
        <v>20.7501</v>
      </c>
      <c r="D666" s="10">
        <f>CHOOSE(CONTROL!$C$42, 20.9252, 20.9252) * CHOOSE(CONTROL!$C$21, $C$9, 100%, $E$9)</f>
        <v>20.9252</v>
      </c>
      <c r="E666" s="10">
        <f>CHOOSE(CONTROL!$C$42, 20.9564, 20.9564) * CHOOSE(CONTROL!$C$21, $C$9, 100%, $E$9)</f>
        <v>20.956399999999999</v>
      </c>
      <c r="F666" s="10">
        <f>CHOOSE(CONTROL!$C$42, 20.6839, 20.6839)*CHOOSE(CONTROL!$C$21, $C$9, 100%, $E$9)</f>
        <v>20.683900000000001</v>
      </c>
      <c r="G666" s="10">
        <f>CHOOSE(CONTROL!$C$42, 20.7009, 20.7009)*CHOOSE(CONTROL!$C$21, $C$9, 100%, $E$9)</f>
        <v>20.700900000000001</v>
      </c>
      <c r="H666" s="10">
        <f>CHOOSE(CONTROL!$C$42, 20.9447, 20.9447) * CHOOSE(CONTROL!$C$21, $C$9, 100%, $E$9)</f>
        <v>20.944700000000001</v>
      </c>
      <c r="I666" s="10">
        <f>CHOOSE(CONTROL!$C$42, 20.7167, 20.7167)* CHOOSE(CONTROL!$C$21, $C$9, 100%, $E$9)</f>
        <v>20.716699999999999</v>
      </c>
      <c r="J666" s="10">
        <f>CHOOSE(CONTROL!$C$42, 20.6765, 20.6765)* CHOOSE(CONTROL!$C$21, $C$9, 100%, $E$9)</f>
        <v>20.676500000000001</v>
      </c>
      <c r="K666" s="10">
        <f>CHOOSE(CONTROL!$C$42, 20.227, 20.227) * CHOOSE(CONTROL!$C$21, $C$9, 100%, $E$9)</f>
        <v>20.227</v>
      </c>
      <c r="L666" s="10">
        <f>CHOOSE(CONTROL!$C$42, 21.5317, 21.5317) * CHOOSE(CONTROL!$C$21, $C$9, 100%, $E$9)</f>
        <v>21.531700000000001</v>
      </c>
      <c r="M666" s="10">
        <f>CHOOSE(CONTROL!$C$42, 20.4419, 20.4419) * CHOOSE(CONTROL!$C$21, $C$9, 100%, $E$9)</f>
        <v>20.4419</v>
      </c>
      <c r="N666" s="10">
        <f>CHOOSE(CONTROL!$C$42, 20.4586, 20.4586) * CHOOSE(CONTROL!$C$21, $C$9, 100%, $E$9)</f>
        <v>20.458600000000001</v>
      </c>
      <c r="O666" s="10">
        <f>CHOOSE(CONTROL!$C$42, 20.7066, 20.7066) * CHOOSE(CONTROL!$C$21, $C$9, 100%, $E$9)</f>
        <v>20.706600000000002</v>
      </c>
      <c r="P666" s="10">
        <f>CHOOSE(CONTROL!$C$42, 20.4816, 20.4816) * CHOOSE(CONTROL!$C$21, $C$9, 100%, $E$9)</f>
        <v>20.4816</v>
      </c>
      <c r="Q666" s="10">
        <f>CHOOSE(CONTROL!$C$42, 21.3019, 21.3019) * CHOOSE(CONTROL!$C$21, $C$9, 100%, $E$9)</f>
        <v>21.3019</v>
      </c>
      <c r="R666" s="10">
        <f>CHOOSE(CONTROL!$C$42, 21.9422, 21.9422) * CHOOSE(CONTROL!$C$21, $C$9, 100%, $E$9)</f>
        <v>21.9422</v>
      </c>
      <c r="S666" s="10">
        <f>CHOOSE(CONTROL!$C$42, 20.0991, 20.0991) * CHOOSE(CONTROL!$C$21, $C$9, 100%, $E$9)</f>
        <v>20.0991</v>
      </c>
      <c r="T6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38">
        <f>(1000*CHOOSE(CONTROL!$C$42, 695, 695)*CHOOSE(CONTROL!$C$42, 0.5599, 0.5599)*CHOOSE(CONTROL!$C$42, 30, 30))/1000000</f>
        <v>11.673914999999997</v>
      </c>
      <c r="V666" s="38">
        <f>(1000*CHOOSE(CONTROL!$C$42, 500, 500)*CHOOSE(CONTROL!$C$42, 0.275, 0.275)*CHOOSE(CONTROL!$C$42, 30, 30))/1000000</f>
        <v>4.125</v>
      </c>
      <c r="W666" s="38">
        <f>(1000*CHOOSE(CONTROL!$C$42, 0.1146, 0.1146)*CHOOSE(CONTROL!$C$42, 121.5, 121.5)*CHOOSE(CONTROL!$C$42, 30, 30))/1000000</f>
        <v>0.417717</v>
      </c>
      <c r="X666" s="38">
        <f>(30*0.1790888*245000/1000000)+(30*0.2374*100000/1000000)</f>
        <v>2.0285026799999999</v>
      </c>
      <c r="Y666" s="38">
        <f>(1000*600*CHOOSE(CONTROL!$C$42, 1.0585, 1.0585)*CHOOSE(CONTROL!$C$42, 30, 30))/1000000</f>
        <v>19.053000000000001</v>
      </c>
      <c r="Z666" s="38"/>
      <c r="AA666" s="10"/>
      <c r="AB666" s="39"/>
      <c r="AC666" s="33">
        <f>(B666*194.205+C666*267.466+D666*133.845+E666*53.484+F666*40+G666*185+H666*0+I666*100+J666*300)/(194.205+267.466+133.845+53.484+0+40+185+100+300)</f>
        <v>20.746761199921508</v>
      </c>
      <c r="AD666" s="27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20.568545323741009</v>
      </c>
    </row>
    <row r="667" spans="1:30" ht="15.75" x14ac:dyDescent="0.25">
      <c r="A667" s="13">
        <v>61575</v>
      </c>
      <c r="B667" s="10">
        <f>CHOOSE(CONTROL!$C$42, 20.3439, 20.3439) * CHOOSE(CONTROL!$C$21, $C$9, 100%, $E$9)</f>
        <v>20.343900000000001</v>
      </c>
      <c r="C667" s="10">
        <f>CHOOSE(CONTROL!$C$42, 20.3519, 20.3519) * CHOOSE(CONTROL!$C$21, $C$9, 100%, $E$9)</f>
        <v>20.351900000000001</v>
      </c>
      <c r="D667" s="10">
        <f>CHOOSE(CONTROL!$C$42, 20.527, 20.527) * CHOOSE(CONTROL!$C$21, $C$9, 100%, $E$9)</f>
        <v>20.527000000000001</v>
      </c>
      <c r="E667" s="10">
        <f>CHOOSE(CONTROL!$C$42, 20.5582, 20.5582) * CHOOSE(CONTROL!$C$21, $C$9, 100%, $E$9)</f>
        <v>20.558199999999999</v>
      </c>
      <c r="F667" s="10">
        <f>CHOOSE(CONTROL!$C$42, 20.2861, 20.2861)*CHOOSE(CONTROL!$C$21, $C$9, 100%, $E$9)</f>
        <v>20.286100000000001</v>
      </c>
      <c r="G667" s="10">
        <f>CHOOSE(CONTROL!$C$42, 20.3031, 20.3031)*CHOOSE(CONTROL!$C$21, $C$9, 100%, $E$9)</f>
        <v>20.303100000000001</v>
      </c>
      <c r="H667" s="10">
        <f>CHOOSE(CONTROL!$C$42, 20.5465, 20.5465) * CHOOSE(CONTROL!$C$21, $C$9, 100%, $E$9)</f>
        <v>20.546500000000002</v>
      </c>
      <c r="I667" s="10">
        <f>CHOOSE(CONTROL!$C$42, 20.3185, 20.3185)* CHOOSE(CONTROL!$C$21, $C$9, 100%, $E$9)</f>
        <v>20.3185</v>
      </c>
      <c r="J667" s="10">
        <f>CHOOSE(CONTROL!$C$42, 20.2787, 20.2787)* CHOOSE(CONTROL!$C$21, $C$9, 100%, $E$9)</f>
        <v>20.278700000000001</v>
      </c>
      <c r="K667" s="10">
        <f>CHOOSE(CONTROL!$C$42, 19.842, 19.842) * CHOOSE(CONTROL!$C$21, $C$9, 100%, $E$9)</f>
        <v>19.841999999999999</v>
      </c>
      <c r="L667" s="10">
        <f>CHOOSE(CONTROL!$C$42, 21.1335, 21.1335) * CHOOSE(CONTROL!$C$21, $C$9, 100%, $E$9)</f>
        <v>21.133500000000002</v>
      </c>
      <c r="M667" s="10">
        <f>CHOOSE(CONTROL!$C$42, 20.0492, 20.0492) * CHOOSE(CONTROL!$C$21, $C$9, 100%, $E$9)</f>
        <v>20.049199999999999</v>
      </c>
      <c r="N667" s="10">
        <f>CHOOSE(CONTROL!$C$42, 20.066, 20.066) * CHOOSE(CONTROL!$C$21, $C$9, 100%, $E$9)</f>
        <v>20.065999999999999</v>
      </c>
      <c r="O667" s="10">
        <f>CHOOSE(CONTROL!$C$42, 20.3136, 20.3136) * CHOOSE(CONTROL!$C$21, $C$9, 100%, $E$9)</f>
        <v>20.313600000000001</v>
      </c>
      <c r="P667" s="10">
        <f>CHOOSE(CONTROL!$C$42, 20.0886, 20.0886) * CHOOSE(CONTROL!$C$21, $C$9, 100%, $E$9)</f>
        <v>20.0886</v>
      </c>
      <c r="Q667" s="10">
        <f>CHOOSE(CONTROL!$C$42, 20.9089, 20.9089) * CHOOSE(CONTROL!$C$21, $C$9, 100%, $E$9)</f>
        <v>20.908899999999999</v>
      </c>
      <c r="R667" s="10">
        <f>CHOOSE(CONTROL!$C$42, 21.5482, 21.5482) * CHOOSE(CONTROL!$C$21, $C$9, 100%, $E$9)</f>
        <v>21.548200000000001</v>
      </c>
      <c r="S667" s="10">
        <f>CHOOSE(CONTROL!$C$42, 19.7136, 19.7136) * CHOOSE(CONTROL!$C$21, $C$9, 100%, $E$9)</f>
        <v>19.7136</v>
      </c>
      <c r="T6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38">
        <f>(1000*CHOOSE(CONTROL!$C$42, 695, 695)*CHOOSE(CONTROL!$C$42, 0.5599, 0.5599)*CHOOSE(CONTROL!$C$42, 31, 31))/1000000</f>
        <v>12.063045499999998</v>
      </c>
      <c r="V667" s="38">
        <f>(1000*CHOOSE(CONTROL!$C$42, 500, 500)*CHOOSE(CONTROL!$C$42, 0.275, 0.275)*CHOOSE(CONTROL!$C$42, 31, 31))/1000000</f>
        <v>4.2625000000000002</v>
      </c>
      <c r="W667" s="38">
        <f>(1000*CHOOSE(CONTROL!$C$42, 0.1146, 0.1146)*CHOOSE(CONTROL!$C$42, 121.5, 121.5)*CHOOSE(CONTROL!$C$42, 31, 31))/1000000</f>
        <v>0.43164089999999994</v>
      </c>
      <c r="X667" s="38">
        <f>(31*0.1790888*245000/1000000)+(31*0.2374*100000/1000000)</f>
        <v>2.0961194359999999</v>
      </c>
      <c r="Y667" s="38">
        <f>(1000*600*CHOOSE(CONTROL!$C$42, 1.0585, 1.0585)*CHOOSE(CONTROL!$C$42, 31, 31))/1000000</f>
        <v>19.688099999999999</v>
      </c>
      <c r="Z667" s="38"/>
      <c r="AA667" s="10"/>
      <c r="AB667" s="39"/>
      <c r="AC667" s="33">
        <f>(B667*194.205+C667*267.466+D667*133.845+E667*53.484+F667*40+G667*185+H667*0+I667*100+J667*300)/(194.205+267.466+133.845+53.484+0+40+185+100+300)</f>
        <v>20.34872603508634</v>
      </c>
      <c r="AD667" s="27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20.175671942446044</v>
      </c>
    </row>
    <row r="668" spans="1:30" ht="15.75" x14ac:dyDescent="0.25">
      <c r="A668" s="13">
        <v>61606</v>
      </c>
      <c r="B668" s="10">
        <f>CHOOSE(CONTROL!$C$42, 19.3383, 19.3383) * CHOOSE(CONTROL!$C$21, $C$9, 100%, $E$9)</f>
        <v>19.3383</v>
      </c>
      <c r="C668" s="10">
        <f>CHOOSE(CONTROL!$C$42, 19.3463, 19.3463) * CHOOSE(CONTROL!$C$21, $C$9, 100%, $E$9)</f>
        <v>19.346299999999999</v>
      </c>
      <c r="D668" s="10">
        <f>CHOOSE(CONTROL!$C$42, 19.5214, 19.5214) * CHOOSE(CONTROL!$C$21, $C$9, 100%, $E$9)</f>
        <v>19.5214</v>
      </c>
      <c r="E668" s="10">
        <f>CHOOSE(CONTROL!$C$42, 19.5526, 19.5526) * CHOOSE(CONTROL!$C$21, $C$9, 100%, $E$9)</f>
        <v>19.552600000000002</v>
      </c>
      <c r="F668" s="10">
        <f>CHOOSE(CONTROL!$C$42, 19.2804, 19.2804)*CHOOSE(CONTROL!$C$21, $C$9, 100%, $E$9)</f>
        <v>19.2804</v>
      </c>
      <c r="G668" s="10">
        <f>CHOOSE(CONTROL!$C$42, 19.2974, 19.2974)*CHOOSE(CONTROL!$C$21, $C$9, 100%, $E$9)</f>
        <v>19.2974</v>
      </c>
      <c r="H668" s="10">
        <f>CHOOSE(CONTROL!$C$42, 19.541, 19.541) * CHOOSE(CONTROL!$C$21, $C$9, 100%, $E$9)</f>
        <v>19.541</v>
      </c>
      <c r="I668" s="10">
        <f>CHOOSE(CONTROL!$C$42, 19.3129, 19.3129)* CHOOSE(CONTROL!$C$21, $C$9, 100%, $E$9)</f>
        <v>19.312899999999999</v>
      </c>
      <c r="J668" s="10">
        <f>CHOOSE(CONTROL!$C$42, 19.273, 19.273)* CHOOSE(CONTROL!$C$21, $C$9, 100%, $E$9)</f>
        <v>19.273</v>
      </c>
      <c r="K668" s="10">
        <f>CHOOSE(CONTROL!$C$42, 18.8676, 18.8676) * CHOOSE(CONTROL!$C$21, $C$9, 100%, $E$9)</f>
        <v>18.867599999999999</v>
      </c>
      <c r="L668" s="10">
        <f>CHOOSE(CONTROL!$C$42, 20.128, 20.128) * CHOOSE(CONTROL!$C$21, $C$9, 100%, $E$9)</f>
        <v>20.128</v>
      </c>
      <c r="M668" s="10">
        <f>CHOOSE(CONTROL!$C$42, 19.0566, 19.0566) * CHOOSE(CONTROL!$C$21, $C$9, 100%, $E$9)</f>
        <v>19.0566</v>
      </c>
      <c r="N668" s="10">
        <f>CHOOSE(CONTROL!$C$42, 19.0733, 19.0733) * CHOOSE(CONTROL!$C$21, $C$9, 100%, $E$9)</f>
        <v>19.0733</v>
      </c>
      <c r="O668" s="10">
        <f>CHOOSE(CONTROL!$C$42, 19.321, 19.321) * CHOOSE(CONTROL!$C$21, $C$9, 100%, $E$9)</f>
        <v>19.321000000000002</v>
      </c>
      <c r="P668" s="10">
        <f>CHOOSE(CONTROL!$C$42, 19.096, 19.096) * CHOOSE(CONTROL!$C$21, $C$9, 100%, $E$9)</f>
        <v>19.096</v>
      </c>
      <c r="Q668" s="10">
        <f>CHOOSE(CONTROL!$C$42, 19.9163, 19.9163) * CHOOSE(CONTROL!$C$21, $C$9, 100%, $E$9)</f>
        <v>19.9163</v>
      </c>
      <c r="R668" s="10">
        <f>CHOOSE(CONTROL!$C$42, 20.5531, 20.5531) * CHOOSE(CONTROL!$C$21, $C$9, 100%, $E$9)</f>
        <v>20.553100000000001</v>
      </c>
      <c r="S668" s="10">
        <f>CHOOSE(CONTROL!$C$42, 18.7399, 18.7399) * CHOOSE(CONTROL!$C$21, $C$9, 100%, $E$9)</f>
        <v>18.739899999999999</v>
      </c>
      <c r="T6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38">
        <f>(1000*CHOOSE(CONTROL!$C$42, 695, 695)*CHOOSE(CONTROL!$C$42, 0.5599, 0.5599)*CHOOSE(CONTROL!$C$42, 31, 31))/1000000</f>
        <v>12.063045499999998</v>
      </c>
      <c r="V668" s="38">
        <f>(1000*CHOOSE(CONTROL!$C$42, 500, 500)*CHOOSE(CONTROL!$C$42, 0.275, 0.275)*CHOOSE(CONTROL!$C$42, 31, 31))/1000000</f>
        <v>4.2625000000000002</v>
      </c>
      <c r="W668" s="38">
        <f>(1000*CHOOSE(CONTROL!$C$42, 0.1146, 0.1146)*CHOOSE(CONTROL!$C$42, 121.5, 121.5)*CHOOSE(CONTROL!$C$42, 31, 31))/1000000</f>
        <v>0.43164089999999994</v>
      </c>
      <c r="X668" s="38">
        <f>(31*0.1790888*245000/1000000)+(31*0.2374*100000/1000000)</f>
        <v>2.0961194359999999</v>
      </c>
      <c r="Y668" s="38">
        <f>(1000*600*CHOOSE(CONTROL!$C$42, 1.0585, 1.0585)*CHOOSE(CONTROL!$C$42, 31, 31))/1000000</f>
        <v>19.688099999999999</v>
      </c>
      <c r="Z668" s="38"/>
      <c r="AA668" s="10"/>
      <c r="AB668" s="39"/>
      <c r="AC668" s="33">
        <f>(B668*194.205+C668*267.466+D668*133.845+E668*53.484+F668*40+G668*185+H668*0+I668*100+J668*300)/(194.205+267.466+133.845+53.484+0+40+185+100+300)</f>
        <v>19.343084826295136</v>
      </c>
      <c r="AD668" s="27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19.183066187050361</v>
      </c>
    </row>
    <row r="669" spans="1:30" ht="15.75" x14ac:dyDescent="0.25">
      <c r="A669" s="13">
        <v>61636</v>
      </c>
      <c r="B669" s="10">
        <f>CHOOSE(CONTROL!$C$42, 18.1097, 18.1097) * CHOOSE(CONTROL!$C$21, $C$9, 100%, $E$9)</f>
        <v>18.1097</v>
      </c>
      <c r="C669" s="10">
        <f>CHOOSE(CONTROL!$C$42, 18.1177, 18.1177) * CHOOSE(CONTROL!$C$21, $C$9, 100%, $E$9)</f>
        <v>18.117699999999999</v>
      </c>
      <c r="D669" s="10">
        <f>CHOOSE(CONTROL!$C$42, 18.2928, 18.2928) * CHOOSE(CONTROL!$C$21, $C$9, 100%, $E$9)</f>
        <v>18.2928</v>
      </c>
      <c r="E669" s="10">
        <f>CHOOSE(CONTROL!$C$42, 18.324, 18.324) * CHOOSE(CONTROL!$C$21, $C$9, 100%, $E$9)</f>
        <v>18.324000000000002</v>
      </c>
      <c r="F669" s="10">
        <f>CHOOSE(CONTROL!$C$42, 18.0515, 18.0515)*CHOOSE(CONTROL!$C$21, $C$9, 100%, $E$9)</f>
        <v>18.051500000000001</v>
      </c>
      <c r="G669" s="10">
        <f>CHOOSE(CONTROL!$C$42, 18.0684, 18.0684)*CHOOSE(CONTROL!$C$21, $C$9, 100%, $E$9)</f>
        <v>18.0684</v>
      </c>
      <c r="H669" s="10">
        <f>CHOOSE(CONTROL!$C$42, 18.3123, 18.3123) * CHOOSE(CONTROL!$C$21, $C$9, 100%, $E$9)</f>
        <v>18.3123</v>
      </c>
      <c r="I669" s="10">
        <f>CHOOSE(CONTROL!$C$42, 18.0843, 18.0843)* CHOOSE(CONTROL!$C$21, $C$9, 100%, $E$9)</f>
        <v>18.084299999999999</v>
      </c>
      <c r="J669" s="10">
        <f>CHOOSE(CONTROL!$C$42, 18.0441, 18.0441)* CHOOSE(CONTROL!$C$21, $C$9, 100%, $E$9)</f>
        <v>18.0441</v>
      </c>
      <c r="K669" s="10">
        <f>CHOOSE(CONTROL!$C$42, 17.6766, 17.6766) * CHOOSE(CONTROL!$C$21, $C$9, 100%, $E$9)</f>
        <v>17.676600000000001</v>
      </c>
      <c r="L669" s="10">
        <f>CHOOSE(CONTROL!$C$42, 18.8993, 18.8993) * CHOOSE(CONTROL!$C$21, $C$9, 100%, $E$9)</f>
        <v>18.8993</v>
      </c>
      <c r="M669" s="10">
        <f>CHOOSE(CONTROL!$C$42, 17.8435, 17.8435) * CHOOSE(CONTROL!$C$21, $C$9, 100%, $E$9)</f>
        <v>17.843499999999999</v>
      </c>
      <c r="N669" s="10">
        <f>CHOOSE(CONTROL!$C$42, 17.8602, 17.8602) * CHOOSE(CONTROL!$C$21, $C$9, 100%, $E$9)</f>
        <v>17.860199999999999</v>
      </c>
      <c r="O669" s="10">
        <f>CHOOSE(CONTROL!$C$42, 18.1083, 18.1083) * CHOOSE(CONTROL!$C$21, $C$9, 100%, $E$9)</f>
        <v>18.1083</v>
      </c>
      <c r="P669" s="10">
        <f>CHOOSE(CONTROL!$C$42, 17.8833, 17.8833) * CHOOSE(CONTROL!$C$21, $C$9, 100%, $E$9)</f>
        <v>17.883299999999998</v>
      </c>
      <c r="Q669" s="10">
        <f>CHOOSE(CONTROL!$C$42, 18.7036, 18.7036) * CHOOSE(CONTROL!$C$21, $C$9, 100%, $E$9)</f>
        <v>18.703600000000002</v>
      </c>
      <c r="R669" s="10">
        <f>CHOOSE(CONTROL!$C$42, 19.3374, 19.3374) * CHOOSE(CONTROL!$C$21, $C$9, 100%, $E$9)</f>
        <v>19.337399999999999</v>
      </c>
      <c r="S669" s="10">
        <f>CHOOSE(CONTROL!$C$42, 17.5502, 17.5502) * CHOOSE(CONTROL!$C$21, $C$9, 100%, $E$9)</f>
        <v>17.5502</v>
      </c>
      <c r="T6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38">
        <f>(1000*CHOOSE(CONTROL!$C$42, 695, 695)*CHOOSE(CONTROL!$C$42, 0.5599, 0.5599)*CHOOSE(CONTROL!$C$42, 30, 30))/1000000</f>
        <v>11.673914999999997</v>
      </c>
      <c r="V669" s="38">
        <f>(1000*CHOOSE(CONTROL!$C$42, 500, 500)*CHOOSE(CONTROL!$C$42, 0.275, 0.275)*CHOOSE(CONTROL!$C$42, 30, 30))/1000000</f>
        <v>4.125</v>
      </c>
      <c r="W669" s="38">
        <f>(1000*CHOOSE(CONTROL!$C$42, 0.1146, 0.1146)*CHOOSE(CONTROL!$C$42, 121.5, 121.5)*CHOOSE(CONTROL!$C$42, 30, 30))/1000000</f>
        <v>0.417717</v>
      </c>
      <c r="X669" s="38">
        <f>(30*0.1790888*245000/1000000)+(30*0.2374*100000/1000000)</f>
        <v>2.0285026799999999</v>
      </c>
      <c r="Y669" s="38">
        <f>(1000*600*CHOOSE(CONTROL!$C$42, 1.0585, 1.0585)*CHOOSE(CONTROL!$C$42, 30, 30))/1000000</f>
        <v>19.053000000000001</v>
      </c>
      <c r="Z669" s="38"/>
      <c r="AA669" s="10"/>
      <c r="AB669" s="39"/>
      <c r="AC669" s="33">
        <f>(B669*194.205+C669*267.466+D669*133.845+E669*53.484+F669*40+G669*185+H669*0+I669*100+J669*300)/(194.205+267.466+133.845+53.484+0+40+185+100+300)</f>
        <v>18.114346678728417</v>
      </c>
      <c r="AD669" s="27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17.970205035971222</v>
      </c>
    </row>
    <row r="670" spans="1:30" ht="15.75" x14ac:dyDescent="0.25">
      <c r="A670" s="13">
        <v>61667</v>
      </c>
      <c r="B670" s="10">
        <f>CHOOSE(CONTROL!$C$42, 17.7396, 17.7396) * CHOOSE(CONTROL!$C$21, $C$9, 100%, $E$9)</f>
        <v>17.739599999999999</v>
      </c>
      <c r="C670" s="10">
        <f>CHOOSE(CONTROL!$C$42, 17.7449, 17.7449) * CHOOSE(CONTROL!$C$21, $C$9, 100%, $E$9)</f>
        <v>17.744900000000001</v>
      </c>
      <c r="D670" s="10">
        <f>CHOOSE(CONTROL!$C$42, 17.9249, 17.9249) * CHOOSE(CONTROL!$C$21, $C$9, 100%, $E$9)</f>
        <v>17.924900000000001</v>
      </c>
      <c r="E670" s="10">
        <f>CHOOSE(CONTROL!$C$42, 17.9538, 17.9538) * CHOOSE(CONTROL!$C$21, $C$9, 100%, $E$9)</f>
        <v>17.953800000000001</v>
      </c>
      <c r="F670" s="10">
        <f>CHOOSE(CONTROL!$C$42, 17.6834, 17.6834)*CHOOSE(CONTROL!$C$21, $C$9, 100%, $E$9)</f>
        <v>17.683399999999999</v>
      </c>
      <c r="G670" s="10">
        <f>CHOOSE(CONTROL!$C$42, 17.6999, 17.6999)*CHOOSE(CONTROL!$C$21, $C$9, 100%, $E$9)</f>
        <v>17.6999</v>
      </c>
      <c r="H670" s="10">
        <f>CHOOSE(CONTROL!$C$42, 17.944, 17.944) * CHOOSE(CONTROL!$C$21, $C$9, 100%, $E$9)</f>
        <v>17.943999999999999</v>
      </c>
      <c r="I670" s="10">
        <f>CHOOSE(CONTROL!$C$42, 17.7159, 17.7159)* CHOOSE(CONTROL!$C$21, $C$9, 100%, $E$9)</f>
        <v>17.715900000000001</v>
      </c>
      <c r="J670" s="10">
        <f>CHOOSE(CONTROL!$C$42, 17.676, 17.676)* CHOOSE(CONTROL!$C$21, $C$9, 100%, $E$9)</f>
        <v>17.675999999999998</v>
      </c>
      <c r="K670" s="10">
        <f>CHOOSE(CONTROL!$C$42, 17.3203, 17.3203) * CHOOSE(CONTROL!$C$21, $C$9, 100%, $E$9)</f>
        <v>17.3203</v>
      </c>
      <c r="L670" s="10">
        <f>CHOOSE(CONTROL!$C$42, 18.531, 18.531) * CHOOSE(CONTROL!$C$21, $C$9, 100%, $E$9)</f>
        <v>18.530999999999999</v>
      </c>
      <c r="M670" s="10">
        <f>CHOOSE(CONTROL!$C$42, 17.4802, 17.4802) * CHOOSE(CONTROL!$C$21, $C$9, 100%, $E$9)</f>
        <v>17.4802</v>
      </c>
      <c r="N670" s="10">
        <f>CHOOSE(CONTROL!$C$42, 17.4966, 17.4966) * CHOOSE(CONTROL!$C$21, $C$9, 100%, $E$9)</f>
        <v>17.496600000000001</v>
      </c>
      <c r="O670" s="10">
        <f>CHOOSE(CONTROL!$C$42, 17.7447, 17.7447) * CHOOSE(CONTROL!$C$21, $C$9, 100%, $E$9)</f>
        <v>17.744700000000002</v>
      </c>
      <c r="P670" s="10">
        <f>CHOOSE(CONTROL!$C$42, 17.5197, 17.5197) * CHOOSE(CONTROL!$C$21, $C$9, 100%, $E$9)</f>
        <v>17.5197</v>
      </c>
      <c r="Q670" s="10">
        <f>CHOOSE(CONTROL!$C$42, 18.34, 18.34) * CHOOSE(CONTROL!$C$21, $C$9, 100%, $E$9)</f>
        <v>18.34</v>
      </c>
      <c r="R670" s="10">
        <f>CHOOSE(CONTROL!$C$42, 18.9729, 18.9729) * CHOOSE(CONTROL!$C$21, $C$9, 100%, $E$9)</f>
        <v>18.972899999999999</v>
      </c>
      <c r="S670" s="10">
        <f>CHOOSE(CONTROL!$C$42, 17.1935, 17.1935) * CHOOSE(CONTROL!$C$21, $C$9, 100%, $E$9)</f>
        <v>17.1935</v>
      </c>
      <c r="T6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38">
        <f>(1000*CHOOSE(CONTROL!$C$42, 695, 695)*CHOOSE(CONTROL!$C$42, 0.5599, 0.5599)*CHOOSE(CONTROL!$C$42, 31, 31))/1000000</f>
        <v>12.063045499999998</v>
      </c>
      <c r="V670" s="38">
        <f>(1000*CHOOSE(CONTROL!$C$42, 500, 500)*CHOOSE(CONTROL!$C$42, 0.275, 0.275)*CHOOSE(CONTROL!$C$42, 31, 31))/1000000</f>
        <v>4.2625000000000002</v>
      </c>
      <c r="W670" s="38">
        <f>(1000*CHOOSE(CONTROL!$C$42, 0.1146, 0.1146)*CHOOSE(CONTROL!$C$42, 121.5, 121.5)*CHOOSE(CONTROL!$C$42, 31, 31))/1000000</f>
        <v>0.43164089999999994</v>
      </c>
      <c r="X670" s="38">
        <f>(31*0.1790888*245000/1000000)+(31*0.2374*100000/1000000)</f>
        <v>2.0961194359999999</v>
      </c>
      <c r="Y670" s="38">
        <f>(1000*600*CHOOSE(CONTROL!$C$42, 1.0585, 1.0585)*CHOOSE(CONTROL!$C$42, 31, 31))/1000000</f>
        <v>19.688099999999999</v>
      </c>
      <c r="Z670" s="38"/>
      <c r="AA670" s="10"/>
      <c r="AB670" s="39"/>
      <c r="AC670" s="33">
        <f>(B670*131.881+C670*277.167+D670*79.08+E670*125.872+F670*40+G670*185+H670*0+I670*100+J670*300)/(131.881+277.167+79.08+125.872+0+40+185+100+300)</f>
        <v>17.749318960048424</v>
      </c>
      <c r="AD670" s="27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17.606708633093525</v>
      </c>
    </row>
    <row r="671" spans="1:30" ht="15.75" x14ac:dyDescent="0.25">
      <c r="A671" s="13">
        <v>61697</v>
      </c>
      <c r="B671" s="10">
        <f>CHOOSE(CONTROL!$C$42, 18.2069, 18.2069) * CHOOSE(CONTROL!$C$21, $C$9, 100%, $E$9)</f>
        <v>18.206900000000001</v>
      </c>
      <c r="C671" s="10">
        <f>CHOOSE(CONTROL!$C$42, 18.212, 18.212) * CHOOSE(CONTROL!$C$21, $C$9, 100%, $E$9)</f>
        <v>18.212</v>
      </c>
      <c r="D671" s="10">
        <f>CHOOSE(CONTROL!$C$42, 18.2367, 18.2367) * CHOOSE(CONTROL!$C$21, $C$9, 100%, $E$9)</f>
        <v>18.236699999999999</v>
      </c>
      <c r="E671" s="10">
        <f>CHOOSE(CONTROL!$C$42, 18.2705, 18.2705) * CHOOSE(CONTROL!$C$21, $C$9, 100%, $E$9)</f>
        <v>18.270499999999998</v>
      </c>
      <c r="F671" s="10">
        <f>CHOOSE(CONTROL!$C$42, 18.1726, 18.1726)*CHOOSE(CONTROL!$C$21, $C$9, 100%, $E$9)</f>
        <v>18.172599999999999</v>
      </c>
      <c r="G671" s="10">
        <f>CHOOSE(CONTROL!$C$42, 18.1894, 18.1894)*CHOOSE(CONTROL!$C$21, $C$9, 100%, $E$9)</f>
        <v>18.189399999999999</v>
      </c>
      <c r="H671" s="10">
        <f>CHOOSE(CONTROL!$C$42, 18.2594, 18.2594) * CHOOSE(CONTROL!$C$21, $C$9, 100%, $E$9)</f>
        <v>18.259399999999999</v>
      </c>
      <c r="I671" s="10">
        <f>CHOOSE(CONTROL!$C$42, 18.2064, 18.2064)* CHOOSE(CONTROL!$C$21, $C$9, 100%, $E$9)</f>
        <v>18.206399999999999</v>
      </c>
      <c r="J671" s="10">
        <f>CHOOSE(CONTROL!$C$42, 18.1652, 18.1652)* CHOOSE(CONTROL!$C$21, $C$9, 100%, $E$9)</f>
        <v>18.165199999999999</v>
      </c>
      <c r="K671" s="10">
        <f>CHOOSE(CONTROL!$C$42, 17.7973, 17.7973) * CHOOSE(CONTROL!$C$21, $C$9, 100%, $E$9)</f>
        <v>17.7973</v>
      </c>
      <c r="L671" s="10">
        <f>CHOOSE(CONTROL!$C$42, 18.8464, 18.8464) * CHOOSE(CONTROL!$C$21, $C$9, 100%, $E$9)</f>
        <v>18.846399999999999</v>
      </c>
      <c r="M671" s="10">
        <f>CHOOSE(CONTROL!$C$42, 17.9631, 17.9631) * CHOOSE(CONTROL!$C$21, $C$9, 100%, $E$9)</f>
        <v>17.963100000000001</v>
      </c>
      <c r="N671" s="10">
        <f>CHOOSE(CONTROL!$C$42, 17.9796, 17.9796) * CHOOSE(CONTROL!$C$21, $C$9, 100%, $E$9)</f>
        <v>17.979600000000001</v>
      </c>
      <c r="O671" s="10">
        <f>CHOOSE(CONTROL!$C$42, 18.0561, 18.0561) * CHOOSE(CONTROL!$C$21, $C$9, 100%, $E$9)</f>
        <v>18.056100000000001</v>
      </c>
      <c r="P671" s="10">
        <f>CHOOSE(CONTROL!$C$42, 18.0038, 18.0038) * CHOOSE(CONTROL!$C$21, $C$9, 100%, $E$9)</f>
        <v>18.003799999999998</v>
      </c>
      <c r="Q671" s="10">
        <f>CHOOSE(CONTROL!$C$42, 18.6514, 18.6514) * CHOOSE(CONTROL!$C$21, $C$9, 100%, $E$9)</f>
        <v>18.651399999999999</v>
      </c>
      <c r="R671" s="10">
        <f>CHOOSE(CONTROL!$C$42, 19.285, 19.285) * CHOOSE(CONTROL!$C$21, $C$9, 100%, $E$9)</f>
        <v>19.285</v>
      </c>
      <c r="S671" s="10">
        <f>CHOOSE(CONTROL!$C$42, 17.6464, 17.6464) * CHOOSE(CONTROL!$C$21, $C$9, 100%, $E$9)</f>
        <v>17.6464</v>
      </c>
      <c r="T6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38">
        <f>(1000*CHOOSE(CONTROL!$C$42, 695, 695)*CHOOSE(CONTROL!$C$42, 0.5599, 0.5599)*CHOOSE(CONTROL!$C$42, 30, 30))/1000000</f>
        <v>11.673914999999997</v>
      </c>
      <c r="V671" s="38">
        <f>(1000*CHOOSE(CONTROL!$C$42, 500, 500)*CHOOSE(CONTROL!$C$42, 0.275, 0.275)*CHOOSE(CONTROL!$C$42, 30, 30))/1000000</f>
        <v>4.125</v>
      </c>
      <c r="W671" s="38">
        <f>(1000*CHOOSE(CONTROL!$C$42, 0.1146, 0.1146)*CHOOSE(CONTROL!$C$42, 121.5, 121.5)*CHOOSE(CONTROL!$C$42, 30, 30))/1000000</f>
        <v>0.417717</v>
      </c>
      <c r="X671" s="38">
        <f>(30*0.1790888*100000/1000000)+(30*0.2374*100000/1000000)</f>
        <v>1.2494664</v>
      </c>
      <c r="Y671" s="38">
        <f>(1000*600*CHOOSE(CONTROL!$C$42, 1.0585, 1.0585)*CHOOSE(CONTROL!$C$42, 30, 30))/1000000</f>
        <v>19.053000000000001</v>
      </c>
      <c r="Z671" s="38"/>
      <c r="AA671" s="10"/>
      <c r="AB671" s="39"/>
      <c r="AC671" s="33">
        <f>(B671*122.58+C671*297.941+D671*89.177+E671*40.302+F671*40+G671*160+H671*0+I671*100+J671*300)/(122.58+297.941+89.177+40.302+0+40+160+100+300)</f>
        <v>18.198211461652175</v>
      </c>
      <c r="AD671" s="27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18.012056834532377</v>
      </c>
    </row>
    <row r="672" spans="1:30" ht="15.75" x14ac:dyDescent="0.25">
      <c r="A672" s="13">
        <v>61728</v>
      </c>
      <c r="B672" s="10">
        <f>CHOOSE(CONTROL!$C$42, 19.4494, 19.4494) * CHOOSE(CONTROL!$C$21, $C$9, 100%, $E$9)</f>
        <v>19.449400000000001</v>
      </c>
      <c r="C672" s="10">
        <f>CHOOSE(CONTROL!$C$42, 19.4545, 19.4545) * CHOOSE(CONTROL!$C$21, $C$9, 100%, $E$9)</f>
        <v>19.454499999999999</v>
      </c>
      <c r="D672" s="10">
        <f>CHOOSE(CONTROL!$C$42, 19.4792, 19.4792) * CHOOSE(CONTROL!$C$21, $C$9, 100%, $E$9)</f>
        <v>19.479199999999999</v>
      </c>
      <c r="E672" s="10">
        <f>CHOOSE(CONTROL!$C$42, 19.513, 19.513) * CHOOSE(CONTROL!$C$21, $C$9, 100%, $E$9)</f>
        <v>19.513000000000002</v>
      </c>
      <c r="F672" s="10">
        <f>CHOOSE(CONTROL!$C$42, 19.4168, 19.4168)*CHOOSE(CONTROL!$C$21, $C$9, 100%, $E$9)</f>
        <v>19.416799999999999</v>
      </c>
      <c r="G672" s="10">
        <f>CHOOSE(CONTROL!$C$42, 19.4341, 19.4341)*CHOOSE(CONTROL!$C$21, $C$9, 100%, $E$9)</f>
        <v>19.434100000000001</v>
      </c>
      <c r="H672" s="10">
        <f>CHOOSE(CONTROL!$C$42, 19.5019, 19.5019) * CHOOSE(CONTROL!$C$21, $C$9, 100%, $E$9)</f>
        <v>19.501899999999999</v>
      </c>
      <c r="I672" s="10">
        <f>CHOOSE(CONTROL!$C$42, 19.4489, 19.4489)* CHOOSE(CONTROL!$C$21, $C$9, 100%, $E$9)</f>
        <v>19.448899999999998</v>
      </c>
      <c r="J672" s="10">
        <f>CHOOSE(CONTROL!$C$42, 19.4094, 19.4094)* CHOOSE(CONTROL!$C$21, $C$9, 100%, $E$9)</f>
        <v>19.409400000000002</v>
      </c>
      <c r="K672" s="10">
        <f>CHOOSE(CONTROL!$C$42, 19.0048, 19.0048) * CHOOSE(CONTROL!$C$21, $C$9, 100%, $E$9)</f>
        <v>19.004799999999999</v>
      </c>
      <c r="L672" s="10">
        <f>CHOOSE(CONTROL!$C$42, 20.0889, 20.0889) * CHOOSE(CONTROL!$C$21, $C$9, 100%, $E$9)</f>
        <v>20.088899999999999</v>
      </c>
      <c r="M672" s="10">
        <f>CHOOSE(CONTROL!$C$42, 19.1912, 19.1912) * CHOOSE(CONTROL!$C$21, $C$9, 100%, $E$9)</f>
        <v>19.191199999999998</v>
      </c>
      <c r="N672" s="10">
        <f>CHOOSE(CONTROL!$C$42, 19.2082, 19.2082) * CHOOSE(CONTROL!$C$21, $C$9, 100%, $E$9)</f>
        <v>19.208200000000001</v>
      </c>
      <c r="O672" s="10">
        <f>CHOOSE(CONTROL!$C$42, 19.2824, 19.2824) * CHOOSE(CONTROL!$C$21, $C$9, 100%, $E$9)</f>
        <v>19.282399999999999</v>
      </c>
      <c r="P672" s="10">
        <f>CHOOSE(CONTROL!$C$42, 19.2302, 19.2302) * CHOOSE(CONTROL!$C$21, $C$9, 100%, $E$9)</f>
        <v>19.2302</v>
      </c>
      <c r="Q672" s="10">
        <f>CHOOSE(CONTROL!$C$42, 19.8777, 19.8777) * CHOOSE(CONTROL!$C$21, $C$9, 100%, $E$9)</f>
        <v>19.877700000000001</v>
      </c>
      <c r="R672" s="10">
        <f>CHOOSE(CONTROL!$C$42, 20.5144, 20.5144) * CHOOSE(CONTROL!$C$21, $C$9, 100%, $E$9)</f>
        <v>20.514399999999998</v>
      </c>
      <c r="S672" s="10">
        <f>CHOOSE(CONTROL!$C$42, 18.8495, 18.8495) * CHOOSE(CONTROL!$C$21, $C$9, 100%, $E$9)</f>
        <v>18.849499999999999</v>
      </c>
      <c r="T6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38">
        <f>(1000*CHOOSE(CONTROL!$C$42, 695, 695)*CHOOSE(CONTROL!$C$42, 0.5599, 0.5599)*CHOOSE(CONTROL!$C$42, 31, 31))/1000000</f>
        <v>12.063045499999998</v>
      </c>
      <c r="V672" s="38">
        <f>(1000*CHOOSE(CONTROL!$C$42, 500, 500)*CHOOSE(CONTROL!$C$42, 0.275, 0.275)*CHOOSE(CONTROL!$C$42, 31, 31))/1000000</f>
        <v>4.2625000000000002</v>
      </c>
      <c r="W672" s="38">
        <f>(1000*CHOOSE(CONTROL!$C$42, 0.1146, 0.1146)*CHOOSE(CONTROL!$C$42, 121.5, 121.5)*CHOOSE(CONTROL!$C$42, 31, 31))/1000000</f>
        <v>0.43164089999999994</v>
      </c>
      <c r="X672" s="38">
        <f>(31*0.1790888*100000/1000000)+(31*0.2374*100000/1000000)</f>
        <v>1.2911152800000001</v>
      </c>
      <c r="Y672" s="38">
        <f>(1000*600*CHOOSE(CONTROL!$C$42, 1.0585, 1.0585)*CHOOSE(CONTROL!$C$42, 31, 31))/1000000</f>
        <v>19.688099999999999</v>
      </c>
      <c r="Z672" s="38"/>
      <c r="AA672" s="10"/>
      <c r="AB672" s="39"/>
      <c r="AC672" s="33">
        <f>(B672*122.58+C672*297.941+D672*89.177+E672*40.302+F672*40+G672*160+H672*0+I672*100+J672*300)/(122.58+297.941+89.177+40.302+0+40+160+100+300)</f>
        <v>19.44152015730435</v>
      </c>
      <c r="AD672" s="27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19.239125179856117</v>
      </c>
    </row>
    <row r="673" spans="1:30" ht="15.75" x14ac:dyDescent="0.25">
      <c r="A673" s="13">
        <v>61759</v>
      </c>
      <c r="B673" s="10">
        <f>CHOOSE(CONTROL!$C$42, 20.7632, 20.7632) * CHOOSE(CONTROL!$C$21, $C$9, 100%, $E$9)</f>
        <v>20.763200000000001</v>
      </c>
      <c r="C673" s="10">
        <f>CHOOSE(CONTROL!$C$42, 20.7683, 20.7683) * CHOOSE(CONTROL!$C$21, $C$9, 100%, $E$9)</f>
        <v>20.7683</v>
      </c>
      <c r="D673" s="10">
        <f>CHOOSE(CONTROL!$C$42, 20.8033, 20.8033) * CHOOSE(CONTROL!$C$21, $C$9, 100%, $E$9)</f>
        <v>20.8033</v>
      </c>
      <c r="E673" s="10">
        <f>CHOOSE(CONTROL!$C$42, 20.8371, 20.8371) * CHOOSE(CONTROL!$C$21, $C$9, 100%, $E$9)</f>
        <v>20.8371</v>
      </c>
      <c r="F673" s="10">
        <f>CHOOSE(CONTROL!$C$42, 20.7445, 20.7445)*CHOOSE(CONTROL!$C$21, $C$9, 100%, $E$9)</f>
        <v>20.744499999999999</v>
      </c>
      <c r="G673" s="10">
        <f>CHOOSE(CONTROL!$C$42, 20.7634, 20.7634)*CHOOSE(CONTROL!$C$21, $C$9, 100%, $E$9)</f>
        <v>20.763400000000001</v>
      </c>
      <c r="H673" s="10">
        <f>CHOOSE(CONTROL!$C$42, 20.826, 20.826) * CHOOSE(CONTROL!$C$21, $C$9, 100%, $E$9)</f>
        <v>20.826000000000001</v>
      </c>
      <c r="I673" s="10">
        <f>CHOOSE(CONTROL!$C$42, 20.7705, 20.7705)* CHOOSE(CONTROL!$C$21, $C$9, 100%, $E$9)</f>
        <v>20.770499999999998</v>
      </c>
      <c r="J673" s="10">
        <f>CHOOSE(CONTROL!$C$42, 20.7371, 20.7371)* CHOOSE(CONTROL!$C$21, $C$9, 100%, $E$9)</f>
        <v>20.737100000000002</v>
      </c>
      <c r="K673" s="10">
        <f>CHOOSE(CONTROL!$C$42, 20.2984, 20.2984) * CHOOSE(CONTROL!$C$21, $C$9, 100%, $E$9)</f>
        <v>20.298400000000001</v>
      </c>
      <c r="L673" s="10">
        <f>CHOOSE(CONTROL!$C$42, 21.413, 21.413) * CHOOSE(CONTROL!$C$21, $C$9, 100%, $E$9)</f>
        <v>21.413</v>
      </c>
      <c r="M673" s="10">
        <f>CHOOSE(CONTROL!$C$42, 20.5017, 20.5017) * CHOOSE(CONTROL!$C$21, $C$9, 100%, $E$9)</f>
        <v>20.5017</v>
      </c>
      <c r="N673" s="10">
        <f>CHOOSE(CONTROL!$C$42, 20.5203, 20.5203) * CHOOSE(CONTROL!$C$21, $C$9, 100%, $E$9)</f>
        <v>20.520299999999999</v>
      </c>
      <c r="O673" s="10">
        <f>CHOOSE(CONTROL!$C$42, 20.5895, 20.5895) * CHOOSE(CONTROL!$C$21, $C$9, 100%, $E$9)</f>
        <v>20.589500000000001</v>
      </c>
      <c r="P673" s="10">
        <f>CHOOSE(CONTROL!$C$42, 20.5347, 20.5347) * CHOOSE(CONTROL!$C$21, $C$9, 100%, $E$9)</f>
        <v>20.534700000000001</v>
      </c>
      <c r="Q673" s="10">
        <f>CHOOSE(CONTROL!$C$42, 21.1848, 21.1848) * CHOOSE(CONTROL!$C$21, $C$9, 100%, $E$9)</f>
        <v>21.184799999999999</v>
      </c>
      <c r="R673" s="10">
        <f>CHOOSE(CONTROL!$C$42, 21.8247, 21.8247) * CHOOSE(CONTROL!$C$21, $C$9, 100%, $E$9)</f>
        <v>21.8247</v>
      </c>
      <c r="S673" s="10">
        <f>CHOOSE(CONTROL!$C$42, 20.1217, 20.1217) * CHOOSE(CONTROL!$C$21, $C$9, 100%, $E$9)</f>
        <v>20.121700000000001</v>
      </c>
      <c r="T6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38">
        <f>(1000*CHOOSE(CONTROL!$C$42, 695, 695)*CHOOSE(CONTROL!$C$42, 0.5599, 0.5599)*CHOOSE(CONTROL!$C$42, 31, 31))/1000000</f>
        <v>12.063045499999998</v>
      </c>
      <c r="V673" s="38">
        <f>(1000*CHOOSE(CONTROL!$C$42, 500, 500)*CHOOSE(CONTROL!$C$42, 0.275, 0.275)*CHOOSE(CONTROL!$C$42, 31, 31))/1000000</f>
        <v>4.2625000000000002</v>
      </c>
      <c r="W673" s="38">
        <f>(1000*CHOOSE(CONTROL!$C$42, 0.1146, 0.1146)*CHOOSE(CONTROL!$C$42, 121.5, 121.5)*CHOOSE(CONTROL!$C$42, 31, 31))/1000000</f>
        <v>0.43164089999999994</v>
      </c>
      <c r="X673" s="38">
        <f>(31*0.1790888*100000/1000000)+(31*0.2374*100000/1000000)</f>
        <v>1.2911152800000001</v>
      </c>
      <c r="Y673" s="38">
        <f>(1000*600*CHOOSE(CONTROL!$C$42, 1.0585, 1.0585)*CHOOSE(CONTROL!$C$42, 31, 31))/1000000</f>
        <v>19.688099999999999</v>
      </c>
      <c r="Z673" s="38"/>
      <c r="AA673" s="10"/>
      <c r="AB673" s="39"/>
      <c r="AC673" s="33">
        <f>(B673*122.58+C673*297.941+D673*89.177+E673*40.302+F673*40+G673*160+H673*0+I673*100+J673*300)/(122.58+297.941+89.177+40.302+0+40+160+100+300)</f>
        <v>20.763424186608699</v>
      </c>
      <c r="AD673" s="27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20.547312949640286</v>
      </c>
    </row>
    <row r="674" spans="1:30" ht="15.75" x14ac:dyDescent="0.25">
      <c r="A674" s="13">
        <v>61787</v>
      </c>
      <c r="B674" s="10">
        <f>CHOOSE(CONTROL!$C$42, 21.1331, 21.1331) * CHOOSE(CONTROL!$C$21, $C$9, 100%, $E$9)</f>
        <v>21.133099999999999</v>
      </c>
      <c r="C674" s="10">
        <f>CHOOSE(CONTROL!$C$42, 21.1382, 21.1382) * CHOOSE(CONTROL!$C$21, $C$9, 100%, $E$9)</f>
        <v>21.138200000000001</v>
      </c>
      <c r="D674" s="10">
        <f>CHOOSE(CONTROL!$C$42, 21.1732, 21.1732) * CHOOSE(CONTROL!$C$21, $C$9, 100%, $E$9)</f>
        <v>21.173200000000001</v>
      </c>
      <c r="E674" s="10">
        <f>CHOOSE(CONTROL!$C$42, 21.207, 21.207) * CHOOSE(CONTROL!$C$21, $C$9, 100%, $E$9)</f>
        <v>21.207000000000001</v>
      </c>
      <c r="F674" s="10">
        <f>CHOOSE(CONTROL!$C$42, 21.1139, 21.1139)*CHOOSE(CONTROL!$C$21, $C$9, 100%, $E$9)</f>
        <v>21.113900000000001</v>
      </c>
      <c r="G674" s="10">
        <f>CHOOSE(CONTROL!$C$42, 21.1326, 21.1326)*CHOOSE(CONTROL!$C$21, $C$9, 100%, $E$9)</f>
        <v>21.1326</v>
      </c>
      <c r="H674" s="10">
        <f>CHOOSE(CONTROL!$C$42, 21.1959, 21.1959) * CHOOSE(CONTROL!$C$21, $C$9, 100%, $E$9)</f>
        <v>21.195900000000002</v>
      </c>
      <c r="I674" s="10">
        <f>CHOOSE(CONTROL!$C$42, 21.1404, 21.1404)* CHOOSE(CONTROL!$C$21, $C$9, 100%, $E$9)</f>
        <v>21.1404</v>
      </c>
      <c r="J674" s="10">
        <f>CHOOSE(CONTROL!$C$42, 21.1065, 21.1065)* CHOOSE(CONTROL!$C$21, $C$9, 100%, $E$9)</f>
        <v>21.1065</v>
      </c>
      <c r="K674" s="10">
        <f>CHOOSE(CONTROL!$C$42, 20.6556, 20.6556) * CHOOSE(CONTROL!$C$21, $C$9, 100%, $E$9)</f>
        <v>20.6556</v>
      </c>
      <c r="L674" s="10">
        <f>CHOOSE(CONTROL!$C$42, 21.7829, 21.7829) * CHOOSE(CONTROL!$C$21, $C$9, 100%, $E$9)</f>
        <v>21.782900000000001</v>
      </c>
      <c r="M674" s="10">
        <f>CHOOSE(CONTROL!$C$42, 20.8663, 20.8663) * CHOOSE(CONTROL!$C$21, $C$9, 100%, $E$9)</f>
        <v>20.866299999999999</v>
      </c>
      <c r="N674" s="10">
        <f>CHOOSE(CONTROL!$C$42, 20.8848, 20.8848) * CHOOSE(CONTROL!$C$21, $C$9, 100%, $E$9)</f>
        <v>20.884799999999998</v>
      </c>
      <c r="O674" s="10">
        <f>CHOOSE(CONTROL!$C$42, 20.9546, 20.9546) * CHOOSE(CONTROL!$C$21, $C$9, 100%, $E$9)</f>
        <v>20.954599999999999</v>
      </c>
      <c r="P674" s="10">
        <f>CHOOSE(CONTROL!$C$42, 20.8998, 20.8998) * CHOOSE(CONTROL!$C$21, $C$9, 100%, $E$9)</f>
        <v>20.899799999999999</v>
      </c>
      <c r="Q674" s="10">
        <f>CHOOSE(CONTROL!$C$42, 21.5499, 21.5499) * CHOOSE(CONTROL!$C$21, $C$9, 100%, $E$9)</f>
        <v>21.549900000000001</v>
      </c>
      <c r="R674" s="10">
        <f>CHOOSE(CONTROL!$C$42, 22.1907, 22.1907) * CHOOSE(CONTROL!$C$21, $C$9, 100%, $E$9)</f>
        <v>22.1907</v>
      </c>
      <c r="S674" s="10">
        <f>CHOOSE(CONTROL!$C$42, 20.4799, 20.4799) * CHOOSE(CONTROL!$C$21, $C$9, 100%, $E$9)</f>
        <v>20.479900000000001</v>
      </c>
      <c r="T67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74" s="38">
        <f>(1000*CHOOSE(CONTROL!$C$42, 695, 695)*CHOOSE(CONTROL!$C$42, 0.5599, 0.5599)*CHOOSE(CONTROL!$C$42, 28, 28))/1000000</f>
        <v>10.895653999999999</v>
      </c>
      <c r="V674" s="38">
        <f>(1000*CHOOSE(CONTROL!$C$42, 500, 500)*CHOOSE(CONTROL!$C$42, 0.275, 0.275)*CHOOSE(CONTROL!$C$42, 28, 28))/1000000</f>
        <v>3.85</v>
      </c>
      <c r="W674" s="38">
        <f>(1000*CHOOSE(CONTROL!$C$42, 0.1146, 0.1146)*CHOOSE(CONTROL!$C$42, 121.5, 121.5)*CHOOSE(CONTROL!$C$42, 28, 28))/1000000</f>
        <v>0.38986920000000003</v>
      </c>
      <c r="X674" s="38">
        <f>(28*0.1790888*100000/1000000)+(28*0.2374*100000/1000000)</f>
        <v>1.16616864</v>
      </c>
      <c r="Y674" s="38">
        <f>(1000*600*CHOOSE(CONTROL!$C$42, 1.0585, 1.0585)*CHOOSE(CONTROL!$C$42, 28, 28))/1000000</f>
        <v>17.782800000000002</v>
      </c>
      <c r="Z674" s="38"/>
      <c r="AA674" s="10"/>
      <c r="AB674" s="39"/>
      <c r="AC674" s="33">
        <f>(B674*122.58+C674*297.941+D674*89.177+E674*40.302+F674*40+G674*160+H674*0+I674*100+J674*300)/(122.58+297.941+89.177+40.302+0+40+160+100+300)</f>
        <v>21.133078969217394</v>
      </c>
      <c r="AD674" s="27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20.912205755395682</v>
      </c>
    </row>
    <row r="675" spans="1:30" ht="15.75" x14ac:dyDescent="0.25">
      <c r="A675" s="13">
        <v>61818</v>
      </c>
      <c r="B675" s="10">
        <f>CHOOSE(CONTROL!$C$42, 20.5327, 20.5327) * CHOOSE(CONTROL!$C$21, $C$9, 100%, $E$9)</f>
        <v>20.532699999999998</v>
      </c>
      <c r="C675" s="10">
        <f>CHOOSE(CONTROL!$C$42, 20.5378, 20.5378) * CHOOSE(CONTROL!$C$21, $C$9, 100%, $E$9)</f>
        <v>20.537800000000001</v>
      </c>
      <c r="D675" s="10">
        <f>CHOOSE(CONTROL!$C$42, 20.5728, 20.5728) * CHOOSE(CONTROL!$C$21, $C$9, 100%, $E$9)</f>
        <v>20.572800000000001</v>
      </c>
      <c r="E675" s="10">
        <f>CHOOSE(CONTROL!$C$42, 20.6066, 20.6066) * CHOOSE(CONTROL!$C$21, $C$9, 100%, $E$9)</f>
        <v>20.6066</v>
      </c>
      <c r="F675" s="10">
        <f>CHOOSE(CONTROL!$C$42, 20.512, 20.512)*CHOOSE(CONTROL!$C$21, $C$9, 100%, $E$9)</f>
        <v>20.512</v>
      </c>
      <c r="G675" s="10">
        <f>CHOOSE(CONTROL!$C$42, 20.5304, 20.5304)*CHOOSE(CONTROL!$C$21, $C$9, 100%, $E$9)</f>
        <v>20.5304</v>
      </c>
      <c r="H675" s="10">
        <f>CHOOSE(CONTROL!$C$42, 20.5955, 20.5955) * CHOOSE(CONTROL!$C$21, $C$9, 100%, $E$9)</f>
        <v>20.595500000000001</v>
      </c>
      <c r="I675" s="10">
        <f>CHOOSE(CONTROL!$C$42, 20.5399, 20.5399)* CHOOSE(CONTROL!$C$21, $C$9, 100%, $E$9)</f>
        <v>20.539899999999999</v>
      </c>
      <c r="J675" s="10">
        <f>CHOOSE(CONTROL!$C$42, 20.5046, 20.5046)* CHOOSE(CONTROL!$C$21, $C$9, 100%, $E$9)</f>
        <v>20.5046</v>
      </c>
      <c r="K675" s="10">
        <f>CHOOSE(CONTROL!$C$42, 20.0709, 20.0709) * CHOOSE(CONTROL!$C$21, $C$9, 100%, $E$9)</f>
        <v>20.070900000000002</v>
      </c>
      <c r="L675" s="10">
        <f>CHOOSE(CONTROL!$C$42, 21.1825, 21.1825) * CHOOSE(CONTROL!$C$21, $C$9, 100%, $E$9)</f>
        <v>21.182500000000001</v>
      </c>
      <c r="M675" s="10">
        <f>CHOOSE(CONTROL!$C$42, 20.2722, 20.2722) * CHOOSE(CONTROL!$C$21, $C$9, 100%, $E$9)</f>
        <v>20.272200000000002</v>
      </c>
      <c r="N675" s="10">
        <f>CHOOSE(CONTROL!$C$42, 20.2904, 20.2904) * CHOOSE(CONTROL!$C$21, $C$9, 100%, $E$9)</f>
        <v>20.290400000000002</v>
      </c>
      <c r="O675" s="10">
        <f>CHOOSE(CONTROL!$C$42, 20.3619, 20.3619) * CHOOSE(CONTROL!$C$21, $C$9, 100%, $E$9)</f>
        <v>20.361899999999999</v>
      </c>
      <c r="P675" s="10">
        <f>CHOOSE(CONTROL!$C$42, 20.3071, 20.3071) * CHOOSE(CONTROL!$C$21, $C$9, 100%, $E$9)</f>
        <v>20.307099999999998</v>
      </c>
      <c r="Q675" s="10">
        <f>CHOOSE(CONTROL!$C$42, 20.9572, 20.9572) * CHOOSE(CONTROL!$C$21, $C$9, 100%, $E$9)</f>
        <v>20.9572</v>
      </c>
      <c r="R675" s="10">
        <f>CHOOSE(CONTROL!$C$42, 21.5966, 21.5966) * CHOOSE(CONTROL!$C$21, $C$9, 100%, $E$9)</f>
        <v>21.596599999999999</v>
      </c>
      <c r="S675" s="10">
        <f>CHOOSE(CONTROL!$C$42, 19.8984, 19.8984) * CHOOSE(CONTROL!$C$21, $C$9, 100%, $E$9)</f>
        <v>19.898399999999999</v>
      </c>
      <c r="T6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38">
        <f>(1000*CHOOSE(CONTROL!$C$42, 695, 695)*CHOOSE(CONTROL!$C$42, 0.5599, 0.5599)*CHOOSE(CONTROL!$C$42, 31, 31))/1000000</f>
        <v>12.063045499999998</v>
      </c>
      <c r="V675" s="38">
        <f>(1000*CHOOSE(CONTROL!$C$42, 500, 500)*CHOOSE(CONTROL!$C$42, 0.275, 0.275)*CHOOSE(CONTROL!$C$42, 31, 31))/1000000</f>
        <v>4.2625000000000002</v>
      </c>
      <c r="W675" s="38">
        <f>(1000*CHOOSE(CONTROL!$C$42, 0.1146, 0.1146)*CHOOSE(CONTROL!$C$42, 121.5, 121.5)*CHOOSE(CONTROL!$C$42, 31, 31))/1000000</f>
        <v>0.43164089999999994</v>
      </c>
      <c r="X675" s="38">
        <f>(31*0.1790888*100000/1000000)+(31*0.2374*100000/1000000)</f>
        <v>1.2911152800000001</v>
      </c>
      <c r="Y675" s="38">
        <f>(1000*600*CHOOSE(CONTROL!$C$42, 1.0585, 1.0585)*CHOOSE(CONTROL!$C$42, 31, 31))/1000000</f>
        <v>19.688099999999999</v>
      </c>
      <c r="Z675" s="38"/>
      <c r="AA675" s="10"/>
      <c r="AB675" s="39"/>
      <c r="AC675" s="33">
        <f>(B675*122.58+C675*297.941+D675*89.177+E675*40.302+F675*40+G675*160+H675*0+I675*100+J675*300)/(122.58+297.941+89.177+40.302+0+40+160+100+300)</f>
        <v>20.531976360521735</v>
      </c>
      <c r="AD675" s="27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20.318924460431656</v>
      </c>
    </row>
    <row r="676" spans="1:30" ht="15.75" x14ac:dyDescent="0.25">
      <c r="A676" s="13">
        <v>61848</v>
      </c>
      <c r="B676" s="10">
        <f>CHOOSE(CONTROL!$C$42, 20.4719, 20.4719) * CHOOSE(CONTROL!$C$21, $C$9, 100%, $E$9)</f>
        <v>20.471900000000002</v>
      </c>
      <c r="C676" s="10">
        <f>CHOOSE(CONTROL!$C$42, 20.4764, 20.4764) * CHOOSE(CONTROL!$C$21, $C$9, 100%, $E$9)</f>
        <v>20.476400000000002</v>
      </c>
      <c r="D676" s="10">
        <f>CHOOSE(CONTROL!$C$42, 20.6546, 20.6546) * CHOOSE(CONTROL!$C$21, $C$9, 100%, $E$9)</f>
        <v>20.654599999999999</v>
      </c>
      <c r="E676" s="10">
        <f>CHOOSE(CONTROL!$C$42, 20.6865, 20.6865) * CHOOSE(CONTROL!$C$21, $C$9, 100%, $E$9)</f>
        <v>20.686499999999999</v>
      </c>
      <c r="F676" s="10">
        <f>CHOOSE(CONTROL!$C$42, 20.4154, 20.4154)*CHOOSE(CONTROL!$C$21, $C$9, 100%, $E$9)</f>
        <v>20.415400000000002</v>
      </c>
      <c r="G676" s="10">
        <f>CHOOSE(CONTROL!$C$42, 20.432, 20.432)*CHOOSE(CONTROL!$C$21, $C$9, 100%, $E$9)</f>
        <v>20.431999999999999</v>
      </c>
      <c r="H676" s="10">
        <f>CHOOSE(CONTROL!$C$42, 20.6759, 20.6759) * CHOOSE(CONTROL!$C$21, $C$9, 100%, $E$9)</f>
        <v>20.675899999999999</v>
      </c>
      <c r="I676" s="10">
        <f>CHOOSE(CONTROL!$C$42, 20.4479, 20.4479)* CHOOSE(CONTROL!$C$21, $C$9, 100%, $E$9)</f>
        <v>20.447900000000001</v>
      </c>
      <c r="J676" s="10">
        <f>CHOOSE(CONTROL!$C$42, 20.408, 20.408)* CHOOSE(CONTROL!$C$21, $C$9, 100%, $E$9)</f>
        <v>20.408000000000001</v>
      </c>
      <c r="K676" s="10">
        <f>CHOOSE(CONTROL!$C$42, 19.9671, 19.9671) * CHOOSE(CONTROL!$C$21, $C$9, 100%, $E$9)</f>
        <v>19.967099999999999</v>
      </c>
      <c r="L676" s="10">
        <f>CHOOSE(CONTROL!$C$42, 21.2629, 21.2629) * CHOOSE(CONTROL!$C$21, $C$9, 100%, $E$9)</f>
        <v>21.262899999999998</v>
      </c>
      <c r="M676" s="10">
        <f>CHOOSE(CONTROL!$C$42, 20.1768, 20.1768) * CHOOSE(CONTROL!$C$21, $C$9, 100%, $E$9)</f>
        <v>20.1768</v>
      </c>
      <c r="N676" s="10">
        <f>CHOOSE(CONTROL!$C$42, 20.1932, 20.1932) * CHOOSE(CONTROL!$C$21, $C$9, 100%, $E$9)</f>
        <v>20.193200000000001</v>
      </c>
      <c r="O676" s="10">
        <f>CHOOSE(CONTROL!$C$42, 20.4413, 20.4413) * CHOOSE(CONTROL!$C$21, $C$9, 100%, $E$9)</f>
        <v>20.441299999999998</v>
      </c>
      <c r="P676" s="10">
        <f>CHOOSE(CONTROL!$C$42, 20.2163, 20.2163) * CHOOSE(CONTROL!$C$21, $C$9, 100%, $E$9)</f>
        <v>20.2163</v>
      </c>
      <c r="Q676" s="10">
        <f>CHOOSE(CONTROL!$C$42, 21.0366, 21.0366) * CHOOSE(CONTROL!$C$21, $C$9, 100%, $E$9)</f>
        <v>21.0366</v>
      </c>
      <c r="R676" s="10">
        <f>CHOOSE(CONTROL!$C$42, 21.6762, 21.6762) * CHOOSE(CONTROL!$C$21, $C$9, 100%, $E$9)</f>
        <v>21.676200000000001</v>
      </c>
      <c r="S676" s="10">
        <f>CHOOSE(CONTROL!$C$42, 19.8389, 19.8389) * CHOOSE(CONTROL!$C$21, $C$9, 100%, $E$9)</f>
        <v>19.838899999999999</v>
      </c>
      <c r="T6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38">
        <f>(1000*CHOOSE(CONTROL!$C$42, 695, 695)*CHOOSE(CONTROL!$C$42, 0.5599, 0.5599)*CHOOSE(CONTROL!$C$42, 30, 30))/1000000</f>
        <v>11.673914999999997</v>
      </c>
      <c r="V676" s="38">
        <f>(1000*CHOOSE(CONTROL!$C$42, 500, 500)*CHOOSE(CONTROL!$C$42, 0.275, 0.275)*CHOOSE(CONTROL!$C$42, 30, 30))/1000000</f>
        <v>4.125</v>
      </c>
      <c r="W676" s="38">
        <f>(1000*CHOOSE(CONTROL!$C$42, 0.1146, 0.1146)*CHOOSE(CONTROL!$C$42, 121.5, 121.5)*CHOOSE(CONTROL!$C$42, 30, 30))/1000000</f>
        <v>0.417717</v>
      </c>
      <c r="X676" s="38">
        <f>(30*0.1790888*245000/1000000)+(30*0.2374*100000/1000000)</f>
        <v>2.0285026799999999</v>
      </c>
      <c r="Y676" s="38">
        <f>(1000*600*CHOOSE(CONTROL!$C$42, 1.0585, 1.0585)*CHOOSE(CONTROL!$C$42, 30, 30))/1000000</f>
        <v>19.053000000000001</v>
      </c>
      <c r="Z676" s="38"/>
      <c r="AA676" s="10"/>
      <c r="AB676" s="39"/>
      <c r="AC676" s="33">
        <f>(B676*141.293+C676*267.993+D676*115.016+E676*89.698+F676*40+G676*185+H676*0+I676*100+J676*300)/(141.293+267.993+115.016+89.698+0+40+185+100+300)</f>
        <v>20.480178516949156</v>
      </c>
      <c r="AD676" s="27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20.303308633093526</v>
      </c>
    </row>
    <row r="677" spans="1:30" ht="15.75" x14ac:dyDescent="0.25">
      <c r="A677" s="13">
        <v>61879</v>
      </c>
      <c r="B677" s="10">
        <f>CHOOSE(CONTROL!$C$42, 20.6545, 20.6545) * CHOOSE(CONTROL!$C$21, $C$9, 100%, $E$9)</f>
        <v>20.654499999999999</v>
      </c>
      <c r="C677" s="10">
        <f>CHOOSE(CONTROL!$C$42, 20.6625, 20.6625) * CHOOSE(CONTROL!$C$21, $C$9, 100%, $E$9)</f>
        <v>20.662500000000001</v>
      </c>
      <c r="D677" s="10">
        <f>CHOOSE(CONTROL!$C$42, 20.8376, 20.8376) * CHOOSE(CONTROL!$C$21, $C$9, 100%, $E$9)</f>
        <v>20.837599999999998</v>
      </c>
      <c r="E677" s="10">
        <f>CHOOSE(CONTROL!$C$42, 20.8688, 20.8688) * CHOOSE(CONTROL!$C$21, $C$9, 100%, $E$9)</f>
        <v>20.8688</v>
      </c>
      <c r="F677" s="10">
        <f>CHOOSE(CONTROL!$C$42, 20.5962, 20.5962)*CHOOSE(CONTROL!$C$21, $C$9, 100%, $E$9)</f>
        <v>20.5962</v>
      </c>
      <c r="G677" s="10">
        <f>CHOOSE(CONTROL!$C$42, 20.6131, 20.6131)*CHOOSE(CONTROL!$C$21, $C$9, 100%, $E$9)</f>
        <v>20.613099999999999</v>
      </c>
      <c r="H677" s="10">
        <f>CHOOSE(CONTROL!$C$42, 20.8572, 20.8572) * CHOOSE(CONTROL!$C$21, $C$9, 100%, $E$9)</f>
        <v>20.857199999999999</v>
      </c>
      <c r="I677" s="10">
        <f>CHOOSE(CONTROL!$C$42, 20.6291, 20.6291)* CHOOSE(CONTROL!$C$21, $C$9, 100%, $E$9)</f>
        <v>20.629100000000001</v>
      </c>
      <c r="J677" s="10">
        <f>CHOOSE(CONTROL!$C$42, 20.5888, 20.5888)* CHOOSE(CONTROL!$C$21, $C$9, 100%, $E$9)</f>
        <v>20.588799999999999</v>
      </c>
      <c r="K677" s="10">
        <f>CHOOSE(CONTROL!$C$42, 20.1418, 20.1418) * CHOOSE(CONTROL!$C$21, $C$9, 100%, $E$9)</f>
        <v>20.1418</v>
      </c>
      <c r="L677" s="10">
        <f>CHOOSE(CONTROL!$C$42, 21.4442, 21.4442) * CHOOSE(CONTROL!$C$21, $C$9, 100%, $E$9)</f>
        <v>21.444199999999999</v>
      </c>
      <c r="M677" s="10">
        <f>CHOOSE(CONTROL!$C$42, 20.3553, 20.3553) * CHOOSE(CONTROL!$C$21, $C$9, 100%, $E$9)</f>
        <v>20.3553</v>
      </c>
      <c r="N677" s="10">
        <f>CHOOSE(CONTROL!$C$42, 20.372, 20.372) * CHOOSE(CONTROL!$C$21, $C$9, 100%, $E$9)</f>
        <v>20.372</v>
      </c>
      <c r="O677" s="10">
        <f>CHOOSE(CONTROL!$C$42, 20.6202, 20.6202) * CHOOSE(CONTROL!$C$21, $C$9, 100%, $E$9)</f>
        <v>20.620200000000001</v>
      </c>
      <c r="P677" s="10">
        <f>CHOOSE(CONTROL!$C$42, 20.3952, 20.3952) * CHOOSE(CONTROL!$C$21, $C$9, 100%, $E$9)</f>
        <v>20.395199999999999</v>
      </c>
      <c r="Q677" s="10">
        <f>CHOOSE(CONTROL!$C$42, 21.2155, 21.2155) * CHOOSE(CONTROL!$C$21, $C$9, 100%, $E$9)</f>
        <v>21.215499999999999</v>
      </c>
      <c r="R677" s="10">
        <f>CHOOSE(CONTROL!$C$42, 21.8555, 21.8555) * CHOOSE(CONTROL!$C$21, $C$9, 100%, $E$9)</f>
        <v>21.855499999999999</v>
      </c>
      <c r="S677" s="10">
        <f>CHOOSE(CONTROL!$C$42, 20.0143, 20.0143) * CHOOSE(CONTROL!$C$21, $C$9, 100%, $E$9)</f>
        <v>20.014299999999999</v>
      </c>
      <c r="T6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38">
        <f>(1000*CHOOSE(CONTROL!$C$42, 695, 695)*CHOOSE(CONTROL!$C$42, 0.5599, 0.5599)*CHOOSE(CONTROL!$C$42, 31, 31))/1000000</f>
        <v>12.063045499999998</v>
      </c>
      <c r="V677" s="38">
        <f>(1000*CHOOSE(CONTROL!$C$42, 500, 500)*CHOOSE(CONTROL!$C$42, 0.275, 0.275)*CHOOSE(CONTROL!$C$42, 31, 31))/1000000</f>
        <v>4.2625000000000002</v>
      </c>
      <c r="W677" s="38">
        <f>(1000*CHOOSE(CONTROL!$C$42, 0.1146, 0.1146)*CHOOSE(CONTROL!$C$42, 121.5, 121.5)*CHOOSE(CONTROL!$C$42, 31, 31))/1000000</f>
        <v>0.43164089999999994</v>
      </c>
      <c r="X677" s="38">
        <f>(31*0.1790888*245000/1000000)+(31*0.2374*100000/1000000)</f>
        <v>2.0961194359999999</v>
      </c>
      <c r="Y677" s="38">
        <f>(1000*600*CHOOSE(CONTROL!$C$42, 1.0585, 1.0585)*CHOOSE(CONTROL!$C$42, 31, 31))/1000000</f>
        <v>19.688099999999999</v>
      </c>
      <c r="Z677" s="38"/>
      <c r="AA677" s="10"/>
      <c r="AB677" s="39"/>
      <c r="AC677" s="33">
        <f>(B677*194.205+C677*267.466+D677*133.845+E677*53.484+F677*40+G677*185+H677*0+I677*100+J677*300)/(194.205+267.466+133.845+53.484+0+40+185+100+300)</f>
        <v>20.659105469937206</v>
      </c>
      <c r="AD677" s="27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20.482064748201438</v>
      </c>
    </row>
    <row r="678" spans="1:30" ht="15.75" x14ac:dyDescent="0.25">
      <c r="A678" s="13">
        <v>61909</v>
      </c>
      <c r="B678" s="10">
        <f>CHOOSE(CONTROL!$C$42, 21.2408, 21.2408) * CHOOSE(CONTROL!$C$21, $C$9, 100%, $E$9)</f>
        <v>21.2408</v>
      </c>
      <c r="C678" s="10">
        <f>CHOOSE(CONTROL!$C$42, 21.2488, 21.2488) * CHOOSE(CONTROL!$C$21, $C$9, 100%, $E$9)</f>
        <v>21.248799999999999</v>
      </c>
      <c r="D678" s="10">
        <f>CHOOSE(CONTROL!$C$42, 21.4239, 21.4239) * CHOOSE(CONTROL!$C$21, $C$9, 100%, $E$9)</f>
        <v>21.4239</v>
      </c>
      <c r="E678" s="10">
        <f>CHOOSE(CONTROL!$C$42, 21.4551, 21.4551) * CHOOSE(CONTROL!$C$21, $C$9, 100%, $E$9)</f>
        <v>21.455100000000002</v>
      </c>
      <c r="F678" s="10">
        <f>CHOOSE(CONTROL!$C$42, 21.1827, 21.1827)*CHOOSE(CONTROL!$C$21, $C$9, 100%, $E$9)</f>
        <v>21.182700000000001</v>
      </c>
      <c r="G678" s="10">
        <f>CHOOSE(CONTROL!$C$42, 21.1996, 21.1996)*CHOOSE(CONTROL!$C$21, $C$9, 100%, $E$9)</f>
        <v>21.1996</v>
      </c>
      <c r="H678" s="10">
        <f>CHOOSE(CONTROL!$C$42, 21.4435, 21.4435) * CHOOSE(CONTROL!$C$21, $C$9, 100%, $E$9)</f>
        <v>21.4435</v>
      </c>
      <c r="I678" s="10">
        <f>CHOOSE(CONTROL!$C$42, 21.2154, 21.2154)* CHOOSE(CONTROL!$C$21, $C$9, 100%, $E$9)</f>
        <v>21.215399999999999</v>
      </c>
      <c r="J678" s="10">
        <f>CHOOSE(CONTROL!$C$42, 21.1753, 21.1753)* CHOOSE(CONTROL!$C$21, $C$9, 100%, $E$9)</f>
        <v>21.1753</v>
      </c>
      <c r="K678" s="10">
        <f>CHOOSE(CONTROL!$C$42, 20.7102, 20.7102) * CHOOSE(CONTROL!$C$21, $C$9, 100%, $E$9)</f>
        <v>20.7102</v>
      </c>
      <c r="L678" s="10">
        <f>CHOOSE(CONTROL!$C$42, 22.0305, 22.0305) * CHOOSE(CONTROL!$C$21, $C$9, 100%, $E$9)</f>
        <v>22.0305</v>
      </c>
      <c r="M678" s="10">
        <f>CHOOSE(CONTROL!$C$42, 20.9342, 20.9342) * CHOOSE(CONTROL!$C$21, $C$9, 100%, $E$9)</f>
        <v>20.934200000000001</v>
      </c>
      <c r="N678" s="10">
        <f>CHOOSE(CONTROL!$C$42, 20.9509, 20.9509) * CHOOSE(CONTROL!$C$21, $C$9, 100%, $E$9)</f>
        <v>20.950900000000001</v>
      </c>
      <c r="O678" s="10">
        <f>CHOOSE(CONTROL!$C$42, 21.1989, 21.1989) * CHOOSE(CONTROL!$C$21, $C$9, 100%, $E$9)</f>
        <v>21.198899999999998</v>
      </c>
      <c r="P678" s="10">
        <f>CHOOSE(CONTROL!$C$42, 20.9739, 20.9739) * CHOOSE(CONTROL!$C$21, $C$9, 100%, $E$9)</f>
        <v>20.9739</v>
      </c>
      <c r="Q678" s="10">
        <f>CHOOSE(CONTROL!$C$42, 21.7942, 21.7942) * CHOOSE(CONTROL!$C$21, $C$9, 100%, $E$9)</f>
        <v>21.7942</v>
      </c>
      <c r="R678" s="10">
        <f>CHOOSE(CONTROL!$C$42, 22.4357, 22.4357) * CHOOSE(CONTROL!$C$21, $C$9, 100%, $E$9)</f>
        <v>22.435700000000001</v>
      </c>
      <c r="S678" s="10">
        <f>CHOOSE(CONTROL!$C$42, 20.582, 20.582) * CHOOSE(CONTROL!$C$21, $C$9, 100%, $E$9)</f>
        <v>20.582000000000001</v>
      </c>
      <c r="T6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38">
        <f>(1000*CHOOSE(CONTROL!$C$42, 695, 695)*CHOOSE(CONTROL!$C$42, 0.5599, 0.5599)*CHOOSE(CONTROL!$C$42, 30, 30))/1000000</f>
        <v>11.673914999999997</v>
      </c>
      <c r="V678" s="38">
        <f>(1000*CHOOSE(CONTROL!$C$42, 500, 500)*CHOOSE(CONTROL!$C$42, 0.275, 0.275)*CHOOSE(CONTROL!$C$42, 30, 30))/1000000</f>
        <v>4.125</v>
      </c>
      <c r="W678" s="38">
        <f>(1000*CHOOSE(CONTROL!$C$42, 0.1146, 0.1146)*CHOOSE(CONTROL!$C$42, 121.5, 121.5)*CHOOSE(CONTROL!$C$42, 30, 30))/1000000</f>
        <v>0.417717</v>
      </c>
      <c r="X678" s="38">
        <f>(30*0.1790888*245000/1000000)+(30*0.2374*100000/1000000)</f>
        <v>2.0285026799999999</v>
      </c>
      <c r="Y678" s="38">
        <f>(1000*600*CHOOSE(CONTROL!$C$42, 1.0585, 1.0585)*CHOOSE(CONTROL!$C$42, 30, 30))/1000000</f>
        <v>19.053000000000001</v>
      </c>
      <c r="Z678" s="38"/>
      <c r="AA678" s="10"/>
      <c r="AB678" s="39"/>
      <c r="AC678" s="33">
        <f>(B678*194.205+C678*267.466+D678*133.845+E678*53.484+F678*40+G678*185+H678*0+I678*100+J678*300)/(194.205+267.466+133.845+53.484+0+40+185+100+300)</f>
        <v>21.245487887519623</v>
      </c>
      <c r="AD678" s="27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21.060845323741006</v>
      </c>
    </row>
    <row r="679" spans="1:30" ht="15.75" x14ac:dyDescent="0.25">
      <c r="A679" s="13">
        <v>61940</v>
      </c>
      <c r="B679" s="10">
        <f>CHOOSE(CONTROL!$C$42, 20.833, 20.833) * CHOOSE(CONTROL!$C$21, $C$9, 100%, $E$9)</f>
        <v>20.832999999999998</v>
      </c>
      <c r="C679" s="10">
        <f>CHOOSE(CONTROL!$C$42, 20.841, 20.841) * CHOOSE(CONTROL!$C$21, $C$9, 100%, $E$9)</f>
        <v>20.841000000000001</v>
      </c>
      <c r="D679" s="10">
        <f>CHOOSE(CONTROL!$C$42, 21.0161, 21.0161) * CHOOSE(CONTROL!$C$21, $C$9, 100%, $E$9)</f>
        <v>21.016100000000002</v>
      </c>
      <c r="E679" s="10">
        <f>CHOOSE(CONTROL!$C$42, 21.0474, 21.0474) * CHOOSE(CONTROL!$C$21, $C$9, 100%, $E$9)</f>
        <v>21.0474</v>
      </c>
      <c r="F679" s="10">
        <f>CHOOSE(CONTROL!$C$42, 20.7752, 20.7752)*CHOOSE(CONTROL!$C$21, $C$9, 100%, $E$9)</f>
        <v>20.775200000000002</v>
      </c>
      <c r="G679" s="10">
        <f>CHOOSE(CONTROL!$C$42, 20.7923, 20.7923)*CHOOSE(CONTROL!$C$21, $C$9, 100%, $E$9)</f>
        <v>20.792300000000001</v>
      </c>
      <c r="H679" s="10">
        <f>CHOOSE(CONTROL!$C$42, 21.0357, 21.0357) * CHOOSE(CONTROL!$C$21, $C$9, 100%, $E$9)</f>
        <v>21.035699999999999</v>
      </c>
      <c r="I679" s="10">
        <f>CHOOSE(CONTROL!$C$42, 20.8077, 20.8077)* CHOOSE(CONTROL!$C$21, $C$9, 100%, $E$9)</f>
        <v>20.807700000000001</v>
      </c>
      <c r="J679" s="10">
        <f>CHOOSE(CONTROL!$C$42, 20.7678, 20.7678)* CHOOSE(CONTROL!$C$21, $C$9, 100%, $E$9)</f>
        <v>20.767800000000001</v>
      </c>
      <c r="K679" s="10">
        <f>CHOOSE(CONTROL!$C$42, 20.3159, 20.3159) * CHOOSE(CONTROL!$C$21, $C$9, 100%, $E$9)</f>
        <v>20.315899999999999</v>
      </c>
      <c r="L679" s="10">
        <f>CHOOSE(CONTROL!$C$42, 21.6227, 21.6227) * CHOOSE(CONTROL!$C$21, $C$9, 100%, $E$9)</f>
        <v>21.622699999999998</v>
      </c>
      <c r="M679" s="10">
        <f>CHOOSE(CONTROL!$C$42, 20.532, 20.532) * CHOOSE(CONTROL!$C$21, $C$9, 100%, $E$9)</f>
        <v>20.532</v>
      </c>
      <c r="N679" s="10">
        <f>CHOOSE(CONTROL!$C$42, 20.5488, 20.5488) * CHOOSE(CONTROL!$C$21, $C$9, 100%, $E$9)</f>
        <v>20.5488</v>
      </c>
      <c r="O679" s="10">
        <f>CHOOSE(CONTROL!$C$42, 20.7964, 20.7964) * CHOOSE(CONTROL!$C$21, $C$9, 100%, $E$9)</f>
        <v>20.796399999999998</v>
      </c>
      <c r="P679" s="10">
        <f>CHOOSE(CONTROL!$C$42, 20.5714, 20.5714) * CHOOSE(CONTROL!$C$21, $C$9, 100%, $E$9)</f>
        <v>20.571400000000001</v>
      </c>
      <c r="Q679" s="10">
        <f>CHOOSE(CONTROL!$C$42, 21.3917, 21.3917) * CHOOSE(CONTROL!$C$21, $C$9, 100%, $E$9)</f>
        <v>21.3917</v>
      </c>
      <c r="R679" s="10">
        <f>CHOOSE(CONTROL!$C$42, 22.0322, 22.0322) * CHOOSE(CONTROL!$C$21, $C$9, 100%, $E$9)</f>
        <v>22.0322</v>
      </c>
      <c r="S679" s="10">
        <f>CHOOSE(CONTROL!$C$42, 20.1872, 20.1872) * CHOOSE(CONTROL!$C$21, $C$9, 100%, $E$9)</f>
        <v>20.187200000000001</v>
      </c>
      <c r="T6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38">
        <f>(1000*CHOOSE(CONTROL!$C$42, 695, 695)*CHOOSE(CONTROL!$C$42, 0.5599, 0.5599)*CHOOSE(CONTROL!$C$42, 31, 31))/1000000</f>
        <v>12.063045499999998</v>
      </c>
      <c r="V679" s="38">
        <f>(1000*CHOOSE(CONTROL!$C$42, 500, 500)*CHOOSE(CONTROL!$C$42, 0.275, 0.275)*CHOOSE(CONTROL!$C$42, 31, 31))/1000000</f>
        <v>4.2625000000000002</v>
      </c>
      <c r="W679" s="38">
        <f>(1000*CHOOSE(CONTROL!$C$42, 0.1146, 0.1146)*CHOOSE(CONTROL!$C$42, 121.5, 121.5)*CHOOSE(CONTROL!$C$42, 31, 31))/1000000</f>
        <v>0.43164089999999994</v>
      </c>
      <c r="X679" s="38">
        <f>(31*0.1790888*245000/1000000)+(31*0.2374*100000/1000000)</f>
        <v>2.0961194359999999</v>
      </c>
      <c r="Y679" s="38">
        <f>(1000*600*CHOOSE(CONTROL!$C$42, 1.0585, 1.0585)*CHOOSE(CONTROL!$C$42, 31, 31))/1000000</f>
        <v>19.688099999999999</v>
      </c>
      <c r="Z679" s="38"/>
      <c r="AA679" s="10"/>
      <c r="AB679" s="39"/>
      <c r="AC679" s="33">
        <f>(B679*194.205+C679*267.466+D679*133.845+E679*53.484+F679*40+G679*185+H679*0+I679*100+J679*300)/(194.205+267.466+133.845+53.484+0+40+185+100+300)</f>
        <v>20.837852603689168</v>
      </c>
      <c r="AD679" s="27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20.658471942446042</v>
      </c>
    </row>
    <row r="680" spans="1:30" ht="15.75" x14ac:dyDescent="0.25">
      <c r="A680" s="13">
        <v>61971</v>
      </c>
      <c r="B680" s="10">
        <f>CHOOSE(CONTROL!$C$42, 19.8033, 19.8033) * CHOOSE(CONTROL!$C$21, $C$9, 100%, $E$9)</f>
        <v>19.8033</v>
      </c>
      <c r="C680" s="10">
        <f>CHOOSE(CONTROL!$C$42, 19.8113, 19.8113) * CHOOSE(CONTROL!$C$21, $C$9, 100%, $E$9)</f>
        <v>19.811299999999999</v>
      </c>
      <c r="D680" s="10">
        <f>CHOOSE(CONTROL!$C$42, 19.9864, 19.9864) * CHOOSE(CONTROL!$C$21, $C$9, 100%, $E$9)</f>
        <v>19.9864</v>
      </c>
      <c r="E680" s="10">
        <f>CHOOSE(CONTROL!$C$42, 20.0176, 20.0176) * CHOOSE(CONTROL!$C$21, $C$9, 100%, $E$9)</f>
        <v>20.017600000000002</v>
      </c>
      <c r="F680" s="10">
        <f>CHOOSE(CONTROL!$C$42, 19.7454, 19.7454)*CHOOSE(CONTROL!$C$21, $C$9, 100%, $E$9)</f>
        <v>19.7454</v>
      </c>
      <c r="G680" s="10">
        <f>CHOOSE(CONTROL!$C$42, 19.7624, 19.7624)*CHOOSE(CONTROL!$C$21, $C$9, 100%, $E$9)</f>
        <v>19.7624</v>
      </c>
      <c r="H680" s="10">
        <f>CHOOSE(CONTROL!$C$42, 20.0059, 20.0059) * CHOOSE(CONTROL!$C$21, $C$9, 100%, $E$9)</f>
        <v>20.0059</v>
      </c>
      <c r="I680" s="10">
        <f>CHOOSE(CONTROL!$C$42, 19.7779, 19.7779)* CHOOSE(CONTROL!$C$21, $C$9, 100%, $E$9)</f>
        <v>19.777899999999999</v>
      </c>
      <c r="J680" s="10">
        <f>CHOOSE(CONTROL!$C$42, 19.738, 19.738)* CHOOSE(CONTROL!$C$21, $C$9, 100%, $E$9)</f>
        <v>19.738</v>
      </c>
      <c r="K680" s="10">
        <f>CHOOSE(CONTROL!$C$42, 19.3181, 19.3181) * CHOOSE(CONTROL!$C$21, $C$9, 100%, $E$9)</f>
        <v>19.318100000000001</v>
      </c>
      <c r="L680" s="10">
        <f>CHOOSE(CONTROL!$C$42, 20.5929, 20.5929) * CHOOSE(CONTROL!$C$21, $C$9, 100%, $E$9)</f>
        <v>20.5929</v>
      </c>
      <c r="M680" s="10">
        <f>CHOOSE(CONTROL!$C$42, 19.5155, 19.5155) * CHOOSE(CONTROL!$C$21, $C$9, 100%, $E$9)</f>
        <v>19.515499999999999</v>
      </c>
      <c r="N680" s="10">
        <f>CHOOSE(CONTROL!$C$42, 19.5323, 19.5323) * CHOOSE(CONTROL!$C$21, $C$9, 100%, $E$9)</f>
        <v>19.532299999999999</v>
      </c>
      <c r="O680" s="10">
        <f>CHOOSE(CONTROL!$C$42, 19.78, 19.78) * CHOOSE(CONTROL!$C$21, $C$9, 100%, $E$9)</f>
        <v>19.78</v>
      </c>
      <c r="P680" s="10">
        <f>CHOOSE(CONTROL!$C$42, 19.555, 19.555) * CHOOSE(CONTROL!$C$21, $C$9, 100%, $E$9)</f>
        <v>19.555</v>
      </c>
      <c r="Q680" s="10">
        <f>CHOOSE(CONTROL!$C$42, 20.3753, 20.3753) * CHOOSE(CONTROL!$C$21, $C$9, 100%, $E$9)</f>
        <v>20.375299999999999</v>
      </c>
      <c r="R680" s="10">
        <f>CHOOSE(CONTROL!$C$42, 21.0132, 21.0132) * CHOOSE(CONTROL!$C$21, $C$9, 100%, $E$9)</f>
        <v>21.013200000000001</v>
      </c>
      <c r="S680" s="10">
        <f>CHOOSE(CONTROL!$C$42, 19.1901, 19.1901) * CHOOSE(CONTROL!$C$21, $C$9, 100%, $E$9)</f>
        <v>19.190100000000001</v>
      </c>
      <c r="T6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38">
        <f>(1000*CHOOSE(CONTROL!$C$42, 695, 695)*CHOOSE(CONTROL!$C$42, 0.5599, 0.5599)*CHOOSE(CONTROL!$C$42, 31, 31))/1000000</f>
        <v>12.063045499999998</v>
      </c>
      <c r="V680" s="38">
        <f>(1000*CHOOSE(CONTROL!$C$42, 500, 500)*CHOOSE(CONTROL!$C$42, 0.275, 0.275)*CHOOSE(CONTROL!$C$42, 31, 31))/1000000</f>
        <v>4.2625000000000002</v>
      </c>
      <c r="W680" s="38">
        <f>(1000*CHOOSE(CONTROL!$C$42, 0.1146, 0.1146)*CHOOSE(CONTROL!$C$42, 121.5, 121.5)*CHOOSE(CONTROL!$C$42, 31, 31))/1000000</f>
        <v>0.43164089999999994</v>
      </c>
      <c r="X680" s="38">
        <f>(31*0.1790888*245000/1000000)+(31*0.2374*100000/1000000)</f>
        <v>2.0961194359999999</v>
      </c>
      <c r="Y680" s="38">
        <f>(1000*600*CHOOSE(CONTROL!$C$42, 1.0585, 1.0585)*CHOOSE(CONTROL!$C$42, 31, 31))/1000000</f>
        <v>19.688099999999999</v>
      </c>
      <c r="Z680" s="38"/>
      <c r="AA680" s="10"/>
      <c r="AB680" s="39"/>
      <c r="AC680" s="33">
        <f>(B680*194.205+C680*267.466+D680*133.845+E680*53.484+F680*40+G680*185+H680*0+I680*100+J680*300)/(194.205+267.466+133.845+53.484+0+40+185+100+300)</f>
        <v>19.808084826295133</v>
      </c>
      <c r="AD680" s="27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19.642031654676259</v>
      </c>
    </row>
    <row r="681" spans="1:30" ht="15.75" x14ac:dyDescent="0.25">
      <c r="A681" s="13">
        <v>62001</v>
      </c>
      <c r="B681" s="10">
        <f>CHOOSE(CONTROL!$C$42, 18.5451, 18.5451) * CHOOSE(CONTROL!$C$21, $C$9, 100%, $E$9)</f>
        <v>18.545100000000001</v>
      </c>
      <c r="C681" s="10">
        <f>CHOOSE(CONTROL!$C$42, 18.5531, 18.5531) * CHOOSE(CONTROL!$C$21, $C$9, 100%, $E$9)</f>
        <v>18.553100000000001</v>
      </c>
      <c r="D681" s="10">
        <f>CHOOSE(CONTROL!$C$42, 18.7282, 18.7282) * CHOOSE(CONTROL!$C$21, $C$9, 100%, $E$9)</f>
        <v>18.728200000000001</v>
      </c>
      <c r="E681" s="10">
        <f>CHOOSE(CONTROL!$C$42, 18.7595, 18.7595) * CHOOSE(CONTROL!$C$21, $C$9, 100%, $E$9)</f>
        <v>18.759499999999999</v>
      </c>
      <c r="F681" s="10">
        <f>CHOOSE(CONTROL!$C$42, 18.4869, 18.4869)*CHOOSE(CONTROL!$C$21, $C$9, 100%, $E$9)</f>
        <v>18.486899999999999</v>
      </c>
      <c r="G681" s="10">
        <f>CHOOSE(CONTROL!$C$42, 18.5038, 18.5038)*CHOOSE(CONTROL!$C$21, $C$9, 100%, $E$9)</f>
        <v>18.503799999999998</v>
      </c>
      <c r="H681" s="10">
        <f>CHOOSE(CONTROL!$C$42, 18.7478, 18.7478) * CHOOSE(CONTROL!$C$21, $C$9, 100%, $E$9)</f>
        <v>18.747800000000002</v>
      </c>
      <c r="I681" s="10">
        <f>CHOOSE(CONTROL!$C$42, 18.5198, 18.5198)* CHOOSE(CONTROL!$C$21, $C$9, 100%, $E$9)</f>
        <v>18.5198</v>
      </c>
      <c r="J681" s="10">
        <f>CHOOSE(CONTROL!$C$42, 18.4795, 18.4795)* CHOOSE(CONTROL!$C$21, $C$9, 100%, $E$9)</f>
        <v>18.479500000000002</v>
      </c>
      <c r="K681" s="10">
        <f>CHOOSE(CONTROL!$C$42, 18.0985, 18.0985) * CHOOSE(CONTROL!$C$21, $C$9, 100%, $E$9)</f>
        <v>18.098500000000001</v>
      </c>
      <c r="L681" s="10">
        <f>CHOOSE(CONTROL!$C$42, 19.3348, 19.3348) * CHOOSE(CONTROL!$C$21, $C$9, 100%, $E$9)</f>
        <v>19.334800000000001</v>
      </c>
      <c r="M681" s="10">
        <f>CHOOSE(CONTROL!$C$42, 18.2733, 18.2733) * CHOOSE(CONTROL!$C$21, $C$9, 100%, $E$9)</f>
        <v>18.273299999999999</v>
      </c>
      <c r="N681" s="10">
        <f>CHOOSE(CONTROL!$C$42, 18.29, 18.29) * CHOOSE(CONTROL!$C$21, $C$9, 100%, $E$9)</f>
        <v>18.29</v>
      </c>
      <c r="O681" s="10">
        <f>CHOOSE(CONTROL!$C$42, 18.5381, 18.5381) * CHOOSE(CONTROL!$C$21, $C$9, 100%, $E$9)</f>
        <v>18.5381</v>
      </c>
      <c r="P681" s="10">
        <f>CHOOSE(CONTROL!$C$42, 18.3131, 18.3131) * CHOOSE(CONTROL!$C$21, $C$9, 100%, $E$9)</f>
        <v>18.313099999999999</v>
      </c>
      <c r="Q681" s="10">
        <f>CHOOSE(CONTROL!$C$42, 19.1334, 19.1334) * CHOOSE(CONTROL!$C$21, $C$9, 100%, $E$9)</f>
        <v>19.133400000000002</v>
      </c>
      <c r="R681" s="10">
        <f>CHOOSE(CONTROL!$C$42, 19.7683, 19.7683) * CHOOSE(CONTROL!$C$21, $C$9, 100%, $E$9)</f>
        <v>19.7683</v>
      </c>
      <c r="S681" s="10">
        <f>CHOOSE(CONTROL!$C$42, 17.9718, 17.9718) * CHOOSE(CONTROL!$C$21, $C$9, 100%, $E$9)</f>
        <v>17.971800000000002</v>
      </c>
      <c r="T6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38">
        <f>(1000*CHOOSE(CONTROL!$C$42, 695, 695)*CHOOSE(CONTROL!$C$42, 0.5599, 0.5599)*CHOOSE(CONTROL!$C$42, 30, 30))/1000000</f>
        <v>11.673914999999997</v>
      </c>
      <c r="V681" s="38">
        <f>(1000*CHOOSE(CONTROL!$C$42, 500, 500)*CHOOSE(CONTROL!$C$42, 0.275, 0.275)*CHOOSE(CONTROL!$C$42, 30, 30))/1000000</f>
        <v>4.125</v>
      </c>
      <c r="W681" s="38">
        <f>(1000*CHOOSE(CONTROL!$C$42, 0.1146, 0.1146)*CHOOSE(CONTROL!$C$42, 121.5, 121.5)*CHOOSE(CONTROL!$C$42, 30, 30))/1000000</f>
        <v>0.417717</v>
      </c>
      <c r="X681" s="38">
        <f>(30*0.1790888*245000/1000000)+(30*0.2374*100000/1000000)</f>
        <v>2.0285026799999999</v>
      </c>
      <c r="Y681" s="38">
        <f>(1000*600*CHOOSE(CONTROL!$C$42, 1.0585, 1.0585)*CHOOSE(CONTROL!$C$42, 30, 30))/1000000</f>
        <v>19.053000000000001</v>
      </c>
      <c r="Z681" s="38"/>
      <c r="AA681" s="10"/>
      <c r="AB681" s="39"/>
      <c r="AC681" s="33">
        <f>(B681*194.205+C681*267.466+D681*133.845+E681*53.484+F681*40+G681*185+H681*0+I681*100+J681*300)/(194.205+267.466+133.845+53.484+0+40+185+100+300)</f>
        <v>18.549758726138148</v>
      </c>
      <c r="AD681" s="27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18.400005035971223</v>
      </c>
    </row>
    <row r="682" spans="1:30" ht="15.75" x14ac:dyDescent="0.25">
      <c r="A682" s="13">
        <v>62032</v>
      </c>
      <c r="B682" s="10">
        <f>CHOOSE(CONTROL!$C$42, 18.1662, 18.1662) * CHOOSE(CONTROL!$C$21, $C$9, 100%, $E$9)</f>
        <v>18.1662</v>
      </c>
      <c r="C682" s="10">
        <f>CHOOSE(CONTROL!$C$42, 18.1715, 18.1715) * CHOOSE(CONTROL!$C$21, $C$9, 100%, $E$9)</f>
        <v>18.171500000000002</v>
      </c>
      <c r="D682" s="10">
        <f>CHOOSE(CONTROL!$C$42, 18.3515, 18.3515) * CHOOSE(CONTROL!$C$21, $C$9, 100%, $E$9)</f>
        <v>18.351500000000001</v>
      </c>
      <c r="E682" s="10">
        <f>CHOOSE(CONTROL!$C$42, 18.3805, 18.3805) * CHOOSE(CONTROL!$C$21, $C$9, 100%, $E$9)</f>
        <v>18.380500000000001</v>
      </c>
      <c r="F682" s="10">
        <f>CHOOSE(CONTROL!$C$42, 18.11, 18.11)*CHOOSE(CONTROL!$C$21, $C$9, 100%, $E$9)</f>
        <v>18.11</v>
      </c>
      <c r="G682" s="10">
        <f>CHOOSE(CONTROL!$C$42, 18.1266, 18.1266)*CHOOSE(CONTROL!$C$21, $C$9, 100%, $E$9)</f>
        <v>18.1266</v>
      </c>
      <c r="H682" s="10">
        <f>CHOOSE(CONTROL!$C$42, 18.3706, 18.3706) * CHOOSE(CONTROL!$C$21, $C$9, 100%, $E$9)</f>
        <v>18.3706</v>
      </c>
      <c r="I682" s="10">
        <f>CHOOSE(CONTROL!$C$42, 18.1426, 18.1426)* CHOOSE(CONTROL!$C$21, $C$9, 100%, $E$9)</f>
        <v>18.142600000000002</v>
      </c>
      <c r="J682" s="10">
        <f>CHOOSE(CONTROL!$C$42, 18.1026, 18.1026)* CHOOSE(CONTROL!$C$21, $C$9, 100%, $E$9)</f>
        <v>18.102599999999999</v>
      </c>
      <c r="K682" s="10">
        <f>CHOOSE(CONTROL!$C$42, 17.7336, 17.7336) * CHOOSE(CONTROL!$C$21, $C$9, 100%, $E$9)</f>
        <v>17.733599999999999</v>
      </c>
      <c r="L682" s="10">
        <f>CHOOSE(CONTROL!$C$42, 18.9576, 18.9576) * CHOOSE(CONTROL!$C$21, $C$9, 100%, $E$9)</f>
        <v>18.957599999999999</v>
      </c>
      <c r="M682" s="10">
        <f>CHOOSE(CONTROL!$C$42, 17.9013, 17.9013) * CHOOSE(CONTROL!$C$21, $C$9, 100%, $E$9)</f>
        <v>17.901299999999999</v>
      </c>
      <c r="N682" s="10">
        <f>CHOOSE(CONTROL!$C$42, 17.9177, 17.9177) * CHOOSE(CONTROL!$C$21, $C$9, 100%, $E$9)</f>
        <v>17.9177</v>
      </c>
      <c r="O682" s="10">
        <f>CHOOSE(CONTROL!$C$42, 18.1658, 18.1658) * CHOOSE(CONTROL!$C$21, $C$9, 100%, $E$9)</f>
        <v>18.165800000000001</v>
      </c>
      <c r="P682" s="10">
        <f>CHOOSE(CONTROL!$C$42, 17.9408, 17.9408) * CHOOSE(CONTROL!$C$21, $C$9, 100%, $E$9)</f>
        <v>17.940799999999999</v>
      </c>
      <c r="Q682" s="10">
        <f>CHOOSE(CONTROL!$C$42, 18.7611, 18.7611) * CHOOSE(CONTROL!$C$21, $C$9, 100%, $E$9)</f>
        <v>18.761099999999999</v>
      </c>
      <c r="R682" s="10">
        <f>CHOOSE(CONTROL!$C$42, 19.395, 19.395) * CHOOSE(CONTROL!$C$21, $C$9, 100%, $E$9)</f>
        <v>19.395</v>
      </c>
      <c r="S682" s="10">
        <f>CHOOSE(CONTROL!$C$42, 17.6066, 17.6066) * CHOOSE(CONTROL!$C$21, $C$9, 100%, $E$9)</f>
        <v>17.6066</v>
      </c>
      <c r="T6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38">
        <f>(1000*CHOOSE(CONTROL!$C$42, 695, 695)*CHOOSE(CONTROL!$C$42, 0.5599, 0.5599)*CHOOSE(CONTROL!$C$42, 31, 31))/1000000</f>
        <v>12.063045499999998</v>
      </c>
      <c r="V682" s="38">
        <f>(1000*CHOOSE(CONTROL!$C$42, 500, 500)*CHOOSE(CONTROL!$C$42, 0.275, 0.275)*CHOOSE(CONTROL!$C$42, 31, 31))/1000000</f>
        <v>4.2625000000000002</v>
      </c>
      <c r="W682" s="38">
        <f>(1000*CHOOSE(CONTROL!$C$42, 0.1146, 0.1146)*CHOOSE(CONTROL!$C$42, 121.5, 121.5)*CHOOSE(CONTROL!$C$42, 31, 31))/1000000</f>
        <v>0.43164089999999994</v>
      </c>
      <c r="X682" s="38">
        <f>(31*0.1790888*245000/1000000)+(31*0.2374*100000/1000000)</f>
        <v>2.0961194359999999</v>
      </c>
      <c r="Y682" s="38">
        <f>(1000*600*CHOOSE(CONTROL!$C$42, 1.0585, 1.0585)*CHOOSE(CONTROL!$C$42, 31, 31))/1000000</f>
        <v>19.688099999999999</v>
      </c>
      <c r="Z682" s="38"/>
      <c r="AA682" s="10"/>
      <c r="AB682" s="39"/>
      <c r="AC682" s="33">
        <f>(B682*131.881+C682*277.167+D682*79.08+E682*125.872+F682*40+G682*185+H682*0+I682*100+J682*300)/(131.881+277.167+79.08+125.872+0+40+185+100+300)</f>
        <v>18.175952121630345</v>
      </c>
      <c r="AD682" s="27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18.027808633093525</v>
      </c>
    </row>
    <row r="683" spans="1:30" ht="15.75" x14ac:dyDescent="0.25">
      <c r="A683" s="13">
        <v>62062</v>
      </c>
      <c r="B683" s="10">
        <f>CHOOSE(CONTROL!$C$42, 18.6448, 18.6448) * CHOOSE(CONTROL!$C$21, $C$9, 100%, $E$9)</f>
        <v>18.6448</v>
      </c>
      <c r="C683" s="10">
        <f>CHOOSE(CONTROL!$C$42, 18.6499, 18.6499) * CHOOSE(CONTROL!$C$21, $C$9, 100%, $E$9)</f>
        <v>18.649899999999999</v>
      </c>
      <c r="D683" s="10">
        <f>CHOOSE(CONTROL!$C$42, 18.6746, 18.6746) * CHOOSE(CONTROL!$C$21, $C$9, 100%, $E$9)</f>
        <v>18.674600000000002</v>
      </c>
      <c r="E683" s="10">
        <f>CHOOSE(CONTROL!$C$42, 18.7084, 18.7084) * CHOOSE(CONTROL!$C$21, $C$9, 100%, $E$9)</f>
        <v>18.708400000000001</v>
      </c>
      <c r="F683" s="10">
        <f>CHOOSE(CONTROL!$C$42, 18.6104, 18.6104)*CHOOSE(CONTROL!$C$21, $C$9, 100%, $E$9)</f>
        <v>18.610399999999998</v>
      </c>
      <c r="G683" s="10">
        <f>CHOOSE(CONTROL!$C$42, 18.6272, 18.6272)*CHOOSE(CONTROL!$C$21, $C$9, 100%, $E$9)</f>
        <v>18.627199999999998</v>
      </c>
      <c r="H683" s="10">
        <f>CHOOSE(CONTROL!$C$42, 18.6973, 18.6973) * CHOOSE(CONTROL!$C$21, $C$9, 100%, $E$9)</f>
        <v>18.697299999999998</v>
      </c>
      <c r="I683" s="10">
        <f>CHOOSE(CONTROL!$C$42, 18.6443, 18.6443)* CHOOSE(CONTROL!$C$21, $C$9, 100%, $E$9)</f>
        <v>18.644300000000001</v>
      </c>
      <c r="J683" s="10">
        <f>CHOOSE(CONTROL!$C$42, 18.603, 18.603)* CHOOSE(CONTROL!$C$21, $C$9, 100%, $E$9)</f>
        <v>18.603000000000002</v>
      </c>
      <c r="K683" s="10">
        <f>CHOOSE(CONTROL!$C$42, 18.2215, 18.2215) * CHOOSE(CONTROL!$C$21, $C$9, 100%, $E$9)</f>
        <v>18.221499999999999</v>
      </c>
      <c r="L683" s="10">
        <f>CHOOSE(CONTROL!$C$42, 19.2843, 19.2843) * CHOOSE(CONTROL!$C$21, $C$9, 100%, $E$9)</f>
        <v>19.284300000000002</v>
      </c>
      <c r="M683" s="10">
        <f>CHOOSE(CONTROL!$C$42, 18.3952, 18.3952) * CHOOSE(CONTROL!$C$21, $C$9, 100%, $E$9)</f>
        <v>18.395199999999999</v>
      </c>
      <c r="N683" s="10">
        <f>CHOOSE(CONTROL!$C$42, 18.4118, 18.4118) * CHOOSE(CONTROL!$C$21, $C$9, 100%, $E$9)</f>
        <v>18.411799999999999</v>
      </c>
      <c r="O683" s="10">
        <f>CHOOSE(CONTROL!$C$42, 18.4883, 18.4883) * CHOOSE(CONTROL!$C$21, $C$9, 100%, $E$9)</f>
        <v>18.488299999999999</v>
      </c>
      <c r="P683" s="10">
        <f>CHOOSE(CONTROL!$C$42, 18.436, 18.436) * CHOOSE(CONTROL!$C$21, $C$9, 100%, $E$9)</f>
        <v>18.436</v>
      </c>
      <c r="Q683" s="10">
        <f>CHOOSE(CONTROL!$C$42, 19.0836, 19.0836) * CHOOSE(CONTROL!$C$21, $C$9, 100%, $E$9)</f>
        <v>19.083600000000001</v>
      </c>
      <c r="R683" s="10">
        <f>CHOOSE(CONTROL!$C$42, 19.7183, 19.7183) * CHOOSE(CONTROL!$C$21, $C$9, 100%, $E$9)</f>
        <v>19.718299999999999</v>
      </c>
      <c r="S683" s="10">
        <f>CHOOSE(CONTROL!$C$42, 18.0704, 18.0704) * CHOOSE(CONTROL!$C$21, $C$9, 100%, $E$9)</f>
        <v>18.070399999999999</v>
      </c>
      <c r="T6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38">
        <f>(1000*CHOOSE(CONTROL!$C$42, 695, 695)*CHOOSE(CONTROL!$C$42, 0.5599, 0.5599)*CHOOSE(CONTROL!$C$42, 30, 30))/1000000</f>
        <v>11.673914999999997</v>
      </c>
      <c r="V683" s="38">
        <f>(1000*CHOOSE(CONTROL!$C$42, 500, 500)*CHOOSE(CONTROL!$C$42, 0.275, 0.275)*CHOOSE(CONTROL!$C$42, 30, 30))/1000000</f>
        <v>4.125</v>
      </c>
      <c r="W683" s="38">
        <f>(1000*CHOOSE(CONTROL!$C$42, 0.1146, 0.1146)*CHOOSE(CONTROL!$C$42, 121.5, 121.5)*CHOOSE(CONTROL!$C$42, 30, 30))/1000000</f>
        <v>0.417717</v>
      </c>
      <c r="X683" s="38">
        <f>(30*0.1790888*100000/1000000)+(30*0.2374*100000/1000000)</f>
        <v>1.2494664</v>
      </c>
      <c r="Y683" s="38">
        <f>(1000*600*CHOOSE(CONTROL!$C$42, 1.0585, 1.0585)*CHOOSE(CONTROL!$C$42, 30, 30))/1000000</f>
        <v>19.053000000000001</v>
      </c>
      <c r="Z683" s="38"/>
      <c r="AA683" s="10"/>
      <c r="AB683" s="39"/>
      <c r="AC683" s="33">
        <f>(B683*122.58+C683*297.941+D683*89.177+E683*40.302+F683*40+G683*160+H683*0+I683*100+J683*300)/(122.58+297.941+89.177+40.302+0+40+160+100+300)</f>
        <v>18.636067983391307</v>
      </c>
      <c r="AD683" s="27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18.444222302158273</v>
      </c>
    </row>
    <row r="684" spans="1:30" ht="15.75" x14ac:dyDescent="0.25">
      <c r="A684" s="13">
        <v>62093</v>
      </c>
      <c r="B684" s="10">
        <f>CHOOSE(CONTROL!$C$42, 19.9171, 19.9171) * CHOOSE(CONTROL!$C$21, $C$9, 100%, $E$9)</f>
        <v>19.917100000000001</v>
      </c>
      <c r="C684" s="10">
        <f>CHOOSE(CONTROL!$C$42, 19.9222, 19.9222) * CHOOSE(CONTROL!$C$21, $C$9, 100%, $E$9)</f>
        <v>19.9222</v>
      </c>
      <c r="D684" s="10">
        <f>CHOOSE(CONTROL!$C$42, 19.9469, 19.9469) * CHOOSE(CONTROL!$C$21, $C$9, 100%, $E$9)</f>
        <v>19.946899999999999</v>
      </c>
      <c r="E684" s="10">
        <f>CHOOSE(CONTROL!$C$42, 19.9807, 19.9807) * CHOOSE(CONTROL!$C$21, $C$9, 100%, $E$9)</f>
        <v>19.980699999999999</v>
      </c>
      <c r="F684" s="10">
        <f>CHOOSE(CONTROL!$C$42, 19.8845, 19.8845)*CHOOSE(CONTROL!$C$21, $C$9, 100%, $E$9)</f>
        <v>19.884499999999999</v>
      </c>
      <c r="G684" s="10">
        <f>CHOOSE(CONTROL!$C$42, 19.9018, 19.9018)*CHOOSE(CONTROL!$C$21, $C$9, 100%, $E$9)</f>
        <v>19.901800000000001</v>
      </c>
      <c r="H684" s="10">
        <f>CHOOSE(CONTROL!$C$42, 19.9696, 19.9696) * CHOOSE(CONTROL!$C$21, $C$9, 100%, $E$9)</f>
        <v>19.9696</v>
      </c>
      <c r="I684" s="10">
        <f>CHOOSE(CONTROL!$C$42, 19.9166, 19.9166)* CHOOSE(CONTROL!$C$21, $C$9, 100%, $E$9)</f>
        <v>19.916599999999999</v>
      </c>
      <c r="J684" s="10">
        <f>CHOOSE(CONTROL!$C$42, 19.8771, 19.8771)* CHOOSE(CONTROL!$C$21, $C$9, 100%, $E$9)</f>
        <v>19.877099999999999</v>
      </c>
      <c r="K684" s="10">
        <f>CHOOSE(CONTROL!$C$42, 19.458, 19.458) * CHOOSE(CONTROL!$C$21, $C$9, 100%, $E$9)</f>
        <v>19.457999999999998</v>
      </c>
      <c r="L684" s="10">
        <f>CHOOSE(CONTROL!$C$42, 20.5566, 20.5566) * CHOOSE(CONTROL!$C$21, $C$9, 100%, $E$9)</f>
        <v>20.5566</v>
      </c>
      <c r="M684" s="10">
        <f>CHOOSE(CONTROL!$C$42, 19.6528, 19.6528) * CHOOSE(CONTROL!$C$21, $C$9, 100%, $E$9)</f>
        <v>19.652799999999999</v>
      </c>
      <c r="N684" s="10">
        <f>CHOOSE(CONTROL!$C$42, 19.6699, 19.6699) * CHOOSE(CONTROL!$C$21, $C$9, 100%, $E$9)</f>
        <v>19.669899999999998</v>
      </c>
      <c r="O684" s="10">
        <f>CHOOSE(CONTROL!$C$42, 19.7441, 19.7441) * CHOOSE(CONTROL!$C$21, $C$9, 100%, $E$9)</f>
        <v>19.7441</v>
      </c>
      <c r="P684" s="10">
        <f>CHOOSE(CONTROL!$C$42, 19.6919, 19.6919) * CHOOSE(CONTROL!$C$21, $C$9, 100%, $E$9)</f>
        <v>19.6919</v>
      </c>
      <c r="Q684" s="10">
        <f>CHOOSE(CONTROL!$C$42, 20.3394, 20.3394) * CHOOSE(CONTROL!$C$21, $C$9, 100%, $E$9)</f>
        <v>20.339400000000001</v>
      </c>
      <c r="R684" s="10">
        <f>CHOOSE(CONTROL!$C$42, 20.9772, 20.9772) * CHOOSE(CONTROL!$C$21, $C$9, 100%, $E$9)</f>
        <v>20.9772</v>
      </c>
      <c r="S684" s="10">
        <f>CHOOSE(CONTROL!$C$42, 19.3024, 19.3024) * CHOOSE(CONTROL!$C$21, $C$9, 100%, $E$9)</f>
        <v>19.302399999999999</v>
      </c>
      <c r="T6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38">
        <f>(1000*CHOOSE(CONTROL!$C$42, 695, 695)*CHOOSE(CONTROL!$C$42, 0.5599, 0.5599)*CHOOSE(CONTROL!$C$42, 31, 31))/1000000</f>
        <v>12.063045499999998</v>
      </c>
      <c r="V684" s="38">
        <f>(1000*CHOOSE(CONTROL!$C$42, 500, 500)*CHOOSE(CONTROL!$C$42, 0.275, 0.275)*CHOOSE(CONTROL!$C$42, 31, 31))/1000000</f>
        <v>4.2625000000000002</v>
      </c>
      <c r="W684" s="38">
        <f>(1000*CHOOSE(CONTROL!$C$42, 0.1146, 0.1146)*CHOOSE(CONTROL!$C$42, 121.5, 121.5)*CHOOSE(CONTROL!$C$42, 31, 31))/1000000</f>
        <v>0.43164089999999994</v>
      </c>
      <c r="X684" s="38">
        <f>(31*0.1790888*100000/1000000)+(31*0.2374*100000/1000000)</f>
        <v>1.2911152800000001</v>
      </c>
      <c r="Y684" s="38">
        <f>(1000*600*CHOOSE(CONTROL!$C$42, 1.0585, 1.0585)*CHOOSE(CONTROL!$C$42, 31, 31))/1000000</f>
        <v>19.688099999999999</v>
      </c>
      <c r="Z684" s="38"/>
      <c r="AA684" s="10"/>
      <c r="AB684" s="39"/>
      <c r="AC684" s="33">
        <f>(B684*122.58+C684*297.941+D684*89.177+E684*40.302+F684*40+G684*160+H684*0+I684*100+J684*300)/(122.58+297.941+89.177+40.302+0+40+160+100+300)</f>
        <v>19.909220157304347</v>
      </c>
      <c r="AD684" s="27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19.700790647482012</v>
      </c>
    </row>
    <row r="685" spans="1:30" ht="15.75" x14ac:dyDescent="0.25">
      <c r="A685" s="13">
        <v>62124</v>
      </c>
      <c r="B685" s="10">
        <f>CHOOSE(CONTROL!$C$42, 21.2625, 21.2625) * CHOOSE(CONTROL!$C$21, $C$9, 100%, $E$9)</f>
        <v>21.262499999999999</v>
      </c>
      <c r="C685" s="10">
        <f>CHOOSE(CONTROL!$C$42, 21.2676, 21.2676) * CHOOSE(CONTROL!$C$21, $C$9, 100%, $E$9)</f>
        <v>21.267600000000002</v>
      </c>
      <c r="D685" s="10">
        <f>CHOOSE(CONTROL!$C$42, 21.3026, 21.3026) * CHOOSE(CONTROL!$C$21, $C$9, 100%, $E$9)</f>
        <v>21.302600000000002</v>
      </c>
      <c r="E685" s="10">
        <f>CHOOSE(CONTROL!$C$42, 21.3364, 21.3364) * CHOOSE(CONTROL!$C$21, $C$9, 100%, $E$9)</f>
        <v>21.336400000000001</v>
      </c>
      <c r="F685" s="10">
        <f>CHOOSE(CONTROL!$C$42, 21.2438, 21.2438)*CHOOSE(CONTROL!$C$21, $C$9, 100%, $E$9)</f>
        <v>21.2438</v>
      </c>
      <c r="G685" s="10">
        <f>CHOOSE(CONTROL!$C$42, 21.2627, 21.2627)*CHOOSE(CONTROL!$C$21, $C$9, 100%, $E$9)</f>
        <v>21.262699999999999</v>
      </c>
      <c r="H685" s="10">
        <f>CHOOSE(CONTROL!$C$42, 21.3253, 21.3253) * CHOOSE(CONTROL!$C$21, $C$9, 100%, $E$9)</f>
        <v>21.325299999999999</v>
      </c>
      <c r="I685" s="10">
        <f>CHOOSE(CONTROL!$C$42, 21.2697, 21.2697)* CHOOSE(CONTROL!$C$21, $C$9, 100%, $E$9)</f>
        <v>21.2697</v>
      </c>
      <c r="J685" s="10">
        <f>CHOOSE(CONTROL!$C$42, 21.2364, 21.2364)* CHOOSE(CONTROL!$C$21, $C$9, 100%, $E$9)</f>
        <v>21.2364</v>
      </c>
      <c r="K685" s="10">
        <f>CHOOSE(CONTROL!$C$42, 20.7821, 20.7821) * CHOOSE(CONTROL!$C$21, $C$9, 100%, $E$9)</f>
        <v>20.7821</v>
      </c>
      <c r="L685" s="10">
        <f>CHOOSE(CONTROL!$C$42, 21.9123, 21.9123) * CHOOSE(CONTROL!$C$21, $C$9, 100%, $E$9)</f>
        <v>21.912299999999998</v>
      </c>
      <c r="M685" s="10">
        <f>CHOOSE(CONTROL!$C$42, 20.9945, 20.9945) * CHOOSE(CONTROL!$C$21, $C$9, 100%, $E$9)</f>
        <v>20.994499999999999</v>
      </c>
      <c r="N685" s="10">
        <f>CHOOSE(CONTROL!$C$42, 21.0132, 21.0132) * CHOOSE(CONTROL!$C$21, $C$9, 100%, $E$9)</f>
        <v>21.013200000000001</v>
      </c>
      <c r="O685" s="10">
        <f>CHOOSE(CONTROL!$C$42, 21.0823, 21.0823) * CHOOSE(CONTROL!$C$21, $C$9, 100%, $E$9)</f>
        <v>21.0823</v>
      </c>
      <c r="P685" s="10">
        <f>CHOOSE(CONTROL!$C$42, 21.0275, 21.0275) * CHOOSE(CONTROL!$C$21, $C$9, 100%, $E$9)</f>
        <v>21.0275</v>
      </c>
      <c r="Q685" s="10">
        <f>CHOOSE(CONTROL!$C$42, 21.6776, 21.6776) * CHOOSE(CONTROL!$C$21, $C$9, 100%, $E$9)</f>
        <v>21.677600000000002</v>
      </c>
      <c r="R685" s="10">
        <f>CHOOSE(CONTROL!$C$42, 22.3188, 22.3188) * CHOOSE(CONTROL!$C$21, $C$9, 100%, $E$9)</f>
        <v>22.3188</v>
      </c>
      <c r="S685" s="10">
        <f>CHOOSE(CONTROL!$C$42, 20.6051, 20.6051) * CHOOSE(CONTROL!$C$21, $C$9, 100%, $E$9)</f>
        <v>20.6051</v>
      </c>
      <c r="T6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38">
        <f>(1000*CHOOSE(CONTROL!$C$42, 695, 695)*CHOOSE(CONTROL!$C$42, 0.5599, 0.5599)*CHOOSE(CONTROL!$C$42, 31, 31))/1000000</f>
        <v>12.063045499999998</v>
      </c>
      <c r="V685" s="38">
        <f>(1000*CHOOSE(CONTROL!$C$42, 500, 500)*CHOOSE(CONTROL!$C$42, 0.275, 0.275)*CHOOSE(CONTROL!$C$42, 31, 31))/1000000</f>
        <v>4.2625000000000002</v>
      </c>
      <c r="W685" s="38">
        <f>(1000*CHOOSE(CONTROL!$C$42, 0.1146, 0.1146)*CHOOSE(CONTROL!$C$42, 121.5, 121.5)*CHOOSE(CONTROL!$C$42, 31, 31))/1000000</f>
        <v>0.43164089999999994</v>
      </c>
      <c r="X685" s="38">
        <f>(31*0.1790888*100000/1000000)+(31*0.2374*100000/1000000)</f>
        <v>1.2911152800000001</v>
      </c>
      <c r="Y685" s="38">
        <f>(1000*600*CHOOSE(CONTROL!$C$42, 1.0585, 1.0585)*CHOOSE(CONTROL!$C$42, 31, 31))/1000000</f>
        <v>19.688099999999999</v>
      </c>
      <c r="Z685" s="38"/>
      <c r="AA685" s="10"/>
      <c r="AB685" s="39"/>
      <c r="AC685" s="33">
        <f>(B685*122.58+C685*297.941+D685*89.177+E685*40.302+F685*40+G685*160+H685*0+I685*100+J685*300)/(122.58+297.941+89.177+40.302+0+40+160+100+300)</f>
        <v>21.26271549095652</v>
      </c>
      <c r="AD685" s="27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21.040118705035972</v>
      </c>
    </row>
    <row r="686" spans="1:30" ht="15.75" x14ac:dyDescent="0.25">
      <c r="A686" s="13">
        <v>62152</v>
      </c>
      <c r="B686" s="10">
        <f>CHOOSE(CONTROL!$C$42, 21.6413, 21.6413) * CHOOSE(CONTROL!$C$21, $C$9, 100%, $E$9)</f>
        <v>21.641300000000001</v>
      </c>
      <c r="C686" s="10">
        <f>CHOOSE(CONTROL!$C$42, 21.6464, 21.6464) * CHOOSE(CONTROL!$C$21, $C$9, 100%, $E$9)</f>
        <v>21.6464</v>
      </c>
      <c r="D686" s="10">
        <f>CHOOSE(CONTROL!$C$42, 21.6814, 21.6814) * CHOOSE(CONTROL!$C$21, $C$9, 100%, $E$9)</f>
        <v>21.6814</v>
      </c>
      <c r="E686" s="10">
        <f>CHOOSE(CONTROL!$C$42, 21.7152, 21.7152) * CHOOSE(CONTROL!$C$21, $C$9, 100%, $E$9)</f>
        <v>21.715199999999999</v>
      </c>
      <c r="F686" s="10">
        <f>CHOOSE(CONTROL!$C$42, 21.622, 21.622)*CHOOSE(CONTROL!$C$21, $C$9, 100%, $E$9)</f>
        <v>21.622</v>
      </c>
      <c r="G686" s="10">
        <f>CHOOSE(CONTROL!$C$42, 21.6408, 21.6408)*CHOOSE(CONTROL!$C$21, $C$9, 100%, $E$9)</f>
        <v>21.640799999999999</v>
      </c>
      <c r="H686" s="10">
        <f>CHOOSE(CONTROL!$C$42, 21.7041, 21.7041) * CHOOSE(CONTROL!$C$21, $C$9, 100%, $E$9)</f>
        <v>21.7041</v>
      </c>
      <c r="I686" s="10">
        <f>CHOOSE(CONTROL!$C$42, 21.6485, 21.6485)* CHOOSE(CONTROL!$C$21, $C$9, 100%, $E$9)</f>
        <v>21.648499999999999</v>
      </c>
      <c r="J686" s="10">
        <f>CHOOSE(CONTROL!$C$42, 21.6146, 21.6146)* CHOOSE(CONTROL!$C$21, $C$9, 100%, $E$9)</f>
        <v>21.614599999999999</v>
      </c>
      <c r="K686" s="10">
        <f>CHOOSE(CONTROL!$C$42, 21.148, 21.148) * CHOOSE(CONTROL!$C$21, $C$9, 100%, $E$9)</f>
        <v>21.148</v>
      </c>
      <c r="L686" s="10">
        <f>CHOOSE(CONTROL!$C$42, 22.2911, 22.2911) * CHOOSE(CONTROL!$C$21, $C$9, 100%, $E$9)</f>
        <v>22.2911</v>
      </c>
      <c r="M686" s="10">
        <f>CHOOSE(CONTROL!$C$42, 21.3679, 21.3679) * CHOOSE(CONTROL!$C$21, $C$9, 100%, $E$9)</f>
        <v>21.367899999999999</v>
      </c>
      <c r="N686" s="10">
        <f>CHOOSE(CONTROL!$C$42, 21.3864, 21.3864) * CHOOSE(CONTROL!$C$21, $C$9, 100%, $E$9)</f>
        <v>21.386399999999998</v>
      </c>
      <c r="O686" s="10">
        <f>CHOOSE(CONTROL!$C$42, 21.4562, 21.4562) * CHOOSE(CONTROL!$C$21, $C$9, 100%, $E$9)</f>
        <v>21.456199999999999</v>
      </c>
      <c r="P686" s="10">
        <f>CHOOSE(CONTROL!$C$42, 21.4014, 21.4014) * CHOOSE(CONTROL!$C$21, $C$9, 100%, $E$9)</f>
        <v>21.401399999999999</v>
      </c>
      <c r="Q686" s="10">
        <f>CHOOSE(CONTROL!$C$42, 22.0515, 22.0515) * CHOOSE(CONTROL!$C$21, $C$9, 100%, $E$9)</f>
        <v>22.051500000000001</v>
      </c>
      <c r="R686" s="10">
        <f>CHOOSE(CONTROL!$C$42, 22.6936, 22.6936) * CHOOSE(CONTROL!$C$21, $C$9, 100%, $E$9)</f>
        <v>22.6936</v>
      </c>
      <c r="S686" s="10">
        <f>CHOOSE(CONTROL!$C$42, 20.9719, 20.9719) * CHOOSE(CONTROL!$C$21, $C$9, 100%, $E$9)</f>
        <v>20.971900000000002</v>
      </c>
      <c r="T68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38">
        <f>(1000*CHOOSE(CONTROL!$C$42, 695, 695)*CHOOSE(CONTROL!$C$42, 0.5599, 0.5599)*CHOOSE(CONTROL!$C$42, 28, 28))/1000000</f>
        <v>10.895653999999999</v>
      </c>
      <c r="V686" s="38">
        <f>(1000*CHOOSE(CONTROL!$C$42, 500, 500)*CHOOSE(CONTROL!$C$42, 0.275, 0.275)*CHOOSE(CONTROL!$C$42, 28, 28))/1000000</f>
        <v>3.85</v>
      </c>
      <c r="W686" s="38">
        <f>(1000*CHOOSE(CONTROL!$C$42, 0.1146, 0.1146)*CHOOSE(CONTROL!$C$42, 121.5, 121.5)*CHOOSE(CONTROL!$C$42, 28, 28))/1000000</f>
        <v>0.38986920000000003</v>
      </c>
      <c r="X686" s="38">
        <f>(28*0.1790888*100000/1000000)+(28*0.2374*100000/1000000)</f>
        <v>1.16616864</v>
      </c>
      <c r="Y686" s="38">
        <f>(1000*600*CHOOSE(CONTROL!$C$42, 1.0585, 1.0585)*CHOOSE(CONTROL!$C$42, 28, 28))/1000000</f>
        <v>17.782800000000002</v>
      </c>
      <c r="Z686" s="38"/>
      <c r="AA686" s="10"/>
      <c r="AB686" s="39"/>
      <c r="AC686" s="33">
        <f>(B686*122.58+C686*297.941+D686*89.177+E686*40.302+F686*40+G686*160+H686*0+I686*100+J686*300)/(122.58+297.941+89.177+40.302+0+40+160+100+300)</f>
        <v>21.641240708347826</v>
      </c>
      <c r="AD686" s="27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21.413805755395678</v>
      </c>
    </row>
    <row r="687" spans="1:30" ht="15.75" x14ac:dyDescent="0.25">
      <c r="A687" s="13">
        <v>62183</v>
      </c>
      <c r="B687" s="10">
        <f>CHOOSE(CONTROL!$C$42, 21.0264, 21.0264) * CHOOSE(CONTROL!$C$21, $C$9, 100%, $E$9)</f>
        <v>21.026399999999999</v>
      </c>
      <c r="C687" s="10">
        <f>CHOOSE(CONTROL!$C$42, 21.0315, 21.0315) * CHOOSE(CONTROL!$C$21, $C$9, 100%, $E$9)</f>
        <v>21.031500000000001</v>
      </c>
      <c r="D687" s="10">
        <f>CHOOSE(CONTROL!$C$42, 21.0665, 21.0665) * CHOOSE(CONTROL!$C$21, $C$9, 100%, $E$9)</f>
        <v>21.066500000000001</v>
      </c>
      <c r="E687" s="10">
        <f>CHOOSE(CONTROL!$C$42, 21.1003, 21.1003) * CHOOSE(CONTROL!$C$21, $C$9, 100%, $E$9)</f>
        <v>21.100300000000001</v>
      </c>
      <c r="F687" s="10">
        <f>CHOOSE(CONTROL!$C$42, 21.0058, 21.0058)*CHOOSE(CONTROL!$C$21, $C$9, 100%, $E$9)</f>
        <v>21.005800000000001</v>
      </c>
      <c r="G687" s="10">
        <f>CHOOSE(CONTROL!$C$42, 21.0242, 21.0242)*CHOOSE(CONTROL!$C$21, $C$9, 100%, $E$9)</f>
        <v>21.0242</v>
      </c>
      <c r="H687" s="10">
        <f>CHOOSE(CONTROL!$C$42, 21.0892, 21.0892) * CHOOSE(CONTROL!$C$21, $C$9, 100%, $E$9)</f>
        <v>21.089200000000002</v>
      </c>
      <c r="I687" s="10">
        <f>CHOOSE(CONTROL!$C$42, 21.0337, 21.0337)* CHOOSE(CONTROL!$C$21, $C$9, 100%, $E$9)</f>
        <v>21.0337</v>
      </c>
      <c r="J687" s="10">
        <f>CHOOSE(CONTROL!$C$42, 20.9984, 20.9984)* CHOOSE(CONTROL!$C$21, $C$9, 100%, $E$9)</f>
        <v>20.9984</v>
      </c>
      <c r="K687" s="10">
        <f>CHOOSE(CONTROL!$C$42, 20.5493, 20.5493) * CHOOSE(CONTROL!$C$21, $C$9, 100%, $E$9)</f>
        <v>20.549299999999999</v>
      </c>
      <c r="L687" s="10">
        <f>CHOOSE(CONTROL!$C$42, 21.6762, 21.6762) * CHOOSE(CONTROL!$C$21, $C$9, 100%, $E$9)</f>
        <v>21.676200000000001</v>
      </c>
      <c r="M687" s="10">
        <f>CHOOSE(CONTROL!$C$42, 20.7596, 20.7596) * CHOOSE(CONTROL!$C$21, $C$9, 100%, $E$9)</f>
        <v>20.759599999999999</v>
      </c>
      <c r="N687" s="10">
        <f>CHOOSE(CONTROL!$C$42, 20.7777, 20.7777) * CHOOSE(CONTROL!$C$21, $C$9, 100%, $E$9)</f>
        <v>20.777699999999999</v>
      </c>
      <c r="O687" s="10">
        <f>CHOOSE(CONTROL!$C$42, 20.8492, 20.8492) * CHOOSE(CONTROL!$C$21, $C$9, 100%, $E$9)</f>
        <v>20.8492</v>
      </c>
      <c r="P687" s="10">
        <f>CHOOSE(CONTROL!$C$42, 20.7945, 20.7945) * CHOOSE(CONTROL!$C$21, $C$9, 100%, $E$9)</f>
        <v>20.794499999999999</v>
      </c>
      <c r="Q687" s="10">
        <f>CHOOSE(CONTROL!$C$42, 21.4445, 21.4445) * CHOOSE(CONTROL!$C$21, $C$9, 100%, $E$9)</f>
        <v>21.444500000000001</v>
      </c>
      <c r="R687" s="10">
        <f>CHOOSE(CONTROL!$C$42, 22.0852, 22.0852) * CHOOSE(CONTROL!$C$21, $C$9, 100%, $E$9)</f>
        <v>22.0852</v>
      </c>
      <c r="S687" s="10">
        <f>CHOOSE(CONTROL!$C$42, 20.3765, 20.3765) * CHOOSE(CONTROL!$C$21, $C$9, 100%, $E$9)</f>
        <v>20.3765</v>
      </c>
      <c r="T6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38">
        <f>(1000*CHOOSE(CONTROL!$C$42, 695, 695)*CHOOSE(CONTROL!$C$42, 0.5599, 0.5599)*CHOOSE(CONTROL!$C$42, 31, 31))/1000000</f>
        <v>12.063045499999998</v>
      </c>
      <c r="V687" s="38">
        <f>(1000*CHOOSE(CONTROL!$C$42, 500, 500)*CHOOSE(CONTROL!$C$42, 0.275, 0.275)*CHOOSE(CONTROL!$C$42, 31, 31))/1000000</f>
        <v>4.2625000000000002</v>
      </c>
      <c r="W687" s="38">
        <f>(1000*CHOOSE(CONTROL!$C$42, 0.1146, 0.1146)*CHOOSE(CONTROL!$C$42, 121.5, 121.5)*CHOOSE(CONTROL!$C$42, 31, 31))/1000000</f>
        <v>0.43164089999999994</v>
      </c>
      <c r="X687" s="38">
        <f>(31*0.1790888*100000/1000000)+(31*0.2374*100000/1000000)</f>
        <v>1.2911152800000001</v>
      </c>
      <c r="Y687" s="38">
        <f>(1000*600*CHOOSE(CONTROL!$C$42, 1.0585, 1.0585)*CHOOSE(CONTROL!$C$42, 31, 31))/1000000</f>
        <v>19.688099999999999</v>
      </c>
      <c r="Z687" s="38"/>
      <c r="AA687" s="10"/>
      <c r="AB687" s="39"/>
      <c r="AC687" s="33">
        <f>(B687*122.58+C687*297.941+D687*89.177+E687*40.302+F687*40+G687*160+H687*0+I687*100+J687*300)/(122.58+297.941+89.177+40.302+0+40+160+100+300)</f>
        <v>21.025728534434784</v>
      </c>
      <c r="AD687" s="27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20.806273381294965</v>
      </c>
    </row>
    <row r="688" spans="1:30" ht="15.75" x14ac:dyDescent="0.25">
      <c r="A688" s="13">
        <v>62213</v>
      </c>
      <c r="B688" s="10">
        <f>CHOOSE(CONTROL!$C$42, 20.9642, 20.9642) * CHOOSE(CONTROL!$C$21, $C$9, 100%, $E$9)</f>
        <v>20.964200000000002</v>
      </c>
      <c r="C688" s="10">
        <f>CHOOSE(CONTROL!$C$42, 20.9687, 20.9687) * CHOOSE(CONTROL!$C$21, $C$9, 100%, $E$9)</f>
        <v>20.968699999999998</v>
      </c>
      <c r="D688" s="10">
        <f>CHOOSE(CONTROL!$C$42, 21.1469, 21.1469) * CHOOSE(CONTROL!$C$21, $C$9, 100%, $E$9)</f>
        <v>21.146899999999999</v>
      </c>
      <c r="E688" s="10">
        <f>CHOOSE(CONTROL!$C$42, 21.1788, 21.1788) * CHOOSE(CONTROL!$C$21, $C$9, 100%, $E$9)</f>
        <v>21.178799999999999</v>
      </c>
      <c r="F688" s="10">
        <f>CHOOSE(CONTROL!$C$42, 20.9076, 20.9076)*CHOOSE(CONTROL!$C$21, $C$9, 100%, $E$9)</f>
        <v>20.907599999999999</v>
      </c>
      <c r="G688" s="10">
        <f>CHOOSE(CONTROL!$C$42, 20.9242, 20.9242)*CHOOSE(CONTROL!$C$21, $C$9, 100%, $E$9)</f>
        <v>20.924199999999999</v>
      </c>
      <c r="H688" s="10">
        <f>CHOOSE(CONTROL!$C$42, 21.1682, 21.1682) * CHOOSE(CONTROL!$C$21, $C$9, 100%, $E$9)</f>
        <v>21.168199999999999</v>
      </c>
      <c r="I688" s="10">
        <f>CHOOSE(CONTROL!$C$42, 20.9402, 20.9402)* CHOOSE(CONTROL!$C$21, $C$9, 100%, $E$9)</f>
        <v>20.940200000000001</v>
      </c>
      <c r="J688" s="10">
        <f>CHOOSE(CONTROL!$C$42, 20.9002, 20.9002)* CHOOSE(CONTROL!$C$21, $C$9, 100%, $E$9)</f>
        <v>20.900200000000002</v>
      </c>
      <c r="K688" s="10">
        <f>CHOOSE(CONTROL!$C$42, 20.444, 20.444) * CHOOSE(CONTROL!$C$21, $C$9, 100%, $E$9)</f>
        <v>20.443999999999999</v>
      </c>
      <c r="L688" s="10">
        <f>CHOOSE(CONTROL!$C$42, 21.7552, 21.7552) * CHOOSE(CONTROL!$C$21, $C$9, 100%, $E$9)</f>
        <v>21.755199999999999</v>
      </c>
      <c r="M688" s="10">
        <f>CHOOSE(CONTROL!$C$42, 20.6627, 20.6627) * CHOOSE(CONTROL!$C$21, $C$9, 100%, $E$9)</f>
        <v>20.662700000000001</v>
      </c>
      <c r="N688" s="10">
        <f>CHOOSE(CONTROL!$C$42, 20.6791, 20.6791) * CHOOSE(CONTROL!$C$21, $C$9, 100%, $E$9)</f>
        <v>20.679099999999998</v>
      </c>
      <c r="O688" s="10">
        <f>CHOOSE(CONTROL!$C$42, 20.9272, 20.9272) * CHOOSE(CONTROL!$C$21, $C$9, 100%, $E$9)</f>
        <v>20.927199999999999</v>
      </c>
      <c r="P688" s="10">
        <f>CHOOSE(CONTROL!$C$42, 20.7022, 20.7022) * CHOOSE(CONTROL!$C$21, $C$9, 100%, $E$9)</f>
        <v>20.702200000000001</v>
      </c>
      <c r="Q688" s="10">
        <f>CHOOSE(CONTROL!$C$42, 21.5225, 21.5225) * CHOOSE(CONTROL!$C$21, $C$9, 100%, $E$9)</f>
        <v>21.522500000000001</v>
      </c>
      <c r="R688" s="10">
        <f>CHOOSE(CONTROL!$C$42, 22.1633, 22.1633) * CHOOSE(CONTROL!$C$21, $C$9, 100%, $E$9)</f>
        <v>22.1633</v>
      </c>
      <c r="S688" s="10">
        <f>CHOOSE(CONTROL!$C$42, 20.3155, 20.3155) * CHOOSE(CONTROL!$C$21, $C$9, 100%, $E$9)</f>
        <v>20.3155</v>
      </c>
      <c r="T6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38">
        <f>(1000*CHOOSE(CONTROL!$C$42, 695, 695)*CHOOSE(CONTROL!$C$42, 0.5599, 0.5599)*CHOOSE(CONTROL!$C$42, 30, 30))/1000000</f>
        <v>11.673914999999997</v>
      </c>
      <c r="V688" s="38">
        <f>(1000*CHOOSE(CONTROL!$C$42, 500, 500)*CHOOSE(CONTROL!$C$42, 0.275, 0.275)*CHOOSE(CONTROL!$C$42, 30, 30))/1000000</f>
        <v>4.125</v>
      </c>
      <c r="W688" s="38">
        <f>(1000*CHOOSE(CONTROL!$C$42, 0.1146, 0.1146)*CHOOSE(CONTROL!$C$42, 121.5, 121.5)*CHOOSE(CONTROL!$C$42, 30, 30))/1000000</f>
        <v>0.417717</v>
      </c>
      <c r="X688" s="38">
        <f>(30*0.1790888*245000/1000000)+(30*0.2374*100000/1000000)</f>
        <v>2.0285026799999999</v>
      </c>
      <c r="Y688" s="38">
        <f>(1000*600*CHOOSE(CONTROL!$C$42, 1.0585, 1.0585)*CHOOSE(CONTROL!$C$42, 30, 30))/1000000</f>
        <v>19.053000000000001</v>
      </c>
      <c r="Z688" s="38"/>
      <c r="AA688" s="10"/>
      <c r="AB688" s="39"/>
      <c r="AC688" s="33">
        <f>(B688*141.293+C688*267.993+D688*115.016+E688*89.698+F688*40+G688*185+H688*0+I688*100+J688*300)/(141.293+267.993+115.016+89.698+0+40+185+100+300)</f>
        <v>20.972436144067796</v>
      </c>
      <c r="AD688" s="27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20.789208633093526</v>
      </c>
    </row>
    <row r="689" spans="1:30" ht="15.75" x14ac:dyDescent="0.25">
      <c r="A689" s="13">
        <v>62244</v>
      </c>
      <c r="B689" s="10">
        <f>CHOOSE(CONTROL!$C$42, 21.1511, 21.1511) * CHOOSE(CONTROL!$C$21, $C$9, 100%, $E$9)</f>
        <v>21.1511</v>
      </c>
      <c r="C689" s="10">
        <f>CHOOSE(CONTROL!$C$42, 21.1591, 21.1591) * CHOOSE(CONTROL!$C$21, $C$9, 100%, $E$9)</f>
        <v>21.159099999999999</v>
      </c>
      <c r="D689" s="10">
        <f>CHOOSE(CONTROL!$C$42, 21.3342, 21.3342) * CHOOSE(CONTROL!$C$21, $C$9, 100%, $E$9)</f>
        <v>21.334199999999999</v>
      </c>
      <c r="E689" s="10">
        <f>CHOOSE(CONTROL!$C$42, 21.3654, 21.3654) * CHOOSE(CONTROL!$C$21, $C$9, 100%, $E$9)</f>
        <v>21.365400000000001</v>
      </c>
      <c r="F689" s="10">
        <f>CHOOSE(CONTROL!$C$42, 21.0928, 21.0928)*CHOOSE(CONTROL!$C$21, $C$9, 100%, $E$9)</f>
        <v>21.0928</v>
      </c>
      <c r="G689" s="10">
        <f>CHOOSE(CONTROL!$C$42, 21.1097, 21.1097)*CHOOSE(CONTROL!$C$21, $C$9, 100%, $E$9)</f>
        <v>21.1097</v>
      </c>
      <c r="H689" s="10">
        <f>CHOOSE(CONTROL!$C$42, 21.3538, 21.3538) * CHOOSE(CONTROL!$C$21, $C$9, 100%, $E$9)</f>
        <v>21.3538</v>
      </c>
      <c r="I689" s="10">
        <f>CHOOSE(CONTROL!$C$42, 21.1258, 21.1258)* CHOOSE(CONTROL!$C$21, $C$9, 100%, $E$9)</f>
        <v>21.125800000000002</v>
      </c>
      <c r="J689" s="10">
        <f>CHOOSE(CONTROL!$C$42, 21.0854, 21.0854)* CHOOSE(CONTROL!$C$21, $C$9, 100%, $E$9)</f>
        <v>21.0854</v>
      </c>
      <c r="K689" s="10">
        <f>CHOOSE(CONTROL!$C$42, 20.6229, 20.6229) * CHOOSE(CONTROL!$C$21, $C$9, 100%, $E$9)</f>
        <v>20.622900000000001</v>
      </c>
      <c r="L689" s="10">
        <f>CHOOSE(CONTROL!$C$42, 21.9408, 21.9408) * CHOOSE(CONTROL!$C$21, $C$9, 100%, $E$9)</f>
        <v>21.940799999999999</v>
      </c>
      <c r="M689" s="10">
        <f>CHOOSE(CONTROL!$C$42, 20.8455, 20.8455) * CHOOSE(CONTROL!$C$21, $C$9, 100%, $E$9)</f>
        <v>20.845500000000001</v>
      </c>
      <c r="N689" s="10">
        <f>CHOOSE(CONTROL!$C$42, 20.8621, 20.8621) * CHOOSE(CONTROL!$C$21, $C$9, 100%, $E$9)</f>
        <v>20.862100000000002</v>
      </c>
      <c r="O689" s="10">
        <f>CHOOSE(CONTROL!$C$42, 21.1104, 21.1104) * CHOOSE(CONTROL!$C$21, $C$9, 100%, $E$9)</f>
        <v>21.110399999999998</v>
      </c>
      <c r="P689" s="10">
        <f>CHOOSE(CONTROL!$C$42, 20.8854, 20.8854) * CHOOSE(CONTROL!$C$21, $C$9, 100%, $E$9)</f>
        <v>20.885400000000001</v>
      </c>
      <c r="Q689" s="10">
        <f>CHOOSE(CONTROL!$C$42, 21.7057, 21.7057) * CHOOSE(CONTROL!$C$21, $C$9, 100%, $E$9)</f>
        <v>21.7057</v>
      </c>
      <c r="R689" s="10">
        <f>CHOOSE(CONTROL!$C$42, 22.3469, 22.3469) * CHOOSE(CONTROL!$C$21, $C$9, 100%, $E$9)</f>
        <v>22.346900000000002</v>
      </c>
      <c r="S689" s="10">
        <f>CHOOSE(CONTROL!$C$42, 20.4952, 20.4952) * CHOOSE(CONTROL!$C$21, $C$9, 100%, $E$9)</f>
        <v>20.495200000000001</v>
      </c>
      <c r="T6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38">
        <f>(1000*CHOOSE(CONTROL!$C$42, 695, 695)*CHOOSE(CONTROL!$C$42, 0.5599, 0.5599)*CHOOSE(CONTROL!$C$42, 31, 31))/1000000</f>
        <v>12.063045499999998</v>
      </c>
      <c r="V689" s="38">
        <f>(1000*CHOOSE(CONTROL!$C$42, 500, 500)*CHOOSE(CONTROL!$C$42, 0.275, 0.275)*CHOOSE(CONTROL!$C$42, 31, 31))/1000000</f>
        <v>4.2625000000000002</v>
      </c>
      <c r="W689" s="38">
        <f>(1000*CHOOSE(CONTROL!$C$42, 0.1146, 0.1146)*CHOOSE(CONTROL!$C$42, 121.5, 121.5)*CHOOSE(CONTROL!$C$42, 31, 31))/1000000</f>
        <v>0.43164089999999994</v>
      </c>
      <c r="X689" s="38">
        <f>(31*0.1790888*245000/1000000)+(31*0.2374*100000/1000000)</f>
        <v>2.0961194359999999</v>
      </c>
      <c r="Y689" s="38">
        <f>(1000*600*CHOOSE(CONTROL!$C$42, 1.0585, 1.0585)*CHOOSE(CONTROL!$C$42, 31, 31))/1000000</f>
        <v>19.688099999999999</v>
      </c>
      <c r="Z689" s="38"/>
      <c r="AA689" s="10"/>
      <c r="AB689" s="39"/>
      <c r="AC689" s="33">
        <f>(B689*194.205+C689*267.466+D689*133.845+E689*53.484+F689*40+G689*185+H689*0+I689*100+J689*300)/(194.205+267.466+133.845+53.484+0+40+185+100+300)</f>
        <v>21.15571331923077</v>
      </c>
      <c r="AD689" s="27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20.972258992805756</v>
      </c>
    </row>
    <row r="690" spans="1:30" ht="15.75" x14ac:dyDescent="0.25">
      <c r="A690" s="13">
        <v>62274</v>
      </c>
      <c r="B690" s="10">
        <f>CHOOSE(CONTROL!$C$42, 21.7515, 21.7515) * CHOOSE(CONTROL!$C$21, $C$9, 100%, $E$9)</f>
        <v>21.7515</v>
      </c>
      <c r="C690" s="10">
        <f>CHOOSE(CONTROL!$C$42, 21.7595, 21.7595) * CHOOSE(CONTROL!$C$21, $C$9, 100%, $E$9)</f>
        <v>21.759499999999999</v>
      </c>
      <c r="D690" s="10">
        <f>CHOOSE(CONTROL!$C$42, 21.9346, 21.9346) * CHOOSE(CONTROL!$C$21, $C$9, 100%, $E$9)</f>
        <v>21.9346</v>
      </c>
      <c r="E690" s="10">
        <f>CHOOSE(CONTROL!$C$42, 21.9658, 21.9658) * CHOOSE(CONTROL!$C$21, $C$9, 100%, $E$9)</f>
        <v>21.965800000000002</v>
      </c>
      <c r="F690" s="10">
        <f>CHOOSE(CONTROL!$C$42, 21.6934, 21.6934)*CHOOSE(CONTROL!$C$21, $C$9, 100%, $E$9)</f>
        <v>21.6934</v>
      </c>
      <c r="G690" s="10">
        <f>CHOOSE(CONTROL!$C$42, 21.7103, 21.7103)*CHOOSE(CONTROL!$C$21, $C$9, 100%, $E$9)</f>
        <v>21.7103</v>
      </c>
      <c r="H690" s="10">
        <f>CHOOSE(CONTROL!$C$42, 21.9541, 21.9541) * CHOOSE(CONTROL!$C$21, $C$9, 100%, $E$9)</f>
        <v>21.9541</v>
      </c>
      <c r="I690" s="10">
        <f>CHOOSE(CONTROL!$C$42, 21.7261, 21.7261)* CHOOSE(CONTROL!$C$21, $C$9, 100%, $E$9)</f>
        <v>21.726099999999999</v>
      </c>
      <c r="J690" s="10">
        <f>CHOOSE(CONTROL!$C$42, 21.686, 21.686)* CHOOSE(CONTROL!$C$21, $C$9, 100%, $E$9)</f>
        <v>21.686</v>
      </c>
      <c r="K690" s="10">
        <f>CHOOSE(CONTROL!$C$42, 21.2049, 21.2049) * CHOOSE(CONTROL!$C$21, $C$9, 100%, $E$9)</f>
        <v>21.204899999999999</v>
      </c>
      <c r="L690" s="10">
        <f>CHOOSE(CONTROL!$C$42, 22.5411, 22.5411) * CHOOSE(CONTROL!$C$21, $C$9, 100%, $E$9)</f>
        <v>22.5411</v>
      </c>
      <c r="M690" s="10">
        <f>CHOOSE(CONTROL!$C$42, 21.4383, 21.4383) * CHOOSE(CONTROL!$C$21, $C$9, 100%, $E$9)</f>
        <v>21.438300000000002</v>
      </c>
      <c r="N690" s="10">
        <f>CHOOSE(CONTROL!$C$42, 21.455, 21.455) * CHOOSE(CONTROL!$C$21, $C$9, 100%, $E$9)</f>
        <v>21.454999999999998</v>
      </c>
      <c r="O690" s="10">
        <f>CHOOSE(CONTROL!$C$42, 21.703, 21.703) * CHOOSE(CONTROL!$C$21, $C$9, 100%, $E$9)</f>
        <v>21.702999999999999</v>
      </c>
      <c r="P690" s="10">
        <f>CHOOSE(CONTROL!$C$42, 21.478, 21.478) * CHOOSE(CONTROL!$C$21, $C$9, 100%, $E$9)</f>
        <v>21.478000000000002</v>
      </c>
      <c r="Q690" s="10">
        <f>CHOOSE(CONTROL!$C$42, 22.2983, 22.2983) * CHOOSE(CONTROL!$C$21, $C$9, 100%, $E$9)</f>
        <v>22.298300000000001</v>
      </c>
      <c r="R690" s="10">
        <f>CHOOSE(CONTROL!$C$42, 22.941, 22.941) * CHOOSE(CONTROL!$C$21, $C$9, 100%, $E$9)</f>
        <v>22.940999999999999</v>
      </c>
      <c r="S690" s="10">
        <f>CHOOSE(CONTROL!$C$42, 21.0766, 21.0766) * CHOOSE(CONTROL!$C$21, $C$9, 100%, $E$9)</f>
        <v>21.076599999999999</v>
      </c>
      <c r="T6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38">
        <f>(1000*CHOOSE(CONTROL!$C$42, 695, 695)*CHOOSE(CONTROL!$C$42, 0.5599, 0.5599)*CHOOSE(CONTROL!$C$42, 30, 30))/1000000</f>
        <v>11.673914999999997</v>
      </c>
      <c r="V690" s="38">
        <f>(1000*CHOOSE(CONTROL!$C$42, 500, 500)*CHOOSE(CONTROL!$C$42, 0.275, 0.275)*CHOOSE(CONTROL!$C$42, 30, 30))/1000000</f>
        <v>4.125</v>
      </c>
      <c r="W690" s="38">
        <f>(1000*CHOOSE(CONTROL!$C$42, 0.1146, 0.1146)*CHOOSE(CONTROL!$C$42, 121.5, 121.5)*CHOOSE(CONTROL!$C$42, 30, 30))/1000000</f>
        <v>0.417717</v>
      </c>
      <c r="X690" s="38">
        <f>(30*0.1790888*245000/1000000)+(30*0.2374*100000/1000000)</f>
        <v>2.0285026799999999</v>
      </c>
      <c r="Y690" s="38">
        <f>(1000*600*CHOOSE(CONTROL!$C$42, 1.0585, 1.0585)*CHOOSE(CONTROL!$C$42, 30, 30))/1000000</f>
        <v>19.053000000000001</v>
      </c>
      <c r="Z690" s="38"/>
      <c r="AA690" s="10"/>
      <c r="AB690" s="39"/>
      <c r="AC690" s="33">
        <f>(B690*194.205+C690*267.466+D690*133.845+E690*53.484+F690*40+G690*185+H690*0+I690*100+J690*300)/(194.205+267.466+133.845+53.484+0+40+185+100+300)</f>
        <v>21.756187887519623</v>
      </c>
      <c r="AD690" s="27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21.564945323741007</v>
      </c>
    </row>
    <row r="691" spans="1:30" ht="15.75" x14ac:dyDescent="0.25">
      <c r="A691" s="13">
        <v>62305</v>
      </c>
      <c r="B691" s="10">
        <f>CHOOSE(CONTROL!$C$42, 21.3339, 21.3339) * CHOOSE(CONTROL!$C$21, $C$9, 100%, $E$9)</f>
        <v>21.3339</v>
      </c>
      <c r="C691" s="10">
        <f>CHOOSE(CONTROL!$C$42, 21.3419, 21.3419) * CHOOSE(CONTROL!$C$21, $C$9, 100%, $E$9)</f>
        <v>21.341899999999999</v>
      </c>
      <c r="D691" s="10">
        <f>CHOOSE(CONTROL!$C$42, 21.517, 21.517) * CHOOSE(CONTROL!$C$21, $C$9, 100%, $E$9)</f>
        <v>21.516999999999999</v>
      </c>
      <c r="E691" s="10">
        <f>CHOOSE(CONTROL!$C$42, 21.5483, 21.5483) * CHOOSE(CONTROL!$C$21, $C$9, 100%, $E$9)</f>
        <v>21.548300000000001</v>
      </c>
      <c r="F691" s="10">
        <f>CHOOSE(CONTROL!$C$42, 21.2761, 21.2761)*CHOOSE(CONTROL!$C$21, $C$9, 100%, $E$9)</f>
        <v>21.2761</v>
      </c>
      <c r="G691" s="10">
        <f>CHOOSE(CONTROL!$C$42, 21.2932, 21.2932)*CHOOSE(CONTROL!$C$21, $C$9, 100%, $E$9)</f>
        <v>21.293199999999999</v>
      </c>
      <c r="H691" s="10">
        <f>CHOOSE(CONTROL!$C$42, 21.5366, 21.5366) * CHOOSE(CONTROL!$C$21, $C$9, 100%, $E$9)</f>
        <v>21.5366</v>
      </c>
      <c r="I691" s="10">
        <f>CHOOSE(CONTROL!$C$42, 21.3086, 21.3086)* CHOOSE(CONTROL!$C$21, $C$9, 100%, $E$9)</f>
        <v>21.308599999999998</v>
      </c>
      <c r="J691" s="10">
        <f>CHOOSE(CONTROL!$C$42, 21.2687, 21.2687)* CHOOSE(CONTROL!$C$21, $C$9, 100%, $E$9)</f>
        <v>21.268699999999999</v>
      </c>
      <c r="K691" s="10">
        <f>CHOOSE(CONTROL!$C$42, 20.8012, 20.8012) * CHOOSE(CONTROL!$C$21, $C$9, 100%, $E$9)</f>
        <v>20.801200000000001</v>
      </c>
      <c r="L691" s="10">
        <f>CHOOSE(CONTROL!$C$42, 22.1236, 22.1236) * CHOOSE(CONTROL!$C$21, $C$9, 100%, $E$9)</f>
        <v>22.1236</v>
      </c>
      <c r="M691" s="10">
        <f>CHOOSE(CONTROL!$C$42, 21.0264, 21.0264) * CHOOSE(CONTROL!$C$21, $C$9, 100%, $E$9)</f>
        <v>21.026399999999999</v>
      </c>
      <c r="N691" s="10">
        <f>CHOOSE(CONTROL!$C$42, 21.0433, 21.0433) * CHOOSE(CONTROL!$C$21, $C$9, 100%, $E$9)</f>
        <v>21.043299999999999</v>
      </c>
      <c r="O691" s="10">
        <f>CHOOSE(CONTROL!$C$42, 21.2908, 21.2908) * CHOOSE(CONTROL!$C$21, $C$9, 100%, $E$9)</f>
        <v>21.290800000000001</v>
      </c>
      <c r="P691" s="10">
        <f>CHOOSE(CONTROL!$C$42, 21.0658, 21.0658) * CHOOSE(CONTROL!$C$21, $C$9, 100%, $E$9)</f>
        <v>21.065799999999999</v>
      </c>
      <c r="Q691" s="10">
        <f>CHOOSE(CONTROL!$C$42, 21.8861, 21.8861) * CHOOSE(CONTROL!$C$21, $C$9, 100%, $E$9)</f>
        <v>21.886099999999999</v>
      </c>
      <c r="R691" s="10">
        <f>CHOOSE(CONTROL!$C$42, 22.5278, 22.5278) * CHOOSE(CONTROL!$C$21, $C$9, 100%, $E$9)</f>
        <v>22.527799999999999</v>
      </c>
      <c r="S691" s="10">
        <f>CHOOSE(CONTROL!$C$42, 20.6722, 20.6722) * CHOOSE(CONTROL!$C$21, $C$9, 100%, $E$9)</f>
        <v>20.6722</v>
      </c>
      <c r="T6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38">
        <f>(1000*CHOOSE(CONTROL!$C$42, 695, 695)*CHOOSE(CONTROL!$C$42, 0.5599, 0.5599)*CHOOSE(CONTROL!$C$42, 31, 31))/1000000</f>
        <v>12.063045499999998</v>
      </c>
      <c r="V691" s="38">
        <f>(1000*CHOOSE(CONTROL!$C$42, 500, 500)*CHOOSE(CONTROL!$C$42, 0.275, 0.275)*CHOOSE(CONTROL!$C$42, 31, 31))/1000000</f>
        <v>4.2625000000000002</v>
      </c>
      <c r="W691" s="38">
        <f>(1000*CHOOSE(CONTROL!$C$42, 0.1146, 0.1146)*CHOOSE(CONTROL!$C$42, 121.5, 121.5)*CHOOSE(CONTROL!$C$42, 31, 31))/1000000</f>
        <v>0.43164089999999994</v>
      </c>
      <c r="X691" s="38">
        <f>(31*0.1790888*245000/1000000)+(31*0.2374*100000/1000000)</f>
        <v>2.0961194359999999</v>
      </c>
      <c r="Y691" s="38">
        <f>(1000*600*CHOOSE(CONTROL!$C$42, 1.0585, 1.0585)*CHOOSE(CONTROL!$C$42, 31, 31))/1000000</f>
        <v>19.688099999999999</v>
      </c>
      <c r="Z691" s="38"/>
      <c r="AA691" s="10"/>
      <c r="AB691" s="39"/>
      <c r="AC691" s="33">
        <f>(B691*194.205+C691*267.466+D691*133.845+E691*53.484+F691*40+G691*185+H691*0+I691*100+J691*300)/(194.205+267.466+133.845+53.484+0+40+185+100+300)</f>
        <v>21.338752603689169</v>
      </c>
      <c r="AD691" s="27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21.152877697841724</v>
      </c>
    </row>
    <row r="692" spans="1:30" ht="15.75" x14ac:dyDescent="0.25">
      <c r="A692" s="13">
        <v>62336</v>
      </c>
      <c r="B692" s="10">
        <f>CHOOSE(CONTROL!$C$42, 20.2794, 20.2794) * CHOOSE(CONTROL!$C$21, $C$9, 100%, $E$9)</f>
        <v>20.279399999999999</v>
      </c>
      <c r="C692" s="10">
        <f>CHOOSE(CONTROL!$C$42, 20.2874, 20.2874) * CHOOSE(CONTROL!$C$21, $C$9, 100%, $E$9)</f>
        <v>20.287400000000002</v>
      </c>
      <c r="D692" s="10">
        <f>CHOOSE(CONTROL!$C$42, 20.4626, 20.4626) * CHOOSE(CONTROL!$C$21, $C$9, 100%, $E$9)</f>
        <v>20.462599999999998</v>
      </c>
      <c r="E692" s="10">
        <f>CHOOSE(CONTROL!$C$42, 20.4938, 20.4938) * CHOOSE(CONTROL!$C$21, $C$9, 100%, $E$9)</f>
        <v>20.4938</v>
      </c>
      <c r="F692" s="10">
        <f>CHOOSE(CONTROL!$C$42, 20.2215, 20.2215)*CHOOSE(CONTROL!$C$21, $C$9, 100%, $E$9)</f>
        <v>20.221499999999999</v>
      </c>
      <c r="G692" s="10">
        <f>CHOOSE(CONTROL!$C$42, 20.2385, 20.2385)*CHOOSE(CONTROL!$C$21, $C$9, 100%, $E$9)</f>
        <v>20.238499999999998</v>
      </c>
      <c r="H692" s="10">
        <f>CHOOSE(CONTROL!$C$42, 20.4821, 20.4821) * CHOOSE(CONTROL!$C$21, $C$9, 100%, $E$9)</f>
        <v>20.482099999999999</v>
      </c>
      <c r="I692" s="10">
        <f>CHOOSE(CONTROL!$C$42, 20.2541, 20.2541)* CHOOSE(CONTROL!$C$21, $C$9, 100%, $E$9)</f>
        <v>20.254100000000001</v>
      </c>
      <c r="J692" s="10">
        <f>CHOOSE(CONTROL!$C$42, 20.2141, 20.2141)* CHOOSE(CONTROL!$C$21, $C$9, 100%, $E$9)</f>
        <v>20.214099999999998</v>
      </c>
      <c r="K692" s="10">
        <f>CHOOSE(CONTROL!$C$42, 19.7794, 19.7794) * CHOOSE(CONTROL!$C$21, $C$9, 100%, $E$9)</f>
        <v>19.779399999999999</v>
      </c>
      <c r="L692" s="10">
        <f>CHOOSE(CONTROL!$C$42, 21.0691, 21.0691) * CHOOSE(CONTROL!$C$21, $C$9, 100%, $E$9)</f>
        <v>21.069099999999999</v>
      </c>
      <c r="M692" s="10">
        <f>CHOOSE(CONTROL!$C$42, 19.9855, 19.9855) * CHOOSE(CONTROL!$C$21, $C$9, 100%, $E$9)</f>
        <v>19.985499999999998</v>
      </c>
      <c r="N692" s="10">
        <f>CHOOSE(CONTROL!$C$42, 20.0023, 20.0023) * CHOOSE(CONTROL!$C$21, $C$9, 100%, $E$9)</f>
        <v>20.002300000000002</v>
      </c>
      <c r="O692" s="10">
        <f>CHOOSE(CONTROL!$C$42, 20.25, 20.25) * CHOOSE(CONTROL!$C$21, $C$9, 100%, $E$9)</f>
        <v>20.25</v>
      </c>
      <c r="P692" s="10">
        <f>CHOOSE(CONTROL!$C$42, 20.025, 20.025) * CHOOSE(CONTROL!$C$21, $C$9, 100%, $E$9)</f>
        <v>20.024999999999999</v>
      </c>
      <c r="Q692" s="10">
        <f>CHOOSE(CONTROL!$C$42, 20.8453, 20.8453) * CHOOSE(CONTROL!$C$21, $C$9, 100%, $E$9)</f>
        <v>20.845300000000002</v>
      </c>
      <c r="R692" s="10">
        <f>CHOOSE(CONTROL!$C$42, 21.4844, 21.4844) * CHOOSE(CONTROL!$C$21, $C$9, 100%, $E$9)</f>
        <v>21.484400000000001</v>
      </c>
      <c r="S692" s="10">
        <f>CHOOSE(CONTROL!$C$42, 19.6512, 19.6512) * CHOOSE(CONTROL!$C$21, $C$9, 100%, $E$9)</f>
        <v>19.651199999999999</v>
      </c>
      <c r="T6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38">
        <f>(1000*CHOOSE(CONTROL!$C$42, 695, 695)*CHOOSE(CONTROL!$C$42, 0.5599, 0.5599)*CHOOSE(CONTROL!$C$42, 31, 31))/1000000</f>
        <v>12.063045499999998</v>
      </c>
      <c r="V692" s="38">
        <f>(1000*CHOOSE(CONTROL!$C$42, 500, 500)*CHOOSE(CONTROL!$C$42, 0.275, 0.275)*CHOOSE(CONTROL!$C$42, 31, 31))/1000000</f>
        <v>4.2625000000000002</v>
      </c>
      <c r="W692" s="38">
        <f>(1000*CHOOSE(CONTROL!$C$42, 0.1146, 0.1146)*CHOOSE(CONTROL!$C$42, 121.5, 121.5)*CHOOSE(CONTROL!$C$42, 31, 31))/1000000</f>
        <v>0.43164089999999994</v>
      </c>
      <c r="X692" s="38">
        <f>(31*0.1790888*245000/1000000)+(31*0.2374*100000/1000000)</f>
        <v>2.0961194359999999</v>
      </c>
      <c r="Y692" s="38">
        <f>(1000*600*CHOOSE(CONTROL!$C$42, 1.0585, 1.0585)*CHOOSE(CONTROL!$C$42, 31, 31))/1000000</f>
        <v>19.688099999999999</v>
      </c>
      <c r="Z692" s="38"/>
      <c r="AA692" s="10"/>
      <c r="AB692" s="39"/>
      <c r="AC692" s="33">
        <f>(B692*194.205+C692*267.466+D692*133.845+E692*53.484+F692*40+G692*185+H692*0+I692*100+J692*300)/(194.205+267.466+133.845+53.484+0+40+185+100+300)</f>
        <v>20.284207379591837</v>
      </c>
      <c r="AD692" s="27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20.112031654676258</v>
      </c>
    </row>
    <row r="693" spans="1:30" ht="15.75" x14ac:dyDescent="0.25">
      <c r="A693" s="13">
        <v>62366</v>
      </c>
      <c r="B693" s="10">
        <f>CHOOSE(CONTROL!$C$42, 18.9911, 18.9911) * CHOOSE(CONTROL!$C$21, $C$9, 100%, $E$9)</f>
        <v>18.991099999999999</v>
      </c>
      <c r="C693" s="10">
        <f>CHOOSE(CONTROL!$C$42, 18.9991, 18.9991) * CHOOSE(CONTROL!$C$21, $C$9, 100%, $E$9)</f>
        <v>18.999099999999999</v>
      </c>
      <c r="D693" s="10">
        <f>CHOOSE(CONTROL!$C$42, 19.1742, 19.1742) * CHOOSE(CONTROL!$C$21, $C$9, 100%, $E$9)</f>
        <v>19.174199999999999</v>
      </c>
      <c r="E693" s="10">
        <f>CHOOSE(CONTROL!$C$42, 19.2054, 19.2054) * CHOOSE(CONTROL!$C$21, $C$9, 100%, $E$9)</f>
        <v>19.205400000000001</v>
      </c>
      <c r="F693" s="10">
        <f>CHOOSE(CONTROL!$C$42, 18.9328, 18.9328)*CHOOSE(CONTROL!$C$21, $C$9, 100%, $E$9)</f>
        <v>18.9328</v>
      </c>
      <c r="G693" s="10">
        <f>CHOOSE(CONTROL!$C$42, 18.9498, 18.9498)*CHOOSE(CONTROL!$C$21, $C$9, 100%, $E$9)</f>
        <v>18.9498</v>
      </c>
      <c r="H693" s="10">
        <f>CHOOSE(CONTROL!$C$42, 19.1937, 19.1937) * CHOOSE(CONTROL!$C$21, $C$9, 100%, $E$9)</f>
        <v>19.1937</v>
      </c>
      <c r="I693" s="10">
        <f>CHOOSE(CONTROL!$C$42, 18.9657, 18.9657)* CHOOSE(CONTROL!$C$21, $C$9, 100%, $E$9)</f>
        <v>18.965699999999998</v>
      </c>
      <c r="J693" s="10">
        <f>CHOOSE(CONTROL!$C$42, 18.9254, 18.9254)* CHOOSE(CONTROL!$C$21, $C$9, 100%, $E$9)</f>
        <v>18.9254</v>
      </c>
      <c r="K693" s="10">
        <f>CHOOSE(CONTROL!$C$42, 18.5305, 18.5305) * CHOOSE(CONTROL!$C$21, $C$9, 100%, $E$9)</f>
        <v>18.5305</v>
      </c>
      <c r="L693" s="10">
        <f>CHOOSE(CONTROL!$C$42, 19.7807, 19.7807) * CHOOSE(CONTROL!$C$21, $C$9, 100%, $E$9)</f>
        <v>19.7807</v>
      </c>
      <c r="M693" s="10">
        <f>CHOOSE(CONTROL!$C$42, 18.7135, 18.7135) * CHOOSE(CONTROL!$C$21, $C$9, 100%, $E$9)</f>
        <v>18.7135</v>
      </c>
      <c r="N693" s="10">
        <f>CHOOSE(CONTROL!$C$42, 18.7302, 18.7302) * CHOOSE(CONTROL!$C$21, $C$9, 100%, $E$9)</f>
        <v>18.7302</v>
      </c>
      <c r="O693" s="10">
        <f>CHOOSE(CONTROL!$C$42, 18.9783, 18.9783) * CHOOSE(CONTROL!$C$21, $C$9, 100%, $E$9)</f>
        <v>18.978300000000001</v>
      </c>
      <c r="P693" s="10">
        <f>CHOOSE(CONTROL!$C$42, 18.7533, 18.7533) * CHOOSE(CONTROL!$C$21, $C$9, 100%, $E$9)</f>
        <v>18.753299999999999</v>
      </c>
      <c r="Q693" s="10">
        <f>CHOOSE(CONTROL!$C$42, 19.5736, 19.5736) * CHOOSE(CONTROL!$C$21, $C$9, 100%, $E$9)</f>
        <v>19.573599999999999</v>
      </c>
      <c r="R693" s="10">
        <f>CHOOSE(CONTROL!$C$42, 20.2095, 20.2095) * CHOOSE(CONTROL!$C$21, $C$9, 100%, $E$9)</f>
        <v>20.209499999999998</v>
      </c>
      <c r="S693" s="10">
        <f>CHOOSE(CONTROL!$C$42, 18.4036, 18.4036) * CHOOSE(CONTROL!$C$21, $C$9, 100%, $E$9)</f>
        <v>18.403600000000001</v>
      </c>
      <c r="T6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38">
        <f>(1000*CHOOSE(CONTROL!$C$42, 695, 695)*CHOOSE(CONTROL!$C$42, 0.5599, 0.5599)*CHOOSE(CONTROL!$C$42, 30, 30))/1000000</f>
        <v>11.673914999999997</v>
      </c>
      <c r="V693" s="38">
        <f>(1000*CHOOSE(CONTROL!$C$42, 500, 500)*CHOOSE(CONTROL!$C$42, 0.275, 0.275)*CHOOSE(CONTROL!$C$42, 30, 30))/1000000</f>
        <v>4.125</v>
      </c>
      <c r="W693" s="38">
        <f>(1000*CHOOSE(CONTROL!$C$42, 0.1146, 0.1146)*CHOOSE(CONTROL!$C$42, 121.5, 121.5)*CHOOSE(CONTROL!$C$42, 30, 30))/1000000</f>
        <v>0.417717</v>
      </c>
      <c r="X693" s="38">
        <f>(30*0.1790888*245000/1000000)+(30*0.2374*100000/1000000)</f>
        <v>2.0285026799999999</v>
      </c>
      <c r="Y693" s="38">
        <f>(1000*600*CHOOSE(CONTROL!$C$42, 1.0585, 1.0585)*CHOOSE(CONTROL!$C$42, 30, 30))/1000000</f>
        <v>19.053000000000001</v>
      </c>
      <c r="Z693" s="38"/>
      <c r="AA693" s="10"/>
      <c r="AB693" s="39"/>
      <c r="AC693" s="33">
        <f>(B693*194.205+C693*267.466+D693*133.845+E693*53.484+F693*40+G693*185+H693*0+I693*100+J693*300)/(194.205+267.466+133.845+53.484+0+40+185+100+300)</f>
        <v>18.995719991130297</v>
      </c>
      <c r="AD693" s="27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18.840205035971223</v>
      </c>
    </row>
    <row r="694" spans="1:30" ht="15.75" x14ac:dyDescent="0.25">
      <c r="A694" s="13">
        <v>62397</v>
      </c>
      <c r="B694" s="10">
        <f>CHOOSE(CONTROL!$C$42, 18.6031, 18.6031) * CHOOSE(CONTROL!$C$21, $C$9, 100%, $E$9)</f>
        <v>18.603100000000001</v>
      </c>
      <c r="C694" s="10">
        <f>CHOOSE(CONTROL!$C$42, 18.6084, 18.6084) * CHOOSE(CONTROL!$C$21, $C$9, 100%, $E$9)</f>
        <v>18.6084</v>
      </c>
      <c r="D694" s="10">
        <f>CHOOSE(CONTROL!$C$42, 18.7884, 18.7884) * CHOOSE(CONTROL!$C$21, $C$9, 100%, $E$9)</f>
        <v>18.788399999999999</v>
      </c>
      <c r="E694" s="10">
        <f>CHOOSE(CONTROL!$C$42, 18.8173, 18.8173) * CHOOSE(CONTROL!$C$21, $C$9, 100%, $E$9)</f>
        <v>18.817299999999999</v>
      </c>
      <c r="F694" s="10">
        <f>CHOOSE(CONTROL!$C$42, 18.5468, 18.5468)*CHOOSE(CONTROL!$C$21, $C$9, 100%, $E$9)</f>
        <v>18.546800000000001</v>
      </c>
      <c r="G694" s="10">
        <f>CHOOSE(CONTROL!$C$42, 18.5634, 18.5634)*CHOOSE(CONTROL!$C$21, $C$9, 100%, $E$9)</f>
        <v>18.563400000000001</v>
      </c>
      <c r="H694" s="10">
        <f>CHOOSE(CONTROL!$C$42, 18.8075, 18.8075) * CHOOSE(CONTROL!$C$21, $C$9, 100%, $E$9)</f>
        <v>18.807500000000001</v>
      </c>
      <c r="I694" s="10">
        <f>CHOOSE(CONTROL!$C$42, 18.5794, 18.5794)* CHOOSE(CONTROL!$C$21, $C$9, 100%, $E$9)</f>
        <v>18.5794</v>
      </c>
      <c r="J694" s="10">
        <f>CHOOSE(CONTROL!$C$42, 18.5394, 18.5394)* CHOOSE(CONTROL!$C$21, $C$9, 100%, $E$9)</f>
        <v>18.539400000000001</v>
      </c>
      <c r="K694" s="10">
        <f>CHOOSE(CONTROL!$C$42, 18.1569, 18.1569) * CHOOSE(CONTROL!$C$21, $C$9, 100%, $E$9)</f>
        <v>18.1569</v>
      </c>
      <c r="L694" s="10">
        <f>CHOOSE(CONTROL!$C$42, 19.3945, 19.3945) * CHOOSE(CONTROL!$C$21, $C$9, 100%, $E$9)</f>
        <v>19.394500000000001</v>
      </c>
      <c r="M694" s="10">
        <f>CHOOSE(CONTROL!$C$42, 18.3325, 18.3325) * CHOOSE(CONTROL!$C$21, $C$9, 100%, $E$9)</f>
        <v>18.3325</v>
      </c>
      <c r="N694" s="10">
        <f>CHOOSE(CONTROL!$C$42, 18.3489, 18.3489) * CHOOSE(CONTROL!$C$21, $C$9, 100%, $E$9)</f>
        <v>18.3489</v>
      </c>
      <c r="O694" s="10">
        <f>CHOOSE(CONTROL!$C$42, 18.597, 18.597) * CHOOSE(CONTROL!$C$21, $C$9, 100%, $E$9)</f>
        <v>18.597000000000001</v>
      </c>
      <c r="P694" s="10">
        <f>CHOOSE(CONTROL!$C$42, 18.372, 18.372) * CHOOSE(CONTROL!$C$21, $C$9, 100%, $E$9)</f>
        <v>18.372</v>
      </c>
      <c r="Q694" s="10">
        <f>CHOOSE(CONTROL!$C$42, 19.1923, 19.1923) * CHOOSE(CONTROL!$C$21, $C$9, 100%, $E$9)</f>
        <v>19.192299999999999</v>
      </c>
      <c r="R694" s="10">
        <f>CHOOSE(CONTROL!$C$42, 19.8273, 19.8273) * CHOOSE(CONTROL!$C$21, $C$9, 100%, $E$9)</f>
        <v>19.827300000000001</v>
      </c>
      <c r="S694" s="10">
        <f>CHOOSE(CONTROL!$C$42, 18.0296, 18.0296) * CHOOSE(CONTROL!$C$21, $C$9, 100%, $E$9)</f>
        <v>18.029599999999999</v>
      </c>
      <c r="T6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38">
        <f>(1000*CHOOSE(CONTROL!$C$42, 695, 695)*CHOOSE(CONTROL!$C$42, 0.5599, 0.5599)*CHOOSE(CONTROL!$C$42, 31, 31))/1000000</f>
        <v>12.063045499999998</v>
      </c>
      <c r="V694" s="38">
        <f>(1000*CHOOSE(CONTROL!$C$42, 500, 500)*CHOOSE(CONTROL!$C$42, 0.275, 0.275)*CHOOSE(CONTROL!$C$42, 31, 31))/1000000</f>
        <v>4.2625000000000002</v>
      </c>
      <c r="W694" s="38">
        <f>(1000*CHOOSE(CONTROL!$C$42, 0.1146, 0.1146)*CHOOSE(CONTROL!$C$42, 121.5, 121.5)*CHOOSE(CONTROL!$C$42, 31, 31))/1000000</f>
        <v>0.43164089999999994</v>
      </c>
      <c r="X694" s="38">
        <f>(31*0.1790888*245000/1000000)+(31*0.2374*100000/1000000)</f>
        <v>2.0961194359999999</v>
      </c>
      <c r="Y694" s="38">
        <f>(1000*600*CHOOSE(CONTROL!$C$42, 1.0585, 1.0585)*CHOOSE(CONTROL!$C$42, 31, 31))/1000000</f>
        <v>19.688099999999999</v>
      </c>
      <c r="Z694" s="38"/>
      <c r="AA694" s="10"/>
      <c r="AB694" s="39"/>
      <c r="AC694" s="33">
        <f>(B694*131.881+C694*277.167+D694*79.08+E694*125.872+F694*40+G694*185+H694*0+I694*100+J694*300)/(131.881+277.167+79.08+125.872+0+40+185+100+300)</f>
        <v>18.612791518563355</v>
      </c>
      <c r="AD694" s="27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18.459008633093529</v>
      </c>
    </row>
    <row r="695" spans="1:30" ht="15.75" x14ac:dyDescent="0.25">
      <c r="A695" s="13">
        <v>62427</v>
      </c>
      <c r="B695" s="10">
        <f>CHOOSE(CONTROL!$C$42, 19.0932, 19.0932) * CHOOSE(CONTROL!$C$21, $C$9, 100%, $E$9)</f>
        <v>19.0932</v>
      </c>
      <c r="C695" s="10">
        <f>CHOOSE(CONTROL!$C$42, 19.0983, 19.0983) * CHOOSE(CONTROL!$C$21, $C$9, 100%, $E$9)</f>
        <v>19.098299999999998</v>
      </c>
      <c r="D695" s="10">
        <f>CHOOSE(CONTROL!$C$42, 19.123, 19.123) * CHOOSE(CONTROL!$C$21, $C$9, 100%, $E$9)</f>
        <v>19.123000000000001</v>
      </c>
      <c r="E695" s="10">
        <f>CHOOSE(CONTROL!$C$42, 19.1568, 19.1568) * CHOOSE(CONTROL!$C$21, $C$9, 100%, $E$9)</f>
        <v>19.1568</v>
      </c>
      <c r="F695" s="10">
        <f>CHOOSE(CONTROL!$C$42, 19.0588, 19.0588)*CHOOSE(CONTROL!$C$21, $C$9, 100%, $E$9)</f>
        <v>19.058800000000002</v>
      </c>
      <c r="G695" s="10">
        <f>CHOOSE(CONTROL!$C$42, 19.0756, 19.0756)*CHOOSE(CONTROL!$C$21, $C$9, 100%, $E$9)</f>
        <v>19.075600000000001</v>
      </c>
      <c r="H695" s="10">
        <f>CHOOSE(CONTROL!$C$42, 19.1456, 19.1456) * CHOOSE(CONTROL!$C$21, $C$9, 100%, $E$9)</f>
        <v>19.145600000000002</v>
      </c>
      <c r="I695" s="10">
        <f>CHOOSE(CONTROL!$C$42, 19.0927, 19.0927)* CHOOSE(CONTROL!$C$21, $C$9, 100%, $E$9)</f>
        <v>19.092700000000001</v>
      </c>
      <c r="J695" s="10">
        <f>CHOOSE(CONTROL!$C$42, 19.0514, 19.0514)* CHOOSE(CONTROL!$C$21, $C$9, 100%, $E$9)</f>
        <v>19.051400000000001</v>
      </c>
      <c r="K695" s="10">
        <f>CHOOSE(CONTROL!$C$42, 18.6559, 18.6559) * CHOOSE(CONTROL!$C$21, $C$9, 100%, $E$9)</f>
        <v>18.655899999999999</v>
      </c>
      <c r="L695" s="10">
        <f>CHOOSE(CONTROL!$C$42, 19.7326, 19.7326) * CHOOSE(CONTROL!$C$21, $C$9, 100%, $E$9)</f>
        <v>19.732600000000001</v>
      </c>
      <c r="M695" s="10">
        <f>CHOOSE(CONTROL!$C$42, 18.8378, 18.8378) * CHOOSE(CONTROL!$C$21, $C$9, 100%, $E$9)</f>
        <v>18.837800000000001</v>
      </c>
      <c r="N695" s="10">
        <f>CHOOSE(CONTROL!$C$42, 18.8544, 18.8544) * CHOOSE(CONTROL!$C$21, $C$9, 100%, $E$9)</f>
        <v>18.854399999999998</v>
      </c>
      <c r="O695" s="10">
        <f>CHOOSE(CONTROL!$C$42, 18.9308, 18.9308) * CHOOSE(CONTROL!$C$21, $C$9, 100%, $E$9)</f>
        <v>18.930800000000001</v>
      </c>
      <c r="P695" s="10">
        <f>CHOOSE(CONTROL!$C$42, 18.8786, 18.8786) * CHOOSE(CONTROL!$C$21, $C$9, 100%, $E$9)</f>
        <v>18.878599999999999</v>
      </c>
      <c r="Q695" s="10">
        <f>CHOOSE(CONTROL!$C$42, 19.5261, 19.5261) * CHOOSE(CONTROL!$C$21, $C$9, 100%, $E$9)</f>
        <v>19.5261</v>
      </c>
      <c r="R695" s="10">
        <f>CHOOSE(CONTROL!$C$42, 20.1619, 20.1619) * CHOOSE(CONTROL!$C$21, $C$9, 100%, $E$9)</f>
        <v>20.161899999999999</v>
      </c>
      <c r="S695" s="10">
        <f>CHOOSE(CONTROL!$C$42, 18.5046, 18.5046) * CHOOSE(CONTROL!$C$21, $C$9, 100%, $E$9)</f>
        <v>18.5046</v>
      </c>
      <c r="T6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38">
        <f>(1000*CHOOSE(CONTROL!$C$42, 695, 695)*CHOOSE(CONTROL!$C$42, 0.5599, 0.5599)*CHOOSE(CONTROL!$C$42, 30, 30))/1000000</f>
        <v>11.673914999999997</v>
      </c>
      <c r="V695" s="38">
        <f>(1000*CHOOSE(CONTROL!$C$42, 500, 500)*CHOOSE(CONTROL!$C$42, 0.275, 0.275)*CHOOSE(CONTROL!$C$42, 30, 30))/1000000</f>
        <v>4.125</v>
      </c>
      <c r="W695" s="38">
        <f>(1000*CHOOSE(CONTROL!$C$42, 0.1146, 0.1146)*CHOOSE(CONTROL!$C$42, 121.5, 121.5)*CHOOSE(CONTROL!$C$42, 30, 30))/1000000</f>
        <v>0.417717</v>
      </c>
      <c r="X695" s="38">
        <f>(30*0.1790888*100000/1000000)+(30*0.2374*100000/1000000)</f>
        <v>1.2494664</v>
      </c>
      <c r="Y695" s="38">
        <f>(1000*600*CHOOSE(CONTROL!$C$42, 1.0585, 1.0585)*CHOOSE(CONTROL!$C$42, 30, 30))/1000000</f>
        <v>19.053000000000001</v>
      </c>
      <c r="Z695" s="38"/>
      <c r="AA695" s="10"/>
      <c r="AB695" s="39"/>
      <c r="AC695" s="33">
        <f>(B695*122.58+C695*297.941+D695*89.177+E695*40.302+F695*40+G695*160+H695*0+I695*100+J695*300)/(122.58+297.941+89.177+40.302+0+40+160+100+300)</f>
        <v>19.084467983391306</v>
      </c>
      <c r="AD695" s="27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18.886776978417267</v>
      </c>
    </row>
    <row r="696" spans="1:30" ht="15.75" x14ac:dyDescent="0.25">
      <c r="A696" s="13">
        <v>62458</v>
      </c>
      <c r="B696" s="10">
        <f>CHOOSE(CONTROL!$C$42, 20.396, 20.396) * CHOOSE(CONTROL!$C$21, $C$9, 100%, $E$9)</f>
        <v>20.396000000000001</v>
      </c>
      <c r="C696" s="10">
        <f>CHOOSE(CONTROL!$C$42, 20.4011, 20.4011) * CHOOSE(CONTROL!$C$21, $C$9, 100%, $E$9)</f>
        <v>20.4011</v>
      </c>
      <c r="D696" s="10">
        <f>CHOOSE(CONTROL!$C$42, 20.4258, 20.4258) * CHOOSE(CONTROL!$C$21, $C$9, 100%, $E$9)</f>
        <v>20.425799999999999</v>
      </c>
      <c r="E696" s="10">
        <f>CHOOSE(CONTROL!$C$42, 20.4596, 20.4596) * CHOOSE(CONTROL!$C$21, $C$9, 100%, $E$9)</f>
        <v>20.459599999999998</v>
      </c>
      <c r="F696" s="10">
        <f>CHOOSE(CONTROL!$C$42, 20.3635, 20.3635)*CHOOSE(CONTROL!$C$21, $C$9, 100%, $E$9)</f>
        <v>20.363499999999998</v>
      </c>
      <c r="G696" s="10">
        <f>CHOOSE(CONTROL!$C$42, 20.3807, 20.3807)*CHOOSE(CONTROL!$C$21, $C$9, 100%, $E$9)</f>
        <v>20.380700000000001</v>
      </c>
      <c r="H696" s="10">
        <f>CHOOSE(CONTROL!$C$42, 20.4485, 20.4485) * CHOOSE(CONTROL!$C$21, $C$9, 100%, $E$9)</f>
        <v>20.448499999999999</v>
      </c>
      <c r="I696" s="10">
        <f>CHOOSE(CONTROL!$C$42, 20.3955, 20.3955)* CHOOSE(CONTROL!$C$21, $C$9, 100%, $E$9)</f>
        <v>20.395499999999998</v>
      </c>
      <c r="J696" s="10">
        <f>CHOOSE(CONTROL!$C$42, 20.3561, 20.3561)* CHOOSE(CONTROL!$C$21, $C$9, 100%, $E$9)</f>
        <v>20.356100000000001</v>
      </c>
      <c r="K696" s="10">
        <f>CHOOSE(CONTROL!$C$42, 19.922, 19.922) * CHOOSE(CONTROL!$C$21, $C$9, 100%, $E$9)</f>
        <v>19.922000000000001</v>
      </c>
      <c r="L696" s="10">
        <f>CHOOSE(CONTROL!$C$42, 21.0355, 21.0355) * CHOOSE(CONTROL!$C$21, $C$9, 100%, $E$9)</f>
        <v>21.035499999999999</v>
      </c>
      <c r="M696" s="10">
        <f>CHOOSE(CONTROL!$C$42, 20.1256, 20.1256) * CHOOSE(CONTROL!$C$21, $C$9, 100%, $E$9)</f>
        <v>20.125599999999999</v>
      </c>
      <c r="N696" s="10">
        <f>CHOOSE(CONTROL!$C$42, 20.1427, 20.1427) * CHOOSE(CONTROL!$C$21, $C$9, 100%, $E$9)</f>
        <v>20.142700000000001</v>
      </c>
      <c r="O696" s="10">
        <f>CHOOSE(CONTROL!$C$42, 20.2168, 20.2168) * CHOOSE(CONTROL!$C$21, $C$9, 100%, $E$9)</f>
        <v>20.216799999999999</v>
      </c>
      <c r="P696" s="10">
        <f>CHOOSE(CONTROL!$C$42, 20.1646, 20.1646) * CHOOSE(CONTROL!$C$21, $C$9, 100%, $E$9)</f>
        <v>20.1646</v>
      </c>
      <c r="Q696" s="10">
        <f>CHOOSE(CONTROL!$C$42, 20.8121, 20.8121) * CHOOSE(CONTROL!$C$21, $C$9, 100%, $E$9)</f>
        <v>20.812100000000001</v>
      </c>
      <c r="R696" s="10">
        <f>CHOOSE(CONTROL!$C$42, 21.4512, 21.4512) * CHOOSE(CONTROL!$C$21, $C$9, 100%, $E$9)</f>
        <v>21.4512</v>
      </c>
      <c r="S696" s="10">
        <f>CHOOSE(CONTROL!$C$42, 19.7662, 19.7662) * CHOOSE(CONTROL!$C$21, $C$9, 100%, $E$9)</f>
        <v>19.766200000000001</v>
      </c>
      <c r="T6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38">
        <f>(1000*CHOOSE(CONTROL!$C$42, 695, 695)*CHOOSE(CONTROL!$C$42, 0.5599, 0.5599)*CHOOSE(CONTROL!$C$42, 31, 31))/1000000</f>
        <v>12.063045499999998</v>
      </c>
      <c r="V696" s="38">
        <f>(1000*CHOOSE(CONTROL!$C$42, 500, 500)*CHOOSE(CONTROL!$C$42, 0.275, 0.275)*CHOOSE(CONTROL!$C$42, 31, 31))/1000000</f>
        <v>4.2625000000000002</v>
      </c>
      <c r="W696" s="38">
        <f>(1000*CHOOSE(CONTROL!$C$42, 0.1146, 0.1146)*CHOOSE(CONTROL!$C$42, 121.5, 121.5)*CHOOSE(CONTROL!$C$42, 31, 31))/1000000</f>
        <v>0.43164089999999994</v>
      </c>
      <c r="X696" s="38">
        <f>(31*0.1790888*100000/1000000)+(31*0.2374*100000/1000000)</f>
        <v>1.2911152800000001</v>
      </c>
      <c r="Y696" s="38">
        <f>(1000*600*CHOOSE(CONTROL!$C$42, 1.0585, 1.0585)*CHOOSE(CONTROL!$C$42, 31, 31))/1000000</f>
        <v>19.688099999999999</v>
      </c>
      <c r="Z696" s="38"/>
      <c r="AA696" s="10"/>
      <c r="AB696" s="39"/>
      <c r="AC696" s="33">
        <f>(B696*122.58+C696*297.941+D696*89.177+E696*40.302+F696*40+G696*160+H696*0+I696*100+J696*300)/(122.58+297.941+89.177+40.302+0+40+160+100+300)</f>
        <v>20.388149722521742</v>
      </c>
      <c r="AD696" s="27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20.173530935251797</v>
      </c>
    </row>
    <row r="697" spans="1:30" ht="15.75" x14ac:dyDescent="0.25">
      <c r="A697" s="13">
        <v>62489</v>
      </c>
      <c r="B697" s="10">
        <f>CHOOSE(CONTROL!$C$42, 21.7738, 21.7738) * CHOOSE(CONTROL!$C$21, $C$9, 100%, $E$9)</f>
        <v>21.773800000000001</v>
      </c>
      <c r="C697" s="10">
        <f>CHOOSE(CONTROL!$C$42, 21.7789, 21.7789) * CHOOSE(CONTROL!$C$21, $C$9, 100%, $E$9)</f>
        <v>21.7789</v>
      </c>
      <c r="D697" s="10">
        <f>CHOOSE(CONTROL!$C$42, 21.8139, 21.8139) * CHOOSE(CONTROL!$C$21, $C$9, 100%, $E$9)</f>
        <v>21.8139</v>
      </c>
      <c r="E697" s="10">
        <f>CHOOSE(CONTROL!$C$42, 21.8477, 21.8477) * CHOOSE(CONTROL!$C$21, $C$9, 100%, $E$9)</f>
        <v>21.8477</v>
      </c>
      <c r="F697" s="10">
        <f>CHOOSE(CONTROL!$C$42, 21.7551, 21.7551)*CHOOSE(CONTROL!$C$21, $C$9, 100%, $E$9)</f>
        <v>21.755099999999999</v>
      </c>
      <c r="G697" s="10">
        <f>CHOOSE(CONTROL!$C$42, 21.774, 21.774)*CHOOSE(CONTROL!$C$21, $C$9, 100%, $E$9)</f>
        <v>21.774000000000001</v>
      </c>
      <c r="H697" s="10">
        <f>CHOOSE(CONTROL!$C$42, 21.8366, 21.8366) * CHOOSE(CONTROL!$C$21, $C$9, 100%, $E$9)</f>
        <v>21.836600000000001</v>
      </c>
      <c r="I697" s="10">
        <f>CHOOSE(CONTROL!$C$42, 21.781, 21.781)* CHOOSE(CONTROL!$C$21, $C$9, 100%, $E$9)</f>
        <v>21.780999999999999</v>
      </c>
      <c r="J697" s="10">
        <f>CHOOSE(CONTROL!$C$42, 21.7477, 21.7477)* CHOOSE(CONTROL!$C$21, $C$9, 100%, $E$9)</f>
        <v>21.747699999999998</v>
      </c>
      <c r="K697" s="10">
        <f>CHOOSE(CONTROL!$C$42, 21.2775, 21.2775) * CHOOSE(CONTROL!$C$21, $C$9, 100%, $E$9)</f>
        <v>21.2775</v>
      </c>
      <c r="L697" s="10">
        <f>CHOOSE(CONTROL!$C$42, 22.4236, 22.4236) * CHOOSE(CONTROL!$C$21, $C$9, 100%, $E$9)</f>
        <v>22.4236</v>
      </c>
      <c r="M697" s="10">
        <f>CHOOSE(CONTROL!$C$42, 21.4992, 21.4992) * CHOOSE(CONTROL!$C$21, $C$9, 100%, $E$9)</f>
        <v>21.499199999999998</v>
      </c>
      <c r="N697" s="10">
        <f>CHOOSE(CONTROL!$C$42, 21.5178, 21.5178) * CHOOSE(CONTROL!$C$21, $C$9, 100%, $E$9)</f>
        <v>21.517800000000001</v>
      </c>
      <c r="O697" s="10">
        <f>CHOOSE(CONTROL!$C$42, 21.5869, 21.5869) * CHOOSE(CONTROL!$C$21, $C$9, 100%, $E$9)</f>
        <v>21.5869</v>
      </c>
      <c r="P697" s="10">
        <f>CHOOSE(CONTROL!$C$42, 21.5321, 21.5321) * CHOOSE(CONTROL!$C$21, $C$9, 100%, $E$9)</f>
        <v>21.5321</v>
      </c>
      <c r="Q697" s="10">
        <f>CHOOSE(CONTROL!$C$42, 22.1822, 22.1822) * CHOOSE(CONTROL!$C$21, $C$9, 100%, $E$9)</f>
        <v>22.182200000000002</v>
      </c>
      <c r="R697" s="10">
        <f>CHOOSE(CONTROL!$C$42, 22.8247, 22.8247) * CHOOSE(CONTROL!$C$21, $C$9, 100%, $E$9)</f>
        <v>22.8247</v>
      </c>
      <c r="S697" s="10">
        <f>CHOOSE(CONTROL!$C$42, 21.1002, 21.1002) * CHOOSE(CONTROL!$C$21, $C$9, 100%, $E$9)</f>
        <v>21.100200000000001</v>
      </c>
      <c r="T6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38">
        <f>(1000*CHOOSE(CONTROL!$C$42, 695, 695)*CHOOSE(CONTROL!$C$42, 0.5599, 0.5599)*CHOOSE(CONTROL!$C$42, 31, 31))/1000000</f>
        <v>12.063045499999998</v>
      </c>
      <c r="V697" s="38">
        <f>(1000*CHOOSE(CONTROL!$C$42, 500, 500)*CHOOSE(CONTROL!$C$42, 0.275, 0.275)*CHOOSE(CONTROL!$C$42, 31, 31))/1000000</f>
        <v>4.2625000000000002</v>
      </c>
      <c r="W697" s="38">
        <f>(1000*CHOOSE(CONTROL!$C$42, 0.1146, 0.1146)*CHOOSE(CONTROL!$C$42, 121.5, 121.5)*CHOOSE(CONTROL!$C$42, 31, 31))/1000000</f>
        <v>0.43164089999999994</v>
      </c>
      <c r="X697" s="38">
        <f>(31*0.1790888*100000/1000000)+(31*0.2374*100000/1000000)</f>
        <v>1.2911152800000001</v>
      </c>
      <c r="Y697" s="38">
        <f>(1000*600*CHOOSE(CONTROL!$C$42, 1.0585, 1.0585)*CHOOSE(CONTROL!$C$42, 31, 31))/1000000</f>
        <v>19.688099999999999</v>
      </c>
      <c r="Z697" s="38"/>
      <c r="AA697" s="10"/>
      <c r="AB697" s="39"/>
      <c r="AC697" s="33">
        <f>(B697*122.58+C697*297.941+D697*89.177+E697*40.302+F697*40+G697*160+H697*0+I697*100+J697*300)/(122.58+297.941+89.177+40.302+0+40+160+100+300)</f>
        <v>21.774015490956522</v>
      </c>
      <c r="AD697" s="27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21.544753237410074</v>
      </c>
    </row>
    <row r="698" spans="1:30" ht="15.75" x14ac:dyDescent="0.25">
      <c r="A698" s="13">
        <v>62517</v>
      </c>
      <c r="B698" s="10">
        <f>CHOOSE(CONTROL!$C$42, 22.1617, 22.1617) * CHOOSE(CONTROL!$C$21, $C$9, 100%, $E$9)</f>
        <v>22.1617</v>
      </c>
      <c r="C698" s="10">
        <f>CHOOSE(CONTROL!$C$42, 22.1668, 22.1668) * CHOOSE(CONTROL!$C$21, $C$9, 100%, $E$9)</f>
        <v>22.166799999999999</v>
      </c>
      <c r="D698" s="10">
        <f>CHOOSE(CONTROL!$C$42, 22.2018, 22.2018) * CHOOSE(CONTROL!$C$21, $C$9, 100%, $E$9)</f>
        <v>22.201799999999999</v>
      </c>
      <c r="E698" s="10">
        <f>CHOOSE(CONTROL!$C$42, 22.2356, 22.2356) * CHOOSE(CONTROL!$C$21, $C$9, 100%, $E$9)</f>
        <v>22.235600000000002</v>
      </c>
      <c r="F698" s="10">
        <f>CHOOSE(CONTROL!$C$42, 22.1424, 22.1424)*CHOOSE(CONTROL!$C$21, $C$9, 100%, $E$9)</f>
        <v>22.142399999999999</v>
      </c>
      <c r="G698" s="10">
        <f>CHOOSE(CONTROL!$C$42, 22.1612, 22.1612)*CHOOSE(CONTROL!$C$21, $C$9, 100%, $E$9)</f>
        <v>22.161200000000001</v>
      </c>
      <c r="H698" s="10">
        <f>CHOOSE(CONTROL!$C$42, 22.2245, 22.2245) * CHOOSE(CONTROL!$C$21, $C$9, 100%, $E$9)</f>
        <v>22.224499999999999</v>
      </c>
      <c r="I698" s="10">
        <f>CHOOSE(CONTROL!$C$42, 22.1689, 22.1689)* CHOOSE(CONTROL!$C$21, $C$9, 100%, $E$9)</f>
        <v>22.168900000000001</v>
      </c>
      <c r="J698" s="10">
        <f>CHOOSE(CONTROL!$C$42, 22.135, 22.135)* CHOOSE(CONTROL!$C$21, $C$9, 100%, $E$9)</f>
        <v>22.135000000000002</v>
      </c>
      <c r="K698" s="10">
        <f>CHOOSE(CONTROL!$C$42, 21.6521, 21.6521) * CHOOSE(CONTROL!$C$21, $C$9, 100%, $E$9)</f>
        <v>21.652100000000001</v>
      </c>
      <c r="L698" s="10">
        <f>CHOOSE(CONTROL!$C$42, 22.8115, 22.8115) * CHOOSE(CONTROL!$C$21, $C$9, 100%, $E$9)</f>
        <v>22.811499999999999</v>
      </c>
      <c r="M698" s="10">
        <f>CHOOSE(CONTROL!$C$42, 21.8815, 21.8815) * CHOOSE(CONTROL!$C$21, $C$9, 100%, $E$9)</f>
        <v>21.881499999999999</v>
      </c>
      <c r="N698" s="10">
        <f>CHOOSE(CONTROL!$C$42, 21.9, 21.9) * CHOOSE(CONTROL!$C$21, $C$9, 100%, $E$9)</f>
        <v>21.9</v>
      </c>
      <c r="O698" s="10">
        <f>CHOOSE(CONTROL!$C$42, 21.9698, 21.9698) * CHOOSE(CONTROL!$C$21, $C$9, 100%, $E$9)</f>
        <v>21.969799999999999</v>
      </c>
      <c r="P698" s="10">
        <f>CHOOSE(CONTROL!$C$42, 21.915, 21.915) * CHOOSE(CONTROL!$C$21, $C$9, 100%, $E$9)</f>
        <v>21.914999999999999</v>
      </c>
      <c r="Q698" s="10">
        <f>CHOOSE(CONTROL!$C$42, 22.5651, 22.5651) * CHOOSE(CONTROL!$C$21, $C$9, 100%, $E$9)</f>
        <v>22.565100000000001</v>
      </c>
      <c r="R698" s="10">
        <f>CHOOSE(CONTROL!$C$42, 23.2085, 23.2085) * CHOOSE(CONTROL!$C$21, $C$9, 100%, $E$9)</f>
        <v>23.208500000000001</v>
      </c>
      <c r="S698" s="10">
        <f>CHOOSE(CONTROL!$C$42, 21.4758, 21.4758) * CHOOSE(CONTROL!$C$21, $C$9, 100%, $E$9)</f>
        <v>21.4758</v>
      </c>
      <c r="T69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38">
        <f>(1000*CHOOSE(CONTROL!$C$42, 695, 695)*CHOOSE(CONTROL!$C$42, 0.5599, 0.5599)*CHOOSE(CONTROL!$C$42, 28, 28))/1000000</f>
        <v>10.895653999999999</v>
      </c>
      <c r="V698" s="38">
        <f>(1000*CHOOSE(CONTROL!$C$42, 500, 500)*CHOOSE(CONTROL!$C$42, 0.275, 0.275)*CHOOSE(CONTROL!$C$42, 28, 28))/1000000</f>
        <v>3.85</v>
      </c>
      <c r="W698" s="38">
        <f>(1000*CHOOSE(CONTROL!$C$42, 0.1146, 0.1146)*CHOOSE(CONTROL!$C$42, 121.5, 121.5)*CHOOSE(CONTROL!$C$42, 28, 28))/1000000</f>
        <v>0.38986920000000003</v>
      </c>
      <c r="X698" s="38">
        <f>(28*0.1790888*100000/1000000)+(28*0.2374*100000/1000000)</f>
        <v>1.16616864</v>
      </c>
      <c r="Y698" s="38">
        <f>(1000*600*CHOOSE(CONTROL!$C$42, 1.0585, 1.0585)*CHOOSE(CONTROL!$C$42, 28, 28))/1000000</f>
        <v>17.782800000000002</v>
      </c>
      <c r="Z698" s="38"/>
      <c r="AA698" s="10"/>
      <c r="AB698" s="39"/>
      <c r="AC698" s="33">
        <f>(B698*122.58+C698*297.941+D698*89.177+E698*40.302+F698*40+G698*160+H698*0+I698*100+J698*300)/(122.58+297.941+89.177+40.302+0+40+160+100+300)</f>
        <v>22.161640708347825</v>
      </c>
      <c r="AD698" s="27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21.927405755395682</v>
      </c>
    </row>
    <row r="699" spans="1:30" ht="15.75" x14ac:dyDescent="0.25">
      <c r="A699" s="13">
        <v>62548</v>
      </c>
      <c r="B699" s="10">
        <f>CHOOSE(CONTROL!$C$42, 21.532, 21.532) * CHOOSE(CONTROL!$C$21, $C$9, 100%, $E$9)</f>
        <v>21.532</v>
      </c>
      <c r="C699" s="10">
        <f>CHOOSE(CONTROL!$C$42, 21.5371, 21.5371) * CHOOSE(CONTROL!$C$21, $C$9, 100%, $E$9)</f>
        <v>21.537099999999999</v>
      </c>
      <c r="D699" s="10">
        <f>CHOOSE(CONTROL!$C$42, 21.5721, 21.5721) * CHOOSE(CONTROL!$C$21, $C$9, 100%, $E$9)</f>
        <v>21.572099999999999</v>
      </c>
      <c r="E699" s="10">
        <f>CHOOSE(CONTROL!$C$42, 21.6059, 21.6059) * CHOOSE(CONTROL!$C$21, $C$9, 100%, $E$9)</f>
        <v>21.605899999999998</v>
      </c>
      <c r="F699" s="10">
        <f>CHOOSE(CONTROL!$C$42, 21.5114, 21.5114)*CHOOSE(CONTROL!$C$21, $C$9, 100%, $E$9)</f>
        <v>21.511399999999998</v>
      </c>
      <c r="G699" s="10">
        <f>CHOOSE(CONTROL!$C$42, 21.5298, 21.5298)*CHOOSE(CONTROL!$C$21, $C$9, 100%, $E$9)</f>
        <v>21.529800000000002</v>
      </c>
      <c r="H699" s="10">
        <f>CHOOSE(CONTROL!$C$42, 21.5948, 21.5948) * CHOOSE(CONTROL!$C$21, $C$9, 100%, $E$9)</f>
        <v>21.594799999999999</v>
      </c>
      <c r="I699" s="10">
        <f>CHOOSE(CONTROL!$C$42, 21.5393, 21.5393)* CHOOSE(CONTROL!$C$21, $C$9, 100%, $E$9)</f>
        <v>21.539300000000001</v>
      </c>
      <c r="J699" s="10">
        <f>CHOOSE(CONTROL!$C$42, 21.504, 21.504)* CHOOSE(CONTROL!$C$21, $C$9, 100%, $E$9)</f>
        <v>21.504000000000001</v>
      </c>
      <c r="K699" s="10">
        <f>CHOOSE(CONTROL!$C$42, 21.0391, 21.0391) * CHOOSE(CONTROL!$C$21, $C$9, 100%, $E$9)</f>
        <v>21.039100000000001</v>
      </c>
      <c r="L699" s="10">
        <f>CHOOSE(CONTROL!$C$42, 22.1818, 22.1818) * CHOOSE(CONTROL!$C$21, $C$9, 100%, $E$9)</f>
        <v>22.181799999999999</v>
      </c>
      <c r="M699" s="10">
        <f>CHOOSE(CONTROL!$C$42, 21.2587, 21.2587) * CHOOSE(CONTROL!$C$21, $C$9, 100%, $E$9)</f>
        <v>21.258700000000001</v>
      </c>
      <c r="N699" s="10">
        <f>CHOOSE(CONTROL!$C$42, 21.2768, 21.2768) * CHOOSE(CONTROL!$C$21, $C$9, 100%, $E$9)</f>
        <v>21.276800000000001</v>
      </c>
      <c r="O699" s="10">
        <f>CHOOSE(CONTROL!$C$42, 21.3483, 21.3483) * CHOOSE(CONTROL!$C$21, $C$9, 100%, $E$9)</f>
        <v>21.348299999999998</v>
      </c>
      <c r="P699" s="10">
        <f>CHOOSE(CONTROL!$C$42, 21.2935, 21.2935) * CHOOSE(CONTROL!$C$21, $C$9, 100%, $E$9)</f>
        <v>21.293500000000002</v>
      </c>
      <c r="Q699" s="10">
        <f>CHOOSE(CONTROL!$C$42, 21.9436, 21.9436) * CHOOSE(CONTROL!$C$21, $C$9, 100%, $E$9)</f>
        <v>21.9436</v>
      </c>
      <c r="R699" s="10">
        <f>CHOOSE(CONTROL!$C$42, 22.5855, 22.5855) * CHOOSE(CONTROL!$C$21, $C$9, 100%, $E$9)</f>
        <v>22.5855</v>
      </c>
      <c r="S699" s="10">
        <f>CHOOSE(CONTROL!$C$42, 20.8661, 20.8661) * CHOOSE(CONTROL!$C$21, $C$9, 100%, $E$9)</f>
        <v>20.866099999999999</v>
      </c>
      <c r="T6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38">
        <f>(1000*CHOOSE(CONTROL!$C$42, 695, 695)*CHOOSE(CONTROL!$C$42, 0.5599, 0.5599)*CHOOSE(CONTROL!$C$42, 31, 31))/1000000</f>
        <v>12.063045499999998</v>
      </c>
      <c r="V699" s="38">
        <f>(1000*CHOOSE(CONTROL!$C$42, 500, 500)*CHOOSE(CONTROL!$C$42, 0.275, 0.275)*CHOOSE(CONTROL!$C$42, 31, 31))/1000000</f>
        <v>4.2625000000000002</v>
      </c>
      <c r="W699" s="38">
        <f>(1000*CHOOSE(CONTROL!$C$42, 0.1146, 0.1146)*CHOOSE(CONTROL!$C$42, 121.5, 121.5)*CHOOSE(CONTROL!$C$42, 31, 31))/1000000</f>
        <v>0.43164089999999994</v>
      </c>
      <c r="X699" s="38">
        <f>(31*0.1790888*100000/1000000)+(31*0.2374*100000/1000000)</f>
        <v>1.2911152800000001</v>
      </c>
      <c r="Y699" s="38">
        <f>(1000*600*CHOOSE(CONTROL!$C$42, 1.0585, 1.0585)*CHOOSE(CONTROL!$C$42, 31, 31))/1000000</f>
        <v>19.688099999999999</v>
      </c>
      <c r="Z699" s="38"/>
      <c r="AA699" s="10"/>
      <c r="AB699" s="39"/>
      <c r="AC699" s="33">
        <f>(B699*122.58+C699*297.941+D699*89.177+E699*40.302+F699*40+G699*160+H699*0+I699*100+J699*300)/(122.58+297.941+89.177+40.302+0+40+160+100+300)</f>
        <v>21.531328534434785</v>
      </c>
      <c r="AD699" s="27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21.305358992805754</v>
      </c>
    </row>
    <row r="700" spans="1:30" ht="15.75" x14ac:dyDescent="0.25">
      <c r="A700" s="13">
        <v>62578</v>
      </c>
      <c r="B700" s="10">
        <f>CHOOSE(CONTROL!$C$42, 21.4683, 21.4683) * CHOOSE(CONTROL!$C$21, $C$9, 100%, $E$9)</f>
        <v>21.468299999999999</v>
      </c>
      <c r="C700" s="10">
        <f>CHOOSE(CONTROL!$C$42, 21.4728, 21.4728) * CHOOSE(CONTROL!$C$21, $C$9, 100%, $E$9)</f>
        <v>21.472799999999999</v>
      </c>
      <c r="D700" s="10">
        <f>CHOOSE(CONTROL!$C$42, 21.651, 21.651) * CHOOSE(CONTROL!$C$21, $C$9, 100%, $E$9)</f>
        <v>21.651</v>
      </c>
      <c r="E700" s="10">
        <f>CHOOSE(CONTROL!$C$42, 21.6828, 21.6828) * CHOOSE(CONTROL!$C$21, $C$9, 100%, $E$9)</f>
        <v>21.6828</v>
      </c>
      <c r="F700" s="10">
        <f>CHOOSE(CONTROL!$C$42, 21.4117, 21.4117)*CHOOSE(CONTROL!$C$21, $C$9, 100%, $E$9)</f>
        <v>21.4117</v>
      </c>
      <c r="G700" s="10">
        <f>CHOOSE(CONTROL!$C$42, 21.4283, 21.4283)*CHOOSE(CONTROL!$C$21, $C$9, 100%, $E$9)</f>
        <v>21.4283</v>
      </c>
      <c r="H700" s="10">
        <f>CHOOSE(CONTROL!$C$42, 21.6723, 21.6723) * CHOOSE(CONTROL!$C$21, $C$9, 100%, $E$9)</f>
        <v>21.6723</v>
      </c>
      <c r="I700" s="10">
        <f>CHOOSE(CONTROL!$C$42, 21.4443, 21.4443)* CHOOSE(CONTROL!$C$21, $C$9, 100%, $E$9)</f>
        <v>21.444299999999998</v>
      </c>
      <c r="J700" s="10">
        <f>CHOOSE(CONTROL!$C$42, 21.4043, 21.4043)* CHOOSE(CONTROL!$C$21, $C$9, 100%, $E$9)</f>
        <v>21.404299999999999</v>
      </c>
      <c r="K700" s="10">
        <f>CHOOSE(CONTROL!$C$42, 20.9324, 20.9324) * CHOOSE(CONTROL!$C$21, $C$9, 100%, $E$9)</f>
        <v>20.932400000000001</v>
      </c>
      <c r="L700" s="10">
        <f>CHOOSE(CONTROL!$C$42, 22.2593, 22.2593) * CHOOSE(CONTROL!$C$21, $C$9, 100%, $E$9)</f>
        <v>22.2593</v>
      </c>
      <c r="M700" s="10">
        <f>CHOOSE(CONTROL!$C$42, 21.1603, 21.1603) * CHOOSE(CONTROL!$C$21, $C$9, 100%, $E$9)</f>
        <v>21.160299999999999</v>
      </c>
      <c r="N700" s="10">
        <f>CHOOSE(CONTROL!$C$42, 21.1767, 21.1767) * CHOOSE(CONTROL!$C$21, $C$9, 100%, $E$9)</f>
        <v>21.1767</v>
      </c>
      <c r="O700" s="10">
        <f>CHOOSE(CONTROL!$C$42, 21.4248, 21.4248) * CHOOSE(CONTROL!$C$21, $C$9, 100%, $E$9)</f>
        <v>21.424800000000001</v>
      </c>
      <c r="P700" s="10">
        <f>CHOOSE(CONTROL!$C$42, 21.1998, 21.1998) * CHOOSE(CONTROL!$C$21, $C$9, 100%, $E$9)</f>
        <v>21.1998</v>
      </c>
      <c r="Q700" s="10">
        <f>CHOOSE(CONTROL!$C$42, 22.0201, 22.0201) * CHOOSE(CONTROL!$C$21, $C$9, 100%, $E$9)</f>
        <v>22.020099999999999</v>
      </c>
      <c r="R700" s="10">
        <f>CHOOSE(CONTROL!$C$42, 22.6621, 22.6621) * CHOOSE(CONTROL!$C$21, $C$9, 100%, $E$9)</f>
        <v>22.662099999999999</v>
      </c>
      <c r="S700" s="10">
        <f>CHOOSE(CONTROL!$C$42, 20.8036, 20.8036) * CHOOSE(CONTROL!$C$21, $C$9, 100%, $E$9)</f>
        <v>20.803599999999999</v>
      </c>
      <c r="T7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38">
        <f>(1000*CHOOSE(CONTROL!$C$42, 695, 695)*CHOOSE(CONTROL!$C$42, 0.5599, 0.5599)*CHOOSE(CONTROL!$C$42, 30, 30))/1000000</f>
        <v>11.673914999999997</v>
      </c>
      <c r="V700" s="38">
        <f>(1000*CHOOSE(CONTROL!$C$42, 500, 500)*CHOOSE(CONTROL!$C$42, 0.275, 0.275)*CHOOSE(CONTROL!$C$42, 30, 30))/1000000</f>
        <v>4.125</v>
      </c>
      <c r="W700" s="38">
        <f>(1000*CHOOSE(CONTROL!$C$42, 0.1146, 0.1146)*CHOOSE(CONTROL!$C$42, 121.5, 121.5)*CHOOSE(CONTROL!$C$42, 30, 30))/1000000</f>
        <v>0.417717</v>
      </c>
      <c r="X700" s="38">
        <f>(30*0.1790888*245000/1000000)+(30*0.2374*100000/1000000)</f>
        <v>2.0285026799999999</v>
      </c>
      <c r="Y700" s="38">
        <f>(1000*600*CHOOSE(CONTROL!$C$42, 1.0585, 1.0585)*CHOOSE(CONTROL!$C$42, 30, 30))/1000000</f>
        <v>19.053000000000001</v>
      </c>
      <c r="Z700" s="38"/>
      <c r="AA700" s="10"/>
      <c r="AB700" s="39"/>
      <c r="AC700" s="33">
        <f>(B700*141.293+C700*267.993+D700*115.016+E700*89.698+F700*40+G700*185+H700*0+I700*100+J700*300)/(141.293+267.993+115.016+89.698+0+40+185+100+300)</f>
        <v>21.476528904519775</v>
      </c>
      <c r="AD700" s="27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21.286808633093525</v>
      </c>
    </row>
    <row r="701" spans="1:30" ht="15.75" x14ac:dyDescent="0.25">
      <c r="A701" s="13">
        <v>62609</v>
      </c>
      <c r="B701" s="10">
        <f>CHOOSE(CONTROL!$C$42, 21.6596, 21.6596) * CHOOSE(CONTROL!$C$21, $C$9, 100%, $E$9)</f>
        <v>21.659600000000001</v>
      </c>
      <c r="C701" s="10">
        <f>CHOOSE(CONTROL!$C$42, 21.6676, 21.6676) * CHOOSE(CONTROL!$C$21, $C$9, 100%, $E$9)</f>
        <v>21.6676</v>
      </c>
      <c r="D701" s="10">
        <f>CHOOSE(CONTROL!$C$42, 21.8428, 21.8428) * CHOOSE(CONTROL!$C$21, $C$9, 100%, $E$9)</f>
        <v>21.8428</v>
      </c>
      <c r="E701" s="10">
        <f>CHOOSE(CONTROL!$C$42, 21.874, 21.874) * CHOOSE(CONTROL!$C$21, $C$9, 100%, $E$9)</f>
        <v>21.873999999999999</v>
      </c>
      <c r="F701" s="10">
        <f>CHOOSE(CONTROL!$C$42, 21.6013, 21.6013)*CHOOSE(CONTROL!$C$21, $C$9, 100%, $E$9)</f>
        <v>21.601299999999998</v>
      </c>
      <c r="G701" s="10">
        <f>CHOOSE(CONTROL!$C$42, 21.6182, 21.6182)*CHOOSE(CONTROL!$C$21, $C$9, 100%, $E$9)</f>
        <v>21.618200000000002</v>
      </c>
      <c r="H701" s="10">
        <f>CHOOSE(CONTROL!$C$42, 21.8623, 21.8623) * CHOOSE(CONTROL!$C$21, $C$9, 100%, $E$9)</f>
        <v>21.862300000000001</v>
      </c>
      <c r="I701" s="10">
        <f>CHOOSE(CONTROL!$C$42, 21.6343, 21.6343)* CHOOSE(CONTROL!$C$21, $C$9, 100%, $E$9)</f>
        <v>21.6343</v>
      </c>
      <c r="J701" s="10">
        <f>CHOOSE(CONTROL!$C$42, 21.5939, 21.5939)* CHOOSE(CONTROL!$C$21, $C$9, 100%, $E$9)</f>
        <v>21.593900000000001</v>
      </c>
      <c r="K701" s="10">
        <f>CHOOSE(CONTROL!$C$42, 21.1156, 21.1156) * CHOOSE(CONTROL!$C$21, $C$9, 100%, $E$9)</f>
        <v>21.115600000000001</v>
      </c>
      <c r="L701" s="10">
        <f>CHOOSE(CONTROL!$C$42, 22.4493, 22.4493) * CHOOSE(CONTROL!$C$21, $C$9, 100%, $E$9)</f>
        <v>22.449300000000001</v>
      </c>
      <c r="M701" s="10">
        <f>CHOOSE(CONTROL!$C$42, 21.3474, 21.3474) * CHOOSE(CONTROL!$C$21, $C$9, 100%, $E$9)</f>
        <v>21.3474</v>
      </c>
      <c r="N701" s="10">
        <f>CHOOSE(CONTROL!$C$42, 21.3641, 21.3641) * CHOOSE(CONTROL!$C$21, $C$9, 100%, $E$9)</f>
        <v>21.364100000000001</v>
      </c>
      <c r="O701" s="10">
        <f>CHOOSE(CONTROL!$C$42, 21.6123, 21.6123) * CHOOSE(CONTROL!$C$21, $C$9, 100%, $E$9)</f>
        <v>21.612300000000001</v>
      </c>
      <c r="P701" s="10">
        <f>CHOOSE(CONTROL!$C$42, 21.3873, 21.3873) * CHOOSE(CONTROL!$C$21, $C$9, 100%, $E$9)</f>
        <v>21.3873</v>
      </c>
      <c r="Q701" s="10">
        <f>CHOOSE(CONTROL!$C$42, 22.2076, 22.2076) * CHOOSE(CONTROL!$C$21, $C$9, 100%, $E$9)</f>
        <v>22.207599999999999</v>
      </c>
      <c r="R701" s="10">
        <f>CHOOSE(CONTROL!$C$42, 22.8502, 22.8502) * CHOOSE(CONTROL!$C$21, $C$9, 100%, $E$9)</f>
        <v>22.850200000000001</v>
      </c>
      <c r="S701" s="10">
        <f>CHOOSE(CONTROL!$C$42, 20.9876, 20.9876) * CHOOSE(CONTROL!$C$21, $C$9, 100%, $E$9)</f>
        <v>20.9876</v>
      </c>
      <c r="T7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38">
        <f>(1000*CHOOSE(CONTROL!$C$42, 695, 695)*CHOOSE(CONTROL!$C$42, 0.5599, 0.5599)*CHOOSE(CONTROL!$C$42, 31, 31))/1000000</f>
        <v>12.063045499999998</v>
      </c>
      <c r="V701" s="38">
        <f>(1000*CHOOSE(CONTROL!$C$42, 500, 500)*CHOOSE(CONTROL!$C$42, 0.275, 0.275)*CHOOSE(CONTROL!$C$42, 31, 31))/1000000</f>
        <v>4.2625000000000002</v>
      </c>
      <c r="W701" s="38">
        <f>(1000*CHOOSE(CONTROL!$C$42, 0.1146, 0.1146)*CHOOSE(CONTROL!$C$42, 121.5, 121.5)*CHOOSE(CONTROL!$C$42, 31, 31))/1000000</f>
        <v>0.43164089999999994</v>
      </c>
      <c r="X701" s="38">
        <f>(31*0.1790888*245000/1000000)+(31*0.2374*100000/1000000)</f>
        <v>2.0961194359999999</v>
      </c>
      <c r="Y701" s="38">
        <f>(1000*600*CHOOSE(CONTROL!$C$42, 1.0585, 1.0585)*CHOOSE(CONTROL!$C$42, 31, 31))/1000000</f>
        <v>19.688099999999999</v>
      </c>
      <c r="Z701" s="38"/>
      <c r="AA701" s="10"/>
      <c r="AB701" s="39"/>
      <c r="AC701" s="33">
        <f>(B701*194.205+C701*267.466+D701*133.845+E701*53.484+F701*40+G701*185+H701*0+I701*100+J701*300)/(194.205+267.466+133.845+53.484+0+40+185+100+300)</f>
        <v>21.66422802323391</v>
      </c>
      <c r="AD701" s="27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21.474164748201439</v>
      </c>
    </row>
    <row r="702" spans="1:30" ht="15.75" x14ac:dyDescent="0.25">
      <c r="A702" s="13">
        <v>62639</v>
      </c>
      <c r="B702" s="10">
        <f>CHOOSE(CONTROL!$C$42, 22.2744, 22.2744) * CHOOSE(CONTROL!$C$21, $C$9, 100%, $E$9)</f>
        <v>22.2744</v>
      </c>
      <c r="C702" s="10">
        <f>CHOOSE(CONTROL!$C$42, 22.2824, 22.2824) * CHOOSE(CONTROL!$C$21, $C$9, 100%, $E$9)</f>
        <v>22.282399999999999</v>
      </c>
      <c r="D702" s="10">
        <f>CHOOSE(CONTROL!$C$42, 22.4576, 22.4576) * CHOOSE(CONTROL!$C$21, $C$9, 100%, $E$9)</f>
        <v>22.457599999999999</v>
      </c>
      <c r="E702" s="10">
        <f>CHOOSE(CONTROL!$C$42, 22.4888, 22.4888) * CHOOSE(CONTROL!$C$21, $C$9, 100%, $E$9)</f>
        <v>22.488800000000001</v>
      </c>
      <c r="F702" s="10">
        <f>CHOOSE(CONTROL!$C$42, 22.2163, 22.2163)*CHOOSE(CONTROL!$C$21, $C$9, 100%, $E$9)</f>
        <v>22.2163</v>
      </c>
      <c r="G702" s="10">
        <f>CHOOSE(CONTROL!$C$42, 22.2333, 22.2333)*CHOOSE(CONTROL!$C$21, $C$9, 100%, $E$9)</f>
        <v>22.2333</v>
      </c>
      <c r="H702" s="10">
        <f>CHOOSE(CONTROL!$C$42, 22.4771, 22.4771) * CHOOSE(CONTROL!$C$21, $C$9, 100%, $E$9)</f>
        <v>22.4771</v>
      </c>
      <c r="I702" s="10">
        <f>CHOOSE(CONTROL!$C$42, 22.2491, 22.2491)* CHOOSE(CONTROL!$C$21, $C$9, 100%, $E$9)</f>
        <v>22.249099999999999</v>
      </c>
      <c r="J702" s="10">
        <f>CHOOSE(CONTROL!$C$42, 22.2089, 22.2089)* CHOOSE(CONTROL!$C$21, $C$9, 100%, $E$9)</f>
        <v>22.2089</v>
      </c>
      <c r="K702" s="10">
        <f>CHOOSE(CONTROL!$C$42, 21.7116, 21.7116) * CHOOSE(CONTROL!$C$21, $C$9, 100%, $E$9)</f>
        <v>21.711600000000001</v>
      </c>
      <c r="L702" s="10">
        <f>CHOOSE(CONTROL!$C$42, 23.0641, 23.0641) * CHOOSE(CONTROL!$C$21, $C$9, 100%, $E$9)</f>
        <v>23.0641</v>
      </c>
      <c r="M702" s="10">
        <f>CHOOSE(CONTROL!$C$42, 21.9545, 21.9545) * CHOOSE(CONTROL!$C$21, $C$9, 100%, $E$9)</f>
        <v>21.954499999999999</v>
      </c>
      <c r="N702" s="10">
        <f>CHOOSE(CONTROL!$C$42, 21.9712, 21.9712) * CHOOSE(CONTROL!$C$21, $C$9, 100%, $E$9)</f>
        <v>21.9712</v>
      </c>
      <c r="O702" s="10">
        <f>CHOOSE(CONTROL!$C$42, 22.2192, 22.2192) * CHOOSE(CONTROL!$C$21, $C$9, 100%, $E$9)</f>
        <v>22.219200000000001</v>
      </c>
      <c r="P702" s="10">
        <f>CHOOSE(CONTROL!$C$42, 21.9942, 21.9942) * CHOOSE(CONTROL!$C$21, $C$9, 100%, $E$9)</f>
        <v>21.994199999999999</v>
      </c>
      <c r="Q702" s="10">
        <f>CHOOSE(CONTROL!$C$42, 22.8145, 22.8145) * CHOOSE(CONTROL!$C$21, $C$9, 100%, $E$9)</f>
        <v>22.814499999999999</v>
      </c>
      <c r="R702" s="10">
        <f>CHOOSE(CONTROL!$C$42, 23.4585, 23.4585) * CHOOSE(CONTROL!$C$21, $C$9, 100%, $E$9)</f>
        <v>23.458500000000001</v>
      </c>
      <c r="S702" s="10">
        <f>CHOOSE(CONTROL!$C$42, 21.5829, 21.5829) * CHOOSE(CONTROL!$C$21, $C$9, 100%, $E$9)</f>
        <v>21.582899999999999</v>
      </c>
      <c r="T7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38">
        <f>(1000*CHOOSE(CONTROL!$C$42, 695, 695)*CHOOSE(CONTROL!$C$42, 0.5599, 0.5599)*CHOOSE(CONTROL!$C$42, 30, 30))/1000000</f>
        <v>11.673914999999997</v>
      </c>
      <c r="V702" s="38">
        <f>(1000*CHOOSE(CONTROL!$C$42, 500, 500)*CHOOSE(CONTROL!$C$42, 0.275, 0.275)*CHOOSE(CONTROL!$C$42, 30, 30))/1000000</f>
        <v>4.125</v>
      </c>
      <c r="W702" s="38">
        <f>(1000*CHOOSE(CONTROL!$C$42, 0.1146, 0.1146)*CHOOSE(CONTROL!$C$42, 121.5, 121.5)*CHOOSE(CONTROL!$C$42, 30, 30))/1000000</f>
        <v>0.417717</v>
      </c>
      <c r="X702" s="38">
        <f>(30*0.1790888*245000/1000000)+(30*0.2374*100000/1000000)</f>
        <v>2.0285026799999999</v>
      </c>
      <c r="Y702" s="38">
        <f>(1000*600*CHOOSE(CONTROL!$C$42, 1.0585, 1.0585)*CHOOSE(CONTROL!$C$42, 30, 30))/1000000</f>
        <v>19.053000000000001</v>
      </c>
      <c r="Z702" s="38"/>
      <c r="AA702" s="10"/>
      <c r="AB702" s="39"/>
      <c r="AC702" s="33">
        <f>(B702*194.205+C702*267.466+D702*133.845+E702*53.484+F702*40+G702*185+H702*0+I702*100+J702*300)/(194.205+267.466+133.845+53.484+0+40+185+100+300)</f>
        <v>22.279124962009416</v>
      </c>
      <c r="AD702" s="27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22.081145323741008</v>
      </c>
    </row>
    <row r="703" spans="1:30" ht="15.75" x14ac:dyDescent="0.25">
      <c r="A703" s="13">
        <v>62670</v>
      </c>
      <c r="B703" s="10">
        <f>CHOOSE(CONTROL!$C$42, 21.8468, 21.8468) * CHOOSE(CONTROL!$C$21, $C$9, 100%, $E$9)</f>
        <v>21.846800000000002</v>
      </c>
      <c r="C703" s="10">
        <f>CHOOSE(CONTROL!$C$42, 21.8548, 21.8548) * CHOOSE(CONTROL!$C$21, $C$9, 100%, $E$9)</f>
        <v>21.854800000000001</v>
      </c>
      <c r="D703" s="10">
        <f>CHOOSE(CONTROL!$C$42, 22.03, 22.03) * CHOOSE(CONTROL!$C$21, $C$9, 100%, $E$9)</f>
        <v>22.03</v>
      </c>
      <c r="E703" s="10">
        <f>CHOOSE(CONTROL!$C$42, 22.0612, 22.0612) * CHOOSE(CONTROL!$C$21, $C$9, 100%, $E$9)</f>
        <v>22.061199999999999</v>
      </c>
      <c r="F703" s="10">
        <f>CHOOSE(CONTROL!$C$42, 21.7891, 21.7891)*CHOOSE(CONTROL!$C$21, $C$9, 100%, $E$9)</f>
        <v>21.789100000000001</v>
      </c>
      <c r="G703" s="10">
        <f>CHOOSE(CONTROL!$C$42, 21.8061, 21.8061)*CHOOSE(CONTROL!$C$21, $C$9, 100%, $E$9)</f>
        <v>21.806100000000001</v>
      </c>
      <c r="H703" s="10">
        <f>CHOOSE(CONTROL!$C$42, 22.0495, 22.0495) * CHOOSE(CONTROL!$C$21, $C$9, 100%, $E$9)</f>
        <v>22.049499999999998</v>
      </c>
      <c r="I703" s="10">
        <f>CHOOSE(CONTROL!$C$42, 21.8215, 21.8215)* CHOOSE(CONTROL!$C$21, $C$9, 100%, $E$9)</f>
        <v>21.8215</v>
      </c>
      <c r="J703" s="10">
        <f>CHOOSE(CONTROL!$C$42, 21.7817, 21.7817)* CHOOSE(CONTROL!$C$21, $C$9, 100%, $E$9)</f>
        <v>21.781700000000001</v>
      </c>
      <c r="K703" s="10">
        <f>CHOOSE(CONTROL!$C$42, 21.2981, 21.2981) * CHOOSE(CONTROL!$C$21, $C$9, 100%, $E$9)</f>
        <v>21.298100000000002</v>
      </c>
      <c r="L703" s="10">
        <f>CHOOSE(CONTROL!$C$42, 22.6365, 22.6365) * CHOOSE(CONTROL!$C$21, $C$9, 100%, $E$9)</f>
        <v>22.636500000000002</v>
      </c>
      <c r="M703" s="10">
        <f>CHOOSE(CONTROL!$C$42, 21.5327, 21.5327) * CHOOSE(CONTROL!$C$21, $C$9, 100%, $E$9)</f>
        <v>21.532699999999998</v>
      </c>
      <c r="N703" s="10">
        <f>CHOOSE(CONTROL!$C$42, 21.5495, 21.5495) * CHOOSE(CONTROL!$C$21, $C$9, 100%, $E$9)</f>
        <v>21.549499999999998</v>
      </c>
      <c r="O703" s="10">
        <f>CHOOSE(CONTROL!$C$42, 21.7971, 21.7971) * CHOOSE(CONTROL!$C$21, $C$9, 100%, $E$9)</f>
        <v>21.7971</v>
      </c>
      <c r="P703" s="10">
        <f>CHOOSE(CONTROL!$C$42, 21.5721, 21.5721) * CHOOSE(CONTROL!$C$21, $C$9, 100%, $E$9)</f>
        <v>21.572099999999999</v>
      </c>
      <c r="Q703" s="10">
        <f>CHOOSE(CONTROL!$C$42, 22.3924, 22.3924) * CHOOSE(CONTROL!$C$21, $C$9, 100%, $E$9)</f>
        <v>22.392399999999999</v>
      </c>
      <c r="R703" s="10">
        <f>CHOOSE(CONTROL!$C$42, 23.0354, 23.0354) * CHOOSE(CONTROL!$C$21, $C$9, 100%, $E$9)</f>
        <v>23.035399999999999</v>
      </c>
      <c r="S703" s="10">
        <f>CHOOSE(CONTROL!$C$42, 21.1689, 21.1689) * CHOOSE(CONTROL!$C$21, $C$9, 100%, $E$9)</f>
        <v>21.168900000000001</v>
      </c>
      <c r="T7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38">
        <f>(1000*CHOOSE(CONTROL!$C$42, 695, 695)*CHOOSE(CONTROL!$C$42, 0.5599, 0.5599)*CHOOSE(CONTROL!$C$42, 31, 31))/1000000</f>
        <v>12.063045499999998</v>
      </c>
      <c r="V703" s="38">
        <f>(1000*CHOOSE(CONTROL!$C$42, 500, 500)*CHOOSE(CONTROL!$C$42, 0.275, 0.275)*CHOOSE(CONTROL!$C$42, 31, 31))/1000000</f>
        <v>4.2625000000000002</v>
      </c>
      <c r="W703" s="38">
        <f>(1000*CHOOSE(CONTROL!$C$42, 0.1146, 0.1146)*CHOOSE(CONTROL!$C$42, 121.5, 121.5)*CHOOSE(CONTROL!$C$42, 31, 31))/1000000</f>
        <v>0.43164089999999994</v>
      </c>
      <c r="X703" s="38">
        <f>(31*0.1790888*245000/1000000)+(31*0.2374*100000/1000000)</f>
        <v>2.0961194359999999</v>
      </c>
      <c r="Y703" s="38">
        <f>(1000*600*CHOOSE(CONTROL!$C$42, 1.0585, 1.0585)*CHOOSE(CONTROL!$C$42, 31, 31))/1000000</f>
        <v>19.688099999999999</v>
      </c>
      <c r="Z703" s="38"/>
      <c r="AA703" s="10"/>
      <c r="AB703" s="39"/>
      <c r="AC703" s="33">
        <f>(B703*194.205+C703*267.466+D703*133.845+E703*53.484+F703*40+G703*185+H703*0+I703*100+J703*300)/(194.205+267.466+133.845+53.484+0+40+185+100+300)</f>
        <v>21.851689797174256</v>
      </c>
      <c r="AD703" s="27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21.65917194244604</v>
      </c>
    </row>
    <row r="704" spans="1:30" ht="15.75" x14ac:dyDescent="0.25">
      <c r="A704" s="13">
        <v>62701</v>
      </c>
      <c r="B704" s="10">
        <f>CHOOSE(CONTROL!$C$42, 20.767, 20.767) * CHOOSE(CONTROL!$C$21, $C$9, 100%, $E$9)</f>
        <v>20.766999999999999</v>
      </c>
      <c r="C704" s="10">
        <f>CHOOSE(CONTROL!$C$42, 20.775, 20.775) * CHOOSE(CONTROL!$C$21, $C$9, 100%, $E$9)</f>
        <v>20.774999999999999</v>
      </c>
      <c r="D704" s="10">
        <f>CHOOSE(CONTROL!$C$42, 20.9501, 20.9501) * CHOOSE(CONTROL!$C$21, $C$9, 100%, $E$9)</f>
        <v>20.950099999999999</v>
      </c>
      <c r="E704" s="10">
        <f>CHOOSE(CONTROL!$C$42, 20.9814, 20.9814) * CHOOSE(CONTROL!$C$21, $C$9, 100%, $E$9)</f>
        <v>20.981400000000001</v>
      </c>
      <c r="F704" s="10">
        <f>CHOOSE(CONTROL!$C$42, 20.7091, 20.7091)*CHOOSE(CONTROL!$C$21, $C$9, 100%, $E$9)</f>
        <v>20.709099999999999</v>
      </c>
      <c r="G704" s="10">
        <f>CHOOSE(CONTROL!$C$42, 20.7261, 20.7261)*CHOOSE(CONTROL!$C$21, $C$9, 100%, $E$9)</f>
        <v>20.726099999999999</v>
      </c>
      <c r="H704" s="10">
        <f>CHOOSE(CONTROL!$C$42, 20.9697, 20.9697) * CHOOSE(CONTROL!$C$21, $C$9, 100%, $E$9)</f>
        <v>20.9697</v>
      </c>
      <c r="I704" s="10">
        <f>CHOOSE(CONTROL!$C$42, 20.7417, 20.7417)* CHOOSE(CONTROL!$C$21, $C$9, 100%, $E$9)</f>
        <v>20.741700000000002</v>
      </c>
      <c r="J704" s="10">
        <f>CHOOSE(CONTROL!$C$42, 20.7017, 20.7017)* CHOOSE(CONTROL!$C$21, $C$9, 100%, $E$9)</f>
        <v>20.701699999999999</v>
      </c>
      <c r="K704" s="10">
        <f>CHOOSE(CONTROL!$C$42, 20.2517, 20.2517) * CHOOSE(CONTROL!$C$21, $C$9, 100%, $E$9)</f>
        <v>20.2517</v>
      </c>
      <c r="L704" s="10">
        <f>CHOOSE(CONTROL!$C$42, 21.5567, 21.5567) * CHOOSE(CONTROL!$C$21, $C$9, 100%, $E$9)</f>
        <v>21.556699999999999</v>
      </c>
      <c r="M704" s="10">
        <f>CHOOSE(CONTROL!$C$42, 20.4668, 20.4668) * CHOOSE(CONTROL!$C$21, $C$9, 100%, $E$9)</f>
        <v>20.466799999999999</v>
      </c>
      <c r="N704" s="10">
        <f>CHOOSE(CONTROL!$C$42, 20.4836, 20.4836) * CHOOSE(CONTROL!$C$21, $C$9, 100%, $E$9)</f>
        <v>20.483599999999999</v>
      </c>
      <c r="O704" s="10">
        <f>CHOOSE(CONTROL!$C$42, 20.7313, 20.7313) * CHOOSE(CONTROL!$C$21, $C$9, 100%, $E$9)</f>
        <v>20.731300000000001</v>
      </c>
      <c r="P704" s="10">
        <f>CHOOSE(CONTROL!$C$42, 20.5063, 20.5063) * CHOOSE(CONTROL!$C$21, $C$9, 100%, $E$9)</f>
        <v>20.5063</v>
      </c>
      <c r="Q704" s="10">
        <f>CHOOSE(CONTROL!$C$42, 21.3266, 21.3266) * CHOOSE(CONTROL!$C$21, $C$9, 100%, $E$9)</f>
        <v>21.326599999999999</v>
      </c>
      <c r="R704" s="10">
        <f>CHOOSE(CONTROL!$C$42, 21.9669, 21.9669) * CHOOSE(CONTROL!$C$21, $C$9, 100%, $E$9)</f>
        <v>21.966899999999999</v>
      </c>
      <c r="S704" s="10">
        <f>CHOOSE(CONTROL!$C$42, 20.1233, 20.1233) * CHOOSE(CONTROL!$C$21, $C$9, 100%, $E$9)</f>
        <v>20.1233</v>
      </c>
      <c r="T7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38">
        <f>(1000*CHOOSE(CONTROL!$C$42, 695, 695)*CHOOSE(CONTROL!$C$42, 0.5599, 0.5599)*CHOOSE(CONTROL!$C$42, 31, 31))/1000000</f>
        <v>12.063045499999998</v>
      </c>
      <c r="V704" s="38">
        <f>(1000*CHOOSE(CONTROL!$C$42, 500, 500)*CHOOSE(CONTROL!$C$42, 0.275, 0.275)*CHOOSE(CONTROL!$C$42, 31, 31))/1000000</f>
        <v>4.2625000000000002</v>
      </c>
      <c r="W704" s="38">
        <f>(1000*CHOOSE(CONTROL!$C$42, 0.1146, 0.1146)*CHOOSE(CONTROL!$C$42, 121.5, 121.5)*CHOOSE(CONTROL!$C$42, 31, 31))/1000000</f>
        <v>0.43164089999999994</v>
      </c>
      <c r="X704" s="38">
        <f>(31*0.1790888*245000/1000000)+(31*0.2374*100000/1000000)</f>
        <v>2.0961194359999999</v>
      </c>
      <c r="Y704" s="38">
        <f>(1000*600*CHOOSE(CONTROL!$C$42, 1.0585, 1.0585)*CHOOSE(CONTROL!$C$42, 31, 31))/1000000</f>
        <v>19.688099999999999</v>
      </c>
      <c r="Z704" s="38"/>
      <c r="AA704" s="10"/>
      <c r="AB704" s="39"/>
      <c r="AC704" s="33">
        <f>(B704*194.205+C704*267.466+D704*133.845+E704*53.484+F704*40+G704*185+H704*0+I704*100+J704*300)/(194.205+267.466+133.845+53.484+0+40+185+100+300)</f>
        <v>20.771796873704865</v>
      </c>
      <c r="AD704" s="27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20.593331654676259</v>
      </c>
    </row>
    <row r="705" spans="1:30" ht="15.75" x14ac:dyDescent="0.25">
      <c r="A705" s="13">
        <v>62731</v>
      </c>
      <c r="B705" s="10">
        <f>CHOOSE(CONTROL!$C$42, 19.4477, 19.4477) * CHOOSE(CONTROL!$C$21, $C$9, 100%, $E$9)</f>
        <v>19.447700000000001</v>
      </c>
      <c r="C705" s="10">
        <f>CHOOSE(CONTROL!$C$42, 19.4557, 19.4557) * CHOOSE(CONTROL!$C$21, $C$9, 100%, $E$9)</f>
        <v>19.4557</v>
      </c>
      <c r="D705" s="10">
        <f>CHOOSE(CONTROL!$C$42, 19.6308, 19.6308) * CHOOSE(CONTROL!$C$21, $C$9, 100%, $E$9)</f>
        <v>19.630800000000001</v>
      </c>
      <c r="E705" s="10">
        <f>CHOOSE(CONTROL!$C$42, 19.662, 19.662) * CHOOSE(CONTROL!$C$21, $C$9, 100%, $E$9)</f>
        <v>19.661999999999999</v>
      </c>
      <c r="F705" s="10">
        <f>CHOOSE(CONTROL!$C$42, 19.3895, 19.3895)*CHOOSE(CONTROL!$C$21, $C$9, 100%, $E$9)</f>
        <v>19.389500000000002</v>
      </c>
      <c r="G705" s="10">
        <f>CHOOSE(CONTROL!$C$42, 19.4064, 19.4064)*CHOOSE(CONTROL!$C$21, $C$9, 100%, $E$9)</f>
        <v>19.406400000000001</v>
      </c>
      <c r="H705" s="10">
        <f>CHOOSE(CONTROL!$C$42, 19.6504, 19.6504) * CHOOSE(CONTROL!$C$21, $C$9, 100%, $E$9)</f>
        <v>19.650400000000001</v>
      </c>
      <c r="I705" s="10">
        <f>CHOOSE(CONTROL!$C$42, 19.4223, 19.4223)* CHOOSE(CONTROL!$C$21, $C$9, 100%, $E$9)</f>
        <v>19.4223</v>
      </c>
      <c r="J705" s="10">
        <f>CHOOSE(CONTROL!$C$42, 19.3821, 19.3821)* CHOOSE(CONTROL!$C$21, $C$9, 100%, $E$9)</f>
        <v>19.382100000000001</v>
      </c>
      <c r="K705" s="10">
        <f>CHOOSE(CONTROL!$C$42, 18.9729, 18.9729) * CHOOSE(CONTROL!$C$21, $C$9, 100%, $E$9)</f>
        <v>18.972899999999999</v>
      </c>
      <c r="L705" s="10">
        <f>CHOOSE(CONTROL!$C$42, 20.2374, 20.2374) * CHOOSE(CONTROL!$C$21, $C$9, 100%, $E$9)</f>
        <v>20.237400000000001</v>
      </c>
      <c r="M705" s="10">
        <f>CHOOSE(CONTROL!$C$42, 19.1642, 19.1642) * CHOOSE(CONTROL!$C$21, $C$9, 100%, $E$9)</f>
        <v>19.164200000000001</v>
      </c>
      <c r="N705" s="10">
        <f>CHOOSE(CONTROL!$C$42, 19.1809, 19.1809) * CHOOSE(CONTROL!$C$21, $C$9, 100%, $E$9)</f>
        <v>19.180900000000001</v>
      </c>
      <c r="O705" s="10">
        <f>CHOOSE(CONTROL!$C$42, 19.429, 19.429) * CHOOSE(CONTROL!$C$21, $C$9, 100%, $E$9)</f>
        <v>19.428999999999998</v>
      </c>
      <c r="P705" s="10">
        <f>CHOOSE(CONTROL!$C$42, 19.204, 19.204) * CHOOSE(CONTROL!$C$21, $C$9, 100%, $E$9)</f>
        <v>19.204000000000001</v>
      </c>
      <c r="Q705" s="10">
        <f>CHOOSE(CONTROL!$C$42, 20.0243, 20.0243) * CHOOSE(CONTROL!$C$21, $C$9, 100%, $E$9)</f>
        <v>20.0243</v>
      </c>
      <c r="R705" s="10">
        <f>CHOOSE(CONTROL!$C$42, 20.6614, 20.6614) * CHOOSE(CONTROL!$C$21, $C$9, 100%, $E$9)</f>
        <v>20.6614</v>
      </c>
      <c r="S705" s="10">
        <f>CHOOSE(CONTROL!$C$42, 18.8458, 18.8458) * CHOOSE(CONTROL!$C$21, $C$9, 100%, $E$9)</f>
        <v>18.845800000000001</v>
      </c>
      <c r="T7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38">
        <f>(1000*CHOOSE(CONTROL!$C$42, 695, 695)*CHOOSE(CONTROL!$C$42, 0.5599, 0.5599)*CHOOSE(CONTROL!$C$42, 30, 30))/1000000</f>
        <v>11.673914999999997</v>
      </c>
      <c r="V705" s="38">
        <f>(1000*CHOOSE(CONTROL!$C$42, 500, 500)*CHOOSE(CONTROL!$C$42, 0.275, 0.275)*CHOOSE(CONTROL!$C$42, 30, 30))/1000000</f>
        <v>4.125</v>
      </c>
      <c r="W705" s="38">
        <f>(1000*CHOOSE(CONTROL!$C$42, 0.1146, 0.1146)*CHOOSE(CONTROL!$C$42, 121.5, 121.5)*CHOOSE(CONTROL!$C$42, 30, 30))/1000000</f>
        <v>0.417717</v>
      </c>
      <c r="X705" s="38">
        <f>(30*0.1790888*245000/1000000)+(30*0.2374*100000/1000000)</f>
        <v>2.0285026799999999</v>
      </c>
      <c r="Y705" s="38">
        <f>(1000*600*CHOOSE(CONTROL!$C$42, 1.0585, 1.0585)*CHOOSE(CONTROL!$C$42, 30, 30))/1000000</f>
        <v>19.053000000000001</v>
      </c>
      <c r="Z705" s="38"/>
      <c r="AA705" s="10"/>
      <c r="AB705" s="39"/>
      <c r="AC705" s="33">
        <f>(B705*194.205+C705*267.466+D705*133.845+E705*53.484+F705*40+G705*185+H705*0+I705*100+J705*300)/(194.205+267.466+133.845+53.484+0+40+185+100+300)</f>
        <v>19.452346678728418</v>
      </c>
      <c r="AD705" s="27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19.290905035971221</v>
      </c>
    </row>
    <row r="706" spans="1:30" ht="15.75" x14ac:dyDescent="0.25">
      <c r="A706" s="13">
        <v>62762</v>
      </c>
      <c r="B706" s="10">
        <f>CHOOSE(CONTROL!$C$42, 19.0504, 19.0504) * CHOOSE(CONTROL!$C$21, $C$9, 100%, $E$9)</f>
        <v>19.0504</v>
      </c>
      <c r="C706" s="10">
        <f>CHOOSE(CONTROL!$C$42, 19.0558, 19.0558) * CHOOSE(CONTROL!$C$21, $C$9, 100%, $E$9)</f>
        <v>19.055800000000001</v>
      </c>
      <c r="D706" s="10">
        <f>CHOOSE(CONTROL!$C$42, 19.2358, 19.2358) * CHOOSE(CONTROL!$C$21, $C$9, 100%, $E$9)</f>
        <v>19.235800000000001</v>
      </c>
      <c r="E706" s="10">
        <f>CHOOSE(CONTROL!$C$42, 19.2647, 19.2647) * CHOOSE(CONTROL!$C$21, $C$9, 100%, $E$9)</f>
        <v>19.264700000000001</v>
      </c>
      <c r="F706" s="10">
        <f>CHOOSE(CONTROL!$C$42, 18.9942, 18.9942)*CHOOSE(CONTROL!$C$21, $C$9, 100%, $E$9)</f>
        <v>18.994199999999999</v>
      </c>
      <c r="G706" s="10">
        <f>CHOOSE(CONTROL!$C$42, 19.0108, 19.0108)*CHOOSE(CONTROL!$C$21, $C$9, 100%, $E$9)</f>
        <v>19.0108</v>
      </c>
      <c r="H706" s="10">
        <f>CHOOSE(CONTROL!$C$42, 19.2548, 19.2548) * CHOOSE(CONTROL!$C$21, $C$9, 100%, $E$9)</f>
        <v>19.254799999999999</v>
      </c>
      <c r="I706" s="10">
        <f>CHOOSE(CONTROL!$C$42, 19.0268, 19.0268)* CHOOSE(CONTROL!$C$21, $C$9, 100%, $E$9)</f>
        <v>19.026800000000001</v>
      </c>
      <c r="J706" s="10">
        <f>CHOOSE(CONTROL!$C$42, 18.9868, 18.9868)* CHOOSE(CONTROL!$C$21, $C$9, 100%, $E$9)</f>
        <v>18.986799999999999</v>
      </c>
      <c r="K706" s="10">
        <f>CHOOSE(CONTROL!$C$42, 18.5903, 18.5903) * CHOOSE(CONTROL!$C$21, $C$9, 100%, $E$9)</f>
        <v>18.590299999999999</v>
      </c>
      <c r="L706" s="10">
        <f>CHOOSE(CONTROL!$C$42, 19.8418, 19.8418) * CHOOSE(CONTROL!$C$21, $C$9, 100%, $E$9)</f>
        <v>19.841799999999999</v>
      </c>
      <c r="M706" s="10">
        <f>CHOOSE(CONTROL!$C$42, 18.7741, 18.7741) * CHOOSE(CONTROL!$C$21, $C$9, 100%, $E$9)</f>
        <v>18.774100000000001</v>
      </c>
      <c r="N706" s="10">
        <f>CHOOSE(CONTROL!$C$42, 18.7904, 18.7904) * CHOOSE(CONTROL!$C$21, $C$9, 100%, $E$9)</f>
        <v>18.790400000000002</v>
      </c>
      <c r="O706" s="10">
        <f>CHOOSE(CONTROL!$C$42, 19.0386, 19.0386) * CHOOSE(CONTROL!$C$21, $C$9, 100%, $E$9)</f>
        <v>19.038599999999999</v>
      </c>
      <c r="P706" s="10">
        <f>CHOOSE(CONTROL!$C$42, 18.8136, 18.8136) * CHOOSE(CONTROL!$C$21, $C$9, 100%, $E$9)</f>
        <v>18.813600000000001</v>
      </c>
      <c r="Q706" s="10">
        <f>CHOOSE(CONTROL!$C$42, 19.6339, 19.6339) * CHOOSE(CONTROL!$C$21, $C$9, 100%, $E$9)</f>
        <v>19.633900000000001</v>
      </c>
      <c r="R706" s="10">
        <f>CHOOSE(CONTROL!$C$42, 20.27, 20.27) * CHOOSE(CONTROL!$C$21, $C$9, 100%, $E$9)</f>
        <v>20.27</v>
      </c>
      <c r="S706" s="10">
        <f>CHOOSE(CONTROL!$C$42, 18.4628, 18.4628) * CHOOSE(CONTROL!$C$21, $C$9, 100%, $E$9)</f>
        <v>18.462800000000001</v>
      </c>
      <c r="T7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38">
        <f>(1000*CHOOSE(CONTROL!$C$42, 695, 695)*CHOOSE(CONTROL!$C$42, 0.5599, 0.5599)*CHOOSE(CONTROL!$C$42, 31, 31))/1000000</f>
        <v>12.063045499999998</v>
      </c>
      <c r="V706" s="38">
        <f>(1000*CHOOSE(CONTROL!$C$42, 500, 500)*CHOOSE(CONTROL!$C$42, 0.275, 0.275)*CHOOSE(CONTROL!$C$42, 31, 31))/1000000</f>
        <v>4.2625000000000002</v>
      </c>
      <c r="W706" s="38">
        <f>(1000*CHOOSE(CONTROL!$C$42, 0.1146, 0.1146)*CHOOSE(CONTROL!$C$42, 121.5, 121.5)*CHOOSE(CONTROL!$C$42, 31, 31))/1000000</f>
        <v>0.43164089999999994</v>
      </c>
      <c r="X706" s="38">
        <f>(31*0.1790888*245000/1000000)+(31*0.2374*100000/1000000)</f>
        <v>2.0961194359999999</v>
      </c>
      <c r="Y706" s="38">
        <f>(1000*600*CHOOSE(CONTROL!$C$42, 1.0585, 1.0585)*CHOOSE(CONTROL!$C$42, 31, 31))/1000000</f>
        <v>19.688099999999999</v>
      </c>
      <c r="Z706" s="38"/>
      <c r="AA706" s="10"/>
      <c r="AB706" s="39"/>
      <c r="AC706" s="33">
        <f>(B706*131.881+C706*277.167+D706*79.08+E706*125.872+F706*40+G706*185+H706*0+I706*100+J706*300)/(131.881+277.167+79.08+125.872+0+40+185+100+300)</f>
        <v>19.060180874414851</v>
      </c>
      <c r="AD706" s="27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18.900602877697843</v>
      </c>
    </row>
    <row r="707" spans="1:30" ht="15.75" x14ac:dyDescent="0.25">
      <c r="A707" s="13">
        <v>62792</v>
      </c>
      <c r="B707" s="10">
        <f>CHOOSE(CONTROL!$C$42, 19.5523, 19.5523) * CHOOSE(CONTROL!$C$21, $C$9, 100%, $E$9)</f>
        <v>19.552299999999999</v>
      </c>
      <c r="C707" s="10">
        <f>CHOOSE(CONTROL!$C$42, 19.5574, 19.5574) * CHOOSE(CONTROL!$C$21, $C$9, 100%, $E$9)</f>
        <v>19.557400000000001</v>
      </c>
      <c r="D707" s="10">
        <f>CHOOSE(CONTROL!$C$42, 19.5821, 19.5821) * CHOOSE(CONTROL!$C$21, $C$9, 100%, $E$9)</f>
        <v>19.582100000000001</v>
      </c>
      <c r="E707" s="10">
        <f>CHOOSE(CONTROL!$C$42, 19.6159, 19.6159) * CHOOSE(CONTROL!$C$21, $C$9, 100%, $E$9)</f>
        <v>19.6159</v>
      </c>
      <c r="F707" s="10">
        <f>CHOOSE(CONTROL!$C$42, 19.518, 19.518)*CHOOSE(CONTROL!$C$21, $C$9, 100%, $E$9)</f>
        <v>19.518000000000001</v>
      </c>
      <c r="G707" s="10">
        <f>CHOOSE(CONTROL!$C$42, 19.5348, 19.5348)*CHOOSE(CONTROL!$C$21, $C$9, 100%, $E$9)</f>
        <v>19.534800000000001</v>
      </c>
      <c r="H707" s="10">
        <f>CHOOSE(CONTROL!$C$42, 19.6048, 19.6048) * CHOOSE(CONTROL!$C$21, $C$9, 100%, $E$9)</f>
        <v>19.604800000000001</v>
      </c>
      <c r="I707" s="10">
        <f>CHOOSE(CONTROL!$C$42, 19.5518, 19.5518)* CHOOSE(CONTROL!$C$21, $C$9, 100%, $E$9)</f>
        <v>19.5518</v>
      </c>
      <c r="J707" s="10">
        <f>CHOOSE(CONTROL!$C$42, 19.5106, 19.5106)* CHOOSE(CONTROL!$C$21, $C$9, 100%, $E$9)</f>
        <v>19.5106</v>
      </c>
      <c r="K707" s="10">
        <f>CHOOSE(CONTROL!$C$42, 19.1007, 19.1007) * CHOOSE(CONTROL!$C$21, $C$9, 100%, $E$9)</f>
        <v>19.1007</v>
      </c>
      <c r="L707" s="10">
        <f>CHOOSE(CONTROL!$C$42, 20.1918, 20.1918) * CHOOSE(CONTROL!$C$21, $C$9, 100%, $E$9)</f>
        <v>20.191800000000001</v>
      </c>
      <c r="M707" s="10">
        <f>CHOOSE(CONTROL!$C$42, 19.291, 19.291) * CHOOSE(CONTROL!$C$21, $C$9, 100%, $E$9)</f>
        <v>19.291</v>
      </c>
      <c r="N707" s="10">
        <f>CHOOSE(CONTROL!$C$42, 19.3076, 19.3076) * CHOOSE(CONTROL!$C$21, $C$9, 100%, $E$9)</f>
        <v>19.307600000000001</v>
      </c>
      <c r="O707" s="10">
        <f>CHOOSE(CONTROL!$C$42, 19.384, 19.384) * CHOOSE(CONTROL!$C$21, $C$9, 100%, $E$9)</f>
        <v>19.384</v>
      </c>
      <c r="P707" s="10">
        <f>CHOOSE(CONTROL!$C$42, 19.3318, 19.3318) * CHOOSE(CONTROL!$C$21, $C$9, 100%, $E$9)</f>
        <v>19.331800000000001</v>
      </c>
      <c r="Q707" s="10">
        <f>CHOOSE(CONTROL!$C$42, 19.9793, 19.9793) * CHOOSE(CONTROL!$C$21, $C$9, 100%, $E$9)</f>
        <v>19.979299999999999</v>
      </c>
      <c r="R707" s="10">
        <f>CHOOSE(CONTROL!$C$42, 20.6163, 20.6163) * CHOOSE(CONTROL!$C$21, $C$9, 100%, $E$9)</f>
        <v>20.616299999999999</v>
      </c>
      <c r="S707" s="10">
        <f>CHOOSE(CONTROL!$C$42, 18.9492, 18.9492) * CHOOSE(CONTROL!$C$21, $C$9, 100%, $E$9)</f>
        <v>18.949200000000001</v>
      </c>
      <c r="T7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38">
        <f>(1000*CHOOSE(CONTROL!$C$42, 695, 695)*CHOOSE(CONTROL!$C$42, 0.5599, 0.5599)*CHOOSE(CONTROL!$C$42, 30, 30))/1000000</f>
        <v>11.673914999999997</v>
      </c>
      <c r="V707" s="38">
        <f>(1000*CHOOSE(CONTROL!$C$42, 500, 500)*CHOOSE(CONTROL!$C$42, 0.275, 0.275)*CHOOSE(CONTROL!$C$42, 30, 30))/1000000</f>
        <v>4.125</v>
      </c>
      <c r="W707" s="38">
        <f>(1000*CHOOSE(CONTROL!$C$42, 0.1146, 0.1146)*CHOOSE(CONTROL!$C$42, 121.5, 121.5)*CHOOSE(CONTROL!$C$42, 30, 30))/1000000</f>
        <v>0.417717</v>
      </c>
      <c r="X707" s="38">
        <f>(30*0.1790888*100000/1000000)+(30*0.2374*100000/1000000)</f>
        <v>1.2494664</v>
      </c>
      <c r="Y707" s="38">
        <f>(1000*600*CHOOSE(CONTROL!$C$42, 1.0585, 1.0585)*CHOOSE(CONTROL!$C$42, 30, 30))/1000000</f>
        <v>19.053000000000001</v>
      </c>
      <c r="Z707" s="38"/>
      <c r="AA707" s="10"/>
      <c r="AB707" s="39"/>
      <c r="AC707" s="33">
        <f>(B707*122.58+C707*297.941+D707*89.177+E707*40.302+F707*40+G707*160+H707*0+I707*100+J707*300)/(122.58+297.941+89.177+40.302+0+40+160+100+300)</f>
        <v>19.543611461652173</v>
      </c>
      <c r="AD707" s="27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19.339976978417265</v>
      </c>
    </row>
    <row r="708" spans="1:30" ht="15.75" x14ac:dyDescent="0.25">
      <c r="A708" s="13">
        <v>62823</v>
      </c>
      <c r="B708" s="10">
        <f>CHOOSE(CONTROL!$C$42, 20.8865, 20.8865) * CHOOSE(CONTROL!$C$21, $C$9, 100%, $E$9)</f>
        <v>20.886500000000002</v>
      </c>
      <c r="C708" s="10">
        <f>CHOOSE(CONTROL!$C$42, 20.8916, 20.8916) * CHOOSE(CONTROL!$C$21, $C$9, 100%, $E$9)</f>
        <v>20.8916</v>
      </c>
      <c r="D708" s="10">
        <f>CHOOSE(CONTROL!$C$42, 20.9163, 20.9163) * CHOOSE(CONTROL!$C$21, $C$9, 100%, $E$9)</f>
        <v>20.9163</v>
      </c>
      <c r="E708" s="10">
        <f>CHOOSE(CONTROL!$C$42, 20.9501, 20.9501) * CHOOSE(CONTROL!$C$21, $C$9, 100%, $E$9)</f>
        <v>20.950099999999999</v>
      </c>
      <c r="F708" s="10">
        <f>CHOOSE(CONTROL!$C$42, 20.8539, 20.8539)*CHOOSE(CONTROL!$C$21, $C$9, 100%, $E$9)</f>
        <v>20.853899999999999</v>
      </c>
      <c r="G708" s="10">
        <f>CHOOSE(CONTROL!$C$42, 20.8712, 20.8712)*CHOOSE(CONTROL!$C$21, $C$9, 100%, $E$9)</f>
        <v>20.871200000000002</v>
      </c>
      <c r="H708" s="10">
        <f>CHOOSE(CONTROL!$C$42, 20.939, 20.939) * CHOOSE(CONTROL!$C$21, $C$9, 100%, $E$9)</f>
        <v>20.939</v>
      </c>
      <c r="I708" s="10">
        <f>CHOOSE(CONTROL!$C$42, 20.886, 20.886)* CHOOSE(CONTROL!$C$21, $C$9, 100%, $E$9)</f>
        <v>20.885999999999999</v>
      </c>
      <c r="J708" s="10">
        <f>CHOOSE(CONTROL!$C$42, 20.8465, 20.8465)* CHOOSE(CONTROL!$C$21, $C$9, 100%, $E$9)</f>
        <v>20.846499999999999</v>
      </c>
      <c r="K708" s="10">
        <f>CHOOSE(CONTROL!$C$42, 20.3971, 20.3971) * CHOOSE(CONTROL!$C$21, $C$9, 100%, $E$9)</f>
        <v>20.397099999999998</v>
      </c>
      <c r="L708" s="10">
        <f>CHOOSE(CONTROL!$C$42, 21.526, 21.526) * CHOOSE(CONTROL!$C$21, $C$9, 100%, $E$9)</f>
        <v>21.526</v>
      </c>
      <c r="M708" s="10">
        <f>CHOOSE(CONTROL!$C$42, 20.6097, 20.6097) * CHOOSE(CONTROL!$C$21, $C$9, 100%, $E$9)</f>
        <v>20.6097</v>
      </c>
      <c r="N708" s="10">
        <f>CHOOSE(CONTROL!$C$42, 20.6268, 20.6268) * CHOOSE(CONTROL!$C$21, $C$9, 100%, $E$9)</f>
        <v>20.626799999999999</v>
      </c>
      <c r="O708" s="10">
        <f>CHOOSE(CONTROL!$C$42, 20.701, 20.701) * CHOOSE(CONTROL!$C$21, $C$9, 100%, $E$9)</f>
        <v>20.701000000000001</v>
      </c>
      <c r="P708" s="10">
        <f>CHOOSE(CONTROL!$C$42, 20.6487, 20.6487) * CHOOSE(CONTROL!$C$21, $C$9, 100%, $E$9)</f>
        <v>20.648700000000002</v>
      </c>
      <c r="Q708" s="10">
        <f>CHOOSE(CONTROL!$C$42, 21.2963, 21.2963) * CHOOSE(CONTROL!$C$21, $C$9, 100%, $E$9)</f>
        <v>21.296299999999999</v>
      </c>
      <c r="R708" s="10">
        <f>CHOOSE(CONTROL!$C$42, 21.9365, 21.9365) * CHOOSE(CONTROL!$C$21, $C$9, 100%, $E$9)</f>
        <v>21.936499999999999</v>
      </c>
      <c r="S708" s="10">
        <f>CHOOSE(CONTROL!$C$42, 20.2411, 20.2411) * CHOOSE(CONTROL!$C$21, $C$9, 100%, $E$9)</f>
        <v>20.241099999999999</v>
      </c>
      <c r="T7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38">
        <f>(1000*CHOOSE(CONTROL!$C$42, 695, 695)*CHOOSE(CONTROL!$C$42, 0.5599, 0.5599)*CHOOSE(CONTROL!$C$42, 31, 31))/1000000</f>
        <v>12.063045499999998</v>
      </c>
      <c r="V708" s="38">
        <f>(1000*CHOOSE(CONTROL!$C$42, 500, 500)*CHOOSE(CONTROL!$C$42, 0.275, 0.275)*CHOOSE(CONTROL!$C$42, 31, 31))/1000000</f>
        <v>4.2625000000000002</v>
      </c>
      <c r="W708" s="38">
        <f>(1000*CHOOSE(CONTROL!$C$42, 0.1146, 0.1146)*CHOOSE(CONTROL!$C$42, 121.5, 121.5)*CHOOSE(CONTROL!$C$42, 31, 31))/1000000</f>
        <v>0.43164089999999994</v>
      </c>
      <c r="X708" s="38">
        <f>(31*0.1790888*100000/1000000)+(31*0.2374*100000/1000000)</f>
        <v>1.2911152800000001</v>
      </c>
      <c r="Y708" s="38">
        <f>(1000*600*CHOOSE(CONTROL!$C$42, 1.0585, 1.0585)*CHOOSE(CONTROL!$C$42, 31, 31))/1000000</f>
        <v>19.688099999999999</v>
      </c>
      <c r="Z708" s="38"/>
      <c r="AA708" s="10"/>
      <c r="AB708" s="39"/>
      <c r="AC708" s="33">
        <f>(B708*122.58+C708*297.941+D708*89.177+E708*40.302+F708*40+G708*160+H708*0+I708*100+J708*300)/(122.58+297.941+89.177+40.302+0+40+160+100+300)</f>
        <v>20.878620157304347</v>
      </c>
      <c r="AD708" s="27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20.657676258992808</v>
      </c>
    </row>
    <row r="709" spans="1:30" ht="15.75" x14ac:dyDescent="0.25">
      <c r="A709" s="13">
        <v>62854</v>
      </c>
      <c r="B709" s="10">
        <f>CHOOSE(CONTROL!$C$42, 22.2973, 22.2973) * CHOOSE(CONTROL!$C$21, $C$9, 100%, $E$9)</f>
        <v>22.2973</v>
      </c>
      <c r="C709" s="10">
        <f>CHOOSE(CONTROL!$C$42, 22.3024, 22.3024) * CHOOSE(CONTROL!$C$21, $C$9, 100%, $E$9)</f>
        <v>22.302399999999999</v>
      </c>
      <c r="D709" s="10">
        <f>CHOOSE(CONTROL!$C$42, 22.3375, 22.3375) * CHOOSE(CONTROL!$C$21, $C$9, 100%, $E$9)</f>
        <v>22.337499999999999</v>
      </c>
      <c r="E709" s="10">
        <f>CHOOSE(CONTROL!$C$42, 22.3713, 22.3713) * CHOOSE(CONTROL!$C$21, $C$9, 100%, $E$9)</f>
        <v>22.371300000000002</v>
      </c>
      <c r="F709" s="10">
        <f>CHOOSE(CONTROL!$C$42, 22.2786, 22.2786)*CHOOSE(CONTROL!$C$21, $C$9, 100%, $E$9)</f>
        <v>22.278600000000001</v>
      </c>
      <c r="G709" s="10">
        <f>CHOOSE(CONTROL!$C$42, 22.2975, 22.2975)*CHOOSE(CONTROL!$C$21, $C$9, 100%, $E$9)</f>
        <v>22.297499999999999</v>
      </c>
      <c r="H709" s="10">
        <f>CHOOSE(CONTROL!$C$42, 22.3601, 22.3601) * CHOOSE(CONTROL!$C$21, $C$9, 100%, $E$9)</f>
        <v>22.360099999999999</v>
      </c>
      <c r="I709" s="10">
        <f>CHOOSE(CONTROL!$C$42, 22.3046, 22.3046)* CHOOSE(CONTROL!$C$21, $C$9, 100%, $E$9)</f>
        <v>22.304600000000001</v>
      </c>
      <c r="J709" s="10">
        <f>CHOOSE(CONTROL!$C$42, 22.2712, 22.2712)* CHOOSE(CONTROL!$C$21, $C$9, 100%, $E$9)</f>
        <v>22.2712</v>
      </c>
      <c r="K709" s="10">
        <f>CHOOSE(CONTROL!$C$42, 21.7847, 21.7847) * CHOOSE(CONTROL!$C$21, $C$9, 100%, $E$9)</f>
        <v>21.784700000000001</v>
      </c>
      <c r="L709" s="10">
        <f>CHOOSE(CONTROL!$C$42, 22.9471, 22.9471) * CHOOSE(CONTROL!$C$21, $C$9, 100%, $E$9)</f>
        <v>22.947099999999999</v>
      </c>
      <c r="M709" s="10">
        <f>CHOOSE(CONTROL!$C$42, 22.016, 22.016) * CHOOSE(CONTROL!$C$21, $C$9, 100%, $E$9)</f>
        <v>22.015999999999998</v>
      </c>
      <c r="N709" s="10">
        <f>CHOOSE(CONTROL!$C$42, 22.0346, 22.0346) * CHOOSE(CONTROL!$C$21, $C$9, 100%, $E$9)</f>
        <v>22.034600000000001</v>
      </c>
      <c r="O709" s="10">
        <f>CHOOSE(CONTROL!$C$42, 22.1037, 22.1037) * CHOOSE(CONTROL!$C$21, $C$9, 100%, $E$9)</f>
        <v>22.1037</v>
      </c>
      <c r="P709" s="10">
        <f>CHOOSE(CONTROL!$C$42, 22.0489, 22.0489) * CHOOSE(CONTROL!$C$21, $C$9, 100%, $E$9)</f>
        <v>22.0489</v>
      </c>
      <c r="Q709" s="10">
        <f>CHOOSE(CONTROL!$C$42, 22.699, 22.699) * CHOOSE(CONTROL!$C$21, $C$9, 100%, $E$9)</f>
        <v>22.699000000000002</v>
      </c>
      <c r="R709" s="10">
        <f>CHOOSE(CONTROL!$C$42, 23.3428, 23.3428) * CHOOSE(CONTROL!$C$21, $C$9, 100%, $E$9)</f>
        <v>23.3428</v>
      </c>
      <c r="S709" s="10">
        <f>CHOOSE(CONTROL!$C$42, 21.6072, 21.6072) * CHOOSE(CONTROL!$C$21, $C$9, 100%, $E$9)</f>
        <v>21.607199999999999</v>
      </c>
      <c r="T7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38">
        <f>(1000*CHOOSE(CONTROL!$C$42, 695, 695)*CHOOSE(CONTROL!$C$42, 0.5599, 0.5599)*CHOOSE(CONTROL!$C$42, 31, 31))/1000000</f>
        <v>12.063045499999998</v>
      </c>
      <c r="V709" s="38">
        <f>(1000*CHOOSE(CONTROL!$C$42, 500, 500)*CHOOSE(CONTROL!$C$42, 0.275, 0.275)*CHOOSE(CONTROL!$C$42, 31, 31))/1000000</f>
        <v>4.2625000000000002</v>
      </c>
      <c r="W709" s="38">
        <f>(1000*CHOOSE(CONTROL!$C$42, 0.1146, 0.1146)*CHOOSE(CONTROL!$C$42, 121.5, 121.5)*CHOOSE(CONTROL!$C$42, 31, 31))/1000000</f>
        <v>0.43164089999999994</v>
      </c>
      <c r="X709" s="38">
        <f>(31*0.1790888*100000/1000000)+(31*0.2374*100000/1000000)</f>
        <v>1.2911152800000001</v>
      </c>
      <c r="Y709" s="38">
        <f>(1000*600*CHOOSE(CONTROL!$C$42, 1.0585, 1.0585)*CHOOSE(CONTROL!$C$42, 31, 31))/1000000</f>
        <v>19.688099999999999</v>
      </c>
      <c r="Z709" s="38"/>
      <c r="AA709" s="10"/>
      <c r="AB709" s="39"/>
      <c r="AC709" s="33">
        <f>(B709*122.58+C709*297.941+D709*89.177+E709*40.302+F709*40+G709*160+H709*0+I709*100+J709*300)/(122.58+297.941+89.177+40.302+0+40+160+100+300)</f>
        <v>22.297535445652173</v>
      </c>
      <c r="AD709" s="27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22.06155323741007</v>
      </c>
    </row>
    <row r="710" spans="1:30" ht="15.75" x14ac:dyDescent="0.25">
      <c r="A710" s="13">
        <v>62883</v>
      </c>
      <c r="B710" s="10">
        <f>CHOOSE(CONTROL!$C$42, 22.6946, 22.6946) * CHOOSE(CONTROL!$C$21, $C$9, 100%, $E$9)</f>
        <v>22.694600000000001</v>
      </c>
      <c r="C710" s="10">
        <f>CHOOSE(CONTROL!$C$42, 22.6997, 22.6997) * CHOOSE(CONTROL!$C$21, $C$9, 100%, $E$9)</f>
        <v>22.6997</v>
      </c>
      <c r="D710" s="10">
        <f>CHOOSE(CONTROL!$C$42, 22.7347, 22.7347) * CHOOSE(CONTROL!$C$21, $C$9, 100%, $E$9)</f>
        <v>22.7347</v>
      </c>
      <c r="E710" s="10">
        <f>CHOOSE(CONTROL!$C$42, 22.7685, 22.7685) * CHOOSE(CONTROL!$C$21, $C$9, 100%, $E$9)</f>
        <v>22.7685</v>
      </c>
      <c r="F710" s="10">
        <f>CHOOSE(CONTROL!$C$42, 22.6753, 22.6753)*CHOOSE(CONTROL!$C$21, $C$9, 100%, $E$9)</f>
        <v>22.6753</v>
      </c>
      <c r="G710" s="10">
        <f>CHOOSE(CONTROL!$C$42, 22.6941, 22.6941)*CHOOSE(CONTROL!$C$21, $C$9, 100%, $E$9)</f>
        <v>22.694099999999999</v>
      </c>
      <c r="H710" s="10">
        <f>CHOOSE(CONTROL!$C$42, 22.7574, 22.7574) * CHOOSE(CONTROL!$C$21, $C$9, 100%, $E$9)</f>
        <v>22.757400000000001</v>
      </c>
      <c r="I710" s="10">
        <f>CHOOSE(CONTROL!$C$42, 22.7018, 22.7018)* CHOOSE(CONTROL!$C$21, $C$9, 100%, $E$9)</f>
        <v>22.701799999999999</v>
      </c>
      <c r="J710" s="10">
        <f>CHOOSE(CONTROL!$C$42, 22.6679, 22.6679)* CHOOSE(CONTROL!$C$21, $C$9, 100%, $E$9)</f>
        <v>22.667899999999999</v>
      </c>
      <c r="K710" s="10">
        <f>CHOOSE(CONTROL!$C$42, 22.1683, 22.1683) * CHOOSE(CONTROL!$C$21, $C$9, 100%, $E$9)</f>
        <v>22.168299999999999</v>
      </c>
      <c r="L710" s="10">
        <f>CHOOSE(CONTROL!$C$42, 23.3444, 23.3444) * CHOOSE(CONTROL!$C$21, $C$9, 100%, $E$9)</f>
        <v>23.3444</v>
      </c>
      <c r="M710" s="10">
        <f>CHOOSE(CONTROL!$C$42, 22.4075, 22.4075) * CHOOSE(CONTROL!$C$21, $C$9, 100%, $E$9)</f>
        <v>22.407499999999999</v>
      </c>
      <c r="N710" s="10">
        <f>CHOOSE(CONTROL!$C$42, 22.426, 22.426) * CHOOSE(CONTROL!$C$21, $C$9, 100%, $E$9)</f>
        <v>22.425999999999998</v>
      </c>
      <c r="O710" s="10">
        <f>CHOOSE(CONTROL!$C$42, 22.4958, 22.4958) * CHOOSE(CONTROL!$C$21, $C$9, 100%, $E$9)</f>
        <v>22.495799999999999</v>
      </c>
      <c r="P710" s="10">
        <f>CHOOSE(CONTROL!$C$42, 22.441, 22.441) * CHOOSE(CONTROL!$C$21, $C$9, 100%, $E$9)</f>
        <v>22.440999999999999</v>
      </c>
      <c r="Q710" s="10">
        <f>CHOOSE(CONTROL!$C$42, 23.0911, 23.0911) * CHOOSE(CONTROL!$C$21, $C$9, 100%, $E$9)</f>
        <v>23.091100000000001</v>
      </c>
      <c r="R710" s="10">
        <f>CHOOSE(CONTROL!$C$42, 23.7358, 23.7358) * CHOOSE(CONTROL!$C$21, $C$9, 100%, $E$9)</f>
        <v>23.735800000000001</v>
      </c>
      <c r="S710" s="10">
        <f>CHOOSE(CONTROL!$C$42, 21.9918, 21.9918) * CHOOSE(CONTROL!$C$21, $C$9, 100%, $E$9)</f>
        <v>21.991800000000001</v>
      </c>
      <c r="T71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10" s="38">
        <f>(1000*CHOOSE(CONTROL!$C$42, 695, 695)*CHOOSE(CONTROL!$C$42, 0.5599, 0.5599)*CHOOSE(CONTROL!$C$42, 29, 29))/1000000</f>
        <v>11.284784499999999</v>
      </c>
      <c r="V710" s="38">
        <f>(1000*CHOOSE(CONTROL!$C$42, 500, 500)*CHOOSE(CONTROL!$C$42, 0.275, 0.275)*CHOOSE(CONTROL!$C$42, 29, 29))/1000000</f>
        <v>3.9874999999999998</v>
      </c>
      <c r="W710" s="38">
        <f>(1000*CHOOSE(CONTROL!$C$42, 0.1146, 0.1146)*CHOOSE(CONTROL!$C$42, 121.5, 121.5)*CHOOSE(CONTROL!$C$42, 29, 29))/1000000</f>
        <v>0.40379309999999996</v>
      </c>
      <c r="X710" s="38">
        <f>(29*0.1790888*100000/1000000)+(29*0.2374*100000/1000000)</f>
        <v>1.2078175199999999</v>
      </c>
      <c r="Y710" s="38">
        <f>(1000*600*CHOOSE(CONTROL!$C$42, 1.0585, 1.0585)*CHOOSE(CONTROL!$C$42, 29, 29))/1000000</f>
        <v>18.417899999999999</v>
      </c>
      <c r="Z710" s="38"/>
      <c r="AA710" s="10"/>
      <c r="AB710" s="39"/>
      <c r="AC710" s="33">
        <f>(B710*122.58+C710*297.941+D710*89.177+E710*40.302+F710*40+G710*160+H710*0+I710*100+J710*300)/(122.58+297.941+89.177+40.302+0+40+160+100+300)</f>
        <v>22.694540708347827</v>
      </c>
      <c r="AD710" s="27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22.453405755395682</v>
      </c>
    </row>
    <row r="711" spans="1:30" ht="15.75" x14ac:dyDescent="0.25">
      <c r="A711" s="13">
        <v>62914</v>
      </c>
      <c r="B711" s="10">
        <f>CHOOSE(CONTROL!$C$42, 22.0498, 22.0498) * CHOOSE(CONTROL!$C$21, $C$9, 100%, $E$9)</f>
        <v>22.049800000000001</v>
      </c>
      <c r="C711" s="10">
        <f>CHOOSE(CONTROL!$C$42, 22.0549, 22.0549) * CHOOSE(CONTROL!$C$21, $C$9, 100%, $E$9)</f>
        <v>22.0549</v>
      </c>
      <c r="D711" s="10">
        <f>CHOOSE(CONTROL!$C$42, 22.0899, 22.0899) * CHOOSE(CONTROL!$C$21, $C$9, 100%, $E$9)</f>
        <v>22.0899</v>
      </c>
      <c r="E711" s="10">
        <f>CHOOSE(CONTROL!$C$42, 22.1237, 22.1237) * CHOOSE(CONTROL!$C$21, $C$9, 100%, $E$9)</f>
        <v>22.123699999999999</v>
      </c>
      <c r="F711" s="10">
        <f>CHOOSE(CONTROL!$C$42, 22.0291, 22.0291)*CHOOSE(CONTROL!$C$21, $C$9, 100%, $E$9)</f>
        <v>22.0291</v>
      </c>
      <c r="G711" s="10">
        <f>CHOOSE(CONTROL!$C$42, 22.0475, 22.0475)*CHOOSE(CONTROL!$C$21, $C$9, 100%, $E$9)</f>
        <v>22.047499999999999</v>
      </c>
      <c r="H711" s="10">
        <f>CHOOSE(CONTROL!$C$42, 22.1126, 22.1126) * CHOOSE(CONTROL!$C$21, $C$9, 100%, $E$9)</f>
        <v>22.1126</v>
      </c>
      <c r="I711" s="10">
        <f>CHOOSE(CONTROL!$C$42, 22.057, 22.057)* CHOOSE(CONTROL!$C$21, $C$9, 100%, $E$9)</f>
        <v>22.056999999999999</v>
      </c>
      <c r="J711" s="10">
        <f>CHOOSE(CONTROL!$C$42, 22.0217, 22.0217)* CHOOSE(CONTROL!$C$21, $C$9, 100%, $E$9)</f>
        <v>22.021699999999999</v>
      </c>
      <c r="K711" s="10">
        <f>CHOOSE(CONTROL!$C$42, 21.5407, 21.5407) * CHOOSE(CONTROL!$C$21, $C$9, 100%, $E$9)</f>
        <v>21.540700000000001</v>
      </c>
      <c r="L711" s="10">
        <f>CHOOSE(CONTROL!$C$42, 22.6996, 22.6996) * CHOOSE(CONTROL!$C$21, $C$9, 100%, $E$9)</f>
        <v>22.6996</v>
      </c>
      <c r="M711" s="10">
        <f>CHOOSE(CONTROL!$C$42, 21.7697, 21.7697) * CHOOSE(CONTROL!$C$21, $C$9, 100%, $E$9)</f>
        <v>21.7697</v>
      </c>
      <c r="N711" s="10">
        <f>CHOOSE(CONTROL!$C$42, 21.7879, 21.7879) * CHOOSE(CONTROL!$C$21, $C$9, 100%, $E$9)</f>
        <v>21.7879</v>
      </c>
      <c r="O711" s="10">
        <f>CHOOSE(CONTROL!$C$42, 21.8594, 21.8594) * CHOOSE(CONTROL!$C$21, $C$9, 100%, $E$9)</f>
        <v>21.859400000000001</v>
      </c>
      <c r="P711" s="10">
        <f>CHOOSE(CONTROL!$C$42, 21.8046, 21.8046) * CHOOSE(CONTROL!$C$21, $C$9, 100%, $E$9)</f>
        <v>21.804600000000001</v>
      </c>
      <c r="Q711" s="10">
        <f>CHOOSE(CONTROL!$C$42, 22.4547, 22.4547) * CHOOSE(CONTROL!$C$21, $C$9, 100%, $E$9)</f>
        <v>22.454699999999999</v>
      </c>
      <c r="R711" s="10">
        <f>CHOOSE(CONTROL!$C$42, 23.0978, 23.0978) * CHOOSE(CONTROL!$C$21, $C$9, 100%, $E$9)</f>
        <v>23.097799999999999</v>
      </c>
      <c r="S711" s="10">
        <f>CHOOSE(CONTROL!$C$42, 21.3675, 21.3675) * CHOOSE(CONTROL!$C$21, $C$9, 100%, $E$9)</f>
        <v>21.3675</v>
      </c>
      <c r="T7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38">
        <f>(1000*CHOOSE(CONTROL!$C$42, 695, 695)*CHOOSE(CONTROL!$C$42, 0.5599, 0.5599)*CHOOSE(CONTROL!$C$42, 31, 31))/1000000</f>
        <v>12.063045499999998</v>
      </c>
      <c r="V711" s="38">
        <f>(1000*CHOOSE(CONTROL!$C$42, 500, 500)*CHOOSE(CONTROL!$C$42, 0.275, 0.275)*CHOOSE(CONTROL!$C$42, 31, 31))/1000000</f>
        <v>4.2625000000000002</v>
      </c>
      <c r="W711" s="38">
        <f>(1000*CHOOSE(CONTROL!$C$42, 0.1146, 0.1146)*CHOOSE(CONTROL!$C$42, 121.5, 121.5)*CHOOSE(CONTROL!$C$42, 31, 31))/1000000</f>
        <v>0.43164089999999994</v>
      </c>
      <c r="X711" s="38">
        <f>(31*0.1790888*100000/1000000)+(31*0.2374*100000/1000000)</f>
        <v>1.2911152800000001</v>
      </c>
      <c r="Y711" s="38">
        <f>(1000*600*CHOOSE(CONTROL!$C$42, 1.0585, 1.0585)*CHOOSE(CONTROL!$C$42, 31, 31))/1000000</f>
        <v>19.688099999999999</v>
      </c>
      <c r="Z711" s="38"/>
      <c r="AA711" s="10"/>
      <c r="AB711" s="39"/>
      <c r="AC711" s="33">
        <f>(B711*122.58+C711*297.941+D711*89.177+E711*40.302+F711*40+G711*160+H711*0+I711*100+J711*300)/(122.58+297.941+89.177+40.302+0+40+160+100+300)</f>
        <v>22.049076360521738</v>
      </c>
      <c r="AD711" s="27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21.816424460431655</v>
      </c>
    </row>
    <row r="712" spans="1:30" ht="15.75" x14ac:dyDescent="0.25">
      <c r="A712" s="13">
        <v>62944</v>
      </c>
      <c r="B712" s="10">
        <f>CHOOSE(CONTROL!$C$42, 21.9845, 21.9845) * CHOOSE(CONTROL!$C$21, $C$9, 100%, $E$9)</f>
        <v>21.984500000000001</v>
      </c>
      <c r="C712" s="10">
        <f>CHOOSE(CONTROL!$C$42, 21.989, 21.989) * CHOOSE(CONTROL!$C$21, $C$9, 100%, $E$9)</f>
        <v>21.989000000000001</v>
      </c>
      <c r="D712" s="10">
        <f>CHOOSE(CONTROL!$C$42, 22.1672, 22.1672) * CHOOSE(CONTROL!$C$21, $C$9, 100%, $E$9)</f>
        <v>22.167200000000001</v>
      </c>
      <c r="E712" s="10">
        <f>CHOOSE(CONTROL!$C$42, 22.199, 22.199) * CHOOSE(CONTROL!$C$21, $C$9, 100%, $E$9)</f>
        <v>22.199000000000002</v>
      </c>
      <c r="F712" s="10">
        <f>CHOOSE(CONTROL!$C$42, 21.9279, 21.9279)*CHOOSE(CONTROL!$C$21, $C$9, 100%, $E$9)</f>
        <v>21.927900000000001</v>
      </c>
      <c r="G712" s="10">
        <f>CHOOSE(CONTROL!$C$42, 21.9445, 21.9445)*CHOOSE(CONTROL!$C$21, $C$9, 100%, $E$9)</f>
        <v>21.944500000000001</v>
      </c>
      <c r="H712" s="10">
        <f>CHOOSE(CONTROL!$C$42, 22.1885, 22.1885) * CHOOSE(CONTROL!$C$21, $C$9, 100%, $E$9)</f>
        <v>22.188500000000001</v>
      </c>
      <c r="I712" s="10">
        <f>CHOOSE(CONTROL!$C$42, 21.9605, 21.9605)* CHOOSE(CONTROL!$C$21, $C$9, 100%, $E$9)</f>
        <v>21.9605</v>
      </c>
      <c r="J712" s="10">
        <f>CHOOSE(CONTROL!$C$42, 21.9205, 21.9205)* CHOOSE(CONTROL!$C$21, $C$9, 100%, $E$9)</f>
        <v>21.920500000000001</v>
      </c>
      <c r="K712" s="10">
        <f>CHOOSE(CONTROL!$C$42, 21.4324, 21.4324) * CHOOSE(CONTROL!$C$21, $C$9, 100%, $E$9)</f>
        <v>21.432400000000001</v>
      </c>
      <c r="L712" s="10">
        <f>CHOOSE(CONTROL!$C$42, 22.7755, 22.7755) * CHOOSE(CONTROL!$C$21, $C$9, 100%, $E$9)</f>
        <v>22.775500000000001</v>
      </c>
      <c r="M712" s="10">
        <f>CHOOSE(CONTROL!$C$42, 21.6698, 21.6698) * CHOOSE(CONTROL!$C$21, $C$9, 100%, $E$9)</f>
        <v>21.669799999999999</v>
      </c>
      <c r="N712" s="10">
        <f>CHOOSE(CONTROL!$C$42, 21.6862, 21.6862) * CHOOSE(CONTROL!$C$21, $C$9, 100%, $E$9)</f>
        <v>21.686199999999999</v>
      </c>
      <c r="O712" s="10">
        <f>CHOOSE(CONTROL!$C$42, 21.9343, 21.9343) * CHOOSE(CONTROL!$C$21, $C$9, 100%, $E$9)</f>
        <v>21.9343</v>
      </c>
      <c r="P712" s="10">
        <f>CHOOSE(CONTROL!$C$42, 21.7093, 21.7093) * CHOOSE(CONTROL!$C$21, $C$9, 100%, $E$9)</f>
        <v>21.709299999999999</v>
      </c>
      <c r="Q712" s="10">
        <f>CHOOSE(CONTROL!$C$42, 22.5296, 22.5296) * CHOOSE(CONTROL!$C$21, $C$9, 100%, $E$9)</f>
        <v>22.529599999999999</v>
      </c>
      <c r="R712" s="10">
        <f>CHOOSE(CONTROL!$C$42, 23.1729, 23.1729) * CHOOSE(CONTROL!$C$21, $C$9, 100%, $E$9)</f>
        <v>23.172899999999998</v>
      </c>
      <c r="S712" s="10">
        <f>CHOOSE(CONTROL!$C$42, 21.3035, 21.3035) * CHOOSE(CONTROL!$C$21, $C$9, 100%, $E$9)</f>
        <v>21.3035</v>
      </c>
      <c r="T7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38">
        <f>(1000*CHOOSE(CONTROL!$C$42, 695, 695)*CHOOSE(CONTROL!$C$42, 0.5599, 0.5599)*CHOOSE(CONTROL!$C$42, 30, 30))/1000000</f>
        <v>11.673914999999997</v>
      </c>
      <c r="V712" s="38">
        <f>(1000*CHOOSE(CONTROL!$C$42, 500, 500)*CHOOSE(CONTROL!$C$42, 0.275, 0.275)*CHOOSE(CONTROL!$C$42, 30, 30))/1000000</f>
        <v>4.125</v>
      </c>
      <c r="W712" s="38">
        <f>(1000*CHOOSE(CONTROL!$C$42, 0.1146, 0.1146)*CHOOSE(CONTROL!$C$42, 121.5, 121.5)*CHOOSE(CONTROL!$C$42, 30, 30))/1000000</f>
        <v>0.417717</v>
      </c>
      <c r="X712" s="38">
        <f>(30*0.1790888*245000/1000000)+(30*0.2374*100000/1000000)</f>
        <v>2.0285026799999999</v>
      </c>
      <c r="Y712" s="38">
        <f>(1000*600*CHOOSE(CONTROL!$C$42, 1.0585, 1.0585)*CHOOSE(CONTROL!$C$42, 30, 30))/1000000</f>
        <v>19.053000000000001</v>
      </c>
      <c r="Z712" s="38"/>
      <c r="AA712" s="10"/>
      <c r="AB712" s="39"/>
      <c r="AC712" s="33">
        <f>(B712*141.293+C712*267.993+D712*115.016+E712*89.698+F712*40+G712*185+H712*0+I712*100+J712*300)/(141.293+267.993+115.016+89.698+0+40+185+100+300)</f>
        <v>21.992728904519772</v>
      </c>
      <c r="AD712" s="27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21.796308633093524</v>
      </c>
    </row>
    <row r="713" spans="1:30" ht="15.75" x14ac:dyDescent="0.25">
      <c r="A713" s="13">
        <v>62975</v>
      </c>
      <c r="B713" s="10">
        <f>CHOOSE(CONTROL!$C$42, 22.1804, 22.1804) * CHOOSE(CONTROL!$C$21, $C$9, 100%, $E$9)</f>
        <v>22.180399999999999</v>
      </c>
      <c r="C713" s="10">
        <f>CHOOSE(CONTROL!$C$42, 22.1884, 22.1884) * CHOOSE(CONTROL!$C$21, $C$9, 100%, $E$9)</f>
        <v>22.188400000000001</v>
      </c>
      <c r="D713" s="10">
        <f>CHOOSE(CONTROL!$C$42, 22.3635, 22.3635) * CHOOSE(CONTROL!$C$21, $C$9, 100%, $E$9)</f>
        <v>22.363499999999998</v>
      </c>
      <c r="E713" s="10">
        <f>CHOOSE(CONTROL!$C$42, 22.3947, 22.3947) * CHOOSE(CONTROL!$C$21, $C$9, 100%, $E$9)</f>
        <v>22.3947</v>
      </c>
      <c r="F713" s="10">
        <f>CHOOSE(CONTROL!$C$42, 22.1221, 22.1221)*CHOOSE(CONTROL!$C$21, $C$9, 100%, $E$9)</f>
        <v>22.1221</v>
      </c>
      <c r="G713" s="10">
        <f>CHOOSE(CONTROL!$C$42, 22.139, 22.139)*CHOOSE(CONTROL!$C$21, $C$9, 100%, $E$9)</f>
        <v>22.138999999999999</v>
      </c>
      <c r="H713" s="10">
        <f>CHOOSE(CONTROL!$C$42, 22.3831, 22.3831) * CHOOSE(CONTROL!$C$21, $C$9, 100%, $E$9)</f>
        <v>22.383099999999999</v>
      </c>
      <c r="I713" s="10">
        <f>CHOOSE(CONTROL!$C$42, 22.1551, 22.1551)* CHOOSE(CONTROL!$C$21, $C$9, 100%, $E$9)</f>
        <v>22.155100000000001</v>
      </c>
      <c r="J713" s="10">
        <f>CHOOSE(CONTROL!$C$42, 22.1147, 22.1147)* CHOOSE(CONTROL!$C$21, $C$9, 100%, $E$9)</f>
        <v>22.114699999999999</v>
      </c>
      <c r="K713" s="10">
        <f>CHOOSE(CONTROL!$C$42, 21.6201, 21.6201) * CHOOSE(CONTROL!$C$21, $C$9, 100%, $E$9)</f>
        <v>21.620100000000001</v>
      </c>
      <c r="L713" s="10">
        <f>CHOOSE(CONTROL!$C$42, 22.9701, 22.9701) * CHOOSE(CONTROL!$C$21, $C$9, 100%, $E$9)</f>
        <v>22.970099999999999</v>
      </c>
      <c r="M713" s="10">
        <f>CHOOSE(CONTROL!$C$42, 21.8614, 21.8614) * CHOOSE(CONTROL!$C$21, $C$9, 100%, $E$9)</f>
        <v>21.8614</v>
      </c>
      <c r="N713" s="10">
        <f>CHOOSE(CONTROL!$C$42, 21.8781, 21.8781) * CHOOSE(CONTROL!$C$21, $C$9, 100%, $E$9)</f>
        <v>21.8781</v>
      </c>
      <c r="O713" s="10">
        <f>CHOOSE(CONTROL!$C$42, 22.1264, 22.1264) * CHOOSE(CONTROL!$C$21, $C$9, 100%, $E$9)</f>
        <v>22.1264</v>
      </c>
      <c r="P713" s="10">
        <f>CHOOSE(CONTROL!$C$42, 21.9013, 21.9013) * CHOOSE(CONTROL!$C$21, $C$9, 100%, $E$9)</f>
        <v>21.901299999999999</v>
      </c>
      <c r="Q713" s="10">
        <f>CHOOSE(CONTROL!$C$42, 22.7217, 22.7217) * CHOOSE(CONTROL!$C$21, $C$9, 100%, $E$9)</f>
        <v>22.721699999999998</v>
      </c>
      <c r="R713" s="10">
        <f>CHOOSE(CONTROL!$C$42, 23.3655, 23.3655) * CHOOSE(CONTROL!$C$21, $C$9, 100%, $E$9)</f>
        <v>23.365500000000001</v>
      </c>
      <c r="S713" s="10">
        <f>CHOOSE(CONTROL!$C$42, 21.4919, 21.4919) * CHOOSE(CONTROL!$C$21, $C$9, 100%, $E$9)</f>
        <v>21.491900000000001</v>
      </c>
      <c r="T7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38">
        <f>(1000*CHOOSE(CONTROL!$C$42, 695, 695)*CHOOSE(CONTROL!$C$42, 0.5599, 0.5599)*CHOOSE(CONTROL!$C$42, 31, 31))/1000000</f>
        <v>12.063045499999998</v>
      </c>
      <c r="V713" s="38">
        <f>(1000*CHOOSE(CONTROL!$C$42, 500, 500)*CHOOSE(CONTROL!$C$42, 0.275, 0.275)*CHOOSE(CONTROL!$C$42, 31, 31))/1000000</f>
        <v>4.2625000000000002</v>
      </c>
      <c r="W713" s="38">
        <f>(1000*CHOOSE(CONTROL!$C$42, 0.1146, 0.1146)*CHOOSE(CONTROL!$C$42, 121.5, 121.5)*CHOOSE(CONTROL!$C$42, 31, 31))/1000000</f>
        <v>0.43164089999999994</v>
      </c>
      <c r="X713" s="38">
        <f>(31*0.1790888*245000/1000000)+(31*0.2374*100000/1000000)</f>
        <v>2.0961194359999999</v>
      </c>
      <c r="Y713" s="38">
        <f>(1000*600*CHOOSE(CONTROL!$C$42, 1.0585, 1.0585)*CHOOSE(CONTROL!$C$42, 31, 31))/1000000</f>
        <v>19.688099999999999</v>
      </c>
      <c r="Z713" s="38"/>
      <c r="AA713" s="10"/>
      <c r="AB713" s="39"/>
      <c r="AC713" s="33">
        <f>(B713*194.205+C713*267.466+D713*133.845+E713*53.484+F713*40+G713*185+H713*0+I713*100+J713*300)/(194.205+267.466+133.845+53.484+0+40+185+100+300)</f>
        <v>22.185013319230769</v>
      </c>
      <c r="AD713" s="27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21.988210071942447</v>
      </c>
    </row>
    <row r="714" spans="1:30" ht="15.75" x14ac:dyDescent="0.25">
      <c r="A714" s="13">
        <v>63005</v>
      </c>
      <c r="B714" s="10">
        <f>CHOOSE(CONTROL!$C$42, 22.81, 22.81) * CHOOSE(CONTROL!$C$21, $C$9, 100%, $E$9)</f>
        <v>22.81</v>
      </c>
      <c r="C714" s="10">
        <f>CHOOSE(CONTROL!$C$42, 22.818, 22.818) * CHOOSE(CONTROL!$C$21, $C$9, 100%, $E$9)</f>
        <v>22.818000000000001</v>
      </c>
      <c r="D714" s="10">
        <f>CHOOSE(CONTROL!$C$42, 22.9931, 22.9931) * CHOOSE(CONTROL!$C$21, $C$9, 100%, $E$9)</f>
        <v>22.993099999999998</v>
      </c>
      <c r="E714" s="10">
        <f>CHOOSE(CONTROL!$C$42, 23.0243, 23.0243) * CHOOSE(CONTROL!$C$21, $C$9, 100%, $E$9)</f>
        <v>23.0243</v>
      </c>
      <c r="F714" s="10">
        <f>CHOOSE(CONTROL!$C$42, 22.7518, 22.7518)*CHOOSE(CONTROL!$C$21, $C$9, 100%, $E$9)</f>
        <v>22.751799999999999</v>
      </c>
      <c r="G714" s="10">
        <f>CHOOSE(CONTROL!$C$42, 22.7688, 22.7688)*CHOOSE(CONTROL!$C$21, $C$9, 100%, $E$9)</f>
        <v>22.768799999999999</v>
      </c>
      <c r="H714" s="10">
        <f>CHOOSE(CONTROL!$C$42, 23.0126, 23.0126) * CHOOSE(CONTROL!$C$21, $C$9, 100%, $E$9)</f>
        <v>23.012599999999999</v>
      </c>
      <c r="I714" s="10">
        <f>CHOOSE(CONTROL!$C$42, 22.7846, 22.7846)* CHOOSE(CONTROL!$C$21, $C$9, 100%, $E$9)</f>
        <v>22.784600000000001</v>
      </c>
      <c r="J714" s="10">
        <f>CHOOSE(CONTROL!$C$42, 22.7444, 22.7444)* CHOOSE(CONTROL!$C$21, $C$9, 100%, $E$9)</f>
        <v>22.744399999999999</v>
      </c>
      <c r="K714" s="10">
        <f>CHOOSE(CONTROL!$C$42, 22.2304, 22.2304) * CHOOSE(CONTROL!$C$21, $C$9, 100%, $E$9)</f>
        <v>22.230399999999999</v>
      </c>
      <c r="L714" s="10">
        <f>CHOOSE(CONTROL!$C$42, 23.5996, 23.5996) * CHOOSE(CONTROL!$C$21, $C$9, 100%, $E$9)</f>
        <v>23.599599999999999</v>
      </c>
      <c r="M714" s="10">
        <f>CHOOSE(CONTROL!$C$42, 22.4831, 22.4831) * CHOOSE(CONTROL!$C$21, $C$9, 100%, $E$9)</f>
        <v>22.4831</v>
      </c>
      <c r="N714" s="10">
        <f>CHOOSE(CONTROL!$C$42, 22.4998, 22.4998) * CHOOSE(CONTROL!$C$21, $C$9, 100%, $E$9)</f>
        <v>22.4998</v>
      </c>
      <c r="O714" s="10">
        <f>CHOOSE(CONTROL!$C$42, 22.7478, 22.7478) * CHOOSE(CONTROL!$C$21, $C$9, 100%, $E$9)</f>
        <v>22.747800000000002</v>
      </c>
      <c r="P714" s="10">
        <f>CHOOSE(CONTROL!$C$42, 22.5228, 22.5228) * CHOOSE(CONTROL!$C$21, $C$9, 100%, $E$9)</f>
        <v>22.5228</v>
      </c>
      <c r="Q714" s="10">
        <f>CHOOSE(CONTROL!$C$42, 23.3431, 23.3431) * CHOOSE(CONTROL!$C$21, $C$9, 100%, $E$9)</f>
        <v>23.3431</v>
      </c>
      <c r="R714" s="10">
        <f>CHOOSE(CONTROL!$C$42, 23.9884, 23.9884) * CHOOSE(CONTROL!$C$21, $C$9, 100%, $E$9)</f>
        <v>23.988399999999999</v>
      </c>
      <c r="S714" s="10">
        <f>CHOOSE(CONTROL!$C$42, 22.1015, 22.1015) * CHOOSE(CONTROL!$C$21, $C$9, 100%, $E$9)</f>
        <v>22.101500000000001</v>
      </c>
      <c r="T7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38">
        <f>(1000*CHOOSE(CONTROL!$C$42, 695, 695)*CHOOSE(CONTROL!$C$42, 0.5599, 0.5599)*CHOOSE(CONTROL!$C$42, 30, 30))/1000000</f>
        <v>11.673914999999997</v>
      </c>
      <c r="V714" s="38">
        <f>(1000*CHOOSE(CONTROL!$C$42, 500, 500)*CHOOSE(CONTROL!$C$42, 0.275, 0.275)*CHOOSE(CONTROL!$C$42, 30, 30))/1000000</f>
        <v>4.125</v>
      </c>
      <c r="W714" s="38">
        <f>(1000*CHOOSE(CONTROL!$C$42, 0.1146, 0.1146)*CHOOSE(CONTROL!$C$42, 121.5, 121.5)*CHOOSE(CONTROL!$C$42, 30, 30))/1000000</f>
        <v>0.417717</v>
      </c>
      <c r="X714" s="38">
        <f>(30*0.1790888*245000/1000000)+(30*0.2374*100000/1000000)</f>
        <v>2.0285026799999999</v>
      </c>
      <c r="Y714" s="38">
        <f>(1000*600*CHOOSE(CONTROL!$C$42, 1.0585, 1.0585)*CHOOSE(CONTROL!$C$42, 30, 30))/1000000</f>
        <v>19.053000000000001</v>
      </c>
      <c r="Z714" s="38"/>
      <c r="AA714" s="10"/>
      <c r="AB714" s="39"/>
      <c r="AC714" s="33">
        <f>(B714*194.205+C714*267.466+D714*133.845+E714*53.484+F714*40+G714*185+H714*0+I714*100+J714*300)/(194.205+267.466+133.845+53.484+0+40+185+100+300)</f>
        <v>22.814661199921506</v>
      </c>
      <c r="AD714" s="27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22.609745323741013</v>
      </c>
    </row>
    <row r="715" spans="1:30" ht="15.75" x14ac:dyDescent="0.25">
      <c r="A715" s="13">
        <v>63036</v>
      </c>
      <c r="B715" s="10">
        <f>CHOOSE(CONTROL!$C$42, 22.3721, 22.3721) * CHOOSE(CONTROL!$C$21, $C$9, 100%, $E$9)</f>
        <v>22.3721</v>
      </c>
      <c r="C715" s="10">
        <f>CHOOSE(CONTROL!$C$42, 22.3801, 22.3801) * CHOOSE(CONTROL!$C$21, $C$9, 100%, $E$9)</f>
        <v>22.380099999999999</v>
      </c>
      <c r="D715" s="10">
        <f>CHOOSE(CONTROL!$C$42, 22.5552, 22.5552) * CHOOSE(CONTROL!$C$21, $C$9, 100%, $E$9)</f>
        <v>22.555199999999999</v>
      </c>
      <c r="E715" s="10">
        <f>CHOOSE(CONTROL!$C$42, 22.5864, 22.5864) * CHOOSE(CONTROL!$C$21, $C$9, 100%, $E$9)</f>
        <v>22.586400000000001</v>
      </c>
      <c r="F715" s="10">
        <f>CHOOSE(CONTROL!$C$42, 22.3143, 22.3143)*CHOOSE(CONTROL!$C$21, $C$9, 100%, $E$9)</f>
        <v>22.314299999999999</v>
      </c>
      <c r="G715" s="10">
        <f>CHOOSE(CONTROL!$C$42, 22.3314, 22.3314)*CHOOSE(CONTROL!$C$21, $C$9, 100%, $E$9)</f>
        <v>22.331399999999999</v>
      </c>
      <c r="H715" s="10">
        <f>CHOOSE(CONTROL!$C$42, 22.5748, 22.5748) * CHOOSE(CONTROL!$C$21, $C$9, 100%, $E$9)</f>
        <v>22.5748</v>
      </c>
      <c r="I715" s="10">
        <f>CHOOSE(CONTROL!$C$42, 22.3468, 22.3468)* CHOOSE(CONTROL!$C$21, $C$9, 100%, $E$9)</f>
        <v>22.346800000000002</v>
      </c>
      <c r="J715" s="10">
        <f>CHOOSE(CONTROL!$C$42, 22.3069, 22.3069)* CHOOSE(CONTROL!$C$21, $C$9, 100%, $E$9)</f>
        <v>22.306899999999999</v>
      </c>
      <c r="K715" s="10">
        <f>CHOOSE(CONTROL!$C$42, 21.8069, 21.8069) * CHOOSE(CONTROL!$C$21, $C$9, 100%, $E$9)</f>
        <v>21.806899999999999</v>
      </c>
      <c r="L715" s="10">
        <f>CHOOSE(CONTROL!$C$42, 23.1618, 23.1618) * CHOOSE(CONTROL!$C$21, $C$9, 100%, $E$9)</f>
        <v>23.161799999999999</v>
      </c>
      <c r="M715" s="10">
        <f>CHOOSE(CONTROL!$C$42, 22.0512, 22.0512) * CHOOSE(CONTROL!$C$21, $C$9, 100%, $E$9)</f>
        <v>22.051200000000001</v>
      </c>
      <c r="N715" s="10">
        <f>CHOOSE(CONTROL!$C$42, 22.068, 22.068) * CHOOSE(CONTROL!$C$21, $C$9, 100%, $E$9)</f>
        <v>22.068000000000001</v>
      </c>
      <c r="O715" s="10">
        <f>CHOOSE(CONTROL!$C$42, 22.3156, 22.3156) * CHOOSE(CONTROL!$C$21, $C$9, 100%, $E$9)</f>
        <v>22.3156</v>
      </c>
      <c r="P715" s="10">
        <f>CHOOSE(CONTROL!$C$42, 22.0906, 22.0906) * CHOOSE(CONTROL!$C$21, $C$9, 100%, $E$9)</f>
        <v>22.090599999999998</v>
      </c>
      <c r="Q715" s="10">
        <f>CHOOSE(CONTROL!$C$42, 22.9109, 22.9109) * CHOOSE(CONTROL!$C$21, $C$9, 100%, $E$9)</f>
        <v>22.910900000000002</v>
      </c>
      <c r="R715" s="10">
        <f>CHOOSE(CONTROL!$C$42, 23.5552, 23.5552) * CHOOSE(CONTROL!$C$21, $C$9, 100%, $E$9)</f>
        <v>23.555199999999999</v>
      </c>
      <c r="S715" s="10">
        <f>CHOOSE(CONTROL!$C$42, 21.6775, 21.6775) * CHOOSE(CONTROL!$C$21, $C$9, 100%, $E$9)</f>
        <v>21.677499999999998</v>
      </c>
      <c r="T7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38">
        <f>(1000*CHOOSE(CONTROL!$C$42, 695, 695)*CHOOSE(CONTROL!$C$42, 0.5599, 0.5599)*CHOOSE(CONTROL!$C$42, 31, 31))/1000000</f>
        <v>12.063045499999998</v>
      </c>
      <c r="V715" s="38">
        <f>(1000*CHOOSE(CONTROL!$C$42, 500, 500)*CHOOSE(CONTROL!$C$42, 0.275, 0.275)*CHOOSE(CONTROL!$C$42, 31, 31))/1000000</f>
        <v>4.2625000000000002</v>
      </c>
      <c r="W715" s="38">
        <f>(1000*CHOOSE(CONTROL!$C$42, 0.1146, 0.1146)*CHOOSE(CONTROL!$C$42, 121.5, 121.5)*CHOOSE(CONTROL!$C$42, 31, 31))/1000000</f>
        <v>0.43164089999999994</v>
      </c>
      <c r="X715" s="38">
        <f>(31*0.1790888*245000/1000000)+(31*0.2374*100000/1000000)</f>
        <v>2.0961194359999999</v>
      </c>
      <c r="Y715" s="38">
        <f>(1000*600*CHOOSE(CONTROL!$C$42, 1.0585, 1.0585)*CHOOSE(CONTROL!$C$42, 31, 31))/1000000</f>
        <v>19.688099999999999</v>
      </c>
      <c r="Z715" s="38"/>
      <c r="AA715" s="10"/>
      <c r="AB715" s="39"/>
      <c r="AC715" s="33">
        <f>(B715*194.205+C715*267.466+D715*133.845+E715*53.484+F715*40+G715*185+H715*0+I715*100+J715*300)/(194.205+267.466+133.845+53.484+0+40+185+100+300)</f>
        <v>22.376948405572996</v>
      </c>
      <c r="AD715" s="27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22.177671942446043</v>
      </c>
    </row>
    <row r="716" spans="1:30" ht="15.75" x14ac:dyDescent="0.25">
      <c r="A716" s="13">
        <v>63067</v>
      </c>
      <c r="B716" s="10">
        <f>CHOOSE(CONTROL!$C$42, 21.2663, 21.2663) * CHOOSE(CONTROL!$C$21, $C$9, 100%, $E$9)</f>
        <v>21.266300000000001</v>
      </c>
      <c r="C716" s="10">
        <f>CHOOSE(CONTROL!$C$42, 21.2743, 21.2743) * CHOOSE(CONTROL!$C$21, $C$9, 100%, $E$9)</f>
        <v>21.2743</v>
      </c>
      <c r="D716" s="10">
        <f>CHOOSE(CONTROL!$C$42, 21.4495, 21.4495) * CHOOSE(CONTROL!$C$21, $C$9, 100%, $E$9)</f>
        <v>21.4495</v>
      </c>
      <c r="E716" s="10">
        <f>CHOOSE(CONTROL!$C$42, 21.4807, 21.4807) * CHOOSE(CONTROL!$C$21, $C$9, 100%, $E$9)</f>
        <v>21.480699999999999</v>
      </c>
      <c r="F716" s="10">
        <f>CHOOSE(CONTROL!$C$42, 21.2085, 21.2085)*CHOOSE(CONTROL!$C$21, $C$9, 100%, $E$9)</f>
        <v>21.208500000000001</v>
      </c>
      <c r="G716" s="10">
        <f>CHOOSE(CONTROL!$C$42, 21.2255, 21.2255)*CHOOSE(CONTROL!$C$21, $C$9, 100%, $E$9)</f>
        <v>21.2255</v>
      </c>
      <c r="H716" s="10">
        <f>CHOOSE(CONTROL!$C$42, 21.469, 21.469) * CHOOSE(CONTROL!$C$21, $C$9, 100%, $E$9)</f>
        <v>21.469000000000001</v>
      </c>
      <c r="I716" s="10">
        <f>CHOOSE(CONTROL!$C$42, 21.241, 21.241)* CHOOSE(CONTROL!$C$21, $C$9, 100%, $E$9)</f>
        <v>21.241</v>
      </c>
      <c r="J716" s="10">
        <f>CHOOSE(CONTROL!$C$42, 21.2011, 21.2011)* CHOOSE(CONTROL!$C$21, $C$9, 100%, $E$9)</f>
        <v>21.2011</v>
      </c>
      <c r="K716" s="10">
        <f>CHOOSE(CONTROL!$C$42, 20.7355, 20.7355) * CHOOSE(CONTROL!$C$21, $C$9, 100%, $E$9)</f>
        <v>20.735499999999998</v>
      </c>
      <c r="L716" s="10">
        <f>CHOOSE(CONTROL!$C$42, 22.056, 22.056) * CHOOSE(CONTROL!$C$21, $C$9, 100%, $E$9)</f>
        <v>22.056000000000001</v>
      </c>
      <c r="M716" s="10">
        <f>CHOOSE(CONTROL!$C$42, 20.9596, 20.9596) * CHOOSE(CONTROL!$C$21, $C$9, 100%, $E$9)</f>
        <v>20.959599999999998</v>
      </c>
      <c r="N716" s="10">
        <f>CHOOSE(CONTROL!$C$42, 20.9764, 20.9764) * CHOOSE(CONTROL!$C$21, $C$9, 100%, $E$9)</f>
        <v>20.976400000000002</v>
      </c>
      <c r="O716" s="10">
        <f>CHOOSE(CONTROL!$C$42, 21.2241, 21.2241) * CHOOSE(CONTROL!$C$21, $C$9, 100%, $E$9)</f>
        <v>21.2241</v>
      </c>
      <c r="P716" s="10">
        <f>CHOOSE(CONTROL!$C$42, 20.9991, 20.9991) * CHOOSE(CONTROL!$C$21, $C$9, 100%, $E$9)</f>
        <v>20.999099999999999</v>
      </c>
      <c r="Q716" s="10">
        <f>CHOOSE(CONTROL!$C$42, 21.8194, 21.8194) * CHOOSE(CONTROL!$C$21, $C$9, 100%, $E$9)</f>
        <v>21.819400000000002</v>
      </c>
      <c r="R716" s="10">
        <f>CHOOSE(CONTROL!$C$42, 22.461, 22.461) * CHOOSE(CONTROL!$C$21, $C$9, 100%, $E$9)</f>
        <v>22.460999999999999</v>
      </c>
      <c r="S716" s="10">
        <f>CHOOSE(CONTROL!$C$42, 20.6068, 20.6068) * CHOOSE(CONTROL!$C$21, $C$9, 100%, $E$9)</f>
        <v>20.6068</v>
      </c>
      <c r="T7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38">
        <f>(1000*CHOOSE(CONTROL!$C$42, 695, 695)*CHOOSE(CONTROL!$C$42, 0.5599, 0.5599)*CHOOSE(CONTROL!$C$42, 31, 31))/1000000</f>
        <v>12.063045499999998</v>
      </c>
      <c r="V716" s="38">
        <f>(1000*CHOOSE(CONTROL!$C$42, 500, 500)*CHOOSE(CONTROL!$C$42, 0.275, 0.275)*CHOOSE(CONTROL!$C$42, 31, 31))/1000000</f>
        <v>4.2625000000000002</v>
      </c>
      <c r="W716" s="38">
        <f>(1000*CHOOSE(CONTROL!$C$42, 0.1146, 0.1146)*CHOOSE(CONTROL!$C$42, 121.5, 121.5)*CHOOSE(CONTROL!$C$42, 31, 31))/1000000</f>
        <v>0.43164089999999994</v>
      </c>
      <c r="X716" s="38">
        <f>(31*0.1790888*245000/1000000)+(31*0.2374*100000/1000000)</f>
        <v>2.0961194359999999</v>
      </c>
      <c r="Y716" s="38">
        <f>(1000*600*CHOOSE(CONTROL!$C$42, 1.0585, 1.0585)*CHOOSE(CONTROL!$C$42, 31, 31))/1000000</f>
        <v>19.688099999999999</v>
      </c>
      <c r="Z716" s="38"/>
      <c r="AA716" s="10"/>
      <c r="AB716" s="39"/>
      <c r="AC716" s="33">
        <f>(B716*194.205+C716*267.466+D716*133.845+E716*53.484+F716*40+G716*185+H716*0+I716*100+J716*300)/(194.205+267.466+133.845+53.484+0+40+185+100+300)</f>
        <v>21.271148588383042</v>
      </c>
      <c r="AD716" s="27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21.086131654676258</v>
      </c>
    </row>
    <row r="717" spans="1:30" ht="15.75" x14ac:dyDescent="0.25">
      <c r="A717" s="13">
        <v>63097</v>
      </c>
      <c r="B717" s="10">
        <f>CHOOSE(CONTROL!$C$42, 19.9153, 19.9153) * CHOOSE(CONTROL!$C$21, $C$9, 100%, $E$9)</f>
        <v>19.915299999999998</v>
      </c>
      <c r="C717" s="10">
        <f>CHOOSE(CONTROL!$C$42, 19.9233, 19.9233) * CHOOSE(CONTROL!$C$21, $C$9, 100%, $E$9)</f>
        <v>19.923300000000001</v>
      </c>
      <c r="D717" s="10">
        <f>CHOOSE(CONTROL!$C$42, 20.0984, 20.0984) * CHOOSE(CONTROL!$C$21, $C$9, 100%, $E$9)</f>
        <v>20.098400000000002</v>
      </c>
      <c r="E717" s="10">
        <f>CHOOSE(CONTROL!$C$42, 20.1296, 20.1296) * CHOOSE(CONTROL!$C$21, $C$9, 100%, $E$9)</f>
        <v>20.1296</v>
      </c>
      <c r="F717" s="10">
        <f>CHOOSE(CONTROL!$C$42, 19.8571, 19.8571)*CHOOSE(CONTROL!$C$21, $C$9, 100%, $E$9)</f>
        <v>19.857099999999999</v>
      </c>
      <c r="G717" s="10">
        <f>CHOOSE(CONTROL!$C$42, 19.874, 19.874)*CHOOSE(CONTROL!$C$21, $C$9, 100%, $E$9)</f>
        <v>19.873999999999999</v>
      </c>
      <c r="H717" s="10">
        <f>CHOOSE(CONTROL!$C$42, 20.118, 20.118) * CHOOSE(CONTROL!$C$21, $C$9, 100%, $E$9)</f>
        <v>20.117999999999999</v>
      </c>
      <c r="I717" s="10">
        <f>CHOOSE(CONTROL!$C$42, 19.89, 19.89)* CHOOSE(CONTROL!$C$21, $C$9, 100%, $E$9)</f>
        <v>19.89</v>
      </c>
      <c r="J717" s="10">
        <f>CHOOSE(CONTROL!$C$42, 19.8497, 19.8497)* CHOOSE(CONTROL!$C$21, $C$9, 100%, $E$9)</f>
        <v>19.849699999999999</v>
      </c>
      <c r="K717" s="10">
        <f>CHOOSE(CONTROL!$C$42, 19.4259, 19.4259) * CHOOSE(CONTROL!$C$21, $C$9, 100%, $E$9)</f>
        <v>19.425899999999999</v>
      </c>
      <c r="L717" s="10">
        <f>CHOOSE(CONTROL!$C$42, 20.705, 20.705) * CHOOSE(CONTROL!$C$21, $C$9, 100%, $E$9)</f>
        <v>20.704999999999998</v>
      </c>
      <c r="M717" s="10">
        <f>CHOOSE(CONTROL!$C$42, 19.6258, 19.6258) * CHOOSE(CONTROL!$C$21, $C$9, 100%, $E$9)</f>
        <v>19.625800000000002</v>
      </c>
      <c r="N717" s="10">
        <f>CHOOSE(CONTROL!$C$42, 19.6425, 19.6425) * CHOOSE(CONTROL!$C$21, $C$9, 100%, $E$9)</f>
        <v>19.642499999999998</v>
      </c>
      <c r="O717" s="10">
        <f>CHOOSE(CONTROL!$C$42, 19.8906, 19.8906) * CHOOSE(CONTROL!$C$21, $C$9, 100%, $E$9)</f>
        <v>19.890599999999999</v>
      </c>
      <c r="P717" s="10">
        <f>CHOOSE(CONTROL!$C$42, 19.6656, 19.6656) * CHOOSE(CONTROL!$C$21, $C$9, 100%, $E$9)</f>
        <v>19.665600000000001</v>
      </c>
      <c r="Q717" s="10">
        <f>CHOOSE(CONTROL!$C$42, 20.4859, 20.4859) * CHOOSE(CONTROL!$C$21, $C$9, 100%, $E$9)</f>
        <v>20.485900000000001</v>
      </c>
      <c r="R717" s="10">
        <f>CHOOSE(CONTROL!$C$42, 21.1241, 21.1241) * CHOOSE(CONTROL!$C$21, $C$9, 100%, $E$9)</f>
        <v>21.124099999999999</v>
      </c>
      <c r="S717" s="10">
        <f>CHOOSE(CONTROL!$C$42, 19.2986, 19.2986) * CHOOSE(CONTROL!$C$21, $C$9, 100%, $E$9)</f>
        <v>19.2986</v>
      </c>
      <c r="T7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38">
        <f>(1000*CHOOSE(CONTROL!$C$42, 695, 695)*CHOOSE(CONTROL!$C$42, 0.5599, 0.5599)*CHOOSE(CONTROL!$C$42, 30, 30))/1000000</f>
        <v>11.673914999999997</v>
      </c>
      <c r="V717" s="38">
        <f>(1000*CHOOSE(CONTROL!$C$42, 500, 500)*CHOOSE(CONTROL!$C$42, 0.275, 0.275)*CHOOSE(CONTROL!$C$42, 30, 30))/1000000</f>
        <v>4.125</v>
      </c>
      <c r="W717" s="38">
        <f>(1000*CHOOSE(CONTROL!$C$42, 0.1146, 0.1146)*CHOOSE(CONTROL!$C$42, 121.5, 121.5)*CHOOSE(CONTROL!$C$42, 30, 30))/1000000</f>
        <v>0.417717</v>
      </c>
      <c r="X717" s="38">
        <f>(30*0.1790888*245000/1000000)+(30*0.2374*100000/1000000)</f>
        <v>2.0285026799999999</v>
      </c>
      <c r="Y717" s="38">
        <f>(1000*600*CHOOSE(CONTROL!$C$42, 1.0585, 1.0585)*CHOOSE(CONTROL!$C$42, 30, 30))/1000000</f>
        <v>19.053000000000001</v>
      </c>
      <c r="Z717" s="38"/>
      <c r="AA717" s="10"/>
      <c r="AB717" s="39"/>
      <c r="AC717" s="33">
        <f>(B717*194.205+C717*267.466+D717*133.845+E717*53.484+F717*40+G717*185+H717*0+I717*100+J717*300)/(194.205+267.466+133.845+53.484+0+40+185+100+300)</f>
        <v>19.919954528021979</v>
      </c>
      <c r="AD717" s="27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19.752505035971222</v>
      </c>
    </row>
    <row r="718" spans="1:30" ht="15.75" x14ac:dyDescent="0.25">
      <c r="A718" s="13">
        <v>63128</v>
      </c>
      <c r="B718" s="10">
        <f>CHOOSE(CONTROL!$C$42, 19.5085, 19.5085) * CHOOSE(CONTROL!$C$21, $C$9, 100%, $E$9)</f>
        <v>19.508500000000002</v>
      </c>
      <c r="C718" s="10">
        <f>CHOOSE(CONTROL!$C$42, 19.5139, 19.5139) * CHOOSE(CONTROL!$C$21, $C$9, 100%, $E$9)</f>
        <v>19.5139</v>
      </c>
      <c r="D718" s="10">
        <f>CHOOSE(CONTROL!$C$42, 19.6939, 19.6939) * CHOOSE(CONTROL!$C$21, $C$9, 100%, $E$9)</f>
        <v>19.693899999999999</v>
      </c>
      <c r="E718" s="10">
        <f>CHOOSE(CONTROL!$C$42, 19.7228, 19.7228) * CHOOSE(CONTROL!$C$21, $C$9, 100%, $E$9)</f>
        <v>19.722799999999999</v>
      </c>
      <c r="F718" s="10">
        <f>CHOOSE(CONTROL!$C$42, 19.4523, 19.4523)*CHOOSE(CONTROL!$C$21, $C$9, 100%, $E$9)</f>
        <v>19.452300000000001</v>
      </c>
      <c r="G718" s="10">
        <f>CHOOSE(CONTROL!$C$42, 19.4689, 19.4689)*CHOOSE(CONTROL!$C$21, $C$9, 100%, $E$9)</f>
        <v>19.468900000000001</v>
      </c>
      <c r="H718" s="10">
        <f>CHOOSE(CONTROL!$C$42, 19.7129, 19.7129) * CHOOSE(CONTROL!$C$21, $C$9, 100%, $E$9)</f>
        <v>19.712900000000001</v>
      </c>
      <c r="I718" s="10">
        <f>CHOOSE(CONTROL!$C$42, 19.4849, 19.4849)* CHOOSE(CONTROL!$C$21, $C$9, 100%, $E$9)</f>
        <v>19.4849</v>
      </c>
      <c r="J718" s="10">
        <f>CHOOSE(CONTROL!$C$42, 19.4449, 19.4449)* CHOOSE(CONTROL!$C$21, $C$9, 100%, $E$9)</f>
        <v>19.444900000000001</v>
      </c>
      <c r="K718" s="10">
        <f>CHOOSE(CONTROL!$C$42, 19.0341, 19.0341) * CHOOSE(CONTROL!$C$21, $C$9, 100%, $E$9)</f>
        <v>19.034099999999999</v>
      </c>
      <c r="L718" s="10">
        <f>CHOOSE(CONTROL!$C$42, 20.2999, 20.2999) * CHOOSE(CONTROL!$C$21, $C$9, 100%, $E$9)</f>
        <v>20.299900000000001</v>
      </c>
      <c r="M718" s="10">
        <f>CHOOSE(CONTROL!$C$42, 19.2262, 19.2262) * CHOOSE(CONTROL!$C$21, $C$9, 100%, $E$9)</f>
        <v>19.226199999999999</v>
      </c>
      <c r="N718" s="10">
        <f>CHOOSE(CONTROL!$C$42, 19.2426, 19.2426) * CHOOSE(CONTROL!$C$21, $C$9, 100%, $E$9)</f>
        <v>19.242599999999999</v>
      </c>
      <c r="O718" s="10">
        <f>CHOOSE(CONTROL!$C$42, 19.4908, 19.4908) * CHOOSE(CONTROL!$C$21, $C$9, 100%, $E$9)</f>
        <v>19.4908</v>
      </c>
      <c r="P718" s="10">
        <f>CHOOSE(CONTROL!$C$42, 19.2658, 19.2658) * CHOOSE(CONTROL!$C$21, $C$9, 100%, $E$9)</f>
        <v>19.265799999999999</v>
      </c>
      <c r="Q718" s="10">
        <f>CHOOSE(CONTROL!$C$42, 20.0861, 20.0861) * CHOOSE(CONTROL!$C$21, $C$9, 100%, $E$9)</f>
        <v>20.086099999999998</v>
      </c>
      <c r="R718" s="10">
        <f>CHOOSE(CONTROL!$C$42, 20.7233, 20.7233) * CHOOSE(CONTROL!$C$21, $C$9, 100%, $E$9)</f>
        <v>20.723299999999998</v>
      </c>
      <c r="S718" s="10">
        <f>CHOOSE(CONTROL!$C$42, 18.9064, 18.9064) * CHOOSE(CONTROL!$C$21, $C$9, 100%, $E$9)</f>
        <v>18.906400000000001</v>
      </c>
      <c r="T7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38">
        <f>(1000*CHOOSE(CONTROL!$C$42, 695, 695)*CHOOSE(CONTROL!$C$42, 0.5599, 0.5599)*CHOOSE(CONTROL!$C$42, 31, 31))/1000000</f>
        <v>12.063045499999998</v>
      </c>
      <c r="V718" s="38">
        <f>(1000*CHOOSE(CONTROL!$C$42, 500, 500)*CHOOSE(CONTROL!$C$42, 0.275, 0.275)*CHOOSE(CONTROL!$C$42, 31, 31))/1000000</f>
        <v>4.2625000000000002</v>
      </c>
      <c r="W718" s="38">
        <f>(1000*CHOOSE(CONTROL!$C$42, 0.1146, 0.1146)*CHOOSE(CONTROL!$C$42, 121.5, 121.5)*CHOOSE(CONTROL!$C$42, 31, 31))/1000000</f>
        <v>0.43164089999999994</v>
      </c>
      <c r="X718" s="38">
        <f>(31*0.1790888*245000/1000000)+(31*0.2374*100000/1000000)</f>
        <v>2.0961194359999999</v>
      </c>
      <c r="Y718" s="38">
        <f>(1000*600*CHOOSE(CONTROL!$C$42, 1.0585, 1.0585)*CHOOSE(CONTROL!$C$42, 31, 31))/1000000</f>
        <v>19.688099999999999</v>
      </c>
      <c r="Z718" s="38"/>
      <c r="AA718" s="10"/>
      <c r="AB718" s="39"/>
      <c r="AC718" s="33">
        <f>(B718*131.881+C718*277.167+D718*79.08+E718*125.872+F718*40+G718*185+H718*0+I718*100+J718*300)/(131.881+277.167+79.08+125.872+0+40+185+100+300)</f>
        <v>19.518280874414852</v>
      </c>
      <c r="AD718" s="27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19.352768345323739</v>
      </c>
    </row>
    <row r="719" spans="1:30" ht="15.75" x14ac:dyDescent="0.25">
      <c r="A719" s="13">
        <v>63158</v>
      </c>
      <c r="B719" s="10">
        <f>CHOOSE(CONTROL!$C$42, 20.0225, 20.0225) * CHOOSE(CONTROL!$C$21, $C$9, 100%, $E$9)</f>
        <v>20.022500000000001</v>
      </c>
      <c r="C719" s="10">
        <f>CHOOSE(CONTROL!$C$42, 20.0276, 20.0276) * CHOOSE(CONTROL!$C$21, $C$9, 100%, $E$9)</f>
        <v>20.0276</v>
      </c>
      <c r="D719" s="10">
        <f>CHOOSE(CONTROL!$C$42, 20.0523, 20.0523) * CHOOSE(CONTROL!$C$21, $C$9, 100%, $E$9)</f>
        <v>20.052299999999999</v>
      </c>
      <c r="E719" s="10">
        <f>CHOOSE(CONTROL!$C$42, 20.0861, 20.0861) * CHOOSE(CONTROL!$C$21, $C$9, 100%, $E$9)</f>
        <v>20.086099999999998</v>
      </c>
      <c r="F719" s="10">
        <f>CHOOSE(CONTROL!$C$42, 19.9881, 19.9881)*CHOOSE(CONTROL!$C$21, $C$9, 100%, $E$9)</f>
        <v>19.988099999999999</v>
      </c>
      <c r="G719" s="10">
        <f>CHOOSE(CONTROL!$C$42, 20.005, 20.005)*CHOOSE(CONTROL!$C$21, $C$9, 100%, $E$9)</f>
        <v>20.004999999999999</v>
      </c>
      <c r="H719" s="10">
        <f>CHOOSE(CONTROL!$C$42, 20.075, 20.075) * CHOOSE(CONTROL!$C$21, $C$9, 100%, $E$9)</f>
        <v>20.074999999999999</v>
      </c>
      <c r="I719" s="10">
        <f>CHOOSE(CONTROL!$C$42, 20.022, 20.022)* CHOOSE(CONTROL!$C$21, $C$9, 100%, $E$9)</f>
        <v>20.021999999999998</v>
      </c>
      <c r="J719" s="10">
        <f>CHOOSE(CONTROL!$C$42, 19.9807, 19.9807)* CHOOSE(CONTROL!$C$21, $C$9, 100%, $E$9)</f>
        <v>19.980699999999999</v>
      </c>
      <c r="K719" s="10">
        <f>CHOOSE(CONTROL!$C$42, 19.5562, 19.5562) * CHOOSE(CONTROL!$C$21, $C$9, 100%, $E$9)</f>
        <v>19.5562</v>
      </c>
      <c r="L719" s="10">
        <f>CHOOSE(CONTROL!$C$42, 20.662, 20.662) * CHOOSE(CONTROL!$C$21, $C$9, 100%, $E$9)</f>
        <v>20.661999999999999</v>
      </c>
      <c r="M719" s="10">
        <f>CHOOSE(CONTROL!$C$42, 19.7551, 19.7551) * CHOOSE(CONTROL!$C$21, $C$9, 100%, $E$9)</f>
        <v>19.755099999999999</v>
      </c>
      <c r="N719" s="10">
        <f>CHOOSE(CONTROL!$C$42, 19.7717, 19.7717) * CHOOSE(CONTROL!$C$21, $C$9, 100%, $E$9)</f>
        <v>19.771699999999999</v>
      </c>
      <c r="O719" s="10">
        <f>CHOOSE(CONTROL!$C$42, 19.8481, 19.8481) * CHOOSE(CONTROL!$C$21, $C$9, 100%, $E$9)</f>
        <v>19.848099999999999</v>
      </c>
      <c r="P719" s="10">
        <f>CHOOSE(CONTROL!$C$42, 19.7959, 19.7959) * CHOOSE(CONTROL!$C$21, $C$9, 100%, $E$9)</f>
        <v>19.7959</v>
      </c>
      <c r="Q719" s="10">
        <f>CHOOSE(CONTROL!$C$42, 20.4434, 20.4434) * CHOOSE(CONTROL!$C$21, $C$9, 100%, $E$9)</f>
        <v>20.4434</v>
      </c>
      <c r="R719" s="10">
        <f>CHOOSE(CONTROL!$C$42, 21.0815, 21.0815) * CHOOSE(CONTROL!$C$21, $C$9, 100%, $E$9)</f>
        <v>21.081499999999998</v>
      </c>
      <c r="S719" s="10">
        <f>CHOOSE(CONTROL!$C$42, 19.4045, 19.4045) * CHOOSE(CONTROL!$C$21, $C$9, 100%, $E$9)</f>
        <v>19.404499999999999</v>
      </c>
      <c r="T7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38">
        <f>(1000*CHOOSE(CONTROL!$C$42, 695, 695)*CHOOSE(CONTROL!$C$42, 0.5599, 0.5599)*CHOOSE(CONTROL!$C$42, 30, 30))/1000000</f>
        <v>11.673914999999997</v>
      </c>
      <c r="V719" s="38">
        <f>(1000*CHOOSE(CONTROL!$C$42, 500, 500)*CHOOSE(CONTROL!$C$42, 0.275, 0.275)*CHOOSE(CONTROL!$C$42, 30, 30))/1000000</f>
        <v>4.125</v>
      </c>
      <c r="W719" s="38">
        <f>(1000*CHOOSE(CONTROL!$C$42, 0.1146, 0.1146)*CHOOSE(CONTROL!$C$42, 121.5, 121.5)*CHOOSE(CONTROL!$C$42, 30, 30))/1000000</f>
        <v>0.417717</v>
      </c>
      <c r="X719" s="38">
        <f>(30*0.1790888*100000/1000000)+(30*0.2374*100000/1000000)</f>
        <v>1.2494664</v>
      </c>
      <c r="Y719" s="38">
        <f>(1000*600*CHOOSE(CONTROL!$C$42, 1.0585, 1.0585)*CHOOSE(CONTROL!$C$42, 30, 30))/1000000</f>
        <v>19.053000000000001</v>
      </c>
      <c r="Z719" s="38"/>
      <c r="AA719" s="10"/>
      <c r="AB719" s="39"/>
      <c r="AC719" s="33">
        <f>(B719*122.58+C719*297.941+D719*89.177+E719*40.302+F719*40+G719*160+H719*0+I719*100+J719*300)/(122.58+297.941+89.177+40.302+0+40+160+100+300)</f>
        <v>20.013781896434779</v>
      </c>
      <c r="AD719" s="27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19.804076978417267</v>
      </c>
    </row>
    <row r="720" spans="1:30" ht="15.75" x14ac:dyDescent="0.25">
      <c r="A720" s="13">
        <v>63189</v>
      </c>
      <c r="B720" s="10">
        <f>CHOOSE(CONTROL!$C$42, 21.3888, 21.3888) * CHOOSE(CONTROL!$C$21, $C$9, 100%, $E$9)</f>
        <v>21.3888</v>
      </c>
      <c r="C720" s="10">
        <f>CHOOSE(CONTROL!$C$42, 21.3939, 21.3939) * CHOOSE(CONTROL!$C$21, $C$9, 100%, $E$9)</f>
        <v>21.393899999999999</v>
      </c>
      <c r="D720" s="10">
        <f>CHOOSE(CONTROL!$C$42, 21.4185, 21.4185) * CHOOSE(CONTROL!$C$21, $C$9, 100%, $E$9)</f>
        <v>21.418500000000002</v>
      </c>
      <c r="E720" s="10">
        <f>CHOOSE(CONTROL!$C$42, 21.4523, 21.4523) * CHOOSE(CONTROL!$C$21, $C$9, 100%, $E$9)</f>
        <v>21.452300000000001</v>
      </c>
      <c r="F720" s="10">
        <f>CHOOSE(CONTROL!$C$42, 21.3562, 21.3562)*CHOOSE(CONTROL!$C$21, $C$9, 100%, $E$9)</f>
        <v>21.356200000000001</v>
      </c>
      <c r="G720" s="10">
        <f>CHOOSE(CONTROL!$C$42, 21.3735, 21.3735)*CHOOSE(CONTROL!$C$21, $C$9, 100%, $E$9)</f>
        <v>21.3735</v>
      </c>
      <c r="H720" s="10">
        <f>CHOOSE(CONTROL!$C$42, 21.4412, 21.4412) * CHOOSE(CONTROL!$C$21, $C$9, 100%, $E$9)</f>
        <v>21.441199999999998</v>
      </c>
      <c r="I720" s="10">
        <f>CHOOSE(CONTROL!$C$42, 21.3883, 21.3883)* CHOOSE(CONTROL!$C$21, $C$9, 100%, $E$9)</f>
        <v>21.388300000000001</v>
      </c>
      <c r="J720" s="10">
        <f>CHOOSE(CONTROL!$C$42, 21.3488, 21.3488)* CHOOSE(CONTROL!$C$21, $C$9, 100%, $E$9)</f>
        <v>21.348800000000001</v>
      </c>
      <c r="K720" s="10">
        <f>CHOOSE(CONTROL!$C$42, 20.8837, 20.8837) * CHOOSE(CONTROL!$C$21, $C$9, 100%, $E$9)</f>
        <v>20.883700000000001</v>
      </c>
      <c r="L720" s="10">
        <f>CHOOSE(CONTROL!$C$42, 22.0282, 22.0282) * CHOOSE(CONTROL!$C$21, $C$9, 100%, $E$9)</f>
        <v>22.028199999999998</v>
      </c>
      <c r="M720" s="10">
        <f>CHOOSE(CONTROL!$C$42, 21.1054, 21.1054) * CHOOSE(CONTROL!$C$21, $C$9, 100%, $E$9)</f>
        <v>21.105399999999999</v>
      </c>
      <c r="N720" s="10">
        <f>CHOOSE(CONTROL!$C$42, 21.1225, 21.1225) * CHOOSE(CONTROL!$C$21, $C$9, 100%, $E$9)</f>
        <v>21.122499999999999</v>
      </c>
      <c r="O720" s="10">
        <f>CHOOSE(CONTROL!$C$42, 21.1967, 21.1967) * CHOOSE(CONTROL!$C$21, $C$9, 100%, $E$9)</f>
        <v>21.1967</v>
      </c>
      <c r="P720" s="10">
        <f>CHOOSE(CONTROL!$C$42, 21.1445, 21.1445) * CHOOSE(CONTROL!$C$21, $C$9, 100%, $E$9)</f>
        <v>21.144500000000001</v>
      </c>
      <c r="Q720" s="10">
        <f>CHOOSE(CONTROL!$C$42, 21.792, 21.792) * CHOOSE(CONTROL!$C$21, $C$9, 100%, $E$9)</f>
        <v>21.792000000000002</v>
      </c>
      <c r="R720" s="10">
        <f>CHOOSE(CONTROL!$C$42, 22.4335, 22.4335) * CHOOSE(CONTROL!$C$21, $C$9, 100%, $E$9)</f>
        <v>22.433499999999999</v>
      </c>
      <c r="S720" s="10">
        <f>CHOOSE(CONTROL!$C$42, 20.7274, 20.7274) * CHOOSE(CONTROL!$C$21, $C$9, 100%, $E$9)</f>
        <v>20.727399999999999</v>
      </c>
      <c r="T7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38">
        <f>(1000*CHOOSE(CONTROL!$C$42, 695, 695)*CHOOSE(CONTROL!$C$42, 0.5599, 0.5599)*CHOOSE(CONTROL!$C$42, 31, 31))/1000000</f>
        <v>12.063045499999998</v>
      </c>
      <c r="V720" s="38">
        <f>(1000*CHOOSE(CONTROL!$C$42, 500, 500)*CHOOSE(CONTROL!$C$42, 0.275, 0.275)*CHOOSE(CONTROL!$C$42, 31, 31))/1000000</f>
        <v>4.2625000000000002</v>
      </c>
      <c r="W720" s="38">
        <f>(1000*CHOOSE(CONTROL!$C$42, 0.1146, 0.1146)*CHOOSE(CONTROL!$C$42, 121.5, 121.5)*CHOOSE(CONTROL!$C$42, 31, 31))/1000000</f>
        <v>0.43164089999999994</v>
      </c>
      <c r="X720" s="38">
        <f>(31*0.1790888*100000/1000000)+(31*0.2374*100000/1000000)</f>
        <v>1.2911152800000001</v>
      </c>
      <c r="Y720" s="38">
        <f>(1000*600*CHOOSE(CONTROL!$C$42, 1.0585, 1.0585)*CHOOSE(CONTROL!$C$42, 31, 31))/1000000</f>
        <v>19.688099999999999</v>
      </c>
      <c r="Z720" s="38"/>
      <c r="AA720" s="10"/>
      <c r="AB720" s="39"/>
      <c r="AC720" s="33">
        <f>(B720*122.58+C720*297.941+D720*89.177+E720*40.302+F720*40+G720*160+H720*0+I720*100+J720*300)/(122.58+297.941+89.177+40.302+0+40+160+100+300)</f>
        <v>21.380908898260866</v>
      </c>
      <c r="AD720" s="27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21.153390647482016</v>
      </c>
    </row>
    <row r="721" spans="1:30" ht="15.75" x14ac:dyDescent="0.25">
      <c r="A721" s="13">
        <v>63220</v>
      </c>
      <c r="B721" s="10">
        <f>CHOOSE(CONTROL!$C$42, 22.8335, 22.8335) * CHOOSE(CONTROL!$C$21, $C$9, 100%, $E$9)</f>
        <v>22.833500000000001</v>
      </c>
      <c r="C721" s="10">
        <f>CHOOSE(CONTROL!$C$42, 22.8386, 22.8386) * CHOOSE(CONTROL!$C$21, $C$9, 100%, $E$9)</f>
        <v>22.8386</v>
      </c>
      <c r="D721" s="10">
        <f>CHOOSE(CONTROL!$C$42, 22.8736, 22.8736) * CHOOSE(CONTROL!$C$21, $C$9, 100%, $E$9)</f>
        <v>22.8736</v>
      </c>
      <c r="E721" s="10">
        <f>CHOOSE(CONTROL!$C$42, 22.9074, 22.9074) * CHOOSE(CONTROL!$C$21, $C$9, 100%, $E$9)</f>
        <v>22.907399999999999</v>
      </c>
      <c r="F721" s="10">
        <f>CHOOSE(CONTROL!$C$42, 22.8148, 22.8148)*CHOOSE(CONTROL!$C$21, $C$9, 100%, $E$9)</f>
        <v>22.814800000000002</v>
      </c>
      <c r="G721" s="10">
        <f>CHOOSE(CONTROL!$C$42, 22.8337, 22.8337)*CHOOSE(CONTROL!$C$21, $C$9, 100%, $E$9)</f>
        <v>22.8337</v>
      </c>
      <c r="H721" s="10">
        <f>CHOOSE(CONTROL!$C$42, 22.8963, 22.8963) * CHOOSE(CONTROL!$C$21, $C$9, 100%, $E$9)</f>
        <v>22.8963</v>
      </c>
      <c r="I721" s="10">
        <f>CHOOSE(CONTROL!$C$42, 22.8407, 22.8407)* CHOOSE(CONTROL!$C$21, $C$9, 100%, $E$9)</f>
        <v>22.840699999999998</v>
      </c>
      <c r="J721" s="10">
        <f>CHOOSE(CONTROL!$C$42, 22.8074, 22.8074)* CHOOSE(CONTROL!$C$21, $C$9, 100%, $E$9)</f>
        <v>22.807400000000001</v>
      </c>
      <c r="K721" s="10">
        <f>CHOOSE(CONTROL!$C$42, 22.3041, 22.3041) * CHOOSE(CONTROL!$C$21, $C$9, 100%, $E$9)</f>
        <v>22.304099999999998</v>
      </c>
      <c r="L721" s="10">
        <f>CHOOSE(CONTROL!$C$42, 23.4833, 23.4833) * CHOOSE(CONTROL!$C$21, $C$9, 100%, $E$9)</f>
        <v>23.4833</v>
      </c>
      <c r="M721" s="10">
        <f>CHOOSE(CONTROL!$C$42, 22.5452, 22.5452) * CHOOSE(CONTROL!$C$21, $C$9, 100%, $E$9)</f>
        <v>22.545200000000001</v>
      </c>
      <c r="N721" s="10">
        <f>CHOOSE(CONTROL!$C$42, 22.5638, 22.5638) * CHOOSE(CONTROL!$C$21, $C$9, 100%, $E$9)</f>
        <v>22.563800000000001</v>
      </c>
      <c r="O721" s="10">
        <f>CHOOSE(CONTROL!$C$42, 22.6329, 22.6329) * CHOOSE(CONTROL!$C$21, $C$9, 100%, $E$9)</f>
        <v>22.632899999999999</v>
      </c>
      <c r="P721" s="10">
        <f>CHOOSE(CONTROL!$C$42, 22.5781, 22.5781) * CHOOSE(CONTROL!$C$21, $C$9, 100%, $E$9)</f>
        <v>22.578099999999999</v>
      </c>
      <c r="Q721" s="10">
        <f>CHOOSE(CONTROL!$C$42, 23.2282, 23.2282) * CHOOSE(CONTROL!$C$21, $C$9, 100%, $E$9)</f>
        <v>23.228200000000001</v>
      </c>
      <c r="R721" s="10">
        <f>CHOOSE(CONTROL!$C$42, 23.8733, 23.8733) * CHOOSE(CONTROL!$C$21, $C$9, 100%, $E$9)</f>
        <v>23.8733</v>
      </c>
      <c r="S721" s="10">
        <f>CHOOSE(CONTROL!$C$42, 22.1263, 22.1263) * CHOOSE(CONTROL!$C$21, $C$9, 100%, $E$9)</f>
        <v>22.126300000000001</v>
      </c>
      <c r="T7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38">
        <f>(1000*CHOOSE(CONTROL!$C$42, 695, 695)*CHOOSE(CONTROL!$C$42, 0.5599, 0.5599)*CHOOSE(CONTROL!$C$42, 31, 31))/1000000</f>
        <v>12.063045499999998</v>
      </c>
      <c r="V721" s="38">
        <f>(1000*CHOOSE(CONTROL!$C$42, 500, 500)*CHOOSE(CONTROL!$C$42, 0.275, 0.275)*CHOOSE(CONTROL!$C$42, 31, 31))/1000000</f>
        <v>4.2625000000000002</v>
      </c>
      <c r="W721" s="38">
        <f>(1000*CHOOSE(CONTROL!$C$42, 0.1146, 0.1146)*CHOOSE(CONTROL!$C$42, 121.5, 121.5)*CHOOSE(CONTROL!$C$42, 31, 31))/1000000</f>
        <v>0.43164089999999994</v>
      </c>
      <c r="X721" s="38">
        <f>(31*0.1790888*100000/1000000)+(31*0.2374*100000/1000000)</f>
        <v>1.2911152800000001</v>
      </c>
      <c r="Y721" s="38">
        <f>(1000*600*CHOOSE(CONTROL!$C$42, 1.0585, 1.0585)*CHOOSE(CONTROL!$C$42, 31, 31))/1000000</f>
        <v>19.688099999999999</v>
      </c>
      <c r="Z721" s="38"/>
      <c r="AA721" s="10"/>
      <c r="AB721" s="39"/>
      <c r="AC721" s="33">
        <f>(B721*122.58+C721*297.941+D721*89.177+E721*40.302+F721*40+G721*160+H721*0+I721*100+J721*300)/(122.58+297.941+89.177+40.302+0+40+160+100+300)</f>
        <v>22.833715490956521</v>
      </c>
      <c r="AD721" s="27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22.59075323741007</v>
      </c>
    </row>
    <row r="722" spans="1:30" ht="15.75" x14ac:dyDescent="0.25">
      <c r="A722" s="13">
        <v>63248</v>
      </c>
      <c r="B722" s="10">
        <f>CHOOSE(CONTROL!$C$42, 23.2402, 23.2402) * CHOOSE(CONTROL!$C$21, $C$9, 100%, $E$9)</f>
        <v>23.240200000000002</v>
      </c>
      <c r="C722" s="10">
        <f>CHOOSE(CONTROL!$C$42, 23.2453, 23.2453) * CHOOSE(CONTROL!$C$21, $C$9, 100%, $E$9)</f>
        <v>23.2453</v>
      </c>
      <c r="D722" s="10">
        <f>CHOOSE(CONTROL!$C$42, 23.2804, 23.2804) * CHOOSE(CONTROL!$C$21, $C$9, 100%, $E$9)</f>
        <v>23.2804</v>
      </c>
      <c r="E722" s="10">
        <f>CHOOSE(CONTROL!$C$42, 23.3142, 23.3142) * CHOOSE(CONTROL!$C$21, $C$9, 100%, $E$9)</f>
        <v>23.3142</v>
      </c>
      <c r="F722" s="10">
        <f>CHOOSE(CONTROL!$C$42, 23.221, 23.221)*CHOOSE(CONTROL!$C$21, $C$9, 100%, $E$9)</f>
        <v>23.221</v>
      </c>
      <c r="G722" s="10">
        <f>CHOOSE(CONTROL!$C$42, 23.2397, 23.2397)*CHOOSE(CONTROL!$C$21, $C$9, 100%, $E$9)</f>
        <v>23.239699999999999</v>
      </c>
      <c r="H722" s="10">
        <f>CHOOSE(CONTROL!$C$42, 23.303, 23.303) * CHOOSE(CONTROL!$C$21, $C$9, 100%, $E$9)</f>
        <v>23.303000000000001</v>
      </c>
      <c r="I722" s="10">
        <f>CHOOSE(CONTROL!$C$42, 23.2475, 23.2475)* CHOOSE(CONTROL!$C$21, $C$9, 100%, $E$9)</f>
        <v>23.247499999999999</v>
      </c>
      <c r="J722" s="10">
        <f>CHOOSE(CONTROL!$C$42, 23.2136, 23.2136)* CHOOSE(CONTROL!$C$21, $C$9, 100%, $E$9)</f>
        <v>23.2136</v>
      </c>
      <c r="K722" s="10">
        <f>CHOOSE(CONTROL!$C$42, 22.697, 22.697) * CHOOSE(CONTROL!$C$21, $C$9, 100%, $E$9)</f>
        <v>22.696999999999999</v>
      </c>
      <c r="L722" s="10">
        <f>CHOOSE(CONTROL!$C$42, 23.89, 23.89) * CHOOSE(CONTROL!$C$21, $C$9, 100%, $E$9)</f>
        <v>23.89</v>
      </c>
      <c r="M722" s="10">
        <f>CHOOSE(CONTROL!$C$42, 22.9461, 22.9461) * CHOOSE(CONTROL!$C$21, $C$9, 100%, $E$9)</f>
        <v>22.946100000000001</v>
      </c>
      <c r="N722" s="10">
        <f>CHOOSE(CONTROL!$C$42, 22.9646, 22.9646) * CHOOSE(CONTROL!$C$21, $C$9, 100%, $E$9)</f>
        <v>22.964600000000001</v>
      </c>
      <c r="O722" s="10">
        <f>CHOOSE(CONTROL!$C$42, 23.0344, 23.0344) * CHOOSE(CONTROL!$C$21, $C$9, 100%, $E$9)</f>
        <v>23.034400000000002</v>
      </c>
      <c r="P722" s="10">
        <f>CHOOSE(CONTROL!$C$42, 22.9796, 22.9796) * CHOOSE(CONTROL!$C$21, $C$9, 100%, $E$9)</f>
        <v>22.979600000000001</v>
      </c>
      <c r="Q722" s="10">
        <f>CHOOSE(CONTROL!$C$42, 23.6297, 23.6297) * CHOOSE(CONTROL!$C$21, $C$9, 100%, $E$9)</f>
        <v>23.6297</v>
      </c>
      <c r="R722" s="10">
        <f>CHOOSE(CONTROL!$C$42, 24.2758, 24.2758) * CHOOSE(CONTROL!$C$21, $C$9, 100%, $E$9)</f>
        <v>24.2758</v>
      </c>
      <c r="S722" s="10">
        <f>CHOOSE(CONTROL!$C$42, 22.5202, 22.5202) * CHOOSE(CONTROL!$C$21, $C$9, 100%, $E$9)</f>
        <v>22.520199999999999</v>
      </c>
      <c r="T72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22" s="38">
        <f>(1000*CHOOSE(CONTROL!$C$42, 695, 695)*CHOOSE(CONTROL!$C$42, 0.5599, 0.5599)*CHOOSE(CONTROL!$C$42, 28, 28))/1000000</f>
        <v>10.895653999999999</v>
      </c>
      <c r="V722" s="38">
        <f>(1000*CHOOSE(CONTROL!$C$42, 500, 500)*CHOOSE(CONTROL!$C$42, 0.275, 0.275)*CHOOSE(CONTROL!$C$42, 28, 28))/1000000</f>
        <v>3.85</v>
      </c>
      <c r="W722" s="38">
        <f>(1000*CHOOSE(CONTROL!$C$42, 0.1146, 0.1146)*CHOOSE(CONTROL!$C$42, 121.5, 121.5)*CHOOSE(CONTROL!$C$42, 28, 28))/1000000</f>
        <v>0.38986920000000003</v>
      </c>
      <c r="X722" s="38">
        <f>(28*0.1790888*100000/1000000)+(28*0.2374*100000/1000000)</f>
        <v>1.16616864</v>
      </c>
      <c r="Y722" s="38">
        <f>(1000*600*CHOOSE(CONTROL!$C$42, 1.0585, 1.0585)*CHOOSE(CONTROL!$C$42, 28, 28))/1000000</f>
        <v>17.782800000000002</v>
      </c>
      <c r="Z722" s="38"/>
      <c r="AA722" s="10"/>
      <c r="AB722" s="39"/>
      <c r="AC722" s="33">
        <f>(B722*122.58+C722*297.941+D722*89.177+E722*40.302+F722*40+G722*160+H722*0+I722*100+J722*300)/(122.58+297.941+89.177+40.302+0+40+160+100+300)</f>
        <v>23.240190228260872</v>
      </c>
      <c r="AD722" s="27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22.992005755395684</v>
      </c>
    </row>
    <row r="723" spans="1:30" ht="15.75" x14ac:dyDescent="0.25">
      <c r="A723" s="13">
        <v>63279</v>
      </c>
      <c r="B723" s="10">
        <f>CHOOSE(CONTROL!$C$42, 22.58, 22.58) * CHOOSE(CONTROL!$C$21, $C$9, 100%, $E$9)</f>
        <v>22.58</v>
      </c>
      <c r="C723" s="10">
        <f>CHOOSE(CONTROL!$C$42, 22.5851, 22.5851) * CHOOSE(CONTROL!$C$21, $C$9, 100%, $E$9)</f>
        <v>22.585100000000001</v>
      </c>
      <c r="D723" s="10">
        <f>CHOOSE(CONTROL!$C$42, 22.6201, 22.6201) * CHOOSE(CONTROL!$C$21, $C$9, 100%, $E$9)</f>
        <v>22.620100000000001</v>
      </c>
      <c r="E723" s="10">
        <f>CHOOSE(CONTROL!$C$42, 22.6539, 22.6539) * CHOOSE(CONTROL!$C$21, $C$9, 100%, $E$9)</f>
        <v>22.6539</v>
      </c>
      <c r="F723" s="10">
        <f>CHOOSE(CONTROL!$C$42, 22.5593, 22.5593)*CHOOSE(CONTROL!$C$21, $C$9, 100%, $E$9)</f>
        <v>22.5593</v>
      </c>
      <c r="G723" s="10">
        <f>CHOOSE(CONTROL!$C$42, 22.5777, 22.5777)*CHOOSE(CONTROL!$C$21, $C$9, 100%, $E$9)</f>
        <v>22.5777</v>
      </c>
      <c r="H723" s="10">
        <f>CHOOSE(CONTROL!$C$42, 22.6428, 22.6428) * CHOOSE(CONTROL!$C$21, $C$9, 100%, $E$9)</f>
        <v>22.642800000000001</v>
      </c>
      <c r="I723" s="10">
        <f>CHOOSE(CONTROL!$C$42, 22.5872, 22.5872)* CHOOSE(CONTROL!$C$21, $C$9, 100%, $E$9)</f>
        <v>22.587199999999999</v>
      </c>
      <c r="J723" s="10">
        <f>CHOOSE(CONTROL!$C$42, 22.5519, 22.5519)* CHOOSE(CONTROL!$C$21, $C$9, 100%, $E$9)</f>
        <v>22.5519</v>
      </c>
      <c r="K723" s="10">
        <f>CHOOSE(CONTROL!$C$42, 22.0543, 22.0543) * CHOOSE(CONTROL!$C$21, $C$9, 100%, $E$9)</f>
        <v>22.054300000000001</v>
      </c>
      <c r="L723" s="10">
        <f>CHOOSE(CONTROL!$C$42, 23.2298, 23.2298) * CHOOSE(CONTROL!$C$21, $C$9, 100%, $E$9)</f>
        <v>23.229800000000001</v>
      </c>
      <c r="M723" s="10">
        <f>CHOOSE(CONTROL!$C$42, 22.293, 22.293) * CHOOSE(CONTROL!$C$21, $C$9, 100%, $E$9)</f>
        <v>22.292999999999999</v>
      </c>
      <c r="N723" s="10">
        <f>CHOOSE(CONTROL!$C$42, 22.3112, 22.3112) * CHOOSE(CONTROL!$C$21, $C$9, 100%, $E$9)</f>
        <v>22.311199999999999</v>
      </c>
      <c r="O723" s="10">
        <f>CHOOSE(CONTROL!$C$42, 22.3827, 22.3827) * CHOOSE(CONTROL!$C$21, $C$9, 100%, $E$9)</f>
        <v>22.3827</v>
      </c>
      <c r="P723" s="10">
        <f>CHOOSE(CONTROL!$C$42, 22.3279, 22.3279) * CHOOSE(CONTROL!$C$21, $C$9, 100%, $E$9)</f>
        <v>22.3279</v>
      </c>
      <c r="Q723" s="10">
        <f>CHOOSE(CONTROL!$C$42, 22.978, 22.978) * CHOOSE(CONTROL!$C$21, $C$9, 100%, $E$9)</f>
        <v>22.978000000000002</v>
      </c>
      <c r="R723" s="10">
        <f>CHOOSE(CONTROL!$C$42, 23.6224, 23.6224) * CHOOSE(CONTROL!$C$21, $C$9, 100%, $E$9)</f>
        <v>23.622399999999999</v>
      </c>
      <c r="S723" s="10">
        <f>CHOOSE(CONTROL!$C$42, 21.8808, 21.8808) * CHOOSE(CONTROL!$C$21, $C$9, 100%, $E$9)</f>
        <v>21.880800000000001</v>
      </c>
      <c r="T7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38">
        <f>(1000*CHOOSE(CONTROL!$C$42, 695, 695)*CHOOSE(CONTROL!$C$42, 0.5599, 0.5599)*CHOOSE(CONTROL!$C$42, 31, 31))/1000000</f>
        <v>12.063045499999998</v>
      </c>
      <c r="V723" s="38">
        <f>(1000*CHOOSE(CONTROL!$C$42, 500, 500)*CHOOSE(CONTROL!$C$42, 0.275, 0.275)*CHOOSE(CONTROL!$C$42, 31, 31))/1000000</f>
        <v>4.2625000000000002</v>
      </c>
      <c r="W723" s="38">
        <f>(1000*CHOOSE(CONTROL!$C$42, 0.1146, 0.1146)*CHOOSE(CONTROL!$C$42, 121.5, 121.5)*CHOOSE(CONTROL!$C$42, 31, 31))/1000000</f>
        <v>0.43164089999999994</v>
      </c>
      <c r="X723" s="38">
        <f>(31*0.1790888*100000/1000000)+(31*0.2374*100000/1000000)</f>
        <v>1.2911152800000001</v>
      </c>
      <c r="Y723" s="38">
        <f>(1000*600*CHOOSE(CONTROL!$C$42, 1.0585, 1.0585)*CHOOSE(CONTROL!$C$42, 31, 31))/1000000</f>
        <v>19.688099999999999</v>
      </c>
      <c r="Z723" s="38"/>
      <c r="AA723" s="10"/>
      <c r="AB723" s="39"/>
      <c r="AC723" s="33">
        <f>(B723*122.58+C723*297.941+D723*89.177+E723*40.302+F723*40+G723*160+H723*0+I723*100+J723*300)/(122.58+297.941+89.177+40.302+0+40+160+100+300)</f>
        <v>22.579276360521739</v>
      </c>
      <c r="AD723" s="27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22.339724460431658</v>
      </c>
    </row>
    <row r="724" spans="1:30" ht="15.75" x14ac:dyDescent="0.25">
      <c r="A724" s="13">
        <v>63309</v>
      </c>
      <c r="B724" s="10">
        <f>CHOOSE(CONTROL!$C$42, 22.5131, 22.5131) * CHOOSE(CONTROL!$C$21, $C$9, 100%, $E$9)</f>
        <v>22.513100000000001</v>
      </c>
      <c r="C724" s="10">
        <f>CHOOSE(CONTROL!$C$42, 22.5176, 22.5176) * CHOOSE(CONTROL!$C$21, $C$9, 100%, $E$9)</f>
        <v>22.517600000000002</v>
      </c>
      <c r="D724" s="10">
        <f>CHOOSE(CONTROL!$C$42, 22.6958, 22.6958) * CHOOSE(CONTROL!$C$21, $C$9, 100%, $E$9)</f>
        <v>22.695799999999998</v>
      </c>
      <c r="E724" s="10">
        <f>CHOOSE(CONTROL!$C$42, 22.7277, 22.7277) * CHOOSE(CONTROL!$C$21, $C$9, 100%, $E$9)</f>
        <v>22.727699999999999</v>
      </c>
      <c r="F724" s="10">
        <f>CHOOSE(CONTROL!$C$42, 22.4565, 22.4565)*CHOOSE(CONTROL!$C$21, $C$9, 100%, $E$9)</f>
        <v>22.456499999999998</v>
      </c>
      <c r="G724" s="10">
        <f>CHOOSE(CONTROL!$C$42, 22.4731, 22.4731)*CHOOSE(CONTROL!$C$21, $C$9, 100%, $E$9)</f>
        <v>22.473099999999999</v>
      </c>
      <c r="H724" s="10">
        <f>CHOOSE(CONTROL!$C$42, 22.7171, 22.7171) * CHOOSE(CONTROL!$C$21, $C$9, 100%, $E$9)</f>
        <v>22.717099999999999</v>
      </c>
      <c r="I724" s="10">
        <f>CHOOSE(CONTROL!$C$42, 22.4891, 22.4891)* CHOOSE(CONTROL!$C$21, $C$9, 100%, $E$9)</f>
        <v>22.489100000000001</v>
      </c>
      <c r="J724" s="10">
        <f>CHOOSE(CONTROL!$C$42, 22.4491, 22.4491)* CHOOSE(CONTROL!$C$21, $C$9, 100%, $E$9)</f>
        <v>22.449100000000001</v>
      </c>
      <c r="K724" s="10">
        <f>CHOOSE(CONTROL!$C$42, 21.9446, 21.9446) * CHOOSE(CONTROL!$C$21, $C$9, 100%, $E$9)</f>
        <v>21.944600000000001</v>
      </c>
      <c r="L724" s="10">
        <f>CHOOSE(CONTROL!$C$42, 23.3041, 23.3041) * CHOOSE(CONTROL!$C$21, $C$9, 100%, $E$9)</f>
        <v>23.304099999999998</v>
      </c>
      <c r="M724" s="10">
        <f>CHOOSE(CONTROL!$C$42, 22.1916, 22.1916) * CHOOSE(CONTROL!$C$21, $C$9, 100%, $E$9)</f>
        <v>22.191600000000001</v>
      </c>
      <c r="N724" s="10">
        <f>CHOOSE(CONTROL!$C$42, 22.2079, 22.2079) * CHOOSE(CONTROL!$C$21, $C$9, 100%, $E$9)</f>
        <v>22.207899999999999</v>
      </c>
      <c r="O724" s="10">
        <f>CHOOSE(CONTROL!$C$42, 22.4561, 22.4561) * CHOOSE(CONTROL!$C$21, $C$9, 100%, $E$9)</f>
        <v>22.456099999999999</v>
      </c>
      <c r="P724" s="10">
        <f>CHOOSE(CONTROL!$C$42, 22.231, 22.231) * CHOOSE(CONTROL!$C$21, $C$9, 100%, $E$9)</f>
        <v>22.231000000000002</v>
      </c>
      <c r="Q724" s="10">
        <f>CHOOSE(CONTROL!$C$42, 23.0514, 23.0514) * CHOOSE(CONTROL!$C$21, $C$9, 100%, $E$9)</f>
        <v>23.051400000000001</v>
      </c>
      <c r="R724" s="10">
        <f>CHOOSE(CONTROL!$C$42, 23.696, 23.696) * CHOOSE(CONTROL!$C$21, $C$9, 100%, $E$9)</f>
        <v>23.696000000000002</v>
      </c>
      <c r="S724" s="10">
        <f>CHOOSE(CONTROL!$C$42, 21.8153, 21.8153) * CHOOSE(CONTROL!$C$21, $C$9, 100%, $E$9)</f>
        <v>21.815300000000001</v>
      </c>
      <c r="T7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38">
        <f>(1000*CHOOSE(CONTROL!$C$42, 695, 695)*CHOOSE(CONTROL!$C$42, 0.5599, 0.5599)*CHOOSE(CONTROL!$C$42, 30, 30))/1000000</f>
        <v>11.673914999999997</v>
      </c>
      <c r="V724" s="38">
        <f>(1000*CHOOSE(CONTROL!$C$42, 500, 500)*CHOOSE(CONTROL!$C$42, 0.275, 0.275)*CHOOSE(CONTROL!$C$42, 30, 30))/1000000</f>
        <v>4.125</v>
      </c>
      <c r="W724" s="38">
        <f>(1000*CHOOSE(CONTROL!$C$42, 0.1146, 0.1146)*CHOOSE(CONTROL!$C$42, 121.5, 121.5)*CHOOSE(CONTROL!$C$42, 30, 30))/1000000</f>
        <v>0.417717</v>
      </c>
      <c r="X724" s="38">
        <f>(30*0.1790888*245000/1000000)+(30*0.2374*100000/1000000)</f>
        <v>2.0285026799999999</v>
      </c>
      <c r="Y724" s="38">
        <f>(1000*600*CHOOSE(CONTROL!$C$42, 1.0585, 1.0585)*CHOOSE(CONTROL!$C$42, 30, 30))/1000000</f>
        <v>19.053000000000001</v>
      </c>
      <c r="Z724" s="38"/>
      <c r="AA724" s="10"/>
      <c r="AB724" s="39"/>
      <c r="AC724" s="33">
        <f>(B724*141.293+C724*267.993+D724*115.016+E724*89.698+F724*40+G724*185+H724*0+I724*100+J724*300)/(141.293+267.993+115.016+89.698+0+40+185+100+300)</f>
        <v>22.521336144067796</v>
      </c>
      <c r="AD724" s="27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22.318088489208634</v>
      </c>
    </row>
    <row r="725" spans="1:30" ht="15.75" x14ac:dyDescent="0.25">
      <c r="A725" s="13">
        <v>63340</v>
      </c>
      <c r="B725" s="10">
        <f>CHOOSE(CONTROL!$C$42, 22.7137, 22.7137) * CHOOSE(CONTROL!$C$21, $C$9, 100%, $E$9)</f>
        <v>22.713699999999999</v>
      </c>
      <c r="C725" s="10">
        <f>CHOOSE(CONTROL!$C$42, 22.7217, 22.7217) * CHOOSE(CONTROL!$C$21, $C$9, 100%, $E$9)</f>
        <v>22.721699999999998</v>
      </c>
      <c r="D725" s="10">
        <f>CHOOSE(CONTROL!$C$42, 22.8968, 22.8968) * CHOOSE(CONTROL!$C$21, $C$9, 100%, $E$9)</f>
        <v>22.896799999999999</v>
      </c>
      <c r="E725" s="10">
        <f>CHOOSE(CONTROL!$C$42, 22.928, 22.928) * CHOOSE(CONTROL!$C$21, $C$9, 100%, $E$9)</f>
        <v>22.928000000000001</v>
      </c>
      <c r="F725" s="10">
        <f>CHOOSE(CONTROL!$C$42, 22.6554, 22.6554)*CHOOSE(CONTROL!$C$21, $C$9, 100%, $E$9)</f>
        <v>22.6554</v>
      </c>
      <c r="G725" s="10">
        <f>CHOOSE(CONTROL!$C$42, 22.6723, 22.6723)*CHOOSE(CONTROL!$C$21, $C$9, 100%, $E$9)</f>
        <v>22.6723</v>
      </c>
      <c r="H725" s="10">
        <f>CHOOSE(CONTROL!$C$42, 22.9163, 22.9163) * CHOOSE(CONTROL!$C$21, $C$9, 100%, $E$9)</f>
        <v>22.9163</v>
      </c>
      <c r="I725" s="10">
        <f>CHOOSE(CONTROL!$C$42, 22.6883, 22.6883)* CHOOSE(CONTROL!$C$21, $C$9, 100%, $E$9)</f>
        <v>22.688300000000002</v>
      </c>
      <c r="J725" s="10">
        <f>CHOOSE(CONTROL!$C$42, 22.648, 22.648)* CHOOSE(CONTROL!$C$21, $C$9, 100%, $E$9)</f>
        <v>22.648</v>
      </c>
      <c r="K725" s="10">
        <f>CHOOSE(CONTROL!$C$42, 22.1367, 22.1367) * CHOOSE(CONTROL!$C$21, $C$9, 100%, $E$9)</f>
        <v>22.136700000000001</v>
      </c>
      <c r="L725" s="10">
        <f>CHOOSE(CONTROL!$C$42, 23.5033, 23.5033) * CHOOSE(CONTROL!$C$21, $C$9, 100%, $E$9)</f>
        <v>23.503299999999999</v>
      </c>
      <c r="M725" s="10">
        <f>CHOOSE(CONTROL!$C$42, 22.3878, 22.3878) * CHOOSE(CONTROL!$C$21, $C$9, 100%, $E$9)</f>
        <v>22.387799999999999</v>
      </c>
      <c r="N725" s="10">
        <f>CHOOSE(CONTROL!$C$42, 22.4045, 22.4045) * CHOOSE(CONTROL!$C$21, $C$9, 100%, $E$9)</f>
        <v>22.404499999999999</v>
      </c>
      <c r="O725" s="10">
        <f>CHOOSE(CONTROL!$C$42, 22.6527, 22.6527) * CHOOSE(CONTROL!$C$21, $C$9, 100%, $E$9)</f>
        <v>22.652699999999999</v>
      </c>
      <c r="P725" s="10">
        <f>CHOOSE(CONTROL!$C$42, 22.4277, 22.4277) * CHOOSE(CONTROL!$C$21, $C$9, 100%, $E$9)</f>
        <v>22.427700000000002</v>
      </c>
      <c r="Q725" s="10">
        <f>CHOOSE(CONTROL!$C$42, 23.248, 23.248) * CHOOSE(CONTROL!$C$21, $C$9, 100%, $E$9)</f>
        <v>23.248000000000001</v>
      </c>
      <c r="R725" s="10">
        <f>CHOOSE(CONTROL!$C$42, 23.8931, 23.8931) * CHOOSE(CONTROL!$C$21, $C$9, 100%, $E$9)</f>
        <v>23.8931</v>
      </c>
      <c r="S725" s="10">
        <f>CHOOSE(CONTROL!$C$42, 22.0082, 22.0082) * CHOOSE(CONTROL!$C$21, $C$9, 100%, $E$9)</f>
        <v>22.008199999999999</v>
      </c>
      <c r="T7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38">
        <f>(1000*CHOOSE(CONTROL!$C$42, 695, 695)*CHOOSE(CONTROL!$C$42, 0.5599, 0.5599)*CHOOSE(CONTROL!$C$42, 31, 31))/1000000</f>
        <v>12.063045499999998</v>
      </c>
      <c r="V725" s="38">
        <f>(1000*CHOOSE(CONTROL!$C$42, 500, 500)*CHOOSE(CONTROL!$C$42, 0.275, 0.275)*CHOOSE(CONTROL!$C$42, 31, 31))/1000000</f>
        <v>4.2625000000000002</v>
      </c>
      <c r="W725" s="38">
        <f>(1000*CHOOSE(CONTROL!$C$42, 0.1146, 0.1146)*CHOOSE(CONTROL!$C$42, 121.5, 121.5)*CHOOSE(CONTROL!$C$42, 31, 31))/1000000</f>
        <v>0.43164089999999994</v>
      </c>
      <c r="X725" s="38">
        <f>(31*0.1790888*245000/1000000)+(31*0.2374*100000/1000000)</f>
        <v>2.0961194359999999</v>
      </c>
      <c r="Y725" s="38">
        <f>(1000*600*CHOOSE(CONTROL!$C$42, 1.0585, 1.0585)*CHOOSE(CONTROL!$C$42, 31, 31))/1000000</f>
        <v>19.688099999999999</v>
      </c>
      <c r="Z725" s="38"/>
      <c r="AA725" s="10"/>
      <c r="AB725" s="39"/>
      <c r="AC725" s="33">
        <f>(B725*194.205+C725*267.466+D725*133.845+E725*53.484+F725*40+G725*185+H725*0+I725*100+J725*300)/(194.205+267.466+133.845+53.484+0+40+185+100+300)</f>
        <v>22.718305469937206</v>
      </c>
      <c r="AD725" s="27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22.51456474820144</v>
      </c>
    </row>
    <row r="726" spans="1:30" ht="15.75" x14ac:dyDescent="0.25">
      <c r="A726" s="13">
        <v>63370</v>
      </c>
      <c r="B726" s="10">
        <f>CHOOSE(CONTROL!$C$42, 23.3584, 23.3584) * CHOOSE(CONTROL!$C$21, $C$9, 100%, $E$9)</f>
        <v>23.3584</v>
      </c>
      <c r="C726" s="10">
        <f>CHOOSE(CONTROL!$C$42, 23.3664, 23.3664) * CHOOSE(CONTROL!$C$21, $C$9, 100%, $E$9)</f>
        <v>23.366399999999999</v>
      </c>
      <c r="D726" s="10">
        <f>CHOOSE(CONTROL!$C$42, 23.5415, 23.5415) * CHOOSE(CONTROL!$C$21, $C$9, 100%, $E$9)</f>
        <v>23.541499999999999</v>
      </c>
      <c r="E726" s="10">
        <f>CHOOSE(CONTROL!$C$42, 23.5727, 23.5727) * CHOOSE(CONTROL!$C$21, $C$9, 100%, $E$9)</f>
        <v>23.572700000000001</v>
      </c>
      <c r="F726" s="10">
        <f>CHOOSE(CONTROL!$C$42, 23.3002, 23.3002)*CHOOSE(CONTROL!$C$21, $C$9, 100%, $E$9)</f>
        <v>23.3002</v>
      </c>
      <c r="G726" s="10">
        <f>CHOOSE(CONTROL!$C$42, 23.3172, 23.3172)*CHOOSE(CONTROL!$C$21, $C$9, 100%, $E$9)</f>
        <v>23.3172</v>
      </c>
      <c r="H726" s="10">
        <f>CHOOSE(CONTROL!$C$42, 23.561, 23.561) * CHOOSE(CONTROL!$C$21, $C$9, 100%, $E$9)</f>
        <v>23.561</v>
      </c>
      <c r="I726" s="10">
        <f>CHOOSE(CONTROL!$C$42, 23.333, 23.333)* CHOOSE(CONTROL!$C$21, $C$9, 100%, $E$9)</f>
        <v>23.332999999999998</v>
      </c>
      <c r="J726" s="10">
        <f>CHOOSE(CONTROL!$C$42, 23.2928, 23.2928)* CHOOSE(CONTROL!$C$21, $C$9, 100%, $E$9)</f>
        <v>23.2928</v>
      </c>
      <c r="K726" s="10">
        <f>CHOOSE(CONTROL!$C$42, 22.7617, 22.7617) * CHOOSE(CONTROL!$C$21, $C$9, 100%, $E$9)</f>
        <v>22.761700000000001</v>
      </c>
      <c r="L726" s="10">
        <f>CHOOSE(CONTROL!$C$42, 24.148, 24.148) * CHOOSE(CONTROL!$C$21, $C$9, 100%, $E$9)</f>
        <v>24.148</v>
      </c>
      <c r="M726" s="10">
        <f>CHOOSE(CONTROL!$C$42, 23.0244, 23.0244) * CHOOSE(CONTROL!$C$21, $C$9, 100%, $E$9)</f>
        <v>23.0244</v>
      </c>
      <c r="N726" s="10">
        <f>CHOOSE(CONTROL!$C$42, 23.0411, 23.0411) * CHOOSE(CONTROL!$C$21, $C$9, 100%, $E$9)</f>
        <v>23.0411</v>
      </c>
      <c r="O726" s="10">
        <f>CHOOSE(CONTROL!$C$42, 23.2891, 23.2891) * CHOOSE(CONTROL!$C$21, $C$9, 100%, $E$9)</f>
        <v>23.289100000000001</v>
      </c>
      <c r="P726" s="10">
        <f>CHOOSE(CONTROL!$C$42, 23.0641, 23.0641) * CHOOSE(CONTROL!$C$21, $C$9, 100%, $E$9)</f>
        <v>23.0641</v>
      </c>
      <c r="Q726" s="10">
        <f>CHOOSE(CONTROL!$C$42, 23.8844, 23.8844) * CHOOSE(CONTROL!$C$21, $C$9, 100%, $E$9)</f>
        <v>23.884399999999999</v>
      </c>
      <c r="R726" s="10">
        <f>CHOOSE(CONTROL!$C$42, 24.5311, 24.5311) * CHOOSE(CONTROL!$C$21, $C$9, 100%, $E$9)</f>
        <v>24.531099999999999</v>
      </c>
      <c r="S726" s="10">
        <f>CHOOSE(CONTROL!$C$42, 22.6325, 22.6325) * CHOOSE(CONTROL!$C$21, $C$9, 100%, $E$9)</f>
        <v>22.6325</v>
      </c>
      <c r="T7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38">
        <f>(1000*CHOOSE(CONTROL!$C$42, 695, 695)*CHOOSE(CONTROL!$C$42, 0.5599, 0.5599)*CHOOSE(CONTROL!$C$42, 30, 30))/1000000</f>
        <v>11.673914999999997</v>
      </c>
      <c r="V726" s="38">
        <f>(1000*CHOOSE(CONTROL!$C$42, 500, 500)*CHOOSE(CONTROL!$C$42, 0.275, 0.275)*CHOOSE(CONTROL!$C$42, 30, 30))/1000000</f>
        <v>4.125</v>
      </c>
      <c r="W726" s="38">
        <f>(1000*CHOOSE(CONTROL!$C$42, 0.1146, 0.1146)*CHOOSE(CONTROL!$C$42, 121.5, 121.5)*CHOOSE(CONTROL!$C$42, 30, 30))/1000000</f>
        <v>0.417717</v>
      </c>
      <c r="X726" s="38">
        <f>(30*0.1790888*245000/1000000)+(30*0.2374*100000/1000000)</f>
        <v>2.0285026799999999</v>
      </c>
      <c r="Y726" s="38">
        <f>(1000*600*CHOOSE(CONTROL!$C$42, 1.0585, 1.0585)*CHOOSE(CONTROL!$C$42, 30, 30))/1000000</f>
        <v>19.053000000000001</v>
      </c>
      <c r="Z726" s="38"/>
      <c r="AA726" s="10"/>
      <c r="AB726" s="39"/>
      <c r="AC726" s="33">
        <f>(B726*194.205+C726*267.466+D726*133.845+E726*53.484+F726*40+G726*185+H726*0+I726*100+J726*300)/(194.205+267.466+133.845+53.484+0+40+185+100+300)</f>
        <v>23.363061199921507</v>
      </c>
      <c r="AD726" s="27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23.151045323741009</v>
      </c>
    </row>
    <row r="727" spans="1:30" ht="15.75" x14ac:dyDescent="0.25">
      <c r="A727" s="13">
        <v>63401</v>
      </c>
      <c r="B727" s="10">
        <f>CHOOSE(CONTROL!$C$42, 22.91, 22.91) * CHOOSE(CONTROL!$C$21, $C$9, 100%, $E$9)</f>
        <v>22.91</v>
      </c>
      <c r="C727" s="10">
        <f>CHOOSE(CONTROL!$C$42, 22.918, 22.918) * CHOOSE(CONTROL!$C$21, $C$9, 100%, $E$9)</f>
        <v>22.917999999999999</v>
      </c>
      <c r="D727" s="10">
        <f>CHOOSE(CONTROL!$C$42, 23.0931, 23.0931) * CHOOSE(CONTROL!$C$21, $C$9, 100%, $E$9)</f>
        <v>23.0931</v>
      </c>
      <c r="E727" s="10">
        <f>CHOOSE(CONTROL!$C$42, 23.1243, 23.1243) * CHOOSE(CONTROL!$C$21, $C$9, 100%, $E$9)</f>
        <v>23.124300000000002</v>
      </c>
      <c r="F727" s="10">
        <f>CHOOSE(CONTROL!$C$42, 22.8522, 22.8522)*CHOOSE(CONTROL!$C$21, $C$9, 100%, $E$9)</f>
        <v>22.8522</v>
      </c>
      <c r="G727" s="10">
        <f>CHOOSE(CONTROL!$C$42, 22.8692, 22.8692)*CHOOSE(CONTROL!$C$21, $C$9, 100%, $E$9)</f>
        <v>22.869199999999999</v>
      </c>
      <c r="H727" s="10">
        <f>CHOOSE(CONTROL!$C$42, 23.1126, 23.1126) * CHOOSE(CONTROL!$C$21, $C$9, 100%, $E$9)</f>
        <v>23.1126</v>
      </c>
      <c r="I727" s="10">
        <f>CHOOSE(CONTROL!$C$42, 22.8846, 22.8846)* CHOOSE(CONTROL!$C$21, $C$9, 100%, $E$9)</f>
        <v>22.884599999999999</v>
      </c>
      <c r="J727" s="10">
        <f>CHOOSE(CONTROL!$C$42, 22.8448, 22.8448)* CHOOSE(CONTROL!$C$21, $C$9, 100%, $E$9)</f>
        <v>22.844799999999999</v>
      </c>
      <c r="K727" s="10">
        <f>CHOOSE(CONTROL!$C$42, 22.328, 22.328) * CHOOSE(CONTROL!$C$21, $C$9, 100%, $E$9)</f>
        <v>22.327999999999999</v>
      </c>
      <c r="L727" s="10">
        <f>CHOOSE(CONTROL!$C$42, 23.6996, 23.6996) * CHOOSE(CONTROL!$C$21, $C$9, 100%, $E$9)</f>
        <v>23.6996</v>
      </c>
      <c r="M727" s="10">
        <f>CHOOSE(CONTROL!$C$42, 22.5821, 22.5821) * CHOOSE(CONTROL!$C$21, $C$9, 100%, $E$9)</f>
        <v>22.582100000000001</v>
      </c>
      <c r="N727" s="10">
        <f>CHOOSE(CONTROL!$C$42, 22.5989, 22.5989) * CHOOSE(CONTROL!$C$21, $C$9, 100%, $E$9)</f>
        <v>22.5989</v>
      </c>
      <c r="O727" s="10">
        <f>CHOOSE(CONTROL!$C$42, 22.8465, 22.8465) * CHOOSE(CONTROL!$C$21, $C$9, 100%, $E$9)</f>
        <v>22.846499999999999</v>
      </c>
      <c r="P727" s="10">
        <f>CHOOSE(CONTROL!$C$42, 22.6215, 22.6215) * CHOOSE(CONTROL!$C$21, $C$9, 100%, $E$9)</f>
        <v>22.621500000000001</v>
      </c>
      <c r="Q727" s="10">
        <f>CHOOSE(CONTROL!$C$42, 23.4418, 23.4418) * CHOOSE(CONTROL!$C$21, $C$9, 100%, $E$9)</f>
        <v>23.441800000000001</v>
      </c>
      <c r="R727" s="10">
        <f>CHOOSE(CONTROL!$C$42, 24.0874, 24.0874) * CHOOSE(CONTROL!$C$21, $C$9, 100%, $E$9)</f>
        <v>24.087399999999999</v>
      </c>
      <c r="S727" s="10">
        <f>CHOOSE(CONTROL!$C$42, 22.1983, 22.1983) * CHOOSE(CONTROL!$C$21, $C$9, 100%, $E$9)</f>
        <v>22.1983</v>
      </c>
      <c r="T7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38">
        <f>(1000*CHOOSE(CONTROL!$C$42, 695, 695)*CHOOSE(CONTROL!$C$42, 0.5599, 0.5599)*CHOOSE(CONTROL!$C$42, 31, 31))/1000000</f>
        <v>12.063045499999998</v>
      </c>
      <c r="V727" s="38">
        <f>(1000*CHOOSE(CONTROL!$C$42, 500, 500)*CHOOSE(CONTROL!$C$42, 0.275, 0.275)*CHOOSE(CONTROL!$C$42, 31, 31))/1000000</f>
        <v>4.2625000000000002</v>
      </c>
      <c r="W727" s="38">
        <f>(1000*CHOOSE(CONTROL!$C$42, 0.1146, 0.1146)*CHOOSE(CONTROL!$C$42, 121.5, 121.5)*CHOOSE(CONTROL!$C$42, 31, 31))/1000000</f>
        <v>0.43164089999999994</v>
      </c>
      <c r="X727" s="38">
        <f>(31*0.1790888*245000/1000000)+(31*0.2374*100000/1000000)</f>
        <v>2.0961194359999999</v>
      </c>
      <c r="Y727" s="38">
        <f>(1000*600*CHOOSE(CONTROL!$C$42, 1.0585, 1.0585)*CHOOSE(CONTROL!$C$42, 31, 31))/1000000</f>
        <v>19.688099999999999</v>
      </c>
      <c r="Z727" s="38"/>
      <c r="AA727" s="10"/>
      <c r="AB727" s="39"/>
      <c r="AC727" s="33">
        <f>(B727*194.205+C727*267.466+D727*133.845+E727*53.484+F727*40+G727*185+H727*0+I727*100+J727*300)/(194.205+267.466+133.845+53.484+0+40+185+100+300)</f>
        <v>22.914826035086339</v>
      </c>
      <c r="AD727" s="27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22.708571942446042</v>
      </c>
    </row>
    <row r="728" spans="1:30" ht="15.75" x14ac:dyDescent="0.25">
      <c r="A728" s="13">
        <v>63432</v>
      </c>
      <c r="B728" s="10">
        <f>CHOOSE(CONTROL!$C$42, 21.7777, 21.7777) * CHOOSE(CONTROL!$C$21, $C$9, 100%, $E$9)</f>
        <v>21.777699999999999</v>
      </c>
      <c r="C728" s="10">
        <f>CHOOSE(CONTROL!$C$42, 21.7856, 21.7856) * CHOOSE(CONTROL!$C$21, $C$9, 100%, $E$9)</f>
        <v>21.785599999999999</v>
      </c>
      <c r="D728" s="10">
        <f>CHOOSE(CONTROL!$C$42, 21.9608, 21.9608) * CHOOSE(CONTROL!$C$21, $C$9, 100%, $E$9)</f>
        <v>21.960799999999999</v>
      </c>
      <c r="E728" s="10">
        <f>CHOOSE(CONTROL!$C$42, 21.992, 21.992) * CHOOSE(CONTROL!$C$21, $C$9, 100%, $E$9)</f>
        <v>21.992000000000001</v>
      </c>
      <c r="F728" s="10">
        <f>CHOOSE(CONTROL!$C$42, 21.7198, 21.7198)*CHOOSE(CONTROL!$C$21, $C$9, 100%, $E$9)</f>
        <v>21.719799999999999</v>
      </c>
      <c r="G728" s="10">
        <f>CHOOSE(CONTROL!$C$42, 21.7368, 21.7368)*CHOOSE(CONTROL!$C$21, $C$9, 100%, $E$9)</f>
        <v>21.736799999999999</v>
      </c>
      <c r="H728" s="10">
        <f>CHOOSE(CONTROL!$C$42, 21.9803, 21.9803) * CHOOSE(CONTROL!$C$21, $C$9, 100%, $E$9)</f>
        <v>21.9803</v>
      </c>
      <c r="I728" s="10">
        <f>CHOOSE(CONTROL!$C$42, 21.7523, 21.7523)* CHOOSE(CONTROL!$C$21, $C$9, 100%, $E$9)</f>
        <v>21.752300000000002</v>
      </c>
      <c r="J728" s="10">
        <f>CHOOSE(CONTROL!$C$42, 21.7124, 21.7124)* CHOOSE(CONTROL!$C$21, $C$9, 100%, $E$9)</f>
        <v>21.712399999999999</v>
      </c>
      <c r="K728" s="10">
        <f>CHOOSE(CONTROL!$C$42, 21.2308, 21.2308) * CHOOSE(CONTROL!$C$21, $C$9, 100%, $E$9)</f>
        <v>21.230799999999999</v>
      </c>
      <c r="L728" s="10">
        <f>CHOOSE(CONTROL!$C$42, 22.5673, 22.5673) * CHOOSE(CONTROL!$C$21, $C$9, 100%, $E$9)</f>
        <v>22.567299999999999</v>
      </c>
      <c r="M728" s="10">
        <f>CHOOSE(CONTROL!$C$42, 21.4643, 21.4643) * CHOOSE(CONTROL!$C$21, $C$9, 100%, $E$9)</f>
        <v>21.464300000000001</v>
      </c>
      <c r="N728" s="10">
        <f>CHOOSE(CONTROL!$C$42, 21.4811, 21.4811) * CHOOSE(CONTROL!$C$21, $C$9, 100%, $E$9)</f>
        <v>21.481100000000001</v>
      </c>
      <c r="O728" s="10">
        <f>CHOOSE(CONTROL!$C$42, 21.7288, 21.7288) * CHOOSE(CONTROL!$C$21, $C$9, 100%, $E$9)</f>
        <v>21.7288</v>
      </c>
      <c r="P728" s="10">
        <f>CHOOSE(CONTROL!$C$42, 21.5038, 21.5038) * CHOOSE(CONTROL!$C$21, $C$9, 100%, $E$9)</f>
        <v>21.503799999999998</v>
      </c>
      <c r="Q728" s="10">
        <f>CHOOSE(CONTROL!$C$42, 22.3241, 22.3241) * CHOOSE(CONTROL!$C$21, $C$9, 100%, $E$9)</f>
        <v>22.324100000000001</v>
      </c>
      <c r="R728" s="10">
        <f>CHOOSE(CONTROL!$C$42, 22.9669, 22.9669) * CHOOSE(CONTROL!$C$21, $C$9, 100%, $E$9)</f>
        <v>22.966899999999999</v>
      </c>
      <c r="S728" s="10">
        <f>CHOOSE(CONTROL!$C$42, 21.1019, 21.1019) * CHOOSE(CONTROL!$C$21, $C$9, 100%, $E$9)</f>
        <v>21.101900000000001</v>
      </c>
      <c r="T7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38">
        <f>(1000*CHOOSE(CONTROL!$C$42, 695, 695)*CHOOSE(CONTROL!$C$42, 0.5599, 0.5599)*CHOOSE(CONTROL!$C$42, 31, 31))/1000000</f>
        <v>12.063045499999998</v>
      </c>
      <c r="V728" s="38">
        <f>(1000*CHOOSE(CONTROL!$C$42, 500, 500)*CHOOSE(CONTROL!$C$42, 0.275, 0.275)*CHOOSE(CONTROL!$C$42, 31, 31))/1000000</f>
        <v>4.2625000000000002</v>
      </c>
      <c r="W728" s="38">
        <f>(1000*CHOOSE(CONTROL!$C$42, 0.1146, 0.1146)*CHOOSE(CONTROL!$C$42, 121.5, 121.5)*CHOOSE(CONTROL!$C$42, 31, 31))/1000000</f>
        <v>0.43164089999999994</v>
      </c>
      <c r="X728" s="38">
        <f>(31*0.1790888*245000/1000000)+(31*0.2374*100000/1000000)</f>
        <v>2.0961194359999999</v>
      </c>
      <c r="Y728" s="38">
        <f>(1000*600*CHOOSE(CONTROL!$C$42, 1.0585, 1.0585)*CHOOSE(CONTROL!$C$42, 31, 31))/1000000</f>
        <v>19.688099999999999</v>
      </c>
      <c r="Z728" s="38"/>
      <c r="AA728" s="10"/>
      <c r="AB728" s="39"/>
      <c r="AC728" s="33">
        <f>(B728*194.205+C728*267.466+D728*133.845+E728*53.484+F728*40+G728*185+H728*0+I728*100+J728*300)/(194.205+267.466+133.845+53.484+0+40+185+100+300)</f>
        <v>21.782463832103613</v>
      </c>
      <c r="AD728" s="27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21.590831654676258</v>
      </c>
    </row>
    <row r="729" spans="1:30" ht="15.75" x14ac:dyDescent="0.25">
      <c r="A729" s="13">
        <v>63462</v>
      </c>
      <c r="B729" s="10">
        <f>CHOOSE(CONTROL!$C$42, 20.3942, 20.3942) * CHOOSE(CONTROL!$C$21, $C$9, 100%, $E$9)</f>
        <v>20.394200000000001</v>
      </c>
      <c r="C729" s="10">
        <f>CHOOSE(CONTROL!$C$42, 20.4021, 20.4021) * CHOOSE(CONTROL!$C$21, $C$9, 100%, $E$9)</f>
        <v>20.402100000000001</v>
      </c>
      <c r="D729" s="10">
        <f>CHOOSE(CONTROL!$C$42, 20.5773, 20.5773) * CHOOSE(CONTROL!$C$21, $C$9, 100%, $E$9)</f>
        <v>20.577300000000001</v>
      </c>
      <c r="E729" s="10">
        <f>CHOOSE(CONTROL!$C$42, 20.6085, 20.6085) * CHOOSE(CONTROL!$C$21, $C$9, 100%, $E$9)</f>
        <v>20.608499999999999</v>
      </c>
      <c r="F729" s="10">
        <f>CHOOSE(CONTROL!$C$42, 20.3359, 20.3359)*CHOOSE(CONTROL!$C$21, $C$9, 100%, $E$9)</f>
        <v>20.335899999999999</v>
      </c>
      <c r="G729" s="10">
        <f>CHOOSE(CONTROL!$C$42, 20.3529, 20.3529)*CHOOSE(CONTROL!$C$21, $C$9, 100%, $E$9)</f>
        <v>20.352900000000002</v>
      </c>
      <c r="H729" s="10">
        <f>CHOOSE(CONTROL!$C$42, 20.5968, 20.5968) * CHOOSE(CONTROL!$C$21, $C$9, 100%, $E$9)</f>
        <v>20.596800000000002</v>
      </c>
      <c r="I729" s="10">
        <f>CHOOSE(CONTROL!$C$42, 20.3688, 20.3688)* CHOOSE(CONTROL!$C$21, $C$9, 100%, $E$9)</f>
        <v>20.3688</v>
      </c>
      <c r="J729" s="10">
        <f>CHOOSE(CONTROL!$C$42, 20.3285, 20.3285)* CHOOSE(CONTROL!$C$21, $C$9, 100%, $E$9)</f>
        <v>20.328499999999998</v>
      </c>
      <c r="K729" s="10">
        <f>CHOOSE(CONTROL!$C$42, 19.8898, 19.8898) * CHOOSE(CONTROL!$C$21, $C$9, 100%, $E$9)</f>
        <v>19.889800000000001</v>
      </c>
      <c r="L729" s="10">
        <f>CHOOSE(CONTROL!$C$42, 21.1838, 21.1838) * CHOOSE(CONTROL!$C$21, $C$9, 100%, $E$9)</f>
        <v>21.183800000000002</v>
      </c>
      <c r="M729" s="10">
        <f>CHOOSE(CONTROL!$C$42, 20.0984, 20.0984) * CHOOSE(CONTROL!$C$21, $C$9, 100%, $E$9)</f>
        <v>20.098400000000002</v>
      </c>
      <c r="N729" s="10">
        <f>CHOOSE(CONTROL!$C$42, 20.1151, 20.1151) * CHOOSE(CONTROL!$C$21, $C$9, 100%, $E$9)</f>
        <v>20.115100000000002</v>
      </c>
      <c r="O729" s="10">
        <f>CHOOSE(CONTROL!$C$42, 20.3632, 20.3632) * CHOOSE(CONTROL!$C$21, $C$9, 100%, $E$9)</f>
        <v>20.363199999999999</v>
      </c>
      <c r="P729" s="10">
        <f>CHOOSE(CONTROL!$C$42, 20.1382, 20.1382) * CHOOSE(CONTROL!$C$21, $C$9, 100%, $E$9)</f>
        <v>20.138200000000001</v>
      </c>
      <c r="Q729" s="10">
        <f>CHOOSE(CONTROL!$C$42, 20.9585, 20.9585) * CHOOSE(CONTROL!$C$21, $C$9, 100%, $E$9)</f>
        <v>20.958500000000001</v>
      </c>
      <c r="R729" s="10">
        <f>CHOOSE(CONTROL!$C$42, 21.5979, 21.5979) * CHOOSE(CONTROL!$C$21, $C$9, 100%, $E$9)</f>
        <v>21.597899999999999</v>
      </c>
      <c r="S729" s="10">
        <f>CHOOSE(CONTROL!$C$42, 19.7623, 19.7623) * CHOOSE(CONTROL!$C$21, $C$9, 100%, $E$9)</f>
        <v>19.7623</v>
      </c>
      <c r="T7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38">
        <f>(1000*CHOOSE(CONTROL!$C$42, 695, 695)*CHOOSE(CONTROL!$C$42, 0.5599, 0.5599)*CHOOSE(CONTROL!$C$42, 30, 30))/1000000</f>
        <v>11.673914999999997</v>
      </c>
      <c r="V729" s="38">
        <f>(1000*CHOOSE(CONTROL!$C$42, 500, 500)*CHOOSE(CONTROL!$C$42, 0.275, 0.275)*CHOOSE(CONTROL!$C$42, 30, 30))/1000000</f>
        <v>4.125</v>
      </c>
      <c r="W729" s="38">
        <f>(1000*CHOOSE(CONTROL!$C$42, 0.1146, 0.1146)*CHOOSE(CONTROL!$C$42, 121.5, 121.5)*CHOOSE(CONTROL!$C$42, 30, 30))/1000000</f>
        <v>0.417717</v>
      </c>
      <c r="X729" s="38">
        <f>(30*0.1790888*245000/1000000)+(30*0.2374*100000/1000000)</f>
        <v>2.0285026799999999</v>
      </c>
      <c r="Y729" s="38">
        <f>(1000*600*CHOOSE(CONTROL!$C$42, 1.0585, 1.0585)*CHOOSE(CONTROL!$C$42, 30, 30))/1000000</f>
        <v>19.053000000000001</v>
      </c>
      <c r="Z729" s="38"/>
      <c r="AA729" s="10"/>
      <c r="AB729" s="39"/>
      <c r="AC729" s="33">
        <f>(B729*194.205+C729*267.466+D729*133.845+E729*53.484+F729*40+G729*185+H729*0+I729*100+J729*300)/(194.205+267.466+133.845+53.484+0+40+185+100+300)</f>
        <v>20.398798996938776</v>
      </c>
      <c r="AD729" s="27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20.225105035971225</v>
      </c>
    </row>
    <row r="730" spans="1:30" ht="15.75" x14ac:dyDescent="0.25">
      <c r="A730" s="13">
        <v>63493</v>
      </c>
      <c r="B730" s="10">
        <f>CHOOSE(CONTROL!$C$42, 19.9777, 19.9777) * CHOOSE(CONTROL!$C$21, $C$9, 100%, $E$9)</f>
        <v>19.977699999999999</v>
      </c>
      <c r="C730" s="10">
        <f>CHOOSE(CONTROL!$C$42, 19.983, 19.983) * CHOOSE(CONTROL!$C$21, $C$9, 100%, $E$9)</f>
        <v>19.983000000000001</v>
      </c>
      <c r="D730" s="10">
        <f>CHOOSE(CONTROL!$C$42, 20.163, 20.163) * CHOOSE(CONTROL!$C$21, $C$9, 100%, $E$9)</f>
        <v>20.163</v>
      </c>
      <c r="E730" s="10">
        <f>CHOOSE(CONTROL!$C$42, 20.1919, 20.1919) * CHOOSE(CONTROL!$C$21, $C$9, 100%, $E$9)</f>
        <v>20.1919</v>
      </c>
      <c r="F730" s="10">
        <f>CHOOSE(CONTROL!$C$42, 19.9215, 19.9215)*CHOOSE(CONTROL!$C$21, $C$9, 100%, $E$9)</f>
        <v>19.921500000000002</v>
      </c>
      <c r="G730" s="10">
        <f>CHOOSE(CONTROL!$C$42, 19.938, 19.938)*CHOOSE(CONTROL!$C$21, $C$9, 100%, $E$9)</f>
        <v>19.937999999999999</v>
      </c>
      <c r="H730" s="10">
        <f>CHOOSE(CONTROL!$C$42, 20.1821, 20.1821) * CHOOSE(CONTROL!$C$21, $C$9, 100%, $E$9)</f>
        <v>20.182099999999998</v>
      </c>
      <c r="I730" s="10">
        <f>CHOOSE(CONTROL!$C$42, 19.954, 19.954)* CHOOSE(CONTROL!$C$21, $C$9, 100%, $E$9)</f>
        <v>19.954000000000001</v>
      </c>
      <c r="J730" s="10">
        <f>CHOOSE(CONTROL!$C$42, 19.9141, 19.9141)* CHOOSE(CONTROL!$C$21, $C$9, 100%, $E$9)</f>
        <v>19.914100000000001</v>
      </c>
      <c r="K730" s="10">
        <f>CHOOSE(CONTROL!$C$42, 19.4886, 19.4886) * CHOOSE(CONTROL!$C$21, $C$9, 100%, $E$9)</f>
        <v>19.488600000000002</v>
      </c>
      <c r="L730" s="10">
        <f>CHOOSE(CONTROL!$C$42, 20.7691, 20.7691) * CHOOSE(CONTROL!$C$21, $C$9, 100%, $E$9)</f>
        <v>20.769100000000002</v>
      </c>
      <c r="M730" s="10">
        <f>CHOOSE(CONTROL!$C$42, 19.6893, 19.6893) * CHOOSE(CONTROL!$C$21, $C$9, 100%, $E$9)</f>
        <v>19.689299999999999</v>
      </c>
      <c r="N730" s="10">
        <f>CHOOSE(CONTROL!$C$42, 19.7057, 19.7057) * CHOOSE(CONTROL!$C$21, $C$9, 100%, $E$9)</f>
        <v>19.7057</v>
      </c>
      <c r="O730" s="10">
        <f>CHOOSE(CONTROL!$C$42, 19.9538, 19.9538) * CHOOSE(CONTROL!$C$21, $C$9, 100%, $E$9)</f>
        <v>19.953800000000001</v>
      </c>
      <c r="P730" s="10">
        <f>CHOOSE(CONTROL!$C$42, 19.7288, 19.7288) * CHOOSE(CONTROL!$C$21, $C$9, 100%, $E$9)</f>
        <v>19.7288</v>
      </c>
      <c r="Q730" s="10">
        <f>CHOOSE(CONTROL!$C$42, 20.5491, 20.5491) * CHOOSE(CONTROL!$C$21, $C$9, 100%, $E$9)</f>
        <v>20.549099999999999</v>
      </c>
      <c r="R730" s="10">
        <f>CHOOSE(CONTROL!$C$42, 21.1875, 21.1875) * CHOOSE(CONTROL!$C$21, $C$9, 100%, $E$9)</f>
        <v>21.1875</v>
      </c>
      <c r="S730" s="10">
        <f>CHOOSE(CONTROL!$C$42, 19.3606, 19.3606) * CHOOSE(CONTROL!$C$21, $C$9, 100%, $E$9)</f>
        <v>19.360600000000002</v>
      </c>
      <c r="T7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38">
        <f>(1000*CHOOSE(CONTROL!$C$42, 695, 695)*CHOOSE(CONTROL!$C$42, 0.5599, 0.5599)*CHOOSE(CONTROL!$C$42, 31, 31))/1000000</f>
        <v>12.063045499999998</v>
      </c>
      <c r="V730" s="38">
        <f>(1000*CHOOSE(CONTROL!$C$42, 500, 500)*CHOOSE(CONTROL!$C$42, 0.275, 0.275)*CHOOSE(CONTROL!$C$42, 31, 31))/1000000</f>
        <v>4.2625000000000002</v>
      </c>
      <c r="W730" s="38">
        <f>(1000*CHOOSE(CONTROL!$C$42, 0.1146, 0.1146)*CHOOSE(CONTROL!$C$42, 121.5, 121.5)*CHOOSE(CONTROL!$C$42, 31, 31))/1000000</f>
        <v>0.43164089999999994</v>
      </c>
      <c r="X730" s="38">
        <f>(31*0.1790888*245000/1000000)+(31*0.2374*100000/1000000)</f>
        <v>2.0961194359999999</v>
      </c>
      <c r="Y730" s="38">
        <f>(1000*600*CHOOSE(CONTROL!$C$42, 1.0585, 1.0585)*CHOOSE(CONTROL!$C$42, 31, 31))/1000000</f>
        <v>19.688099999999999</v>
      </c>
      <c r="Z730" s="38"/>
      <c r="AA730" s="10"/>
      <c r="AB730" s="39"/>
      <c r="AC730" s="33">
        <f>(B730*131.881+C730*277.167+D730*79.08+E730*125.872+F730*40+G730*185+H730*0+I730*100+J730*300)/(131.881+277.167+79.08+125.872+0+40+185+100+300)</f>
        <v>19.987418960048426</v>
      </c>
      <c r="AD730" s="27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19.815808633093525</v>
      </c>
    </row>
    <row r="731" spans="1:30" ht="15.75" x14ac:dyDescent="0.25">
      <c r="A731" s="13">
        <v>63523</v>
      </c>
      <c r="B731" s="10">
        <f>CHOOSE(CONTROL!$C$42, 20.504, 20.504) * CHOOSE(CONTROL!$C$21, $C$9, 100%, $E$9)</f>
        <v>20.504000000000001</v>
      </c>
      <c r="C731" s="10">
        <f>CHOOSE(CONTROL!$C$42, 20.5091, 20.5091) * CHOOSE(CONTROL!$C$21, $C$9, 100%, $E$9)</f>
        <v>20.5091</v>
      </c>
      <c r="D731" s="10">
        <f>CHOOSE(CONTROL!$C$42, 20.5338, 20.5338) * CHOOSE(CONTROL!$C$21, $C$9, 100%, $E$9)</f>
        <v>20.533799999999999</v>
      </c>
      <c r="E731" s="10">
        <f>CHOOSE(CONTROL!$C$42, 20.5676, 20.5676) * CHOOSE(CONTROL!$C$21, $C$9, 100%, $E$9)</f>
        <v>20.567599999999999</v>
      </c>
      <c r="F731" s="10">
        <f>CHOOSE(CONTROL!$C$42, 20.4696, 20.4696)*CHOOSE(CONTROL!$C$21, $C$9, 100%, $E$9)</f>
        <v>20.4696</v>
      </c>
      <c r="G731" s="10">
        <f>CHOOSE(CONTROL!$C$42, 20.4864, 20.4864)*CHOOSE(CONTROL!$C$21, $C$9, 100%, $E$9)</f>
        <v>20.4864</v>
      </c>
      <c r="H731" s="10">
        <f>CHOOSE(CONTROL!$C$42, 20.5565, 20.5565) * CHOOSE(CONTROL!$C$21, $C$9, 100%, $E$9)</f>
        <v>20.5565</v>
      </c>
      <c r="I731" s="10">
        <f>CHOOSE(CONTROL!$C$42, 20.5035, 20.5035)* CHOOSE(CONTROL!$C$21, $C$9, 100%, $E$9)</f>
        <v>20.503499999999999</v>
      </c>
      <c r="J731" s="10">
        <f>CHOOSE(CONTROL!$C$42, 20.4622, 20.4622)* CHOOSE(CONTROL!$C$21, $C$9, 100%, $E$9)</f>
        <v>20.462199999999999</v>
      </c>
      <c r="K731" s="10">
        <f>CHOOSE(CONTROL!$C$42, 20.0227, 20.0227) * CHOOSE(CONTROL!$C$21, $C$9, 100%, $E$9)</f>
        <v>20.0227</v>
      </c>
      <c r="L731" s="10">
        <f>CHOOSE(CONTROL!$C$42, 21.1435, 21.1435) * CHOOSE(CONTROL!$C$21, $C$9, 100%, $E$9)</f>
        <v>21.1435</v>
      </c>
      <c r="M731" s="10">
        <f>CHOOSE(CONTROL!$C$42, 20.2304, 20.2304) * CHOOSE(CONTROL!$C$21, $C$9, 100%, $E$9)</f>
        <v>20.230399999999999</v>
      </c>
      <c r="N731" s="10">
        <f>CHOOSE(CONTROL!$C$42, 20.247, 20.247) * CHOOSE(CONTROL!$C$21, $C$9, 100%, $E$9)</f>
        <v>20.247</v>
      </c>
      <c r="O731" s="10">
        <f>CHOOSE(CONTROL!$C$42, 20.3234, 20.3234) * CHOOSE(CONTROL!$C$21, $C$9, 100%, $E$9)</f>
        <v>20.323399999999999</v>
      </c>
      <c r="P731" s="10">
        <f>CHOOSE(CONTROL!$C$42, 20.2712, 20.2712) * CHOOSE(CONTROL!$C$21, $C$9, 100%, $E$9)</f>
        <v>20.2712</v>
      </c>
      <c r="Q731" s="10">
        <f>CHOOSE(CONTROL!$C$42, 20.9187, 20.9187) * CHOOSE(CONTROL!$C$21, $C$9, 100%, $E$9)</f>
        <v>20.918700000000001</v>
      </c>
      <c r="R731" s="10">
        <f>CHOOSE(CONTROL!$C$42, 21.558, 21.558) * CHOOSE(CONTROL!$C$21, $C$9, 100%, $E$9)</f>
        <v>21.558</v>
      </c>
      <c r="S731" s="10">
        <f>CHOOSE(CONTROL!$C$42, 19.8707, 19.8707) * CHOOSE(CONTROL!$C$21, $C$9, 100%, $E$9)</f>
        <v>19.870699999999999</v>
      </c>
      <c r="T7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38">
        <f>(1000*CHOOSE(CONTROL!$C$42, 695, 695)*CHOOSE(CONTROL!$C$42, 0.5599, 0.5599)*CHOOSE(CONTROL!$C$42, 30, 30))/1000000</f>
        <v>11.673914999999997</v>
      </c>
      <c r="V731" s="38">
        <f>(1000*CHOOSE(CONTROL!$C$42, 500, 500)*CHOOSE(CONTROL!$C$42, 0.275, 0.275)*CHOOSE(CONTROL!$C$42, 30, 30))/1000000</f>
        <v>4.125</v>
      </c>
      <c r="W731" s="38">
        <f>(1000*CHOOSE(CONTROL!$C$42, 0.1146, 0.1146)*CHOOSE(CONTROL!$C$42, 121.5, 121.5)*CHOOSE(CONTROL!$C$42, 30, 30))/1000000</f>
        <v>0.417717</v>
      </c>
      <c r="X731" s="38">
        <f>(30*0.1790888*100000/1000000)+(30*0.2374*100000/1000000)</f>
        <v>1.2494664</v>
      </c>
      <c r="Y731" s="38">
        <f>(1000*600*CHOOSE(CONTROL!$C$42, 1.0585, 1.0585)*CHOOSE(CONTROL!$C$42, 30, 30))/1000000</f>
        <v>19.053000000000001</v>
      </c>
      <c r="Z731" s="38"/>
      <c r="AA731" s="10"/>
      <c r="AB731" s="39"/>
      <c r="AC731" s="33">
        <f>(B731*122.58+C731*297.941+D731*89.177+E731*40.302+F731*40+G731*160+H731*0+I731*100+J731*300)/(122.58+297.941+89.177+40.302+0+40+160+100+300)</f>
        <v>20.495267983391305</v>
      </c>
      <c r="AD731" s="27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20.279376978417268</v>
      </c>
    </row>
    <row r="732" spans="1:30" ht="15.75" x14ac:dyDescent="0.25">
      <c r="A732" s="13">
        <v>63554</v>
      </c>
      <c r="B732" s="10">
        <f>CHOOSE(CONTROL!$C$42, 21.9031, 21.9031) * CHOOSE(CONTROL!$C$21, $C$9, 100%, $E$9)</f>
        <v>21.903099999999998</v>
      </c>
      <c r="C732" s="10">
        <f>CHOOSE(CONTROL!$C$42, 21.9082, 21.9082) * CHOOSE(CONTROL!$C$21, $C$9, 100%, $E$9)</f>
        <v>21.908200000000001</v>
      </c>
      <c r="D732" s="10">
        <f>CHOOSE(CONTROL!$C$42, 21.9328, 21.9328) * CHOOSE(CONTROL!$C$21, $C$9, 100%, $E$9)</f>
        <v>21.9328</v>
      </c>
      <c r="E732" s="10">
        <f>CHOOSE(CONTROL!$C$42, 21.9667, 21.9667) * CHOOSE(CONTROL!$C$21, $C$9, 100%, $E$9)</f>
        <v>21.966699999999999</v>
      </c>
      <c r="F732" s="10">
        <f>CHOOSE(CONTROL!$C$42, 21.8705, 21.8705)*CHOOSE(CONTROL!$C$21, $C$9, 100%, $E$9)</f>
        <v>21.8705</v>
      </c>
      <c r="G732" s="10">
        <f>CHOOSE(CONTROL!$C$42, 21.8878, 21.8878)*CHOOSE(CONTROL!$C$21, $C$9, 100%, $E$9)</f>
        <v>21.887799999999999</v>
      </c>
      <c r="H732" s="10">
        <f>CHOOSE(CONTROL!$C$42, 21.9555, 21.9555) * CHOOSE(CONTROL!$C$21, $C$9, 100%, $E$9)</f>
        <v>21.955500000000001</v>
      </c>
      <c r="I732" s="10">
        <f>CHOOSE(CONTROL!$C$42, 21.9026, 21.9026)* CHOOSE(CONTROL!$C$21, $C$9, 100%, $E$9)</f>
        <v>21.9026</v>
      </c>
      <c r="J732" s="10">
        <f>CHOOSE(CONTROL!$C$42, 21.8631, 21.8631)* CHOOSE(CONTROL!$C$21, $C$9, 100%, $E$9)</f>
        <v>21.863099999999999</v>
      </c>
      <c r="K732" s="10">
        <f>CHOOSE(CONTROL!$C$42, 21.3819, 21.3819) * CHOOSE(CONTROL!$C$21, $C$9, 100%, $E$9)</f>
        <v>21.381900000000002</v>
      </c>
      <c r="L732" s="10">
        <f>CHOOSE(CONTROL!$C$42, 22.5425, 22.5425) * CHOOSE(CONTROL!$C$21, $C$9, 100%, $E$9)</f>
        <v>22.5425</v>
      </c>
      <c r="M732" s="10">
        <f>CHOOSE(CONTROL!$C$42, 21.6131, 21.6131) * CHOOSE(CONTROL!$C$21, $C$9, 100%, $E$9)</f>
        <v>21.613099999999999</v>
      </c>
      <c r="N732" s="10">
        <f>CHOOSE(CONTROL!$C$42, 21.6302, 21.6302) * CHOOSE(CONTROL!$C$21, $C$9, 100%, $E$9)</f>
        <v>21.630199999999999</v>
      </c>
      <c r="O732" s="10">
        <f>CHOOSE(CONTROL!$C$42, 21.7044, 21.7044) * CHOOSE(CONTROL!$C$21, $C$9, 100%, $E$9)</f>
        <v>21.7044</v>
      </c>
      <c r="P732" s="10">
        <f>CHOOSE(CONTROL!$C$42, 21.6521, 21.6521) * CHOOSE(CONTROL!$C$21, $C$9, 100%, $E$9)</f>
        <v>21.652100000000001</v>
      </c>
      <c r="Q732" s="10">
        <f>CHOOSE(CONTROL!$C$42, 22.2997, 22.2997) * CHOOSE(CONTROL!$C$21, $C$9, 100%, $E$9)</f>
        <v>22.299700000000001</v>
      </c>
      <c r="R732" s="10">
        <f>CHOOSE(CONTROL!$C$42, 22.9424, 22.9424) * CHOOSE(CONTROL!$C$21, $C$9, 100%, $E$9)</f>
        <v>22.942399999999999</v>
      </c>
      <c r="S732" s="10">
        <f>CHOOSE(CONTROL!$C$42, 21.2254, 21.2254) * CHOOSE(CONTROL!$C$21, $C$9, 100%, $E$9)</f>
        <v>21.2254</v>
      </c>
      <c r="T7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38">
        <f>(1000*CHOOSE(CONTROL!$C$42, 695, 695)*CHOOSE(CONTROL!$C$42, 0.5599, 0.5599)*CHOOSE(CONTROL!$C$42, 31, 31))/1000000</f>
        <v>12.063045499999998</v>
      </c>
      <c r="V732" s="38">
        <f>(1000*CHOOSE(CONTROL!$C$42, 500, 500)*CHOOSE(CONTROL!$C$42, 0.275, 0.275)*CHOOSE(CONTROL!$C$42, 31, 31))/1000000</f>
        <v>4.2625000000000002</v>
      </c>
      <c r="W732" s="38">
        <f>(1000*CHOOSE(CONTROL!$C$42, 0.1146, 0.1146)*CHOOSE(CONTROL!$C$42, 121.5, 121.5)*CHOOSE(CONTROL!$C$42, 31, 31))/1000000</f>
        <v>0.43164089999999994</v>
      </c>
      <c r="X732" s="38">
        <f>(31*0.1790888*100000/1000000)+(31*0.2374*100000/1000000)</f>
        <v>1.2911152800000001</v>
      </c>
      <c r="Y732" s="38">
        <f>(1000*600*CHOOSE(CONTROL!$C$42, 1.0585, 1.0585)*CHOOSE(CONTROL!$C$42, 31, 31))/1000000</f>
        <v>19.688099999999999</v>
      </c>
      <c r="Z732" s="38"/>
      <c r="AA732" s="10"/>
      <c r="AB732" s="39"/>
      <c r="AC732" s="33">
        <f>(B732*122.58+C732*297.941+D732*89.177+E732*40.302+F732*40+G732*160+H732*0+I732*100+J732*300)/(122.58+297.941+89.177+40.302+0+40+160+100+300)</f>
        <v>21.895212402782608</v>
      </c>
      <c r="AD732" s="27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21.661076258992807</v>
      </c>
    </row>
    <row r="733" spans="1:30" ht="15.75" x14ac:dyDescent="0.25">
      <c r="A733" s="13">
        <v>63585</v>
      </c>
      <c r="B733" s="10">
        <f>CHOOSE(CONTROL!$C$42, 23.3825, 23.3825) * CHOOSE(CONTROL!$C$21, $C$9, 100%, $E$9)</f>
        <v>23.3825</v>
      </c>
      <c r="C733" s="10">
        <f>CHOOSE(CONTROL!$C$42, 23.3876, 23.3876) * CHOOSE(CONTROL!$C$21, $C$9, 100%, $E$9)</f>
        <v>23.387599999999999</v>
      </c>
      <c r="D733" s="10">
        <f>CHOOSE(CONTROL!$C$42, 23.4226, 23.4226) * CHOOSE(CONTROL!$C$21, $C$9, 100%, $E$9)</f>
        <v>23.422599999999999</v>
      </c>
      <c r="E733" s="10">
        <f>CHOOSE(CONTROL!$C$42, 23.4564, 23.4564) * CHOOSE(CONTROL!$C$21, $C$9, 100%, $E$9)</f>
        <v>23.456399999999999</v>
      </c>
      <c r="F733" s="10">
        <f>CHOOSE(CONTROL!$C$42, 23.3638, 23.3638)*CHOOSE(CONTROL!$C$21, $C$9, 100%, $E$9)</f>
        <v>23.363800000000001</v>
      </c>
      <c r="G733" s="10">
        <f>CHOOSE(CONTROL!$C$42, 23.3827, 23.3827)*CHOOSE(CONTROL!$C$21, $C$9, 100%, $E$9)</f>
        <v>23.3827</v>
      </c>
      <c r="H733" s="10">
        <f>CHOOSE(CONTROL!$C$42, 23.4453, 23.4453) * CHOOSE(CONTROL!$C$21, $C$9, 100%, $E$9)</f>
        <v>23.4453</v>
      </c>
      <c r="I733" s="10">
        <f>CHOOSE(CONTROL!$C$42, 23.3897, 23.3897)* CHOOSE(CONTROL!$C$21, $C$9, 100%, $E$9)</f>
        <v>23.389700000000001</v>
      </c>
      <c r="J733" s="10">
        <f>CHOOSE(CONTROL!$C$42, 23.3564, 23.3564)* CHOOSE(CONTROL!$C$21, $C$9, 100%, $E$9)</f>
        <v>23.356400000000001</v>
      </c>
      <c r="K733" s="10">
        <f>CHOOSE(CONTROL!$C$42, 22.836, 22.836) * CHOOSE(CONTROL!$C$21, $C$9, 100%, $E$9)</f>
        <v>22.835999999999999</v>
      </c>
      <c r="L733" s="10">
        <f>CHOOSE(CONTROL!$C$42, 24.0323, 24.0323) * CHOOSE(CONTROL!$C$21, $C$9, 100%, $E$9)</f>
        <v>24.032299999999999</v>
      </c>
      <c r="M733" s="10">
        <f>CHOOSE(CONTROL!$C$42, 23.0871, 23.0871) * CHOOSE(CONTROL!$C$21, $C$9, 100%, $E$9)</f>
        <v>23.0871</v>
      </c>
      <c r="N733" s="10">
        <f>CHOOSE(CONTROL!$C$42, 23.1057, 23.1057) * CHOOSE(CONTROL!$C$21, $C$9, 100%, $E$9)</f>
        <v>23.105699999999999</v>
      </c>
      <c r="O733" s="10">
        <f>CHOOSE(CONTROL!$C$42, 23.1748, 23.1748) * CHOOSE(CONTROL!$C$21, $C$9, 100%, $E$9)</f>
        <v>23.174800000000001</v>
      </c>
      <c r="P733" s="10">
        <f>CHOOSE(CONTROL!$C$42, 23.12, 23.12) * CHOOSE(CONTROL!$C$21, $C$9, 100%, $E$9)</f>
        <v>23.12</v>
      </c>
      <c r="Q733" s="10">
        <f>CHOOSE(CONTROL!$C$42, 23.7701, 23.7701) * CHOOSE(CONTROL!$C$21, $C$9, 100%, $E$9)</f>
        <v>23.770099999999999</v>
      </c>
      <c r="R733" s="10">
        <f>CHOOSE(CONTROL!$C$42, 24.4166, 24.4166) * CHOOSE(CONTROL!$C$21, $C$9, 100%, $E$9)</f>
        <v>24.416599999999999</v>
      </c>
      <c r="S733" s="10">
        <f>CHOOSE(CONTROL!$C$42, 22.6579, 22.6579) * CHOOSE(CONTROL!$C$21, $C$9, 100%, $E$9)</f>
        <v>22.657900000000001</v>
      </c>
      <c r="T7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38">
        <f>(1000*CHOOSE(CONTROL!$C$42, 695, 695)*CHOOSE(CONTROL!$C$42, 0.5599, 0.5599)*CHOOSE(CONTROL!$C$42, 31, 31))/1000000</f>
        <v>12.063045499999998</v>
      </c>
      <c r="V733" s="38">
        <f>(1000*CHOOSE(CONTROL!$C$42, 500, 500)*CHOOSE(CONTROL!$C$42, 0.275, 0.275)*CHOOSE(CONTROL!$C$42, 31, 31))/1000000</f>
        <v>4.2625000000000002</v>
      </c>
      <c r="W733" s="38">
        <f>(1000*CHOOSE(CONTROL!$C$42, 0.1146, 0.1146)*CHOOSE(CONTROL!$C$42, 121.5, 121.5)*CHOOSE(CONTROL!$C$42, 31, 31))/1000000</f>
        <v>0.43164089999999994</v>
      </c>
      <c r="X733" s="38">
        <f>(31*0.1790888*100000/1000000)+(31*0.2374*100000/1000000)</f>
        <v>1.2911152800000001</v>
      </c>
      <c r="Y733" s="38">
        <f>(1000*600*CHOOSE(CONTROL!$C$42, 1.0585, 1.0585)*CHOOSE(CONTROL!$C$42, 31, 31))/1000000</f>
        <v>19.688099999999999</v>
      </c>
      <c r="Z733" s="38"/>
      <c r="AA733" s="10"/>
      <c r="AB733" s="39"/>
      <c r="AC733" s="33">
        <f>(B733*122.58+C733*297.941+D733*89.177+E733*40.302+F733*40+G733*160+H733*0+I733*100+J733*300)/(122.58+297.941+89.177+40.302+0+40+160+100+300)</f>
        <v>23.382715490956521</v>
      </c>
      <c r="AD733" s="27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23.132653237410072</v>
      </c>
    </row>
    <row r="734" spans="1:30" ht="15.75" x14ac:dyDescent="0.25">
      <c r="A734" s="13">
        <v>63613</v>
      </c>
      <c r="B734" s="10">
        <f>CHOOSE(CONTROL!$C$42, 23.799, 23.799) * CHOOSE(CONTROL!$C$21, $C$9, 100%, $E$9)</f>
        <v>23.798999999999999</v>
      </c>
      <c r="C734" s="10">
        <f>CHOOSE(CONTROL!$C$42, 23.8041, 23.8041) * CHOOSE(CONTROL!$C$21, $C$9, 100%, $E$9)</f>
        <v>23.804099999999998</v>
      </c>
      <c r="D734" s="10">
        <f>CHOOSE(CONTROL!$C$42, 23.8392, 23.8392) * CHOOSE(CONTROL!$C$21, $C$9, 100%, $E$9)</f>
        <v>23.839200000000002</v>
      </c>
      <c r="E734" s="10">
        <f>CHOOSE(CONTROL!$C$42, 23.873, 23.873) * CHOOSE(CONTROL!$C$21, $C$9, 100%, $E$9)</f>
        <v>23.873000000000001</v>
      </c>
      <c r="F734" s="10">
        <f>CHOOSE(CONTROL!$C$42, 23.7798, 23.7798)*CHOOSE(CONTROL!$C$21, $C$9, 100%, $E$9)</f>
        <v>23.779800000000002</v>
      </c>
      <c r="G734" s="10">
        <f>CHOOSE(CONTROL!$C$42, 23.7985, 23.7985)*CHOOSE(CONTROL!$C$21, $C$9, 100%, $E$9)</f>
        <v>23.798500000000001</v>
      </c>
      <c r="H734" s="10">
        <f>CHOOSE(CONTROL!$C$42, 23.8618, 23.8618) * CHOOSE(CONTROL!$C$21, $C$9, 100%, $E$9)</f>
        <v>23.861799999999999</v>
      </c>
      <c r="I734" s="10">
        <f>CHOOSE(CONTROL!$C$42, 23.8063, 23.8063)* CHOOSE(CONTROL!$C$21, $C$9, 100%, $E$9)</f>
        <v>23.8063</v>
      </c>
      <c r="J734" s="10">
        <f>CHOOSE(CONTROL!$C$42, 23.7724, 23.7724)* CHOOSE(CONTROL!$C$21, $C$9, 100%, $E$9)</f>
        <v>23.772400000000001</v>
      </c>
      <c r="K734" s="10">
        <f>CHOOSE(CONTROL!$C$42, 23.2383, 23.2383) * CHOOSE(CONTROL!$C$21, $C$9, 100%, $E$9)</f>
        <v>23.238299999999999</v>
      </c>
      <c r="L734" s="10">
        <f>CHOOSE(CONTROL!$C$42, 24.4488, 24.4488) * CHOOSE(CONTROL!$C$21, $C$9, 100%, $E$9)</f>
        <v>24.448799999999999</v>
      </c>
      <c r="M734" s="10">
        <f>CHOOSE(CONTROL!$C$42, 23.4977, 23.4977) * CHOOSE(CONTROL!$C$21, $C$9, 100%, $E$9)</f>
        <v>23.497699999999998</v>
      </c>
      <c r="N734" s="10">
        <f>CHOOSE(CONTROL!$C$42, 23.5162, 23.5162) * CHOOSE(CONTROL!$C$21, $C$9, 100%, $E$9)</f>
        <v>23.516200000000001</v>
      </c>
      <c r="O734" s="10">
        <f>CHOOSE(CONTROL!$C$42, 23.586, 23.586) * CHOOSE(CONTROL!$C$21, $C$9, 100%, $E$9)</f>
        <v>23.585999999999999</v>
      </c>
      <c r="P734" s="10">
        <f>CHOOSE(CONTROL!$C$42, 23.5312, 23.5312) * CHOOSE(CONTROL!$C$21, $C$9, 100%, $E$9)</f>
        <v>23.531199999999998</v>
      </c>
      <c r="Q734" s="10">
        <f>CHOOSE(CONTROL!$C$42, 24.1813, 24.1813) * CHOOSE(CONTROL!$C$21, $C$9, 100%, $E$9)</f>
        <v>24.1813</v>
      </c>
      <c r="R734" s="10">
        <f>CHOOSE(CONTROL!$C$42, 24.8287, 24.8287) * CHOOSE(CONTROL!$C$21, $C$9, 100%, $E$9)</f>
        <v>24.828700000000001</v>
      </c>
      <c r="S734" s="10">
        <f>CHOOSE(CONTROL!$C$42, 23.0613, 23.0613) * CHOOSE(CONTROL!$C$21, $C$9, 100%, $E$9)</f>
        <v>23.061299999999999</v>
      </c>
      <c r="T73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38">
        <f>(1000*CHOOSE(CONTROL!$C$42, 695, 695)*CHOOSE(CONTROL!$C$42, 0.5599, 0.5599)*CHOOSE(CONTROL!$C$42, 28, 28))/1000000</f>
        <v>10.895653999999999</v>
      </c>
      <c r="V734" s="38">
        <f>(1000*CHOOSE(CONTROL!$C$42, 500, 500)*CHOOSE(CONTROL!$C$42, 0.275, 0.275)*CHOOSE(CONTROL!$C$42, 28, 28))/1000000</f>
        <v>3.85</v>
      </c>
      <c r="W734" s="38">
        <f>(1000*CHOOSE(CONTROL!$C$42, 0.1146, 0.1146)*CHOOSE(CONTROL!$C$42, 121.5, 121.5)*CHOOSE(CONTROL!$C$42, 28, 28))/1000000</f>
        <v>0.38986920000000003</v>
      </c>
      <c r="X734" s="38">
        <f>(28*0.1790888*100000/1000000)+(28*0.2374*100000/1000000)</f>
        <v>1.16616864</v>
      </c>
      <c r="Y734" s="38">
        <f>(1000*600*CHOOSE(CONTROL!$C$42, 1.0585, 1.0585)*CHOOSE(CONTROL!$C$42, 28, 28))/1000000</f>
        <v>17.782800000000002</v>
      </c>
      <c r="Z734" s="38"/>
      <c r="AA734" s="10"/>
      <c r="AB734" s="39"/>
      <c r="AC734" s="33">
        <f>(B734*122.58+C734*297.941+D734*89.177+E734*40.302+F734*40+G734*160+H734*0+I734*100+J734*300)/(122.58+297.941+89.177+40.302+0+40+160+100+300)</f>
        <v>23.79899022826087</v>
      </c>
      <c r="AD734" s="27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23.543605755395678</v>
      </c>
    </row>
    <row r="735" spans="1:30" ht="15.75" x14ac:dyDescent="0.25">
      <c r="A735" s="13">
        <v>63644</v>
      </c>
      <c r="B735" s="10">
        <f>CHOOSE(CONTROL!$C$42, 23.1229, 23.1229) * CHOOSE(CONTROL!$C$21, $C$9, 100%, $E$9)</f>
        <v>23.122900000000001</v>
      </c>
      <c r="C735" s="10">
        <f>CHOOSE(CONTROL!$C$42, 23.128, 23.128) * CHOOSE(CONTROL!$C$21, $C$9, 100%, $E$9)</f>
        <v>23.128</v>
      </c>
      <c r="D735" s="10">
        <f>CHOOSE(CONTROL!$C$42, 23.163, 23.163) * CHOOSE(CONTROL!$C$21, $C$9, 100%, $E$9)</f>
        <v>23.163</v>
      </c>
      <c r="E735" s="10">
        <f>CHOOSE(CONTROL!$C$42, 23.1968, 23.1968) * CHOOSE(CONTROL!$C$21, $C$9, 100%, $E$9)</f>
        <v>23.1968</v>
      </c>
      <c r="F735" s="10">
        <f>CHOOSE(CONTROL!$C$42, 23.1023, 23.1023)*CHOOSE(CONTROL!$C$21, $C$9, 100%, $E$9)</f>
        <v>23.1023</v>
      </c>
      <c r="G735" s="10">
        <f>CHOOSE(CONTROL!$C$42, 23.1207, 23.1207)*CHOOSE(CONTROL!$C$21, $C$9, 100%, $E$9)</f>
        <v>23.120699999999999</v>
      </c>
      <c r="H735" s="10">
        <f>CHOOSE(CONTROL!$C$42, 23.1857, 23.1857) * CHOOSE(CONTROL!$C$21, $C$9, 100%, $E$9)</f>
        <v>23.185700000000001</v>
      </c>
      <c r="I735" s="10">
        <f>CHOOSE(CONTROL!$C$42, 23.1301, 23.1301)* CHOOSE(CONTROL!$C$21, $C$9, 100%, $E$9)</f>
        <v>23.130099999999999</v>
      </c>
      <c r="J735" s="10">
        <f>CHOOSE(CONTROL!$C$42, 23.0949, 23.0949)* CHOOSE(CONTROL!$C$21, $C$9, 100%, $E$9)</f>
        <v>23.094899999999999</v>
      </c>
      <c r="K735" s="10">
        <f>CHOOSE(CONTROL!$C$42, 22.5803, 22.5803) * CHOOSE(CONTROL!$C$21, $C$9, 100%, $E$9)</f>
        <v>22.580300000000001</v>
      </c>
      <c r="L735" s="10">
        <f>CHOOSE(CONTROL!$C$42, 23.7727, 23.7727) * CHOOSE(CONTROL!$C$21, $C$9, 100%, $E$9)</f>
        <v>23.7727</v>
      </c>
      <c r="M735" s="10">
        <f>CHOOSE(CONTROL!$C$42, 22.8289, 22.8289) * CHOOSE(CONTROL!$C$21, $C$9, 100%, $E$9)</f>
        <v>22.828900000000001</v>
      </c>
      <c r="N735" s="10">
        <f>CHOOSE(CONTROL!$C$42, 22.8471, 22.8471) * CHOOSE(CONTROL!$C$21, $C$9, 100%, $E$9)</f>
        <v>22.847100000000001</v>
      </c>
      <c r="O735" s="10">
        <f>CHOOSE(CONTROL!$C$42, 22.9186, 22.9186) * CHOOSE(CONTROL!$C$21, $C$9, 100%, $E$9)</f>
        <v>22.918600000000001</v>
      </c>
      <c r="P735" s="10">
        <f>CHOOSE(CONTROL!$C$42, 22.8638, 22.8638) * CHOOSE(CONTROL!$C$21, $C$9, 100%, $E$9)</f>
        <v>22.863800000000001</v>
      </c>
      <c r="Q735" s="10">
        <f>CHOOSE(CONTROL!$C$42, 23.5139, 23.5139) * CHOOSE(CONTROL!$C$21, $C$9, 100%, $E$9)</f>
        <v>23.5139</v>
      </c>
      <c r="R735" s="10">
        <f>CHOOSE(CONTROL!$C$42, 24.1597, 24.1597) * CHOOSE(CONTROL!$C$21, $C$9, 100%, $E$9)</f>
        <v>24.159700000000001</v>
      </c>
      <c r="S735" s="10">
        <f>CHOOSE(CONTROL!$C$42, 22.4066, 22.4066) * CHOOSE(CONTROL!$C$21, $C$9, 100%, $E$9)</f>
        <v>22.406600000000001</v>
      </c>
      <c r="T7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38">
        <f>(1000*CHOOSE(CONTROL!$C$42, 695, 695)*CHOOSE(CONTROL!$C$42, 0.5599, 0.5599)*CHOOSE(CONTROL!$C$42, 31, 31))/1000000</f>
        <v>12.063045499999998</v>
      </c>
      <c r="V735" s="38">
        <f>(1000*CHOOSE(CONTROL!$C$42, 500, 500)*CHOOSE(CONTROL!$C$42, 0.275, 0.275)*CHOOSE(CONTROL!$C$42, 31, 31))/1000000</f>
        <v>4.2625000000000002</v>
      </c>
      <c r="W735" s="38">
        <f>(1000*CHOOSE(CONTROL!$C$42, 0.1146, 0.1146)*CHOOSE(CONTROL!$C$42, 121.5, 121.5)*CHOOSE(CONTROL!$C$42, 31, 31))/1000000</f>
        <v>0.43164089999999994</v>
      </c>
      <c r="X735" s="38">
        <f>(31*0.1790888*100000/1000000)+(31*0.2374*100000/1000000)</f>
        <v>1.2911152800000001</v>
      </c>
      <c r="Y735" s="38">
        <f>(1000*600*CHOOSE(CONTROL!$C$42, 1.0585, 1.0585)*CHOOSE(CONTROL!$C$42, 31, 31))/1000000</f>
        <v>19.688099999999999</v>
      </c>
      <c r="Z735" s="38"/>
      <c r="AA735" s="10"/>
      <c r="AB735" s="39"/>
      <c r="AC735" s="33">
        <f>(B735*122.58+C735*297.941+D735*89.177+E735*40.302+F735*40+G735*160+H735*0+I735*100+J735*300)/(122.58+297.941+89.177+40.302+0+40+160+100+300)</f>
        <v>23.122219838782609</v>
      </c>
      <c r="AD735" s="27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22.875624460431656</v>
      </c>
    </row>
    <row r="736" spans="1:30" ht="15.75" x14ac:dyDescent="0.25">
      <c r="A736" s="13">
        <v>63674</v>
      </c>
      <c r="B736" s="10">
        <f>CHOOSE(CONTROL!$C$42, 23.0544, 23.0544) * CHOOSE(CONTROL!$C$21, $C$9, 100%, $E$9)</f>
        <v>23.054400000000001</v>
      </c>
      <c r="C736" s="10">
        <f>CHOOSE(CONTROL!$C$42, 23.0589, 23.0589) * CHOOSE(CONTROL!$C$21, $C$9, 100%, $E$9)</f>
        <v>23.058900000000001</v>
      </c>
      <c r="D736" s="10">
        <f>CHOOSE(CONTROL!$C$42, 23.2371, 23.2371) * CHOOSE(CONTROL!$C$21, $C$9, 100%, $E$9)</f>
        <v>23.237100000000002</v>
      </c>
      <c r="E736" s="10">
        <f>CHOOSE(CONTROL!$C$42, 23.269, 23.269) * CHOOSE(CONTROL!$C$21, $C$9, 100%, $E$9)</f>
        <v>23.268999999999998</v>
      </c>
      <c r="F736" s="10">
        <f>CHOOSE(CONTROL!$C$42, 22.9978, 22.9978)*CHOOSE(CONTROL!$C$21, $C$9, 100%, $E$9)</f>
        <v>22.997800000000002</v>
      </c>
      <c r="G736" s="10">
        <f>CHOOSE(CONTROL!$C$42, 23.0144, 23.0144)*CHOOSE(CONTROL!$C$21, $C$9, 100%, $E$9)</f>
        <v>23.014399999999998</v>
      </c>
      <c r="H736" s="10">
        <f>CHOOSE(CONTROL!$C$42, 23.2584, 23.2584) * CHOOSE(CONTROL!$C$21, $C$9, 100%, $E$9)</f>
        <v>23.258400000000002</v>
      </c>
      <c r="I736" s="10">
        <f>CHOOSE(CONTROL!$C$42, 23.0304, 23.0304)* CHOOSE(CONTROL!$C$21, $C$9, 100%, $E$9)</f>
        <v>23.0304</v>
      </c>
      <c r="J736" s="10">
        <f>CHOOSE(CONTROL!$C$42, 22.9904, 22.9904)* CHOOSE(CONTROL!$C$21, $C$9, 100%, $E$9)</f>
        <v>22.990400000000001</v>
      </c>
      <c r="K736" s="10">
        <f>CHOOSE(CONTROL!$C$42, 22.469, 22.469) * CHOOSE(CONTROL!$C$21, $C$9, 100%, $E$9)</f>
        <v>22.469000000000001</v>
      </c>
      <c r="L736" s="10">
        <f>CHOOSE(CONTROL!$C$42, 23.8454, 23.8454) * CHOOSE(CONTROL!$C$21, $C$9, 100%, $E$9)</f>
        <v>23.845400000000001</v>
      </c>
      <c r="M736" s="10">
        <f>CHOOSE(CONTROL!$C$42, 22.7259, 22.7259) * CHOOSE(CONTROL!$C$21, $C$9, 100%, $E$9)</f>
        <v>22.725899999999999</v>
      </c>
      <c r="N736" s="10">
        <f>CHOOSE(CONTROL!$C$42, 22.7422, 22.7422) * CHOOSE(CONTROL!$C$21, $C$9, 100%, $E$9)</f>
        <v>22.7422</v>
      </c>
      <c r="O736" s="10">
        <f>CHOOSE(CONTROL!$C$42, 22.9904, 22.9904) * CHOOSE(CONTROL!$C$21, $C$9, 100%, $E$9)</f>
        <v>22.990400000000001</v>
      </c>
      <c r="P736" s="10">
        <f>CHOOSE(CONTROL!$C$42, 22.7653, 22.7653) * CHOOSE(CONTROL!$C$21, $C$9, 100%, $E$9)</f>
        <v>22.7653</v>
      </c>
      <c r="Q736" s="10">
        <f>CHOOSE(CONTROL!$C$42, 23.5857, 23.5857) * CHOOSE(CONTROL!$C$21, $C$9, 100%, $E$9)</f>
        <v>23.585699999999999</v>
      </c>
      <c r="R736" s="10">
        <f>CHOOSE(CONTROL!$C$42, 24.2316, 24.2316) * CHOOSE(CONTROL!$C$21, $C$9, 100%, $E$9)</f>
        <v>24.2316</v>
      </c>
      <c r="S736" s="10">
        <f>CHOOSE(CONTROL!$C$42, 22.3395, 22.3395) * CHOOSE(CONTROL!$C$21, $C$9, 100%, $E$9)</f>
        <v>22.339500000000001</v>
      </c>
      <c r="T7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38">
        <f>(1000*CHOOSE(CONTROL!$C$42, 695, 695)*CHOOSE(CONTROL!$C$42, 0.5599, 0.5599)*CHOOSE(CONTROL!$C$42, 30, 30))/1000000</f>
        <v>11.673914999999997</v>
      </c>
      <c r="V736" s="38">
        <f>(1000*CHOOSE(CONTROL!$C$42, 500, 500)*CHOOSE(CONTROL!$C$42, 0.275, 0.275)*CHOOSE(CONTROL!$C$42, 30, 30))/1000000</f>
        <v>4.125</v>
      </c>
      <c r="W736" s="38">
        <f>(1000*CHOOSE(CONTROL!$C$42, 0.1146, 0.1146)*CHOOSE(CONTROL!$C$42, 121.5, 121.5)*CHOOSE(CONTROL!$C$42, 30, 30))/1000000</f>
        <v>0.417717</v>
      </c>
      <c r="X736" s="38">
        <f>(30*0.1790888*245000/1000000)+(30*0.2374*100000/1000000)</f>
        <v>2.0285026799999999</v>
      </c>
      <c r="Y736" s="38">
        <f>(1000*600*CHOOSE(CONTROL!$C$42, 1.0585, 1.0585)*CHOOSE(CONTROL!$C$42, 30, 30))/1000000</f>
        <v>19.053000000000001</v>
      </c>
      <c r="Z736" s="38"/>
      <c r="AA736" s="10"/>
      <c r="AB736" s="39"/>
      <c r="AC736" s="33">
        <f>(B736*141.293+C736*267.993+D736*115.016+E736*89.698+F736*40+G736*185+H736*0+I736*100+J736*300)/(141.293+267.993+115.016+89.698+0+40+185+100+300)</f>
        <v>23.062636144067799</v>
      </c>
      <c r="AD736" s="27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22.852388489208636</v>
      </c>
    </row>
    <row r="737" spans="1:30" ht="15.75" x14ac:dyDescent="0.25">
      <c r="A737" s="13">
        <v>63705</v>
      </c>
      <c r="B737" s="10">
        <f>CHOOSE(CONTROL!$C$42, 23.2598, 23.2598) * CHOOSE(CONTROL!$C$21, $C$9, 100%, $E$9)</f>
        <v>23.259799999999998</v>
      </c>
      <c r="C737" s="10">
        <f>CHOOSE(CONTROL!$C$42, 23.2678, 23.2678) * CHOOSE(CONTROL!$C$21, $C$9, 100%, $E$9)</f>
        <v>23.267800000000001</v>
      </c>
      <c r="D737" s="10">
        <f>CHOOSE(CONTROL!$C$42, 23.4429, 23.4429) * CHOOSE(CONTROL!$C$21, $C$9, 100%, $E$9)</f>
        <v>23.442900000000002</v>
      </c>
      <c r="E737" s="10">
        <f>CHOOSE(CONTROL!$C$42, 23.4741, 23.4741) * CHOOSE(CONTROL!$C$21, $C$9, 100%, $E$9)</f>
        <v>23.4741</v>
      </c>
      <c r="F737" s="10">
        <f>CHOOSE(CONTROL!$C$42, 23.2014, 23.2014)*CHOOSE(CONTROL!$C$21, $C$9, 100%, $E$9)</f>
        <v>23.2014</v>
      </c>
      <c r="G737" s="10">
        <f>CHOOSE(CONTROL!$C$42, 23.2183, 23.2183)*CHOOSE(CONTROL!$C$21, $C$9, 100%, $E$9)</f>
        <v>23.218299999999999</v>
      </c>
      <c r="H737" s="10">
        <f>CHOOSE(CONTROL!$C$42, 23.4624, 23.4624) * CHOOSE(CONTROL!$C$21, $C$9, 100%, $E$9)</f>
        <v>23.462399999999999</v>
      </c>
      <c r="I737" s="10">
        <f>CHOOSE(CONTROL!$C$42, 23.2344, 23.2344)* CHOOSE(CONTROL!$C$21, $C$9, 100%, $E$9)</f>
        <v>23.234400000000001</v>
      </c>
      <c r="J737" s="10">
        <f>CHOOSE(CONTROL!$C$42, 23.194, 23.194)* CHOOSE(CONTROL!$C$21, $C$9, 100%, $E$9)</f>
        <v>23.193999999999999</v>
      </c>
      <c r="K737" s="10">
        <f>CHOOSE(CONTROL!$C$42, 22.6657, 22.6657) * CHOOSE(CONTROL!$C$21, $C$9, 100%, $E$9)</f>
        <v>22.665700000000001</v>
      </c>
      <c r="L737" s="10">
        <f>CHOOSE(CONTROL!$C$42, 24.0494, 24.0494) * CHOOSE(CONTROL!$C$21, $C$9, 100%, $E$9)</f>
        <v>24.049399999999999</v>
      </c>
      <c r="M737" s="10">
        <f>CHOOSE(CONTROL!$C$42, 22.9268, 22.9268) * CHOOSE(CONTROL!$C$21, $C$9, 100%, $E$9)</f>
        <v>22.9268</v>
      </c>
      <c r="N737" s="10">
        <f>CHOOSE(CONTROL!$C$42, 22.9435, 22.9435) * CHOOSE(CONTROL!$C$21, $C$9, 100%, $E$9)</f>
        <v>22.9435</v>
      </c>
      <c r="O737" s="10">
        <f>CHOOSE(CONTROL!$C$42, 23.1917, 23.1917) * CHOOSE(CONTROL!$C$21, $C$9, 100%, $E$9)</f>
        <v>23.191700000000001</v>
      </c>
      <c r="P737" s="10">
        <f>CHOOSE(CONTROL!$C$42, 22.9667, 22.9667) * CHOOSE(CONTROL!$C$21, $C$9, 100%, $E$9)</f>
        <v>22.966699999999999</v>
      </c>
      <c r="Q737" s="10">
        <f>CHOOSE(CONTROL!$C$42, 23.787, 23.787) * CHOOSE(CONTROL!$C$21, $C$9, 100%, $E$9)</f>
        <v>23.786999999999999</v>
      </c>
      <c r="R737" s="10">
        <f>CHOOSE(CONTROL!$C$42, 24.4335, 24.4335) * CHOOSE(CONTROL!$C$21, $C$9, 100%, $E$9)</f>
        <v>24.433499999999999</v>
      </c>
      <c r="S737" s="10">
        <f>CHOOSE(CONTROL!$C$42, 22.537, 22.537) * CHOOSE(CONTROL!$C$21, $C$9, 100%, $E$9)</f>
        <v>22.536999999999999</v>
      </c>
      <c r="T7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38">
        <f>(1000*CHOOSE(CONTROL!$C$42, 695, 695)*CHOOSE(CONTROL!$C$42, 0.5599, 0.5599)*CHOOSE(CONTROL!$C$42, 31, 31))/1000000</f>
        <v>12.063045499999998</v>
      </c>
      <c r="V737" s="38">
        <f>(1000*CHOOSE(CONTROL!$C$42, 500, 500)*CHOOSE(CONTROL!$C$42, 0.275, 0.275)*CHOOSE(CONTROL!$C$42, 31, 31))/1000000</f>
        <v>4.2625000000000002</v>
      </c>
      <c r="W737" s="38">
        <f>(1000*CHOOSE(CONTROL!$C$42, 0.1146, 0.1146)*CHOOSE(CONTROL!$C$42, 121.5, 121.5)*CHOOSE(CONTROL!$C$42, 31, 31))/1000000</f>
        <v>0.43164089999999994</v>
      </c>
      <c r="X737" s="38">
        <f>(31*0.1790888*245000/1000000)+(31*0.2374*100000/1000000)</f>
        <v>2.0961194359999999</v>
      </c>
      <c r="Y737" s="38">
        <f>(1000*600*CHOOSE(CONTROL!$C$42, 1.0585, 1.0585)*CHOOSE(CONTROL!$C$42, 31, 31))/1000000</f>
        <v>19.688099999999999</v>
      </c>
      <c r="Z737" s="38"/>
      <c r="AA737" s="10"/>
      <c r="AB737" s="39"/>
      <c r="AC737" s="33">
        <f>(B737*194.205+C737*267.466+D737*133.845+E737*53.484+F737*40+G737*185+H737*0+I737*100+J737*300)/(194.205+267.466+133.845+53.484+0+40+185+100+300)</f>
        <v>23.264364261145996</v>
      </c>
      <c r="AD737" s="27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23.053564748201438</v>
      </c>
    </row>
    <row r="738" spans="1:30" ht="15.75" x14ac:dyDescent="0.25">
      <c r="A738" s="13">
        <v>63735</v>
      </c>
      <c r="B738" s="10">
        <f>CHOOSE(CONTROL!$C$42, 23.92, 23.92) * CHOOSE(CONTROL!$C$21, $C$9, 100%, $E$9)</f>
        <v>23.92</v>
      </c>
      <c r="C738" s="10">
        <f>CHOOSE(CONTROL!$C$42, 23.9279, 23.9279) * CHOOSE(CONTROL!$C$21, $C$9, 100%, $E$9)</f>
        <v>23.927900000000001</v>
      </c>
      <c r="D738" s="10">
        <f>CHOOSE(CONTROL!$C$42, 24.1031, 24.1031) * CHOOSE(CONTROL!$C$21, $C$9, 100%, $E$9)</f>
        <v>24.103100000000001</v>
      </c>
      <c r="E738" s="10">
        <f>CHOOSE(CONTROL!$C$42, 24.1343, 24.1343) * CHOOSE(CONTROL!$C$21, $C$9, 100%, $E$9)</f>
        <v>24.1343</v>
      </c>
      <c r="F738" s="10">
        <f>CHOOSE(CONTROL!$C$42, 23.8618, 23.8618)*CHOOSE(CONTROL!$C$21, $C$9, 100%, $E$9)</f>
        <v>23.861799999999999</v>
      </c>
      <c r="G738" s="10">
        <f>CHOOSE(CONTROL!$C$42, 23.8788, 23.8788)*CHOOSE(CONTROL!$C$21, $C$9, 100%, $E$9)</f>
        <v>23.878799999999998</v>
      </c>
      <c r="H738" s="10">
        <f>CHOOSE(CONTROL!$C$42, 24.1226, 24.1226) * CHOOSE(CONTROL!$C$21, $C$9, 100%, $E$9)</f>
        <v>24.122599999999998</v>
      </c>
      <c r="I738" s="10">
        <f>CHOOSE(CONTROL!$C$42, 23.8946, 23.8946)* CHOOSE(CONTROL!$C$21, $C$9, 100%, $E$9)</f>
        <v>23.894600000000001</v>
      </c>
      <c r="J738" s="10">
        <f>CHOOSE(CONTROL!$C$42, 23.8544, 23.8544)* CHOOSE(CONTROL!$C$21, $C$9, 100%, $E$9)</f>
        <v>23.854399999999998</v>
      </c>
      <c r="K738" s="10">
        <f>CHOOSE(CONTROL!$C$42, 23.3057, 23.3057) * CHOOSE(CONTROL!$C$21, $C$9, 100%, $E$9)</f>
        <v>23.305700000000002</v>
      </c>
      <c r="L738" s="10">
        <f>CHOOSE(CONTROL!$C$42, 24.7096, 24.7096) * CHOOSE(CONTROL!$C$21, $C$9, 100%, $E$9)</f>
        <v>24.709599999999998</v>
      </c>
      <c r="M738" s="10">
        <f>CHOOSE(CONTROL!$C$42, 23.5787, 23.5787) * CHOOSE(CONTROL!$C$21, $C$9, 100%, $E$9)</f>
        <v>23.578700000000001</v>
      </c>
      <c r="N738" s="10">
        <f>CHOOSE(CONTROL!$C$42, 23.5954, 23.5954) * CHOOSE(CONTROL!$C$21, $C$9, 100%, $E$9)</f>
        <v>23.595400000000001</v>
      </c>
      <c r="O738" s="10">
        <f>CHOOSE(CONTROL!$C$42, 23.8434, 23.8434) * CHOOSE(CONTROL!$C$21, $C$9, 100%, $E$9)</f>
        <v>23.843399999999999</v>
      </c>
      <c r="P738" s="10">
        <f>CHOOSE(CONTROL!$C$42, 23.6184, 23.6184) * CHOOSE(CONTROL!$C$21, $C$9, 100%, $E$9)</f>
        <v>23.618400000000001</v>
      </c>
      <c r="Q738" s="10">
        <f>CHOOSE(CONTROL!$C$42, 24.4387, 24.4387) * CHOOSE(CONTROL!$C$21, $C$9, 100%, $E$9)</f>
        <v>24.438700000000001</v>
      </c>
      <c r="R738" s="10">
        <f>CHOOSE(CONTROL!$C$42, 25.0868, 25.0868) * CHOOSE(CONTROL!$C$21, $C$9, 100%, $E$9)</f>
        <v>25.0868</v>
      </c>
      <c r="S738" s="10">
        <f>CHOOSE(CONTROL!$C$42, 23.1763, 23.1763) * CHOOSE(CONTROL!$C$21, $C$9, 100%, $E$9)</f>
        <v>23.176300000000001</v>
      </c>
      <c r="T7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38">
        <f>(1000*CHOOSE(CONTROL!$C$42, 695, 695)*CHOOSE(CONTROL!$C$42, 0.5599, 0.5599)*CHOOSE(CONTROL!$C$42, 30, 30))/1000000</f>
        <v>11.673914999999997</v>
      </c>
      <c r="V738" s="38">
        <f>(1000*CHOOSE(CONTROL!$C$42, 500, 500)*CHOOSE(CONTROL!$C$42, 0.275, 0.275)*CHOOSE(CONTROL!$C$42, 30, 30))/1000000</f>
        <v>4.125</v>
      </c>
      <c r="W738" s="38">
        <f>(1000*CHOOSE(CONTROL!$C$42, 0.1146, 0.1146)*CHOOSE(CONTROL!$C$42, 121.5, 121.5)*CHOOSE(CONTROL!$C$42, 30, 30))/1000000</f>
        <v>0.417717</v>
      </c>
      <c r="X738" s="38">
        <f>(30*0.1790888*245000/1000000)+(30*0.2374*100000/1000000)</f>
        <v>2.0285026799999999</v>
      </c>
      <c r="Y738" s="38">
        <f>(1000*600*CHOOSE(CONTROL!$C$42, 1.0585, 1.0585)*CHOOSE(CONTROL!$C$42, 30, 30))/1000000</f>
        <v>19.053000000000001</v>
      </c>
      <c r="Z738" s="38"/>
      <c r="AA738" s="10"/>
      <c r="AB738" s="39"/>
      <c r="AC738" s="33">
        <f>(B738*194.205+C738*267.466+D738*133.845+E738*53.484+F738*40+G738*185+H738*0+I738*100+J738*300)/(194.205+267.466+133.845+53.484+0+40+185+100+300)</f>
        <v>23.924640205729986</v>
      </c>
      <c r="AD738" s="27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23.705345323741007</v>
      </c>
    </row>
    <row r="739" spans="1:30" ht="15.75" x14ac:dyDescent="0.25">
      <c r="A739" s="13">
        <v>63766</v>
      </c>
      <c r="B739" s="10">
        <f>CHOOSE(CONTROL!$C$42, 23.4608, 23.4608) * CHOOSE(CONTROL!$C$21, $C$9, 100%, $E$9)</f>
        <v>23.460799999999999</v>
      </c>
      <c r="C739" s="10">
        <f>CHOOSE(CONTROL!$C$42, 23.4688, 23.4688) * CHOOSE(CONTROL!$C$21, $C$9, 100%, $E$9)</f>
        <v>23.468800000000002</v>
      </c>
      <c r="D739" s="10">
        <f>CHOOSE(CONTROL!$C$42, 23.6439, 23.6439) * CHOOSE(CONTROL!$C$21, $C$9, 100%, $E$9)</f>
        <v>23.643899999999999</v>
      </c>
      <c r="E739" s="10">
        <f>CHOOSE(CONTROL!$C$42, 23.6751, 23.6751) * CHOOSE(CONTROL!$C$21, $C$9, 100%, $E$9)</f>
        <v>23.6751</v>
      </c>
      <c r="F739" s="10">
        <f>CHOOSE(CONTROL!$C$42, 23.403, 23.403)*CHOOSE(CONTROL!$C$21, $C$9, 100%, $E$9)</f>
        <v>23.402999999999999</v>
      </c>
      <c r="G739" s="10">
        <f>CHOOSE(CONTROL!$C$42, 23.42, 23.42)*CHOOSE(CONTROL!$C$21, $C$9, 100%, $E$9)</f>
        <v>23.42</v>
      </c>
      <c r="H739" s="10">
        <f>CHOOSE(CONTROL!$C$42, 23.6635, 23.6635) * CHOOSE(CONTROL!$C$21, $C$9, 100%, $E$9)</f>
        <v>23.663499999999999</v>
      </c>
      <c r="I739" s="10">
        <f>CHOOSE(CONTROL!$C$42, 23.4354, 23.4354)* CHOOSE(CONTROL!$C$21, $C$9, 100%, $E$9)</f>
        <v>23.435400000000001</v>
      </c>
      <c r="J739" s="10">
        <f>CHOOSE(CONTROL!$C$42, 23.3956, 23.3956)* CHOOSE(CONTROL!$C$21, $C$9, 100%, $E$9)</f>
        <v>23.395600000000002</v>
      </c>
      <c r="K739" s="10">
        <f>CHOOSE(CONTROL!$C$42, 22.8616, 22.8616) * CHOOSE(CONTROL!$C$21, $C$9, 100%, $E$9)</f>
        <v>22.861599999999999</v>
      </c>
      <c r="L739" s="10">
        <f>CHOOSE(CONTROL!$C$42, 24.2505, 24.2505) * CHOOSE(CONTROL!$C$21, $C$9, 100%, $E$9)</f>
        <v>24.250499999999999</v>
      </c>
      <c r="M739" s="10">
        <f>CHOOSE(CONTROL!$C$42, 23.1258, 23.1258) * CHOOSE(CONTROL!$C$21, $C$9, 100%, $E$9)</f>
        <v>23.125800000000002</v>
      </c>
      <c r="N739" s="10">
        <f>CHOOSE(CONTROL!$C$42, 23.1426, 23.1426) * CHOOSE(CONTROL!$C$21, $C$9, 100%, $E$9)</f>
        <v>23.142600000000002</v>
      </c>
      <c r="O739" s="10">
        <f>CHOOSE(CONTROL!$C$42, 23.3902, 23.3902) * CHOOSE(CONTROL!$C$21, $C$9, 100%, $E$9)</f>
        <v>23.3902</v>
      </c>
      <c r="P739" s="10">
        <f>CHOOSE(CONTROL!$C$42, 23.1651, 23.1651) * CHOOSE(CONTROL!$C$21, $C$9, 100%, $E$9)</f>
        <v>23.165099999999999</v>
      </c>
      <c r="Q739" s="10">
        <f>CHOOSE(CONTROL!$C$42, 23.9855, 23.9855) * CHOOSE(CONTROL!$C$21, $C$9, 100%, $E$9)</f>
        <v>23.985499999999998</v>
      </c>
      <c r="R739" s="10">
        <f>CHOOSE(CONTROL!$C$42, 24.6324, 24.6324) * CHOOSE(CONTROL!$C$21, $C$9, 100%, $E$9)</f>
        <v>24.632400000000001</v>
      </c>
      <c r="S739" s="10">
        <f>CHOOSE(CONTROL!$C$42, 22.7317, 22.7317) * CHOOSE(CONTROL!$C$21, $C$9, 100%, $E$9)</f>
        <v>22.7317</v>
      </c>
      <c r="T7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38">
        <f>(1000*CHOOSE(CONTROL!$C$42, 695, 695)*CHOOSE(CONTROL!$C$42, 0.5599, 0.5599)*CHOOSE(CONTROL!$C$42, 31, 31))/1000000</f>
        <v>12.063045499999998</v>
      </c>
      <c r="V739" s="38">
        <f>(1000*CHOOSE(CONTROL!$C$42, 500, 500)*CHOOSE(CONTROL!$C$42, 0.275, 0.275)*CHOOSE(CONTROL!$C$42, 31, 31))/1000000</f>
        <v>4.2625000000000002</v>
      </c>
      <c r="W739" s="38">
        <f>(1000*CHOOSE(CONTROL!$C$42, 0.1146, 0.1146)*CHOOSE(CONTROL!$C$42, 121.5, 121.5)*CHOOSE(CONTROL!$C$42, 31, 31))/1000000</f>
        <v>0.43164089999999994</v>
      </c>
      <c r="X739" s="38">
        <f>(31*0.1790888*245000/1000000)+(31*0.2374*100000/1000000)</f>
        <v>2.0961194359999999</v>
      </c>
      <c r="Y739" s="38">
        <f>(1000*600*CHOOSE(CONTROL!$C$42, 1.0585, 1.0585)*CHOOSE(CONTROL!$C$42, 31, 31))/1000000</f>
        <v>19.688099999999999</v>
      </c>
      <c r="Z739" s="38"/>
      <c r="AA739" s="10"/>
      <c r="AB739" s="39"/>
      <c r="AC739" s="33">
        <f>(B739*194.205+C739*267.466+D739*133.845+E739*53.484+F739*40+G739*185+H739*0+I739*100+J739*300)/(194.205+267.466+133.845+53.484+0+40+185+100+300)</f>
        <v>23.465626035086345</v>
      </c>
      <c r="AD739" s="27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23.252257553956838</v>
      </c>
    </row>
    <row r="740" spans="1:30" ht="15.75" x14ac:dyDescent="0.25">
      <c r="A740" s="13">
        <v>63797</v>
      </c>
      <c r="B740" s="10">
        <f>CHOOSE(CONTROL!$C$42, 22.3012, 22.3012) * CHOOSE(CONTROL!$C$21, $C$9, 100%, $E$9)</f>
        <v>22.301200000000001</v>
      </c>
      <c r="C740" s="10">
        <f>CHOOSE(CONTROL!$C$42, 22.3092, 22.3092) * CHOOSE(CONTROL!$C$21, $C$9, 100%, $E$9)</f>
        <v>22.309200000000001</v>
      </c>
      <c r="D740" s="10">
        <f>CHOOSE(CONTROL!$C$42, 22.4844, 22.4844) * CHOOSE(CONTROL!$C$21, $C$9, 100%, $E$9)</f>
        <v>22.484400000000001</v>
      </c>
      <c r="E740" s="10">
        <f>CHOOSE(CONTROL!$C$42, 22.5156, 22.5156) * CHOOSE(CONTROL!$C$21, $C$9, 100%, $E$9)</f>
        <v>22.515599999999999</v>
      </c>
      <c r="F740" s="10">
        <f>CHOOSE(CONTROL!$C$42, 22.2434, 22.2434)*CHOOSE(CONTROL!$C$21, $C$9, 100%, $E$9)</f>
        <v>22.243400000000001</v>
      </c>
      <c r="G740" s="10">
        <f>CHOOSE(CONTROL!$C$42, 22.2604, 22.2604)*CHOOSE(CONTROL!$C$21, $C$9, 100%, $E$9)</f>
        <v>22.260400000000001</v>
      </c>
      <c r="H740" s="10">
        <f>CHOOSE(CONTROL!$C$42, 22.5039, 22.5039) * CHOOSE(CONTROL!$C$21, $C$9, 100%, $E$9)</f>
        <v>22.503900000000002</v>
      </c>
      <c r="I740" s="10">
        <f>CHOOSE(CONTROL!$C$42, 22.2759, 22.2759)* CHOOSE(CONTROL!$C$21, $C$9, 100%, $E$9)</f>
        <v>22.2759</v>
      </c>
      <c r="J740" s="10">
        <f>CHOOSE(CONTROL!$C$42, 22.236, 22.236)* CHOOSE(CONTROL!$C$21, $C$9, 100%, $E$9)</f>
        <v>22.236000000000001</v>
      </c>
      <c r="K740" s="10">
        <f>CHOOSE(CONTROL!$C$42, 21.7381, 21.7381) * CHOOSE(CONTROL!$C$21, $C$9, 100%, $E$9)</f>
        <v>21.738099999999999</v>
      </c>
      <c r="L740" s="10">
        <f>CHOOSE(CONTROL!$C$42, 23.0909, 23.0909) * CHOOSE(CONTROL!$C$21, $C$9, 100%, $E$9)</f>
        <v>23.090900000000001</v>
      </c>
      <c r="M740" s="10">
        <f>CHOOSE(CONTROL!$C$42, 21.9811, 21.9811) * CHOOSE(CONTROL!$C$21, $C$9, 100%, $E$9)</f>
        <v>21.981100000000001</v>
      </c>
      <c r="N740" s="10">
        <f>CHOOSE(CONTROL!$C$42, 21.9979, 21.9979) * CHOOSE(CONTROL!$C$21, $C$9, 100%, $E$9)</f>
        <v>21.997900000000001</v>
      </c>
      <c r="O740" s="10">
        <f>CHOOSE(CONTROL!$C$42, 22.2456, 22.2456) * CHOOSE(CONTROL!$C$21, $C$9, 100%, $E$9)</f>
        <v>22.2456</v>
      </c>
      <c r="P740" s="10">
        <f>CHOOSE(CONTROL!$C$42, 22.0206, 22.0206) * CHOOSE(CONTROL!$C$21, $C$9, 100%, $E$9)</f>
        <v>22.020600000000002</v>
      </c>
      <c r="Q740" s="10">
        <f>CHOOSE(CONTROL!$C$42, 22.8409, 22.8409) * CHOOSE(CONTROL!$C$21, $C$9, 100%, $E$9)</f>
        <v>22.840900000000001</v>
      </c>
      <c r="R740" s="10">
        <f>CHOOSE(CONTROL!$C$42, 23.485, 23.485) * CHOOSE(CONTROL!$C$21, $C$9, 100%, $E$9)</f>
        <v>23.484999999999999</v>
      </c>
      <c r="S740" s="10">
        <f>CHOOSE(CONTROL!$C$42, 21.6089, 21.6089) * CHOOSE(CONTROL!$C$21, $C$9, 100%, $E$9)</f>
        <v>21.608899999999998</v>
      </c>
      <c r="T7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38">
        <f>(1000*CHOOSE(CONTROL!$C$42, 695, 695)*CHOOSE(CONTROL!$C$42, 0.5599, 0.5599)*CHOOSE(CONTROL!$C$42, 31, 31))/1000000</f>
        <v>12.063045499999998</v>
      </c>
      <c r="V740" s="38">
        <f>(1000*CHOOSE(CONTROL!$C$42, 500, 500)*CHOOSE(CONTROL!$C$42, 0.275, 0.275)*CHOOSE(CONTROL!$C$42, 31, 31))/1000000</f>
        <v>4.2625000000000002</v>
      </c>
      <c r="W740" s="38">
        <f>(1000*CHOOSE(CONTROL!$C$42, 0.1146, 0.1146)*CHOOSE(CONTROL!$C$42, 121.5, 121.5)*CHOOSE(CONTROL!$C$42, 31, 31))/1000000</f>
        <v>0.43164089999999994</v>
      </c>
      <c r="X740" s="38">
        <f>(31*0.1790888*245000/1000000)+(31*0.2374*100000/1000000)</f>
        <v>2.0961194359999999</v>
      </c>
      <c r="Y740" s="38">
        <f>(1000*600*CHOOSE(CONTROL!$C$42, 1.0585, 1.0585)*CHOOSE(CONTROL!$C$42, 31, 31))/1000000</f>
        <v>19.688099999999999</v>
      </c>
      <c r="Z740" s="38"/>
      <c r="AA740" s="10"/>
      <c r="AB740" s="39"/>
      <c r="AC740" s="33">
        <f>(B740*194.205+C740*267.466+D740*133.845+E740*53.484+F740*40+G740*185+H740*0+I740*100+J740*300)/(194.205+267.466+133.845+53.484+0+40+185+100+300)</f>
        <v>22.306048588383046</v>
      </c>
      <c r="AD740" s="27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22.107631654676258</v>
      </c>
    </row>
    <row r="741" spans="1:30" ht="15.75" x14ac:dyDescent="0.25">
      <c r="A741" s="13">
        <v>63827</v>
      </c>
      <c r="B741" s="10">
        <f>CHOOSE(CONTROL!$C$42, 20.8845, 20.8845) * CHOOSE(CONTROL!$C$21, $C$9, 100%, $E$9)</f>
        <v>20.884499999999999</v>
      </c>
      <c r="C741" s="10">
        <f>CHOOSE(CONTROL!$C$42, 20.8925, 20.8925) * CHOOSE(CONTROL!$C$21, $C$9, 100%, $E$9)</f>
        <v>20.892499999999998</v>
      </c>
      <c r="D741" s="10">
        <f>CHOOSE(CONTROL!$C$42, 21.0676, 21.0676) * CHOOSE(CONTROL!$C$21, $C$9, 100%, $E$9)</f>
        <v>21.067599999999999</v>
      </c>
      <c r="E741" s="10">
        <f>CHOOSE(CONTROL!$C$42, 21.0988, 21.0988) * CHOOSE(CONTROL!$C$21, $C$9, 100%, $E$9)</f>
        <v>21.098800000000001</v>
      </c>
      <c r="F741" s="10">
        <f>CHOOSE(CONTROL!$C$42, 20.8263, 20.8263)*CHOOSE(CONTROL!$C$21, $C$9, 100%, $E$9)</f>
        <v>20.8263</v>
      </c>
      <c r="G741" s="10">
        <f>CHOOSE(CONTROL!$C$42, 20.8432, 20.8432)*CHOOSE(CONTROL!$C$21, $C$9, 100%, $E$9)</f>
        <v>20.8432</v>
      </c>
      <c r="H741" s="10">
        <f>CHOOSE(CONTROL!$C$42, 21.0872, 21.0872) * CHOOSE(CONTROL!$C$21, $C$9, 100%, $E$9)</f>
        <v>21.087199999999999</v>
      </c>
      <c r="I741" s="10">
        <f>CHOOSE(CONTROL!$C$42, 20.8592, 20.8592)* CHOOSE(CONTROL!$C$21, $C$9, 100%, $E$9)</f>
        <v>20.859200000000001</v>
      </c>
      <c r="J741" s="10">
        <f>CHOOSE(CONTROL!$C$42, 20.8189, 20.8189)* CHOOSE(CONTROL!$C$21, $C$9, 100%, $E$9)</f>
        <v>20.818899999999999</v>
      </c>
      <c r="K741" s="10">
        <f>CHOOSE(CONTROL!$C$42, 20.3649, 20.3649) * CHOOSE(CONTROL!$C$21, $C$9, 100%, $E$9)</f>
        <v>20.364899999999999</v>
      </c>
      <c r="L741" s="10">
        <f>CHOOSE(CONTROL!$C$42, 21.6742, 21.6742) * CHOOSE(CONTROL!$C$21, $C$9, 100%, $E$9)</f>
        <v>21.674199999999999</v>
      </c>
      <c r="M741" s="10">
        <f>CHOOSE(CONTROL!$C$42, 20.5824, 20.5824) * CHOOSE(CONTROL!$C$21, $C$9, 100%, $E$9)</f>
        <v>20.5824</v>
      </c>
      <c r="N741" s="10">
        <f>CHOOSE(CONTROL!$C$42, 20.5991, 20.5991) * CHOOSE(CONTROL!$C$21, $C$9, 100%, $E$9)</f>
        <v>20.5991</v>
      </c>
      <c r="O741" s="10">
        <f>CHOOSE(CONTROL!$C$42, 20.8472, 20.8472) * CHOOSE(CONTROL!$C$21, $C$9, 100%, $E$9)</f>
        <v>20.847200000000001</v>
      </c>
      <c r="P741" s="10">
        <f>CHOOSE(CONTROL!$C$42, 20.6222, 20.6222) * CHOOSE(CONTROL!$C$21, $C$9, 100%, $E$9)</f>
        <v>20.622199999999999</v>
      </c>
      <c r="Q741" s="10">
        <f>CHOOSE(CONTROL!$C$42, 21.4425, 21.4425) * CHOOSE(CONTROL!$C$21, $C$9, 100%, $E$9)</f>
        <v>21.442499999999999</v>
      </c>
      <c r="R741" s="10">
        <f>CHOOSE(CONTROL!$C$42, 22.0831, 22.0831) * CHOOSE(CONTROL!$C$21, $C$9, 100%, $E$9)</f>
        <v>22.083100000000002</v>
      </c>
      <c r="S741" s="10">
        <f>CHOOSE(CONTROL!$C$42, 20.2371, 20.2371) * CHOOSE(CONTROL!$C$21, $C$9, 100%, $E$9)</f>
        <v>20.237100000000002</v>
      </c>
      <c r="T7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38">
        <f>(1000*CHOOSE(CONTROL!$C$42, 695, 695)*CHOOSE(CONTROL!$C$42, 0.5599, 0.5599)*CHOOSE(CONTROL!$C$42, 30, 30))/1000000</f>
        <v>11.673914999999997</v>
      </c>
      <c r="V741" s="38">
        <f>(1000*CHOOSE(CONTROL!$C$42, 500, 500)*CHOOSE(CONTROL!$C$42, 0.275, 0.275)*CHOOSE(CONTROL!$C$42, 30, 30))/1000000</f>
        <v>4.125</v>
      </c>
      <c r="W741" s="38">
        <f>(1000*CHOOSE(CONTROL!$C$42, 0.1146, 0.1146)*CHOOSE(CONTROL!$C$42, 121.5, 121.5)*CHOOSE(CONTROL!$C$42, 30, 30))/1000000</f>
        <v>0.417717</v>
      </c>
      <c r="X741" s="38">
        <f>(30*0.1790888*245000/1000000)+(30*0.2374*100000/1000000)</f>
        <v>2.0285026799999999</v>
      </c>
      <c r="Y741" s="38">
        <f>(1000*600*CHOOSE(CONTROL!$C$42, 1.0585, 1.0585)*CHOOSE(CONTROL!$C$42, 30, 30))/1000000</f>
        <v>19.053000000000001</v>
      </c>
      <c r="Z741" s="38"/>
      <c r="AA741" s="10"/>
      <c r="AB741" s="39"/>
      <c r="AC741" s="33">
        <f>(B741*194.205+C741*267.466+D741*133.845+E741*53.484+F741*40+G741*185+H741*0+I741*100+J741*300)/(194.205+267.466+133.845+53.484+0+40+185+100+300)</f>
        <v>20.889154528021972</v>
      </c>
      <c r="AD741" s="27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20.709105035971223</v>
      </c>
    </row>
    <row r="742" spans="1:30" ht="15.75" x14ac:dyDescent="0.25">
      <c r="A742" s="13">
        <v>63858</v>
      </c>
      <c r="B742" s="10">
        <f>CHOOSE(CONTROL!$C$42, 20.4581, 20.4581) * CHOOSE(CONTROL!$C$21, $C$9, 100%, $E$9)</f>
        <v>20.458100000000002</v>
      </c>
      <c r="C742" s="10">
        <f>CHOOSE(CONTROL!$C$42, 20.4634, 20.4634) * CHOOSE(CONTROL!$C$21, $C$9, 100%, $E$9)</f>
        <v>20.4634</v>
      </c>
      <c r="D742" s="10">
        <f>CHOOSE(CONTROL!$C$42, 20.6434, 20.6434) * CHOOSE(CONTROL!$C$21, $C$9, 100%, $E$9)</f>
        <v>20.6434</v>
      </c>
      <c r="E742" s="10">
        <f>CHOOSE(CONTROL!$C$42, 20.6723, 20.6723) * CHOOSE(CONTROL!$C$21, $C$9, 100%, $E$9)</f>
        <v>20.6723</v>
      </c>
      <c r="F742" s="10">
        <f>CHOOSE(CONTROL!$C$42, 20.4018, 20.4018)*CHOOSE(CONTROL!$C$21, $C$9, 100%, $E$9)</f>
        <v>20.401800000000001</v>
      </c>
      <c r="G742" s="10">
        <f>CHOOSE(CONTROL!$C$42, 20.4184, 20.4184)*CHOOSE(CONTROL!$C$21, $C$9, 100%, $E$9)</f>
        <v>20.418399999999998</v>
      </c>
      <c r="H742" s="10">
        <f>CHOOSE(CONTROL!$C$42, 20.6625, 20.6625) * CHOOSE(CONTROL!$C$21, $C$9, 100%, $E$9)</f>
        <v>20.662500000000001</v>
      </c>
      <c r="I742" s="10">
        <f>CHOOSE(CONTROL!$C$42, 20.4344, 20.4344)* CHOOSE(CONTROL!$C$21, $C$9, 100%, $E$9)</f>
        <v>20.4344</v>
      </c>
      <c r="J742" s="10">
        <f>CHOOSE(CONTROL!$C$42, 20.3944, 20.3944)* CHOOSE(CONTROL!$C$21, $C$9, 100%, $E$9)</f>
        <v>20.394400000000001</v>
      </c>
      <c r="K742" s="10">
        <f>CHOOSE(CONTROL!$C$42, 19.954, 19.954) * CHOOSE(CONTROL!$C$21, $C$9, 100%, $E$9)</f>
        <v>19.954000000000001</v>
      </c>
      <c r="L742" s="10">
        <f>CHOOSE(CONTROL!$C$42, 21.2495, 21.2495) * CHOOSE(CONTROL!$C$21, $C$9, 100%, $E$9)</f>
        <v>21.249500000000001</v>
      </c>
      <c r="M742" s="10">
        <f>CHOOSE(CONTROL!$C$42, 20.1635, 20.1635) * CHOOSE(CONTROL!$C$21, $C$9, 100%, $E$9)</f>
        <v>20.163499999999999</v>
      </c>
      <c r="N742" s="10">
        <f>CHOOSE(CONTROL!$C$42, 20.1799, 20.1799) * CHOOSE(CONTROL!$C$21, $C$9, 100%, $E$9)</f>
        <v>20.1799</v>
      </c>
      <c r="O742" s="10">
        <f>CHOOSE(CONTROL!$C$42, 20.428, 20.428) * CHOOSE(CONTROL!$C$21, $C$9, 100%, $E$9)</f>
        <v>20.428000000000001</v>
      </c>
      <c r="P742" s="10">
        <f>CHOOSE(CONTROL!$C$42, 20.203, 20.203) * CHOOSE(CONTROL!$C$21, $C$9, 100%, $E$9)</f>
        <v>20.202999999999999</v>
      </c>
      <c r="Q742" s="10">
        <f>CHOOSE(CONTROL!$C$42, 21.0233, 21.0233) * CHOOSE(CONTROL!$C$21, $C$9, 100%, $E$9)</f>
        <v>21.023299999999999</v>
      </c>
      <c r="R742" s="10">
        <f>CHOOSE(CONTROL!$C$42, 21.6629, 21.6629) * CHOOSE(CONTROL!$C$21, $C$9, 100%, $E$9)</f>
        <v>21.6629</v>
      </c>
      <c r="S742" s="10">
        <f>CHOOSE(CONTROL!$C$42, 19.8258, 19.8258) * CHOOSE(CONTROL!$C$21, $C$9, 100%, $E$9)</f>
        <v>19.825800000000001</v>
      </c>
      <c r="T7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38">
        <f>(1000*CHOOSE(CONTROL!$C$42, 695, 695)*CHOOSE(CONTROL!$C$42, 0.5599, 0.5599)*CHOOSE(CONTROL!$C$42, 31, 31))/1000000</f>
        <v>12.063045499999998</v>
      </c>
      <c r="V742" s="38">
        <f>(1000*CHOOSE(CONTROL!$C$42, 500, 500)*CHOOSE(CONTROL!$C$42, 0.275, 0.275)*CHOOSE(CONTROL!$C$42, 31, 31))/1000000</f>
        <v>4.2625000000000002</v>
      </c>
      <c r="W742" s="38">
        <f>(1000*CHOOSE(CONTROL!$C$42, 0.1146, 0.1146)*CHOOSE(CONTROL!$C$42, 121.5, 121.5)*CHOOSE(CONTROL!$C$42, 31, 31))/1000000</f>
        <v>0.43164089999999994</v>
      </c>
      <c r="X742" s="38">
        <f>(31*0.1790888*245000/1000000)+(31*0.2374*100000/1000000)</f>
        <v>2.0961194359999999</v>
      </c>
      <c r="Y742" s="38">
        <f>(1000*600*CHOOSE(CONTROL!$C$42, 1.0585, 1.0585)*CHOOSE(CONTROL!$C$42, 31, 31))/1000000</f>
        <v>19.688099999999999</v>
      </c>
      <c r="Z742" s="38"/>
      <c r="AA742" s="10"/>
      <c r="AB742" s="39"/>
      <c r="AC742" s="33">
        <f>(B742*131.881+C742*277.167+D742*79.08+E742*125.872+F742*40+G742*185+H742*0+I742*100+J742*300)/(131.881+277.167+79.08+125.872+0+40+185+100+300)</f>
        <v>20.467791518563356</v>
      </c>
      <c r="AD742" s="27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20.290008633093525</v>
      </c>
    </row>
    <row r="743" spans="1:30" ht="15.75" x14ac:dyDescent="0.25">
      <c r="A743" s="13">
        <v>63888</v>
      </c>
      <c r="B743" s="10">
        <f>CHOOSE(CONTROL!$C$42, 20.997, 20.997) * CHOOSE(CONTROL!$C$21, $C$9, 100%, $E$9)</f>
        <v>20.997</v>
      </c>
      <c r="C743" s="10">
        <f>CHOOSE(CONTROL!$C$42, 21.0021, 21.0021) * CHOOSE(CONTROL!$C$21, $C$9, 100%, $E$9)</f>
        <v>21.002099999999999</v>
      </c>
      <c r="D743" s="10">
        <f>CHOOSE(CONTROL!$C$42, 21.0268, 21.0268) * CHOOSE(CONTROL!$C$21, $C$9, 100%, $E$9)</f>
        <v>21.026800000000001</v>
      </c>
      <c r="E743" s="10">
        <f>CHOOSE(CONTROL!$C$42, 21.0606, 21.0606) * CHOOSE(CONTROL!$C$21, $C$9, 100%, $E$9)</f>
        <v>21.060600000000001</v>
      </c>
      <c r="F743" s="10">
        <f>CHOOSE(CONTROL!$C$42, 20.9627, 20.9627)*CHOOSE(CONTROL!$C$21, $C$9, 100%, $E$9)</f>
        <v>20.962700000000002</v>
      </c>
      <c r="G743" s="10">
        <f>CHOOSE(CONTROL!$C$42, 20.9795, 20.9795)*CHOOSE(CONTROL!$C$21, $C$9, 100%, $E$9)</f>
        <v>20.979500000000002</v>
      </c>
      <c r="H743" s="10">
        <f>CHOOSE(CONTROL!$C$42, 21.0495, 21.0495) * CHOOSE(CONTROL!$C$21, $C$9, 100%, $E$9)</f>
        <v>21.049499999999998</v>
      </c>
      <c r="I743" s="10">
        <f>CHOOSE(CONTROL!$C$42, 20.9965, 20.9965)* CHOOSE(CONTROL!$C$21, $C$9, 100%, $E$9)</f>
        <v>20.996500000000001</v>
      </c>
      <c r="J743" s="10">
        <f>CHOOSE(CONTROL!$C$42, 20.9553, 20.9553)* CHOOSE(CONTROL!$C$21, $C$9, 100%, $E$9)</f>
        <v>20.955300000000001</v>
      </c>
      <c r="K743" s="10">
        <f>CHOOSE(CONTROL!$C$42, 20.5003, 20.5003) * CHOOSE(CONTROL!$C$21, $C$9, 100%, $E$9)</f>
        <v>20.500299999999999</v>
      </c>
      <c r="L743" s="10">
        <f>CHOOSE(CONTROL!$C$42, 21.6365, 21.6365) * CHOOSE(CONTROL!$C$21, $C$9, 100%, $E$9)</f>
        <v>21.636500000000002</v>
      </c>
      <c r="M743" s="10">
        <f>CHOOSE(CONTROL!$C$42, 20.7171, 20.7171) * CHOOSE(CONTROL!$C$21, $C$9, 100%, $E$9)</f>
        <v>20.717099999999999</v>
      </c>
      <c r="N743" s="10">
        <f>CHOOSE(CONTROL!$C$42, 20.7336, 20.7336) * CHOOSE(CONTROL!$C$21, $C$9, 100%, $E$9)</f>
        <v>20.733599999999999</v>
      </c>
      <c r="O743" s="10">
        <f>CHOOSE(CONTROL!$C$42, 20.8101, 20.8101) * CHOOSE(CONTROL!$C$21, $C$9, 100%, $E$9)</f>
        <v>20.810099999999998</v>
      </c>
      <c r="P743" s="10">
        <f>CHOOSE(CONTROL!$C$42, 20.7578, 20.7578) * CHOOSE(CONTROL!$C$21, $C$9, 100%, $E$9)</f>
        <v>20.7578</v>
      </c>
      <c r="Q743" s="10">
        <f>CHOOSE(CONTROL!$C$42, 21.4054, 21.4054) * CHOOSE(CONTROL!$C$21, $C$9, 100%, $E$9)</f>
        <v>21.4054</v>
      </c>
      <c r="R743" s="10">
        <f>CHOOSE(CONTROL!$C$42, 22.0459, 22.0459) * CHOOSE(CONTROL!$C$21, $C$9, 100%, $E$9)</f>
        <v>22.0459</v>
      </c>
      <c r="S743" s="10">
        <f>CHOOSE(CONTROL!$C$42, 20.3481, 20.3481) * CHOOSE(CONTROL!$C$21, $C$9, 100%, $E$9)</f>
        <v>20.348099999999999</v>
      </c>
      <c r="T7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38">
        <f>(1000*CHOOSE(CONTROL!$C$42, 695, 695)*CHOOSE(CONTROL!$C$42, 0.5599, 0.5599)*CHOOSE(CONTROL!$C$42, 30, 30))/1000000</f>
        <v>11.673914999999997</v>
      </c>
      <c r="V743" s="38">
        <f>(1000*CHOOSE(CONTROL!$C$42, 500, 500)*CHOOSE(CONTROL!$C$42, 0.275, 0.275)*CHOOSE(CONTROL!$C$42, 30, 30))/1000000</f>
        <v>4.125</v>
      </c>
      <c r="W743" s="38">
        <f>(1000*CHOOSE(CONTROL!$C$42, 0.1146, 0.1146)*CHOOSE(CONTROL!$C$42, 121.5, 121.5)*CHOOSE(CONTROL!$C$42, 30, 30))/1000000</f>
        <v>0.417717</v>
      </c>
      <c r="X743" s="38">
        <f>(30*0.1790888*100000/1000000)+(30*0.2374*100000/1000000)</f>
        <v>1.2494664</v>
      </c>
      <c r="Y743" s="38">
        <f>(1000*600*CHOOSE(CONTROL!$C$42, 1.0585, 1.0585)*CHOOSE(CONTROL!$C$42, 30, 30))/1000000</f>
        <v>19.053000000000001</v>
      </c>
      <c r="Z743" s="38"/>
      <c r="AA743" s="10"/>
      <c r="AB743" s="39"/>
      <c r="AC743" s="33">
        <f>(B743*122.58+C743*297.941+D743*89.177+E743*40.302+F743*40+G743*160+H743*0+I743*100+J743*300)/(122.58+297.941+89.177+40.302+0+40+160+100+300)</f>
        <v>20.988311461652174</v>
      </c>
      <c r="AD743" s="27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20.766056834532371</v>
      </c>
    </row>
    <row r="744" spans="1:30" ht="15.75" x14ac:dyDescent="0.25">
      <c r="A744" s="13">
        <v>63919</v>
      </c>
      <c r="B744" s="10">
        <f>CHOOSE(CONTROL!$C$42, 22.4297, 22.4297) * CHOOSE(CONTROL!$C$21, $C$9, 100%, $E$9)</f>
        <v>22.4297</v>
      </c>
      <c r="C744" s="10">
        <f>CHOOSE(CONTROL!$C$42, 22.4348, 22.4348) * CHOOSE(CONTROL!$C$21, $C$9, 100%, $E$9)</f>
        <v>22.434799999999999</v>
      </c>
      <c r="D744" s="10">
        <f>CHOOSE(CONTROL!$C$42, 22.4595, 22.4595) * CHOOSE(CONTROL!$C$21, $C$9, 100%, $E$9)</f>
        <v>22.459499999999998</v>
      </c>
      <c r="E744" s="10">
        <f>CHOOSE(CONTROL!$C$42, 22.4933, 22.4933) * CHOOSE(CONTROL!$C$21, $C$9, 100%, $E$9)</f>
        <v>22.493300000000001</v>
      </c>
      <c r="F744" s="10">
        <f>CHOOSE(CONTROL!$C$42, 22.3972, 22.3972)*CHOOSE(CONTROL!$C$21, $C$9, 100%, $E$9)</f>
        <v>22.397200000000002</v>
      </c>
      <c r="G744" s="10">
        <f>CHOOSE(CONTROL!$C$42, 22.4144, 22.4144)*CHOOSE(CONTROL!$C$21, $C$9, 100%, $E$9)</f>
        <v>22.414400000000001</v>
      </c>
      <c r="H744" s="10">
        <f>CHOOSE(CONTROL!$C$42, 22.4822, 22.4822) * CHOOSE(CONTROL!$C$21, $C$9, 100%, $E$9)</f>
        <v>22.482199999999999</v>
      </c>
      <c r="I744" s="10">
        <f>CHOOSE(CONTROL!$C$42, 22.4292, 22.4292)* CHOOSE(CONTROL!$C$21, $C$9, 100%, $E$9)</f>
        <v>22.429200000000002</v>
      </c>
      <c r="J744" s="10">
        <f>CHOOSE(CONTROL!$C$42, 22.3898, 22.3898)* CHOOSE(CONTROL!$C$21, $C$9, 100%, $E$9)</f>
        <v>22.389800000000001</v>
      </c>
      <c r="K744" s="10">
        <f>CHOOSE(CONTROL!$C$42, 21.8922, 21.8922) * CHOOSE(CONTROL!$C$21, $C$9, 100%, $E$9)</f>
        <v>21.892199999999999</v>
      </c>
      <c r="L744" s="10">
        <f>CHOOSE(CONTROL!$C$42, 23.0692, 23.0692) * CHOOSE(CONTROL!$C$21, $C$9, 100%, $E$9)</f>
        <v>23.069199999999999</v>
      </c>
      <c r="M744" s="10">
        <f>CHOOSE(CONTROL!$C$42, 22.133, 22.133) * CHOOSE(CONTROL!$C$21, $C$9, 100%, $E$9)</f>
        <v>22.132999999999999</v>
      </c>
      <c r="N744" s="10">
        <f>CHOOSE(CONTROL!$C$42, 22.15, 22.15) * CHOOSE(CONTROL!$C$21, $C$9, 100%, $E$9)</f>
        <v>22.15</v>
      </c>
      <c r="O744" s="10">
        <f>CHOOSE(CONTROL!$C$42, 22.2242, 22.2242) * CHOOSE(CONTROL!$C$21, $C$9, 100%, $E$9)</f>
        <v>22.2242</v>
      </c>
      <c r="P744" s="10">
        <f>CHOOSE(CONTROL!$C$42, 22.172, 22.172) * CHOOSE(CONTROL!$C$21, $C$9, 100%, $E$9)</f>
        <v>22.172000000000001</v>
      </c>
      <c r="Q744" s="10">
        <f>CHOOSE(CONTROL!$C$42, 22.8195, 22.8195) * CHOOSE(CONTROL!$C$21, $C$9, 100%, $E$9)</f>
        <v>22.819500000000001</v>
      </c>
      <c r="R744" s="10">
        <f>CHOOSE(CONTROL!$C$42, 23.4635, 23.4635) * CHOOSE(CONTROL!$C$21, $C$9, 100%, $E$9)</f>
        <v>23.4635</v>
      </c>
      <c r="S744" s="10">
        <f>CHOOSE(CONTROL!$C$42, 21.7354, 21.7354) * CHOOSE(CONTROL!$C$21, $C$9, 100%, $E$9)</f>
        <v>21.735399999999998</v>
      </c>
      <c r="T7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38">
        <f>(1000*CHOOSE(CONTROL!$C$42, 695, 695)*CHOOSE(CONTROL!$C$42, 0.5599, 0.5599)*CHOOSE(CONTROL!$C$42, 31, 31))/1000000</f>
        <v>12.063045499999998</v>
      </c>
      <c r="V744" s="38">
        <f>(1000*CHOOSE(CONTROL!$C$42, 500, 500)*CHOOSE(CONTROL!$C$42, 0.275, 0.275)*CHOOSE(CONTROL!$C$42, 31, 31))/1000000</f>
        <v>4.2625000000000002</v>
      </c>
      <c r="W744" s="38">
        <f>(1000*CHOOSE(CONTROL!$C$42, 0.1146, 0.1146)*CHOOSE(CONTROL!$C$42, 121.5, 121.5)*CHOOSE(CONTROL!$C$42, 31, 31))/1000000</f>
        <v>0.43164089999999994</v>
      </c>
      <c r="X744" s="38">
        <f>(31*0.1790888*100000/1000000)+(31*0.2374*100000/1000000)</f>
        <v>1.2911152800000001</v>
      </c>
      <c r="Y744" s="38">
        <f>(1000*600*CHOOSE(CONTROL!$C$42, 1.0585, 1.0585)*CHOOSE(CONTROL!$C$42, 31, 31))/1000000</f>
        <v>19.688099999999999</v>
      </c>
      <c r="Z744" s="38"/>
      <c r="AA744" s="10"/>
      <c r="AB744" s="39"/>
      <c r="AC744" s="33">
        <f>(B744*122.58+C744*297.941+D744*89.177+E744*40.302+F744*40+G744*160+H744*0+I744*100+J744*300)/(122.58+297.941+89.177+40.302+0+40+160+100+300)</f>
        <v>22.421849722521742</v>
      </c>
      <c r="AD744" s="27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22.180925179856114</v>
      </c>
    </row>
    <row r="745" spans="1:30" ht="15.75" x14ac:dyDescent="0.25">
      <c r="A745" s="13">
        <v>63950</v>
      </c>
      <c r="B745" s="10">
        <f>CHOOSE(CONTROL!$C$42, 23.9447, 23.9447) * CHOOSE(CONTROL!$C$21, $C$9, 100%, $E$9)</f>
        <v>23.944700000000001</v>
      </c>
      <c r="C745" s="10">
        <f>CHOOSE(CONTROL!$C$42, 23.9498, 23.9498) * CHOOSE(CONTROL!$C$21, $C$9, 100%, $E$9)</f>
        <v>23.9498</v>
      </c>
      <c r="D745" s="10">
        <f>CHOOSE(CONTROL!$C$42, 23.9848, 23.9848) * CHOOSE(CONTROL!$C$21, $C$9, 100%, $E$9)</f>
        <v>23.9848</v>
      </c>
      <c r="E745" s="10">
        <f>CHOOSE(CONTROL!$C$42, 24.0186, 24.0186) * CHOOSE(CONTROL!$C$21, $C$9, 100%, $E$9)</f>
        <v>24.018599999999999</v>
      </c>
      <c r="F745" s="10">
        <f>CHOOSE(CONTROL!$C$42, 23.926, 23.926)*CHOOSE(CONTROL!$C$21, $C$9, 100%, $E$9)</f>
        <v>23.925999999999998</v>
      </c>
      <c r="G745" s="10">
        <f>CHOOSE(CONTROL!$C$42, 23.9449, 23.9449)*CHOOSE(CONTROL!$C$21, $C$9, 100%, $E$9)</f>
        <v>23.944900000000001</v>
      </c>
      <c r="H745" s="10">
        <f>CHOOSE(CONTROL!$C$42, 24.0075, 24.0075) * CHOOSE(CONTROL!$C$21, $C$9, 100%, $E$9)</f>
        <v>24.0075</v>
      </c>
      <c r="I745" s="10">
        <f>CHOOSE(CONTROL!$C$42, 23.952, 23.952)* CHOOSE(CONTROL!$C$21, $C$9, 100%, $E$9)</f>
        <v>23.952000000000002</v>
      </c>
      <c r="J745" s="10">
        <f>CHOOSE(CONTROL!$C$42, 23.9186, 23.9186)* CHOOSE(CONTROL!$C$21, $C$9, 100%, $E$9)</f>
        <v>23.918600000000001</v>
      </c>
      <c r="K745" s="10">
        <f>CHOOSE(CONTROL!$C$42, 23.3806, 23.3806) * CHOOSE(CONTROL!$C$21, $C$9, 100%, $E$9)</f>
        <v>23.380600000000001</v>
      </c>
      <c r="L745" s="10">
        <f>CHOOSE(CONTROL!$C$42, 24.5945, 24.5945) * CHOOSE(CONTROL!$C$21, $C$9, 100%, $E$9)</f>
        <v>24.5945</v>
      </c>
      <c r="M745" s="10">
        <f>CHOOSE(CONTROL!$C$42, 23.642, 23.642) * CHOOSE(CONTROL!$C$21, $C$9, 100%, $E$9)</f>
        <v>23.641999999999999</v>
      </c>
      <c r="N745" s="10">
        <f>CHOOSE(CONTROL!$C$42, 23.6607, 23.6607) * CHOOSE(CONTROL!$C$21, $C$9, 100%, $E$9)</f>
        <v>23.660699999999999</v>
      </c>
      <c r="O745" s="10">
        <f>CHOOSE(CONTROL!$C$42, 23.7298, 23.7298) * CHOOSE(CONTROL!$C$21, $C$9, 100%, $E$9)</f>
        <v>23.729800000000001</v>
      </c>
      <c r="P745" s="10">
        <f>CHOOSE(CONTROL!$C$42, 23.675, 23.675) * CHOOSE(CONTROL!$C$21, $C$9, 100%, $E$9)</f>
        <v>23.675000000000001</v>
      </c>
      <c r="Q745" s="10">
        <f>CHOOSE(CONTROL!$C$42, 24.3251, 24.3251) * CHOOSE(CONTROL!$C$21, $C$9, 100%, $E$9)</f>
        <v>24.325099999999999</v>
      </c>
      <c r="R745" s="10">
        <f>CHOOSE(CONTROL!$C$42, 24.9729, 24.9729) * CHOOSE(CONTROL!$C$21, $C$9, 100%, $E$9)</f>
        <v>24.972899999999999</v>
      </c>
      <c r="S745" s="10">
        <f>CHOOSE(CONTROL!$C$42, 23.2023, 23.2023) * CHOOSE(CONTROL!$C$21, $C$9, 100%, $E$9)</f>
        <v>23.202300000000001</v>
      </c>
      <c r="T7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38">
        <f>(1000*CHOOSE(CONTROL!$C$42, 695, 695)*CHOOSE(CONTROL!$C$42, 0.5599, 0.5599)*CHOOSE(CONTROL!$C$42, 31, 31))/1000000</f>
        <v>12.063045499999998</v>
      </c>
      <c r="V745" s="38">
        <f>(1000*CHOOSE(CONTROL!$C$42, 500, 500)*CHOOSE(CONTROL!$C$42, 0.275, 0.275)*CHOOSE(CONTROL!$C$42, 31, 31))/1000000</f>
        <v>4.2625000000000002</v>
      </c>
      <c r="W745" s="38">
        <f>(1000*CHOOSE(CONTROL!$C$42, 0.1146, 0.1146)*CHOOSE(CONTROL!$C$42, 121.5, 121.5)*CHOOSE(CONTROL!$C$42, 31, 31))/1000000</f>
        <v>0.43164089999999994</v>
      </c>
      <c r="X745" s="38">
        <f>(31*0.1790888*100000/1000000)+(31*0.2374*100000/1000000)</f>
        <v>1.2911152800000001</v>
      </c>
      <c r="Y745" s="38">
        <f>(1000*600*CHOOSE(CONTROL!$C$42, 1.0585, 1.0585)*CHOOSE(CONTROL!$C$42, 31, 31))/1000000</f>
        <v>19.688099999999999</v>
      </c>
      <c r="Z745" s="38"/>
      <c r="AA745" s="10"/>
      <c r="AB745" s="39"/>
      <c r="AC745" s="33">
        <f>(B745*122.58+C745*297.941+D745*89.177+E745*40.302+F745*40+G745*160+H745*0+I745*100+J745*300)/(122.58+297.941+89.177+40.302+0+40+160+100+300)</f>
        <v>23.944924186608699</v>
      </c>
      <c r="AD745" s="27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23.687618705035973</v>
      </c>
    </row>
    <row r="746" spans="1:30" ht="15.75" x14ac:dyDescent="0.25">
      <c r="A746" s="13">
        <v>63978</v>
      </c>
      <c r="B746" s="10">
        <f>CHOOSE(CONTROL!$C$42, 24.3713, 24.3713) * CHOOSE(CONTROL!$C$21, $C$9, 100%, $E$9)</f>
        <v>24.371300000000002</v>
      </c>
      <c r="C746" s="10">
        <f>CHOOSE(CONTROL!$C$42, 24.3764, 24.3764) * CHOOSE(CONTROL!$C$21, $C$9, 100%, $E$9)</f>
        <v>24.3764</v>
      </c>
      <c r="D746" s="10">
        <f>CHOOSE(CONTROL!$C$42, 24.4114, 24.4114) * CHOOSE(CONTROL!$C$21, $C$9, 100%, $E$9)</f>
        <v>24.4114</v>
      </c>
      <c r="E746" s="10">
        <f>CHOOSE(CONTROL!$C$42, 24.4452, 24.4452) * CHOOSE(CONTROL!$C$21, $C$9, 100%, $E$9)</f>
        <v>24.4452</v>
      </c>
      <c r="F746" s="10">
        <f>CHOOSE(CONTROL!$C$42, 24.352, 24.352)*CHOOSE(CONTROL!$C$21, $C$9, 100%, $E$9)</f>
        <v>24.352</v>
      </c>
      <c r="G746" s="10">
        <f>CHOOSE(CONTROL!$C$42, 24.3708, 24.3708)*CHOOSE(CONTROL!$C$21, $C$9, 100%, $E$9)</f>
        <v>24.370799999999999</v>
      </c>
      <c r="H746" s="10">
        <f>CHOOSE(CONTROL!$C$42, 24.4341, 24.4341) * CHOOSE(CONTROL!$C$21, $C$9, 100%, $E$9)</f>
        <v>24.434100000000001</v>
      </c>
      <c r="I746" s="10">
        <f>CHOOSE(CONTROL!$C$42, 24.3785, 24.3785)* CHOOSE(CONTROL!$C$21, $C$9, 100%, $E$9)</f>
        <v>24.378499999999999</v>
      </c>
      <c r="J746" s="10">
        <f>CHOOSE(CONTROL!$C$42, 24.3446, 24.3446)* CHOOSE(CONTROL!$C$21, $C$9, 100%, $E$9)</f>
        <v>24.3446</v>
      </c>
      <c r="K746" s="10">
        <f>CHOOSE(CONTROL!$C$42, 23.7927, 23.7927) * CHOOSE(CONTROL!$C$21, $C$9, 100%, $E$9)</f>
        <v>23.7927</v>
      </c>
      <c r="L746" s="10">
        <f>CHOOSE(CONTROL!$C$42, 25.0211, 25.0211) * CHOOSE(CONTROL!$C$21, $C$9, 100%, $E$9)</f>
        <v>25.021100000000001</v>
      </c>
      <c r="M746" s="10">
        <f>CHOOSE(CONTROL!$C$42, 24.0625, 24.0625) * CHOOSE(CONTROL!$C$21, $C$9, 100%, $E$9)</f>
        <v>24.0625</v>
      </c>
      <c r="N746" s="10">
        <f>CHOOSE(CONTROL!$C$42, 24.081, 24.081) * CHOOSE(CONTROL!$C$21, $C$9, 100%, $E$9)</f>
        <v>24.081</v>
      </c>
      <c r="O746" s="10">
        <f>CHOOSE(CONTROL!$C$42, 24.1508, 24.1508) * CHOOSE(CONTROL!$C$21, $C$9, 100%, $E$9)</f>
        <v>24.1508</v>
      </c>
      <c r="P746" s="10">
        <f>CHOOSE(CONTROL!$C$42, 24.096, 24.096) * CHOOSE(CONTROL!$C$21, $C$9, 100%, $E$9)</f>
        <v>24.096</v>
      </c>
      <c r="Q746" s="10">
        <f>CHOOSE(CONTROL!$C$42, 24.7461, 24.7461) * CHOOSE(CONTROL!$C$21, $C$9, 100%, $E$9)</f>
        <v>24.746099999999998</v>
      </c>
      <c r="R746" s="10">
        <f>CHOOSE(CONTROL!$C$42, 25.395, 25.395) * CHOOSE(CONTROL!$C$21, $C$9, 100%, $E$9)</f>
        <v>25.395</v>
      </c>
      <c r="S746" s="10">
        <f>CHOOSE(CONTROL!$C$42, 23.6154, 23.6154) * CHOOSE(CONTROL!$C$21, $C$9, 100%, $E$9)</f>
        <v>23.615400000000001</v>
      </c>
      <c r="T74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38">
        <f>(1000*CHOOSE(CONTROL!$C$42, 695, 695)*CHOOSE(CONTROL!$C$42, 0.5599, 0.5599)*CHOOSE(CONTROL!$C$42, 28, 28))/1000000</f>
        <v>10.895653999999999</v>
      </c>
      <c r="V746" s="38">
        <f>(1000*CHOOSE(CONTROL!$C$42, 500, 500)*CHOOSE(CONTROL!$C$42, 0.275, 0.275)*CHOOSE(CONTROL!$C$42, 28, 28))/1000000</f>
        <v>3.85</v>
      </c>
      <c r="W746" s="38">
        <f>(1000*CHOOSE(CONTROL!$C$42, 0.1146, 0.1146)*CHOOSE(CONTROL!$C$42, 121.5, 121.5)*CHOOSE(CONTROL!$C$42, 28, 28))/1000000</f>
        <v>0.38986920000000003</v>
      </c>
      <c r="X746" s="38">
        <f>(28*0.1790888*100000/1000000)+(28*0.2374*100000/1000000)</f>
        <v>1.16616864</v>
      </c>
      <c r="Y746" s="38">
        <f>(1000*600*CHOOSE(CONTROL!$C$42, 1.0585, 1.0585)*CHOOSE(CONTROL!$C$42, 28, 28))/1000000</f>
        <v>17.782800000000002</v>
      </c>
      <c r="Z746" s="38"/>
      <c r="AA746" s="10"/>
      <c r="AB746" s="39"/>
      <c r="AC746" s="33">
        <f>(B746*122.58+C746*297.941+D746*89.177+E746*40.302+F746*40+G746*160+H746*0+I746*100+J746*300)/(122.58+297.941+89.177+40.302+0+40+160+100+300)</f>
        <v>24.371240708347827</v>
      </c>
      <c r="AD746" s="27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24.108405755395683</v>
      </c>
    </row>
    <row r="747" spans="1:30" ht="15.75" x14ac:dyDescent="0.25">
      <c r="A747" s="13">
        <v>64009</v>
      </c>
      <c r="B747" s="10">
        <f>CHOOSE(CONTROL!$C$42, 23.6789, 23.6789) * CHOOSE(CONTROL!$C$21, $C$9, 100%, $E$9)</f>
        <v>23.678899999999999</v>
      </c>
      <c r="C747" s="10">
        <f>CHOOSE(CONTROL!$C$42, 23.684, 23.684) * CHOOSE(CONTROL!$C$21, $C$9, 100%, $E$9)</f>
        <v>23.684000000000001</v>
      </c>
      <c r="D747" s="10">
        <f>CHOOSE(CONTROL!$C$42, 23.719, 23.719) * CHOOSE(CONTROL!$C$21, $C$9, 100%, $E$9)</f>
        <v>23.719000000000001</v>
      </c>
      <c r="E747" s="10">
        <f>CHOOSE(CONTROL!$C$42, 23.7528, 23.7528) * CHOOSE(CONTROL!$C$21, $C$9, 100%, $E$9)</f>
        <v>23.752800000000001</v>
      </c>
      <c r="F747" s="10">
        <f>CHOOSE(CONTROL!$C$42, 23.6583, 23.6583)*CHOOSE(CONTROL!$C$21, $C$9, 100%, $E$9)</f>
        <v>23.658300000000001</v>
      </c>
      <c r="G747" s="10">
        <f>CHOOSE(CONTROL!$C$42, 23.6766, 23.6766)*CHOOSE(CONTROL!$C$21, $C$9, 100%, $E$9)</f>
        <v>23.676600000000001</v>
      </c>
      <c r="H747" s="10">
        <f>CHOOSE(CONTROL!$C$42, 23.7417, 23.7417) * CHOOSE(CONTROL!$C$21, $C$9, 100%, $E$9)</f>
        <v>23.741700000000002</v>
      </c>
      <c r="I747" s="10">
        <f>CHOOSE(CONTROL!$C$42, 23.6861, 23.6861)* CHOOSE(CONTROL!$C$21, $C$9, 100%, $E$9)</f>
        <v>23.6861</v>
      </c>
      <c r="J747" s="10">
        <f>CHOOSE(CONTROL!$C$42, 23.6509, 23.6509)* CHOOSE(CONTROL!$C$21, $C$9, 100%, $E$9)</f>
        <v>23.6509</v>
      </c>
      <c r="K747" s="10">
        <f>CHOOSE(CONTROL!$C$42, 23.1189, 23.1189) * CHOOSE(CONTROL!$C$21, $C$9, 100%, $E$9)</f>
        <v>23.1189</v>
      </c>
      <c r="L747" s="10">
        <f>CHOOSE(CONTROL!$C$42, 24.3287, 24.3287) * CHOOSE(CONTROL!$C$21, $C$9, 100%, $E$9)</f>
        <v>24.328700000000001</v>
      </c>
      <c r="M747" s="10">
        <f>CHOOSE(CONTROL!$C$42, 23.3777, 23.3777) * CHOOSE(CONTROL!$C$21, $C$9, 100%, $E$9)</f>
        <v>23.377700000000001</v>
      </c>
      <c r="N747" s="10">
        <f>CHOOSE(CONTROL!$C$42, 23.3959, 23.3959) * CHOOSE(CONTROL!$C$21, $C$9, 100%, $E$9)</f>
        <v>23.395900000000001</v>
      </c>
      <c r="O747" s="10">
        <f>CHOOSE(CONTROL!$C$42, 23.4674, 23.4674) * CHOOSE(CONTROL!$C$21, $C$9, 100%, $E$9)</f>
        <v>23.467400000000001</v>
      </c>
      <c r="P747" s="10">
        <f>CHOOSE(CONTROL!$C$42, 23.4126, 23.4126) * CHOOSE(CONTROL!$C$21, $C$9, 100%, $E$9)</f>
        <v>23.412600000000001</v>
      </c>
      <c r="Q747" s="10">
        <f>CHOOSE(CONTROL!$C$42, 24.0627, 24.0627) * CHOOSE(CONTROL!$C$21, $C$9, 100%, $E$9)</f>
        <v>24.0627</v>
      </c>
      <c r="R747" s="10">
        <f>CHOOSE(CONTROL!$C$42, 24.7098, 24.7098) * CHOOSE(CONTROL!$C$21, $C$9, 100%, $E$9)</f>
        <v>24.709800000000001</v>
      </c>
      <c r="S747" s="10">
        <f>CHOOSE(CONTROL!$C$42, 22.9449, 22.9449) * CHOOSE(CONTROL!$C$21, $C$9, 100%, $E$9)</f>
        <v>22.944900000000001</v>
      </c>
      <c r="T7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38">
        <f>(1000*CHOOSE(CONTROL!$C$42, 695, 695)*CHOOSE(CONTROL!$C$42, 0.5599, 0.5599)*CHOOSE(CONTROL!$C$42, 31, 31))/1000000</f>
        <v>12.063045499999998</v>
      </c>
      <c r="V747" s="38">
        <f>(1000*CHOOSE(CONTROL!$C$42, 500, 500)*CHOOSE(CONTROL!$C$42, 0.275, 0.275)*CHOOSE(CONTROL!$C$42, 31, 31))/1000000</f>
        <v>4.2625000000000002</v>
      </c>
      <c r="W747" s="38">
        <f>(1000*CHOOSE(CONTROL!$C$42, 0.1146, 0.1146)*CHOOSE(CONTROL!$C$42, 121.5, 121.5)*CHOOSE(CONTROL!$C$42, 31, 31))/1000000</f>
        <v>0.43164089999999994</v>
      </c>
      <c r="X747" s="38">
        <f>(31*0.1790888*100000/1000000)+(31*0.2374*100000/1000000)</f>
        <v>1.2911152800000001</v>
      </c>
      <c r="Y747" s="38">
        <f>(1000*600*CHOOSE(CONTROL!$C$42, 1.0585, 1.0585)*CHOOSE(CONTROL!$C$42, 31, 31))/1000000</f>
        <v>19.688099999999999</v>
      </c>
      <c r="Z747" s="38"/>
      <c r="AA747" s="10"/>
      <c r="AB747" s="39"/>
      <c r="AC747" s="33">
        <f>(B747*122.58+C747*297.941+D747*89.177+E747*40.302+F747*40+G747*160+H747*0+I747*100+J747*300)/(122.58+297.941+89.177+40.302+0+40+160+100+300)</f>
        <v>23.678205925739132</v>
      </c>
      <c r="AD747" s="27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23.424424460431656</v>
      </c>
    </row>
    <row r="748" spans="1:30" ht="15.75" x14ac:dyDescent="0.25">
      <c r="A748" s="13">
        <v>64039</v>
      </c>
      <c r="B748" s="10">
        <f>CHOOSE(CONTROL!$C$42, 23.6087, 23.6087) * CHOOSE(CONTROL!$C$21, $C$9, 100%, $E$9)</f>
        <v>23.608699999999999</v>
      </c>
      <c r="C748" s="10">
        <f>CHOOSE(CONTROL!$C$42, 23.6132, 23.6132) * CHOOSE(CONTROL!$C$21, $C$9, 100%, $E$9)</f>
        <v>23.613199999999999</v>
      </c>
      <c r="D748" s="10">
        <f>CHOOSE(CONTROL!$C$42, 23.7914, 23.7914) * CHOOSE(CONTROL!$C$21, $C$9, 100%, $E$9)</f>
        <v>23.791399999999999</v>
      </c>
      <c r="E748" s="10">
        <f>CHOOSE(CONTROL!$C$42, 23.8233, 23.8233) * CHOOSE(CONTROL!$C$21, $C$9, 100%, $E$9)</f>
        <v>23.8233</v>
      </c>
      <c r="F748" s="10">
        <f>CHOOSE(CONTROL!$C$42, 23.5521, 23.5521)*CHOOSE(CONTROL!$C$21, $C$9, 100%, $E$9)</f>
        <v>23.552099999999999</v>
      </c>
      <c r="G748" s="10">
        <f>CHOOSE(CONTROL!$C$42, 23.5688, 23.5688)*CHOOSE(CONTROL!$C$21, $C$9, 100%, $E$9)</f>
        <v>23.5688</v>
      </c>
      <c r="H748" s="10">
        <f>CHOOSE(CONTROL!$C$42, 23.8127, 23.8127) * CHOOSE(CONTROL!$C$21, $C$9, 100%, $E$9)</f>
        <v>23.8127</v>
      </c>
      <c r="I748" s="10">
        <f>CHOOSE(CONTROL!$C$42, 23.5847, 23.5847)* CHOOSE(CONTROL!$C$21, $C$9, 100%, $E$9)</f>
        <v>23.584700000000002</v>
      </c>
      <c r="J748" s="10">
        <f>CHOOSE(CONTROL!$C$42, 23.5447, 23.5447)* CHOOSE(CONTROL!$C$21, $C$9, 100%, $E$9)</f>
        <v>23.544699999999999</v>
      </c>
      <c r="K748" s="10">
        <f>CHOOSE(CONTROL!$C$42, 23.006, 23.006) * CHOOSE(CONTROL!$C$21, $C$9, 100%, $E$9)</f>
        <v>23.006</v>
      </c>
      <c r="L748" s="10">
        <f>CHOOSE(CONTROL!$C$42, 24.3997, 24.3997) * CHOOSE(CONTROL!$C$21, $C$9, 100%, $E$9)</f>
        <v>24.399699999999999</v>
      </c>
      <c r="M748" s="10">
        <f>CHOOSE(CONTROL!$C$42, 23.273, 23.273) * CHOOSE(CONTROL!$C$21, $C$9, 100%, $E$9)</f>
        <v>23.273</v>
      </c>
      <c r="N748" s="10">
        <f>CHOOSE(CONTROL!$C$42, 23.2894, 23.2894) * CHOOSE(CONTROL!$C$21, $C$9, 100%, $E$9)</f>
        <v>23.289400000000001</v>
      </c>
      <c r="O748" s="10">
        <f>CHOOSE(CONTROL!$C$42, 23.5375, 23.5375) * CHOOSE(CONTROL!$C$21, $C$9, 100%, $E$9)</f>
        <v>23.537500000000001</v>
      </c>
      <c r="P748" s="10">
        <f>CHOOSE(CONTROL!$C$42, 23.3125, 23.3125) * CHOOSE(CONTROL!$C$21, $C$9, 100%, $E$9)</f>
        <v>23.3125</v>
      </c>
      <c r="Q748" s="10">
        <f>CHOOSE(CONTROL!$C$42, 24.1328, 24.1328) * CHOOSE(CONTROL!$C$21, $C$9, 100%, $E$9)</f>
        <v>24.1328</v>
      </c>
      <c r="R748" s="10">
        <f>CHOOSE(CONTROL!$C$42, 24.7801, 24.7801) * CHOOSE(CONTROL!$C$21, $C$9, 100%, $E$9)</f>
        <v>24.780100000000001</v>
      </c>
      <c r="S748" s="10">
        <f>CHOOSE(CONTROL!$C$42, 22.8762, 22.8762) * CHOOSE(CONTROL!$C$21, $C$9, 100%, $E$9)</f>
        <v>22.876200000000001</v>
      </c>
      <c r="T7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38">
        <f>(1000*CHOOSE(CONTROL!$C$42, 695, 695)*CHOOSE(CONTROL!$C$42, 0.5599, 0.5599)*CHOOSE(CONTROL!$C$42, 30, 30))/1000000</f>
        <v>11.673914999999997</v>
      </c>
      <c r="V748" s="38">
        <f>(1000*CHOOSE(CONTROL!$C$42, 500, 500)*CHOOSE(CONTROL!$C$42, 0.275, 0.275)*CHOOSE(CONTROL!$C$42, 30, 30))/1000000</f>
        <v>4.125</v>
      </c>
      <c r="W748" s="38">
        <f>(1000*CHOOSE(CONTROL!$C$42, 0.1146, 0.1146)*CHOOSE(CONTROL!$C$42, 121.5, 121.5)*CHOOSE(CONTROL!$C$42, 30, 30))/1000000</f>
        <v>0.417717</v>
      </c>
      <c r="X748" s="38">
        <f>(30*0.1790888*245000/1000000)+(30*0.2374*100000/1000000)</f>
        <v>2.0285026799999999</v>
      </c>
      <c r="Y748" s="38">
        <f>(1000*600*CHOOSE(CONTROL!$C$42, 1.0585, 1.0585)*CHOOSE(CONTROL!$C$42, 30, 30))/1000000</f>
        <v>19.053000000000001</v>
      </c>
      <c r="Z748" s="38"/>
      <c r="AA748" s="10"/>
      <c r="AB748" s="39"/>
      <c r="AC748" s="33">
        <f>(B748*141.293+C748*267.993+D748*115.016+E748*89.698+F748*40+G748*185+H748*0+I748*100+J748*300)/(141.293+267.993+115.016+89.698+0+40+185+100+300)</f>
        <v>23.616951075464083</v>
      </c>
      <c r="AD748" s="27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23.399508633093525</v>
      </c>
    </row>
    <row r="749" spans="1:30" ht="15.75" x14ac:dyDescent="0.25">
      <c r="A749" s="13">
        <v>64070</v>
      </c>
      <c r="B749" s="10">
        <f>CHOOSE(CONTROL!$C$42, 23.819, 23.819) * CHOOSE(CONTROL!$C$21, $C$9, 100%, $E$9)</f>
        <v>23.818999999999999</v>
      </c>
      <c r="C749" s="10">
        <f>CHOOSE(CONTROL!$C$42, 23.827, 23.827) * CHOOSE(CONTROL!$C$21, $C$9, 100%, $E$9)</f>
        <v>23.827000000000002</v>
      </c>
      <c r="D749" s="10">
        <f>CHOOSE(CONTROL!$C$42, 24.0021, 24.0021) * CHOOSE(CONTROL!$C$21, $C$9, 100%, $E$9)</f>
        <v>24.002099999999999</v>
      </c>
      <c r="E749" s="10">
        <f>CHOOSE(CONTROL!$C$42, 24.0333, 24.0333) * CHOOSE(CONTROL!$C$21, $C$9, 100%, $E$9)</f>
        <v>24.033300000000001</v>
      </c>
      <c r="F749" s="10">
        <f>CHOOSE(CONTROL!$C$42, 23.7607, 23.7607)*CHOOSE(CONTROL!$C$21, $C$9, 100%, $E$9)</f>
        <v>23.7607</v>
      </c>
      <c r="G749" s="10">
        <f>CHOOSE(CONTROL!$C$42, 23.7775, 23.7775)*CHOOSE(CONTROL!$C$21, $C$9, 100%, $E$9)</f>
        <v>23.7775</v>
      </c>
      <c r="H749" s="10">
        <f>CHOOSE(CONTROL!$C$42, 24.0216, 24.0216) * CHOOSE(CONTROL!$C$21, $C$9, 100%, $E$9)</f>
        <v>24.021599999999999</v>
      </c>
      <c r="I749" s="10">
        <f>CHOOSE(CONTROL!$C$42, 23.7936, 23.7936)* CHOOSE(CONTROL!$C$21, $C$9, 100%, $E$9)</f>
        <v>23.793600000000001</v>
      </c>
      <c r="J749" s="10">
        <f>CHOOSE(CONTROL!$C$42, 23.7533, 23.7533)* CHOOSE(CONTROL!$C$21, $C$9, 100%, $E$9)</f>
        <v>23.753299999999999</v>
      </c>
      <c r="K749" s="10">
        <f>CHOOSE(CONTROL!$C$42, 23.2075, 23.2075) * CHOOSE(CONTROL!$C$21, $C$9, 100%, $E$9)</f>
        <v>23.2075</v>
      </c>
      <c r="L749" s="10">
        <f>CHOOSE(CONTROL!$C$42, 24.6086, 24.6086) * CHOOSE(CONTROL!$C$21, $C$9, 100%, $E$9)</f>
        <v>24.608599999999999</v>
      </c>
      <c r="M749" s="10">
        <f>CHOOSE(CONTROL!$C$42, 23.4788, 23.4788) * CHOOSE(CONTROL!$C$21, $C$9, 100%, $E$9)</f>
        <v>23.4788</v>
      </c>
      <c r="N749" s="10">
        <f>CHOOSE(CONTROL!$C$42, 23.4955, 23.4955) * CHOOSE(CONTROL!$C$21, $C$9, 100%, $E$9)</f>
        <v>23.4955</v>
      </c>
      <c r="O749" s="10">
        <f>CHOOSE(CONTROL!$C$42, 23.7437, 23.7437) * CHOOSE(CONTROL!$C$21, $C$9, 100%, $E$9)</f>
        <v>23.7437</v>
      </c>
      <c r="P749" s="10">
        <f>CHOOSE(CONTROL!$C$42, 23.5187, 23.5187) * CHOOSE(CONTROL!$C$21, $C$9, 100%, $E$9)</f>
        <v>23.518699999999999</v>
      </c>
      <c r="Q749" s="10">
        <f>CHOOSE(CONTROL!$C$42, 24.339, 24.339) * CHOOSE(CONTROL!$C$21, $C$9, 100%, $E$9)</f>
        <v>24.338999999999999</v>
      </c>
      <c r="R749" s="10">
        <f>CHOOSE(CONTROL!$C$42, 24.9869, 24.9869) * CHOOSE(CONTROL!$C$21, $C$9, 100%, $E$9)</f>
        <v>24.986899999999999</v>
      </c>
      <c r="S749" s="10">
        <f>CHOOSE(CONTROL!$C$42, 23.0785, 23.0785) * CHOOSE(CONTROL!$C$21, $C$9, 100%, $E$9)</f>
        <v>23.078499999999998</v>
      </c>
      <c r="T7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38">
        <f>(1000*CHOOSE(CONTROL!$C$42, 695, 695)*CHOOSE(CONTROL!$C$42, 0.5599, 0.5599)*CHOOSE(CONTROL!$C$42, 31, 31))/1000000</f>
        <v>12.063045499999998</v>
      </c>
      <c r="V749" s="38">
        <f>(1000*CHOOSE(CONTROL!$C$42, 500, 500)*CHOOSE(CONTROL!$C$42, 0.275, 0.275)*CHOOSE(CONTROL!$C$42, 31, 31))/1000000</f>
        <v>4.2625000000000002</v>
      </c>
      <c r="W749" s="38">
        <f>(1000*CHOOSE(CONTROL!$C$42, 0.1146, 0.1146)*CHOOSE(CONTROL!$C$42, 121.5, 121.5)*CHOOSE(CONTROL!$C$42, 31, 31))/1000000</f>
        <v>0.43164089999999994</v>
      </c>
      <c r="X749" s="38">
        <f>(31*0.1790888*245000/1000000)+(31*0.2374*100000/1000000)</f>
        <v>2.0961194359999999</v>
      </c>
      <c r="Y749" s="38">
        <f>(1000*600*CHOOSE(CONTROL!$C$42, 1.0585, 1.0585)*CHOOSE(CONTROL!$C$42, 31, 31))/1000000</f>
        <v>19.688099999999999</v>
      </c>
      <c r="Z749" s="38"/>
      <c r="AA749" s="10"/>
      <c r="AB749" s="39"/>
      <c r="AC749" s="33">
        <f>(B749*194.205+C749*267.466+D749*133.845+E749*53.484+F749*40+G749*185+H749*0+I749*100+J749*300)/(194.205+267.466+133.845+53.484+0+40+185+100+300)</f>
        <v>23.823590948744116</v>
      </c>
      <c r="AD749" s="27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23.605564748201438</v>
      </c>
    </row>
    <row r="750" spans="1:30" ht="15.75" x14ac:dyDescent="0.25">
      <c r="A750" s="13">
        <v>64100</v>
      </c>
      <c r="B750" s="10">
        <f>CHOOSE(CONTROL!$C$42, 24.495, 24.495) * CHOOSE(CONTROL!$C$21, $C$9, 100%, $E$9)</f>
        <v>24.495000000000001</v>
      </c>
      <c r="C750" s="10">
        <f>CHOOSE(CONTROL!$C$42, 24.503, 24.503) * CHOOSE(CONTROL!$C$21, $C$9, 100%, $E$9)</f>
        <v>24.503</v>
      </c>
      <c r="D750" s="10">
        <f>CHOOSE(CONTROL!$C$42, 24.6781, 24.6781) * CHOOSE(CONTROL!$C$21, $C$9, 100%, $E$9)</f>
        <v>24.678100000000001</v>
      </c>
      <c r="E750" s="10">
        <f>CHOOSE(CONTROL!$C$42, 24.7094, 24.7094) * CHOOSE(CONTROL!$C$21, $C$9, 100%, $E$9)</f>
        <v>24.709399999999999</v>
      </c>
      <c r="F750" s="10">
        <f>CHOOSE(CONTROL!$C$42, 24.4369, 24.4369)*CHOOSE(CONTROL!$C$21, $C$9, 100%, $E$9)</f>
        <v>24.436900000000001</v>
      </c>
      <c r="G750" s="10">
        <f>CHOOSE(CONTROL!$C$42, 24.4538, 24.4538)*CHOOSE(CONTROL!$C$21, $C$9, 100%, $E$9)</f>
        <v>24.453800000000001</v>
      </c>
      <c r="H750" s="10">
        <f>CHOOSE(CONTROL!$C$42, 24.6977, 24.6977) * CHOOSE(CONTROL!$C$21, $C$9, 100%, $E$9)</f>
        <v>24.697700000000001</v>
      </c>
      <c r="I750" s="10">
        <f>CHOOSE(CONTROL!$C$42, 24.4697, 24.4697)* CHOOSE(CONTROL!$C$21, $C$9, 100%, $E$9)</f>
        <v>24.4697</v>
      </c>
      <c r="J750" s="10">
        <f>CHOOSE(CONTROL!$C$42, 24.4295, 24.4295)* CHOOSE(CONTROL!$C$21, $C$9, 100%, $E$9)</f>
        <v>24.429500000000001</v>
      </c>
      <c r="K750" s="10">
        <f>CHOOSE(CONTROL!$C$42, 23.8628, 23.8628) * CHOOSE(CONTROL!$C$21, $C$9, 100%, $E$9)</f>
        <v>23.8628</v>
      </c>
      <c r="L750" s="10">
        <f>CHOOSE(CONTROL!$C$42, 25.2847, 25.2847) * CHOOSE(CONTROL!$C$21, $C$9, 100%, $E$9)</f>
        <v>25.284700000000001</v>
      </c>
      <c r="M750" s="10">
        <f>CHOOSE(CONTROL!$C$42, 24.1463, 24.1463) * CHOOSE(CONTROL!$C$21, $C$9, 100%, $E$9)</f>
        <v>24.1463</v>
      </c>
      <c r="N750" s="10">
        <f>CHOOSE(CONTROL!$C$42, 24.163, 24.163) * CHOOSE(CONTROL!$C$21, $C$9, 100%, $E$9)</f>
        <v>24.163</v>
      </c>
      <c r="O750" s="10">
        <f>CHOOSE(CONTROL!$C$42, 24.411, 24.411) * CHOOSE(CONTROL!$C$21, $C$9, 100%, $E$9)</f>
        <v>24.411000000000001</v>
      </c>
      <c r="P750" s="10">
        <f>CHOOSE(CONTROL!$C$42, 24.186, 24.186) * CHOOSE(CONTROL!$C$21, $C$9, 100%, $E$9)</f>
        <v>24.186</v>
      </c>
      <c r="Q750" s="10">
        <f>CHOOSE(CONTROL!$C$42, 25.0063, 25.0063) * CHOOSE(CONTROL!$C$21, $C$9, 100%, $E$9)</f>
        <v>25.0063</v>
      </c>
      <c r="R750" s="10">
        <f>CHOOSE(CONTROL!$C$42, 25.6558, 25.6558) * CHOOSE(CONTROL!$C$21, $C$9, 100%, $E$9)</f>
        <v>25.655799999999999</v>
      </c>
      <c r="S750" s="10">
        <f>CHOOSE(CONTROL!$C$42, 23.7331, 23.7331) * CHOOSE(CONTROL!$C$21, $C$9, 100%, $E$9)</f>
        <v>23.7331</v>
      </c>
      <c r="T7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38">
        <f>(1000*CHOOSE(CONTROL!$C$42, 695, 695)*CHOOSE(CONTROL!$C$42, 0.5599, 0.5599)*CHOOSE(CONTROL!$C$42, 30, 30))/1000000</f>
        <v>11.673914999999997</v>
      </c>
      <c r="V750" s="38">
        <f>(1000*CHOOSE(CONTROL!$C$42, 500, 500)*CHOOSE(CONTROL!$C$42, 0.275, 0.275)*CHOOSE(CONTROL!$C$42, 30, 30))/1000000</f>
        <v>4.125</v>
      </c>
      <c r="W750" s="38">
        <f>(1000*CHOOSE(CONTROL!$C$42, 0.1146, 0.1146)*CHOOSE(CONTROL!$C$42, 121.5, 121.5)*CHOOSE(CONTROL!$C$42, 30, 30))/1000000</f>
        <v>0.417717</v>
      </c>
      <c r="X750" s="38">
        <f>(30*0.1790888*245000/1000000)+(30*0.2374*100000/1000000)</f>
        <v>2.0285026799999999</v>
      </c>
      <c r="Y750" s="38">
        <f>(1000*600*CHOOSE(CONTROL!$C$42, 1.0585, 1.0585)*CHOOSE(CONTROL!$C$42, 30, 30))/1000000</f>
        <v>19.053000000000001</v>
      </c>
      <c r="Z750" s="38"/>
      <c r="AA750" s="10"/>
      <c r="AB750" s="39"/>
      <c r="AC750" s="33">
        <f>(B750*194.205+C750*267.466+D750*133.845+E750*53.484+F750*40+G750*185+H750*0+I750*100+J750*300)/(194.205+267.466+133.845+53.484+0+40+185+100+300)</f>
        <v>24.499699934929357</v>
      </c>
      <c r="AD750" s="27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24.272945323741009</v>
      </c>
    </row>
    <row r="751" spans="1:30" ht="15.75" x14ac:dyDescent="0.25">
      <c r="A751" s="13">
        <v>64131</v>
      </c>
      <c r="B751" s="10">
        <f>CHOOSE(CONTROL!$C$42, 24.0248, 24.0248) * CHOOSE(CONTROL!$C$21, $C$9, 100%, $E$9)</f>
        <v>24.024799999999999</v>
      </c>
      <c r="C751" s="10">
        <f>CHOOSE(CONTROL!$C$42, 24.0328, 24.0328) * CHOOSE(CONTROL!$C$21, $C$9, 100%, $E$9)</f>
        <v>24.032800000000002</v>
      </c>
      <c r="D751" s="10">
        <f>CHOOSE(CONTROL!$C$42, 24.2079, 24.2079) * CHOOSE(CONTROL!$C$21, $C$9, 100%, $E$9)</f>
        <v>24.207899999999999</v>
      </c>
      <c r="E751" s="10">
        <f>CHOOSE(CONTROL!$C$42, 24.2392, 24.2392) * CHOOSE(CONTROL!$C$21, $C$9, 100%, $E$9)</f>
        <v>24.2392</v>
      </c>
      <c r="F751" s="10">
        <f>CHOOSE(CONTROL!$C$42, 23.967, 23.967)*CHOOSE(CONTROL!$C$21, $C$9, 100%, $E$9)</f>
        <v>23.966999999999999</v>
      </c>
      <c r="G751" s="10">
        <f>CHOOSE(CONTROL!$C$42, 23.9841, 23.9841)*CHOOSE(CONTROL!$C$21, $C$9, 100%, $E$9)</f>
        <v>23.984100000000002</v>
      </c>
      <c r="H751" s="10">
        <f>CHOOSE(CONTROL!$C$42, 24.2275, 24.2275) * CHOOSE(CONTROL!$C$21, $C$9, 100%, $E$9)</f>
        <v>24.227499999999999</v>
      </c>
      <c r="I751" s="10">
        <f>CHOOSE(CONTROL!$C$42, 23.9995, 23.9995)* CHOOSE(CONTROL!$C$21, $C$9, 100%, $E$9)</f>
        <v>23.999500000000001</v>
      </c>
      <c r="J751" s="10">
        <f>CHOOSE(CONTROL!$C$42, 23.9596, 23.9596)* CHOOSE(CONTROL!$C$21, $C$9, 100%, $E$9)</f>
        <v>23.959599999999998</v>
      </c>
      <c r="K751" s="10">
        <f>CHOOSE(CONTROL!$C$42, 23.4081, 23.4081) * CHOOSE(CONTROL!$C$21, $C$9, 100%, $E$9)</f>
        <v>23.408100000000001</v>
      </c>
      <c r="L751" s="10">
        <f>CHOOSE(CONTROL!$C$42, 24.8145, 24.8145) * CHOOSE(CONTROL!$C$21, $C$9, 100%, $E$9)</f>
        <v>24.814499999999999</v>
      </c>
      <c r="M751" s="10">
        <f>CHOOSE(CONTROL!$C$42, 23.6825, 23.6825) * CHOOSE(CONTROL!$C$21, $C$9, 100%, $E$9)</f>
        <v>23.682500000000001</v>
      </c>
      <c r="N751" s="10">
        <f>CHOOSE(CONTROL!$C$42, 23.6993, 23.6993) * CHOOSE(CONTROL!$C$21, $C$9, 100%, $E$9)</f>
        <v>23.699300000000001</v>
      </c>
      <c r="O751" s="10">
        <f>CHOOSE(CONTROL!$C$42, 23.9469, 23.9469) * CHOOSE(CONTROL!$C$21, $C$9, 100%, $E$9)</f>
        <v>23.946899999999999</v>
      </c>
      <c r="P751" s="10">
        <f>CHOOSE(CONTROL!$C$42, 23.7219, 23.7219) * CHOOSE(CONTROL!$C$21, $C$9, 100%, $E$9)</f>
        <v>23.721900000000002</v>
      </c>
      <c r="Q751" s="10">
        <f>CHOOSE(CONTROL!$C$42, 24.5422, 24.5422) * CHOOSE(CONTROL!$C$21, $C$9, 100%, $E$9)</f>
        <v>24.542200000000001</v>
      </c>
      <c r="R751" s="10">
        <f>CHOOSE(CONTROL!$C$42, 25.1905, 25.1905) * CHOOSE(CONTROL!$C$21, $C$9, 100%, $E$9)</f>
        <v>25.1905</v>
      </c>
      <c r="S751" s="10">
        <f>CHOOSE(CONTROL!$C$42, 23.2778, 23.2778) * CHOOSE(CONTROL!$C$21, $C$9, 100%, $E$9)</f>
        <v>23.277799999999999</v>
      </c>
      <c r="T7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38">
        <f>(1000*CHOOSE(CONTROL!$C$42, 695, 695)*CHOOSE(CONTROL!$C$42, 0.5599, 0.5599)*CHOOSE(CONTROL!$C$42, 31, 31))/1000000</f>
        <v>12.063045499999998</v>
      </c>
      <c r="V751" s="38">
        <f>(1000*CHOOSE(CONTROL!$C$42, 500, 500)*CHOOSE(CONTROL!$C$42, 0.275, 0.275)*CHOOSE(CONTROL!$C$42, 31, 31))/1000000</f>
        <v>4.2625000000000002</v>
      </c>
      <c r="W751" s="38">
        <f>(1000*CHOOSE(CONTROL!$C$42, 0.1146, 0.1146)*CHOOSE(CONTROL!$C$42, 121.5, 121.5)*CHOOSE(CONTROL!$C$42, 31, 31))/1000000</f>
        <v>0.43164089999999994</v>
      </c>
      <c r="X751" s="38">
        <f>(31*0.1790888*245000/1000000)+(31*0.2374*100000/1000000)</f>
        <v>2.0961194359999999</v>
      </c>
      <c r="Y751" s="38">
        <f>(1000*600*CHOOSE(CONTROL!$C$42, 1.0585, 1.0585)*CHOOSE(CONTROL!$C$42, 31, 31))/1000000</f>
        <v>19.688099999999999</v>
      </c>
      <c r="Z751" s="38"/>
      <c r="AA751" s="10"/>
      <c r="AB751" s="39"/>
      <c r="AC751" s="33">
        <f>(B751*194.205+C751*267.466+D751*133.845+E751*53.484+F751*40+G751*185+H751*0+I751*100+J751*300)/(194.205+267.466+133.845+53.484+0+40+185+100+300)</f>
        <v>24.029652603689165</v>
      </c>
      <c r="AD751" s="27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23.808971942446043</v>
      </c>
    </row>
    <row r="752" spans="1:30" ht="15.75" x14ac:dyDescent="0.25">
      <c r="A752" s="13">
        <v>64162</v>
      </c>
      <c r="B752" s="10">
        <f>CHOOSE(CONTROL!$C$42, 22.8374, 22.8374) * CHOOSE(CONTROL!$C$21, $C$9, 100%, $E$9)</f>
        <v>22.837399999999999</v>
      </c>
      <c r="C752" s="10">
        <f>CHOOSE(CONTROL!$C$42, 22.8454, 22.8454) * CHOOSE(CONTROL!$C$21, $C$9, 100%, $E$9)</f>
        <v>22.845400000000001</v>
      </c>
      <c r="D752" s="10">
        <f>CHOOSE(CONTROL!$C$42, 23.0205, 23.0205) * CHOOSE(CONTROL!$C$21, $C$9, 100%, $E$9)</f>
        <v>23.020499999999998</v>
      </c>
      <c r="E752" s="10">
        <f>CHOOSE(CONTROL!$C$42, 23.0518, 23.0518) * CHOOSE(CONTROL!$C$21, $C$9, 100%, $E$9)</f>
        <v>23.0518</v>
      </c>
      <c r="F752" s="10">
        <f>CHOOSE(CONTROL!$C$42, 22.7795, 22.7795)*CHOOSE(CONTROL!$C$21, $C$9, 100%, $E$9)</f>
        <v>22.779499999999999</v>
      </c>
      <c r="G752" s="10">
        <f>CHOOSE(CONTROL!$C$42, 22.7965, 22.7965)*CHOOSE(CONTROL!$C$21, $C$9, 100%, $E$9)</f>
        <v>22.796500000000002</v>
      </c>
      <c r="H752" s="10">
        <f>CHOOSE(CONTROL!$C$42, 23.0401, 23.0401) * CHOOSE(CONTROL!$C$21, $C$9, 100%, $E$9)</f>
        <v>23.040099999999999</v>
      </c>
      <c r="I752" s="10">
        <f>CHOOSE(CONTROL!$C$42, 22.8121, 22.8121)* CHOOSE(CONTROL!$C$21, $C$9, 100%, $E$9)</f>
        <v>22.812100000000001</v>
      </c>
      <c r="J752" s="10">
        <f>CHOOSE(CONTROL!$C$42, 22.7721, 22.7721)* CHOOSE(CONTROL!$C$21, $C$9, 100%, $E$9)</f>
        <v>22.772099999999998</v>
      </c>
      <c r="K752" s="10">
        <f>CHOOSE(CONTROL!$C$42, 22.2575, 22.2575) * CHOOSE(CONTROL!$C$21, $C$9, 100%, $E$9)</f>
        <v>22.2575</v>
      </c>
      <c r="L752" s="10">
        <f>CHOOSE(CONTROL!$C$42, 23.6271, 23.6271) * CHOOSE(CONTROL!$C$21, $C$9, 100%, $E$9)</f>
        <v>23.627099999999999</v>
      </c>
      <c r="M752" s="10">
        <f>CHOOSE(CONTROL!$C$42, 22.5104, 22.5104) * CHOOSE(CONTROL!$C$21, $C$9, 100%, $E$9)</f>
        <v>22.510400000000001</v>
      </c>
      <c r="N752" s="10">
        <f>CHOOSE(CONTROL!$C$42, 22.5272, 22.5272) * CHOOSE(CONTROL!$C$21, $C$9, 100%, $E$9)</f>
        <v>22.527200000000001</v>
      </c>
      <c r="O752" s="10">
        <f>CHOOSE(CONTROL!$C$42, 22.7749, 22.7749) * CHOOSE(CONTROL!$C$21, $C$9, 100%, $E$9)</f>
        <v>22.774899999999999</v>
      </c>
      <c r="P752" s="10">
        <f>CHOOSE(CONTROL!$C$42, 22.5498, 22.5498) * CHOOSE(CONTROL!$C$21, $C$9, 100%, $E$9)</f>
        <v>22.549800000000001</v>
      </c>
      <c r="Q752" s="10">
        <f>CHOOSE(CONTROL!$C$42, 23.3702, 23.3702) * CHOOSE(CONTROL!$C$21, $C$9, 100%, $E$9)</f>
        <v>23.370200000000001</v>
      </c>
      <c r="R752" s="10">
        <f>CHOOSE(CONTROL!$C$42, 24.0156, 24.0156) * CHOOSE(CONTROL!$C$21, $C$9, 100%, $E$9)</f>
        <v>24.015599999999999</v>
      </c>
      <c r="S752" s="10">
        <f>CHOOSE(CONTROL!$C$42, 22.1281, 22.1281) * CHOOSE(CONTROL!$C$21, $C$9, 100%, $E$9)</f>
        <v>22.1281</v>
      </c>
      <c r="T7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38">
        <f>(1000*CHOOSE(CONTROL!$C$42, 695, 695)*CHOOSE(CONTROL!$C$42, 0.5599, 0.5599)*CHOOSE(CONTROL!$C$42, 31, 31))/1000000</f>
        <v>12.063045499999998</v>
      </c>
      <c r="V752" s="38">
        <f>(1000*CHOOSE(CONTROL!$C$42, 500, 500)*CHOOSE(CONTROL!$C$42, 0.275, 0.275)*CHOOSE(CONTROL!$C$42, 31, 31))/1000000</f>
        <v>4.2625000000000002</v>
      </c>
      <c r="W752" s="38">
        <f>(1000*CHOOSE(CONTROL!$C$42, 0.1146, 0.1146)*CHOOSE(CONTROL!$C$42, 121.5, 121.5)*CHOOSE(CONTROL!$C$42, 31, 31))/1000000</f>
        <v>0.43164089999999994</v>
      </c>
      <c r="X752" s="38">
        <f>(31*0.1790888*245000/1000000)+(31*0.2374*100000/1000000)</f>
        <v>2.0961194359999999</v>
      </c>
      <c r="Y752" s="38">
        <f>(1000*600*CHOOSE(CONTROL!$C$42, 1.0585, 1.0585)*CHOOSE(CONTROL!$C$42, 31, 31))/1000000</f>
        <v>19.688099999999999</v>
      </c>
      <c r="Z752" s="38"/>
      <c r="AA752" s="10"/>
      <c r="AB752" s="39"/>
      <c r="AC752" s="33">
        <f>(B752*194.205+C752*267.466+D752*133.845+E752*53.484+F752*40+G752*185+H752*0+I752*100+J752*300)/(194.205+267.466+133.845+53.484+0+40+185+100+300)</f>
        <v>22.842196873704868</v>
      </c>
      <c r="AD752" s="27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22.636917266187048</v>
      </c>
    </row>
    <row r="753" spans="1:30" ht="15.75" x14ac:dyDescent="0.25">
      <c r="A753" s="13">
        <v>64192</v>
      </c>
      <c r="B753" s="10">
        <f>CHOOSE(CONTROL!$C$42, 21.3866, 21.3866) * CHOOSE(CONTROL!$C$21, $C$9, 100%, $E$9)</f>
        <v>21.386600000000001</v>
      </c>
      <c r="C753" s="10">
        <f>CHOOSE(CONTROL!$C$42, 21.3946, 21.3946) * CHOOSE(CONTROL!$C$21, $C$9, 100%, $E$9)</f>
        <v>21.394600000000001</v>
      </c>
      <c r="D753" s="10">
        <f>CHOOSE(CONTROL!$C$42, 21.5698, 21.5698) * CHOOSE(CONTROL!$C$21, $C$9, 100%, $E$9)</f>
        <v>21.569800000000001</v>
      </c>
      <c r="E753" s="10">
        <f>CHOOSE(CONTROL!$C$42, 21.601, 21.601) * CHOOSE(CONTROL!$C$21, $C$9, 100%, $E$9)</f>
        <v>21.600999999999999</v>
      </c>
      <c r="F753" s="10">
        <f>CHOOSE(CONTROL!$C$42, 21.3284, 21.3284)*CHOOSE(CONTROL!$C$21, $C$9, 100%, $E$9)</f>
        <v>21.328399999999998</v>
      </c>
      <c r="G753" s="10">
        <f>CHOOSE(CONTROL!$C$42, 21.3454, 21.3454)*CHOOSE(CONTROL!$C$21, $C$9, 100%, $E$9)</f>
        <v>21.345400000000001</v>
      </c>
      <c r="H753" s="10">
        <f>CHOOSE(CONTROL!$C$42, 21.5893, 21.5893) * CHOOSE(CONTROL!$C$21, $C$9, 100%, $E$9)</f>
        <v>21.589300000000001</v>
      </c>
      <c r="I753" s="10">
        <f>CHOOSE(CONTROL!$C$42, 21.3613, 21.3613)* CHOOSE(CONTROL!$C$21, $C$9, 100%, $E$9)</f>
        <v>21.3613</v>
      </c>
      <c r="J753" s="10">
        <f>CHOOSE(CONTROL!$C$42, 21.321, 21.321)* CHOOSE(CONTROL!$C$21, $C$9, 100%, $E$9)</f>
        <v>21.321000000000002</v>
      </c>
      <c r="K753" s="10">
        <f>CHOOSE(CONTROL!$C$42, 20.8513, 20.8513) * CHOOSE(CONTROL!$C$21, $C$9, 100%, $E$9)</f>
        <v>20.851299999999998</v>
      </c>
      <c r="L753" s="10">
        <f>CHOOSE(CONTROL!$C$42, 22.1763, 22.1763) * CHOOSE(CONTROL!$C$21, $C$9, 100%, $E$9)</f>
        <v>22.176300000000001</v>
      </c>
      <c r="M753" s="10">
        <f>CHOOSE(CONTROL!$C$42, 21.0781, 21.0781) * CHOOSE(CONTROL!$C$21, $C$9, 100%, $E$9)</f>
        <v>21.078099999999999</v>
      </c>
      <c r="N753" s="10">
        <f>CHOOSE(CONTROL!$C$42, 21.0948, 21.0948) * CHOOSE(CONTROL!$C$21, $C$9, 100%, $E$9)</f>
        <v>21.094799999999999</v>
      </c>
      <c r="O753" s="10">
        <f>CHOOSE(CONTROL!$C$42, 21.3429, 21.3429) * CHOOSE(CONTROL!$C$21, $C$9, 100%, $E$9)</f>
        <v>21.3429</v>
      </c>
      <c r="P753" s="10">
        <f>CHOOSE(CONTROL!$C$42, 21.1178, 21.1178) * CHOOSE(CONTROL!$C$21, $C$9, 100%, $E$9)</f>
        <v>21.117799999999999</v>
      </c>
      <c r="Q753" s="10">
        <f>CHOOSE(CONTROL!$C$42, 21.9382, 21.9382) * CHOOSE(CONTROL!$C$21, $C$9, 100%, $E$9)</f>
        <v>21.938199999999998</v>
      </c>
      <c r="R753" s="10">
        <f>CHOOSE(CONTROL!$C$42, 22.58, 22.58) * CHOOSE(CONTROL!$C$21, $C$9, 100%, $E$9)</f>
        <v>22.58</v>
      </c>
      <c r="S753" s="10">
        <f>CHOOSE(CONTROL!$C$42, 20.7233, 20.7233) * CHOOSE(CONTROL!$C$21, $C$9, 100%, $E$9)</f>
        <v>20.723299999999998</v>
      </c>
      <c r="T7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38">
        <f>(1000*CHOOSE(CONTROL!$C$42, 695, 695)*CHOOSE(CONTROL!$C$42, 0.5599, 0.5599)*CHOOSE(CONTROL!$C$42, 30, 30))/1000000</f>
        <v>11.673914999999997</v>
      </c>
      <c r="V753" s="38">
        <f>(1000*CHOOSE(CONTROL!$C$42, 500, 500)*CHOOSE(CONTROL!$C$42, 0.275, 0.275)*CHOOSE(CONTROL!$C$42, 30, 30))/1000000</f>
        <v>4.125</v>
      </c>
      <c r="W753" s="38">
        <f>(1000*CHOOSE(CONTROL!$C$42, 0.1146, 0.1146)*CHOOSE(CONTROL!$C$42, 121.5, 121.5)*CHOOSE(CONTROL!$C$42, 30, 30))/1000000</f>
        <v>0.417717</v>
      </c>
      <c r="X753" s="38">
        <f>(30*0.1790888*245000/1000000)+(30*0.2374*100000/1000000)</f>
        <v>2.0285026799999999</v>
      </c>
      <c r="Y753" s="38">
        <f>(1000*600*CHOOSE(CONTROL!$C$42, 1.0585, 1.0585)*CHOOSE(CONTROL!$C$42, 30, 30))/1000000</f>
        <v>19.053000000000001</v>
      </c>
      <c r="Z753" s="38"/>
      <c r="AA753" s="10"/>
      <c r="AB753" s="39"/>
      <c r="AC753" s="33">
        <f>(B753*194.205+C753*267.466+D753*133.845+E753*53.484+F753*40+G753*185+H753*0+I753*100+J753*300)/(194.205+267.466+133.845+53.484+0+40+185+100+300)</f>
        <v>21.391283753218211</v>
      </c>
      <c r="AD753" s="27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21.204790647482014</v>
      </c>
    </row>
    <row r="754" spans="1:30" ht="15.75" x14ac:dyDescent="0.25">
      <c r="A754" s="13">
        <v>64223</v>
      </c>
      <c r="B754" s="10">
        <f>CHOOSE(CONTROL!$C$42, 20.95, 20.95) * CHOOSE(CONTROL!$C$21, $C$9, 100%, $E$9)</f>
        <v>20.95</v>
      </c>
      <c r="C754" s="10">
        <f>CHOOSE(CONTROL!$C$42, 20.9554, 20.9554) * CHOOSE(CONTROL!$C$21, $C$9, 100%, $E$9)</f>
        <v>20.955400000000001</v>
      </c>
      <c r="D754" s="10">
        <f>CHOOSE(CONTROL!$C$42, 21.1353, 21.1353) * CHOOSE(CONTROL!$C$21, $C$9, 100%, $E$9)</f>
        <v>21.135300000000001</v>
      </c>
      <c r="E754" s="10">
        <f>CHOOSE(CONTROL!$C$42, 21.1643, 21.1643) * CHOOSE(CONTROL!$C$21, $C$9, 100%, $E$9)</f>
        <v>21.164300000000001</v>
      </c>
      <c r="F754" s="10">
        <f>CHOOSE(CONTROL!$C$42, 20.8938, 20.8938)*CHOOSE(CONTROL!$C$21, $C$9, 100%, $E$9)</f>
        <v>20.893799999999999</v>
      </c>
      <c r="G754" s="10">
        <f>CHOOSE(CONTROL!$C$42, 20.9104, 20.9104)*CHOOSE(CONTROL!$C$21, $C$9, 100%, $E$9)</f>
        <v>20.910399999999999</v>
      </c>
      <c r="H754" s="10">
        <f>CHOOSE(CONTROL!$C$42, 21.1544, 21.1544) * CHOOSE(CONTROL!$C$21, $C$9, 100%, $E$9)</f>
        <v>21.154399999999999</v>
      </c>
      <c r="I754" s="10">
        <f>CHOOSE(CONTROL!$C$42, 20.9264, 20.9264)* CHOOSE(CONTROL!$C$21, $C$9, 100%, $E$9)</f>
        <v>20.926400000000001</v>
      </c>
      <c r="J754" s="10">
        <f>CHOOSE(CONTROL!$C$42, 20.8864, 20.8864)* CHOOSE(CONTROL!$C$21, $C$9, 100%, $E$9)</f>
        <v>20.886399999999998</v>
      </c>
      <c r="K754" s="10">
        <f>CHOOSE(CONTROL!$C$42, 20.4306, 20.4306) * CHOOSE(CONTROL!$C$21, $C$9, 100%, $E$9)</f>
        <v>20.430599999999998</v>
      </c>
      <c r="L754" s="10">
        <f>CHOOSE(CONTROL!$C$42, 21.7414, 21.7414) * CHOOSE(CONTROL!$C$21, $C$9, 100%, $E$9)</f>
        <v>21.741399999999999</v>
      </c>
      <c r="M754" s="10">
        <f>CHOOSE(CONTROL!$C$42, 20.649, 20.649) * CHOOSE(CONTROL!$C$21, $C$9, 100%, $E$9)</f>
        <v>20.649000000000001</v>
      </c>
      <c r="N754" s="10">
        <f>CHOOSE(CONTROL!$C$42, 20.6654, 20.6654) * CHOOSE(CONTROL!$C$21, $C$9, 100%, $E$9)</f>
        <v>20.665400000000002</v>
      </c>
      <c r="O754" s="10">
        <f>CHOOSE(CONTROL!$C$42, 20.9136, 20.9136) * CHOOSE(CONTROL!$C$21, $C$9, 100%, $E$9)</f>
        <v>20.913599999999999</v>
      </c>
      <c r="P754" s="10">
        <f>CHOOSE(CONTROL!$C$42, 20.6886, 20.6886) * CHOOSE(CONTROL!$C$21, $C$9, 100%, $E$9)</f>
        <v>20.688600000000001</v>
      </c>
      <c r="Q754" s="10">
        <f>CHOOSE(CONTROL!$C$42, 21.5089, 21.5089) * CHOOSE(CONTROL!$C$21, $C$9, 100%, $E$9)</f>
        <v>21.508900000000001</v>
      </c>
      <c r="R754" s="10">
        <f>CHOOSE(CONTROL!$C$42, 22.1497, 22.1497) * CHOOSE(CONTROL!$C$21, $C$9, 100%, $E$9)</f>
        <v>22.149699999999999</v>
      </c>
      <c r="S754" s="10">
        <f>CHOOSE(CONTROL!$C$42, 20.3022, 20.3022) * CHOOSE(CONTROL!$C$21, $C$9, 100%, $E$9)</f>
        <v>20.302199999999999</v>
      </c>
      <c r="T7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38">
        <f>(1000*CHOOSE(CONTROL!$C$42, 695, 695)*CHOOSE(CONTROL!$C$42, 0.5599, 0.5599)*CHOOSE(CONTROL!$C$42, 31, 31))/1000000</f>
        <v>12.063045499999998</v>
      </c>
      <c r="V754" s="38">
        <f>(1000*CHOOSE(CONTROL!$C$42, 500, 500)*CHOOSE(CONTROL!$C$42, 0.275, 0.275)*CHOOSE(CONTROL!$C$42, 31, 31))/1000000</f>
        <v>4.2625000000000002</v>
      </c>
      <c r="W754" s="38">
        <f>(1000*CHOOSE(CONTROL!$C$42, 0.1146, 0.1146)*CHOOSE(CONTROL!$C$42, 121.5, 121.5)*CHOOSE(CONTROL!$C$42, 31, 31))/1000000</f>
        <v>0.43164089999999994</v>
      </c>
      <c r="X754" s="38">
        <f>(31*0.1790888*245000/1000000)+(31*0.2374*100000/1000000)</f>
        <v>2.0961194359999999</v>
      </c>
      <c r="Y754" s="38">
        <f>(1000*600*CHOOSE(CONTROL!$C$42, 1.0585, 1.0585)*CHOOSE(CONTROL!$C$42, 31, 31))/1000000</f>
        <v>19.688099999999999</v>
      </c>
      <c r="Z754" s="38"/>
      <c r="AA754" s="10"/>
      <c r="AB754" s="39"/>
      <c r="AC754" s="33">
        <f>(B754*131.881+C754*277.167+D754*79.08+E754*125.872+F754*40+G754*185+H754*0+I754*100+J754*300)/(131.881+277.167+79.08+125.872+0+40+185+100+300)</f>
        <v>20.959774491848261</v>
      </c>
      <c r="AD754" s="27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20.775568345323741</v>
      </c>
    </row>
    <row r="755" spans="1:30" ht="15.75" x14ac:dyDescent="0.25">
      <c r="A755" s="13">
        <v>64253</v>
      </c>
      <c r="B755" s="10">
        <f>CHOOSE(CONTROL!$C$42, 21.5019, 21.5019) * CHOOSE(CONTROL!$C$21, $C$9, 100%, $E$9)</f>
        <v>21.501899999999999</v>
      </c>
      <c r="C755" s="10">
        <f>CHOOSE(CONTROL!$C$42, 21.507, 21.507) * CHOOSE(CONTROL!$C$21, $C$9, 100%, $E$9)</f>
        <v>21.507000000000001</v>
      </c>
      <c r="D755" s="10">
        <f>CHOOSE(CONTROL!$C$42, 21.5317, 21.5317) * CHOOSE(CONTROL!$C$21, $C$9, 100%, $E$9)</f>
        <v>21.531700000000001</v>
      </c>
      <c r="E755" s="10">
        <f>CHOOSE(CONTROL!$C$42, 21.5655, 21.5655) * CHOOSE(CONTROL!$C$21, $C$9, 100%, $E$9)</f>
        <v>21.5655</v>
      </c>
      <c r="F755" s="10">
        <f>CHOOSE(CONTROL!$C$42, 21.4676, 21.4676)*CHOOSE(CONTROL!$C$21, $C$9, 100%, $E$9)</f>
        <v>21.467600000000001</v>
      </c>
      <c r="G755" s="10">
        <f>CHOOSE(CONTROL!$C$42, 21.4844, 21.4844)*CHOOSE(CONTROL!$C$21, $C$9, 100%, $E$9)</f>
        <v>21.484400000000001</v>
      </c>
      <c r="H755" s="10">
        <f>CHOOSE(CONTROL!$C$42, 21.5544, 21.5544) * CHOOSE(CONTROL!$C$21, $C$9, 100%, $E$9)</f>
        <v>21.554400000000001</v>
      </c>
      <c r="I755" s="10">
        <f>CHOOSE(CONTROL!$C$42, 21.5014, 21.5014)* CHOOSE(CONTROL!$C$21, $C$9, 100%, $E$9)</f>
        <v>21.5014</v>
      </c>
      <c r="J755" s="10">
        <f>CHOOSE(CONTROL!$C$42, 21.4602, 21.4602)* CHOOSE(CONTROL!$C$21, $C$9, 100%, $E$9)</f>
        <v>21.4602</v>
      </c>
      <c r="K755" s="10">
        <f>CHOOSE(CONTROL!$C$42, 20.9895, 20.9895) * CHOOSE(CONTROL!$C$21, $C$9, 100%, $E$9)</f>
        <v>20.9895</v>
      </c>
      <c r="L755" s="10">
        <f>CHOOSE(CONTROL!$C$42, 22.1414, 22.1414) * CHOOSE(CONTROL!$C$21, $C$9, 100%, $E$9)</f>
        <v>22.141400000000001</v>
      </c>
      <c r="M755" s="10">
        <f>CHOOSE(CONTROL!$C$42, 21.2154, 21.2154) * CHOOSE(CONTROL!$C$21, $C$9, 100%, $E$9)</f>
        <v>21.215399999999999</v>
      </c>
      <c r="N755" s="10">
        <f>CHOOSE(CONTROL!$C$42, 21.232, 21.232) * CHOOSE(CONTROL!$C$21, $C$9, 100%, $E$9)</f>
        <v>21.231999999999999</v>
      </c>
      <c r="O755" s="10">
        <f>CHOOSE(CONTROL!$C$42, 21.3084, 21.3084) * CHOOSE(CONTROL!$C$21, $C$9, 100%, $E$9)</f>
        <v>21.308399999999999</v>
      </c>
      <c r="P755" s="10">
        <f>CHOOSE(CONTROL!$C$42, 21.2562, 21.2562) * CHOOSE(CONTROL!$C$21, $C$9, 100%, $E$9)</f>
        <v>21.2562</v>
      </c>
      <c r="Q755" s="10">
        <f>CHOOSE(CONTROL!$C$42, 21.9037, 21.9037) * CHOOSE(CONTROL!$C$21, $C$9, 100%, $E$9)</f>
        <v>21.903700000000001</v>
      </c>
      <c r="R755" s="10">
        <f>CHOOSE(CONTROL!$C$42, 22.5455, 22.5455) * CHOOSE(CONTROL!$C$21, $C$9, 100%, $E$9)</f>
        <v>22.545500000000001</v>
      </c>
      <c r="S755" s="10">
        <f>CHOOSE(CONTROL!$C$42, 20.837, 20.837) * CHOOSE(CONTROL!$C$21, $C$9, 100%, $E$9)</f>
        <v>20.837</v>
      </c>
      <c r="T7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38">
        <f>(1000*CHOOSE(CONTROL!$C$42, 695, 695)*CHOOSE(CONTROL!$C$42, 0.5599, 0.5599)*CHOOSE(CONTROL!$C$42, 30, 30))/1000000</f>
        <v>11.673914999999997</v>
      </c>
      <c r="V755" s="38">
        <f>(1000*CHOOSE(CONTROL!$C$42, 500, 500)*CHOOSE(CONTROL!$C$42, 0.275, 0.275)*CHOOSE(CONTROL!$C$42, 30, 30))/1000000</f>
        <v>4.125</v>
      </c>
      <c r="W755" s="38">
        <f>(1000*CHOOSE(CONTROL!$C$42, 0.1146, 0.1146)*CHOOSE(CONTROL!$C$42, 121.5, 121.5)*CHOOSE(CONTROL!$C$42, 30, 30))/1000000</f>
        <v>0.417717</v>
      </c>
      <c r="X755" s="38">
        <f>(30*0.1790888*100000/1000000)+(30*0.2374*100000/1000000)</f>
        <v>1.2494664</v>
      </c>
      <c r="Y755" s="38">
        <f>(1000*600*CHOOSE(CONTROL!$C$42, 1.0585, 1.0585)*CHOOSE(CONTROL!$C$42, 30, 30))/1000000</f>
        <v>19.053000000000001</v>
      </c>
      <c r="Z755" s="38"/>
      <c r="AA755" s="10"/>
      <c r="AB755" s="39"/>
      <c r="AC755" s="33">
        <f>(B755*122.58+C755*297.941+D755*89.177+E755*40.302+F755*40+G755*160+H755*0+I755*100+J755*300)/(122.58+297.941+89.177+40.302+0+40+160+100+300)</f>
        <v>21.493211461652177</v>
      </c>
      <c r="AD755" s="27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21.264376978417264</v>
      </c>
    </row>
    <row r="756" spans="1:30" ht="15.75" x14ac:dyDescent="0.25">
      <c r="A756" s="13">
        <v>64284</v>
      </c>
      <c r="B756" s="10">
        <f>CHOOSE(CONTROL!$C$42, 22.9691, 22.9691) * CHOOSE(CONTROL!$C$21, $C$9, 100%, $E$9)</f>
        <v>22.969100000000001</v>
      </c>
      <c r="C756" s="10">
        <f>CHOOSE(CONTROL!$C$42, 22.9742, 22.9742) * CHOOSE(CONTROL!$C$21, $C$9, 100%, $E$9)</f>
        <v>22.9742</v>
      </c>
      <c r="D756" s="10">
        <f>CHOOSE(CONTROL!$C$42, 22.9988, 22.9988) * CHOOSE(CONTROL!$C$21, $C$9, 100%, $E$9)</f>
        <v>22.998799999999999</v>
      </c>
      <c r="E756" s="10">
        <f>CHOOSE(CONTROL!$C$42, 23.0326, 23.0326) * CHOOSE(CONTROL!$C$21, $C$9, 100%, $E$9)</f>
        <v>23.032599999999999</v>
      </c>
      <c r="F756" s="10">
        <f>CHOOSE(CONTROL!$C$42, 22.9365, 22.9365)*CHOOSE(CONTROL!$C$21, $C$9, 100%, $E$9)</f>
        <v>22.936499999999999</v>
      </c>
      <c r="G756" s="10">
        <f>CHOOSE(CONTROL!$C$42, 22.9538, 22.9538)*CHOOSE(CONTROL!$C$21, $C$9, 100%, $E$9)</f>
        <v>22.953800000000001</v>
      </c>
      <c r="H756" s="10">
        <f>CHOOSE(CONTROL!$C$42, 23.0215, 23.0215) * CHOOSE(CONTROL!$C$21, $C$9, 100%, $E$9)</f>
        <v>23.0215</v>
      </c>
      <c r="I756" s="10">
        <f>CHOOSE(CONTROL!$C$42, 22.9686, 22.9686)* CHOOSE(CONTROL!$C$21, $C$9, 100%, $E$9)</f>
        <v>22.968599999999999</v>
      </c>
      <c r="J756" s="10">
        <f>CHOOSE(CONTROL!$C$42, 22.9291, 22.9291)* CHOOSE(CONTROL!$C$21, $C$9, 100%, $E$9)</f>
        <v>22.929099999999998</v>
      </c>
      <c r="K756" s="10">
        <f>CHOOSE(CONTROL!$C$42, 22.4146, 22.4146) * CHOOSE(CONTROL!$C$21, $C$9, 100%, $E$9)</f>
        <v>22.4146</v>
      </c>
      <c r="L756" s="10">
        <f>CHOOSE(CONTROL!$C$42, 23.6085, 23.6085) * CHOOSE(CONTROL!$C$21, $C$9, 100%, $E$9)</f>
        <v>23.608499999999999</v>
      </c>
      <c r="M756" s="10">
        <f>CHOOSE(CONTROL!$C$42, 22.6653, 22.6653) * CHOOSE(CONTROL!$C$21, $C$9, 100%, $E$9)</f>
        <v>22.665299999999998</v>
      </c>
      <c r="N756" s="10">
        <f>CHOOSE(CONTROL!$C$42, 22.6823, 22.6823) * CHOOSE(CONTROL!$C$21, $C$9, 100%, $E$9)</f>
        <v>22.682300000000001</v>
      </c>
      <c r="O756" s="10">
        <f>CHOOSE(CONTROL!$C$42, 22.7565, 22.7565) * CHOOSE(CONTROL!$C$21, $C$9, 100%, $E$9)</f>
        <v>22.756499999999999</v>
      </c>
      <c r="P756" s="10">
        <f>CHOOSE(CONTROL!$C$42, 22.7043, 22.7043) * CHOOSE(CONTROL!$C$21, $C$9, 100%, $E$9)</f>
        <v>22.7043</v>
      </c>
      <c r="Q756" s="10">
        <f>CHOOSE(CONTROL!$C$42, 23.3518, 23.3518) * CHOOSE(CONTROL!$C$21, $C$9, 100%, $E$9)</f>
        <v>23.351800000000001</v>
      </c>
      <c r="R756" s="10">
        <f>CHOOSE(CONTROL!$C$42, 23.9972, 23.9972) * CHOOSE(CONTROL!$C$21, $C$9, 100%, $E$9)</f>
        <v>23.997199999999999</v>
      </c>
      <c r="S756" s="10">
        <f>CHOOSE(CONTROL!$C$42, 22.2576, 22.2576) * CHOOSE(CONTROL!$C$21, $C$9, 100%, $E$9)</f>
        <v>22.2576</v>
      </c>
      <c r="T7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38">
        <f>(1000*CHOOSE(CONTROL!$C$42, 695, 695)*CHOOSE(CONTROL!$C$42, 0.5599, 0.5599)*CHOOSE(CONTROL!$C$42, 31, 31))/1000000</f>
        <v>12.063045499999998</v>
      </c>
      <c r="V756" s="38">
        <f>(1000*CHOOSE(CONTROL!$C$42, 500, 500)*CHOOSE(CONTROL!$C$42, 0.275, 0.275)*CHOOSE(CONTROL!$C$42, 31, 31))/1000000</f>
        <v>4.2625000000000002</v>
      </c>
      <c r="W756" s="38">
        <f>(1000*CHOOSE(CONTROL!$C$42, 0.1146, 0.1146)*CHOOSE(CONTROL!$C$42, 121.5, 121.5)*CHOOSE(CONTROL!$C$42, 31, 31))/1000000</f>
        <v>0.43164089999999994</v>
      </c>
      <c r="X756" s="38">
        <f>(31*0.1790888*100000/1000000)+(31*0.2374*100000/1000000)</f>
        <v>1.2911152800000001</v>
      </c>
      <c r="Y756" s="38">
        <f>(1000*600*CHOOSE(CONTROL!$C$42, 1.0585, 1.0585)*CHOOSE(CONTROL!$C$42, 31, 31))/1000000</f>
        <v>19.688099999999999</v>
      </c>
      <c r="Z756" s="38"/>
      <c r="AA756" s="10"/>
      <c r="AB756" s="39"/>
      <c r="AC756" s="33">
        <f>(B756*122.58+C756*297.941+D756*89.177+E756*40.302+F756*40+G756*160+H756*0+I756*100+J756*300)/(122.58+297.941+89.177+40.302+0+40+160+100+300)</f>
        <v>22.961208898260871</v>
      </c>
      <c r="AD756" s="27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22.713225179856117</v>
      </c>
    </row>
    <row r="757" spans="1:30" ht="15.75" x14ac:dyDescent="0.25">
      <c r="A757" s="13">
        <v>64315</v>
      </c>
      <c r="B757" s="10">
        <f>CHOOSE(CONTROL!$C$42, 24.5204, 24.5204) * CHOOSE(CONTROL!$C$21, $C$9, 100%, $E$9)</f>
        <v>24.520399999999999</v>
      </c>
      <c r="C757" s="10">
        <f>CHOOSE(CONTROL!$C$42, 24.5255, 24.5255) * CHOOSE(CONTROL!$C$21, $C$9, 100%, $E$9)</f>
        <v>24.525500000000001</v>
      </c>
      <c r="D757" s="10">
        <f>CHOOSE(CONTROL!$C$42, 24.5606, 24.5606) * CHOOSE(CONTROL!$C$21, $C$9, 100%, $E$9)</f>
        <v>24.560600000000001</v>
      </c>
      <c r="E757" s="10">
        <f>CHOOSE(CONTROL!$C$42, 24.5944, 24.5944) * CHOOSE(CONTROL!$C$21, $C$9, 100%, $E$9)</f>
        <v>24.5944</v>
      </c>
      <c r="F757" s="10">
        <f>CHOOSE(CONTROL!$C$42, 24.5017, 24.5017)*CHOOSE(CONTROL!$C$21, $C$9, 100%, $E$9)</f>
        <v>24.5017</v>
      </c>
      <c r="G757" s="10">
        <f>CHOOSE(CONTROL!$C$42, 24.5206, 24.5206)*CHOOSE(CONTROL!$C$21, $C$9, 100%, $E$9)</f>
        <v>24.520600000000002</v>
      </c>
      <c r="H757" s="10">
        <f>CHOOSE(CONTROL!$C$42, 24.5832, 24.5832) * CHOOSE(CONTROL!$C$21, $C$9, 100%, $E$9)</f>
        <v>24.583200000000001</v>
      </c>
      <c r="I757" s="10">
        <f>CHOOSE(CONTROL!$C$42, 24.5277, 24.5277)* CHOOSE(CONTROL!$C$21, $C$9, 100%, $E$9)</f>
        <v>24.527699999999999</v>
      </c>
      <c r="J757" s="10">
        <f>CHOOSE(CONTROL!$C$42, 24.4943, 24.4943)* CHOOSE(CONTROL!$C$21, $C$9, 100%, $E$9)</f>
        <v>24.494299999999999</v>
      </c>
      <c r="K757" s="10">
        <f>CHOOSE(CONTROL!$C$42, 23.9384, 23.9384) * CHOOSE(CONTROL!$C$21, $C$9, 100%, $E$9)</f>
        <v>23.938400000000001</v>
      </c>
      <c r="L757" s="10">
        <f>CHOOSE(CONTROL!$C$42, 25.1702, 25.1702) * CHOOSE(CONTROL!$C$21, $C$9, 100%, $E$9)</f>
        <v>25.170200000000001</v>
      </c>
      <c r="M757" s="10">
        <f>CHOOSE(CONTROL!$C$42, 24.2103, 24.2103) * CHOOSE(CONTROL!$C$21, $C$9, 100%, $E$9)</f>
        <v>24.2103</v>
      </c>
      <c r="N757" s="10">
        <f>CHOOSE(CONTROL!$C$42, 24.2289, 24.2289) * CHOOSE(CONTROL!$C$21, $C$9, 100%, $E$9)</f>
        <v>24.228899999999999</v>
      </c>
      <c r="O757" s="10">
        <f>CHOOSE(CONTROL!$C$42, 24.298, 24.298) * CHOOSE(CONTROL!$C$21, $C$9, 100%, $E$9)</f>
        <v>24.297999999999998</v>
      </c>
      <c r="P757" s="10">
        <f>CHOOSE(CONTROL!$C$42, 24.2433, 24.2433) * CHOOSE(CONTROL!$C$21, $C$9, 100%, $E$9)</f>
        <v>24.243300000000001</v>
      </c>
      <c r="Q757" s="10">
        <f>CHOOSE(CONTROL!$C$42, 24.8933, 24.8933) * CHOOSE(CONTROL!$C$21, $C$9, 100%, $E$9)</f>
        <v>24.8933</v>
      </c>
      <c r="R757" s="10">
        <f>CHOOSE(CONTROL!$C$42, 25.5426, 25.5426) * CHOOSE(CONTROL!$C$21, $C$9, 100%, $E$9)</f>
        <v>25.5426</v>
      </c>
      <c r="S757" s="10">
        <f>CHOOSE(CONTROL!$C$42, 23.7598, 23.7598) * CHOOSE(CONTROL!$C$21, $C$9, 100%, $E$9)</f>
        <v>23.759799999999998</v>
      </c>
      <c r="T75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38">
        <f>(1000*CHOOSE(CONTROL!$C$42, 695, 695)*CHOOSE(CONTROL!$C$42, 0.5599, 0.5599)*CHOOSE(CONTROL!$C$42, 31, 31))/1000000</f>
        <v>12.063045499999998</v>
      </c>
      <c r="V757" s="38">
        <f>(1000*CHOOSE(CONTROL!$C$42, 500, 500)*CHOOSE(CONTROL!$C$42, 0.275, 0.275)*CHOOSE(CONTROL!$C$42, 31, 31))/1000000</f>
        <v>4.2625000000000002</v>
      </c>
      <c r="W757" s="38">
        <f>(1000*CHOOSE(CONTROL!$C$42, 0.1146, 0.1146)*CHOOSE(CONTROL!$C$42, 121.5, 121.5)*CHOOSE(CONTROL!$C$42, 31, 31))/1000000</f>
        <v>0.43164089999999994</v>
      </c>
      <c r="X757" s="38">
        <f>(31*0.1790888*100000/1000000)+(31*0.2374*100000/1000000)</f>
        <v>1.2911152800000001</v>
      </c>
      <c r="Y757" s="38">
        <f>(1000*600*CHOOSE(CONTROL!$C$42, 1.0585, 1.0585)*CHOOSE(CONTROL!$C$42, 31, 31))/1000000</f>
        <v>19.688099999999999</v>
      </c>
      <c r="Z757" s="38"/>
      <c r="AA757" s="10"/>
      <c r="AB757" s="39"/>
      <c r="AC757" s="33">
        <f>(B757*122.58+C757*297.941+D757*89.177+E757*40.302+F757*40+G757*160+H757*0+I757*100+J757*300)/(122.58+297.941+89.177+40.302+0+40+160+100+300)</f>
        <v>24.520635445652175</v>
      </c>
      <c r="AD757" s="27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24.255867625899281</v>
      </c>
    </row>
    <row r="758" spans="1:30" ht="15.75" x14ac:dyDescent="0.25">
      <c r="A758" s="13">
        <v>64344</v>
      </c>
      <c r="B758" s="10">
        <f>CHOOSE(CONTROL!$C$42, 24.9572, 24.9572) * CHOOSE(CONTROL!$C$21, $C$9, 100%, $E$9)</f>
        <v>24.9572</v>
      </c>
      <c r="C758" s="10">
        <f>CHOOSE(CONTROL!$C$42, 24.9623, 24.9623) * CHOOSE(CONTROL!$C$21, $C$9, 100%, $E$9)</f>
        <v>24.962299999999999</v>
      </c>
      <c r="D758" s="10">
        <f>CHOOSE(CONTROL!$C$42, 24.9973, 24.9973) * CHOOSE(CONTROL!$C$21, $C$9, 100%, $E$9)</f>
        <v>24.997299999999999</v>
      </c>
      <c r="E758" s="10">
        <f>CHOOSE(CONTROL!$C$42, 25.0312, 25.0312) * CHOOSE(CONTROL!$C$21, $C$9, 100%, $E$9)</f>
        <v>25.031199999999998</v>
      </c>
      <c r="F758" s="10">
        <f>CHOOSE(CONTROL!$C$42, 24.938, 24.938)*CHOOSE(CONTROL!$C$21, $C$9, 100%, $E$9)</f>
        <v>24.937999999999999</v>
      </c>
      <c r="G758" s="10">
        <f>CHOOSE(CONTROL!$C$42, 24.9567, 24.9567)*CHOOSE(CONTROL!$C$21, $C$9, 100%, $E$9)</f>
        <v>24.956700000000001</v>
      </c>
      <c r="H758" s="10">
        <f>CHOOSE(CONTROL!$C$42, 25.02, 25.02) * CHOOSE(CONTROL!$C$21, $C$9, 100%, $E$9)</f>
        <v>25.02</v>
      </c>
      <c r="I758" s="10">
        <f>CHOOSE(CONTROL!$C$42, 24.9645, 24.9645)* CHOOSE(CONTROL!$C$21, $C$9, 100%, $E$9)</f>
        <v>24.964500000000001</v>
      </c>
      <c r="J758" s="10">
        <f>CHOOSE(CONTROL!$C$42, 24.9306, 24.9306)* CHOOSE(CONTROL!$C$21, $C$9, 100%, $E$9)</f>
        <v>24.930599999999998</v>
      </c>
      <c r="K758" s="10">
        <f>CHOOSE(CONTROL!$C$42, 24.3604, 24.3604) * CHOOSE(CONTROL!$C$21, $C$9, 100%, $E$9)</f>
        <v>24.360399999999998</v>
      </c>
      <c r="L758" s="10">
        <f>CHOOSE(CONTROL!$C$42, 25.607, 25.607) * CHOOSE(CONTROL!$C$21, $C$9, 100%, $E$9)</f>
        <v>25.606999999999999</v>
      </c>
      <c r="M758" s="10">
        <f>CHOOSE(CONTROL!$C$42, 24.6409, 24.6409) * CHOOSE(CONTROL!$C$21, $C$9, 100%, $E$9)</f>
        <v>24.640899999999998</v>
      </c>
      <c r="N758" s="10">
        <f>CHOOSE(CONTROL!$C$42, 24.6594, 24.6594) * CHOOSE(CONTROL!$C$21, $C$9, 100%, $E$9)</f>
        <v>24.659400000000002</v>
      </c>
      <c r="O758" s="10">
        <f>CHOOSE(CONTROL!$C$42, 24.7292, 24.7292) * CHOOSE(CONTROL!$C$21, $C$9, 100%, $E$9)</f>
        <v>24.729199999999999</v>
      </c>
      <c r="P758" s="10">
        <f>CHOOSE(CONTROL!$C$42, 24.6744, 24.6744) * CHOOSE(CONTROL!$C$21, $C$9, 100%, $E$9)</f>
        <v>24.674399999999999</v>
      </c>
      <c r="Q758" s="10">
        <f>CHOOSE(CONTROL!$C$42, 25.3245, 25.3245) * CHOOSE(CONTROL!$C$21, $C$9, 100%, $E$9)</f>
        <v>25.3245</v>
      </c>
      <c r="R758" s="10">
        <f>CHOOSE(CONTROL!$C$42, 25.9748, 25.9748) * CHOOSE(CONTROL!$C$21, $C$9, 100%, $E$9)</f>
        <v>25.974799999999998</v>
      </c>
      <c r="S758" s="10">
        <f>CHOOSE(CONTROL!$C$42, 24.1828, 24.1828) * CHOOSE(CONTROL!$C$21, $C$9, 100%, $E$9)</f>
        <v>24.1828</v>
      </c>
      <c r="T75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58" s="38">
        <f>(1000*CHOOSE(CONTROL!$C$42, 695, 695)*CHOOSE(CONTROL!$C$42, 0.5599, 0.5599)*CHOOSE(CONTROL!$C$42, 29, 29))/1000000</f>
        <v>11.284784499999999</v>
      </c>
      <c r="V758" s="38">
        <f>(1000*CHOOSE(CONTROL!$C$42, 500, 500)*CHOOSE(CONTROL!$C$42, 0.275, 0.275)*CHOOSE(CONTROL!$C$42, 29, 29))/1000000</f>
        <v>3.9874999999999998</v>
      </c>
      <c r="W758" s="38">
        <f>(1000*CHOOSE(CONTROL!$C$42, 0.1146, 0.1146)*CHOOSE(CONTROL!$C$42, 121.5, 121.5)*CHOOSE(CONTROL!$C$42, 29, 29))/1000000</f>
        <v>0.40379309999999996</v>
      </c>
      <c r="X758" s="38">
        <f>(29*0.1790888*100000/1000000)+(29*0.2374*100000/1000000)</f>
        <v>1.2078175199999999</v>
      </c>
      <c r="Y758" s="38">
        <f>(1000*600*CHOOSE(CONTROL!$C$42, 1.0585, 1.0585)*CHOOSE(CONTROL!$C$42, 29, 29))/1000000</f>
        <v>18.417899999999999</v>
      </c>
      <c r="Z758" s="38"/>
      <c r="AA758" s="10"/>
      <c r="AB758" s="39"/>
      <c r="AC758" s="33">
        <f>(B758*122.58+C758*297.941+D758*89.177+E758*40.302+F758*40+G758*160+H758*0+I758*100+J758*300)/(122.58+297.941+89.177+40.302+0+40+160+100+300)</f>
        <v>24.957182473739131</v>
      </c>
      <c r="AD758" s="27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24.686805755395682</v>
      </c>
    </row>
    <row r="759" spans="1:30" ht="15.75" x14ac:dyDescent="0.25">
      <c r="A759" s="13">
        <v>64375</v>
      </c>
      <c r="B759" s="10">
        <f>CHOOSE(CONTROL!$C$42, 24.2482, 24.2482) * CHOOSE(CONTROL!$C$21, $C$9, 100%, $E$9)</f>
        <v>24.248200000000001</v>
      </c>
      <c r="C759" s="10">
        <f>CHOOSE(CONTROL!$C$42, 24.2533, 24.2533) * CHOOSE(CONTROL!$C$21, $C$9, 100%, $E$9)</f>
        <v>24.253299999999999</v>
      </c>
      <c r="D759" s="10">
        <f>CHOOSE(CONTROL!$C$42, 24.2883, 24.2883) * CHOOSE(CONTROL!$C$21, $C$9, 100%, $E$9)</f>
        <v>24.2883</v>
      </c>
      <c r="E759" s="10">
        <f>CHOOSE(CONTROL!$C$42, 24.3221, 24.3221) * CHOOSE(CONTROL!$C$21, $C$9, 100%, $E$9)</f>
        <v>24.322099999999999</v>
      </c>
      <c r="F759" s="10">
        <f>CHOOSE(CONTROL!$C$42, 24.2276, 24.2276)*CHOOSE(CONTROL!$C$21, $C$9, 100%, $E$9)</f>
        <v>24.227599999999999</v>
      </c>
      <c r="G759" s="10">
        <f>CHOOSE(CONTROL!$C$42, 24.246, 24.246)*CHOOSE(CONTROL!$C$21, $C$9, 100%, $E$9)</f>
        <v>24.245999999999999</v>
      </c>
      <c r="H759" s="10">
        <f>CHOOSE(CONTROL!$C$42, 24.311, 24.311) * CHOOSE(CONTROL!$C$21, $C$9, 100%, $E$9)</f>
        <v>24.311</v>
      </c>
      <c r="I759" s="10">
        <f>CHOOSE(CONTROL!$C$42, 24.2555, 24.2555)* CHOOSE(CONTROL!$C$21, $C$9, 100%, $E$9)</f>
        <v>24.255500000000001</v>
      </c>
      <c r="J759" s="10">
        <f>CHOOSE(CONTROL!$C$42, 24.2202, 24.2202)* CHOOSE(CONTROL!$C$21, $C$9, 100%, $E$9)</f>
        <v>24.220199999999998</v>
      </c>
      <c r="K759" s="10">
        <f>CHOOSE(CONTROL!$C$42, 23.6705, 23.6705) * CHOOSE(CONTROL!$C$21, $C$9, 100%, $E$9)</f>
        <v>23.670500000000001</v>
      </c>
      <c r="L759" s="10">
        <f>CHOOSE(CONTROL!$C$42, 24.898, 24.898) * CHOOSE(CONTROL!$C$21, $C$9, 100%, $E$9)</f>
        <v>24.898</v>
      </c>
      <c r="M759" s="10">
        <f>CHOOSE(CONTROL!$C$42, 23.9397, 23.9397) * CHOOSE(CONTROL!$C$21, $C$9, 100%, $E$9)</f>
        <v>23.939699999999998</v>
      </c>
      <c r="N759" s="10">
        <f>CHOOSE(CONTROL!$C$42, 23.9578, 23.9578) * CHOOSE(CONTROL!$C$21, $C$9, 100%, $E$9)</f>
        <v>23.957799999999999</v>
      </c>
      <c r="O759" s="10">
        <f>CHOOSE(CONTROL!$C$42, 24.0293, 24.0293) * CHOOSE(CONTROL!$C$21, $C$9, 100%, $E$9)</f>
        <v>24.029299999999999</v>
      </c>
      <c r="P759" s="10">
        <f>CHOOSE(CONTROL!$C$42, 23.9746, 23.9746) * CHOOSE(CONTROL!$C$21, $C$9, 100%, $E$9)</f>
        <v>23.974599999999999</v>
      </c>
      <c r="Q759" s="10">
        <f>CHOOSE(CONTROL!$C$42, 24.6246, 24.6246) * CHOOSE(CONTROL!$C$21, $C$9, 100%, $E$9)</f>
        <v>24.624600000000001</v>
      </c>
      <c r="R759" s="10">
        <f>CHOOSE(CONTROL!$C$42, 25.2732, 25.2732) * CHOOSE(CONTROL!$C$21, $C$9, 100%, $E$9)</f>
        <v>25.273199999999999</v>
      </c>
      <c r="S759" s="10">
        <f>CHOOSE(CONTROL!$C$42, 23.4962, 23.4962) * CHOOSE(CONTROL!$C$21, $C$9, 100%, $E$9)</f>
        <v>23.496200000000002</v>
      </c>
      <c r="T75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38">
        <f>(1000*CHOOSE(CONTROL!$C$42, 695, 695)*CHOOSE(CONTROL!$C$42, 0.5599, 0.5599)*CHOOSE(CONTROL!$C$42, 31, 31))/1000000</f>
        <v>12.063045499999998</v>
      </c>
      <c r="V759" s="38">
        <f>(1000*CHOOSE(CONTROL!$C$42, 500, 500)*CHOOSE(CONTROL!$C$42, 0.275, 0.275)*CHOOSE(CONTROL!$C$42, 31, 31))/1000000</f>
        <v>4.2625000000000002</v>
      </c>
      <c r="W759" s="38">
        <f>(1000*CHOOSE(CONTROL!$C$42, 0.1146, 0.1146)*CHOOSE(CONTROL!$C$42, 121.5, 121.5)*CHOOSE(CONTROL!$C$42, 31, 31))/1000000</f>
        <v>0.43164089999999994</v>
      </c>
      <c r="X759" s="38">
        <f>(31*0.1790888*100000/1000000)+(31*0.2374*100000/1000000)</f>
        <v>1.2911152800000001</v>
      </c>
      <c r="Y759" s="38">
        <f>(1000*600*CHOOSE(CONTROL!$C$42, 1.0585, 1.0585)*CHOOSE(CONTROL!$C$42, 31, 31))/1000000</f>
        <v>19.688099999999999</v>
      </c>
      <c r="Z759" s="38"/>
      <c r="AA759" s="10"/>
      <c r="AB759" s="39"/>
      <c r="AC759" s="33">
        <f>(B759*122.58+C759*297.941+D759*89.177+E759*40.302+F759*40+G759*160+H759*0+I759*100+J759*300)/(122.58+297.941+89.177+40.302+0+40+160+100+300)</f>
        <v>24.247528534434778</v>
      </c>
      <c r="AD759" s="27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23.98637338129496</v>
      </c>
    </row>
    <row r="760" spans="1:30" ht="15.75" x14ac:dyDescent="0.25">
      <c r="A760" s="13">
        <v>64405</v>
      </c>
      <c r="B760" s="10">
        <f>CHOOSE(CONTROL!$C$42, 24.1763, 24.1763) * CHOOSE(CONTROL!$C$21, $C$9, 100%, $E$9)</f>
        <v>24.176300000000001</v>
      </c>
      <c r="C760" s="10">
        <f>CHOOSE(CONTROL!$C$42, 24.1809, 24.1809) * CHOOSE(CONTROL!$C$21, $C$9, 100%, $E$9)</f>
        <v>24.180900000000001</v>
      </c>
      <c r="D760" s="10">
        <f>CHOOSE(CONTROL!$C$42, 24.3591, 24.3591) * CHOOSE(CONTROL!$C$21, $C$9, 100%, $E$9)</f>
        <v>24.359100000000002</v>
      </c>
      <c r="E760" s="10">
        <f>CHOOSE(CONTROL!$C$42, 24.3909, 24.3909) * CHOOSE(CONTROL!$C$21, $C$9, 100%, $E$9)</f>
        <v>24.390899999999998</v>
      </c>
      <c r="F760" s="10">
        <f>CHOOSE(CONTROL!$C$42, 24.1198, 24.1198)*CHOOSE(CONTROL!$C$21, $C$9, 100%, $E$9)</f>
        <v>24.119800000000001</v>
      </c>
      <c r="G760" s="10">
        <f>CHOOSE(CONTROL!$C$42, 24.1364, 24.1364)*CHOOSE(CONTROL!$C$21, $C$9, 100%, $E$9)</f>
        <v>24.136399999999998</v>
      </c>
      <c r="H760" s="10">
        <f>CHOOSE(CONTROL!$C$42, 24.3804, 24.3804) * CHOOSE(CONTROL!$C$21, $C$9, 100%, $E$9)</f>
        <v>24.380400000000002</v>
      </c>
      <c r="I760" s="10">
        <f>CHOOSE(CONTROL!$C$42, 24.1523, 24.1523)* CHOOSE(CONTROL!$C$21, $C$9, 100%, $E$9)</f>
        <v>24.1523</v>
      </c>
      <c r="J760" s="10">
        <f>CHOOSE(CONTROL!$C$42, 24.1124, 24.1124)* CHOOSE(CONTROL!$C$21, $C$9, 100%, $E$9)</f>
        <v>24.112400000000001</v>
      </c>
      <c r="K760" s="10">
        <f>CHOOSE(CONTROL!$C$42, 23.5559, 23.5559) * CHOOSE(CONTROL!$C$21, $C$9, 100%, $E$9)</f>
        <v>23.555900000000001</v>
      </c>
      <c r="L760" s="10">
        <f>CHOOSE(CONTROL!$C$42, 24.9674, 24.9674) * CHOOSE(CONTROL!$C$21, $C$9, 100%, $E$9)</f>
        <v>24.967400000000001</v>
      </c>
      <c r="M760" s="10">
        <f>CHOOSE(CONTROL!$C$42, 23.8333, 23.8333) * CHOOSE(CONTROL!$C$21, $C$9, 100%, $E$9)</f>
        <v>23.833300000000001</v>
      </c>
      <c r="N760" s="10">
        <f>CHOOSE(CONTROL!$C$42, 23.8497, 23.8497) * CHOOSE(CONTROL!$C$21, $C$9, 100%, $E$9)</f>
        <v>23.849699999999999</v>
      </c>
      <c r="O760" s="10">
        <f>CHOOSE(CONTROL!$C$42, 24.0978, 24.0978) * CHOOSE(CONTROL!$C$21, $C$9, 100%, $E$9)</f>
        <v>24.097799999999999</v>
      </c>
      <c r="P760" s="10">
        <f>CHOOSE(CONTROL!$C$42, 23.8728, 23.8728) * CHOOSE(CONTROL!$C$21, $C$9, 100%, $E$9)</f>
        <v>23.872800000000002</v>
      </c>
      <c r="Q760" s="10">
        <f>CHOOSE(CONTROL!$C$42, 24.6931, 24.6931) * CHOOSE(CONTROL!$C$21, $C$9, 100%, $E$9)</f>
        <v>24.693100000000001</v>
      </c>
      <c r="R760" s="10">
        <f>CHOOSE(CONTROL!$C$42, 25.3418, 25.3418) * CHOOSE(CONTROL!$C$21, $C$9, 100%, $E$9)</f>
        <v>25.341799999999999</v>
      </c>
      <c r="S760" s="10">
        <f>CHOOSE(CONTROL!$C$42, 23.4259, 23.4259) * CHOOSE(CONTROL!$C$21, $C$9, 100%, $E$9)</f>
        <v>23.425899999999999</v>
      </c>
      <c r="T76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38">
        <f>(1000*CHOOSE(CONTROL!$C$42, 695, 695)*CHOOSE(CONTROL!$C$42, 0.5599, 0.5599)*CHOOSE(CONTROL!$C$42, 30, 30))/1000000</f>
        <v>11.673914999999997</v>
      </c>
      <c r="V760" s="38">
        <f>(1000*CHOOSE(CONTROL!$C$42, 500, 500)*CHOOSE(CONTROL!$C$42, 0.275, 0.275)*CHOOSE(CONTROL!$C$42, 30, 30))/1000000</f>
        <v>4.125</v>
      </c>
      <c r="W760" s="38">
        <f>(1000*CHOOSE(CONTROL!$C$42, 0.1146, 0.1146)*CHOOSE(CONTROL!$C$42, 121.5, 121.5)*CHOOSE(CONTROL!$C$42, 30, 30))/1000000</f>
        <v>0.417717</v>
      </c>
      <c r="X760" s="38">
        <f>(30*0.1790888*245000/1000000)+(30*0.2374*100000/1000000)</f>
        <v>2.0285026799999999</v>
      </c>
      <c r="Y760" s="38">
        <f>(1000*600*CHOOSE(CONTROL!$C$42, 1.0585, 1.0585)*CHOOSE(CONTROL!$C$42, 30, 30))/1000000</f>
        <v>19.053000000000001</v>
      </c>
      <c r="Z760" s="38"/>
      <c r="AA760" s="10"/>
      <c r="AB760" s="39"/>
      <c r="AC760" s="33">
        <f>(B760*141.293+C760*267.993+D760*115.016+E760*89.698+F760*40+G760*185+H760*0+I760*100+J760*300)/(141.293+267.993+115.016+89.698+0+40+185+100+300)</f>
        <v>24.184609429701371</v>
      </c>
      <c r="AD760" s="27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23.959808633093523</v>
      </c>
    </row>
    <row r="761" spans="1:30" ht="15.75" x14ac:dyDescent="0.25">
      <c r="A761" s="13">
        <v>64436</v>
      </c>
      <c r="B761" s="10">
        <f>CHOOSE(CONTROL!$C$42, 24.3916, 24.3916) * CHOOSE(CONTROL!$C$21, $C$9, 100%, $E$9)</f>
        <v>24.3916</v>
      </c>
      <c r="C761" s="10">
        <f>CHOOSE(CONTROL!$C$42, 24.3996, 24.3996) * CHOOSE(CONTROL!$C$21, $C$9, 100%, $E$9)</f>
        <v>24.3996</v>
      </c>
      <c r="D761" s="10">
        <f>CHOOSE(CONTROL!$C$42, 24.5747, 24.5747) * CHOOSE(CONTROL!$C$21, $C$9, 100%, $E$9)</f>
        <v>24.5747</v>
      </c>
      <c r="E761" s="10">
        <f>CHOOSE(CONTROL!$C$42, 24.6059, 24.6059) * CHOOSE(CONTROL!$C$21, $C$9, 100%, $E$9)</f>
        <v>24.605899999999998</v>
      </c>
      <c r="F761" s="10">
        <f>CHOOSE(CONTROL!$C$42, 24.3333, 24.3333)*CHOOSE(CONTROL!$C$21, $C$9, 100%, $E$9)</f>
        <v>24.333300000000001</v>
      </c>
      <c r="G761" s="10">
        <f>CHOOSE(CONTROL!$C$42, 24.3502, 24.3502)*CHOOSE(CONTROL!$C$21, $C$9, 100%, $E$9)</f>
        <v>24.350200000000001</v>
      </c>
      <c r="H761" s="10">
        <f>CHOOSE(CONTROL!$C$42, 24.5943, 24.5943) * CHOOSE(CONTROL!$C$21, $C$9, 100%, $E$9)</f>
        <v>24.5943</v>
      </c>
      <c r="I761" s="10">
        <f>CHOOSE(CONTROL!$C$42, 24.3663, 24.3663)* CHOOSE(CONTROL!$C$21, $C$9, 100%, $E$9)</f>
        <v>24.366299999999999</v>
      </c>
      <c r="J761" s="10">
        <f>CHOOSE(CONTROL!$C$42, 24.3259, 24.3259)* CHOOSE(CONTROL!$C$21, $C$9, 100%, $E$9)</f>
        <v>24.325900000000001</v>
      </c>
      <c r="K761" s="10">
        <f>CHOOSE(CONTROL!$C$42, 23.7623, 23.7623) * CHOOSE(CONTROL!$C$21, $C$9, 100%, $E$9)</f>
        <v>23.7623</v>
      </c>
      <c r="L761" s="10">
        <f>CHOOSE(CONTROL!$C$42, 25.1813, 25.1813) * CHOOSE(CONTROL!$C$21, $C$9, 100%, $E$9)</f>
        <v>25.1813</v>
      </c>
      <c r="M761" s="10">
        <f>CHOOSE(CONTROL!$C$42, 24.044, 24.044) * CHOOSE(CONTROL!$C$21, $C$9, 100%, $E$9)</f>
        <v>24.044</v>
      </c>
      <c r="N761" s="10">
        <f>CHOOSE(CONTROL!$C$42, 24.0607, 24.0607) * CHOOSE(CONTROL!$C$21, $C$9, 100%, $E$9)</f>
        <v>24.060700000000001</v>
      </c>
      <c r="O761" s="10">
        <f>CHOOSE(CONTROL!$C$42, 24.3089, 24.3089) * CHOOSE(CONTROL!$C$21, $C$9, 100%, $E$9)</f>
        <v>24.308900000000001</v>
      </c>
      <c r="P761" s="10">
        <f>CHOOSE(CONTROL!$C$42, 24.0839, 24.0839) * CHOOSE(CONTROL!$C$21, $C$9, 100%, $E$9)</f>
        <v>24.0839</v>
      </c>
      <c r="Q761" s="10">
        <f>CHOOSE(CONTROL!$C$42, 24.9042, 24.9042) * CHOOSE(CONTROL!$C$21, $C$9, 100%, $E$9)</f>
        <v>24.904199999999999</v>
      </c>
      <c r="R761" s="10">
        <f>CHOOSE(CONTROL!$C$42, 25.5535, 25.5535) * CHOOSE(CONTROL!$C$21, $C$9, 100%, $E$9)</f>
        <v>25.5535</v>
      </c>
      <c r="S761" s="10">
        <f>CHOOSE(CONTROL!$C$42, 23.633, 23.633) * CHOOSE(CONTROL!$C$21, $C$9, 100%, $E$9)</f>
        <v>23.632999999999999</v>
      </c>
      <c r="T76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38">
        <f>(1000*CHOOSE(CONTROL!$C$42, 695, 695)*CHOOSE(CONTROL!$C$42, 0.5599, 0.5599)*CHOOSE(CONTROL!$C$42, 31, 31))/1000000</f>
        <v>12.063045499999998</v>
      </c>
      <c r="V761" s="38">
        <f>(1000*CHOOSE(CONTROL!$C$42, 500, 500)*CHOOSE(CONTROL!$C$42, 0.275, 0.275)*CHOOSE(CONTROL!$C$42, 31, 31))/1000000</f>
        <v>4.2625000000000002</v>
      </c>
      <c r="W761" s="38">
        <f>(1000*CHOOSE(CONTROL!$C$42, 0.1146, 0.1146)*CHOOSE(CONTROL!$C$42, 121.5, 121.5)*CHOOSE(CONTROL!$C$42, 31, 31))/1000000</f>
        <v>0.43164089999999994</v>
      </c>
      <c r="X761" s="38">
        <f>(31*0.1790888*245000/1000000)+(31*0.2374*100000/1000000)</f>
        <v>2.0961194359999999</v>
      </c>
      <c r="Y761" s="38">
        <f>(1000*600*CHOOSE(CONTROL!$C$42, 1.0585, 1.0585)*CHOOSE(CONTROL!$C$42, 31, 31))/1000000</f>
        <v>19.688099999999999</v>
      </c>
      <c r="Z761" s="38"/>
      <c r="AA761" s="10"/>
      <c r="AB761" s="39"/>
      <c r="AC761" s="33">
        <f>(B761*194.205+C761*267.466+D761*133.845+E761*53.484+F761*40+G761*185+H761*0+I761*100+J761*300)/(194.205+267.466+133.845+53.484+0+40+185+100+300)</f>
        <v>24.396213319230771</v>
      </c>
      <c r="AD761" s="27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24.170764748201439</v>
      </c>
    </row>
    <row r="762" spans="1:30" ht="15.75" x14ac:dyDescent="0.25">
      <c r="A762" s="13">
        <v>64466</v>
      </c>
      <c r="B762" s="10">
        <f>CHOOSE(CONTROL!$C$42, 25.0839, 25.0839) * CHOOSE(CONTROL!$C$21, $C$9, 100%, $E$9)</f>
        <v>25.0839</v>
      </c>
      <c r="C762" s="10">
        <f>CHOOSE(CONTROL!$C$42, 25.0919, 25.0919) * CHOOSE(CONTROL!$C$21, $C$9, 100%, $E$9)</f>
        <v>25.091899999999999</v>
      </c>
      <c r="D762" s="10">
        <f>CHOOSE(CONTROL!$C$42, 25.267, 25.267) * CHOOSE(CONTROL!$C$21, $C$9, 100%, $E$9)</f>
        <v>25.266999999999999</v>
      </c>
      <c r="E762" s="10">
        <f>CHOOSE(CONTROL!$C$42, 25.2982, 25.2982) * CHOOSE(CONTROL!$C$21, $C$9, 100%, $E$9)</f>
        <v>25.298200000000001</v>
      </c>
      <c r="F762" s="10">
        <f>CHOOSE(CONTROL!$C$42, 25.0258, 25.0258)*CHOOSE(CONTROL!$C$21, $C$9, 100%, $E$9)</f>
        <v>25.0258</v>
      </c>
      <c r="G762" s="10">
        <f>CHOOSE(CONTROL!$C$42, 25.0427, 25.0427)*CHOOSE(CONTROL!$C$21, $C$9, 100%, $E$9)</f>
        <v>25.0427</v>
      </c>
      <c r="H762" s="10">
        <f>CHOOSE(CONTROL!$C$42, 25.2866, 25.2866) * CHOOSE(CONTROL!$C$21, $C$9, 100%, $E$9)</f>
        <v>25.2866</v>
      </c>
      <c r="I762" s="10">
        <f>CHOOSE(CONTROL!$C$42, 25.0586, 25.0586)* CHOOSE(CONTROL!$C$21, $C$9, 100%, $E$9)</f>
        <v>25.058599999999998</v>
      </c>
      <c r="J762" s="10">
        <f>CHOOSE(CONTROL!$C$42, 25.0184, 25.0184)* CHOOSE(CONTROL!$C$21, $C$9, 100%, $E$9)</f>
        <v>25.0184</v>
      </c>
      <c r="K762" s="10">
        <f>CHOOSE(CONTROL!$C$42, 24.4333, 24.4333) * CHOOSE(CONTROL!$C$21, $C$9, 100%, $E$9)</f>
        <v>24.433299999999999</v>
      </c>
      <c r="L762" s="10">
        <f>CHOOSE(CONTROL!$C$42, 25.8736, 25.8736) * CHOOSE(CONTROL!$C$21, $C$9, 100%, $E$9)</f>
        <v>25.8736</v>
      </c>
      <c r="M762" s="10">
        <f>CHOOSE(CONTROL!$C$42, 24.7275, 24.7275) * CHOOSE(CONTROL!$C$21, $C$9, 100%, $E$9)</f>
        <v>24.727499999999999</v>
      </c>
      <c r="N762" s="10">
        <f>CHOOSE(CONTROL!$C$42, 24.7443, 24.7443) * CHOOSE(CONTROL!$C$21, $C$9, 100%, $E$9)</f>
        <v>24.744299999999999</v>
      </c>
      <c r="O762" s="10">
        <f>CHOOSE(CONTROL!$C$42, 24.9923, 24.9923) * CHOOSE(CONTROL!$C$21, $C$9, 100%, $E$9)</f>
        <v>24.9923</v>
      </c>
      <c r="P762" s="10">
        <f>CHOOSE(CONTROL!$C$42, 24.7672, 24.7672) * CHOOSE(CONTROL!$C$21, $C$9, 100%, $E$9)</f>
        <v>24.767199999999999</v>
      </c>
      <c r="Q762" s="10">
        <f>CHOOSE(CONTROL!$C$42, 25.5876, 25.5876) * CHOOSE(CONTROL!$C$21, $C$9, 100%, $E$9)</f>
        <v>25.587599999999998</v>
      </c>
      <c r="R762" s="10">
        <f>CHOOSE(CONTROL!$C$42, 26.2385, 26.2385) * CHOOSE(CONTROL!$C$21, $C$9, 100%, $E$9)</f>
        <v>26.238499999999998</v>
      </c>
      <c r="S762" s="10">
        <f>CHOOSE(CONTROL!$C$42, 24.3033, 24.3033) * CHOOSE(CONTROL!$C$21, $C$9, 100%, $E$9)</f>
        <v>24.3033</v>
      </c>
      <c r="T76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38">
        <f>(1000*CHOOSE(CONTROL!$C$42, 695, 695)*CHOOSE(CONTROL!$C$42, 0.5599, 0.5599)*CHOOSE(CONTROL!$C$42, 30, 30))/1000000</f>
        <v>11.673914999999997</v>
      </c>
      <c r="V762" s="38">
        <f>(1000*CHOOSE(CONTROL!$C$42, 500, 500)*CHOOSE(CONTROL!$C$42, 0.275, 0.275)*CHOOSE(CONTROL!$C$42, 30, 30))/1000000</f>
        <v>4.125</v>
      </c>
      <c r="W762" s="38">
        <f>(1000*CHOOSE(CONTROL!$C$42, 0.1146, 0.1146)*CHOOSE(CONTROL!$C$42, 121.5, 121.5)*CHOOSE(CONTROL!$C$42, 30, 30))/1000000</f>
        <v>0.417717</v>
      </c>
      <c r="X762" s="38">
        <f>(30*0.1790888*245000/1000000)+(30*0.2374*100000/1000000)</f>
        <v>2.0285026799999999</v>
      </c>
      <c r="Y762" s="38">
        <f>(1000*600*CHOOSE(CONTROL!$C$42, 1.0585, 1.0585)*CHOOSE(CONTROL!$C$42, 30, 30))/1000000</f>
        <v>19.053000000000001</v>
      </c>
      <c r="Z762" s="38"/>
      <c r="AA762" s="10"/>
      <c r="AB762" s="39"/>
      <c r="AC762" s="33">
        <f>(B762*194.205+C762*267.466+D762*133.845+E762*53.484+F762*40+G762*185+H762*0+I762*100+J762*300)/(194.205+267.466+133.845+53.484+0+40+185+100+300)</f>
        <v>25.088595736813186</v>
      </c>
      <c r="AD762" s="27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24.854196402877697</v>
      </c>
    </row>
    <row r="763" spans="1:30" ht="15.75" x14ac:dyDescent="0.25">
      <c r="A763" s="13">
        <v>64497</v>
      </c>
      <c r="B763" s="10">
        <f>CHOOSE(CONTROL!$C$42, 24.6024, 24.6024) * CHOOSE(CONTROL!$C$21, $C$9, 100%, $E$9)</f>
        <v>24.602399999999999</v>
      </c>
      <c r="C763" s="10">
        <f>CHOOSE(CONTROL!$C$42, 24.6104, 24.6104) * CHOOSE(CONTROL!$C$21, $C$9, 100%, $E$9)</f>
        <v>24.610399999999998</v>
      </c>
      <c r="D763" s="10">
        <f>CHOOSE(CONTROL!$C$42, 24.7855, 24.7855) * CHOOSE(CONTROL!$C$21, $C$9, 100%, $E$9)</f>
        <v>24.785499999999999</v>
      </c>
      <c r="E763" s="10">
        <f>CHOOSE(CONTROL!$C$42, 24.8167, 24.8167) * CHOOSE(CONTROL!$C$21, $C$9, 100%, $E$9)</f>
        <v>24.816700000000001</v>
      </c>
      <c r="F763" s="10">
        <f>CHOOSE(CONTROL!$C$42, 24.5446, 24.5446)*CHOOSE(CONTROL!$C$21, $C$9, 100%, $E$9)</f>
        <v>24.544599999999999</v>
      </c>
      <c r="G763" s="10">
        <f>CHOOSE(CONTROL!$C$42, 24.5617, 24.5617)*CHOOSE(CONTROL!$C$21, $C$9, 100%, $E$9)</f>
        <v>24.561699999999998</v>
      </c>
      <c r="H763" s="10">
        <f>CHOOSE(CONTROL!$C$42, 24.8051, 24.8051) * CHOOSE(CONTROL!$C$21, $C$9, 100%, $E$9)</f>
        <v>24.805099999999999</v>
      </c>
      <c r="I763" s="10">
        <f>CHOOSE(CONTROL!$C$42, 24.5771, 24.5771)* CHOOSE(CONTROL!$C$21, $C$9, 100%, $E$9)</f>
        <v>24.577100000000002</v>
      </c>
      <c r="J763" s="10">
        <f>CHOOSE(CONTROL!$C$42, 24.5372, 24.5372)* CHOOSE(CONTROL!$C$21, $C$9, 100%, $E$9)</f>
        <v>24.537199999999999</v>
      </c>
      <c r="K763" s="10">
        <f>CHOOSE(CONTROL!$C$42, 23.9676, 23.9676) * CHOOSE(CONTROL!$C$21, $C$9, 100%, $E$9)</f>
        <v>23.967600000000001</v>
      </c>
      <c r="L763" s="10">
        <f>CHOOSE(CONTROL!$C$42, 25.3921, 25.3921) * CHOOSE(CONTROL!$C$21, $C$9, 100%, $E$9)</f>
        <v>25.392099999999999</v>
      </c>
      <c r="M763" s="10">
        <f>CHOOSE(CONTROL!$C$42, 24.2526, 24.2526) * CHOOSE(CONTROL!$C$21, $C$9, 100%, $E$9)</f>
        <v>24.252600000000001</v>
      </c>
      <c r="N763" s="10">
        <f>CHOOSE(CONTROL!$C$42, 24.2694, 24.2694) * CHOOSE(CONTROL!$C$21, $C$9, 100%, $E$9)</f>
        <v>24.269400000000001</v>
      </c>
      <c r="O763" s="10">
        <f>CHOOSE(CONTROL!$C$42, 24.517, 24.517) * CHOOSE(CONTROL!$C$21, $C$9, 100%, $E$9)</f>
        <v>24.516999999999999</v>
      </c>
      <c r="P763" s="10">
        <f>CHOOSE(CONTROL!$C$42, 24.292, 24.292) * CHOOSE(CONTROL!$C$21, $C$9, 100%, $E$9)</f>
        <v>24.292000000000002</v>
      </c>
      <c r="Q763" s="10">
        <f>CHOOSE(CONTROL!$C$42, 25.1123, 25.1123) * CHOOSE(CONTROL!$C$21, $C$9, 100%, $E$9)</f>
        <v>25.112300000000001</v>
      </c>
      <c r="R763" s="10">
        <f>CHOOSE(CONTROL!$C$42, 25.7621, 25.7621) * CHOOSE(CONTROL!$C$21, $C$9, 100%, $E$9)</f>
        <v>25.7621</v>
      </c>
      <c r="S763" s="10">
        <f>CHOOSE(CONTROL!$C$42, 23.8371, 23.8371) * CHOOSE(CONTROL!$C$21, $C$9, 100%, $E$9)</f>
        <v>23.8371</v>
      </c>
      <c r="T76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38">
        <f>(1000*CHOOSE(CONTROL!$C$42, 695, 695)*CHOOSE(CONTROL!$C$42, 0.5599, 0.5599)*CHOOSE(CONTROL!$C$42, 31, 31))/1000000</f>
        <v>12.063045499999998</v>
      </c>
      <c r="V763" s="38">
        <f>(1000*CHOOSE(CONTROL!$C$42, 500, 500)*CHOOSE(CONTROL!$C$42, 0.275, 0.275)*CHOOSE(CONTROL!$C$42, 31, 31))/1000000</f>
        <v>4.2625000000000002</v>
      </c>
      <c r="W763" s="38">
        <f>(1000*CHOOSE(CONTROL!$C$42, 0.1146, 0.1146)*CHOOSE(CONTROL!$C$42, 121.5, 121.5)*CHOOSE(CONTROL!$C$42, 31, 31))/1000000</f>
        <v>0.43164089999999994</v>
      </c>
      <c r="X763" s="38">
        <f>(31*0.1790888*245000/1000000)+(31*0.2374*100000/1000000)</f>
        <v>2.0961194359999999</v>
      </c>
      <c r="Y763" s="38">
        <f>(1000*600*CHOOSE(CONTROL!$C$42, 1.0585, 1.0585)*CHOOSE(CONTROL!$C$42, 31, 31))/1000000</f>
        <v>19.688099999999999</v>
      </c>
      <c r="Z763" s="38"/>
      <c r="AA763" s="10"/>
      <c r="AB763" s="39"/>
      <c r="AC763" s="33">
        <f>(B763*194.205+C763*267.466+D763*133.845+E763*53.484+F763*40+G763*185+H763*0+I763*100+J763*300)/(194.205+267.466+133.845+53.484+0+40+185+100+300)</f>
        <v>24.607248405572996</v>
      </c>
      <c r="AD763" s="27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24.379071942446039</v>
      </c>
    </row>
    <row r="764" spans="1:30" ht="15.75" x14ac:dyDescent="0.25">
      <c r="A764" s="13">
        <v>64528</v>
      </c>
      <c r="B764" s="10">
        <f>CHOOSE(CONTROL!$C$42, 23.3865, 23.3865) * CHOOSE(CONTROL!$C$21, $C$9, 100%, $E$9)</f>
        <v>23.386500000000002</v>
      </c>
      <c r="C764" s="10">
        <f>CHOOSE(CONTROL!$C$42, 23.3945, 23.3945) * CHOOSE(CONTROL!$C$21, $C$9, 100%, $E$9)</f>
        <v>23.394500000000001</v>
      </c>
      <c r="D764" s="10">
        <f>CHOOSE(CONTROL!$C$42, 23.5696, 23.5696) * CHOOSE(CONTROL!$C$21, $C$9, 100%, $E$9)</f>
        <v>23.569600000000001</v>
      </c>
      <c r="E764" s="10">
        <f>CHOOSE(CONTROL!$C$42, 23.6008, 23.6008) * CHOOSE(CONTROL!$C$21, $C$9, 100%, $E$9)</f>
        <v>23.6008</v>
      </c>
      <c r="F764" s="10">
        <f>CHOOSE(CONTROL!$C$42, 23.3286, 23.3286)*CHOOSE(CONTROL!$C$21, $C$9, 100%, $E$9)</f>
        <v>23.328600000000002</v>
      </c>
      <c r="G764" s="10">
        <f>CHOOSE(CONTROL!$C$42, 23.3456, 23.3456)*CHOOSE(CONTROL!$C$21, $C$9, 100%, $E$9)</f>
        <v>23.345600000000001</v>
      </c>
      <c r="H764" s="10">
        <f>CHOOSE(CONTROL!$C$42, 23.5891, 23.5891) * CHOOSE(CONTROL!$C$21, $C$9, 100%, $E$9)</f>
        <v>23.589099999999998</v>
      </c>
      <c r="I764" s="10">
        <f>CHOOSE(CONTROL!$C$42, 23.3611, 23.3611)* CHOOSE(CONTROL!$C$21, $C$9, 100%, $E$9)</f>
        <v>23.3611</v>
      </c>
      <c r="J764" s="10">
        <f>CHOOSE(CONTROL!$C$42, 23.3212, 23.3212)* CHOOSE(CONTROL!$C$21, $C$9, 100%, $E$9)</f>
        <v>23.321200000000001</v>
      </c>
      <c r="K764" s="10">
        <f>CHOOSE(CONTROL!$C$42, 22.7894, 22.7894) * CHOOSE(CONTROL!$C$21, $C$9, 100%, $E$9)</f>
        <v>22.789400000000001</v>
      </c>
      <c r="L764" s="10">
        <f>CHOOSE(CONTROL!$C$42, 24.1761, 24.1761) * CHOOSE(CONTROL!$C$21, $C$9, 100%, $E$9)</f>
        <v>24.176100000000002</v>
      </c>
      <c r="M764" s="10">
        <f>CHOOSE(CONTROL!$C$42, 23.0523, 23.0523) * CHOOSE(CONTROL!$C$21, $C$9, 100%, $E$9)</f>
        <v>23.052299999999999</v>
      </c>
      <c r="N764" s="10">
        <f>CHOOSE(CONTROL!$C$42, 23.0691, 23.0691) * CHOOSE(CONTROL!$C$21, $C$9, 100%, $E$9)</f>
        <v>23.069099999999999</v>
      </c>
      <c r="O764" s="10">
        <f>CHOOSE(CONTROL!$C$42, 23.3168, 23.3168) * CHOOSE(CONTROL!$C$21, $C$9, 100%, $E$9)</f>
        <v>23.316800000000001</v>
      </c>
      <c r="P764" s="10">
        <f>CHOOSE(CONTROL!$C$42, 23.0918, 23.0918) * CHOOSE(CONTROL!$C$21, $C$9, 100%, $E$9)</f>
        <v>23.091799999999999</v>
      </c>
      <c r="Q764" s="10">
        <f>CHOOSE(CONTROL!$C$42, 23.9121, 23.9121) * CHOOSE(CONTROL!$C$21, $C$9, 100%, $E$9)</f>
        <v>23.912099999999999</v>
      </c>
      <c r="R764" s="10">
        <f>CHOOSE(CONTROL!$C$42, 24.5589, 24.5589) * CHOOSE(CONTROL!$C$21, $C$9, 100%, $E$9)</f>
        <v>24.558900000000001</v>
      </c>
      <c r="S764" s="10">
        <f>CHOOSE(CONTROL!$C$42, 22.6597, 22.6597) * CHOOSE(CONTROL!$C$21, $C$9, 100%, $E$9)</f>
        <v>22.659700000000001</v>
      </c>
      <c r="T76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38">
        <f>(1000*CHOOSE(CONTROL!$C$42, 695, 695)*CHOOSE(CONTROL!$C$42, 0.5599, 0.5599)*CHOOSE(CONTROL!$C$42, 31, 31))/1000000</f>
        <v>12.063045499999998</v>
      </c>
      <c r="V764" s="38">
        <f>(1000*CHOOSE(CONTROL!$C$42, 500, 500)*CHOOSE(CONTROL!$C$42, 0.275, 0.275)*CHOOSE(CONTROL!$C$42, 31, 31))/1000000</f>
        <v>4.2625000000000002</v>
      </c>
      <c r="W764" s="38">
        <f>(1000*CHOOSE(CONTROL!$C$42, 0.1146, 0.1146)*CHOOSE(CONTROL!$C$42, 121.5, 121.5)*CHOOSE(CONTROL!$C$42, 31, 31))/1000000</f>
        <v>0.43164089999999994</v>
      </c>
      <c r="X764" s="38">
        <f>(31*0.1790888*245000/1000000)+(31*0.2374*100000/1000000)</f>
        <v>2.0961194359999999</v>
      </c>
      <c r="Y764" s="38">
        <f>(1000*600*CHOOSE(CONTROL!$C$42, 1.0585, 1.0585)*CHOOSE(CONTROL!$C$42, 31, 31))/1000000</f>
        <v>19.688099999999999</v>
      </c>
      <c r="Z764" s="38"/>
      <c r="AA764" s="10"/>
      <c r="AB764" s="39"/>
      <c r="AC764" s="33">
        <f>(B764*194.205+C764*267.466+D764*133.845+E764*53.484+F764*40+G764*185+H764*0+I764*100+J764*300)/(194.205+267.466+133.845+53.484+0+40+185+100+300)</f>
        <v>23.391284826295138</v>
      </c>
      <c r="AD764" s="27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23.178831654676259</v>
      </c>
    </row>
    <row r="765" spans="1:30" ht="15.75" x14ac:dyDescent="0.25">
      <c r="A765" s="13">
        <v>64558</v>
      </c>
      <c r="B765" s="10">
        <f>CHOOSE(CONTROL!$C$42, 21.9008, 21.9008) * CHOOSE(CONTROL!$C$21, $C$9, 100%, $E$9)</f>
        <v>21.9008</v>
      </c>
      <c r="C765" s="10">
        <f>CHOOSE(CONTROL!$C$42, 21.9088, 21.9088) * CHOOSE(CONTROL!$C$21, $C$9, 100%, $E$9)</f>
        <v>21.908799999999999</v>
      </c>
      <c r="D765" s="10">
        <f>CHOOSE(CONTROL!$C$42, 22.084, 22.084) * CHOOSE(CONTROL!$C$21, $C$9, 100%, $E$9)</f>
        <v>22.084</v>
      </c>
      <c r="E765" s="10">
        <f>CHOOSE(CONTROL!$C$42, 22.1152, 22.1152) * CHOOSE(CONTROL!$C$21, $C$9, 100%, $E$9)</f>
        <v>22.115200000000002</v>
      </c>
      <c r="F765" s="10">
        <f>CHOOSE(CONTROL!$C$42, 21.8426, 21.8426)*CHOOSE(CONTROL!$C$21, $C$9, 100%, $E$9)</f>
        <v>21.842600000000001</v>
      </c>
      <c r="G765" s="10">
        <f>CHOOSE(CONTROL!$C$42, 21.8596, 21.8596)*CHOOSE(CONTROL!$C$21, $C$9, 100%, $E$9)</f>
        <v>21.8596</v>
      </c>
      <c r="H765" s="10">
        <f>CHOOSE(CONTROL!$C$42, 22.1035, 22.1035) * CHOOSE(CONTROL!$C$21, $C$9, 100%, $E$9)</f>
        <v>22.1035</v>
      </c>
      <c r="I765" s="10">
        <f>CHOOSE(CONTROL!$C$42, 21.8755, 21.8755)* CHOOSE(CONTROL!$C$21, $C$9, 100%, $E$9)</f>
        <v>21.875499999999999</v>
      </c>
      <c r="J765" s="10">
        <f>CHOOSE(CONTROL!$C$42, 21.8352, 21.8352)* CHOOSE(CONTROL!$C$21, $C$9, 100%, $E$9)</f>
        <v>21.8352</v>
      </c>
      <c r="K765" s="10">
        <f>CHOOSE(CONTROL!$C$42, 21.3495, 21.3495) * CHOOSE(CONTROL!$C$21, $C$9, 100%, $E$9)</f>
        <v>21.349499999999999</v>
      </c>
      <c r="L765" s="10">
        <f>CHOOSE(CONTROL!$C$42, 22.6905, 22.6905) * CHOOSE(CONTROL!$C$21, $C$9, 100%, $E$9)</f>
        <v>22.6905</v>
      </c>
      <c r="M765" s="10">
        <f>CHOOSE(CONTROL!$C$42, 21.5856, 21.5856) * CHOOSE(CONTROL!$C$21, $C$9, 100%, $E$9)</f>
        <v>21.585599999999999</v>
      </c>
      <c r="N765" s="10">
        <f>CHOOSE(CONTROL!$C$42, 21.6023, 21.6023) * CHOOSE(CONTROL!$C$21, $C$9, 100%, $E$9)</f>
        <v>21.6023</v>
      </c>
      <c r="O765" s="10">
        <f>CHOOSE(CONTROL!$C$42, 21.8504, 21.8504) * CHOOSE(CONTROL!$C$21, $C$9, 100%, $E$9)</f>
        <v>21.8504</v>
      </c>
      <c r="P765" s="10">
        <f>CHOOSE(CONTROL!$C$42, 21.6254, 21.6254) * CHOOSE(CONTROL!$C$21, $C$9, 100%, $E$9)</f>
        <v>21.625399999999999</v>
      </c>
      <c r="Q765" s="10">
        <f>CHOOSE(CONTROL!$C$42, 22.4457, 22.4457) * CHOOSE(CONTROL!$C$21, $C$9, 100%, $E$9)</f>
        <v>22.445699999999999</v>
      </c>
      <c r="R765" s="10">
        <f>CHOOSE(CONTROL!$C$42, 23.0888, 23.0888) * CHOOSE(CONTROL!$C$21, $C$9, 100%, $E$9)</f>
        <v>23.088799999999999</v>
      </c>
      <c r="S765" s="10">
        <f>CHOOSE(CONTROL!$C$42, 21.2212, 21.2212) * CHOOSE(CONTROL!$C$21, $C$9, 100%, $E$9)</f>
        <v>21.2212</v>
      </c>
      <c r="T76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38">
        <f>(1000*CHOOSE(CONTROL!$C$42, 695, 695)*CHOOSE(CONTROL!$C$42, 0.5599, 0.5599)*CHOOSE(CONTROL!$C$42, 30, 30))/1000000</f>
        <v>11.673914999999997</v>
      </c>
      <c r="V765" s="38">
        <f>(1000*CHOOSE(CONTROL!$C$42, 500, 500)*CHOOSE(CONTROL!$C$42, 0.275, 0.275)*CHOOSE(CONTROL!$C$42, 30, 30))/1000000</f>
        <v>4.125</v>
      </c>
      <c r="W765" s="38">
        <f>(1000*CHOOSE(CONTROL!$C$42, 0.1146, 0.1146)*CHOOSE(CONTROL!$C$42, 121.5, 121.5)*CHOOSE(CONTROL!$C$42, 30, 30))/1000000</f>
        <v>0.417717</v>
      </c>
      <c r="X765" s="38">
        <f>(30*0.1790888*245000/1000000)+(30*0.2374*100000/1000000)</f>
        <v>2.0285026799999999</v>
      </c>
      <c r="Y765" s="38">
        <f>(1000*600*CHOOSE(CONTROL!$C$42, 1.0585, 1.0585)*CHOOSE(CONTROL!$C$42, 30, 30))/1000000</f>
        <v>19.053000000000001</v>
      </c>
      <c r="Z765" s="38"/>
      <c r="AA765" s="10"/>
      <c r="AB765" s="39"/>
      <c r="AC765" s="33">
        <f>(B765*194.205+C765*267.466+D765*133.845+E765*53.484+F765*40+G765*185+H765*0+I765*100+J765*300)/(194.205+267.466+133.845+53.484+0+40+185+100+300)</f>
        <v>21.90548375321821</v>
      </c>
      <c r="AD765" s="27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21.712305035971223</v>
      </c>
    </row>
    <row r="766" spans="1:30" ht="15.75" x14ac:dyDescent="0.25">
      <c r="A766" s="13">
        <v>64589</v>
      </c>
      <c r="B766" s="10">
        <f>CHOOSE(CONTROL!$C$42, 21.4538, 21.4538) * CHOOSE(CONTROL!$C$21, $C$9, 100%, $E$9)</f>
        <v>21.453800000000001</v>
      </c>
      <c r="C766" s="10">
        <f>CHOOSE(CONTROL!$C$42, 21.4591, 21.4591) * CHOOSE(CONTROL!$C$21, $C$9, 100%, $E$9)</f>
        <v>21.459099999999999</v>
      </c>
      <c r="D766" s="10">
        <f>CHOOSE(CONTROL!$C$42, 21.6391, 21.6391) * CHOOSE(CONTROL!$C$21, $C$9, 100%, $E$9)</f>
        <v>21.639099999999999</v>
      </c>
      <c r="E766" s="10">
        <f>CHOOSE(CONTROL!$C$42, 21.668, 21.668) * CHOOSE(CONTROL!$C$21, $C$9, 100%, $E$9)</f>
        <v>21.667999999999999</v>
      </c>
      <c r="F766" s="10">
        <f>CHOOSE(CONTROL!$C$42, 21.3975, 21.3975)*CHOOSE(CONTROL!$C$21, $C$9, 100%, $E$9)</f>
        <v>21.397500000000001</v>
      </c>
      <c r="G766" s="10">
        <f>CHOOSE(CONTROL!$C$42, 21.4141, 21.4141)*CHOOSE(CONTROL!$C$21, $C$9, 100%, $E$9)</f>
        <v>21.414100000000001</v>
      </c>
      <c r="H766" s="10">
        <f>CHOOSE(CONTROL!$C$42, 21.6582, 21.6582) * CHOOSE(CONTROL!$C$21, $C$9, 100%, $E$9)</f>
        <v>21.658200000000001</v>
      </c>
      <c r="I766" s="10">
        <f>CHOOSE(CONTROL!$C$42, 21.4301, 21.4301)* CHOOSE(CONTROL!$C$21, $C$9, 100%, $E$9)</f>
        <v>21.430099999999999</v>
      </c>
      <c r="J766" s="10">
        <f>CHOOSE(CONTROL!$C$42, 21.3901, 21.3901)* CHOOSE(CONTROL!$C$21, $C$9, 100%, $E$9)</f>
        <v>21.3901</v>
      </c>
      <c r="K766" s="10">
        <f>CHOOSE(CONTROL!$C$42, 20.9186, 20.9186) * CHOOSE(CONTROL!$C$21, $C$9, 100%, $E$9)</f>
        <v>20.918600000000001</v>
      </c>
      <c r="L766" s="10">
        <f>CHOOSE(CONTROL!$C$42, 22.2452, 22.2452) * CHOOSE(CONTROL!$C$21, $C$9, 100%, $E$9)</f>
        <v>22.245200000000001</v>
      </c>
      <c r="M766" s="10">
        <f>CHOOSE(CONTROL!$C$42, 21.1463, 21.1463) * CHOOSE(CONTROL!$C$21, $C$9, 100%, $E$9)</f>
        <v>21.1463</v>
      </c>
      <c r="N766" s="10">
        <f>CHOOSE(CONTROL!$C$42, 21.1627, 21.1627) * CHOOSE(CONTROL!$C$21, $C$9, 100%, $E$9)</f>
        <v>21.162700000000001</v>
      </c>
      <c r="O766" s="10">
        <f>CHOOSE(CONTROL!$C$42, 21.4108, 21.4108) * CHOOSE(CONTROL!$C$21, $C$9, 100%, $E$9)</f>
        <v>21.410799999999998</v>
      </c>
      <c r="P766" s="10">
        <f>CHOOSE(CONTROL!$C$42, 21.1858, 21.1858) * CHOOSE(CONTROL!$C$21, $C$9, 100%, $E$9)</f>
        <v>21.1858</v>
      </c>
      <c r="Q766" s="10">
        <f>CHOOSE(CONTROL!$C$42, 22.0061, 22.0061) * CHOOSE(CONTROL!$C$21, $C$9, 100%, $E$9)</f>
        <v>22.0061</v>
      </c>
      <c r="R766" s="10">
        <f>CHOOSE(CONTROL!$C$42, 22.6481, 22.6481) * CHOOSE(CONTROL!$C$21, $C$9, 100%, $E$9)</f>
        <v>22.648099999999999</v>
      </c>
      <c r="S766" s="10">
        <f>CHOOSE(CONTROL!$C$42, 20.7899, 20.7899) * CHOOSE(CONTROL!$C$21, $C$9, 100%, $E$9)</f>
        <v>20.789899999999999</v>
      </c>
      <c r="T76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38">
        <f>(1000*CHOOSE(CONTROL!$C$42, 695, 695)*CHOOSE(CONTROL!$C$42, 0.5599, 0.5599)*CHOOSE(CONTROL!$C$42, 31, 31))/1000000</f>
        <v>12.063045499999998</v>
      </c>
      <c r="V766" s="38">
        <f>(1000*CHOOSE(CONTROL!$C$42, 500, 500)*CHOOSE(CONTROL!$C$42, 0.275, 0.275)*CHOOSE(CONTROL!$C$42, 31, 31))/1000000</f>
        <v>4.2625000000000002</v>
      </c>
      <c r="W766" s="38">
        <f>(1000*CHOOSE(CONTROL!$C$42, 0.1146, 0.1146)*CHOOSE(CONTROL!$C$42, 121.5, 121.5)*CHOOSE(CONTROL!$C$42, 31, 31))/1000000</f>
        <v>0.43164089999999994</v>
      </c>
      <c r="X766" s="38">
        <f>(31*0.1790888*245000/1000000)+(31*0.2374*100000/1000000)</f>
        <v>2.0961194359999999</v>
      </c>
      <c r="Y766" s="38">
        <f>(1000*600*CHOOSE(CONTROL!$C$42, 1.0585, 1.0585)*CHOOSE(CONTROL!$C$42, 31, 31))/1000000</f>
        <v>19.688099999999999</v>
      </c>
      <c r="Z766" s="38"/>
      <c r="AA766" s="10"/>
      <c r="AB766" s="39"/>
      <c r="AC766" s="33">
        <f>(B766*131.881+C766*277.167+D766*79.08+E766*125.872+F766*40+G766*185+H766*0+I766*100+J766*300)/(131.881+277.167+79.08+125.872+0+40+185+100+300)</f>
        <v>21.463491518563355</v>
      </c>
      <c r="AD766" s="27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21.272808633093522</v>
      </c>
    </row>
    <row r="767" spans="1:30" ht="15.75" x14ac:dyDescent="0.25">
      <c r="A767" s="13">
        <v>64619</v>
      </c>
      <c r="B767" s="10">
        <f>CHOOSE(CONTROL!$C$42, 22.019, 22.019) * CHOOSE(CONTROL!$C$21, $C$9, 100%, $E$9)</f>
        <v>22.018999999999998</v>
      </c>
      <c r="C767" s="10">
        <f>CHOOSE(CONTROL!$C$42, 22.0241, 22.0241) * CHOOSE(CONTROL!$C$21, $C$9, 100%, $E$9)</f>
        <v>22.024100000000001</v>
      </c>
      <c r="D767" s="10">
        <f>CHOOSE(CONTROL!$C$42, 22.0488, 22.0488) * CHOOSE(CONTROL!$C$21, $C$9, 100%, $E$9)</f>
        <v>22.0488</v>
      </c>
      <c r="E767" s="10">
        <f>CHOOSE(CONTROL!$C$42, 22.0826, 22.0826) * CHOOSE(CONTROL!$C$21, $C$9, 100%, $E$9)</f>
        <v>22.082599999999999</v>
      </c>
      <c r="F767" s="10">
        <f>CHOOSE(CONTROL!$C$42, 21.9846, 21.9846)*CHOOSE(CONTROL!$C$21, $C$9, 100%, $E$9)</f>
        <v>21.9846</v>
      </c>
      <c r="G767" s="10">
        <f>CHOOSE(CONTROL!$C$42, 22.0014, 22.0014)*CHOOSE(CONTROL!$C$21, $C$9, 100%, $E$9)</f>
        <v>22.0014</v>
      </c>
      <c r="H767" s="10">
        <f>CHOOSE(CONTROL!$C$42, 22.0714, 22.0714) * CHOOSE(CONTROL!$C$21, $C$9, 100%, $E$9)</f>
        <v>22.071400000000001</v>
      </c>
      <c r="I767" s="10">
        <f>CHOOSE(CONTROL!$C$42, 22.0185, 22.0185)* CHOOSE(CONTROL!$C$21, $C$9, 100%, $E$9)</f>
        <v>22.0185</v>
      </c>
      <c r="J767" s="10">
        <f>CHOOSE(CONTROL!$C$42, 21.9772, 21.9772)* CHOOSE(CONTROL!$C$21, $C$9, 100%, $E$9)</f>
        <v>21.9772</v>
      </c>
      <c r="K767" s="10">
        <f>CHOOSE(CONTROL!$C$42, 21.4904, 21.4904) * CHOOSE(CONTROL!$C$21, $C$9, 100%, $E$9)</f>
        <v>21.490400000000001</v>
      </c>
      <c r="L767" s="10">
        <f>CHOOSE(CONTROL!$C$42, 22.6584, 22.6584) * CHOOSE(CONTROL!$C$21, $C$9, 100%, $E$9)</f>
        <v>22.6584</v>
      </c>
      <c r="M767" s="10">
        <f>CHOOSE(CONTROL!$C$42, 21.7258, 21.7258) * CHOOSE(CONTROL!$C$21, $C$9, 100%, $E$9)</f>
        <v>21.7258</v>
      </c>
      <c r="N767" s="10">
        <f>CHOOSE(CONTROL!$C$42, 21.7423, 21.7423) * CHOOSE(CONTROL!$C$21, $C$9, 100%, $E$9)</f>
        <v>21.7423</v>
      </c>
      <c r="O767" s="10">
        <f>CHOOSE(CONTROL!$C$42, 21.8188, 21.8188) * CHOOSE(CONTROL!$C$21, $C$9, 100%, $E$9)</f>
        <v>21.8188</v>
      </c>
      <c r="P767" s="10">
        <f>CHOOSE(CONTROL!$C$42, 21.7665, 21.7665) * CHOOSE(CONTROL!$C$21, $C$9, 100%, $E$9)</f>
        <v>21.766500000000001</v>
      </c>
      <c r="Q767" s="10">
        <f>CHOOSE(CONTROL!$C$42, 22.4141, 22.4141) * CHOOSE(CONTROL!$C$21, $C$9, 100%, $E$9)</f>
        <v>22.414100000000001</v>
      </c>
      <c r="R767" s="10">
        <f>CHOOSE(CONTROL!$C$42, 23.0571, 23.0571) * CHOOSE(CONTROL!$C$21, $C$9, 100%, $E$9)</f>
        <v>23.057099999999998</v>
      </c>
      <c r="S767" s="10">
        <f>CHOOSE(CONTROL!$C$42, 21.3376, 21.3376) * CHOOSE(CONTROL!$C$21, $C$9, 100%, $E$9)</f>
        <v>21.337599999999998</v>
      </c>
      <c r="T76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38">
        <f>(1000*CHOOSE(CONTROL!$C$42, 695, 695)*CHOOSE(CONTROL!$C$42, 0.5599, 0.5599)*CHOOSE(CONTROL!$C$42, 30, 30))/1000000</f>
        <v>11.673914999999997</v>
      </c>
      <c r="V767" s="38">
        <f>(1000*CHOOSE(CONTROL!$C$42, 500, 500)*CHOOSE(CONTROL!$C$42, 0.275, 0.275)*CHOOSE(CONTROL!$C$42, 30, 30))/1000000</f>
        <v>4.125</v>
      </c>
      <c r="W767" s="38">
        <f>(1000*CHOOSE(CONTROL!$C$42, 0.1146, 0.1146)*CHOOSE(CONTROL!$C$42, 121.5, 121.5)*CHOOSE(CONTROL!$C$42, 30, 30))/1000000</f>
        <v>0.417717</v>
      </c>
      <c r="X767" s="38">
        <f>(30*0.1790888*100000/1000000)+(30*0.2374*100000/1000000)</f>
        <v>1.2494664</v>
      </c>
      <c r="Y767" s="38">
        <f>(1000*600*CHOOSE(CONTROL!$C$42, 1.0585, 1.0585)*CHOOSE(CONTROL!$C$42, 30, 30))/1000000</f>
        <v>19.053000000000001</v>
      </c>
      <c r="Z767" s="38"/>
      <c r="AA767" s="10"/>
      <c r="AB767" s="39"/>
      <c r="AC767" s="33">
        <f>(B767*122.58+C767*297.941+D767*89.177+E767*40.302+F767*40+G767*160+H767*0+I767*100+J767*300)/(122.58+297.941+89.177+40.302+0+40+160+100+300)</f>
        <v>22.010267983391302</v>
      </c>
      <c r="AD767" s="27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21.774756834532376</v>
      </c>
    </row>
    <row r="768" spans="1:30" ht="15.75" x14ac:dyDescent="0.25">
      <c r="A768" s="13">
        <v>64650</v>
      </c>
      <c r="B768" s="10">
        <f>CHOOSE(CONTROL!$C$42, 23.5213, 23.5213) * CHOOSE(CONTROL!$C$21, $C$9, 100%, $E$9)</f>
        <v>23.5213</v>
      </c>
      <c r="C768" s="10">
        <f>CHOOSE(CONTROL!$C$42, 23.5264, 23.5264) * CHOOSE(CONTROL!$C$21, $C$9, 100%, $E$9)</f>
        <v>23.526399999999999</v>
      </c>
      <c r="D768" s="10">
        <f>CHOOSE(CONTROL!$C$42, 23.5511, 23.5511) * CHOOSE(CONTROL!$C$21, $C$9, 100%, $E$9)</f>
        <v>23.551100000000002</v>
      </c>
      <c r="E768" s="10">
        <f>CHOOSE(CONTROL!$C$42, 23.5849, 23.5849) * CHOOSE(CONTROL!$C$21, $C$9, 100%, $E$9)</f>
        <v>23.584900000000001</v>
      </c>
      <c r="F768" s="10">
        <f>CHOOSE(CONTROL!$C$42, 23.4888, 23.4888)*CHOOSE(CONTROL!$C$21, $C$9, 100%, $E$9)</f>
        <v>23.488800000000001</v>
      </c>
      <c r="G768" s="10">
        <f>CHOOSE(CONTROL!$C$42, 23.506, 23.506)*CHOOSE(CONTROL!$C$21, $C$9, 100%, $E$9)</f>
        <v>23.506</v>
      </c>
      <c r="H768" s="10">
        <f>CHOOSE(CONTROL!$C$42, 23.5738, 23.5738) * CHOOSE(CONTROL!$C$21, $C$9, 100%, $E$9)</f>
        <v>23.573799999999999</v>
      </c>
      <c r="I768" s="10">
        <f>CHOOSE(CONTROL!$C$42, 23.5208, 23.5208)* CHOOSE(CONTROL!$C$21, $C$9, 100%, $E$9)</f>
        <v>23.520800000000001</v>
      </c>
      <c r="J768" s="10">
        <f>CHOOSE(CONTROL!$C$42, 23.4814, 23.4814)* CHOOSE(CONTROL!$C$21, $C$9, 100%, $E$9)</f>
        <v>23.481400000000001</v>
      </c>
      <c r="K768" s="10">
        <f>CHOOSE(CONTROL!$C$42, 22.9497, 22.9497) * CHOOSE(CONTROL!$C$21, $C$9, 100%, $E$9)</f>
        <v>22.9497</v>
      </c>
      <c r="L768" s="10">
        <f>CHOOSE(CONTROL!$C$42, 24.1608, 24.1608) * CHOOSE(CONTROL!$C$21, $C$9, 100%, $E$9)</f>
        <v>24.160799999999998</v>
      </c>
      <c r="M768" s="10">
        <f>CHOOSE(CONTROL!$C$42, 23.2104, 23.2104) * CHOOSE(CONTROL!$C$21, $C$9, 100%, $E$9)</f>
        <v>23.2104</v>
      </c>
      <c r="N768" s="10">
        <f>CHOOSE(CONTROL!$C$42, 23.2275, 23.2275) * CHOOSE(CONTROL!$C$21, $C$9, 100%, $E$9)</f>
        <v>23.227499999999999</v>
      </c>
      <c r="O768" s="10">
        <f>CHOOSE(CONTROL!$C$42, 23.3017, 23.3017) * CHOOSE(CONTROL!$C$21, $C$9, 100%, $E$9)</f>
        <v>23.3017</v>
      </c>
      <c r="P768" s="10">
        <f>CHOOSE(CONTROL!$C$42, 23.2494, 23.2494) * CHOOSE(CONTROL!$C$21, $C$9, 100%, $E$9)</f>
        <v>23.249400000000001</v>
      </c>
      <c r="Q768" s="10">
        <f>CHOOSE(CONTROL!$C$42, 23.897, 23.897) * CHOOSE(CONTROL!$C$21, $C$9, 100%, $E$9)</f>
        <v>23.896999999999998</v>
      </c>
      <c r="R768" s="10">
        <f>CHOOSE(CONTROL!$C$42, 24.5437, 24.5437) * CHOOSE(CONTROL!$C$21, $C$9, 100%, $E$9)</f>
        <v>24.543700000000001</v>
      </c>
      <c r="S768" s="10">
        <f>CHOOSE(CONTROL!$C$42, 22.7924, 22.7924) * CHOOSE(CONTROL!$C$21, $C$9, 100%, $E$9)</f>
        <v>22.792400000000001</v>
      </c>
      <c r="T76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38">
        <f>(1000*CHOOSE(CONTROL!$C$42, 695, 695)*CHOOSE(CONTROL!$C$42, 0.5599, 0.5599)*CHOOSE(CONTROL!$C$42, 31, 31))/1000000</f>
        <v>12.063045499999998</v>
      </c>
      <c r="V768" s="38">
        <f>(1000*CHOOSE(CONTROL!$C$42, 500, 500)*CHOOSE(CONTROL!$C$42, 0.275, 0.275)*CHOOSE(CONTROL!$C$42, 31, 31))/1000000</f>
        <v>4.2625000000000002</v>
      </c>
      <c r="W768" s="38">
        <f>(1000*CHOOSE(CONTROL!$C$42, 0.1146, 0.1146)*CHOOSE(CONTROL!$C$42, 121.5, 121.5)*CHOOSE(CONTROL!$C$42, 31, 31))/1000000</f>
        <v>0.43164089999999994</v>
      </c>
      <c r="X768" s="38">
        <f>(31*0.1790888*100000/1000000)+(31*0.2374*100000/1000000)</f>
        <v>1.2911152800000001</v>
      </c>
      <c r="Y768" s="38">
        <f>(1000*600*CHOOSE(CONTROL!$C$42, 1.0585, 1.0585)*CHOOSE(CONTROL!$C$42, 31, 31))/1000000</f>
        <v>19.688099999999999</v>
      </c>
      <c r="Z768" s="38"/>
      <c r="AA768" s="10"/>
      <c r="AB768" s="39"/>
      <c r="AC768" s="33">
        <f>(B768*122.58+C768*297.941+D768*89.177+E768*40.302+F768*40+G768*160+H768*0+I768*100+J768*300)/(122.58+297.941+89.177+40.302+0+40+160+100+300)</f>
        <v>23.513449722521738</v>
      </c>
      <c r="AD768" s="27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23.258376258992804</v>
      </c>
    </row>
    <row r="769" spans="1:30" ht="15.75" x14ac:dyDescent="0.25">
      <c r="A769" s="13">
        <v>64681</v>
      </c>
      <c r="B769" s="10">
        <f>CHOOSE(CONTROL!$C$42, 25.11, 25.11) * CHOOSE(CONTROL!$C$21, $C$9, 100%, $E$9)</f>
        <v>25.11</v>
      </c>
      <c r="C769" s="10">
        <f>CHOOSE(CONTROL!$C$42, 25.1151, 25.1151) * CHOOSE(CONTROL!$C$21, $C$9, 100%, $E$9)</f>
        <v>25.115100000000002</v>
      </c>
      <c r="D769" s="10">
        <f>CHOOSE(CONTROL!$C$42, 25.1501, 25.1501) * CHOOSE(CONTROL!$C$21, $C$9, 100%, $E$9)</f>
        <v>25.150099999999998</v>
      </c>
      <c r="E769" s="10">
        <f>CHOOSE(CONTROL!$C$42, 25.1839, 25.1839) * CHOOSE(CONTROL!$C$21, $C$9, 100%, $E$9)</f>
        <v>25.183900000000001</v>
      </c>
      <c r="F769" s="10">
        <f>CHOOSE(CONTROL!$C$42, 25.0913, 25.0913)*CHOOSE(CONTROL!$C$21, $C$9, 100%, $E$9)</f>
        <v>25.0913</v>
      </c>
      <c r="G769" s="10">
        <f>CHOOSE(CONTROL!$C$42, 25.1102, 25.1102)*CHOOSE(CONTROL!$C$21, $C$9, 100%, $E$9)</f>
        <v>25.110199999999999</v>
      </c>
      <c r="H769" s="10">
        <f>CHOOSE(CONTROL!$C$42, 25.1728, 25.1728) * CHOOSE(CONTROL!$C$21, $C$9, 100%, $E$9)</f>
        <v>25.172799999999999</v>
      </c>
      <c r="I769" s="10">
        <f>CHOOSE(CONTROL!$C$42, 25.1172, 25.1172)* CHOOSE(CONTROL!$C$21, $C$9, 100%, $E$9)</f>
        <v>25.1172</v>
      </c>
      <c r="J769" s="10">
        <f>CHOOSE(CONTROL!$C$42, 25.0839, 25.0839)* CHOOSE(CONTROL!$C$21, $C$9, 100%, $E$9)</f>
        <v>25.0839</v>
      </c>
      <c r="K769" s="10">
        <f>CHOOSE(CONTROL!$C$42, 24.5095, 24.5095) * CHOOSE(CONTROL!$C$21, $C$9, 100%, $E$9)</f>
        <v>24.509499999999999</v>
      </c>
      <c r="L769" s="10">
        <f>CHOOSE(CONTROL!$C$42, 25.7598, 25.7598) * CHOOSE(CONTROL!$C$21, $C$9, 100%, $E$9)</f>
        <v>25.759799999999998</v>
      </c>
      <c r="M769" s="10">
        <f>CHOOSE(CONTROL!$C$42, 24.7922, 24.7922) * CHOOSE(CONTROL!$C$21, $C$9, 100%, $E$9)</f>
        <v>24.792200000000001</v>
      </c>
      <c r="N769" s="10">
        <f>CHOOSE(CONTROL!$C$42, 24.8109, 24.8109) * CHOOSE(CONTROL!$C$21, $C$9, 100%, $E$9)</f>
        <v>24.8109</v>
      </c>
      <c r="O769" s="10">
        <f>CHOOSE(CONTROL!$C$42, 24.88, 24.88) * CHOOSE(CONTROL!$C$21, $C$9, 100%, $E$9)</f>
        <v>24.88</v>
      </c>
      <c r="P769" s="10">
        <f>CHOOSE(CONTROL!$C$42, 24.8252, 24.8252) * CHOOSE(CONTROL!$C$21, $C$9, 100%, $E$9)</f>
        <v>24.825199999999999</v>
      </c>
      <c r="Q769" s="10">
        <f>CHOOSE(CONTROL!$C$42, 25.4753, 25.4753) * CHOOSE(CONTROL!$C$21, $C$9, 100%, $E$9)</f>
        <v>25.475300000000001</v>
      </c>
      <c r="R769" s="10">
        <f>CHOOSE(CONTROL!$C$42, 26.126, 26.126) * CHOOSE(CONTROL!$C$21, $C$9, 100%, $E$9)</f>
        <v>26.126000000000001</v>
      </c>
      <c r="S769" s="10">
        <f>CHOOSE(CONTROL!$C$42, 24.3307, 24.3307) * CHOOSE(CONTROL!$C$21, $C$9, 100%, $E$9)</f>
        <v>24.3307</v>
      </c>
      <c r="T76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38">
        <f>(1000*CHOOSE(CONTROL!$C$42, 695, 695)*CHOOSE(CONTROL!$C$42, 0.5599, 0.5599)*CHOOSE(CONTROL!$C$42, 31, 31))/1000000</f>
        <v>12.063045499999998</v>
      </c>
      <c r="V769" s="38">
        <f>(1000*CHOOSE(CONTROL!$C$42, 500, 500)*CHOOSE(CONTROL!$C$42, 0.275, 0.275)*CHOOSE(CONTROL!$C$42, 31, 31))/1000000</f>
        <v>4.2625000000000002</v>
      </c>
      <c r="W769" s="38">
        <f>(1000*CHOOSE(CONTROL!$C$42, 0.1146, 0.1146)*CHOOSE(CONTROL!$C$42, 121.5, 121.5)*CHOOSE(CONTROL!$C$42, 31, 31))/1000000</f>
        <v>0.43164089999999994</v>
      </c>
      <c r="X769" s="38">
        <f>(31*0.1790888*100000/1000000)+(31*0.2374*100000/1000000)</f>
        <v>1.2911152800000001</v>
      </c>
      <c r="Y769" s="38">
        <f>(1000*600*CHOOSE(CONTROL!$C$42, 1.0585, 1.0585)*CHOOSE(CONTROL!$C$42, 31, 31))/1000000</f>
        <v>19.688099999999999</v>
      </c>
      <c r="Z769" s="38"/>
      <c r="AA769" s="10"/>
      <c r="AB769" s="39"/>
      <c r="AC769" s="33">
        <f>(B769*122.58+C769*297.941+D769*89.177+E769*40.302+F769*40+G769*160+H769*0+I769*100+J769*300)/(122.58+297.941+89.177+40.302+0+40+160+100+300)</f>
        <v>25.11021549095652</v>
      </c>
      <c r="AD769" s="27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24.837818705035971</v>
      </c>
    </row>
    <row r="770" spans="1:30" ht="15.75" x14ac:dyDescent="0.25">
      <c r="A770" s="13">
        <v>64709</v>
      </c>
      <c r="B770" s="10">
        <f>CHOOSE(CONTROL!$C$42, 25.5573, 25.5573) * CHOOSE(CONTROL!$C$21, $C$9, 100%, $E$9)</f>
        <v>25.557300000000001</v>
      </c>
      <c r="C770" s="10">
        <f>CHOOSE(CONTROL!$C$42, 25.5624, 25.5624) * CHOOSE(CONTROL!$C$21, $C$9, 100%, $E$9)</f>
        <v>25.5624</v>
      </c>
      <c r="D770" s="10">
        <f>CHOOSE(CONTROL!$C$42, 25.5974, 25.5974) * CHOOSE(CONTROL!$C$21, $C$9, 100%, $E$9)</f>
        <v>25.5974</v>
      </c>
      <c r="E770" s="10">
        <f>CHOOSE(CONTROL!$C$42, 25.6312, 25.6312) * CHOOSE(CONTROL!$C$21, $C$9, 100%, $E$9)</f>
        <v>25.6312</v>
      </c>
      <c r="F770" s="10">
        <f>CHOOSE(CONTROL!$C$42, 25.538, 25.538)*CHOOSE(CONTROL!$C$21, $C$9, 100%, $E$9)</f>
        <v>25.538</v>
      </c>
      <c r="G770" s="10">
        <f>CHOOSE(CONTROL!$C$42, 25.5568, 25.5568)*CHOOSE(CONTROL!$C$21, $C$9, 100%, $E$9)</f>
        <v>25.556799999999999</v>
      </c>
      <c r="H770" s="10">
        <f>CHOOSE(CONTROL!$C$42, 25.6201, 25.6201) * CHOOSE(CONTROL!$C$21, $C$9, 100%, $E$9)</f>
        <v>25.620100000000001</v>
      </c>
      <c r="I770" s="10">
        <f>CHOOSE(CONTROL!$C$42, 25.5645, 25.5645)* CHOOSE(CONTROL!$C$21, $C$9, 100%, $E$9)</f>
        <v>25.564499999999999</v>
      </c>
      <c r="J770" s="10">
        <f>CHOOSE(CONTROL!$C$42, 25.5306, 25.5306)* CHOOSE(CONTROL!$C$21, $C$9, 100%, $E$9)</f>
        <v>25.5306</v>
      </c>
      <c r="K770" s="10">
        <f>CHOOSE(CONTROL!$C$42, 24.9417, 24.9417) * CHOOSE(CONTROL!$C$21, $C$9, 100%, $E$9)</f>
        <v>24.941700000000001</v>
      </c>
      <c r="L770" s="10">
        <f>CHOOSE(CONTROL!$C$42, 26.2071, 26.2071) * CHOOSE(CONTROL!$C$21, $C$9, 100%, $E$9)</f>
        <v>26.207100000000001</v>
      </c>
      <c r="M770" s="10">
        <f>CHOOSE(CONTROL!$C$42, 25.2332, 25.2332) * CHOOSE(CONTROL!$C$21, $C$9, 100%, $E$9)</f>
        <v>25.2332</v>
      </c>
      <c r="N770" s="10">
        <f>CHOOSE(CONTROL!$C$42, 25.2517, 25.2517) * CHOOSE(CONTROL!$C$21, $C$9, 100%, $E$9)</f>
        <v>25.2517</v>
      </c>
      <c r="O770" s="10">
        <f>CHOOSE(CONTROL!$C$42, 25.3215, 25.3215) * CHOOSE(CONTROL!$C$21, $C$9, 100%, $E$9)</f>
        <v>25.3215</v>
      </c>
      <c r="P770" s="10">
        <f>CHOOSE(CONTROL!$C$42, 25.2667, 25.2667) * CHOOSE(CONTROL!$C$21, $C$9, 100%, $E$9)</f>
        <v>25.2667</v>
      </c>
      <c r="Q770" s="10">
        <f>CHOOSE(CONTROL!$C$42, 25.9168, 25.9168) * CHOOSE(CONTROL!$C$21, $C$9, 100%, $E$9)</f>
        <v>25.916799999999999</v>
      </c>
      <c r="R770" s="10">
        <f>CHOOSE(CONTROL!$C$42, 26.5686, 26.5686) * CHOOSE(CONTROL!$C$21, $C$9, 100%, $E$9)</f>
        <v>26.5686</v>
      </c>
      <c r="S770" s="10">
        <f>CHOOSE(CONTROL!$C$42, 24.7638, 24.7638) * CHOOSE(CONTROL!$C$21, $C$9, 100%, $E$9)</f>
        <v>24.7638</v>
      </c>
      <c r="T77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70" s="38">
        <f>(1000*CHOOSE(CONTROL!$C$42, 695, 695)*CHOOSE(CONTROL!$C$42, 0.5599, 0.5599)*CHOOSE(CONTROL!$C$42, 28, 28))/1000000</f>
        <v>10.895653999999999</v>
      </c>
      <c r="V770" s="38">
        <f>(1000*CHOOSE(CONTROL!$C$42, 500, 500)*CHOOSE(CONTROL!$C$42, 0.275, 0.275)*CHOOSE(CONTROL!$C$42, 28, 28))/1000000</f>
        <v>3.85</v>
      </c>
      <c r="W770" s="38">
        <f>(1000*CHOOSE(CONTROL!$C$42, 0.1146, 0.1146)*CHOOSE(CONTROL!$C$42, 121.5, 121.5)*CHOOSE(CONTROL!$C$42, 28, 28))/1000000</f>
        <v>0.38986920000000003</v>
      </c>
      <c r="X770" s="38">
        <f>(28*0.1790888*100000/1000000)+(28*0.2374*100000/1000000)</f>
        <v>1.16616864</v>
      </c>
      <c r="Y770" s="38">
        <f>(1000*600*CHOOSE(CONTROL!$C$42, 1.0585, 1.0585)*CHOOSE(CONTROL!$C$42, 28, 28))/1000000</f>
        <v>17.782800000000002</v>
      </c>
      <c r="Z770" s="38"/>
      <c r="AA770" s="10"/>
      <c r="AB770" s="39"/>
      <c r="AC770" s="33">
        <f>(B770*122.58+C770*297.941+D770*89.177+E770*40.302+F770*40+G770*160+H770*0+I770*100+J770*300)/(122.58+297.941+89.177+40.302+0+40+160+100+300)</f>
        <v>25.557240708347827</v>
      </c>
      <c r="AD770" s="27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25.27910575539568</v>
      </c>
    </row>
    <row r="771" spans="1:30" ht="15.75" x14ac:dyDescent="0.25">
      <c r="A771" s="13">
        <v>64740</v>
      </c>
      <c r="B771" s="10">
        <f>CHOOSE(CONTROL!$C$42, 24.8312, 24.8312) * CHOOSE(CONTROL!$C$21, $C$9, 100%, $E$9)</f>
        <v>24.831199999999999</v>
      </c>
      <c r="C771" s="10">
        <f>CHOOSE(CONTROL!$C$42, 24.8363, 24.8363) * CHOOSE(CONTROL!$C$21, $C$9, 100%, $E$9)</f>
        <v>24.836300000000001</v>
      </c>
      <c r="D771" s="10">
        <f>CHOOSE(CONTROL!$C$42, 24.8713, 24.8713) * CHOOSE(CONTROL!$C$21, $C$9, 100%, $E$9)</f>
        <v>24.871300000000002</v>
      </c>
      <c r="E771" s="10">
        <f>CHOOSE(CONTROL!$C$42, 24.9052, 24.9052) * CHOOSE(CONTROL!$C$21, $C$9, 100%, $E$9)</f>
        <v>24.905200000000001</v>
      </c>
      <c r="F771" s="10">
        <f>CHOOSE(CONTROL!$C$42, 24.8106, 24.8106)*CHOOSE(CONTROL!$C$21, $C$9, 100%, $E$9)</f>
        <v>24.810600000000001</v>
      </c>
      <c r="G771" s="10">
        <f>CHOOSE(CONTROL!$C$42, 24.829, 24.829)*CHOOSE(CONTROL!$C$21, $C$9, 100%, $E$9)</f>
        <v>24.829000000000001</v>
      </c>
      <c r="H771" s="10">
        <f>CHOOSE(CONTROL!$C$42, 24.894, 24.894) * CHOOSE(CONTROL!$C$21, $C$9, 100%, $E$9)</f>
        <v>24.893999999999998</v>
      </c>
      <c r="I771" s="10">
        <f>CHOOSE(CONTROL!$C$42, 24.8385, 24.8385)* CHOOSE(CONTROL!$C$21, $C$9, 100%, $E$9)</f>
        <v>24.8385</v>
      </c>
      <c r="J771" s="10">
        <f>CHOOSE(CONTROL!$C$42, 24.8032, 24.8032)* CHOOSE(CONTROL!$C$21, $C$9, 100%, $E$9)</f>
        <v>24.8032</v>
      </c>
      <c r="K771" s="10">
        <f>CHOOSE(CONTROL!$C$42, 24.2353, 24.2353) * CHOOSE(CONTROL!$C$21, $C$9, 100%, $E$9)</f>
        <v>24.235299999999999</v>
      </c>
      <c r="L771" s="10">
        <f>CHOOSE(CONTROL!$C$42, 25.481, 25.481) * CHOOSE(CONTROL!$C$21, $C$9, 100%, $E$9)</f>
        <v>25.481000000000002</v>
      </c>
      <c r="M771" s="10">
        <f>CHOOSE(CONTROL!$C$42, 24.5152, 24.5152) * CHOOSE(CONTROL!$C$21, $C$9, 100%, $E$9)</f>
        <v>24.5152</v>
      </c>
      <c r="N771" s="10">
        <f>CHOOSE(CONTROL!$C$42, 24.5333, 24.5333) * CHOOSE(CONTROL!$C$21, $C$9, 100%, $E$9)</f>
        <v>24.533300000000001</v>
      </c>
      <c r="O771" s="10">
        <f>CHOOSE(CONTROL!$C$42, 24.6048, 24.6048) * CHOOSE(CONTROL!$C$21, $C$9, 100%, $E$9)</f>
        <v>24.604800000000001</v>
      </c>
      <c r="P771" s="10">
        <f>CHOOSE(CONTROL!$C$42, 24.55, 24.55) * CHOOSE(CONTROL!$C$21, $C$9, 100%, $E$9)</f>
        <v>24.55</v>
      </c>
      <c r="Q771" s="10">
        <f>CHOOSE(CONTROL!$C$42, 25.2001, 25.2001) * CHOOSE(CONTROL!$C$21, $C$9, 100%, $E$9)</f>
        <v>25.200099999999999</v>
      </c>
      <c r="R771" s="10">
        <f>CHOOSE(CONTROL!$C$42, 25.8501, 25.8501) * CHOOSE(CONTROL!$C$21, $C$9, 100%, $E$9)</f>
        <v>25.850100000000001</v>
      </c>
      <c r="S771" s="10">
        <f>CHOOSE(CONTROL!$C$42, 24.0607, 24.0607) * CHOOSE(CONTROL!$C$21, $C$9, 100%, $E$9)</f>
        <v>24.060700000000001</v>
      </c>
      <c r="T77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38">
        <f>(1000*CHOOSE(CONTROL!$C$42, 695, 695)*CHOOSE(CONTROL!$C$42, 0.5599, 0.5599)*CHOOSE(CONTROL!$C$42, 31, 31))/1000000</f>
        <v>12.063045499999998</v>
      </c>
      <c r="V771" s="38">
        <f>(1000*CHOOSE(CONTROL!$C$42, 500, 500)*CHOOSE(CONTROL!$C$42, 0.275, 0.275)*CHOOSE(CONTROL!$C$42, 31, 31))/1000000</f>
        <v>4.2625000000000002</v>
      </c>
      <c r="W771" s="38">
        <f>(1000*CHOOSE(CONTROL!$C$42, 0.1146, 0.1146)*CHOOSE(CONTROL!$C$42, 121.5, 121.5)*CHOOSE(CONTROL!$C$42, 31, 31))/1000000</f>
        <v>0.43164089999999994</v>
      </c>
      <c r="X771" s="38">
        <f>(31*0.1790888*100000/1000000)+(31*0.2374*100000/1000000)</f>
        <v>1.2911152800000001</v>
      </c>
      <c r="Y771" s="38">
        <f>(1000*600*CHOOSE(CONTROL!$C$42, 1.0585, 1.0585)*CHOOSE(CONTROL!$C$42, 31, 31))/1000000</f>
        <v>19.688099999999999</v>
      </c>
      <c r="Z771" s="38"/>
      <c r="AA771" s="10"/>
      <c r="AB771" s="39"/>
      <c r="AC771" s="33">
        <f>(B771*122.58+C771*297.941+D771*89.177+E771*40.302+F771*40+G771*160+H771*0+I771*100+J771*300)/(122.58+297.941+89.177+40.302+0+40+160+100+300)</f>
        <v>24.830532038956516</v>
      </c>
      <c r="AD771" s="27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24.561858992805757</v>
      </c>
    </row>
    <row r="772" spans="1:30" ht="15.75" x14ac:dyDescent="0.25">
      <c r="A772" s="13">
        <v>64770</v>
      </c>
      <c r="B772" s="10">
        <f>CHOOSE(CONTROL!$C$42, 24.7576, 24.7576) * CHOOSE(CONTROL!$C$21, $C$9, 100%, $E$9)</f>
        <v>24.7576</v>
      </c>
      <c r="C772" s="10">
        <f>CHOOSE(CONTROL!$C$42, 24.7621, 24.7621) * CHOOSE(CONTROL!$C$21, $C$9, 100%, $E$9)</f>
        <v>24.7621</v>
      </c>
      <c r="D772" s="10">
        <f>CHOOSE(CONTROL!$C$42, 24.9403, 24.9403) * CHOOSE(CONTROL!$C$21, $C$9, 100%, $E$9)</f>
        <v>24.940300000000001</v>
      </c>
      <c r="E772" s="10">
        <f>CHOOSE(CONTROL!$C$42, 24.9722, 24.9722) * CHOOSE(CONTROL!$C$21, $C$9, 100%, $E$9)</f>
        <v>24.972200000000001</v>
      </c>
      <c r="F772" s="10">
        <f>CHOOSE(CONTROL!$C$42, 24.7011, 24.7011)*CHOOSE(CONTROL!$C$21, $C$9, 100%, $E$9)</f>
        <v>24.7011</v>
      </c>
      <c r="G772" s="10">
        <f>CHOOSE(CONTROL!$C$42, 24.7177, 24.7177)*CHOOSE(CONTROL!$C$21, $C$9, 100%, $E$9)</f>
        <v>24.717700000000001</v>
      </c>
      <c r="H772" s="10">
        <f>CHOOSE(CONTROL!$C$42, 24.9616, 24.9616) * CHOOSE(CONTROL!$C$21, $C$9, 100%, $E$9)</f>
        <v>24.961600000000001</v>
      </c>
      <c r="I772" s="10">
        <f>CHOOSE(CONTROL!$C$42, 24.7336, 24.7336)* CHOOSE(CONTROL!$C$21, $C$9, 100%, $E$9)</f>
        <v>24.733599999999999</v>
      </c>
      <c r="J772" s="10">
        <f>CHOOSE(CONTROL!$C$42, 24.6937, 24.6937)* CHOOSE(CONTROL!$C$21, $C$9, 100%, $E$9)</f>
        <v>24.6937</v>
      </c>
      <c r="K772" s="10">
        <f>CHOOSE(CONTROL!$C$42, 24.119, 24.119) * CHOOSE(CONTROL!$C$21, $C$9, 100%, $E$9)</f>
        <v>24.119</v>
      </c>
      <c r="L772" s="10">
        <f>CHOOSE(CONTROL!$C$42, 25.5486, 25.5486) * CHOOSE(CONTROL!$C$21, $C$9, 100%, $E$9)</f>
        <v>25.5486</v>
      </c>
      <c r="M772" s="10">
        <f>CHOOSE(CONTROL!$C$42, 24.407, 24.407) * CHOOSE(CONTROL!$C$21, $C$9, 100%, $E$9)</f>
        <v>24.407</v>
      </c>
      <c r="N772" s="10">
        <f>CHOOSE(CONTROL!$C$42, 24.4234, 24.4234) * CHOOSE(CONTROL!$C$21, $C$9, 100%, $E$9)</f>
        <v>24.423400000000001</v>
      </c>
      <c r="O772" s="10">
        <f>CHOOSE(CONTROL!$C$42, 24.6715, 24.6715) * CHOOSE(CONTROL!$C$21, $C$9, 100%, $E$9)</f>
        <v>24.671500000000002</v>
      </c>
      <c r="P772" s="10">
        <f>CHOOSE(CONTROL!$C$42, 24.4465, 24.4465) * CHOOSE(CONTROL!$C$21, $C$9, 100%, $E$9)</f>
        <v>24.4465</v>
      </c>
      <c r="Q772" s="10">
        <f>CHOOSE(CONTROL!$C$42, 25.2668, 25.2668) * CHOOSE(CONTROL!$C$21, $C$9, 100%, $E$9)</f>
        <v>25.2668</v>
      </c>
      <c r="R772" s="10">
        <f>CHOOSE(CONTROL!$C$42, 25.917, 25.917) * CHOOSE(CONTROL!$C$21, $C$9, 100%, $E$9)</f>
        <v>25.917000000000002</v>
      </c>
      <c r="S772" s="10">
        <f>CHOOSE(CONTROL!$C$42, 23.9887, 23.9887) * CHOOSE(CONTROL!$C$21, $C$9, 100%, $E$9)</f>
        <v>23.988700000000001</v>
      </c>
      <c r="T77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38">
        <f>(1000*CHOOSE(CONTROL!$C$42, 695, 695)*CHOOSE(CONTROL!$C$42, 0.5599, 0.5599)*CHOOSE(CONTROL!$C$42, 30, 30))/1000000</f>
        <v>11.673914999999997</v>
      </c>
      <c r="V772" s="38">
        <f>(1000*CHOOSE(CONTROL!$C$42, 500, 500)*CHOOSE(CONTROL!$C$42, 0.275, 0.275)*CHOOSE(CONTROL!$C$42, 30, 30))/1000000</f>
        <v>4.125</v>
      </c>
      <c r="W772" s="38">
        <f>(1000*CHOOSE(CONTROL!$C$42, 0.1146, 0.1146)*CHOOSE(CONTROL!$C$42, 121.5, 121.5)*CHOOSE(CONTROL!$C$42, 30, 30))/1000000</f>
        <v>0.417717</v>
      </c>
      <c r="X772" s="38">
        <f>(30*0.1790888*245000/1000000)+(30*0.2374*100000/1000000)</f>
        <v>2.0285026799999999</v>
      </c>
      <c r="Y772" s="38">
        <f>(1000*600*CHOOSE(CONTROL!$C$42, 1.0585, 1.0585)*CHOOSE(CONTROL!$C$42, 30, 30))/1000000</f>
        <v>19.053000000000001</v>
      </c>
      <c r="Z772" s="38"/>
      <c r="AA772" s="10"/>
      <c r="AB772" s="39"/>
      <c r="AC772" s="33">
        <f>(B772*141.293+C772*267.993+D772*115.016+E772*89.698+F772*40+G772*185+H772*0+I772*100+J772*300)/(141.293+267.993+115.016+89.698+0+40+185+100+300)</f>
        <v>24.765878516949154</v>
      </c>
      <c r="AD772" s="27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24.533508633093529</v>
      </c>
    </row>
    <row r="773" spans="1:30" ht="15.75" x14ac:dyDescent="0.25">
      <c r="A773" s="13">
        <v>64801</v>
      </c>
      <c r="B773" s="10">
        <f>CHOOSE(CONTROL!$C$42, 24.978, 24.978) * CHOOSE(CONTROL!$C$21, $C$9, 100%, $E$9)</f>
        <v>24.978000000000002</v>
      </c>
      <c r="C773" s="10">
        <f>CHOOSE(CONTROL!$C$42, 24.986, 24.986) * CHOOSE(CONTROL!$C$21, $C$9, 100%, $E$9)</f>
        <v>24.986000000000001</v>
      </c>
      <c r="D773" s="10">
        <f>CHOOSE(CONTROL!$C$42, 25.1611, 25.1611) * CHOOSE(CONTROL!$C$21, $C$9, 100%, $E$9)</f>
        <v>25.161100000000001</v>
      </c>
      <c r="E773" s="10">
        <f>CHOOSE(CONTROL!$C$42, 25.1924, 25.1924) * CHOOSE(CONTROL!$C$21, $C$9, 100%, $E$9)</f>
        <v>25.192399999999999</v>
      </c>
      <c r="F773" s="10">
        <f>CHOOSE(CONTROL!$C$42, 24.9197, 24.9197)*CHOOSE(CONTROL!$C$21, $C$9, 100%, $E$9)</f>
        <v>24.919699999999999</v>
      </c>
      <c r="G773" s="10">
        <f>CHOOSE(CONTROL!$C$42, 24.9366, 24.9366)*CHOOSE(CONTROL!$C$21, $C$9, 100%, $E$9)</f>
        <v>24.936599999999999</v>
      </c>
      <c r="H773" s="10">
        <f>CHOOSE(CONTROL!$C$42, 25.1807, 25.1807) * CHOOSE(CONTROL!$C$21, $C$9, 100%, $E$9)</f>
        <v>25.180700000000002</v>
      </c>
      <c r="I773" s="10">
        <f>CHOOSE(CONTROL!$C$42, 24.9527, 24.9527)* CHOOSE(CONTROL!$C$21, $C$9, 100%, $E$9)</f>
        <v>24.9527</v>
      </c>
      <c r="J773" s="10">
        <f>CHOOSE(CONTROL!$C$42, 24.9123, 24.9123)* CHOOSE(CONTROL!$C$21, $C$9, 100%, $E$9)</f>
        <v>24.912299999999998</v>
      </c>
      <c r="K773" s="10">
        <f>CHOOSE(CONTROL!$C$42, 24.3304, 24.3304) * CHOOSE(CONTROL!$C$21, $C$9, 100%, $E$9)</f>
        <v>24.330400000000001</v>
      </c>
      <c r="L773" s="10">
        <f>CHOOSE(CONTROL!$C$42, 25.7677, 25.7677) * CHOOSE(CONTROL!$C$21, $C$9, 100%, $E$9)</f>
        <v>25.767700000000001</v>
      </c>
      <c r="M773" s="10">
        <f>CHOOSE(CONTROL!$C$42, 24.6228, 24.6228) * CHOOSE(CONTROL!$C$21, $C$9, 100%, $E$9)</f>
        <v>24.622800000000002</v>
      </c>
      <c r="N773" s="10">
        <f>CHOOSE(CONTROL!$C$42, 24.6395, 24.6395) * CHOOSE(CONTROL!$C$21, $C$9, 100%, $E$9)</f>
        <v>24.639500000000002</v>
      </c>
      <c r="O773" s="10">
        <f>CHOOSE(CONTROL!$C$42, 24.8877, 24.8877) * CHOOSE(CONTROL!$C$21, $C$9, 100%, $E$9)</f>
        <v>24.887699999999999</v>
      </c>
      <c r="P773" s="10">
        <f>CHOOSE(CONTROL!$C$42, 24.6627, 24.6627) * CHOOSE(CONTROL!$C$21, $C$9, 100%, $E$9)</f>
        <v>24.662700000000001</v>
      </c>
      <c r="Q773" s="10">
        <f>CHOOSE(CONTROL!$C$42, 25.483, 25.483) * CHOOSE(CONTROL!$C$21, $C$9, 100%, $E$9)</f>
        <v>25.483000000000001</v>
      </c>
      <c r="R773" s="10">
        <f>CHOOSE(CONTROL!$C$42, 26.1338, 26.1338) * CHOOSE(CONTROL!$C$21, $C$9, 100%, $E$9)</f>
        <v>26.133800000000001</v>
      </c>
      <c r="S773" s="10">
        <f>CHOOSE(CONTROL!$C$42, 24.2008, 24.2008) * CHOOSE(CONTROL!$C$21, $C$9, 100%, $E$9)</f>
        <v>24.200800000000001</v>
      </c>
      <c r="T77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38">
        <f>(1000*CHOOSE(CONTROL!$C$42, 695, 695)*CHOOSE(CONTROL!$C$42, 0.5599, 0.5599)*CHOOSE(CONTROL!$C$42, 31, 31))/1000000</f>
        <v>12.063045499999998</v>
      </c>
      <c r="V773" s="38">
        <f>(1000*CHOOSE(CONTROL!$C$42, 500, 500)*CHOOSE(CONTROL!$C$42, 0.275, 0.275)*CHOOSE(CONTROL!$C$42, 31, 31))/1000000</f>
        <v>4.2625000000000002</v>
      </c>
      <c r="W773" s="38">
        <f>(1000*CHOOSE(CONTROL!$C$42, 0.1146, 0.1146)*CHOOSE(CONTROL!$C$42, 121.5, 121.5)*CHOOSE(CONTROL!$C$42, 31, 31))/1000000</f>
        <v>0.43164089999999994</v>
      </c>
      <c r="X773" s="38">
        <f>(31*0.1790888*245000/1000000)+(31*0.2374*100000/1000000)</f>
        <v>2.0961194359999999</v>
      </c>
      <c r="Y773" s="38">
        <f>(1000*600*CHOOSE(CONTROL!$C$42, 1.0585, 1.0585)*CHOOSE(CONTROL!$C$42, 31, 31))/1000000</f>
        <v>19.688099999999999</v>
      </c>
      <c r="Z773" s="38"/>
      <c r="AA773" s="10"/>
      <c r="AB773" s="39"/>
      <c r="AC773" s="33">
        <f>(B773*194.205+C773*267.466+D773*133.845+E773*53.484+F773*40+G773*185+H773*0+I773*100+J773*300)/(194.205+267.466+133.845+53.484+0+40+185+100+300)</f>
        <v>24.982617517346938</v>
      </c>
      <c r="AD773" s="27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24.749564748201436</v>
      </c>
    </row>
    <row r="774" spans="1:30" ht="15.75" x14ac:dyDescent="0.25">
      <c r="A774" s="13">
        <v>64831</v>
      </c>
      <c r="B774" s="10">
        <f>CHOOSE(CONTROL!$C$42, 25.6869, 25.6869) * CHOOSE(CONTROL!$C$21, $C$9, 100%, $E$9)</f>
        <v>25.686900000000001</v>
      </c>
      <c r="C774" s="10">
        <f>CHOOSE(CONTROL!$C$42, 25.6949, 25.6949) * CHOOSE(CONTROL!$C$21, $C$9, 100%, $E$9)</f>
        <v>25.694900000000001</v>
      </c>
      <c r="D774" s="10">
        <f>CHOOSE(CONTROL!$C$42, 25.8701, 25.8701) * CHOOSE(CONTROL!$C$21, $C$9, 100%, $E$9)</f>
        <v>25.870100000000001</v>
      </c>
      <c r="E774" s="10">
        <f>CHOOSE(CONTROL!$C$42, 25.9013, 25.9013) * CHOOSE(CONTROL!$C$21, $C$9, 100%, $E$9)</f>
        <v>25.901299999999999</v>
      </c>
      <c r="F774" s="10">
        <f>CHOOSE(CONTROL!$C$42, 25.6288, 25.6288)*CHOOSE(CONTROL!$C$21, $C$9, 100%, $E$9)</f>
        <v>25.628799999999998</v>
      </c>
      <c r="G774" s="10">
        <f>CHOOSE(CONTROL!$C$42, 25.6458, 25.6458)*CHOOSE(CONTROL!$C$21, $C$9, 100%, $E$9)</f>
        <v>25.645800000000001</v>
      </c>
      <c r="H774" s="10">
        <f>CHOOSE(CONTROL!$C$42, 25.8896, 25.8896) * CHOOSE(CONTROL!$C$21, $C$9, 100%, $E$9)</f>
        <v>25.889600000000002</v>
      </c>
      <c r="I774" s="10">
        <f>CHOOSE(CONTROL!$C$42, 25.6616, 25.6616)* CHOOSE(CONTROL!$C$21, $C$9, 100%, $E$9)</f>
        <v>25.6616</v>
      </c>
      <c r="J774" s="10">
        <f>CHOOSE(CONTROL!$C$42, 25.6214, 25.6214)* CHOOSE(CONTROL!$C$21, $C$9, 100%, $E$9)</f>
        <v>25.621400000000001</v>
      </c>
      <c r="K774" s="10">
        <f>CHOOSE(CONTROL!$C$42, 25.0176, 25.0176) * CHOOSE(CONTROL!$C$21, $C$9, 100%, $E$9)</f>
        <v>25.017600000000002</v>
      </c>
      <c r="L774" s="10">
        <f>CHOOSE(CONTROL!$C$42, 26.4766, 26.4766) * CHOOSE(CONTROL!$C$21, $C$9, 100%, $E$9)</f>
        <v>26.476600000000001</v>
      </c>
      <c r="M774" s="10">
        <f>CHOOSE(CONTROL!$C$42, 25.3228, 25.3228) * CHOOSE(CONTROL!$C$21, $C$9, 100%, $E$9)</f>
        <v>25.322800000000001</v>
      </c>
      <c r="N774" s="10">
        <f>CHOOSE(CONTROL!$C$42, 25.3395, 25.3395) * CHOOSE(CONTROL!$C$21, $C$9, 100%, $E$9)</f>
        <v>25.339500000000001</v>
      </c>
      <c r="O774" s="10">
        <f>CHOOSE(CONTROL!$C$42, 25.5875, 25.5875) * CHOOSE(CONTROL!$C$21, $C$9, 100%, $E$9)</f>
        <v>25.587499999999999</v>
      </c>
      <c r="P774" s="10">
        <f>CHOOSE(CONTROL!$C$42, 25.3625, 25.3625) * CHOOSE(CONTROL!$C$21, $C$9, 100%, $E$9)</f>
        <v>25.362500000000001</v>
      </c>
      <c r="Q774" s="10">
        <f>CHOOSE(CONTROL!$C$42, 26.1828, 26.1828) * CHOOSE(CONTROL!$C$21, $C$9, 100%, $E$9)</f>
        <v>26.1828</v>
      </c>
      <c r="R774" s="10">
        <f>CHOOSE(CONTROL!$C$42, 26.8353, 26.8353) * CHOOSE(CONTROL!$C$21, $C$9, 100%, $E$9)</f>
        <v>26.8353</v>
      </c>
      <c r="S774" s="10">
        <f>CHOOSE(CONTROL!$C$42, 24.8873, 24.8873) * CHOOSE(CONTROL!$C$21, $C$9, 100%, $E$9)</f>
        <v>24.8873</v>
      </c>
      <c r="T77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38">
        <f>(1000*CHOOSE(CONTROL!$C$42, 695, 695)*CHOOSE(CONTROL!$C$42, 0.5599, 0.5599)*CHOOSE(CONTROL!$C$42, 30, 30))/1000000</f>
        <v>11.673914999999997</v>
      </c>
      <c r="V774" s="38">
        <f>(1000*CHOOSE(CONTROL!$C$42, 500, 500)*CHOOSE(CONTROL!$C$42, 0.275, 0.275)*CHOOSE(CONTROL!$C$42, 30, 30))/1000000</f>
        <v>4.125</v>
      </c>
      <c r="W774" s="38">
        <f>(1000*CHOOSE(CONTROL!$C$42, 0.1146, 0.1146)*CHOOSE(CONTROL!$C$42, 121.5, 121.5)*CHOOSE(CONTROL!$C$42, 30, 30))/1000000</f>
        <v>0.417717</v>
      </c>
      <c r="X774" s="38">
        <f>(30*0.1790888*245000/1000000)+(30*0.2374*100000/1000000)</f>
        <v>2.0285026799999999</v>
      </c>
      <c r="Y774" s="38">
        <f>(1000*600*CHOOSE(CONTROL!$C$42, 1.0585, 1.0585)*CHOOSE(CONTROL!$C$42, 30, 30))/1000000</f>
        <v>19.053000000000001</v>
      </c>
      <c r="Z774" s="38"/>
      <c r="AA774" s="10"/>
      <c r="AB774" s="39"/>
      <c r="AC774" s="33">
        <f>(B774*194.205+C774*267.466+D774*133.845+E774*53.484+F774*40+G774*185+H774*0+I774*100+J774*300)/(194.205+267.466+133.845+53.484+0+40+185+100+300)</f>
        <v>25.691624962009424</v>
      </c>
      <c r="AD774" s="27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25.449445323741006</v>
      </c>
    </row>
    <row r="775" spans="1:30" ht="15.75" x14ac:dyDescent="0.25">
      <c r="A775" s="13">
        <v>64862</v>
      </c>
      <c r="B775" s="10">
        <f>CHOOSE(CONTROL!$C$42, 25.1939, 25.1939) * CHOOSE(CONTROL!$C$21, $C$9, 100%, $E$9)</f>
        <v>25.193899999999999</v>
      </c>
      <c r="C775" s="10">
        <f>CHOOSE(CONTROL!$C$42, 25.2019, 25.2019) * CHOOSE(CONTROL!$C$21, $C$9, 100%, $E$9)</f>
        <v>25.201899999999998</v>
      </c>
      <c r="D775" s="10">
        <f>CHOOSE(CONTROL!$C$42, 25.377, 25.377) * CHOOSE(CONTROL!$C$21, $C$9, 100%, $E$9)</f>
        <v>25.376999999999999</v>
      </c>
      <c r="E775" s="10">
        <f>CHOOSE(CONTROL!$C$42, 25.4082, 25.4082) * CHOOSE(CONTROL!$C$21, $C$9, 100%, $E$9)</f>
        <v>25.408200000000001</v>
      </c>
      <c r="F775" s="10">
        <f>CHOOSE(CONTROL!$C$42, 25.1361, 25.1361)*CHOOSE(CONTROL!$C$21, $C$9, 100%, $E$9)</f>
        <v>25.136099999999999</v>
      </c>
      <c r="G775" s="10">
        <f>CHOOSE(CONTROL!$C$42, 25.1531, 25.1531)*CHOOSE(CONTROL!$C$21, $C$9, 100%, $E$9)</f>
        <v>25.153099999999998</v>
      </c>
      <c r="H775" s="10">
        <f>CHOOSE(CONTROL!$C$42, 25.3965, 25.3965) * CHOOSE(CONTROL!$C$21, $C$9, 100%, $E$9)</f>
        <v>25.3965</v>
      </c>
      <c r="I775" s="10">
        <f>CHOOSE(CONTROL!$C$42, 25.1685, 25.1685)* CHOOSE(CONTROL!$C$21, $C$9, 100%, $E$9)</f>
        <v>25.168500000000002</v>
      </c>
      <c r="J775" s="10">
        <f>CHOOSE(CONTROL!$C$42, 25.1287, 25.1287)* CHOOSE(CONTROL!$C$21, $C$9, 100%, $E$9)</f>
        <v>25.128699999999998</v>
      </c>
      <c r="K775" s="10">
        <f>CHOOSE(CONTROL!$C$42, 24.5406, 24.5406) * CHOOSE(CONTROL!$C$21, $C$9, 100%, $E$9)</f>
        <v>24.540600000000001</v>
      </c>
      <c r="L775" s="10">
        <f>CHOOSE(CONTROL!$C$42, 25.9835, 25.9835) * CHOOSE(CONTROL!$C$21, $C$9, 100%, $E$9)</f>
        <v>25.983499999999999</v>
      </c>
      <c r="M775" s="10">
        <f>CHOOSE(CONTROL!$C$42, 24.8364, 24.8364) * CHOOSE(CONTROL!$C$21, $C$9, 100%, $E$9)</f>
        <v>24.836400000000001</v>
      </c>
      <c r="N775" s="10">
        <f>CHOOSE(CONTROL!$C$42, 24.8532, 24.8532) * CHOOSE(CONTROL!$C$21, $C$9, 100%, $E$9)</f>
        <v>24.853200000000001</v>
      </c>
      <c r="O775" s="10">
        <f>CHOOSE(CONTROL!$C$42, 25.1008, 25.1008) * CHOOSE(CONTROL!$C$21, $C$9, 100%, $E$9)</f>
        <v>25.1008</v>
      </c>
      <c r="P775" s="10">
        <f>CHOOSE(CONTROL!$C$42, 24.8758, 24.8758) * CHOOSE(CONTROL!$C$21, $C$9, 100%, $E$9)</f>
        <v>24.875800000000002</v>
      </c>
      <c r="Q775" s="10">
        <f>CHOOSE(CONTROL!$C$42, 25.6961, 25.6961) * CHOOSE(CONTROL!$C$21, $C$9, 100%, $E$9)</f>
        <v>25.696100000000001</v>
      </c>
      <c r="R775" s="10">
        <f>CHOOSE(CONTROL!$C$42, 26.3474, 26.3474) * CHOOSE(CONTROL!$C$21, $C$9, 100%, $E$9)</f>
        <v>26.3474</v>
      </c>
      <c r="S775" s="10">
        <f>CHOOSE(CONTROL!$C$42, 24.4098, 24.4098) * CHOOSE(CONTROL!$C$21, $C$9, 100%, $E$9)</f>
        <v>24.409800000000001</v>
      </c>
      <c r="T77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38">
        <f>(1000*CHOOSE(CONTROL!$C$42, 695, 695)*CHOOSE(CONTROL!$C$42, 0.5599, 0.5599)*CHOOSE(CONTROL!$C$42, 31, 31))/1000000</f>
        <v>12.063045499999998</v>
      </c>
      <c r="V775" s="38">
        <f>(1000*CHOOSE(CONTROL!$C$42, 500, 500)*CHOOSE(CONTROL!$C$42, 0.275, 0.275)*CHOOSE(CONTROL!$C$42, 31, 31))/1000000</f>
        <v>4.2625000000000002</v>
      </c>
      <c r="W775" s="38">
        <f>(1000*CHOOSE(CONTROL!$C$42, 0.1146, 0.1146)*CHOOSE(CONTROL!$C$42, 121.5, 121.5)*CHOOSE(CONTROL!$C$42, 31, 31))/1000000</f>
        <v>0.43164089999999994</v>
      </c>
      <c r="X775" s="38">
        <f>(31*0.1790888*245000/1000000)+(31*0.2374*100000/1000000)</f>
        <v>2.0961194359999999</v>
      </c>
      <c r="Y775" s="38">
        <f>(1000*600*CHOOSE(CONTROL!$C$42, 1.0585, 1.0585)*CHOOSE(CONTROL!$C$42, 31, 31))/1000000</f>
        <v>19.688099999999999</v>
      </c>
      <c r="Z775" s="38"/>
      <c r="AA775" s="10"/>
      <c r="AB775" s="39"/>
      <c r="AC775" s="33">
        <f>(B775*194.205+C775*267.466+D775*133.845+E775*53.484+F775*40+G775*185+H775*0+I775*100+J775*300)/(194.205+267.466+133.845+53.484+0+40+185+100+300)</f>
        <v>25.198726035086342</v>
      </c>
      <c r="AD775" s="27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24.962871942446043</v>
      </c>
    </row>
    <row r="776" spans="1:30" ht="15.75" x14ac:dyDescent="0.25">
      <c r="A776" s="13">
        <v>64893</v>
      </c>
      <c r="B776" s="10">
        <f>CHOOSE(CONTROL!$C$42, 23.9487, 23.9487) * CHOOSE(CONTROL!$C$21, $C$9, 100%, $E$9)</f>
        <v>23.948699999999999</v>
      </c>
      <c r="C776" s="10">
        <f>CHOOSE(CONTROL!$C$42, 23.9567, 23.9567) * CHOOSE(CONTROL!$C$21, $C$9, 100%, $E$9)</f>
        <v>23.956700000000001</v>
      </c>
      <c r="D776" s="10">
        <f>CHOOSE(CONTROL!$C$42, 24.1318, 24.1318) * CHOOSE(CONTROL!$C$21, $C$9, 100%, $E$9)</f>
        <v>24.131799999999998</v>
      </c>
      <c r="E776" s="10">
        <f>CHOOSE(CONTROL!$C$42, 24.1631, 24.1631) * CHOOSE(CONTROL!$C$21, $C$9, 100%, $E$9)</f>
        <v>24.1631</v>
      </c>
      <c r="F776" s="10">
        <f>CHOOSE(CONTROL!$C$42, 23.8908, 23.8908)*CHOOSE(CONTROL!$C$21, $C$9, 100%, $E$9)</f>
        <v>23.890799999999999</v>
      </c>
      <c r="G776" s="10">
        <f>CHOOSE(CONTROL!$C$42, 23.9078, 23.9078)*CHOOSE(CONTROL!$C$21, $C$9, 100%, $E$9)</f>
        <v>23.907800000000002</v>
      </c>
      <c r="H776" s="10">
        <f>CHOOSE(CONTROL!$C$42, 24.1514, 24.1514) * CHOOSE(CONTROL!$C$21, $C$9, 100%, $E$9)</f>
        <v>24.151399999999999</v>
      </c>
      <c r="I776" s="10">
        <f>CHOOSE(CONTROL!$C$42, 23.9234, 23.9234)* CHOOSE(CONTROL!$C$21, $C$9, 100%, $E$9)</f>
        <v>23.923400000000001</v>
      </c>
      <c r="J776" s="10">
        <f>CHOOSE(CONTROL!$C$42, 23.8834, 23.8834)* CHOOSE(CONTROL!$C$21, $C$9, 100%, $E$9)</f>
        <v>23.883400000000002</v>
      </c>
      <c r="K776" s="10">
        <f>CHOOSE(CONTROL!$C$42, 23.3341, 23.3341) * CHOOSE(CONTROL!$C$21, $C$9, 100%, $E$9)</f>
        <v>23.334099999999999</v>
      </c>
      <c r="L776" s="10">
        <f>CHOOSE(CONTROL!$C$42, 24.7384, 24.7384) * CHOOSE(CONTROL!$C$21, $C$9, 100%, $E$9)</f>
        <v>24.738399999999999</v>
      </c>
      <c r="M776" s="10">
        <f>CHOOSE(CONTROL!$C$42, 23.6073, 23.6073) * CHOOSE(CONTROL!$C$21, $C$9, 100%, $E$9)</f>
        <v>23.607299999999999</v>
      </c>
      <c r="N776" s="10">
        <f>CHOOSE(CONTROL!$C$42, 23.6241, 23.6241) * CHOOSE(CONTROL!$C$21, $C$9, 100%, $E$9)</f>
        <v>23.624099999999999</v>
      </c>
      <c r="O776" s="10">
        <f>CHOOSE(CONTROL!$C$42, 23.8718, 23.8718) * CHOOSE(CONTROL!$C$21, $C$9, 100%, $E$9)</f>
        <v>23.8718</v>
      </c>
      <c r="P776" s="10">
        <f>CHOOSE(CONTROL!$C$42, 23.6468, 23.6468) * CHOOSE(CONTROL!$C$21, $C$9, 100%, $E$9)</f>
        <v>23.646799999999999</v>
      </c>
      <c r="Q776" s="10">
        <f>CHOOSE(CONTROL!$C$42, 24.4671, 24.4671) * CHOOSE(CONTROL!$C$21, $C$9, 100%, $E$9)</f>
        <v>24.467099999999999</v>
      </c>
      <c r="R776" s="10">
        <f>CHOOSE(CONTROL!$C$42, 25.1153, 25.1153) * CHOOSE(CONTROL!$C$21, $C$9, 100%, $E$9)</f>
        <v>25.115300000000001</v>
      </c>
      <c r="S776" s="10">
        <f>CHOOSE(CONTROL!$C$42, 23.2042, 23.2042) * CHOOSE(CONTROL!$C$21, $C$9, 100%, $E$9)</f>
        <v>23.2042</v>
      </c>
      <c r="T77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38">
        <f>(1000*CHOOSE(CONTROL!$C$42, 695, 695)*CHOOSE(CONTROL!$C$42, 0.5599, 0.5599)*CHOOSE(CONTROL!$C$42, 31, 31))/1000000</f>
        <v>12.063045499999998</v>
      </c>
      <c r="V776" s="38">
        <f>(1000*CHOOSE(CONTROL!$C$42, 500, 500)*CHOOSE(CONTROL!$C$42, 0.275, 0.275)*CHOOSE(CONTROL!$C$42, 31, 31))/1000000</f>
        <v>4.2625000000000002</v>
      </c>
      <c r="W776" s="38">
        <f>(1000*CHOOSE(CONTROL!$C$42, 0.1146, 0.1146)*CHOOSE(CONTROL!$C$42, 121.5, 121.5)*CHOOSE(CONTROL!$C$42, 31, 31))/1000000</f>
        <v>0.43164089999999994</v>
      </c>
      <c r="X776" s="38">
        <f>(31*0.1790888*245000/1000000)+(31*0.2374*100000/1000000)</f>
        <v>2.0961194359999999</v>
      </c>
      <c r="Y776" s="38">
        <f>(1000*600*CHOOSE(CONTROL!$C$42, 1.0585, 1.0585)*CHOOSE(CONTROL!$C$42, 31, 31))/1000000</f>
        <v>19.688099999999999</v>
      </c>
      <c r="Z776" s="38"/>
      <c r="AA776" s="10"/>
      <c r="AB776" s="39"/>
      <c r="AC776" s="33">
        <f>(B776*194.205+C776*267.466+D776*133.845+E776*53.484+F776*40+G776*185+H776*0+I776*100+J776*300)/(194.205+267.466+133.845+53.484+0+40+185+100+300)</f>
        <v>23.953496873704868</v>
      </c>
      <c r="AD776" s="27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23.733831654676258</v>
      </c>
    </row>
    <row r="777" spans="1:30" ht="15.75" x14ac:dyDescent="0.25">
      <c r="A777" s="13">
        <v>64923</v>
      </c>
      <c r="B777" s="10">
        <f>CHOOSE(CONTROL!$C$42, 22.4274, 22.4274) * CHOOSE(CONTROL!$C$21, $C$9, 100%, $E$9)</f>
        <v>22.427399999999999</v>
      </c>
      <c r="C777" s="10">
        <f>CHOOSE(CONTROL!$C$42, 22.4354, 22.4354) * CHOOSE(CONTROL!$C$21, $C$9, 100%, $E$9)</f>
        <v>22.435400000000001</v>
      </c>
      <c r="D777" s="10">
        <f>CHOOSE(CONTROL!$C$42, 22.6105, 22.6105) * CHOOSE(CONTROL!$C$21, $C$9, 100%, $E$9)</f>
        <v>22.610499999999998</v>
      </c>
      <c r="E777" s="10">
        <f>CHOOSE(CONTROL!$C$42, 22.6417, 22.6417) * CHOOSE(CONTROL!$C$21, $C$9, 100%, $E$9)</f>
        <v>22.6417</v>
      </c>
      <c r="F777" s="10">
        <f>CHOOSE(CONTROL!$C$42, 22.3692, 22.3692)*CHOOSE(CONTROL!$C$21, $C$9, 100%, $E$9)</f>
        <v>22.369199999999999</v>
      </c>
      <c r="G777" s="10">
        <f>CHOOSE(CONTROL!$C$42, 22.3861, 22.3861)*CHOOSE(CONTROL!$C$21, $C$9, 100%, $E$9)</f>
        <v>22.386099999999999</v>
      </c>
      <c r="H777" s="10">
        <f>CHOOSE(CONTROL!$C$42, 22.6301, 22.6301) * CHOOSE(CONTROL!$C$21, $C$9, 100%, $E$9)</f>
        <v>22.630099999999999</v>
      </c>
      <c r="I777" s="10">
        <f>CHOOSE(CONTROL!$C$42, 22.402, 22.402)* CHOOSE(CONTROL!$C$21, $C$9, 100%, $E$9)</f>
        <v>22.402000000000001</v>
      </c>
      <c r="J777" s="10">
        <f>CHOOSE(CONTROL!$C$42, 22.3618, 22.3618)* CHOOSE(CONTROL!$C$21, $C$9, 100%, $E$9)</f>
        <v>22.361799999999999</v>
      </c>
      <c r="K777" s="10">
        <f>CHOOSE(CONTROL!$C$42, 21.8596, 21.8596) * CHOOSE(CONTROL!$C$21, $C$9, 100%, $E$9)</f>
        <v>21.8596</v>
      </c>
      <c r="L777" s="10">
        <f>CHOOSE(CONTROL!$C$42, 23.2171, 23.2171) * CHOOSE(CONTROL!$C$21, $C$9, 100%, $E$9)</f>
        <v>23.217099999999999</v>
      </c>
      <c r="M777" s="10">
        <f>CHOOSE(CONTROL!$C$42, 22.1053, 22.1053) * CHOOSE(CONTROL!$C$21, $C$9, 100%, $E$9)</f>
        <v>22.1053</v>
      </c>
      <c r="N777" s="10">
        <f>CHOOSE(CONTROL!$C$42, 22.122, 22.122) * CHOOSE(CONTROL!$C$21, $C$9, 100%, $E$9)</f>
        <v>22.122</v>
      </c>
      <c r="O777" s="10">
        <f>CHOOSE(CONTROL!$C$42, 22.3701, 22.3701) * CHOOSE(CONTROL!$C$21, $C$9, 100%, $E$9)</f>
        <v>22.370100000000001</v>
      </c>
      <c r="P777" s="10">
        <f>CHOOSE(CONTROL!$C$42, 22.1451, 22.1451) * CHOOSE(CONTROL!$C$21, $C$9, 100%, $E$9)</f>
        <v>22.145099999999999</v>
      </c>
      <c r="Q777" s="10">
        <f>CHOOSE(CONTROL!$C$42, 22.9654, 22.9654) * CHOOSE(CONTROL!$C$21, $C$9, 100%, $E$9)</f>
        <v>22.965399999999999</v>
      </c>
      <c r="R777" s="10">
        <f>CHOOSE(CONTROL!$C$42, 23.6099, 23.6099) * CHOOSE(CONTROL!$C$21, $C$9, 100%, $E$9)</f>
        <v>23.6099</v>
      </c>
      <c r="S777" s="10">
        <f>CHOOSE(CONTROL!$C$42, 21.731, 21.731) * CHOOSE(CONTROL!$C$21, $C$9, 100%, $E$9)</f>
        <v>21.731000000000002</v>
      </c>
      <c r="T77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38">
        <f>(1000*CHOOSE(CONTROL!$C$42, 695, 695)*CHOOSE(CONTROL!$C$42, 0.5599, 0.5599)*CHOOSE(CONTROL!$C$42, 30, 30))/1000000</f>
        <v>11.673914999999997</v>
      </c>
      <c r="V777" s="38">
        <f>(1000*CHOOSE(CONTROL!$C$42, 500, 500)*CHOOSE(CONTROL!$C$42, 0.275, 0.275)*CHOOSE(CONTROL!$C$42, 30, 30))/1000000</f>
        <v>4.125</v>
      </c>
      <c r="W777" s="38">
        <f>(1000*CHOOSE(CONTROL!$C$42, 0.1146, 0.1146)*CHOOSE(CONTROL!$C$42, 121.5, 121.5)*CHOOSE(CONTROL!$C$42, 30, 30))/1000000</f>
        <v>0.417717</v>
      </c>
      <c r="X777" s="38">
        <f>(30*0.1790888*245000/1000000)+(30*0.2374*100000/1000000)</f>
        <v>2.0285026799999999</v>
      </c>
      <c r="Y777" s="38">
        <f>(1000*600*CHOOSE(CONTROL!$C$42, 1.0585, 1.0585)*CHOOSE(CONTROL!$C$42, 30, 30))/1000000</f>
        <v>19.053000000000001</v>
      </c>
      <c r="Z777" s="38"/>
      <c r="AA777" s="10"/>
      <c r="AB777" s="39"/>
      <c r="AC777" s="33">
        <f>(B777*194.205+C777*267.466+D777*133.845+E777*53.484+F777*40+G777*185+H777*0+I777*100+J777*300)/(194.205+267.466+133.845+53.484+0+40+185+100+300)</f>
        <v>22.432046678728415</v>
      </c>
      <c r="AD777" s="27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22.232005035971223</v>
      </c>
    </row>
    <row r="778" spans="1:30" ht="15.75" x14ac:dyDescent="0.25">
      <c r="A778" s="13">
        <v>64954</v>
      </c>
      <c r="B778" s="10">
        <f>CHOOSE(CONTROL!$C$42, 21.9696, 21.9696) * CHOOSE(CONTROL!$C$21, $C$9, 100%, $E$9)</f>
        <v>21.9696</v>
      </c>
      <c r="C778" s="10">
        <f>CHOOSE(CONTROL!$C$42, 21.975, 21.975) * CHOOSE(CONTROL!$C$21, $C$9, 100%, $E$9)</f>
        <v>21.975000000000001</v>
      </c>
      <c r="D778" s="10">
        <f>CHOOSE(CONTROL!$C$42, 22.155, 22.155) * CHOOSE(CONTROL!$C$21, $C$9, 100%, $E$9)</f>
        <v>22.155000000000001</v>
      </c>
      <c r="E778" s="10">
        <f>CHOOSE(CONTROL!$C$42, 22.1839, 22.1839) * CHOOSE(CONTROL!$C$21, $C$9, 100%, $E$9)</f>
        <v>22.183900000000001</v>
      </c>
      <c r="F778" s="10">
        <f>CHOOSE(CONTROL!$C$42, 21.9134, 21.9134)*CHOOSE(CONTROL!$C$21, $C$9, 100%, $E$9)</f>
        <v>21.913399999999999</v>
      </c>
      <c r="G778" s="10">
        <f>CHOOSE(CONTROL!$C$42, 21.93, 21.93)*CHOOSE(CONTROL!$C$21, $C$9, 100%, $E$9)</f>
        <v>21.93</v>
      </c>
      <c r="H778" s="10">
        <f>CHOOSE(CONTROL!$C$42, 22.174, 22.174) * CHOOSE(CONTROL!$C$21, $C$9, 100%, $E$9)</f>
        <v>22.173999999999999</v>
      </c>
      <c r="I778" s="10">
        <f>CHOOSE(CONTROL!$C$42, 21.946, 21.946)* CHOOSE(CONTROL!$C$21, $C$9, 100%, $E$9)</f>
        <v>21.946000000000002</v>
      </c>
      <c r="J778" s="10">
        <f>CHOOSE(CONTROL!$C$42, 21.906, 21.906)* CHOOSE(CONTROL!$C$21, $C$9, 100%, $E$9)</f>
        <v>21.905999999999999</v>
      </c>
      <c r="K778" s="10">
        <f>CHOOSE(CONTROL!$C$42, 21.4184, 21.4184) * CHOOSE(CONTROL!$C$21, $C$9, 100%, $E$9)</f>
        <v>21.418399999999998</v>
      </c>
      <c r="L778" s="10">
        <f>CHOOSE(CONTROL!$C$42, 22.761, 22.761) * CHOOSE(CONTROL!$C$21, $C$9, 100%, $E$9)</f>
        <v>22.760999999999999</v>
      </c>
      <c r="M778" s="10">
        <f>CHOOSE(CONTROL!$C$42, 21.6555, 21.6555) * CHOOSE(CONTROL!$C$21, $C$9, 100%, $E$9)</f>
        <v>21.6555</v>
      </c>
      <c r="N778" s="10">
        <f>CHOOSE(CONTROL!$C$42, 21.6719, 21.6719) * CHOOSE(CONTROL!$C$21, $C$9, 100%, $E$9)</f>
        <v>21.671900000000001</v>
      </c>
      <c r="O778" s="10">
        <f>CHOOSE(CONTROL!$C$42, 21.92, 21.92) * CHOOSE(CONTROL!$C$21, $C$9, 100%, $E$9)</f>
        <v>21.92</v>
      </c>
      <c r="P778" s="10">
        <f>CHOOSE(CONTROL!$C$42, 21.695, 21.695) * CHOOSE(CONTROL!$C$21, $C$9, 100%, $E$9)</f>
        <v>21.695</v>
      </c>
      <c r="Q778" s="10">
        <f>CHOOSE(CONTROL!$C$42, 22.5153, 22.5153) * CHOOSE(CONTROL!$C$21, $C$9, 100%, $E$9)</f>
        <v>22.5153</v>
      </c>
      <c r="R778" s="10">
        <f>CHOOSE(CONTROL!$C$42, 23.1586, 23.1586) * CHOOSE(CONTROL!$C$21, $C$9, 100%, $E$9)</f>
        <v>23.1586</v>
      </c>
      <c r="S778" s="10">
        <f>CHOOSE(CONTROL!$C$42, 21.2895, 21.2895) * CHOOSE(CONTROL!$C$21, $C$9, 100%, $E$9)</f>
        <v>21.2895</v>
      </c>
      <c r="T77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38">
        <f>(1000*CHOOSE(CONTROL!$C$42, 695, 695)*CHOOSE(CONTROL!$C$42, 0.5599, 0.5599)*CHOOSE(CONTROL!$C$42, 31, 31))/1000000</f>
        <v>12.063045499999998</v>
      </c>
      <c r="V778" s="38">
        <f>(1000*CHOOSE(CONTROL!$C$42, 500, 500)*CHOOSE(CONTROL!$C$42, 0.275, 0.275)*CHOOSE(CONTROL!$C$42, 31, 31))/1000000</f>
        <v>4.2625000000000002</v>
      </c>
      <c r="W778" s="38">
        <f>(1000*CHOOSE(CONTROL!$C$42, 0.1146, 0.1146)*CHOOSE(CONTROL!$C$42, 121.5, 121.5)*CHOOSE(CONTROL!$C$42, 31, 31))/1000000</f>
        <v>0.43164089999999994</v>
      </c>
      <c r="X778" s="38">
        <f>(31*0.1790888*245000/1000000)+(31*0.2374*100000/1000000)</f>
        <v>2.0961194359999999</v>
      </c>
      <c r="Y778" s="38">
        <f>(1000*600*CHOOSE(CONTROL!$C$42, 1.0585, 1.0585)*CHOOSE(CONTROL!$C$42, 31, 31))/1000000</f>
        <v>19.688099999999999</v>
      </c>
      <c r="Z778" s="38"/>
      <c r="AA778" s="10"/>
      <c r="AB778" s="39"/>
      <c r="AC778" s="33">
        <f>(B778*131.881+C778*277.167+D778*79.08+E778*125.872+F778*40+G778*185+H778*0+I778*100+J778*300)/(131.881+277.167+79.08+125.872+0+40+185+100+300)</f>
        <v>21.979380874414847</v>
      </c>
      <c r="AD778" s="27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21.782008633093525</v>
      </c>
    </row>
    <row r="779" spans="1:30" ht="15.75" x14ac:dyDescent="0.25">
      <c r="A779" s="13">
        <v>64984</v>
      </c>
      <c r="B779" s="10">
        <f>CHOOSE(CONTROL!$C$42, 22.5484, 22.5484) * CHOOSE(CONTROL!$C$21, $C$9, 100%, $E$9)</f>
        <v>22.548400000000001</v>
      </c>
      <c r="C779" s="10">
        <f>CHOOSE(CONTROL!$C$42, 22.5535, 22.5535) * CHOOSE(CONTROL!$C$21, $C$9, 100%, $E$9)</f>
        <v>22.5535</v>
      </c>
      <c r="D779" s="10">
        <f>CHOOSE(CONTROL!$C$42, 22.5782, 22.5782) * CHOOSE(CONTROL!$C$21, $C$9, 100%, $E$9)</f>
        <v>22.578199999999999</v>
      </c>
      <c r="E779" s="10">
        <f>CHOOSE(CONTROL!$C$42, 22.612, 22.612) * CHOOSE(CONTROL!$C$21, $C$9, 100%, $E$9)</f>
        <v>22.611999999999998</v>
      </c>
      <c r="F779" s="10">
        <f>CHOOSE(CONTROL!$C$42, 22.5141, 22.5141)*CHOOSE(CONTROL!$C$21, $C$9, 100%, $E$9)</f>
        <v>22.514099999999999</v>
      </c>
      <c r="G779" s="10">
        <f>CHOOSE(CONTROL!$C$42, 22.5309, 22.5309)*CHOOSE(CONTROL!$C$21, $C$9, 100%, $E$9)</f>
        <v>22.530899999999999</v>
      </c>
      <c r="H779" s="10">
        <f>CHOOSE(CONTROL!$C$42, 22.6009, 22.6009) * CHOOSE(CONTROL!$C$21, $C$9, 100%, $E$9)</f>
        <v>22.600899999999999</v>
      </c>
      <c r="I779" s="10">
        <f>CHOOSE(CONTROL!$C$42, 22.5479, 22.5479)* CHOOSE(CONTROL!$C$21, $C$9, 100%, $E$9)</f>
        <v>22.547899999999998</v>
      </c>
      <c r="J779" s="10">
        <f>CHOOSE(CONTROL!$C$42, 22.5067, 22.5067)* CHOOSE(CONTROL!$C$21, $C$9, 100%, $E$9)</f>
        <v>22.506699999999999</v>
      </c>
      <c r="K779" s="10">
        <f>CHOOSE(CONTROL!$C$42, 22.0033, 22.0033) * CHOOSE(CONTROL!$C$21, $C$9, 100%, $E$9)</f>
        <v>22.003299999999999</v>
      </c>
      <c r="L779" s="10">
        <f>CHOOSE(CONTROL!$C$42, 23.1879, 23.1879) * CHOOSE(CONTROL!$C$21, $C$9, 100%, $E$9)</f>
        <v>23.187899999999999</v>
      </c>
      <c r="M779" s="10">
        <f>CHOOSE(CONTROL!$C$42, 22.2484, 22.2484) * CHOOSE(CONTROL!$C$21, $C$9, 100%, $E$9)</f>
        <v>22.2484</v>
      </c>
      <c r="N779" s="10">
        <f>CHOOSE(CONTROL!$C$42, 22.2649, 22.2649) * CHOOSE(CONTROL!$C$21, $C$9, 100%, $E$9)</f>
        <v>22.264900000000001</v>
      </c>
      <c r="O779" s="10">
        <f>CHOOSE(CONTROL!$C$42, 22.3414, 22.3414) * CHOOSE(CONTROL!$C$21, $C$9, 100%, $E$9)</f>
        <v>22.3414</v>
      </c>
      <c r="P779" s="10">
        <f>CHOOSE(CONTROL!$C$42, 22.2891, 22.2891) * CHOOSE(CONTROL!$C$21, $C$9, 100%, $E$9)</f>
        <v>22.289100000000001</v>
      </c>
      <c r="Q779" s="10">
        <f>CHOOSE(CONTROL!$C$42, 22.9367, 22.9367) * CHOOSE(CONTROL!$C$21, $C$9, 100%, $E$9)</f>
        <v>22.936699999999998</v>
      </c>
      <c r="R779" s="10">
        <f>CHOOSE(CONTROL!$C$42, 23.581, 23.581) * CHOOSE(CONTROL!$C$21, $C$9, 100%, $E$9)</f>
        <v>23.581</v>
      </c>
      <c r="S779" s="10">
        <f>CHOOSE(CONTROL!$C$42, 21.8503, 21.8503) * CHOOSE(CONTROL!$C$21, $C$9, 100%, $E$9)</f>
        <v>21.850300000000001</v>
      </c>
      <c r="T77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38">
        <f>(1000*CHOOSE(CONTROL!$C$42, 695, 695)*CHOOSE(CONTROL!$C$42, 0.5599, 0.5599)*CHOOSE(CONTROL!$C$42, 30, 30))/1000000</f>
        <v>11.673914999999997</v>
      </c>
      <c r="V779" s="38">
        <f>(1000*CHOOSE(CONTROL!$C$42, 500, 500)*CHOOSE(CONTROL!$C$42, 0.275, 0.275)*CHOOSE(CONTROL!$C$42, 30, 30))/1000000</f>
        <v>4.125</v>
      </c>
      <c r="W779" s="38">
        <f>(1000*CHOOSE(CONTROL!$C$42, 0.1146, 0.1146)*CHOOSE(CONTROL!$C$42, 121.5, 121.5)*CHOOSE(CONTROL!$C$42, 30, 30))/1000000</f>
        <v>0.417717</v>
      </c>
      <c r="X779" s="38">
        <f>(30*0.1790888*100000/1000000)+(30*0.2374*100000/1000000)</f>
        <v>1.2494664</v>
      </c>
      <c r="Y779" s="38">
        <f>(1000*600*CHOOSE(CONTROL!$C$42, 1.0585, 1.0585)*CHOOSE(CONTROL!$C$42, 30, 30))/1000000</f>
        <v>19.053000000000001</v>
      </c>
      <c r="Z779" s="38"/>
      <c r="AA779" s="10"/>
      <c r="AB779" s="39"/>
      <c r="AC779" s="33">
        <f>(B779*122.58+C779*297.941+D779*89.177+E779*40.302+F779*40+G779*160+H779*0+I779*100+J779*300)/(122.58+297.941+89.177+40.302+0+40+160+100+300)</f>
        <v>22.539711461652175</v>
      </c>
      <c r="AD779" s="27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22.297356834532376</v>
      </c>
    </row>
    <row r="780" spans="1:30" ht="15.75" x14ac:dyDescent="0.25">
      <c r="A780" s="13">
        <v>65015</v>
      </c>
      <c r="B780" s="10">
        <f>CHOOSE(CONTROL!$C$42, 24.0869, 24.0869) * CHOOSE(CONTROL!$C$21, $C$9, 100%, $E$9)</f>
        <v>24.0869</v>
      </c>
      <c r="C780" s="10">
        <f>CHOOSE(CONTROL!$C$42, 24.092, 24.092) * CHOOSE(CONTROL!$C$21, $C$9, 100%, $E$9)</f>
        <v>24.091999999999999</v>
      </c>
      <c r="D780" s="10">
        <f>CHOOSE(CONTROL!$C$42, 24.1167, 24.1167) * CHOOSE(CONTROL!$C$21, $C$9, 100%, $E$9)</f>
        <v>24.116700000000002</v>
      </c>
      <c r="E780" s="10">
        <f>CHOOSE(CONTROL!$C$42, 24.1505, 24.1505) * CHOOSE(CONTROL!$C$21, $C$9, 100%, $E$9)</f>
        <v>24.150500000000001</v>
      </c>
      <c r="F780" s="10">
        <f>CHOOSE(CONTROL!$C$42, 24.0543, 24.0543)*CHOOSE(CONTROL!$C$21, $C$9, 100%, $E$9)</f>
        <v>24.054300000000001</v>
      </c>
      <c r="G780" s="10">
        <f>CHOOSE(CONTROL!$C$42, 24.0716, 24.0716)*CHOOSE(CONTROL!$C$21, $C$9, 100%, $E$9)</f>
        <v>24.0716</v>
      </c>
      <c r="H780" s="10">
        <f>CHOOSE(CONTROL!$C$42, 24.1394, 24.1394) * CHOOSE(CONTROL!$C$21, $C$9, 100%, $E$9)</f>
        <v>24.139399999999998</v>
      </c>
      <c r="I780" s="10">
        <f>CHOOSE(CONTROL!$C$42, 24.0864, 24.0864)* CHOOSE(CONTROL!$C$21, $C$9, 100%, $E$9)</f>
        <v>24.086400000000001</v>
      </c>
      <c r="J780" s="10">
        <f>CHOOSE(CONTROL!$C$42, 24.0469, 24.0469)* CHOOSE(CONTROL!$C$21, $C$9, 100%, $E$9)</f>
        <v>24.046900000000001</v>
      </c>
      <c r="K780" s="10">
        <f>CHOOSE(CONTROL!$C$42, 23.4976, 23.4976) * CHOOSE(CONTROL!$C$21, $C$9, 100%, $E$9)</f>
        <v>23.497599999999998</v>
      </c>
      <c r="L780" s="10">
        <f>CHOOSE(CONTROL!$C$42, 24.7264, 24.7264) * CHOOSE(CONTROL!$C$21, $C$9, 100%, $E$9)</f>
        <v>24.726400000000002</v>
      </c>
      <c r="M780" s="10">
        <f>CHOOSE(CONTROL!$C$42, 23.7687, 23.7687) * CHOOSE(CONTROL!$C$21, $C$9, 100%, $E$9)</f>
        <v>23.768699999999999</v>
      </c>
      <c r="N780" s="10">
        <f>CHOOSE(CONTROL!$C$42, 23.7857, 23.7857) * CHOOSE(CONTROL!$C$21, $C$9, 100%, $E$9)</f>
        <v>23.785699999999999</v>
      </c>
      <c r="O780" s="10">
        <f>CHOOSE(CONTROL!$C$42, 23.8599, 23.8599) * CHOOSE(CONTROL!$C$21, $C$9, 100%, $E$9)</f>
        <v>23.8599</v>
      </c>
      <c r="P780" s="10">
        <f>CHOOSE(CONTROL!$C$42, 23.8077, 23.8077) * CHOOSE(CONTROL!$C$21, $C$9, 100%, $E$9)</f>
        <v>23.807700000000001</v>
      </c>
      <c r="Q780" s="10">
        <f>CHOOSE(CONTROL!$C$42, 24.4552, 24.4552) * CHOOSE(CONTROL!$C$21, $C$9, 100%, $E$9)</f>
        <v>24.455200000000001</v>
      </c>
      <c r="R780" s="10">
        <f>CHOOSE(CONTROL!$C$42, 25.1033, 25.1033) * CHOOSE(CONTROL!$C$21, $C$9, 100%, $E$9)</f>
        <v>25.103300000000001</v>
      </c>
      <c r="S780" s="10">
        <f>CHOOSE(CONTROL!$C$42, 23.34, 23.34) * CHOOSE(CONTROL!$C$21, $C$9, 100%, $E$9)</f>
        <v>23.34</v>
      </c>
      <c r="T78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38">
        <f>(1000*CHOOSE(CONTROL!$C$42, 695, 695)*CHOOSE(CONTROL!$C$42, 0.5599, 0.5599)*CHOOSE(CONTROL!$C$42, 31, 31))/1000000</f>
        <v>12.063045499999998</v>
      </c>
      <c r="V780" s="38">
        <f>(1000*CHOOSE(CONTROL!$C$42, 500, 500)*CHOOSE(CONTROL!$C$42, 0.275, 0.275)*CHOOSE(CONTROL!$C$42, 31, 31))/1000000</f>
        <v>4.2625000000000002</v>
      </c>
      <c r="W780" s="38">
        <f>(1000*CHOOSE(CONTROL!$C$42, 0.1146, 0.1146)*CHOOSE(CONTROL!$C$42, 121.5, 121.5)*CHOOSE(CONTROL!$C$42, 31, 31))/1000000</f>
        <v>0.43164089999999994</v>
      </c>
      <c r="X780" s="38">
        <f>(31*0.1790888*100000/1000000)+(31*0.2374*100000/1000000)</f>
        <v>1.2911152800000001</v>
      </c>
      <c r="Y780" s="38">
        <f>(1000*600*CHOOSE(CONTROL!$C$42, 1.0585, 1.0585)*CHOOSE(CONTROL!$C$42, 31, 31))/1000000</f>
        <v>19.688099999999999</v>
      </c>
      <c r="Z780" s="38"/>
      <c r="AA780" s="10"/>
      <c r="AB780" s="39"/>
      <c r="AC780" s="33">
        <f>(B780*122.58+C780*297.941+D780*89.177+E780*40.302+F780*40+G780*160+H780*0+I780*100+J780*300)/(122.58+297.941+89.177+40.302+0+40+160+100+300)</f>
        <v>24.079020157304349</v>
      </c>
      <c r="AD780" s="27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23.816625179856114</v>
      </c>
    </row>
    <row r="781" spans="1:30" ht="15.75" x14ac:dyDescent="0.25">
      <c r="A781" s="13">
        <v>65046</v>
      </c>
      <c r="B781" s="10">
        <f>CHOOSE(CONTROL!$C$42, 25.7137, 25.7137) * CHOOSE(CONTROL!$C$21, $C$9, 100%, $E$9)</f>
        <v>25.713699999999999</v>
      </c>
      <c r="C781" s="10">
        <f>CHOOSE(CONTROL!$C$42, 25.7188, 25.7188) * CHOOSE(CONTROL!$C$21, $C$9, 100%, $E$9)</f>
        <v>25.718800000000002</v>
      </c>
      <c r="D781" s="10">
        <f>CHOOSE(CONTROL!$C$42, 25.7538, 25.7538) * CHOOSE(CONTROL!$C$21, $C$9, 100%, $E$9)</f>
        <v>25.753799999999998</v>
      </c>
      <c r="E781" s="10">
        <f>CHOOSE(CONTROL!$C$42, 25.7876, 25.7876) * CHOOSE(CONTROL!$C$21, $C$9, 100%, $E$9)</f>
        <v>25.787600000000001</v>
      </c>
      <c r="F781" s="10">
        <f>CHOOSE(CONTROL!$C$42, 25.695, 25.695)*CHOOSE(CONTROL!$C$21, $C$9, 100%, $E$9)</f>
        <v>25.695</v>
      </c>
      <c r="G781" s="10">
        <f>CHOOSE(CONTROL!$C$42, 25.7139, 25.7139)*CHOOSE(CONTROL!$C$21, $C$9, 100%, $E$9)</f>
        <v>25.713899999999999</v>
      </c>
      <c r="H781" s="10">
        <f>CHOOSE(CONTROL!$C$42, 25.7765, 25.7765) * CHOOSE(CONTROL!$C$21, $C$9, 100%, $E$9)</f>
        <v>25.776499999999999</v>
      </c>
      <c r="I781" s="10">
        <f>CHOOSE(CONTROL!$C$42, 25.721, 25.721)* CHOOSE(CONTROL!$C$21, $C$9, 100%, $E$9)</f>
        <v>25.721</v>
      </c>
      <c r="J781" s="10">
        <f>CHOOSE(CONTROL!$C$42, 25.6876, 25.6876)* CHOOSE(CONTROL!$C$21, $C$9, 100%, $E$9)</f>
        <v>25.6876</v>
      </c>
      <c r="K781" s="10">
        <f>CHOOSE(CONTROL!$C$42, 25.0944, 25.0944) * CHOOSE(CONTROL!$C$21, $C$9, 100%, $E$9)</f>
        <v>25.0944</v>
      </c>
      <c r="L781" s="10">
        <f>CHOOSE(CONTROL!$C$42, 26.3635, 26.3635) * CHOOSE(CONTROL!$C$21, $C$9, 100%, $E$9)</f>
        <v>26.363499999999998</v>
      </c>
      <c r="M781" s="10">
        <f>CHOOSE(CONTROL!$C$42, 25.3881, 25.3881) * CHOOSE(CONTROL!$C$21, $C$9, 100%, $E$9)</f>
        <v>25.388100000000001</v>
      </c>
      <c r="N781" s="10">
        <f>CHOOSE(CONTROL!$C$42, 25.4068, 25.4068) * CHOOSE(CONTROL!$C$21, $C$9, 100%, $E$9)</f>
        <v>25.4068</v>
      </c>
      <c r="O781" s="10">
        <f>CHOOSE(CONTROL!$C$42, 25.4759, 25.4759) * CHOOSE(CONTROL!$C$21, $C$9, 100%, $E$9)</f>
        <v>25.475899999999999</v>
      </c>
      <c r="P781" s="10">
        <f>CHOOSE(CONTROL!$C$42, 25.4211, 25.4211) * CHOOSE(CONTROL!$C$21, $C$9, 100%, $E$9)</f>
        <v>25.421099999999999</v>
      </c>
      <c r="Q781" s="10">
        <f>CHOOSE(CONTROL!$C$42, 26.0712, 26.0712) * CHOOSE(CONTROL!$C$21, $C$9, 100%, $E$9)</f>
        <v>26.071200000000001</v>
      </c>
      <c r="R781" s="10">
        <f>CHOOSE(CONTROL!$C$42, 26.7234, 26.7234) * CHOOSE(CONTROL!$C$21, $C$9, 100%, $E$9)</f>
        <v>26.723400000000002</v>
      </c>
      <c r="S781" s="10">
        <f>CHOOSE(CONTROL!$C$42, 24.9153, 24.9153) * CHOOSE(CONTROL!$C$21, $C$9, 100%, $E$9)</f>
        <v>24.915299999999998</v>
      </c>
      <c r="T78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38">
        <f>(1000*CHOOSE(CONTROL!$C$42, 695, 695)*CHOOSE(CONTROL!$C$42, 0.5599, 0.5599)*CHOOSE(CONTROL!$C$42, 31, 31))/1000000</f>
        <v>12.063045499999998</v>
      </c>
      <c r="V781" s="38">
        <f>(1000*CHOOSE(CONTROL!$C$42, 500, 500)*CHOOSE(CONTROL!$C$42, 0.275, 0.275)*CHOOSE(CONTROL!$C$42, 31, 31))/1000000</f>
        <v>4.2625000000000002</v>
      </c>
      <c r="W781" s="38">
        <f>(1000*CHOOSE(CONTROL!$C$42, 0.1146, 0.1146)*CHOOSE(CONTROL!$C$42, 121.5, 121.5)*CHOOSE(CONTROL!$C$42, 31, 31))/1000000</f>
        <v>0.43164089999999994</v>
      </c>
      <c r="X781" s="38">
        <f>(31*0.1790888*100000/1000000)+(31*0.2374*100000/1000000)</f>
        <v>1.2911152800000001</v>
      </c>
      <c r="Y781" s="38">
        <f>(1000*600*CHOOSE(CONTROL!$C$42, 1.0585, 1.0585)*CHOOSE(CONTROL!$C$42, 31, 31))/1000000</f>
        <v>19.688099999999999</v>
      </c>
      <c r="Z781" s="38"/>
      <c r="AA781" s="10"/>
      <c r="AB781" s="39"/>
      <c r="AC781" s="33">
        <f>(B781*122.58+C781*297.941+D781*89.177+E781*40.302+F781*40+G781*160+H781*0+I781*100+J781*300)/(122.58+297.941+89.177+40.302+0+40+160+100+300)</f>
        <v>25.713924186608693</v>
      </c>
      <c r="AD781" s="27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25.433718705035972</v>
      </c>
    </row>
    <row r="782" spans="1:30" ht="15.75" x14ac:dyDescent="0.25">
      <c r="A782" s="13">
        <v>65074</v>
      </c>
      <c r="B782" s="10">
        <f>CHOOSE(CONTROL!$C$42, 26.1718, 26.1718) * CHOOSE(CONTROL!$C$21, $C$9, 100%, $E$9)</f>
        <v>26.171800000000001</v>
      </c>
      <c r="C782" s="10">
        <f>CHOOSE(CONTROL!$C$42, 26.1769, 26.1769) * CHOOSE(CONTROL!$C$21, $C$9, 100%, $E$9)</f>
        <v>26.1769</v>
      </c>
      <c r="D782" s="10">
        <f>CHOOSE(CONTROL!$C$42, 26.2119, 26.2119) * CHOOSE(CONTROL!$C$21, $C$9, 100%, $E$9)</f>
        <v>26.2119</v>
      </c>
      <c r="E782" s="10">
        <f>CHOOSE(CONTROL!$C$42, 26.2457, 26.2457) * CHOOSE(CONTROL!$C$21, $C$9, 100%, $E$9)</f>
        <v>26.245699999999999</v>
      </c>
      <c r="F782" s="10">
        <f>CHOOSE(CONTROL!$C$42, 26.1525, 26.1525)*CHOOSE(CONTROL!$C$21, $C$9, 100%, $E$9)</f>
        <v>26.1525</v>
      </c>
      <c r="G782" s="10">
        <f>CHOOSE(CONTROL!$C$42, 26.1713, 26.1713)*CHOOSE(CONTROL!$C$21, $C$9, 100%, $E$9)</f>
        <v>26.171299999999999</v>
      </c>
      <c r="H782" s="10">
        <f>CHOOSE(CONTROL!$C$42, 26.2346, 26.2346) * CHOOSE(CONTROL!$C$21, $C$9, 100%, $E$9)</f>
        <v>26.2346</v>
      </c>
      <c r="I782" s="10">
        <f>CHOOSE(CONTROL!$C$42, 26.179, 26.179)* CHOOSE(CONTROL!$C$21, $C$9, 100%, $E$9)</f>
        <v>26.178999999999998</v>
      </c>
      <c r="J782" s="10">
        <f>CHOOSE(CONTROL!$C$42, 26.1451, 26.1451)* CHOOSE(CONTROL!$C$21, $C$9, 100%, $E$9)</f>
        <v>26.145099999999999</v>
      </c>
      <c r="K782" s="10">
        <f>CHOOSE(CONTROL!$C$42, 25.537, 25.537) * CHOOSE(CONTROL!$C$21, $C$9, 100%, $E$9)</f>
        <v>25.536999999999999</v>
      </c>
      <c r="L782" s="10">
        <f>CHOOSE(CONTROL!$C$42, 26.8216, 26.8216) * CHOOSE(CONTROL!$C$21, $C$9, 100%, $E$9)</f>
        <v>26.8216</v>
      </c>
      <c r="M782" s="10">
        <f>CHOOSE(CONTROL!$C$42, 25.8397, 25.8397) * CHOOSE(CONTROL!$C$21, $C$9, 100%, $E$9)</f>
        <v>25.839700000000001</v>
      </c>
      <c r="N782" s="10">
        <f>CHOOSE(CONTROL!$C$42, 25.8582, 25.8582) * CHOOSE(CONTROL!$C$21, $C$9, 100%, $E$9)</f>
        <v>25.8582</v>
      </c>
      <c r="O782" s="10">
        <f>CHOOSE(CONTROL!$C$42, 25.928, 25.928) * CHOOSE(CONTROL!$C$21, $C$9, 100%, $E$9)</f>
        <v>25.928000000000001</v>
      </c>
      <c r="P782" s="10">
        <f>CHOOSE(CONTROL!$C$42, 25.8732, 25.8732) * CHOOSE(CONTROL!$C$21, $C$9, 100%, $E$9)</f>
        <v>25.873200000000001</v>
      </c>
      <c r="Q782" s="10">
        <f>CHOOSE(CONTROL!$C$42, 26.5233, 26.5233) * CHOOSE(CONTROL!$C$21, $C$9, 100%, $E$9)</f>
        <v>26.523299999999999</v>
      </c>
      <c r="R782" s="10">
        <f>CHOOSE(CONTROL!$C$42, 27.1766, 27.1766) * CHOOSE(CONTROL!$C$21, $C$9, 100%, $E$9)</f>
        <v>27.176600000000001</v>
      </c>
      <c r="S782" s="10">
        <f>CHOOSE(CONTROL!$C$42, 25.3588, 25.3588) * CHOOSE(CONTROL!$C$21, $C$9, 100%, $E$9)</f>
        <v>25.358799999999999</v>
      </c>
      <c r="T78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38">
        <f>(1000*CHOOSE(CONTROL!$C$42, 695, 695)*CHOOSE(CONTROL!$C$42, 0.5599, 0.5599)*CHOOSE(CONTROL!$C$42, 28, 28))/1000000</f>
        <v>10.895653999999999</v>
      </c>
      <c r="V782" s="38">
        <f>(1000*CHOOSE(CONTROL!$C$42, 500, 500)*CHOOSE(CONTROL!$C$42, 0.275, 0.275)*CHOOSE(CONTROL!$C$42, 28, 28))/1000000</f>
        <v>3.85</v>
      </c>
      <c r="W782" s="38">
        <f>(1000*CHOOSE(CONTROL!$C$42, 0.1146, 0.1146)*CHOOSE(CONTROL!$C$42, 121.5, 121.5)*CHOOSE(CONTROL!$C$42, 28, 28))/1000000</f>
        <v>0.38986920000000003</v>
      </c>
      <c r="X782" s="38">
        <f>(28*0.1790888*100000/1000000)+(28*0.2374*100000/1000000)</f>
        <v>1.16616864</v>
      </c>
      <c r="Y782" s="38">
        <f>(1000*600*CHOOSE(CONTROL!$C$42, 1.0585, 1.0585)*CHOOSE(CONTROL!$C$42, 28, 28))/1000000</f>
        <v>17.782800000000002</v>
      </c>
      <c r="Z782" s="38"/>
      <c r="AA782" s="10"/>
      <c r="AB782" s="39"/>
      <c r="AC782" s="33">
        <f>(B782*122.58+C782*297.941+D782*89.177+E782*40.302+F782*40+G782*160+H782*0+I782*100+J782*300)/(122.58+297.941+89.177+40.302+0+40+160+100+300)</f>
        <v>26.171740708347826</v>
      </c>
      <c r="AD782" s="27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25.885605755395684</v>
      </c>
    </row>
    <row r="783" spans="1:30" ht="15.75" x14ac:dyDescent="0.25">
      <c r="A783" s="13">
        <v>65105</v>
      </c>
      <c r="B783" s="10">
        <f>CHOOSE(CONTROL!$C$42, 25.4283, 25.4283) * CHOOSE(CONTROL!$C$21, $C$9, 100%, $E$9)</f>
        <v>25.4283</v>
      </c>
      <c r="C783" s="10">
        <f>CHOOSE(CONTROL!$C$42, 25.4334, 25.4334) * CHOOSE(CONTROL!$C$21, $C$9, 100%, $E$9)</f>
        <v>25.433399999999999</v>
      </c>
      <c r="D783" s="10">
        <f>CHOOSE(CONTROL!$C$42, 25.4684, 25.4684) * CHOOSE(CONTROL!$C$21, $C$9, 100%, $E$9)</f>
        <v>25.468399999999999</v>
      </c>
      <c r="E783" s="10">
        <f>CHOOSE(CONTROL!$C$42, 25.5022, 25.5022) * CHOOSE(CONTROL!$C$21, $C$9, 100%, $E$9)</f>
        <v>25.502199999999998</v>
      </c>
      <c r="F783" s="10">
        <f>CHOOSE(CONTROL!$C$42, 25.4076, 25.4076)*CHOOSE(CONTROL!$C$21, $C$9, 100%, $E$9)</f>
        <v>25.407599999999999</v>
      </c>
      <c r="G783" s="10">
        <f>CHOOSE(CONTROL!$C$42, 25.426, 25.426)*CHOOSE(CONTROL!$C$21, $C$9, 100%, $E$9)</f>
        <v>25.425999999999998</v>
      </c>
      <c r="H783" s="10">
        <f>CHOOSE(CONTROL!$C$42, 25.4911, 25.4911) * CHOOSE(CONTROL!$C$21, $C$9, 100%, $E$9)</f>
        <v>25.491099999999999</v>
      </c>
      <c r="I783" s="10">
        <f>CHOOSE(CONTROL!$C$42, 25.4355, 25.4355)* CHOOSE(CONTROL!$C$21, $C$9, 100%, $E$9)</f>
        <v>25.435500000000001</v>
      </c>
      <c r="J783" s="10">
        <f>CHOOSE(CONTROL!$C$42, 25.4002, 25.4002)* CHOOSE(CONTROL!$C$21, $C$9, 100%, $E$9)</f>
        <v>25.400200000000002</v>
      </c>
      <c r="K783" s="10">
        <f>CHOOSE(CONTROL!$C$42, 24.8137, 24.8137) * CHOOSE(CONTROL!$C$21, $C$9, 100%, $E$9)</f>
        <v>24.813700000000001</v>
      </c>
      <c r="L783" s="10">
        <f>CHOOSE(CONTROL!$C$42, 26.0781, 26.0781) * CHOOSE(CONTROL!$C$21, $C$9, 100%, $E$9)</f>
        <v>26.078099999999999</v>
      </c>
      <c r="M783" s="10">
        <f>CHOOSE(CONTROL!$C$42, 25.1045, 25.1045) * CHOOSE(CONTROL!$C$21, $C$9, 100%, $E$9)</f>
        <v>25.104500000000002</v>
      </c>
      <c r="N783" s="10">
        <f>CHOOSE(CONTROL!$C$42, 25.1226, 25.1226) * CHOOSE(CONTROL!$C$21, $C$9, 100%, $E$9)</f>
        <v>25.122599999999998</v>
      </c>
      <c r="O783" s="10">
        <f>CHOOSE(CONTROL!$C$42, 25.1941, 25.1941) * CHOOSE(CONTROL!$C$21, $C$9, 100%, $E$9)</f>
        <v>25.194099999999999</v>
      </c>
      <c r="P783" s="10">
        <f>CHOOSE(CONTROL!$C$42, 25.1393, 25.1393) * CHOOSE(CONTROL!$C$21, $C$9, 100%, $E$9)</f>
        <v>25.139299999999999</v>
      </c>
      <c r="Q783" s="10">
        <f>CHOOSE(CONTROL!$C$42, 25.7894, 25.7894) * CHOOSE(CONTROL!$C$21, $C$9, 100%, $E$9)</f>
        <v>25.789400000000001</v>
      </c>
      <c r="R783" s="10">
        <f>CHOOSE(CONTROL!$C$42, 26.4409, 26.4409) * CHOOSE(CONTROL!$C$21, $C$9, 100%, $E$9)</f>
        <v>26.440899999999999</v>
      </c>
      <c r="S783" s="10">
        <f>CHOOSE(CONTROL!$C$42, 24.6388, 24.6388) * CHOOSE(CONTROL!$C$21, $C$9, 100%, $E$9)</f>
        <v>24.6388</v>
      </c>
      <c r="T78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38">
        <f>(1000*CHOOSE(CONTROL!$C$42, 695, 695)*CHOOSE(CONTROL!$C$42, 0.5599, 0.5599)*CHOOSE(CONTROL!$C$42, 31, 31))/1000000</f>
        <v>12.063045499999998</v>
      </c>
      <c r="V783" s="38">
        <f>(1000*CHOOSE(CONTROL!$C$42, 500, 500)*CHOOSE(CONTROL!$C$42, 0.275, 0.275)*CHOOSE(CONTROL!$C$42, 31, 31))/1000000</f>
        <v>4.2625000000000002</v>
      </c>
      <c r="W783" s="38">
        <f>(1000*CHOOSE(CONTROL!$C$42, 0.1146, 0.1146)*CHOOSE(CONTROL!$C$42, 121.5, 121.5)*CHOOSE(CONTROL!$C$42, 31, 31))/1000000</f>
        <v>0.43164089999999994</v>
      </c>
      <c r="X783" s="38">
        <f>(31*0.1790888*100000/1000000)+(31*0.2374*100000/1000000)</f>
        <v>1.2911152800000001</v>
      </c>
      <c r="Y783" s="38">
        <f>(1000*600*CHOOSE(CONTROL!$C$42, 1.0585, 1.0585)*CHOOSE(CONTROL!$C$42, 31, 31))/1000000</f>
        <v>19.688099999999999</v>
      </c>
      <c r="Z783" s="38"/>
      <c r="AA783" s="10"/>
      <c r="AB783" s="39"/>
      <c r="AC783" s="33">
        <f>(B783*122.58+C783*297.941+D783*89.177+E783*40.302+F783*40+G783*160+H783*0+I783*100+J783*300)/(122.58+297.941+89.177+40.302+0+40+160+100+300)</f>
        <v>25.427576360521737</v>
      </c>
      <c r="AD783" s="27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25.151158992805755</v>
      </c>
    </row>
    <row r="784" spans="1:30" ht="15.75" x14ac:dyDescent="0.25">
      <c r="A784" s="13">
        <v>65135</v>
      </c>
      <c r="B784" s="10">
        <f>CHOOSE(CONTROL!$C$42, 25.3528, 25.3528) * CHOOSE(CONTROL!$C$21, $C$9, 100%, $E$9)</f>
        <v>25.352799999999998</v>
      </c>
      <c r="C784" s="10">
        <f>CHOOSE(CONTROL!$C$42, 25.3574, 25.3574) * CHOOSE(CONTROL!$C$21, $C$9, 100%, $E$9)</f>
        <v>25.357399999999998</v>
      </c>
      <c r="D784" s="10">
        <f>CHOOSE(CONTROL!$C$42, 25.5356, 25.5356) * CHOOSE(CONTROL!$C$21, $C$9, 100%, $E$9)</f>
        <v>25.535599999999999</v>
      </c>
      <c r="E784" s="10">
        <f>CHOOSE(CONTROL!$C$42, 25.5674, 25.5674) * CHOOSE(CONTROL!$C$21, $C$9, 100%, $E$9)</f>
        <v>25.567399999999999</v>
      </c>
      <c r="F784" s="10">
        <f>CHOOSE(CONTROL!$C$42, 25.2963, 25.2963)*CHOOSE(CONTROL!$C$21, $C$9, 100%, $E$9)</f>
        <v>25.296299999999999</v>
      </c>
      <c r="G784" s="10">
        <f>CHOOSE(CONTROL!$C$42, 25.3129, 25.3129)*CHOOSE(CONTROL!$C$21, $C$9, 100%, $E$9)</f>
        <v>25.312899999999999</v>
      </c>
      <c r="H784" s="10">
        <f>CHOOSE(CONTROL!$C$42, 25.5569, 25.5569) * CHOOSE(CONTROL!$C$21, $C$9, 100%, $E$9)</f>
        <v>25.556899999999999</v>
      </c>
      <c r="I784" s="10">
        <f>CHOOSE(CONTROL!$C$42, 25.3288, 25.3288)* CHOOSE(CONTROL!$C$21, $C$9, 100%, $E$9)</f>
        <v>25.328800000000001</v>
      </c>
      <c r="J784" s="10">
        <f>CHOOSE(CONTROL!$C$42, 25.2889, 25.2889)* CHOOSE(CONTROL!$C$21, $C$9, 100%, $E$9)</f>
        <v>25.288900000000002</v>
      </c>
      <c r="K784" s="10">
        <f>CHOOSE(CONTROL!$C$42, 24.6957, 24.6957) * CHOOSE(CONTROL!$C$21, $C$9, 100%, $E$9)</f>
        <v>24.695699999999999</v>
      </c>
      <c r="L784" s="10">
        <f>CHOOSE(CONTROL!$C$42, 26.1439, 26.1439) * CHOOSE(CONTROL!$C$21, $C$9, 100%, $E$9)</f>
        <v>26.143899999999999</v>
      </c>
      <c r="M784" s="10">
        <f>CHOOSE(CONTROL!$C$42, 24.9946, 24.9946) * CHOOSE(CONTROL!$C$21, $C$9, 100%, $E$9)</f>
        <v>24.994599999999998</v>
      </c>
      <c r="N784" s="10">
        <f>CHOOSE(CONTROL!$C$42, 25.0109, 25.0109) * CHOOSE(CONTROL!$C$21, $C$9, 100%, $E$9)</f>
        <v>25.010899999999999</v>
      </c>
      <c r="O784" s="10">
        <f>CHOOSE(CONTROL!$C$42, 25.2591, 25.2591) * CHOOSE(CONTROL!$C$21, $C$9, 100%, $E$9)</f>
        <v>25.2591</v>
      </c>
      <c r="P784" s="10">
        <f>CHOOSE(CONTROL!$C$42, 25.034, 25.034) * CHOOSE(CONTROL!$C$21, $C$9, 100%, $E$9)</f>
        <v>25.033999999999999</v>
      </c>
      <c r="Q784" s="10">
        <f>CHOOSE(CONTROL!$C$42, 25.8544, 25.8544) * CHOOSE(CONTROL!$C$21, $C$9, 100%, $E$9)</f>
        <v>25.854399999999998</v>
      </c>
      <c r="R784" s="10">
        <f>CHOOSE(CONTROL!$C$42, 26.506, 26.506) * CHOOSE(CONTROL!$C$21, $C$9, 100%, $E$9)</f>
        <v>26.506</v>
      </c>
      <c r="S784" s="10">
        <f>CHOOSE(CONTROL!$C$42, 24.5651, 24.5651) * CHOOSE(CONTROL!$C$21, $C$9, 100%, $E$9)</f>
        <v>24.565100000000001</v>
      </c>
      <c r="T78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38">
        <f>(1000*CHOOSE(CONTROL!$C$42, 695, 695)*CHOOSE(CONTROL!$C$42, 0.5599, 0.5599)*CHOOSE(CONTROL!$C$42, 30, 30))/1000000</f>
        <v>11.673914999999997</v>
      </c>
      <c r="V784" s="38">
        <f>(1000*CHOOSE(CONTROL!$C$42, 500, 500)*CHOOSE(CONTROL!$C$42, 0.275, 0.275)*CHOOSE(CONTROL!$C$42, 30, 30))/1000000</f>
        <v>4.125</v>
      </c>
      <c r="W784" s="38">
        <f>(1000*CHOOSE(CONTROL!$C$42, 0.1146, 0.1146)*CHOOSE(CONTROL!$C$42, 121.5, 121.5)*CHOOSE(CONTROL!$C$42, 30, 30))/1000000</f>
        <v>0.417717</v>
      </c>
      <c r="X784" s="38">
        <f>(30*0.1790888*245000/1000000)+(30*0.2374*100000/1000000)</f>
        <v>2.0285026799999999</v>
      </c>
      <c r="Y784" s="38">
        <f>(1000*600*CHOOSE(CONTROL!$C$42, 1.0585, 1.0585)*CHOOSE(CONTROL!$C$42, 30, 30))/1000000</f>
        <v>19.053000000000001</v>
      </c>
      <c r="Z784" s="38"/>
      <c r="AA784" s="10"/>
      <c r="AB784" s="39"/>
      <c r="AC784" s="33">
        <f>(B784*141.293+C784*267.993+D784*115.016+E784*89.698+F784*40+G784*185+H784*0+I784*100+J784*300)/(141.293+267.993+115.016+89.698+0+40+185+100+300)</f>
        <v>25.361109429701372</v>
      </c>
      <c r="AD784" s="27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25.121088489208635</v>
      </c>
    </row>
    <row r="785" spans="1:30" ht="15.75" x14ac:dyDescent="0.25">
      <c r="A785" s="13">
        <v>65166</v>
      </c>
      <c r="B785" s="10">
        <f>CHOOSE(CONTROL!$C$42, 25.5785, 25.5785) * CHOOSE(CONTROL!$C$21, $C$9, 100%, $E$9)</f>
        <v>25.578499999999998</v>
      </c>
      <c r="C785" s="10">
        <f>CHOOSE(CONTROL!$C$42, 25.5865, 25.5865) * CHOOSE(CONTROL!$C$21, $C$9, 100%, $E$9)</f>
        <v>25.586500000000001</v>
      </c>
      <c r="D785" s="10">
        <f>CHOOSE(CONTROL!$C$42, 25.7616, 25.7616) * CHOOSE(CONTROL!$C$21, $C$9, 100%, $E$9)</f>
        <v>25.761600000000001</v>
      </c>
      <c r="E785" s="10">
        <f>CHOOSE(CONTROL!$C$42, 25.7928, 25.7928) * CHOOSE(CONTROL!$C$21, $C$9, 100%, $E$9)</f>
        <v>25.7928</v>
      </c>
      <c r="F785" s="10">
        <f>CHOOSE(CONTROL!$C$42, 25.5202, 25.5202)*CHOOSE(CONTROL!$C$21, $C$9, 100%, $E$9)</f>
        <v>25.520199999999999</v>
      </c>
      <c r="G785" s="10">
        <f>CHOOSE(CONTROL!$C$42, 25.5371, 25.5371)*CHOOSE(CONTROL!$C$21, $C$9, 100%, $E$9)</f>
        <v>25.537099999999999</v>
      </c>
      <c r="H785" s="10">
        <f>CHOOSE(CONTROL!$C$42, 25.7812, 25.7812) * CHOOSE(CONTROL!$C$21, $C$9, 100%, $E$9)</f>
        <v>25.781199999999998</v>
      </c>
      <c r="I785" s="10">
        <f>CHOOSE(CONTROL!$C$42, 25.5531, 25.5531)* CHOOSE(CONTROL!$C$21, $C$9, 100%, $E$9)</f>
        <v>25.553100000000001</v>
      </c>
      <c r="J785" s="10">
        <f>CHOOSE(CONTROL!$C$42, 25.5128, 25.5128)* CHOOSE(CONTROL!$C$21, $C$9, 100%, $E$9)</f>
        <v>25.512799999999999</v>
      </c>
      <c r="K785" s="10">
        <f>CHOOSE(CONTROL!$C$42, 24.9121, 24.9121) * CHOOSE(CONTROL!$C$21, $C$9, 100%, $E$9)</f>
        <v>24.912099999999999</v>
      </c>
      <c r="L785" s="10">
        <f>CHOOSE(CONTROL!$C$42, 26.3682, 26.3682) * CHOOSE(CONTROL!$C$21, $C$9, 100%, $E$9)</f>
        <v>26.368200000000002</v>
      </c>
      <c r="M785" s="10">
        <f>CHOOSE(CONTROL!$C$42, 25.2156, 25.2156) * CHOOSE(CONTROL!$C$21, $C$9, 100%, $E$9)</f>
        <v>25.215599999999998</v>
      </c>
      <c r="N785" s="10">
        <f>CHOOSE(CONTROL!$C$42, 25.2322, 25.2322) * CHOOSE(CONTROL!$C$21, $C$9, 100%, $E$9)</f>
        <v>25.232199999999999</v>
      </c>
      <c r="O785" s="10">
        <f>CHOOSE(CONTROL!$C$42, 25.4805, 25.4805) * CHOOSE(CONTROL!$C$21, $C$9, 100%, $E$9)</f>
        <v>25.480499999999999</v>
      </c>
      <c r="P785" s="10">
        <f>CHOOSE(CONTROL!$C$42, 25.2554, 25.2554) * CHOOSE(CONTROL!$C$21, $C$9, 100%, $E$9)</f>
        <v>25.255400000000002</v>
      </c>
      <c r="Q785" s="10">
        <f>CHOOSE(CONTROL!$C$42, 26.0758, 26.0758) * CHOOSE(CONTROL!$C$21, $C$9, 100%, $E$9)</f>
        <v>26.075800000000001</v>
      </c>
      <c r="R785" s="10">
        <f>CHOOSE(CONTROL!$C$42, 26.7279, 26.7279) * CHOOSE(CONTROL!$C$21, $C$9, 100%, $E$9)</f>
        <v>26.727900000000002</v>
      </c>
      <c r="S785" s="10">
        <f>CHOOSE(CONTROL!$C$42, 24.7823, 24.7823) * CHOOSE(CONTROL!$C$21, $C$9, 100%, $E$9)</f>
        <v>24.782299999999999</v>
      </c>
      <c r="T78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38">
        <f>(1000*CHOOSE(CONTROL!$C$42, 695, 695)*CHOOSE(CONTROL!$C$42, 0.5599, 0.5599)*CHOOSE(CONTROL!$C$42, 31, 31))/1000000</f>
        <v>12.063045499999998</v>
      </c>
      <c r="V785" s="38">
        <f>(1000*CHOOSE(CONTROL!$C$42, 500, 500)*CHOOSE(CONTROL!$C$42, 0.275, 0.275)*CHOOSE(CONTROL!$C$42, 31, 31))/1000000</f>
        <v>4.2625000000000002</v>
      </c>
      <c r="W785" s="38">
        <f>(1000*CHOOSE(CONTROL!$C$42, 0.1146, 0.1146)*CHOOSE(CONTROL!$C$42, 121.5, 121.5)*CHOOSE(CONTROL!$C$42, 31, 31))/1000000</f>
        <v>0.43164089999999994</v>
      </c>
      <c r="X785" s="38">
        <f>(31*0.1790888*245000/1000000)+(31*0.2374*100000/1000000)</f>
        <v>2.0961194359999999</v>
      </c>
      <c r="Y785" s="38">
        <f>(1000*600*CHOOSE(CONTROL!$C$42, 1.0585, 1.0585)*CHOOSE(CONTROL!$C$42, 31, 31))/1000000</f>
        <v>19.688099999999999</v>
      </c>
      <c r="Z785" s="38"/>
      <c r="AA785" s="10"/>
      <c r="AB785" s="39"/>
      <c r="AC785" s="33">
        <f>(B785*194.205+C785*267.466+D785*133.845+E785*53.484+F785*40+G785*185+H785*0+I785*100+J785*300)/(194.205+267.466+133.845+53.484+0+40+185+100+300)</f>
        <v>25.583105469937209</v>
      </c>
      <c r="AD785" s="27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25.342344604316544</v>
      </c>
    </row>
    <row r="786" spans="1:30" ht="15.75" x14ac:dyDescent="0.25">
      <c r="A786" s="13">
        <v>65196</v>
      </c>
      <c r="B786" s="10">
        <f>CHOOSE(CONTROL!$C$42, 26.3045, 26.3045) * CHOOSE(CONTROL!$C$21, $C$9, 100%, $E$9)</f>
        <v>26.304500000000001</v>
      </c>
      <c r="C786" s="10">
        <f>CHOOSE(CONTROL!$C$42, 26.3125, 26.3125) * CHOOSE(CONTROL!$C$21, $C$9, 100%, $E$9)</f>
        <v>26.3125</v>
      </c>
      <c r="D786" s="10">
        <f>CHOOSE(CONTROL!$C$42, 26.4876, 26.4876) * CHOOSE(CONTROL!$C$21, $C$9, 100%, $E$9)</f>
        <v>26.4876</v>
      </c>
      <c r="E786" s="10">
        <f>CHOOSE(CONTROL!$C$42, 26.5188, 26.5188) * CHOOSE(CONTROL!$C$21, $C$9, 100%, $E$9)</f>
        <v>26.518799999999999</v>
      </c>
      <c r="F786" s="10">
        <f>CHOOSE(CONTROL!$C$42, 26.2463, 26.2463)*CHOOSE(CONTROL!$C$21, $C$9, 100%, $E$9)</f>
        <v>26.246300000000002</v>
      </c>
      <c r="G786" s="10">
        <f>CHOOSE(CONTROL!$C$42, 26.2633, 26.2633)*CHOOSE(CONTROL!$C$21, $C$9, 100%, $E$9)</f>
        <v>26.263300000000001</v>
      </c>
      <c r="H786" s="10">
        <f>CHOOSE(CONTROL!$C$42, 26.5071, 26.5071) * CHOOSE(CONTROL!$C$21, $C$9, 100%, $E$9)</f>
        <v>26.507100000000001</v>
      </c>
      <c r="I786" s="10">
        <f>CHOOSE(CONTROL!$C$42, 26.2791, 26.2791)* CHOOSE(CONTROL!$C$21, $C$9, 100%, $E$9)</f>
        <v>26.2791</v>
      </c>
      <c r="J786" s="10">
        <f>CHOOSE(CONTROL!$C$42, 26.2389, 26.2389)* CHOOSE(CONTROL!$C$21, $C$9, 100%, $E$9)</f>
        <v>26.238900000000001</v>
      </c>
      <c r="K786" s="10">
        <f>CHOOSE(CONTROL!$C$42, 25.6158, 25.6158) * CHOOSE(CONTROL!$C$21, $C$9, 100%, $E$9)</f>
        <v>25.6158</v>
      </c>
      <c r="L786" s="10">
        <f>CHOOSE(CONTROL!$C$42, 27.0941, 27.0941) * CHOOSE(CONTROL!$C$21, $C$9, 100%, $E$9)</f>
        <v>27.094100000000001</v>
      </c>
      <c r="M786" s="10">
        <f>CHOOSE(CONTROL!$C$42, 25.9323, 25.9323) * CHOOSE(CONTROL!$C$21, $C$9, 100%, $E$9)</f>
        <v>25.932300000000001</v>
      </c>
      <c r="N786" s="10">
        <f>CHOOSE(CONTROL!$C$42, 25.949, 25.949) * CHOOSE(CONTROL!$C$21, $C$9, 100%, $E$9)</f>
        <v>25.949000000000002</v>
      </c>
      <c r="O786" s="10">
        <f>CHOOSE(CONTROL!$C$42, 26.197, 26.197) * CHOOSE(CONTROL!$C$21, $C$9, 100%, $E$9)</f>
        <v>26.196999999999999</v>
      </c>
      <c r="P786" s="10">
        <f>CHOOSE(CONTROL!$C$42, 25.972, 25.972) * CHOOSE(CONTROL!$C$21, $C$9, 100%, $E$9)</f>
        <v>25.972000000000001</v>
      </c>
      <c r="Q786" s="10">
        <f>CHOOSE(CONTROL!$C$42, 26.7923, 26.7923) * CHOOSE(CONTROL!$C$21, $C$9, 100%, $E$9)</f>
        <v>26.792300000000001</v>
      </c>
      <c r="R786" s="10">
        <f>CHOOSE(CONTROL!$C$42, 27.4463, 27.4463) * CHOOSE(CONTROL!$C$21, $C$9, 100%, $E$9)</f>
        <v>27.446300000000001</v>
      </c>
      <c r="S786" s="10">
        <f>CHOOSE(CONTROL!$C$42, 25.4852, 25.4852) * CHOOSE(CONTROL!$C$21, $C$9, 100%, $E$9)</f>
        <v>25.485199999999999</v>
      </c>
      <c r="T78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38">
        <f>(1000*CHOOSE(CONTROL!$C$42, 695, 695)*CHOOSE(CONTROL!$C$42, 0.5599, 0.5599)*CHOOSE(CONTROL!$C$42, 30, 30))/1000000</f>
        <v>11.673914999999997</v>
      </c>
      <c r="V786" s="38">
        <f>(1000*CHOOSE(CONTROL!$C$42, 500, 500)*CHOOSE(CONTROL!$C$42, 0.275, 0.275)*CHOOSE(CONTROL!$C$42, 30, 30))/1000000</f>
        <v>4.125</v>
      </c>
      <c r="W786" s="38">
        <f>(1000*CHOOSE(CONTROL!$C$42, 0.1146, 0.1146)*CHOOSE(CONTROL!$C$42, 121.5, 121.5)*CHOOSE(CONTROL!$C$42, 30, 30))/1000000</f>
        <v>0.417717</v>
      </c>
      <c r="X786" s="38">
        <f>(30*0.1790888*245000/1000000)+(30*0.2374*100000/1000000)</f>
        <v>2.0285026799999999</v>
      </c>
      <c r="Y786" s="38">
        <f>(1000*600*CHOOSE(CONTROL!$C$42, 1.0585, 1.0585)*CHOOSE(CONTROL!$C$42, 30, 30))/1000000</f>
        <v>19.053000000000001</v>
      </c>
      <c r="Z786" s="38"/>
      <c r="AA786" s="10"/>
      <c r="AB786" s="39"/>
      <c r="AC786" s="33">
        <f>(B786*194.205+C786*267.466+D786*133.845+E786*53.484+F786*40+G786*185+H786*0+I786*100+J786*300)/(194.205+267.466+133.845+53.484+0+40+185+100+300)</f>
        <v>26.309161199921505</v>
      </c>
      <c r="AD786" s="27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26.058945323741007</v>
      </c>
    </row>
    <row r="787" spans="1:30" ht="15.75" x14ac:dyDescent="0.25">
      <c r="A787" s="13">
        <v>65227</v>
      </c>
      <c r="B787" s="10">
        <f>CHOOSE(CONTROL!$C$42, 25.7996, 25.7996) * CHOOSE(CONTROL!$C$21, $C$9, 100%, $E$9)</f>
        <v>25.799600000000002</v>
      </c>
      <c r="C787" s="10">
        <f>CHOOSE(CONTROL!$C$42, 25.8076, 25.8076) * CHOOSE(CONTROL!$C$21, $C$9, 100%, $E$9)</f>
        <v>25.807600000000001</v>
      </c>
      <c r="D787" s="10">
        <f>CHOOSE(CONTROL!$C$42, 25.9827, 25.9827) * CHOOSE(CONTROL!$C$21, $C$9, 100%, $E$9)</f>
        <v>25.982700000000001</v>
      </c>
      <c r="E787" s="10">
        <f>CHOOSE(CONTROL!$C$42, 26.0139, 26.0139) * CHOOSE(CONTROL!$C$21, $C$9, 100%, $E$9)</f>
        <v>26.0139</v>
      </c>
      <c r="F787" s="10">
        <f>CHOOSE(CONTROL!$C$42, 25.7418, 25.7418)*CHOOSE(CONTROL!$C$21, $C$9, 100%, $E$9)</f>
        <v>25.741800000000001</v>
      </c>
      <c r="G787" s="10">
        <f>CHOOSE(CONTROL!$C$42, 25.7588, 25.7588)*CHOOSE(CONTROL!$C$21, $C$9, 100%, $E$9)</f>
        <v>25.758800000000001</v>
      </c>
      <c r="H787" s="10">
        <f>CHOOSE(CONTROL!$C$42, 26.0022, 26.0022) * CHOOSE(CONTROL!$C$21, $C$9, 100%, $E$9)</f>
        <v>26.002199999999998</v>
      </c>
      <c r="I787" s="10">
        <f>CHOOSE(CONTROL!$C$42, 25.7742, 25.7742)* CHOOSE(CONTROL!$C$21, $C$9, 100%, $E$9)</f>
        <v>25.7742</v>
      </c>
      <c r="J787" s="10">
        <f>CHOOSE(CONTROL!$C$42, 25.7344, 25.7344)* CHOOSE(CONTROL!$C$21, $C$9, 100%, $E$9)</f>
        <v>25.734400000000001</v>
      </c>
      <c r="K787" s="10">
        <f>CHOOSE(CONTROL!$C$42, 25.1274, 25.1274) * CHOOSE(CONTROL!$C$21, $C$9, 100%, $E$9)</f>
        <v>25.127400000000002</v>
      </c>
      <c r="L787" s="10">
        <f>CHOOSE(CONTROL!$C$42, 26.5892, 26.5892) * CHOOSE(CONTROL!$C$21, $C$9, 100%, $E$9)</f>
        <v>26.589200000000002</v>
      </c>
      <c r="M787" s="10">
        <f>CHOOSE(CONTROL!$C$42, 25.4343, 25.4343) * CHOOSE(CONTROL!$C$21, $C$9, 100%, $E$9)</f>
        <v>25.4343</v>
      </c>
      <c r="N787" s="10">
        <f>CHOOSE(CONTROL!$C$42, 25.4511, 25.4511) * CHOOSE(CONTROL!$C$21, $C$9, 100%, $E$9)</f>
        <v>25.4511</v>
      </c>
      <c r="O787" s="10">
        <f>CHOOSE(CONTROL!$C$42, 25.6987, 25.6987) * CHOOSE(CONTROL!$C$21, $C$9, 100%, $E$9)</f>
        <v>25.698699999999999</v>
      </c>
      <c r="P787" s="10">
        <f>CHOOSE(CONTROL!$C$42, 25.4736, 25.4736) * CHOOSE(CONTROL!$C$21, $C$9, 100%, $E$9)</f>
        <v>25.473600000000001</v>
      </c>
      <c r="Q787" s="10">
        <f>CHOOSE(CONTROL!$C$42, 26.294, 26.294) * CHOOSE(CONTROL!$C$21, $C$9, 100%, $E$9)</f>
        <v>26.294</v>
      </c>
      <c r="R787" s="10">
        <f>CHOOSE(CONTROL!$C$42, 26.9467, 26.9467) * CHOOSE(CONTROL!$C$21, $C$9, 100%, $E$9)</f>
        <v>26.9467</v>
      </c>
      <c r="S787" s="10">
        <f>CHOOSE(CONTROL!$C$42, 24.9963, 24.9963) * CHOOSE(CONTROL!$C$21, $C$9, 100%, $E$9)</f>
        <v>24.996300000000002</v>
      </c>
      <c r="T78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38">
        <f>(1000*CHOOSE(CONTROL!$C$42, 695, 695)*CHOOSE(CONTROL!$C$42, 0.5599, 0.5599)*CHOOSE(CONTROL!$C$42, 31, 31))/1000000</f>
        <v>12.063045499999998</v>
      </c>
      <c r="V787" s="38">
        <f>(1000*CHOOSE(CONTROL!$C$42, 500, 500)*CHOOSE(CONTROL!$C$42, 0.275, 0.275)*CHOOSE(CONTROL!$C$42, 31, 31))/1000000</f>
        <v>4.2625000000000002</v>
      </c>
      <c r="W787" s="38">
        <f>(1000*CHOOSE(CONTROL!$C$42, 0.1146, 0.1146)*CHOOSE(CONTROL!$C$42, 121.5, 121.5)*CHOOSE(CONTROL!$C$42, 31, 31))/1000000</f>
        <v>0.43164089999999994</v>
      </c>
      <c r="X787" s="38">
        <f>(31*0.1790888*245000/1000000)+(31*0.2374*100000/1000000)</f>
        <v>2.0961194359999999</v>
      </c>
      <c r="Y787" s="38">
        <f>(1000*600*CHOOSE(CONTROL!$C$42, 1.0585, 1.0585)*CHOOSE(CONTROL!$C$42, 31, 31))/1000000</f>
        <v>19.688099999999999</v>
      </c>
      <c r="Z787" s="38"/>
      <c r="AA787" s="10"/>
      <c r="AB787" s="39"/>
      <c r="AC787" s="33">
        <f>(B787*194.205+C787*267.466+D787*133.845+E787*53.484+F787*40+G787*185+H787*0+I787*100+J787*300)/(194.205+267.466+133.845+53.484+0+40+185+100+300)</f>
        <v>25.80442603508634</v>
      </c>
      <c r="AD787" s="27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25.560757553956837</v>
      </c>
    </row>
    <row r="788" spans="1:30" ht="15.75" x14ac:dyDescent="0.25">
      <c r="A788" s="13">
        <v>65258</v>
      </c>
      <c r="B788" s="10">
        <f>CHOOSE(CONTROL!$C$42, 24.5245, 24.5245) * CHOOSE(CONTROL!$C$21, $C$9, 100%, $E$9)</f>
        <v>24.5245</v>
      </c>
      <c r="C788" s="10">
        <f>CHOOSE(CONTROL!$C$42, 24.5325, 24.5325) * CHOOSE(CONTROL!$C$21, $C$9, 100%, $E$9)</f>
        <v>24.532499999999999</v>
      </c>
      <c r="D788" s="10">
        <f>CHOOSE(CONTROL!$C$42, 24.7076, 24.7076) * CHOOSE(CONTROL!$C$21, $C$9, 100%, $E$9)</f>
        <v>24.707599999999999</v>
      </c>
      <c r="E788" s="10">
        <f>CHOOSE(CONTROL!$C$42, 24.7388, 24.7388) * CHOOSE(CONTROL!$C$21, $C$9, 100%, $E$9)</f>
        <v>24.738800000000001</v>
      </c>
      <c r="F788" s="10">
        <f>CHOOSE(CONTROL!$C$42, 24.4666, 24.4666)*CHOOSE(CONTROL!$C$21, $C$9, 100%, $E$9)</f>
        <v>24.4666</v>
      </c>
      <c r="G788" s="10">
        <f>CHOOSE(CONTROL!$C$42, 24.4836, 24.4836)*CHOOSE(CONTROL!$C$21, $C$9, 100%, $E$9)</f>
        <v>24.483599999999999</v>
      </c>
      <c r="H788" s="10">
        <f>CHOOSE(CONTROL!$C$42, 24.7272, 24.7272) * CHOOSE(CONTROL!$C$21, $C$9, 100%, $E$9)</f>
        <v>24.7272</v>
      </c>
      <c r="I788" s="10">
        <f>CHOOSE(CONTROL!$C$42, 24.4991, 24.4991)* CHOOSE(CONTROL!$C$21, $C$9, 100%, $E$9)</f>
        <v>24.499099999999999</v>
      </c>
      <c r="J788" s="10">
        <f>CHOOSE(CONTROL!$C$42, 24.4592, 24.4592)* CHOOSE(CONTROL!$C$21, $C$9, 100%, $E$9)</f>
        <v>24.459199999999999</v>
      </c>
      <c r="K788" s="10">
        <f>CHOOSE(CONTROL!$C$42, 23.8919, 23.8919) * CHOOSE(CONTROL!$C$21, $C$9, 100%, $E$9)</f>
        <v>23.8919</v>
      </c>
      <c r="L788" s="10">
        <f>CHOOSE(CONTROL!$C$42, 25.3142, 25.3142) * CHOOSE(CONTROL!$C$21, $C$9, 100%, $E$9)</f>
        <v>25.3142</v>
      </c>
      <c r="M788" s="10">
        <f>CHOOSE(CONTROL!$C$42, 24.1756, 24.1756) * CHOOSE(CONTROL!$C$21, $C$9, 100%, $E$9)</f>
        <v>24.175599999999999</v>
      </c>
      <c r="N788" s="10">
        <f>CHOOSE(CONTROL!$C$42, 24.1924, 24.1924) * CHOOSE(CONTROL!$C$21, $C$9, 100%, $E$9)</f>
        <v>24.192399999999999</v>
      </c>
      <c r="O788" s="10">
        <f>CHOOSE(CONTROL!$C$42, 24.4401, 24.4401) * CHOOSE(CONTROL!$C$21, $C$9, 100%, $E$9)</f>
        <v>24.440100000000001</v>
      </c>
      <c r="P788" s="10">
        <f>CHOOSE(CONTROL!$C$42, 24.2151, 24.2151) * CHOOSE(CONTROL!$C$21, $C$9, 100%, $E$9)</f>
        <v>24.2151</v>
      </c>
      <c r="Q788" s="10">
        <f>CHOOSE(CONTROL!$C$42, 25.0354, 25.0354) * CHOOSE(CONTROL!$C$21, $C$9, 100%, $E$9)</f>
        <v>25.035399999999999</v>
      </c>
      <c r="R788" s="10">
        <f>CHOOSE(CONTROL!$C$42, 25.685, 25.685) * CHOOSE(CONTROL!$C$21, $C$9, 100%, $E$9)</f>
        <v>25.684999999999999</v>
      </c>
      <c r="S788" s="10">
        <f>CHOOSE(CONTROL!$C$42, 23.7617, 23.7617) * CHOOSE(CONTROL!$C$21, $C$9, 100%, $E$9)</f>
        <v>23.761700000000001</v>
      </c>
      <c r="T78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38">
        <f>(1000*CHOOSE(CONTROL!$C$42, 695, 695)*CHOOSE(CONTROL!$C$42, 0.5599, 0.5599)*CHOOSE(CONTROL!$C$42, 31, 31))/1000000</f>
        <v>12.063045499999998</v>
      </c>
      <c r="V788" s="38">
        <f>(1000*CHOOSE(CONTROL!$C$42, 500, 500)*CHOOSE(CONTROL!$C$42, 0.275, 0.275)*CHOOSE(CONTROL!$C$42, 31, 31))/1000000</f>
        <v>4.2625000000000002</v>
      </c>
      <c r="W788" s="38">
        <f>(1000*CHOOSE(CONTROL!$C$42, 0.1146, 0.1146)*CHOOSE(CONTROL!$C$42, 121.5, 121.5)*CHOOSE(CONTROL!$C$42, 31, 31))/1000000</f>
        <v>0.43164089999999994</v>
      </c>
      <c r="X788" s="38">
        <f>(31*0.1790888*245000/1000000)+(31*0.2374*100000/1000000)</f>
        <v>2.0961194359999999</v>
      </c>
      <c r="Y788" s="38">
        <f>(1000*600*CHOOSE(CONTROL!$C$42, 1.0585, 1.0585)*CHOOSE(CONTROL!$C$42, 31, 31))/1000000</f>
        <v>19.688099999999999</v>
      </c>
      <c r="Z788" s="38"/>
      <c r="AA788" s="10"/>
      <c r="AB788" s="39"/>
      <c r="AC788" s="33">
        <f>(B788*194.205+C788*267.466+D788*133.845+E788*53.484+F788*40+G788*185+H788*0+I788*100+J788*300)/(194.205+267.466+133.845+53.484+0+40+185+100+300)</f>
        <v>24.529284826295132</v>
      </c>
      <c r="AD788" s="27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24.302131654676256</v>
      </c>
    </row>
    <row r="789" spans="1:30" ht="15.75" x14ac:dyDescent="0.25">
      <c r="A789" s="13">
        <v>65288</v>
      </c>
      <c r="B789" s="10">
        <f>CHOOSE(CONTROL!$C$42, 22.9666, 22.9666) * CHOOSE(CONTROL!$C$21, $C$9, 100%, $E$9)</f>
        <v>22.9666</v>
      </c>
      <c r="C789" s="10">
        <f>CHOOSE(CONTROL!$C$42, 22.9746, 22.9746) * CHOOSE(CONTROL!$C$21, $C$9, 100%, $E$9)</f>
        <v>22.974599999999999</v>
      </c>
      <c r="D789" s="10">
        <f>CHOOSE(CONTROL!$C$42, 23.1497, 23.1497) * CHOOSE(CONTROL!$C$21, $C$9, 100%, $E$9)</f>
        <v>23.149699999999999</v>
      </c>
      <c r="E789" s="10">
        <f>CHOOSE(CONTROL!$C$42, 23.1809, 23.1809) * CHOOSE(CONTROL!$C$21, $C$9, 100%, $E$9)</f>
        <v>23.180900000000001</v>
      </c>
      <c r="F789" s="10">
        <f>CHOOSE(CONTROL!$C$42, 22.9084, 22.9084)*CHOOSE(CONTROL!$C$21, $C$9, 100%, $E$9)</f>
        <v>22.9084</v>
      </c>
      <c r="G789" s="10">
        <f>CHOOSE(CONTROL!$C$42, 22.9253, 22.9253)*CHOOSE(CONTROL!$C$21, $C$9, 100%, $E$9)</f>
        <v>22.9253</v>
      </c>
      <c r="H789" s="10">
        <f>CHOOSE(CONTROL!$C$42, 23.1693, 23.1693) * CHOOSE(CONTROL!$C$21, $C$9, 100%, $E$9)</f>
        <v>23.1693</v>
      </c>
      <c r="I789" s="10">
        <f>CHOOSE(CONTROL!$C$42, 22.9412, 22.9412)* CHOOSE(CONTROL!$C$21, $C$9, 100%, $E$9)</f>
        <v>22.941199999999998</v>
      </c>
      <c r="J789" s="10">
        <f>CHOOSE(CONTROL!$C$42, 22.901, 22.901)* CHOOSE(CONTROL!$C$21, $C$9, 100%, $E$9)</f>
        <v>22.901</v>
      </c>
      <c r="K789" s="10">
        <f>CHOOSE(CONTROL!$C$42, 22.382, 22.382) * CHOOSE(CONTROL!$C$21, $C$9, 100%, $E$9)</f>
        <v>22.382000000000001</v>
      </c>
      <c r="L789" s="10">
        <f>CHOOSE(CONTROL!$C$42, 23.7563, 23.7563) * CHOOSE(CONTROL!$C$21, $C$9, 100%, $E$9)</f>
        <v>23.7563</v>
      </c>
      <c r="M789" s="10">
        <f>CHOOSE(CONTROL!$C$42, 22.6376, 22.6376) * CHOOSE(CONTROL!$C$21, $C$9, 100%, $E$9)</f>
        <v>22.637599999999999</v>
      </c>
      <c r="N789" s="10">
        <f>CHOOSE(CONTROL!$C$42, 22.6543, 22.6543) * CHOOSE(CONTROL!$C$21, $C$9, 100%, $E$9)</f>
        <v>22.654299999999999</v>
      </c>
      <c r="O789" s="10">
        <f>CHOOSE(CONTROL!$C$42, 22.9024, 22.9024) * CHOOSE(CONTROL!$C$21, $C$9, 100%, $E$9)</f>
        <v>22.9024</v>
      </c>
      <c r="P789" s="10">
        <f>CHOOSE(CONTROL!$C$42, 22.6774, 22.6774) * CHOOSE(CONTROL!$C$21, $C$9, 100%, $E$9)</f>
        <v>22.677399999999999</v>
      </c>
      <c r="Q789" s="10">
        <f>CHOOSE(CONTROL!$C$42, 23.4977, 23.4977) * CHOOSE(CONTROL!$C$21, $C$9, 100%, $E$9)</f>
        <v>23.497699999999998</v>
      </c>
      <c r="R789" s="10">
        <f>CHOOSE(CONTROL!$C$42, 24.1434, 24.1434) * CHOOSE(CONTROL!$C$21, $C$9, 100%, $E$9)</f>
        <v>24.1434</v>
      </c>
      <c r="S789" s="10">
        <f>CHOOSE(CONTROL!$C$42, 22.2532, 22.2532) * CHOOSE(CONTROL!$C$21, $C$9, 100%, $E$9)</f>
        <v>22.2532</v>
      </c>
      <c r="T78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38">
        <f>(1000*CHOOSE(CONTROL!$C$42, 695, 695)*CHOOSE(CONTROL!$C$42, 0.5599, 0.5599)*CHOOSE(CONTROL!$C$42, 30, 30))/1000000</f>
        <v>11.673914999999997</v>
      </c>
      <c r="V789" s="38">
        <f>(1000*CHOOSE(CONTROL!$C$42, 500, 500)*CHOOSE(CONTROL!$C$42, 0.275, 0.275)*CHOOSE(CONTROL!$C$42, 30, 30))/1000000</f>
        <v>4.125</v>
      </c>
      <c r="W789" s="38">
        <f>(1000*CHOOSE(CONTROL!$C$42, 0.1146, 0.1146)*CHOOSE(CONTROL!$C$42, 121.5, 121.5)*CHOOSE(CONTROL!$C$42, 30, 30))/1000000</f>
        <v>0.417717</v>
      </c>
      <c r="X789" s="38">
        <f>(30*0.1790888*245000/1000000)+(30*0.2374*100000/1000000)</f>
        <v>2.0285026799999999</v>
      </c>
      <c r="Y789" s="38">
        <f>(1000*600*CHOOSE(CONTROL!$C$42, 1.0585, 1.0585)*CHOOSE(CONTROL!$C$42, 30, 30))/1000000</f>
        <v>19.053000000000001</v>
      </c>
      <c r="Z789" s="38"/>
      <c r="AA789" s="10"/>
      <c r="AB789" s="39"/>
      <c r="AC789" s="33">
        <f>(B789*194.205+C789*267.466+D789*133.845+E789*53.484+F789*40+G789*185+H789*0+I789*100+J789*300)/(194.205+267.466+133.845+53.484+0+40+185+100+300)</f>
        <v>22.971246678728413</v>
      </c>
      <c r="AD789" s="27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22.764305035971223</v>
      </c>
    </row>
    <row r="790" spans="1:30" ht="15.75" x14ac:dyDescent="0.25">
      <c r="A790" s="13">
        <v>65319</v>
      </c>
      <c r="B790" s="10">
        <f>CHOOSE(CONTROL!$C$42, 22.4979, 22.4979) * CHOOSE(CONTROL!$C$21, $C$9, 100%, $E$9)</f>
        <v>22.497900000000001</v>
      </c>
      <c r="C790" s="10">
        <f>CHOOSE(CONTROL!$C$42, 22.5032, 22.5032) * CHOOSE(CONTROL!$C$21, $C$9, 100%, $E$9)</f>
        <v>22.5032</v>
      </c>
      <c r="D790" s="10">
        <f>CHOOSE(CONTROL!$C$42, 22.6832, 22.6832) * CHOOSE(CONTROL!$C$21, $C$9, 100%, $E$9)</f>
        <v>22.683199999999999</v>
      </c>
      <c r="E790" s="10">
        <f>CHOOSE(CONTROL!$C$42, 22.7122, 22.7122) * CHOOSE(CONTROL!$C$21, $C$9, 100%, $E$9)</f>
        <v>22.712199999999999</v>
      </c>
      <c r="F790" s="10">
        <f>CHOOSE(CONTROL!$C$42, 22.4417, 22.4417)*CHOOSE(CONTROL!$C$21, $C$9, 100%, $E$9)</f>
        <v>22.441700000000001</v>
      </c>
      <c r="G790" s="10">
        <f>CHOOSE(CONTROL!$C$42, 22.4583, 22.4583)*CHOOSE(CONTROL!$C$21, $C$9, 100%, $E$9)</f>
        <v>22.458300000000001</v>
      </c>
      <c r="H790" s="10">
        <f>CHOOSE(CONTROL!$C$42, 22.7023, 22.7023) * CHOOSE(CONTROL!$C$21, $C$9, 100%, $E$9)</f>
        <v>22.702300000000001</v>
      </c>
      <c r="I790" s="10">
        <f>CHOOSE(CONTROL!$C$42, 22.4743, 22.4743)* CHOOSE(CONTROL!$C$21, $C$9, 100%, $E$9)</f>
        <v>22.474299999999999</v>
      </c>
      <c r="J790" s="10">
        <f>CHOOSE(CONTROL!$C$42, 22.4343, 22.4343)* CHOOSE(CONTROL!$C$21, $C$9, 100%, $E$9)</f>
        <v>22.4343</v>
      </c>
      <c r="K790" s="10">
        <f>CHOOSE(CONTROL!$C$42, 21.9301, 21.9301) * CHOOSE(CONTROL!$C$21, $C$9, 100%, $E$9)</f>
        <v>21.930099999999999</v>
      </c>
      <c r="L790" s="10">
        <f>CHOOSE(CONTROL!$C$42, 23.2893, 23.2893) * CHOOSE(CONTROL!$C$21, $C$9, 100%, $E$9)</f>
        <v>23.289300000000001</v>
      </c>
      <c r="M790" s="10">
        <f>CHOOSE(CONTROL!$C$42, 22.1769, 22.1769) * CHOOSE(CONTROL!$C$21, $C$9, 100%, $E$9)</f>
        <v>22.1769</v>
      </c>
      <c r="N790" s="10">
        <f>CHOOSE(CONTROL!$C$42, 22.1933, 22.1933) * CHOOSE(CONTROL!$C$21, $C$9, 100%, $E$9)</f>
        <v>22.193300000000001</v>
      </c>
      <c r="O790" s="10">
        <f>CHOOSE(CONTROL!$C$42, 22.4414, 22.4414) * CHOOSE(CONTROL!$C$21, $C$9, 100%, $E$9)</f>
        <v>22.441400000000002</v>
      </c>
      <c r="P790" s="10">
        <f>CHOOSE(CONTROL!$C$42, 22.2164, 22.2164) * CHOOSE(CONTROL!$C$21, $C$9, 100%, $E$9)</f>
        <v>22.2164</v>
      </c>
      <c r="Q790" s="10">
        <f>CHOOSE(CONTROL!$C$42, 23.0367, 23.0367) * CHOOSE(CONTROL!$C$21, $C$9, 100%, $E$9)</f>
        <v>23.0367</v>
      </c>
      <c r="R790" s="10">
        <f>CHOOSE(CONTROL!$C$42, 23.6813, 23.6813) * CHOOSE(CONTROL!$C$21, $C$9, 100%, $E$9)</f>
        <v>23.6813</v>
      </c>
      <c r="S790" s="10">
        <f>CHOOSE(CONTROL!$C$42, 21.801, 21.801) * CHOOSE(CONTROL!$C$21, $C$9, 100%, $E$9)</f>
        <v>21.800999999999998</v>
      </c>
      <c r="T79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38">
        <f>(1000*CHOOSE(CONTROL!$C$42, 695, 695)*CHOOSE(CONTROL!$C$42, 0.5599, 0.5599)*CHOOSE(CONTROL!$C$42, 31, 31))/1000000</f>
        <v>12.063045499999998</v>
      </c>
      <c r="V790" s="38">
        <f>(1000*CHOOSE(CONTROL!$C$42, 500, 500)*CHOOSE(CONTROL!$C$42, 0.275, 0.275)*CHOOSE(CONTROL!$C$42, 31, 31))/1000000</f>
        <v>4.2625000000000002</v>
      </c>
      <c r="W790" s="38">
        <f>(1000*CHOOSE(CONTROL!$C$42, 0.1146, 0.1146)*CHOOSE(CONTROL!$C$42, 121.5, 121.5)*CHOOSE(CONTROL!$C$42, 31, 31))/1000000</f>
        <v>0.43164089999999994</v>
      </c>
      <c r="X790" s="38">
        <f>(31*0.1790888*245000/1000000)+(31*0.2374*100000/1000000)</f>
        <v>2.0961194359999999</v>
      </c>
      <c r="Y790" s="38">
        <f>(1000*600*CHOOSE(CONTROL!$C$42, 1.0585, 1.0585)*CHOOSE(CONTROL!$C$42, 31, 31))/1000000</f>
        <v>19.688099999999999</v>
      </c>
      <c r="Z790" s="38"/>
      <c r="AA790" s="10"/>
      <c r="AB790" s="39"/>
      <c r="AC790" s="33">
        <f>(B790*131.881+C790*277.167+D790*79.08+E790*125.872+F790*40+G790*185+H790*0+I790*100+J790*300)/(131.881+277.167+79.08+125.872+0+40+185+100+300)</f>
        <v>22.507652121630347</v>
      </c>
      <c r="AD790" s="27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22.303408633093522</v>
      </c>
    </row>
    <row r="791" spans="1:30" ht="15.75" x14ac:dyDescent="0.25">
      <c r="A791" s="13">
        <v>65349</v>
      </c>
      <c r="B791" s="10">
        <f>CHOOSE(CONTROL!$C$42, 23.0906, 23.0906) * CHOOSE(CONTROL!$C$21, $C$9, 100%, $E$9)</f>
        <v>23.090599999999998</v>
      </c>
      <c r="C791" s="10">
        <f>CHOOSE(CONTROL!$C$42, 23.0957, 23.0957) * CHOOSE(CONTROL!$C$21, $C$9, 100%, $E$9)</f>
        <v>23.095700000000001</v>
      </c>
      <c r="D791" s="10">
        <f>CHOOSE(CONTROL!$C$42, 23.1204, 23.1204) * CHOOSE(CONTROL!$C$21, $C$9, 100%, $E$9)</f>
        <v>23.1204</v>
      </c>
      <c r="E791" s="10">
        <f>CHOOSE(CONTROL!$C$42, 23.1542, 23.1542) * CHOOSE(CONTROL!$C$21, $C$9, 100%, $E$9)</f>
        <v>23.154199999999999</v>
      </c>
      <c r="F791" s="10">
        <f>CHOOSE(CONTROL!$C$42, 23.0562, 23.0562)*CHOOSE(CONTROL!$C$21, $C$9, 100%, $E$9)</f>
        <v>23.0562</v>
      </c>
      <c r="G791" s="10">
        <f>CHOOSE(CONTROL!$C$42, 23.0731, 23.0731)*CHOOSE(CONTROL!$C$21, $C$9, 100%, $E$9)</f>
        <v>23.0731</v>
      </c>
      <c r="H791" s="10">
        <f>CHOOSE(CONTROL!$C$42, 23.1431, 23.1431) * CHOOSE(CONTROL!$C$21, $C$9, 100%, $E$9)</f>
        <v>23.1431</v>
      </c>
      <c r="I791" s="10">
        <f>CHOOSE(CONTROL!$C$42, 23.0901, 23.0901)* CHOOSE(CONTROL!$C$21, $C$9, 100%, $E$9)</f>
        <v>23.0901</v>
      </c>
      <c r="J791" s="10">
        <f>CHOOSE(CONTROL!$C$42, 23.0488, 23.0488)* CHOOSE(CONTROL!$C$21, $C$9, 100%, $E$9)</f>
        <v>23.0488</v>
      </c>
      <c r="K791" s="10">
        <f>CHOOSE(CONTROL!$C$42, 22.5285, 22.5285) * CHOOSE(CONTROL!$C$21, $C$9, 100%, $E$9)</f>
        <v>22.528500000000001</v>
      </c>
      <c r="L791" s="10">
        <f>CHOOSE(CONTROL!$C$42, 23.7301, 23.7301) * CHOOSE(CONTROL!$C$21, $C$9, 100%, $E$9)</f>
        <v>23.7301</v>
      </c>
      <c r="M791" s="10">
        <f>CHOOSE(CONTROL!$C$42, 22.7835, 22.7835) * CHOOSE(CONTROL!$C$21, $C$9, 100%, $E$9)</f>
        <v>22.7835</v>
      </c>
      <c r="N791" s="10">
        <f>CHOOSE(CONTROL!$C$42, 22.8001, 22.8001) * CHOOSE(CONTROL!$C$21, $C$9, 100%, $E$9)</f>
        <v>22.8001</v>
      </c>
      <c r="O791" s="10">
        <f>CHOOSE(CONTROL!$C$42, 22.8765, 22.8765) * CHOOSE(CONTROL!$C$21, $C$9, 100%, $E$9)</f>
        <v>22.8765</v>
      </c>
      <c r="P791" s="10">
        <f>CHOOSE(CONTROL!$C$42, 22.8243, 22.8243) * CHOOSE(CONTROL!$C$21, $C$9, 100%, $E$9)</f>
        <v>22.824300000000001</v>
      </c>
      <c r="Q791" s="10">
        <f>CHOOSE(CONTROL!$C$42, 23.4718, 23.4718) * CHOOSE(CONTROL!$C$21, $C$9, 100%, $E$9)</f>
        <v>23.471800000000002</v>
      </c>
      <c r="R791" s="10">
        <f>CHOOSE(CONTROL!$C$42, 24.1175, 24.1175) * CHOOSE(CONTROL!$C$21, $C$9, 100%, $E$9)</f>
        <v>24.1175</v>
      </c>
      <c r="S791" s="10">
        <f>CHOOSE(CONTROL!$C$42, 22.3753, 22.3753) * CHOOSE(CONTROL!$C$21, $C$9, 100%, $E$9)</f>
        <v>22.375299999999999</v>
      </c>
      <c r="T79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38">
        <f>(1000*CHOOSE(CONTROL!$C$42, 695, 695)*CHOOSE(CONTROL!$C$42, 0.5599, 0.5599)*CHOOSE(CONTROL!$C$42, 30, 30))/1000000</f>
        <v>11.673914999999997</v>
      </c>
      <c r="V791" s="38">
        <f>(1000*CHOOSE(CONTROL!$C$42, 500, 500)*CHOOSE(CONTROL!$C$42, 0.275, 0.275)*CHOOSE(CONTROL!$C$42, 30, 30))/1000000</f>
        <v>4.125</v>
      </c>
      <c r="W791" s="38">
        <f>(1000*CHOOSE(CONTROL!$C$42, 0.1146, 0.1146)*CHOOSE(CONTROL!$C$42, 121.5, 121.5)*CHOOSE(CONTROL!$C$42, 30, 30))/1000000</f>
        <v>0.417717</v>
      </c>
      <c r="X791" s="38">
        <f>(30*0.1790888*100000/1000000)+(30*0.2374*100000/1000000)</f>
        <v>1.2494664</v>
      </c>
      <c r="Y791" s="38">
        <f>(1000*600*CHOOSE(CONTROL!$C$42, 1.0585, 1.0585)*CHOOSE(CONTROL!$C$42, 30, 30))/1000000</f>
        <v>19.053000000000001</v>
      </c>
      <c r="Z791" s="38"/>
      <c r="AA791" s="10"/>
      <c r="AB791" s="39"/>
      <c r="AC791" s="33">
        <f>(B791*122.58+C791*297.941+D791*89.177+E791*40.302+F791*40+G791*160+H791*0+I791*100+J791*300)/(122.58+297.941+89.177+40.302+0+40+160+100+300)</f>
        <v>23.08188189643478</v>
      </c>
      <c r="AD791" s="27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22.832476978417265</v>
      </c>
    </row>
    <row r="792" spans="1:30" ht="15.75" x14ac:dyDescent="0.25">
      <c r="A792" s="13">
        <v>65380</v>
      </c>
      <c r="B792" s="10">
        <f>CHOOSE(CONTROL!$C$42, 24.666, 24.666) * CHOOSE(CONTROL!$C$21, $C$9, 100%, $E$9)</f>
        <v>24.666</v>
      </c>
      <c r="C792" s="10">
        <f>CHOOSE(CONTROL!$C$42, 24.6711, 24.6711) * CHOOSE(CONTROL!$C$21, $C$9, 100%, $E$9)</f>
        <v>24.671099999999999</v>
      </c>
      <c r="D792" s="10">
        <f>CHOOSE(CONTROL!$C$42, 24.6958, 24.6958) * CHOOSE(CONTROL!$C$21, $C$9, 100%, $E$9)</f>
        <v>24.695799999999998</v>
      </c>
      <c r="E792" s="10">
        <f>CHOOSE(CONTROL!$C$42, 24.7296, 24.7296) * CHOOSE(CONTROL!$C$21, $C$9, 100%, $E$9)</f>
        <v>24.729600000000001</v>
      </c>
      <c r="F792" s="10">
        <f>CHOOSE(CONTROL!$C$42, 24.6334, 24.6334)*CHOOSE(CONTROL!$C$21, $C$9, 100%, $E$9)</f>
        <v>24.633400000000002</v>
      </c>
      <c r="G792" s="10">
        <f>CHOOSE(CONTROL!$C$42, 24.6507, 24.6507)*CHOOSE(CONTROL!$C$21, $C$9, 100%, $E$9)</f>
        <v>24.650700000000001</v>
      </c>
      <c r="H792" s="10">
        <f>CHOOSE(CONTROL!$C$42, 24.7185, 24.7185) * CHOOSE(CONTROL!$C$21, $C$9, 100%, $E$9)</f>
        <v>24.718499999999999</v>
      </c>
      <c r="I792" s="10">
        <f>CHOOSE(CONTROL!$C$42, 24.6655, 24.6655)* CHOOSE(CONTROL!$C$21, $C$9, 100%, $E$9)</f>
        <v>24.665500000000002</v>
      </c>
      <c r="J792" s="10">
        <f>CHOOSE(CONTROL!$C$42, 24.626, 24.626)* CHOOSE(CONTROL!$C$21, $C$9, 100%, $E$9)</f>
        <v>24.626000000000001</v>
      </c>
      <c r="K792" s="10">
        <f>CHOOSE(CONTROL!$C$42, 24.0586, 24.0586) * CHOOSE(CONTROL!$C$21, $C$9, 100%, $E$9)</f>
        <v>24.058599999999998</v>
      </c>
      <c r="L792" s="10">
        <f>CHOOSE(CONTROL!$C$42, 25.3055, 25.3055) * CHOOSE(CONTROL!$C$21, $C$9, 100%, $E$9)</f>
        <v>25.305499999999999</v>
      </c>
      <c r="M792" s="10">
        <f>CHOOSE(CONTROL!$C$42, 24.3403, 24.3403) * CHOOSE(CONTROL!$C$21, $C$9, 100%, $E$9)</f>
        <v>24.340299999999999</v>
      </c>
      <c r="N792" s="10">
        <f>CHOOSE(CONTROL!$C$42, 24.3573, 24.3573) * CHOOSE(CONTROL!$C$21, $C$9, 100%, $E$9)</f>
        <v>24.357299999999999</v>
      </c>
      <c r="O792" s="10">
        <f>CHOOSE(CONTROL!$C$42, 24.4315, 24.4315) * CHOOSE(CONTROL!$C$21, $C$9, 100%, $E$9)</f>
        <v>24.4315</v>
      </c>
      <c r="P792" s="10">
        <f>CHOOSE(CONTROL!$C$42, 24.3793, 24.3793) * CHOOSE(CONTROL!$C$21, $C$9, 100%, $E$9)</f>
        <v>24.379300000000001</v>
      </c>
      <c r="Q792" s="10">
        <f>CHOOSE(CONTROL!$C$42, 25.0268, 25.0268) * CHOOSE(CONTROL!$C$21, $C$9, 100%, $E$9)</f>
        <v>25.026800000000001</v>
      </c>
      <c r="R792" s="10">
        <f>CHOOSE(CONTROL!$C$42, 25.6764, 25.6764) * CHOOSE(CONTROL!$C$21, $C$9, 100%, $E$9)</f>
        <v>25.676400000000001</v>
      </c>
      <c r="S792" s="10">
        <f>CHOOSE(CONTROL!$C$42, 23.9008, 23.9008) * CHOOSE(CONTROL!$C$21, $C$9, 100%, $E$9)</f>
        <v>23.9008</v>
      </c>
      <c r="T79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38">
        <f>(1000*CHOOSE(CONTROL!$C$42, 695, 695)*CHOOSE(CONTROL!$C$42, 0.5599, 0.5599)*CHOOSE(CONTROL!$C$42, 31, 31))/1000000</f>
        <v>12.063045499999998</v>
      </c>
      <c r="V792" s="38">
        <f>(1000*CHOOSE(CONTROL!$C$42, 500, 500)*CHOOSE(CONTROL!$C$42, 0.275, 0.275)*CHOOSE(CONTROL!$C$42, 31, 31))/1000000</f>
        <v>4.2625000000000002</v>
      </c>
      <c r="W792" s="38">
        <f>(1000*CHOOSE(CONTROL!$C$42, 0.1146, 0.1146)*CHOOSE(CONTROL!$C$42, 121.5, 121.5)*CHOOSE(CONTROL!$C$42, 31, 31))/1000000</f>
        <v>0.43164089999999994</v>
      </c>
      <c r="X792" s="38">
        <f>(31*0.1790888*100000/1000000)+(31*0.2374*100000/1000000)</f>
        <v>1.2911152800000001</v>
      </c>
      <c r="Y792" s="38">
        <f>(1000*600*CHOOSE(CONTROL!$C$42, 1.0585, 1.0585)*CHOOSE(CONTROL!$C$42, 31, 31))/1000000</f>
        <v>19.688099999999999</v>
      </c>
      <c r="Z792" s="38"/>
      <c r="AA792" s="10"/>
      <c r="AB792" s="39"/>
      <c r="AC792" s="33">
        <f>(B792*122.58+C792*297.941+D792*89.177+E792*40.302+F792*40+G792*160+H792*0+I792*100+J792*300)/(122.58+297.941+89.177+40.302+0+40+160+100+300)</f>
        <v>24.658120157304346</v>
      </c>
      <c r="AD792" s="27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24.388225179856118</v>
      </c>
    </row>
    <row r="793" spans="1:30" ht="15.75" x14ac:dyDescent="0.25">
      <c r="A793" s="13">
        <v>65411</v>
      </c>
      <c r="B793" s="10">
        <f>CHOOSE(CONTROL!$C$42, 26.332, 26.332) * CHOOSE(CONTROL!$C$21, $C$9, 100%, $E$9)</f>
        <v>26.332000000000001</v>
      </c>
      <c r="C793" s="10">
        <f>CHOOSE(CONTROL!$C$42, 26.3371, 26.3371) * CHOOSE(CONTROL!$C$21, $C$9, 100%, $E$9)</f>
        <v>26.3371</v>
      </c>
      <c r="D793" s="10">
        <f>CHOOSE(CONTROL!$C$42, 26.3721, 26.3721) * CHOOSE(CONTROL!$C$21, $C$9, 100%, $E$9)</f>
        <v>26.3721</v>
      </c>
      <c r="E793" s="10">
        <f>CHOOSE(CONTROL!$C$42, 26.4059, 26.4059) * CHOOSE(CONTROL!$C$21, $C$9, 100%, $E$9)</f>
        <v>26.405899999999999</v>
      </c>
      <c r="F793" s="10">
        <f>CHOOSE(CONTROL!$C$42, 26.3132, 26.3132)*CHOOSE(CONTROL!$C$21, $C$9, 100%, $E$9)</f>
        <v>26.313199999999998</v>
      </c>
      <c r="G793" s="10">
        <f>CHOOSE(CONTROL!$C$42, 26.3321, 26.3321)*CHOOSE(CONTROL!$C$21, $C$9, 100%, $E$9)</f>
        <v>26.332100000000001</v>
      </c>
      <c r="H793" s="10">
        <f>CHOOSE(CONTROL!$C$42, 26.3948, 26.3948) * CHOOSE(CONTROL!$C$21, $C$9, 100%, $E$9)</f>
        <v>26.3948</v>
      </c>
      <c r="I793" s="10">
        <f>CHOOSE(CONTROL!$C$42, 26.3392, 26.3392)* CHOOSE(CONTROL!$C$21, $C$9, 100%, $E$9)</f>
        <v>26.339200000000002</v>
      </c>
      <c r="J793" s="10">
        <f>CHOOSE(CONTROL!$C$42, 26.3058, 26.3058)* CHOOSE(CONTROL!$C$21, $C$9, 100%, $E$9)</f>
        <v>26.305800000000001</v>
      </c>
      <c r="K793" s="10">
        <f>CHOOSE(CONTROL!$C$42, 25.6933, 25.6933) * CHOOSE(CONTROL!$C$21, $C$9, 100%, $E$9)</f>
        <v>25.693300000000001</v>
      </c>
      <c r="L793" s="10">
        <f>CHOOSE(CONTROL!$C$42, 26.9818, 26.9818) * CHOOSE(CONTROL!$C$21, $C$9, 100%, $E$9)</f>
        <v>26.9818</v>
      </c>
      <c r="M793" s="10">
        <f>CHOOSE(CONTROL!$C$42, 25.9983, 25.9983) * CHOOSE(CONTROL!$C$21, $C$9, 100%, $E$9)</f>
        <v>25.9983</v>
      </c>
      <c r="N793" s="10">
        <f>CHOOSE(CONTROL!$C$42, 26.017, 26.017) * CHOOSE(CONTROL!$C$21, $C$9, 100%, $E$9)</f>
        <v>26.016999999999999</v>
      </c>
      <c r="O793" s="10">
        <f>CHOOSE(CONTROL!$C$42, 26.0861, 26.0861) * CHOOSE(CONTROL!$C$21, $C$9, 100%, $E$9)</f>
        <v>26.086099999999998</v>
      </c>
      <c r="P793" s="10">
        <f>CHOOSE(CONTROL!$C$42, 26.0313, 26.0313) * CHOOSE(CONTROL!$C$21, $C$9, 100%, $E$9)</f>
        <v>26.031300000000002</v>
      </c>
      <c r="Q793" s="10">
        <f>CHOOSE(CONTROL!$C$42, 26.6814, 26.6814) * CHOOSE(CONTROL!$C$21, $C$9, 100%, $E$9)</f>
        <v>26.6814</v>
      </c>
      <c r="R793" s="10">
        <f>CHOOSE(CONTROL!$C$42, 27.3351, 27.3351) * CHOOSE(CONTROL!$C$21, $C$9, 100%, $E$9)</f>
        <v>27.335100000000001</v>
      </c>
      <c r="S793" s="10">
        <f>CHOOSE(CONTROL!$C$42, 25.5139, 25.5139) * CHOOSE(CONTROL!$C$21, $C$9, 100%, $E$9)</f>
        <v>25.5139</v>
      </c>
      <c r="T79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38">
        <f>(1000*CHOOSE(CONTROL!$C$42, 695, 695)*CHOOSE(CONTROL!$C$42, 0.5599, 0.5599)*CHOOSE(CONTROL!$C$42, 31, 31))/1000000</f>
        <v>12.063045499999998</v>
      </c>
      <c r="V793" s="38">
        <f>(1000*CHOOSE(CONTROL!$C$42, 500, 500)*CHOOSE(CONTROL!$C$42, 0.275, 0.275)*CHOOSE(CONTROL!$C$42, 31, 31))/1000000</f>
        <v>4.2625000000000002</v>
      </c>
      <c r="W793" s="38">
        <f>(1000*CHOOSE(CONTROL!$C$42, 0.1146, 0.1146)*CHOOSE(CONTROL!$C$42, 121.5, 121.5)*CHOOSE(CONTROL!$C$42, 31, 31))/1000000</f>
        <v>0.43164089999999994</v>
      </c>
      <c r="X793" s="38">
        <f>(31*0.1790888*100000/1000000)+(31*0.2374*100000/1000000)</f>
        <v>1.2911152800000001</v>
      </c>
      <c r="Y793" s="38">
        <f>(1000*600*CHOOSE(CONTROL!$C$42, 1.0585, 1.0585)*CHOOSE(CONTROL!$C$42, 31, 31))/1000000</f>
        <v>19.688099999999999</v>
      </c>
      <c r="Z793" s="38"/>
      <c r="AA793" s="10"/>
      <c r="AB793" s="39"/>
      <c r="AC793" s="33">
        <f>(B793*122.58+C793*297.941+D793*89.177+E793*40.302+F793*40+G793*160+H793*0+I793*100+J793*300)/(122.58+297.941+89.177+40.302+0+40+160+100+300)</f>
        <v>26.332172012695654</v>
      </c>
      <c r="AD793" s="27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26.043918705035971</v>
      </c>
    </row>
    <row r="794" spans="1:30" ht="15.75" x14ac:dyDescent="0.25">
      <c r="A794" s="13">
        <v>65439</v>
      </c>
      <c r="B794" s="10">
        <f>CHOOSE(CONTROL!$C$42, 26.801, 26.801) * CHOOSE(CONTROL!$C$21, $C$9, 100%, $E$9)</f>
        <v>26.800999999999998</v>
      </c>
      <c r="C794" s="10">
        <f>CHOOSE(CONTROL!$C$42, 26.8061, 26.8061) * CHOOSE(CONTROL!$C$21, $C$9, 100%, $E$9)</f>
        <v>26.806100000000001</v>
      </c>
      <c r="D794" s="10">
        <f>CHOOSE(CONTROL!$C$42, 26.8411, 26.8411) * CHOOSE(CONTROL!$C$21, $C$9, 100%, $E$9)</f>
        <v>26.841100000000001</v>
      </c>
      <c r="E794" s="10">
        <f>CHOOSE(CONTROL!$C$42, 26.8749, 26.8749) * CHOOSE(CONTROL!$C$21, $C$9, 100%, $E$9)</f>
        <v>26.8749</v>
      </c>
      <c r="F794" s="10">
        <f>CHOOSE(CONTROL!$C$42, 26.7817, 26.7817)*CHOOSE(CONTROL!$C$21, $C$9, 100%, $E$9)</f>
        <v>26.781700000000001</v>
      </c>
      <c r="G794" s="10">
        <f>CHOOSE(CONTROL!$C$42, 26.8005, 26.8005)*CHOOSE(CONTROL!$C$21, $C$9, 100%, $E$9)</f>
        <v>26.8005</v>
      </c>
      <c r="H794" s="10">
        <f>CHOOSE(CONTROL!$C$42, 26.8638, 26.8638) * CHOOSE(CONTROL!$C$21, $C$9, 100%, $E$9)</f>
        <v>26.863800000000001</v>
      </c>
      <c r="I794" s="10">
        <f>CHOOSE(CONTROL!$C$42, 26.8082, 26.8082)* CHOOSE(CONTROL!$C$21, $C$9, 100%, $E$9)</f>
        <v>26.808199999999999</v>
      </c>
      <c r="J794" s="10">
        <f>CHOOSE(CONTROL!$C$42, 26.7743, 26.7743)* CHOOSE(CONTROL!$C$21, $C$9, 100%, $E$9)</f>
        <v>26.7743</v>
      </c>
      <c r="K794" s="10">
        <f>CHOOSE(CONTROL!$C$42, 26.1466, 26.1466) * CHOOSE(CONTROL!$C$21, $C$9, 100%, $E$9)</f>
        <v>26.146599999999999</v>
      </c>
      <c r="L794" s="10">
        <f>CHOOSE(CONTROL!$C$42, 27.4508, 27.4508) * CHOOSE(CONTROL!$C$21, $C$9, 100%, $E$9)</f>
        <v>27.450800000000001</v>
      </c>
      <c r="M794" s="10">
        <f>CHOOSE(CONTROL!$C$42, 26.4608, 26.4608) * CHOOSE(CONTROL!$C$21, $C$9, 100%, $E$9)</f>
        <v>26.460799999999999</v>
      </c>
      <c r="N794" s="10">
        <f>CHOOSE(CONTROL!$C$42, 26.4793, 26.4793) * CHOOSE(CONTROL!$C$21, $C$9, 100%, $E$9)</f>
        <v>26.479299999999999</v>
      </c>
      <c r="O794" s="10">
        <f>CHOOSE(CONTROL!$C$42, 26.5491, 26.5491) * CHOOSE(CONTROL!$C$21, $C$9, 100%, $E$9)</f>
        <v>26.549099999999999</v>
      </c>
      <c r="P794" s="10">
        <f>CHOOSE(CONTROL!$C$42, 26.4943, 26.4943) * CHOOSE(CONTROL!$C$21, $C$9, 100%, $E$9)</f>
        <v>26.494299999999999</v>
      </c>
      <c r="Q794" s="10">
        <f>CHOOSE(CONTROL!$C$42, 27.1444, 27.1444) * CHOOSE(CONTROL!$C$21, $C$9, 100%, $E$9)</f>
        <v>27.144400000000001</v>
      </c>
      <c r="R794" s="10">
        <f>CHOOSE(CONTROL!$C$42, 27.7992, 27.7992) * CHOOSE(CONTROL!$C$21, $C$9, 100%, $E$9)</f>
        <v>27.799199999999999</v>
      </c>
      <c r="S794" s="10">
        <f>CHOOSE(CONTROL!$C$42, 25.9681, 25.9681) * CHOOSE(CONTROL!$C$21, $C$9, 100%, $E$9)</f>
        <v>25.9681</v>
      </c>
      <c r="T79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38">
        <f>(1000*CHOOSE(CONTROL!$C$42, 695, 695)*CHOOSE(CONTROL!$C$42, 0.5599, 0.5599)*CHOOSE(CONTROL!$C$42, 28, 28))/1000000</f>
        <v>10.895653999999999</v>
      </c>
      <c r="V794" s="38">
        <f>(1000*CHOOSE(CONTROL!$C$42, 500, 500)*CHOOSE(CONTROL!$C$42, 0.275, 0.275)*CHOOSE(CONTROL!$C$42, 28, 28))/1000000</f>
        <v>3.85</v>
      </c>
      <c r="W794" s="38">
        <f>(1000*CHOOSE(CONTROL!$C$42, 0.1146, 0.1146)*CHOOSE(CONTROL!$C$42, 121.5, 121.5)*CHOOSE(CONTROL!$C$42, 28, 28))/1000000</f>
        <v>0.38986920000000003</v>
      </c>
      <c r="X794" s="38">
        <f>(28*0.1790888*100000/1000000)+(28*0.2374*100000/1000000)</f>
        <v>1.16616864</v>
      </c>
      <c r="Y794" s="38">
        <f>(1000*600*CHOOSE(CONTROL!$C$42, 1.0585, 1.0585)*CHOOSE(CONTROL!$C$42, 28, 28))/1000000</f>
        <v>17.782800000000002</v>
      </c>
      <c r="Z794" s="38"/>
      <c r="AA794" s="10"/>
      <c r="AB794" s="39"/>
      <c r="AC794" s="33">
        <f>(B794*122.58+C794*297.941+D794*89.177+E794*40.302+F794*40+G794*160+H794*0+I794*100+J794*300)/(122.58+297.941+89.177+40.302+0+40+160+100+300)</f>
        <v>26.800940708347827</v>
      </c>
      <c r="AD794" s="27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26.506705755395682</v>
      </c>
    </row>
    <row r="795" spans="1:30" ht="15.75" x14ac:dyDescent="0.25">
      <c r="A795" s="13">
        <v>65470</v>
      </c>
      <c r="B795" s="10">
        <f>CHOOSE(CONTROL!$C$42, 26.0396, 26.0396) * CHOOSE(CONTROL!$C$21, $C$9, 100%, $E$9)</f>
        <v>26.0396</v>
      </c>
      <c r="C795" s="10">
        <f>CHOOSE(CONTROL!$C$42, 26.0447, 26.0447) * CHOOSE(CONTROL!$C$21, $C$9, 100%, $E$9)</f>
        <v>26.044699999999999</v>
      </c>
      <c r="D795" s="10">
        <f>CHOOSE(CONTROL!$C$42, 26.0797, 26.0797) * CHOOSE(CONTROL!$C$21, $C$9, 100%, $E$9)</f>
        <v>26.079699999999999</v>
      </c>
      <c r="E795" s="10">
        <f>CHOOSE(CONTROL!$C$42, 26.1135, 26.1135) * CHOOSE(CONTROL!$C$21, $C$9, 100%, $E$9)</f>
        <v>26.113499999999998</v>
      </c>
      <c r="F795" s="10">
        <f>CHOOSE(CONTROL!$C$42, 26.019, 26.019)*CHOOSE(CONTROL!$C$21, $C$9, 100%, $E$9)</f>
        <v>26.018999999999998</v>
      </c>
      <c r="G795" s="10">
        <f>CHOOSE(CONTROL!$C$42, 26.0374, 26.0374)*CHOOSE(CONTROL!$C$21, $C$9, 100%, $E$9)</f>
        <v>26.037400000000002</v>
      </c>
      <c r="H795" s="10">
        <f>CHOOSE(CONTROL!$C$42, 26.1024, 26.1024) * CHOOSE(CONTROL!$C$21, $C$9, 100%, $E$9)</f>
        <v>26.102399999999999</v>
      </c>
      <c r="I795" s="10">
        <f>CHOOSE(CONTROL!$C$42, 26.0469, 26.0469)* CHOOSE(CONTROL!$C$21, $C$9, 100%, $E$9)</f>
        <v>26.046900000000001</v>
      </c>
      <c r="J795" s="10">
        <f>CHOOSE(CONTROL!$C$42, 26.0116, 26.0116)* CHOOSE(CONTROL!$C$21, $C$9, 100%, $E$9)</f>
        <v>26.011600000000001</v>
      </c>
      <c r="K795" s="10">
        <f>CHOOSE(CONTROL!$C$42, 25.406, 25.406) * CHOOSE(CONTROL!$C$21, $C$9, 100%, $E$9)</f>
        <v>25.405999999999999</v>
      </c>
      <c r="L795" s="10">
        <f>CHOOSE(CONTROL!$C$42, 26.6894, 26.6894) * CHOOSE(CONTROL!$C$21, $C$9, 100%, $E$9)</f>
        <v>26.689399999999999</v>
      </c>
      <c r="M795" s="10">
        <f>CHOOSE(CONTROL!$C$42, 25.7079, 25.7079) * CHOOSE(CONTROL!$C$21, $C$9, 100%, $E$9)</f>
        <v>25.707899999999999</v>
      </c>
      <c r="N795" s="10">
        <f>CHOOSE(CONTROL!$C$42, 25.7261, 25.7261) * CHOOSE(CONTROL!$C$21, $C$9, 100%, $E$9)</f>
        <v>25.726099999999999</v>
      </c>
      <c r="O795" s="10">
        <f>CHOOSE(CONTROL!$C$42, 25.7976, 25.7976) * CHOOSE(CONTROL!$C$21, $C$9, 100%, $E$9)</f>
        <v>25.797599999999999</v>
      </c>
      <c r="P795" s="10">
        <f>CHOOSE(CONTROL!$C$42, 25.7428, 25.7428) * CHOOSE(CONTROL!$C$21, $C$9, 100%, $E$9)</f>
        <v>25.742799999999999</v>
      </c>
      <c r="Q795" s="10">
        <f>CHOOSE(CONTROL!$C$42, 26.3929, 26.3929) * CHOOSE(CONTROL!$C$21, $C$9, 100%, $E$9)</f>
        <v>26.392900000000001</v>
      </c>
      <c r="R795" s="10">
        <f>CHOOSE(CONTROL!$C$42, 27.0458, 27.0458) * CHOOSE(CONTROL!$C$21, $C$9, 100%, $E$9)</f>
        <v>27.0458</v>
      </c>
      <c r="S795" s="10">
        <f>CHOOSE(CONTROL!$C$42, 25.2308, 25.2308) * CHOOSE(CONTROL!$C$21, $C$9, 100%, $E$9)</f>
        <v>25.230799999999999</v>
      </c>
      <c r="T79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38">
        <f>(1000*CHOOSE(CONTROL!$C$42, 695, 695)*CHOOSE(CONTROL!$C$42, 0.5599, 0.5599)*CHOOSE(CONTROL!$C$42, 31, 31))/1000000</f>
        <v>12.063045499999998</v>
      </c>
      <c r="V795" s="38">
        <f>(1000*CHOOSE(CONTROL!$C$42, 500, 500)*CHOOSE(CONTROL!$C$42, 0.275, 0.275)*CHOOSE(CONTROL!$C$42, 31, 31))/1000000</f>
        <v>4.2625000000000002</v>
      </c>
      <c r="W795" s="38">
        <f>(1000*CHOOSE(CONTROL!$C$42, 0.1146, 0.1146)*CHOOSE(CONTROL!$C$42, 121.5, 121.5)*CHOOSE(CONTROL!$C$42, 31, 31))/1000000</f>
        <v>0.43164089999999994</v>
      </c>
      <c r="X795" s="38">
        <f>(31*0.1790888*100000/1000000)+(31*0.2374*100000/1000000)</f>
        <v>1.2911152800000001</v>
      </c>
      <c r="Y795" s="38">
        <f>(1000*600*CHOOSE(CONTROL!$C$42, 1.0585, 1.0585)*CHOOSE(CONTROL!$C$42, 31, 31))/1000000</f>
        <v>19.688099999999999</v>
      </c>
      <c r="Z795" s="38"/>
      <c r="AA795" s="10"/>
      <c r="AB795" s="39"/>
      <c r="AC795" s="33">
        <f>(B795*122.58+C795*297.941+D795*89.177+E795*40.302+F795*40+G795*160+H795*0+I795*100+J795*300)/(122.58+297.941+89.177+40.302+0+40+160+100+300)</f>
        <v>26.038928534434778</v>
      </c>
      <c r="AD795" s="27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25.754624460431653</v>
      </c>
    </row>
    <row r="796" spans="1:30" ht="15.75" x14ac:dyDescent="0.25">
      <c r="A796" s="13">
        <v>65500</v>
      </c>
      <c r="B796" s="10">
        <f>CHOOSE(CONTROL!$C$42, 25.9624, 25.9624) * CHOOSE(CONTROL!$C$21, $C$9, 100%, $E$9)</f>
        <v>25.962399999999999</v>
      </c>
      <c r="C796" s="10">
        <f>CHOOSE(CONTROL!$C$42, 25.9669, 25.9669) * CHOOSE(CONTROL!$C$21, $C$9, 100%, $E$9)</f>
        <v>25.966899999999999</v>
      </c>
      <c r="D796" s="10">
        <f>CHOOSE(CONTROL!$C$42, 26.1451, 26.1451) * CHOOSE(CONTROL!$C$21, $C$9, 100%, $E$9)</f>
        <v>26.145099999999999</v>
      </c>
      <c r="E796" s="10">
        <f>CHOOSE(CONTROL!$C$42, 26.177, 26.177) * CHOOSE(CONTROL!$C$21, $C$9, 100%, $E$9)</f>
        <v>26.177</v>
      </c>
      <c r="F796" s="10">
        <f>CHOOSE(CONTROL!$C$42, 25.9058, 25.9058)*CHOOSE(CONTROL!$C$21, $C$9, 100%, $E$9)</f>
        <v>25.905799999999999</v>
      </c>
      <c r="G796" s="10">
        <f>CHOOSE(CONTROL!$C$42, 25.9224, 25.9224)*CHOOSE(CONTROL!$C$21, $C$9, 100%, $E$9)</f>
        <v>25.9224</v>
      </c>
      <c r="H796" s="10">
        <f>CHOOSE(CONTROL!$C$42, 26.1664, 26.1664) * CHOOSE(CONTROL!$C$21, $C$9, 100%, $E$9)</f>
        <v>26.166399999999999</v>
      </c>
      <c r="I796" s="10">
        <f>CHOOSE(CONTROL!$C$42, 25.9384, 25.9384)* CHOOSE(CONTROL!$C$21, $C$9, 100%, $E$9)</f>
        <v>25.938400000000001</v>
      </c>
      <c r="J796" s="10">
        <f>CHOOSE(CONTROL!$C$42, 25.8984, 25.8984)* CHOOSE(CONTROL!$C$21, $C$9, 100%, $E$9)</f>
        <v>25.898399999999999</v>
      </c>
      <c r="K796" s="10">
        <f>CHOOSE(CONTROL!$C$42, 25.2862, 25.2862) * CHOOSE(CONTROL!$C$21, $C$9, 100%, $E$9)</f>
        <v>25.286200000000001</v>
      </c>
      <c r="L796" s="10">
        <f>CHOOSE(CONTROL!$C$42, 26.7534, 26.7534) * CHOOSE(CONTROL!$C$21, $C$9, 100%, $E$9)</f>
        <v>26.753399999999999</v>
      </c>
      <c r="M796" s="10">
        <f>CHOOSE(CONTROL!$C$42, 25.5962, 25.5962) * CHOOSE(CONTROL!$C$21, $C$9, 100%, $E$9)</f>
        <v>25.5962</v>
      </c>
      <c r="N796" s="10">
        <f>CHOOSE(CONTROL!$C$42, 25.6126, 25.6126) * CHOOSE(CONTROL!$C$21, $C$9, 100%, $E$9)</f>
        <v>25.6126</v>
      </c>
      <c r="O796" s="10">
        <f>CHOOSE(CONTROL!$C$42, 25.8607, 25.8607) * CHOOSE(CONTROL!$C$21, $C$9, 100%, $E$9)</f>
        <v>25.860700000000001</v>
      </c>
      <c r="P796" s="10">
        <f>CHOOSE(CONTROL!$C$42, 25.6357, 25.6357) * CHOOSE(CONTROL!$C$21, $C$9, 100%, $E$9)</f>
        <v>25.6357</v>
      </c>
      <c r="Q796" s="10">
        <f>CHOOSE(CONTROL!$C$42, 26.456, 26.456) * CHOOSE(CONTROL!$C$21, $C$9, 100%, $E$9)</f>
        <v>26.456</v>
      </c>
      <c r="R796" s="10">
        <f>CHOOSE(CONTROL!$C$42, 27.1092, 27.1092) * CHOOSE(CONTROL!$C$21, $C$9, 100%, $E$9)</f>
        <v>27.109200000000001</v>
      </c>
      <c r="S796" s="10">
        <f>CHOOSE(CONTROL!$C$42, 25.1553, 25.1553) * CHOOSE(CONTROL!$C$21, $C$9, 100%, $E$9)</f>
        <v>25.1553</v>
      </c>
      <c r="T79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38">
        <f>(1000*CHOOSE(CONTROL!$C$42, 695, 695)*CHOOSE(CONTROL!$C$42, 0.5599, 0.5599)*CHOOSE(CONTROL!$C$42, 30, 30))/1000000</f>
        <v>11.673914999999997</v>
      </c>
      <c r="V796" s="38">
        <f>(1000*CHOOSE(CONTROL!$C$42, 500, 500)*CHOOSE(CONTROL!$C$42, 0.275, 0.275)*CHOOSE(CONTROL!$C$42, 30, 30))/1000000</f>
        <v>4.125</v>
      </c>
      <c r="W796" s="38">
        <f>(1000*CHOOSE(CONTROL!$C$42, 0.1146, 0.1146)*CHOOSE(CONTROL!$C$42, 121.5, 121.5)*CHOOSE(CONTROL!$C$42, 30, 30))/1000000</f>
        <v>0.417717</v>
      </c>
      <c r="X796" s="38">
        <f>(30*0.1790888*245000/1000000)+(30*0.2374*100000/1000000)</f>
        <v>2.0285026799999999</v>
      </c>
      <c r="Y796" s="38">
        <f>(1000*600*CHOOSE(CONTROL!$C$42, 1.0585, 1.0585)*CHOOSE(CONTROL!$C$42, 30, 30))/1000000</f>
        <v>19.053000000000001</v>
      </c>
      <c r="Z796" s="38"/>
      <c r="AA796" s="10"/>
      <c r="AB796" s="39"/>
      <c r="AC796" s="33">
        <f>(B796*141.293+C796*267.993+D796*115.016+E796*89.698+F796*40+G796*185+H796*0+I796*100+J796*300)/(141.293+267.993+115.016+89.698+0+40+185+100+300)</f>
        <v>25.970636144067797</v>
      </c>
      <c r="AD796" s="27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25.722708633093529</v>
      </c>
    </row>
    <row r="797" spans="1:30" ht="15.75" x14ac:dyDescent="0.25">
      <c r="A797" s="13">
        <v>65531</v>
      </c>
      <c r="B797" s="10">
        <f>CHOOSE(CONTROL!$C$42, 26.1934, 26.1934) * CHOOSE(CONTROL!$C$21, $C$9, 100%, $E$9)</f>
        <v>26.1934</v>
      </c>
      <c r="C797" s="10">
        <f>CHOOSE(CONTROL!$C$42, 26.2014, 26.2014) * CHOOSE(CONTROL!$C$21, $C$9, 100%, $E$9)</f>
        <v>26.2014</v>
      </c>
      <c r="D797" s="10">
        <f>CHOOSE(CONTROL!$C$42, 26.3765, 26.3765) * CHOOSE(CONTROL!$C$21, $C$9, 100%, $E$9)</f>
        <v>26.3765</v>
      </c>
      <c r="E797" s="10">
        <f>CHOOSE(CONTROL!$C$42, 26.4078, 26.4078) * CHOOSE(CONTROL!$C$21, $C$9, 100%, $E$9)</f>
        <v>26.407800000000002</v>
      </c>
      <c r="F797" s="10">
        <f>CHOOSE(CONTROL!$C$42, 26.1351, 26.1351)*CHOOSE(CONTROL!$C$21, $C$9, 100%, $E$9)</f>
        <v>26.135100000000001</v>
      </c>
      <c r="G797" s="10">
        <f>CHOOSE(CONTROL!$C$42, 26.152, 26.152)*CHOOSE(CONTROL!$C$21, $C$9, 100%, $E$9)</f>
        <v>26.152000000000001</v>
      </c>
      <c r="H797" s="10">
        <f>CHOOSE(CONTROL!$C$42, 26.3961, 26.3961) * CHOOSE(CONTROL!$C$21, $C$9, 100%, $E$9)</f>
        <v>26.396100000000001</v>
      </c>
      <c r="I797" s="10">
        <f>CHOOSE(CONTROL!$C$42, 26.1681, 26.1681)* CHOOSE(CONTROL!$C$21, $C$9, 100%, $E$9)</f>
        <v>26.168099999999999</v>
      </c>
      <c r="J797" s="10">
        <f>CHOOSE(CONTROL!$C$42, 26.1277, 26.1277)* CHOOSE(CONTROL!$C$21, $C$9, 100%, $E$9)</f>
        <v>26.127700000000001</v>
      </c>
      <c r="K797" s="10">
        <f>CHOOSE(CONTROL!$C$42, 25.5078, 25.5078) * CHOOSE(CONTROL!$C$21, $C$9, 100%, $E$9)</f>
        <v>25.5078</v>
      </c>
      <c r="L797" s="10">
        <f>CHOOSE(CONTROL!$C$42, 26.9831, 26.9831) * CHOOSE(CONTROL!$C$21, $C$9, 100%, $E$9)</f>
        <v>26.9831</v>
      </c>
      <c r="M797" s="10">
        <f>CHOOSE(CONTROL!$C$42, 25.8225, 25.8225) * CHOOSE(CONTROL!$C$21, $C$9, 100%, $E$9)</f>
        <v>25.822500000000002</v>
      </c>
      <c r="N797" s="10">
        <f>CHOOSE(CONTROL!$C$42, 25.8392, 25.8392) * CHOOSE(CONTROL!$C$21, $C$9, 100%, $E$9)</f>
        <v>25.839200000000002</v>
      </c>
      <c r="O797" s="10">
        <f>CHOOSE(CONTROL!$C$42, 26.0874, 26.0874) * CHOOSE(CONTROL!$C$21, $C$9, 100%, $E$9)</f>
        <v>26.087399999999999</v>
      </c>
      <c r="P797" s="10">
        <f>CHOOSE(CONTROL!$C$42, 25.8624, 25.8624) * CHOOSE(CONTROL!$C$21, $C$9, 100%, $E$9)</f>
        <v>25.862400000000001</v>
      </c>
      <c r="Q797" s="10">
        <f>CHOOSE(CONTROL!$C$42, 26.6827, 26.6827) * CHOOSE(CONTROL!$C$21, $C$9, 100%, $E$9)</f>
        <v>26.682700000000001</v>
      </c>
      <c r="R797" s="10">
        <f>CHOOSE(CONTROL!$C$42, 27.3364, 27.3364) * CHOOSE(CONTROL!$C$21, $C$9, 100%, $E$9)</f>
        <v>27.336400000000001</v>
      </c>
      <c r="S797" s="10">
        <f>CHOOSE(CONTROL!$C$42, 25.3777, 25.3777) * CHOOSE(CONTROL!$C$21, $C$9, 100%, $E$9)</f>
        <v>25.377700000000001</v>
      </c>
      <c r="T79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38">
        <f>(1000*CHOOSE(CONTROL!$C$42, 695, 695)*CHOOSE(CONTROL!$C$42, 0.5599, 0.5599)*CHOOSE(CONTROL!$C$42, 31, 31))/1000000</f>
        <v>12.063045499999998</v>
      </c>
      <c r="V797" s="38">
        <f>(1000*CHOOSE(CONTROL!$C$42, 500, 500)*CHOOSE(CONTROL!$C$42, 0.275, 0.275)*CHOOSE(CONTROL!$C$42, 31, 31))/1000000</f>
        <v>4.2625000000000002</v>
      </c>
      <c r="W797" s="38">
        <f>(1000*CHOOSE(CONTROL!$C$42, 0.1146, 0.1146)*CHOOSE(CONTROL!$C$42, 121.5, 121.5)*CHOOSE(CONTROL!$C$42, 31, 31))/1000000</f>
        <v>0.43164089999999994</v>
      </c>
      <c r="X797" s="38">
        <f>(31*0.1790888*245000/1000000)+(31*0.2374*100000/1000000)</f>
        <v>2.0961194359999999</v>
      </c>
      <c r="Y797" s="38">
        <f>(1000*600*CHOOSE(CONTROL!$C$42, 1.0585, 1.0585)*CHOOSE(CONTROL!$C$42, 31, 31))/1000000</f>
        <v>19.688099999999999</v>
      </c>
      <c r="Z797" s="38"/>
      <c r="AA797" s="10"/>
      <c r="AB797" s="39"/>
      <c r="AC797" s="33">
        <f>(B797*194.205+C797*267.466+D797*133.845+E797*53.484+F797*40+G797*185+H797*0+I797*100+J797*300)/(194.205+267.466+133.845+53.484+0+40+185+100+300)</f>
        <v>26.198017517346937</v>
      </c>
      <c r="AD797" s="27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25.94926474820144</v>
      </c>
    </row>
    <row r="798" spans="1:30" ht="15.75" x14ac:dyDescent="0.25">
      <c r="A798" s="13">
        <v>65561</v>
      </c>
      <c r="B798" s="10">
        <f>CHOOSE(CONTROL!$C$42, 26.9368, 26.9368) * CHOOSE(CONTROL!$C$21, $C$9, 100%, $E$9)</f>
        <v>26.936800000000002</v>
      </c>
      <c r="C798" s="10">
        <f>CHOOSE(CONTROL!$C$42, 26.9448, 26.9448) * CHOOSE(CONTROL!$C$21, $C$9, 100%, $E$9)</f>
        <v>26.944800000000001</v>
      </c>
      <c r="D798" s="10">
        <f>CHOOSE(CONTROL!$C$42, 27.1199, 27.1199) * CHOOSE(CONTROL!$C$21, $C$9, 100%, $E$9)</f>
        <v>27.119900000000001</v>
      </c>
      <c r="E798" s="10">
        <f>CHOOSE(CONTROL!$C$42, 27.1512, 27.1512) * CHOOSE(CONTROL!$C$21, $C$9, 100%, $E$9)</f>
        <v>27.151199999999999</v>
      </c>
      <c r="F798" s="10">
        <f>CHOOSE(CONTROL!$C$42, 26.8787, 26.8787)*CHOOSE(CONTROL!$C$21, $C$9, 100%, $E$9)</f>
        <v>26.878699999999998</v>
      </c>
      <c r="G798" s="10">
        <f>CHOOSE(CONTROL!$C$42, 26.8956, 26.8956)*CHOOSE(CONTROL!$C$21, $C$9, 100%, $E$9)</f>
        <v>26.895600000000002</v>
      </c>
      <c r="H798" s="10">
        <f>CHOOSE(CONTROL!$C$42, 27.1395, 27.1395) * CHOOSE(CONTROL!$C$21, $C$9, 100%, $E$9)</f>
        <v>27.139500000000002</v>
      </c>
      <c r="I798" s="10">
        <f>CHOOSE(CONTROL!$C$42, 26.9115, 26.9115)* CHOOSE(CONTROL!$C$21, $C$9, 100%, $E$9)</f>
        <v>26.9115</v>
      </c>
      <c r="J798" s="10">
        <f>CHOOSE(CONTROL!$C$42, 26.8713, 26.8713)* CHOOSE(CONTROL!$C$21, $C$9, 100%, $E$9)</f>
        <v>26.871300000000002</v>
      </c>
      <c r="K798" s="10">
        <f>CHOOSE(CONTROL!$C$42, 26.2284, 26.2284) * CHOOSE(CONTROL!$C$21, $C$9, 100%, $E$9)</f>
        <v>26.228400000000001</v>
      </c>
      <c r="L798" s="10">
        <f>CHOOSE(CONTROL!$C$42, 27.7265, 27.7265) * CHOOSE(CONTROL!$C$21, $C$9, 100%, $E$9)</f>
        <v>27.726500000000001</v>
      </c>
      <c r="M798" s="10">
        <f>CHOOSE(CONTROL!$C$42, 26.5565, 26.5565) * CHOOSE(CONTROL!$C$21, $C$9, 100%, $E$9)</f>
        <v>26.5565</v>
      </c>
      <c r="N798" s="10">
        <f>CHOOSE(CONTROL!$C$42, 26.5732, 26.5732) * CHOOSE(CONTROL!$C$21, $C$9, 100%, $E$9)</f>
        <v>26.5732</v>
      </c>
      <c r="O798" s="10">
        <f>CHOOSE(CONTROL!$C$42, 26.8212, 26.8212) * CHOOSE(CONTROL!$C$21, $C$9, 100%, $E$9)</f>
        <v>26.821200000000001</v>
      </c>
      <c r="P798" s="10">
        <f>CHOOSE(CONTROL!$C$42, 26.5962, 26.5962) * CHOOSE(CONTROL!$C$21, $C$9, 100%, $E$9)</f>
        <v>26.5962</v>
      </c>
      <c r="Q798" s="10">
        <f>CHOOSE(CONTROL!$C$42, 27.4165, 27.4165) * CHOOSE(CONTROL!$C$21, $C$9, 100%, $E$9)</f>
        <v>27.416499999999999</v>
      </c>
      <c r="R798" s="10">
        <f>CHOOSE(CONTROL!$C$42, 28.072, 28.072) * CHOOSE(CONTROL!$C$21, $C$9, 100%, $E$9)</f>
        <v>28.071999999999999</v>
      </c>
      <c r="S798" s="10">
        <f>CHOOSE(CONTROL!$C$42, 26.0975, 26.0975) * CHOOSE(CONTROL!$C$21, $C$9, 100%, $E$9)</f>
        <v>26.0975</v>
      </c>
      <c r="T79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38">
        <f>(1000*CHOOSE(CONTROL!$C$42, 695, 695)*CHOOSE(CONTROL!$C$42, 0.5599, 0.5599)*CHOOSE(CONTROL!$C$42, 30, 30))/1000000</f>
        <v>11.673914999999997</v>
      </c>
      <c r="V798" s="38">
        <f>(1000*CHOOSE(CONTROL!$C$42, 500, 500)*CHOOSE(CONTROL!$C$42, 0.275, 0.275)*CHOOSE(CONTROL!$C$42, 30, 30))/1000000</f>
        <v>4.125</v>
      </c>
      <c r="W798" s="38">
        <f>(1000*CHOOSE(CONTROL!$C$42, 0.1146, 0.1146)*CHOOSE(CONTROL!$C$42, 121.5, 121.5)*CHOOSE(CONTROL!$C$42, 30, 30))/1000000</f>
        <v>0.417717</v>
      </c>
      <c r="X798" s="38">
        <f>(30*0.1790888*245000/1000000)+(30*0.2374*100000/1000000)</f>
        <v>2.0285026799999999</v>
      </c>
      <c r="Y798" s="38">
        <f>(1000*600*CHOOSE(CONTROL!$C$42, 1.0585, 1.0585)*CHOOSE(CONTROL!$C$42, 30, 30))/1000000</f>
        <v>19.053000000000001</v>
      </c>
      <c r="Z798" s="38"/>
      <c r="AA798" s="10"/>
      <c r="AB798" s="39"/>
      <c r="AC798" s="33">
        <f>(B798*194.205+C798*267.466+D798*133.845+E798*53.484+F798*40+G798*185+H798*0+I798*100+J798*300)/(194.205+267.466+133.845+53.484+0+40+185+100+300)</f>
        <v>26.941499934929361</v>
      </c>
      <c r="AD798" s="27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26.683145323741009</v>
      </c>
    </row>
    <row r="799" spans="1:30" ht="15.75" x14ac:dyDescent="0.25">
      <c r="A799" s="13">
        <v>65592</v>
      </c>
      <c r="B799" s="10">
        <f>CHOOSE(CONTROL!$C$42, 26.4198, 26.4198) * CHOOSE(CONTROL!$C$21, $C$9, 100%, $E$9)</f>
        <v>26.419799999999999</v>
      </c>
      <c r="C799" s="10">
        <f>CHOOSE(CONTROL!$C$42, 26.4278, 26.4278) * CHOOSE(CONTROL!$C$21, $C$9, 100%, $E$9)</f>
        <v>26.427800000000001</v>
      </c>
      <c r="D799" s="10">
        <f>CHOOSE(CONTROL!$C$42, 26.6029, 26.6029) * CHOOSE(CONTROL!$C$21, $C$9, 100%, $E$9)</f>
        <v>26.602900000000002</v>
      </c>
      <c r="E799" s="10">
        <f>CHOOSE(CONTROL!$C$42, 26.6341, 26.6341) * CHOOSE(CONTROL!$C$21, $C$9, 100%, $E$9)</f>
        <v>26.6341</v>
      </c>
      <c r="F799" s="10">
        <f>CHOOSE(CONTROL!$C$42, 26.362, 26.362)*CHOOSE(CONTROL!$C$21, $C$9, 100%, $E$9)</f>
        <v>26.361999999999998</v>
      </c>
      <c r="G799" s="10">
        <f>CHOOSE(CONTROL!$C$42, 26.379, 26.379)*CHOOSE(CONTROL!$C$21, $C$9, 100%, $E$9)</f>
        <v>26.379000000000001</v>
      </c>
      <c r="H799" s="10">
        <f>CHOOSE(CONTROL!$C$42, 26.6225, 26.6225) * CHOOSE(CONTROL!$C$21, $C$9, 100%, $E$9)</f>
        <v>26.622499999999999</v>
      </c>
      <c r="I799" s="10">
        <f>CHOOSE(CONTROL!$C$42, 26.3944, 26.3944)* CHOOSE(CONTROL!$C$21, $C$9, 100%, $E$9)</f>
        <v>26.394400000000001</v>
      </c>
      <c r="J799" s="10">
        <f>CHOOSE(CONTROL!$C$42, 26.3546, 26.3546)* CHOOSE(CONTROL!$C$21, $C$9, 100%, $E$9)</f>
        <v>26.354600000000001</v>
      </c>
      <c r="K799" s="10">
        <f>CHOOSE(CONTROL!$C$42, 25.7283, 25.7283) * CHOOSE(CONTROL!$C$21, $C$9, 100%, $E$9)</f>
        <v>25.728300000000001</v>
      </c>
      <c r="L799" s="10">
        <f>CHOOSE(CONTROL!$C$42, 27.2095, 27.2095) * CHOOSE(CONTROL!$C$21, $C$9, 100%, $E$9)</f>
        <v>27.209499999999998</v>
      </c>
      <c r="M799" s="10">
        <f>CHOOSE(CONTROL!$C$42, 26.0465, 26.0465) * CHOOSE(CONTROL!$C$21, $C$9, 100%, $E$9)</f>
        <v>26.046500000000002</v>
      </c>
      <c r="N799" s="10">
        <f>CHOOSE(CONTROL!$C$42, 26.0633, 26.0633) * CHOOSE(CONTROL!$C$21, $C$9, 100%, $E$9)</f>
        <v>26.063300000000002</v>
      </c>
      <c r="O799" s="10">
        <f>CHOOSE(CONTROL!$C$42, 26.3109, 26.3109) * CHOOSE(CONTROL!$C$21, $C$9, 100%, $E$9)</f>
        <v>26.3109</v>
      </c>
      <c r="P799" s="10">
        <f>CHOOSE(CONTROL!$C$42, 26.0858, 26.0858) * CHOOSE(CONTROL!$C$21, $C$9, 100%, $E$9)</f>
        <v>26.085799999999999</v>
      </c>
      <c r="Q799" s="10">
        <f>CHOOSE(CONTROL!$C$42, 26.9062, 26.9062) * CHOOSE(CONTROL!$C$21, $C$9, 100%, $E$9)</f>
        <v>26.906199999999998</v>
      </c>
      <c r="R799" s="10">
        <f>CHOOSE(CONTROL!$C$42, 27.5604, 27.5604) * CHOOSE(CONTROL!$C$21, $C$9, 100%, $E$9)</f>
        <v>27.560400000000001</v>
      </c>
      <c r="S799" s="10">
        <f>CHOOSE(CONTROL!$C$42, 25.5969, 25.5969) * CHOOSE(CONTROL!$C$21, $C$9, 100%, $E$9)</f>
        <v>25.596900000000002</v>
      </c>
      <c r="T79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38">
        <f>(1000*CHOOSE(CONTROL!$C$42, 695, 695)*CHOOSE(CONTROL!$C$42, 0.5599, 0.5599)*CHOOSE(CONTROL!$C$42, 31, 31))/1000000</f>
        <v>12.063045499999998</v>
      </c>
      <c r="V799" s="38">
        <f>(1000*CHOOSE(CONTROL!$C$42, 500, 500)*CHOOSE(CONTROL!$C$42, 0.275, 0.275)*CHOOSE(CONTROL!$C$42, 31, 31))/1000000</f>
        <v>4.2625000000000002</v>
      </c>
      <c r="W799" s="38">
        <f>(1000*CHOOSE(CONTROL!$C$42, 0.1146, 0.1146)*CHOOSE(CONTROL!$C$42, 121.5, 121.5)*CHOOSE(CONTROL!$C$42, 31, 31))/1000000</f>
        <v>0.43164089999999994</v>
      </c>
      <c r="X799" s="38">
        <f>(31*0.1790888*245000/1000000)+(31*0.2374*100000/1000000)</f>
        <v>2.0961194359999999</v>
      </c>
      <c r="Y799" s="38">
        <f>(1000*600*CHOOSE(CONTROL!$C$42, 1.0585, 1.0585)*CHOOSE(CONTROL!$C$42, 31, 31))/1000000</f>
        <v>19.688099999999999</v>
      </c>
      <c r="Z799" s="38"/>
      <c r="AA799" s="10"/>
      <c r="AB799" s="39"/>
      <c r="AC799" s="33">
        <f>(B799*194.205+C799*267.466+D799*133.845+E799*53.484+F799*40+G799*185+H799*0+I799*100+J799*300)/(194.205+267.466+133.845+53.484+0+40+185+100+300)</f>
        <v>26.424626035086341</v>
      </c>
      <c r="AD799" s="27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26.172957553956834</v>
      </c>
    </row>
    <row r="800" spans="1:30" ht="15.75" x14ac:dyDescent="0.25">
      <c r="A800" s="13">
        <v>65623</v>
      </c>
      <c r="B800" s="10">
        <f>CHOOSE(CONTROL!$C$42, 25.1141, 25.1141) * CHOOSE(CONTROL!$C$21, $C$9, 100%, $E$9)</f>
        <v>25.114100000000001</v>
      </c>
      <c r="C800" s="10">
        <f>CHOOSE(CONTROL!$C$42, 25.1221, 25.1221) * CHOOSE(CONTROL!$C$21, $C$9, 100%, $E$9)</f>
        <v>25.1221</v>
      </c>
      <c r="D800" s="10">
        <f>CHOOSE(CONTROL!$C$42, 25.2972, 25.2972) * CHOOSE(CONTROL!$C$21, $C$9, 100%, $E$9)</f>
        <v>25.2972</v>
      </c>
      <c r="E800" s="10">
        <f>CHOOSE(CONTROL!$C$42, 25.3284, 25.3284) * CHOOSE(CONTROL!$C$21, $C$9, 100%, $E$9)</f>
        <v>25.328399999999998</v>
      </c>
      <c r="F800" s="10">
        <f>CHOOSE(CONTROL!$C$42, 25.0562, 25.0562)*CHOOSE(CONTROL!$C$21, $C$9, 100%, $E$9)</f>
        <v>25.0562</v>
      </c>
      <c r="G800" s="10">
        <f>CHOOSE(CONTROL!$C$42, 25.0732, 25.0732)*CHOOSE(CONTROL!$C$21, $C$9, 100%, $E$9)</f>
        <v>25.0732</v>
      </c>
      <c r="H800" s="10">
        <f>CHOOSE(CONTROL!$C$42, 25.3168, 25.3168) * CHOOSE(CONTROL!$C$21, $C$9, 100%, $E$9)</f>
        <v>25.316800000000001</v>
      </c>
      <c r="I800" s="10">
        <f>CHOOSE(CONTROL!$C$42, 25.0887, 25.0887)* CHOOSE(CONTROL!$C$21, $C$9, 100%, $E$9)</f>
        <v>25.088699999999999</v>
      </c>
      <c r="J800" s="10">
        <f>CHOOSE(CONTROL!$C$42, 25.0488, 25.0488)* CHOOSE(CONTROL!$C$21, $C$9, 100%, $E$9)</f>
        <v>25.0488</v>
      </c>
      <c r="K800" s="10">
        <f>CHOOSE(CONTROL!$C$42, 24.4631, 24.4631) * CHOOSE(CONTROL!$C$21, $C$9, 100%, $E$9)</f>
        <v>24.463100000000001</v>
      </c>
      <c r="L800" s="10">
        <f>CHOOSE(CONTROL!$C$42, 25.9038, 25.9038) * CHOOSE(CONTROL!$C$21, $C$9, 100%, $E$9)</f>
        <v>25.9038</v>
      </c>
      <c r="M800" s="10">
        <f>CHOOSE(CONTROL!$C$42, 24.7576, 24.7576) * CHOOSE(CONTROL!$C$21, $C$9, 100%, $E$9)</f>
        <v>24.7576</v>
      </c>
      <c r="N800" s="10">
        <f>CHOOSE(CONTROL!$C$42, 24.7744, 24.7744) * CHOOSE(CONTROL!$C$21, $C$9, 100%, $E$9)</f>
        <v>24.7744</v>
      </c>
      <c r="O800" s="10">
        <f>CHOOSE(CONTROL!$C$42, 25.0221, 25.0221) * CHOOSE(CONTROL!$C$21, $C$9, 100%, $E$9)</f>
        <v>25.022099999999998</v>
      </c>
      <c r="P800" s="10">
        <f>CHOOSE(CONTROL!$C$42, 24.797, 24.797) * CHOOSE(CONTROL!$C$21, $C$9, 100%, $E$9)</f>
        <v>24.797000000000001</v>
      </c>
      <c r="Q800" s="10">
        <f>CHOOSE(CONTROL!$C$42, 25.6174, 25.6174) * CHOOSE(CONTROL!$C$21, $C$9, 100%, $E$9)</f>
        <v>25.6174</v>
      </c>
      <c r="R800" s="10">
        <f>CHOOSE(CONTROL!$C$42, 26.2684, 26.2684) * CHOOSE(CONTROL!$C$21, $C$9, 100%, $E$9)</f>
        <v>26.2684</v>
      </c>
      <c r="S800" s="10">
        <f>CHOOSE(CONTROL!$C$42, 24.3326, 24.3326) * CHOOSE(CONTROL!$C$21, $C$9, 100%, $E$9)</f>
        <v>24.332599999999999</v>
      </c>
      <c r="T80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38">
        <f>(1000*CHOOSE(CONTROL!$C$42, 695, 695)*CHOOSE(CONTROL!$C$42, 0.5599, 0.5599)*CHOOSE(CONTROL!$C$42, 31, 31))/1000000</f>
        <v>12.063045499999998</v>
      </c>
      <c r="V800" s="38">
        <f>(1000*CHOOSE(CONTROL!$C$42, 500, 500)*CHOOSE(CONTROL!$C$42, 0.275, 0.275)*CHOOSE(CONTROL!$C$42, 31, 31))/1000000</f>
        <v>4.2625000000000002</v>
      </c>
      <c r="W800" s="38">
        <f>(1000*CHOOSE(CONTROL!$C$42, 0.1146, 0.1146)*CHOOSE(CONTROL!$C$42, 121.5, 121.5)*CHOOSE(CONTROL!$C$42, 31, 31))/1000000</f>
        <v>0.43164089999999994</v>
      </c>
      <c r="X800" s="38">
        <f>(31*0.1790888*245000/1000000)+(31*0.2374*100000/1000000)</f>
        <v>2.0961194359999999</v>
      </c>
      <c r="Y800" s="38">
        <f>(1000*600*CHOOSE(CONTROL!$C$42, 1.0585, 1.0585)*CHOOSE(CONTROL!$C$42, 31, 31))/1000000</f>
        <v>19.688099999999999</v>
      </c>
      <c r="Z800" s="38"/>
      <c r="AA800" s="10"/>
      <c r="AB800" s="39"/>
      <c r="AC800" s="33">
        <f>(B800*194.205+C800*267.466+D800*133.845+E800*53.484+F800*40+G800*185+H800*0+I800*100+J800*300)/(194.205+267.466+133.845+53.484+0+40+185+100+300)</f>
        <v>25.118884826295133</v>
      </c>
      <c r="AD800" s="27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24.884117266187047</v>
      </c>
    </row>
    <row r="801" spans="1:30" ht="15.75" x14ac:dyDescent="0.25">
      <c r="A801" s="13">
        <v>65653</v>
      </c>
      <c r="B801" s="10">
        <f>CHOOSE(CONTROL!$C$42, 23.5188, 23.5188) * CHOOSE(CONTROL!$C$21, $C$9, 100%, $E$9)</f>
        <v>23.518799999999999</v>
      </c>
      <c r="C801" s="10">
        <f>CHOOSE(CONTROL!$C$42, 23.5268, 23.5268) * CHOOSE(CONTROL!$C$21, $C$9, 100%, $E$9)</f>
        <v>23.526800000000001</v>
      </c>
      <c r="D801" s="10">
        <f>CHOOSE(CONTROL!$C$42, 23.7019, 23.7019) * CHOOSE(CONTROL!$C$21, $C$9, 100%, $E$9)</f>
        <v>23.701899999999998</v>
      </c>
      <c r="E801" s="10">
        <f>CHOOSE(CONTROL!$C$42, 23.7331, 23.7331) * CHOOSE(CONTROL!$C$21, $C$9, 100%, $E$9)</f>
        <v>23.7331</v>
      </c>
      <c r="F801" s="10">
        <f>CHOOSE(CONTROL!$C$42, 23.4606, 23.4606)*CHOOSE(CONTROL!$C$21, $C$9, 100%, $E$9)</f>
        <v>23.460599999999999</v>
      </c>
      <c r="G801" s="10">
        <f>CHOOSE(CONTROL!$C$42, 23.4775, 23.4775)*CHOOSE(CONTROL!$C$21, $C$9, 100%, $E$9)</f>
        <v>23.477499999999999</v>
      </c>
      <c r="H801" s="10">
        <f>CHOOSE(CONTROL!$C$42, 23.7214, 23.7214) * CHOOSE(CONTROL!$C$21, $C$9, 100%, $E$9)</f>
        <v>23.721399999999999</v>
      </c>
      <c r="I801" s="10">
        <f>CHOOSE(CONTROL!$C$42, 23.4934, 23.4934)* CHOOSE(CONTROL!$C$21, $C$9, 100%, $E$9)</f>
        <v>23.493400000000001</v>
      </c>
      <c r="J801" s="10">
        <f>CHOOSE(CONTROL!$C$42, 23.4532, 23.4532)* CHOOSE(CONTROL!$C$21, $C$9, 100%, $E$9)</f>
        <v>23.453199999999999</v>
      </c>
      <c r="K801" s="10">
        <f>CHOOSE(CONTROL!$C$42, 22.9169, 22.9169) * CHOOSE(CONTROL!$C$21, $C$9, 100%, $E$9)</f>
        <v>22.916899999999998</v>
      </c>
      <c r="L801" s="10">
        <f>CHOOSE(CONTROL!$C$42, 24.3084, 24.3084) * CHOOSE(CONTROL!$C$21, $C$9, 100%, $E$9)</f>
        <v>24.308399999999999</v>
      </c>
      <c r="M801" s="10">
        <f>CHOOSE(CONTROL!$C$42, 23.1826, 23.1826) * CHOOSE(CONTROL!$C$21, $C$9, 100%, $E$9)</f>
        <v>23.182600000000001</v>
      </c>
      <c r="N801" s="10">
        <f>CHOOSE(CONTROL!$C$42, 23.1993, 23.1993) * CHOOSE(CONTROL!$C$21, $C$9, 100%, $E$9)</f>
        <v>23.199300000000001</v>
      </c>
      <c r="O801" s="10">
        <f>CHOOSE(CONTROL!$C$42, 23.4474, 23.4474) * CHOOSE(CONTROL!$C$21, $C$9, 100%, $E$9)</f>
        <v>23.447399999999998</v>
      </c>
      <c r="P801" s="10">
        <f>CHOOSE(CONTROL!$C$42, 23.2224, 23.2224) * CHOOSE(CONTROL!$C$21, $C$9, 100%, $E$9)</f>
        <v>23.2224</v>
      </c>
      <c r="Q801" s="10">
        <f>CHOOSE(CONTROL!$C$42, 24.0427, 24.0427) * CHOOSE(CONTROL!$C$21, $C$9, 100%, $E$9)</f>
        <v>24.0427</v>
      </c>
      <c r="R801" s="10">
        <f>CHOOSE(CONTROL!$C$42, 24.6898, 24.6898) * CHOOSE(CONTROL!$C$21, $C$9, 100%, $E$9)</f>
        <v>24.689800000000002</v>
      </c>
      <c r="S801" s="10">
        <f>CHOOSE(CONTROL!$C$42, 22.7878, 22.7878) * CHOOSE(CONTROL!$C$21, $C$9, 100%, $E$9)</f>
        <v>22.787800000000001</v>
      </c>
      <c r="T80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38">
        <f>(1000*CHOOSE(CONTROL!$C$42, 695, 695)*CHOOSE(CONTROL!$C$42, 0.5599, 0.5599)*CHOOSE(CONTROL!$C$42, 30, 30))/1000000</f>
        <v>11.673914999999997</v>
      </c>
      <c r="V801" s="38">
        <f>(1000*CHOOSE(CONTROL!$C$42, 500, 500)*CHOOSE(CONTROL!$C$42, 0.275, 0.275)*CHOOSE(CONTROL!$C$42, 30, 30))/1000000</f>
        <v>4.125</v>
      </c>
      <c r="W801" s="38">
        <f>(1000*CHOOSE(CONTROL!$C$42, 0.1146, 0.1146)*CHOOSE(CONTROL!$C$42, 121.5, 121.5)*CHOOSE(CONTROL!$C$42, 30, 30))/1000000</f>
        <v>0.417717</v>
      </c>
      <c r="X801" s="38">
        <f>(30*0.1790888*245000/1000000)+(30*0.2374*100000/1000000)</f>
        <v>2.0285026799999999</v>
      </c>
      <c r="Y801" s="38">
        <f>(1000*600*CHOOSE(CONTROL!$C$42, 1.0585, 1.0585)*CHOOSE(CONTROL!$C$42, 30, 30))/1000000</f>
        <v>19.053000000000001</v>
      </c>
      <c r="Z801" s="38"/>
      <c r="AA801" s="10"/>
      <c r="AB801" s="39"/>
      <c r="AC801" s="33">
        <f>(B801*194.205+C801*267.466+D801*133.845+E801*53.484+F801*40+G801*185+H801*0+I801*100+J801*300)/(194.205+267.466+133.845+53.484+0+40+185+100+300)</f>
        <v>23.523446678728416</v>
      </c>
      <c r="AD801" s="27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23.309305035971221</v>
      </c>
    </row>
    <row r="802" spans="1:30" ht="15.75" x14ac:dyDescent="0.25">
      <c r="A802" s="13">
        <v>65684</v>
      </c>
      <c r="B802" s="10">
        <f>CHOOSE(CONTROL!$C$42, 23.0388, 23.0388) * CHOOSE(CONTROL!$C$21, $C$9, 100%, $E$9)</f>
        <v>23.038799999999998</v>
      </c>
      <c r="C802" s="10">
        <f>CHOOSE(CONTROL!$C$42, 23.0442, 23.0442) * CHOOSE(CONTROL!$C$21, $C$9, 100%, $E$9)</f>
        <v>23.0442</v>
      </c>
      <c r="D802" s="10">
        <f>CHOOSE(CONTROL!$C$42, 23.2242, 23.2242) * CHOOSE(CONTROL!$C$21, $C$9, 100%, $E$9)</f>
        <v>23.2242</v>
      </c>
      <c r="E802" s="10">
        <f>CHOOSE(CONTROL!$C$42, 23.2531, 23.2531) * CHOOSE(CONTROL!$C$21, $C$9, 100%, $E$9)</f>
        <v>23.2531</v>
      </c>
      <c r="F802" s="10">
        <f>CHOOSE(CONTROL!$C$42, 22.9826, 22.9826)*CHOOSE(CONTROL!$C$21, $C$9, 100%, $E$9)</f>
        <v>22.982600000000001</v>
      </c>
      <c r="G802" s="10">
        <f>CHOOSE(CONTROL!$C$42, 22.9992, 22.9992)*CHOOSE(CONTROL!$C$21, $C$9, 100%, $E$9)</f>
        <v>22.999199999999998</v>
      </c>
      <c r="H802" s="10">
        <f>CHOOSE(CONTROL!$C$42, 23.2432, 23.2432) * CHOOSE(CONTROL!$C$21, $C$9, 100%, $E$9)</f>
        <v>23.243200000000002</v>
      </c>
      <c r="I802" s="10">
        <f>CHOOSE(CONTROL!$C$42, 23.0152, 23.0152)* CHOOSE(CONTROL!$C$21, $C$9, 100%, $E$9)</f>
        <v>23.0152</v>
      </c>
      <c r="J802" s="10">
        <f>CHOOSE(CONTROL!$C$42, 22.9752, 22.9752)* CHOOSE(CONTROL!$C$21, $C$9, 100%, $E$9)</f>
        <v>22.975200000000001</v>
      </c>
      <c r="K802" s="10">
        <f>CHOOSE(CONTROL!$C$42, 22.4542, 22.4542) * CHOOSE(CONTROL!$C$21, $C$9, 100%, $E$9)</f>
        <v>22.4542</v>
      </c>
      <c r="L802" s="10">
        <f>CHOOSE(CONTROL!$C$42, 23.8302, 23.8302) * CHOOSE(CONTROL!$C$21, $C$9, 100%, $E$9)</f>
        <v>23.830200000000001</v>
      </c>
      <c r="M802" s="10">
        <f>CHOOSE(CONTROL!$C$42, 22.7108, 22.7108) * CHOOSE(CONTROL!$C$21, $C$9, 100%, $E$9)</f>
        <v>22.710799999999999</v>
      </c>
      <c r="N802" s="10">
        <f>CHOOSE(CONTROL!$C$42, 22.7272, 22.7272) * CHOOSE(CONTROL!$C$21, $C$9, 100%, $E$9)</f>
        <v>22.7272</v>
      </c>
      <c r="O802" s="10">
        <f>CHOOSE(CONTROL!$C$42, 22.9754, 22.9754) * CHOOSE(CONTROL!$C$21, $C$9, 100%, $E$9)</f>
        <v>22.9754</v>
      </c>
      <c r="P802" s="10">
        <f>CHOOSE(CONTROL!$C$42, 22.7504, 22.7504) * CHOOSE(CONTROL!$C$21, $C$9, 100%, $E$9)</f>
        <v>22.750399999999999</v>
      </c>
      <c r="Q802" s="10">
        <f>CHOOSE(CONTROL!$C$42, 23.5707, 23.5707) * CHOOSE(CONTROL!$C$21, $C$9, 100%, $E$9)</f>
        <v>23.570699999999999</v>
      </c>
      <c r="R802" s="10">
        <f>CHOOSE(CONTROL!$C$42, 24.2166, 24.2166) * CHOOSE(CONTROL!$C$21, $C$9, 100%, $E$9)</f>
        <v>24.2166</v>
      </c>
      <c r="S802" s="10">
        <f>CHOOSE(CONTROL!$C$42, 22.3248, 22.3248) * CHOOSE(CONTROL!$C$21, $C$9, 100%, $E$9)</f>
        <v>22.3248</v>
      </c>
      <c r="T80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38">
        <f>(1000*CHOOSE(CONTROL!$C$42, 695, 695)*CHOOSE(CONTROL!$C$42, 0.5599, 0.5599)*CHOOSE(CONTROL!$C$42, 31, 31))/1000000</f>
        <v>12.063045499999998</v>
      </c>
      <c r="V802" s="38">
        <f>(1000*CHOOSE(CONTROL!$C$42, 500, 500)*CHOOSE(CONTROL!$C$42, 0.275, 0.275)*CHOOSE(CONTROL!$C$42, 31, 31))/1000000</f>
        <v>4.2625000000000002</v>
      </c>
      <c r="W802" s="38">
        <f>(1000*CHOOSE(CONTROL!$C$42, 0.1146, 0.1146)*CHOOSE(CONTROL!$C$42, 121.5, 121.5)*CHOOSE(CONTROL!$C$42, 31, 31))/1000000</f>
        <v>0.43164089999999994</v>
      </c>
      <c r="X802" s="38">
        <f>(31*0.1790888*245000/1000000)+(31*0.2374*100000/1000000)</f>
        <v>2.0961194359999999</v>
      </c>
      <c r="Y802" s="38">
        <f>(1000*600*CHOOSE(CONTROL!$C$42, 1.0585, 1.0585)*CHOOSE(CONTROL!$C$42, 31, 31))/1000000</f>
        <v>19.688099999999999</v>
      </c>
      <c r="Z802" s="38"/>
      <c r="AA802" s="10"/>
      <c r="AB802" s="39"/>
      <c r="AC802" s="33">
        <f>(B802*131.881+C802*277.167+D802*79.08+E802*125.872+F802*40+G802*185+H802*0+I802*100+J802*300)/(131.881+277.167+79.08+125.872+0+40+185+100+300)</f>
        <v>23.048580874414849</v>
      </c>
      <c r="AD802" s="27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22.837368345323743</v>
      </c>
    </row>
    <row r="803" spans="1:30" ht="15.75" x14ac:dyDescent="0.25">
      <c r="A803" s="13">
        <v>65714</v>
      </c>
      <c r="B803" s="10">
        <f>CHOOSE(CONTROL!$C$42, 23.6458, 23.6458) * CHOOSE(CONTROL!$C$21, $C$9, 100%, $E$9)</f>
        <v>23.645800000000001</v>
      </c>
      <c r="C803" s="10">
        <f>CHOOSE(CONTROL!$C$42, 23.6509, 23.6509) * CHOOSE(CONTROL!$C$21, $C$9, 100%, $E$9)</f>
        <v>23.6509</v>
      </c>
      <c r="D803" s="10">
        <f>CHOOSE(CONTROL!$C$42, 23.6756, 23.6756) * CHOOSE(CONTROL!$C$21, $C$9, 100%, $E$9)</f>
        <v>23.675599999999999</v>
      </c>
      <c r="E803" s="10">
        <f>CHOOSE(CONTROL!$C$42, 23.7094, 23.7094) * CHOOSE(CONTROL!$C$21, $C$9, 100%, $E$9)</f>
        <v>23.709399999999999</v>
      </c>
      <c r="F803" s="10">
        <f>CHOOSE(CONTROL!$C$42, 23.6114, 23.6114)*CHOOSE(CONTROL!$C$21, $C$9, 100%, $E$9)</f>
        <v>23.6114</v>
      </c>
      <c r="G803" s="10">
        <f>CHOOSE(CONTROL!$C$42, 23.6283, 23.6283)*CHOOSE(CONTROL!$C$21, $C$9, 100%, $E$9)</f>
        <v>23.628299999999999</v>
      </c>
      <c r="H803" s="10">
        <f>CHOOSE(CONTROL!$C$42, 23.6983, 23.6983) * CHOOSE(CONTROL!$C$21, $C$9, 100%, $E$9)</f>
        <v>23.6983</v>
      </c>
      <c r="I803" s="10">
        <f>CHOOSE(CONTROL!$C$42, 23.6453, 23.6453)* CHOOSE(CONTROL!$C$21, $C$9, 100%, $E$9)</f>
        <v>23.645299999999999</v>
      </c>
      <c r="J803" s="10">
        <f>CHOOSE(CONTROL!$C$42, 23.604, 23.604)* CHOOSE(CONTROL!$C$21, $C$9, 100%, $E$9)</f>
        <v>23.603999999999999</v>
      </c>
      <c r="K803" s="10">
        <f>CHOOSE(CONTROL!$C$42, 23.0664, 23.0664) * CHOOSE(CONTROL!$C$21, $C$9, 100%, $E$9)</f>
        <v>23.066400000000002</v>
      </c>
      <c r="L803" s="10">
        <f>CHOOSE(CONTROL!$C$42, 24.2853, 24.2853) * CHOOSE(CONTROL!$C$21, $C$9, 100%, $E$9)</f>
        <v>24.285299999999999</v>
      </c>
      <c r="M803" s="10">
        <f>CHOOSE(CONTROL!$C$42, 23.3315, 23.3315) * CHOOSE(CONTROL!$C$21, $C$9, 100%, $E$9)</f>
        <v>23.331499999999998</v>
      </c>
      <c r="N803" s="10">
        <f>CHOOSE(CONTROL!$C$42, 23.3481, 23.3481) * CHOOSE(CONTROL!$C$21, $C$9, 100%, $E$9)</f>
        <v>23.348099999999999</v>
      </c>
      <c r="O803" s="10">
        <f>CHOOSE(CONTROL!$C$42, 23.4245, 23.4245) * CHOOSE(CONTROL!$C$21, $C$9, 100%, $E$9)</f>
        <v>23.424499999999998</v>
      </c>
      <c r="P803" s="10">
        <f>CHOOSE(CONTROL!$C$42, 23.3723, 23.3723) * CHOOSE(CONTROL!$C$21, $C$9, 100%, $E$9)</f>
        <v>23.372299999999999</v>
      </c>
      <c r="Q803" s="10">
        <f>CHOOSE(CONTROL!$C$42, 24.0198, 24.0198) * CHOOSE(CONTROL!$C$21, $C$9, 100%, $E$9)</f>
        <v>24.0198</v>
      </c>
      <c r="R803" s="10">
        <f>CHOOSE(CONTROL!$C$42, 24.6669, 24.6669) * CHOOSE(CONTROL!$C$21, $C$9, 100%, $E$9)</f>
        <v>24.666899999999998</v>
      </c>
      <c r="S803" s="10">
        <f>CHOOSE(CONTROL!$C$42, 22.9129, 22.9129) * CHOOSE(CONTROL!$C$21, $C$9, 100%, $E$9)</f>
        <v>22.9129</v>
      </c>
      <c r="T80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38">
        <f>(1000*CHOOSE(CONTROL!$C$42, 695, 695)*CHOOSE(CONTROL!$C$42, 0.5599, 0.5599)*CHOOSE(CONTROL!$C$42, 30, 30))/1000000</f>
        <v>11.673914999999997</v>
      </c>
      <c r="V803" s="38">
        <f>(1000*CHOOSE(CONTROL!$C$42, 500, 500)*CHOOSE(CONTROL!$C$42, 0.275, 0.275)*CHOOSE(CONTROL!$C$42, 30, 30))/1000000</f>
        <v>4.125</v>
      </c>
      <c r="W803" s="38">
        <f>(1000*CHOOSE(CONTROL!$C$42, 0.1146, 0.1146)*CHOOSE(CONTROL!$C$42, 121.5, 121.5)*CHOOSE(CONTROL!$C$42, 30, 30))/1000000</f>
        <v>0.417717</v>
      </c>
      <c r="X803" s="38">
        <f>(30*0.1790888*100000/1000000)+(30*0.2374*100000/1000000)</f>
        <v>1.2494664</v>
      </c>
      <c r="Y803" s="38">
        <f>(1000*600*CHOOSE(CONTROL!$C$42, 1.0585, 1.0585)*CHOOSE(CONTROL!$C$42, 30, 30))/1000000</f>
        <v>19.053000000000001</v>
      </c>
      <c r="Z803" s="38"/>
      <c r="AA803" s="10"/>
      <c r="AB803" s="39"/>
      <c r="AC803" s="33">
        <f>(B803*122.58+C803*297.941+D803*89.177+E803*40.302+F803*40+G803*160+H803*0+I803*100+J803*300)/(122.58+297.941+89.177+40.302+0+40+160+100+300)</f>
        <v>23.637081896434783</v>
      </c>
      <c r="AD803" s="27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23.380476978417263</v>
      </c>
    </row>
    <row r="804" spans="1:30" ht="15.75" x14ac:dyDescent="0.25">
      <c r="A804" s="13">
        <v>65745</v>
      </c>
      <c r="B804" s="10">
        <f>CHOOSE(CONTROL!$C$42, 25.2591, 25.2591) * CHOOSE(CONTROL!$C$21, $C$9, 100%, $E$9)</f>
        <v>25.2591</v>
      </c>
      <c r="C804" s="10">
        <f>CHOOSE(CONTROL!$C$42, 25.2642, 25.2642) * CHOOSE(CONTROL!$C$21, $C$9, 100%, $E$9)</f>
        <v>25.264199999999999</v>
      </c>
      <c r="D804" s="10">
        <f>CHOOSE(CONTROL!$C$42, 25.2889, 25.2889) * CHOOSE(CONTROL!$C$21, $C$9, 100%, $E$9)</f>
        <v>25.288900000000002</v>
      </c>
      <c r="E804" s="10">
        <f>CHOOSE(CONTROL!$C$42, 25.3227, 25.3227) * CHOOSE(CONTROL!$C$21, $C$9, 100%, $E$9)</f>
        <v>25.322700000000001</v>
      </c>
      <c r="F804" s="10">
        <f>CHOOSE(CONTROL!$C$42, 25.2265, 25.2265)*CHOOSE(CONTROL!$C$21, $C$9, 100%, $E$9)</f>
        <v>25.226500000000001</v>
      </c>
      <c r="G804" s="10">
        <f>CHOOSE(CONTROL!$C$42, 25.2438, 25.2438)*CHOOSE(CONTROL!$C$21, $C$9, 100%, $E$9)</f>
        <v>25.2438</v>
      </c>
      <c r="H804" s="10">
        <f>CHOOSE(CONTROL!$C$42, 25.3116, 25.3116) * CHOOSE(CONTROL!$C$21, $C$9, 100%, $E$9)</f>
        <v>25.311599999999999</v>
      </c>
      <c r="I804" s="10">
        <f>CHOOSE(CONTROL!$C$42, 25.2586, 25.2586)* CHOOSE(CONTROL!$C$21, $C$9, 100%, $E$9)</f>
        <v>25.258600000000001</v>
      </c>
      <c r="J804" s="10">
        <f>CHOOSE(CONTROL!$C$42, 25.2191, 25.2191)* CHOOSE(CONTROL!$C$21, $C$9, 100%, $E$9)</f>
        <v>25.219100000000001</v>
      </c>
      <c r="K804" s="10">
        <f>CHOOSE(CONTROL!$C$42, 24.6332, 24.6332) * CHOOSE(CONTROL!$C$21, $C$9, 100%, $E$9)</f>
        <v>24.633199999999999</v>
      </c>
      <c r="L804" s="10">
        <f>CHOOSE(CONTROL!$C$42, 25.8986, 25.8986) * CHOOSE(CONTROL!$C$21, $C$9, 100%, $E$9)</f>
        <v>25.898599999999998</v>
      </c>
      <c r="M804" s="10">
        <f>CHOOSE(CONTROL!$C$42, 24.9257, 24.9257) * CHOOSE(CONTROL!$C$21, $C$9, 100%, $E$9)</f>
        <v>24.925699999999999</v>
      </c>
      <c r="N804" s="10">
        <f>CHOOSE(CONTROL!$C$42, 24.9427, 24.9427) * CHOOSE(CONTROL!$C$21, $C$9, 100%, $E$9)</f>
        <v>24.942699999999999</v>
      </c>
      <c r="O804" s="10">
        <f>CHOOSE(CONTROL!$C$42, 25.0169, 25.0169) * CHOOSE(CONTROL!$C$21, $C$9, 100%, $E$9)</f>
        <v>25.0169</v>
      </c>
      <c r="P804" s="10">
        <f>CHOOSE(CONTROL!$C$42, 24.9647, 24.9647) * CHOOSE(CONTROL!$C$21, $C$9, 100%, $E$9)</f>
        <v>24.964700000000001</v>
      </c>
      <c r="Q804" s="10">
        <f>CHOOSE(CONTROL!$C$42, 25.6122, 25.6122) * CHOOSE(CONTROL!$C$21, $C$9, 100%, $E$9)</f>
        <v>25.612200000000001</v>
      </c>
      <c r="R804" s="10">
        <f>CHOOSE(CONTROL!$C$42, 26.2633, 26.2633) * CHOOSE(CONTROL!$C$21, $C$9, 100%, $E$9)</f>
        <v>26.263300000000001</v>
      </c>
      <c r="S804" s="10">
        <f>CHOOSE(CONTROL!$C$42, 24.475, 24.475) * CHOOSE(CONTROL!$C$21, $C$9, 100%, $E$9)</f>
        <v>24.475000000000001</v>
      </c>
      <c r="T80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38">
        <f>(1000*CHOOSE(CONTROL!$C$42, 695, 695)*CHOOSE(CONTROL!$C$42, 0.5599, 0.5599)*CHOOSE(CONTROL!$C$42, 31, 31))/1000000</f>
        <v>12.063045499999998</v>
      </c>
      <c r="V804" s="38">
        <f>(1000*CHOOSE(CONTROL!$C$42, 500, 500)*CHOOSE(CONTROL!$C$42, 0.275, 0.275)*CHOOSE(CONTROL!$C$42, 31, 31))/1000000</f>
        <v>4.2625000000000002</v>
      </c>
      <c r="W804" s="38">
        <f>(1000*CHOOSE(CONTROL!$C$42, 0.1146, 0.1146)*CHOOSE(CONTROL!$C$42, 121.5, 121.5)*CHOOSE(CONTROL!$C$42, 31, 31))/1000000</f>
        <v>0.43164089999999994</v>
      </c>
      <c r="X804" s="38">
        <f>(31*0.1790888*100000/1000000)+(31*0.2374*100000/1000000)</f>
        <v>1.2911152800000001</v>
      </c>
      <c r="Y804" s="38">
        <f>(1000*600*CHOOSE(CONTROL!$C$42, 1.0585, 1.0585)*CHOOSE(CONTROL!$C$42, 31, 31))/1000000</f>
        <v>19.688099999999999</v>
      </c>
      <c r="Z804" s="38"/>
      <c r="AA804" s="10"/>
      <c r="AB804" s="39"/>
      <c r="AC804" s="33">
        <f>(B804*122.58+C804*297.941+D804*89.177+E804*40.302+F804*40+G804*160+H804*0+I804*100+J804*300)/(122.58+297.941+89.177+40.302+0+40+160+100+300)</f>
        <v>25.251220157304349</v>
      </c>
      <c r="AD804" s="27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24.973625179856114</v>
      </c>
    </row>
    <row r="805" spans="1:30" ht="15.75" x14ac:dyDescent="0.25">
      <c r="A805" s="13">
        <v>65776</v>
      </c>
      <c r="B805" s="10">
        <f>CHOOSE(CONTROL!$C$42, 26.965, 26.965) * CHOOSE(CONTROL!$C$21, $C$9, 100%, $E$9)</f>
        <v>26.965</v>
      </c>
      <c r="C805" s="10">
        <f>CHOOSE(CONTROL!$C$42, 26.9701, 26.9701) * CHOOSE(CONTROL!$C$21, $C$9, 100%, $E$9)</f>
        <v>26.970099999999999</v>
      </c>
      <c r="D805" s="10">
        <f>CHOOSE(CONTROL!$C$42, 27.0052, 27.0052) * CHOOSE(CONTROL!$C$21, $C$9, 100%, $E$9)</f>
        <v>27.005199999999999</v>
      </c>
      <c r="E805" s="10">
        <f>CHOOSE(CONTROL!$C$42, 27.039, 27.039) * CHOOSE(CONTROL!$C$21, $C$9, 100%, $E$9)</f>
        <v>27.039000000000001</v>
      </c>
      <c r="F805" s="10">
        <f>CHOOSE(CONTROL!$C$42, 26.9463, 26.9463)*CHOOSE(CONTROL!$C$21, $C$9, 100%, $E$9)</f>
        <v>26.946300000000001</v>
      </c>
      <c r="G805" s="10">
        <f>CHOOSE(CONTROL!$C$42, 26.9652, 26.9652)*CHOOSE(CONTROL!$C$21, $C$9, 100%, $E$9)</f>
        <v>26.965199999999999</v>
      </c>
      <c r="H805" s="10">
        <f>CHOOSE(CONTROL!$C$42, 27.0278, 27.0278) * CHOOSE(CONTROL!$C$21, $C$9, 100%, $E$9)</f>
        <v>27.027799999999999</v>
      </c>
      <c r="I805" s="10">
        <f>CHOOSE(CONTROL!$C$42, 26.9723, 26.9723)* CHOOSE(CONTROL!$C$21, $C$9, 100%, $E$9)</f>
        <v>26.972300000000001</v>
      </c>
      <c r="J805" s="10">
        <f>CHOOSE(CONTROL!$C$42, 26.9389, 26.9389)* CHOOSE(CONTROL!$C$21, $C$9, 100%, $E$9)</f>
        <v>26.9389</v>
      </c>
      <c r="K805" s="10">
        <f>CHOOSE(CONTROL!$C$42, 26.3067, 26.3067) * CHOOSE(CONTROL!$C$21, $C$9, 100%, $E$9)</f>
        <v>26.306699999999999</v>
      </c>
      <c r="L805" s="10">
        <f>CHOOSE(CONTROL!$C$42, 27.6148, 27.6148) * CHOOSE(CONTROL!$C$21, $C$9, 100%, $E$9)</f>
        <v>27.614799999999999</v>
      </c>
      <c r="M805" s="10">
        <f>CHOOSE(CONTROL!$C$42, 26.6232, 26.6232) * CHOOSE(CONTROL!$C$21, $C$9, 100%, $E$9)</f>
        <v>26.623200000000001</v>
      </c>
      <c r="N805" s="10">
        <f>CHOOSE(CONTROL!$C$42, 26.6419, 26.6419) * CHOOSE(CONTROL!$C$21, $C$9, 100%, $E$9)</f>
        <v>26.6419</v>
      </c>
      <c r="O805" s="10">
        <f>CHOOSE(CONTROL!$C$42, 26.711, 26.711) * CHOOSE(CONTROL!$C$21, $C$9, 100%, $E$9)</f>
        <v>26.710999999999999</v>
      </c>
      <c r="P805" s="10">
        <f>CHOOSE(CONTROL!$C$42, 26.6562, 26.6562) * CHOOSE(CONTROL!$C$21, $C$9, 100%, $E$9)</f>
        <v>26.656199999999998</v>
      </c>
      <c r="Q805" s="10">
        <f>CHOOSE(CONTROL!$C$42, 27.3063, 27.3063) * CHOOSE(CONTROL!$C$21, $C$9, 100%, $E$9)</f>
        <v>27.3063</v>
      </c>
      <c r="R805" s="10">
        <f>CHOOSE(CONTROL!$C$42, 27.9616, 27.9616) * CHOOSE(CONTROL!$C$21, $C$9, 100%, $E$9)</f>
        <v>27.961600000000001</v>
      </c>
      <c r="S805" s="10">
        <f>CHOOSE(CONTROL!$C$42, 26.1269, 26.1269) * CHOOSE(CONTROL!$C$21, $C$9, 100%, $E$9)</f>
        <v>26.126899999999999</v>
      </c>
      <c r="T80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38">
        <f>(1000*CHOOSE(CONTROL!$C$42, 695, 695)*CHOOSE(CONTROL!$C$42, 0.5599, 0.5599)*CHOOSE(CONTROL!$C$42, 31, 31))/1000000</f>
        <v>12.063045499999998</v>
      </c>
      <c r="V805" s="38">
        <f>(1000*CHOOSE(CONTROL!$C$42, 500, 500)*CHOOSE(CONTROL!$C$42, 0.275, 0.275)*CHOOSE(CONTROL!$C$42, 31, 31))/1000000</f>
        <v>4.2625000000000002</v>
      </c>
      <c r="W805" s="38">
        <f>(1000*CHOOSE(CONTROL!$C$42, 0.1146, 0.1146)*CHOOSE(CONTROL!$C$42, 121.5, 121.5)*CHOOSE(CONTROL!$C$42, 31, 31))/1000000</f>
        <v>0.43164089999999994</v>
      </c>
      <c r="X805" s="38">
        <f>(31*0.1790888*100000/1000000)+(31*0.2374*100000/1000000)</f>
        <v>1.2911152800000001</v>
      </c>
      <c r="Y805" s="38">
        <f>(1000*600*CHOOSE(CONTROL!$C$42, 1.0585, 1.0585)*CHOOSE(CONTROL!$C$42, 31, 31))/1000000</f>
        <v>19.688099999999999</v>
      </c>
      <c r="Z805" s="38"/>
      <c r="AA805" s="10"/>
      <c r="AB805" s="39"/>
      <c r="AC805" s="33">
        <f>(B805*122.58+C805*297.941+D805*89.177+E805*40.302+F805*40+G805*160+H805*0+I805*100+J805*300)/(122.58+297.941+89.177+40.302+0+40+160+100+300)</f>
        <v>26.965235445652169</v>
      </c>
      <c r="AD805" s="27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26.668818705035974</v>
      </c>
    </row>
    <row r="806" spans="1:30" ht="15.75" x14ac:dyDescent="0.25">
      <c r="A806" s="13">
        <v>65805</v>
      </c>
      <c r="B806" s="10">
        <f>CHOOSE(CONTROL!$C$42, 27.4453, 27.4453) * CHOOSE(CONTROL!$C$21, $C$9, 100%, $E$9)</f>
        <v>27.4453</v>
      </c>
      <c r="C806" s="10">
        <f>CHOOSE(CONTROL!$C$42, 27.4504, 27.4504) * CHOOSE(CONTROL!$C$21, $C$9, 100%, $E$9)</f>
        <v>27.450399999999998</v>
      </c>
      <c r="D806" s="10">
        <f>CHOOSE(CONTROL!$C$42, 27.4855, 27.4855) * CHOOSE(CONTROL!$C$21, $C$9, 100%, $E$9)</f>
        <v>27.485499999999998</v>
      </c>
      <c r="E806" s="10">
        <f>CHOOSE(CONTROL!$C$42, 27.5193, 27.5193) * CHOOSE(CONTROL!$C$21, $C$9, 100%, $E$9)</f>
        <v>27.519300000000001</v>
      </c>
      <c r="F806" s="10">
        <f>CHOOSE(CONTROL!$C$42, 27.4261, 27.4261)*CHOOSE(CONTROL!$C$21, $C$9, 100%, $E$9)</f>
        <v>27.426100000000002</v>
      </c>
      <c r="G806" s="10">
        <f>CHOOSE(CONTROL!$C$42, 27.4449, 27.4449)*CHOOSE(CONTROL!$C$21, $C$9, 100%, $E$9)</f>
        <v>27.444900000000001</v>
      </c>
      <c r="H806" s="10">
        <f>CHOOSE(CONTROL!$C$42, 27.5081, 27.5081) * CHOOSE(CONTROL!$C$21, $C$9, 100%, $E$9)</f>
        <v>27.508099999999999</v>
      </c>
      <c r="I806" s="10">
        <f>CHOOSE(CONTROL!$C$42, 27.4526, 27.4526)* CHOOSE(CONTROL!$C$21, $C$9, 100%, $E$9)</f>
        <v>27.4526</v>
      </c>
      <c r="J806" s="10">
        <f>CHOOSE(CONTROL!$C$42, 27.4187, 27.4187)* CHOOSE(CONTROL!$C$21, $C$9, 100%, $E$9)</f>
        <v>27.418700000000001</v>
      </c>
      <c r="K806" s="10">
        <f>CHOOSE(CONTROL!$C$42, 26.7708, 26.7708) * CHOOSE(CONTROL!$C$21, $C$9, 100%, $E$9)</f>
        <v>26.770800000000001</v>
      </c>
      <c r="L806" s="10">
        <f>CHOOSE(CONTROL!$C$42, 28.0951, 28.0951) * CHOOSE(CONTROL!$C$21, $C$9, 100%, $E$9)</f>
        <v>28.095099999999999</v>
      </c>
      <c r="M806" s="10">
        <f>CHOOSE(CONTROL!$C$42, 27.0968, 27.0968) * CHOOSE(CONTROL!$C$21, $C$9, 100%, $E$9)</f>
        <v>27.096800000000002</v>
      </c>
      <c r="N806" s="10">
        <f>CHOOSE(CONTROL!$C$42, 27.1153, 27.1153) * CHOOSE(CONTROL!$C$21, $C$9, 100%, $E$9)</f>
        <v>27.115300000000001</v>
      </c>
      <c r="O806" s="10">
        <f>CHOOSE(CONTROL!$C$42, 27.1851, 27.1851) * CHOOSE(CONTROL!$C$21, $C$9, 100%, $E$9)</f>
        <v>27.185099999999998</v>
      </c>
      <c r="P806" s="10">
        <f>CHOOSE(CONTROL!$C$42, 27.1303, 27.1303) * CHOOSE(CONTROL!$C$21, $C$9, 100%, $E$9)</f>
        <v>27.130299999999998</v>
      </c>
      <c r="Q806" s="10">
        <f>CHOOSE(CONTROL!$C$42, 27.7804, 27.7804) * CHOOSE(CONTROL!$C$21, $C$9, 100%, $E$9)</f>
        <v>27.7804</v>
      </c>
      <c r="R806" s="10">
        <f>CHOOSE(CONTROL!$C$42, 28.4368, 28.4368) * CHOOSE(CONTROL!$C$21, $C$9, 100%, $E$9)</f>
        <v>28.436800000000002</v>
      </c>
      <c r="S806" s="10">
        <f>CHOOSE(CONTROL!$C$42, 26.592, 26.592) * CHOOSE(CONTROL!$C$21, $C$9, 100%, $E$9)</f>
        <v>26.591999999999999</v>
      </c>
      <c r="T80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06" s="38">
        <f>(1000*CHOOSE(CONTROL!$C$42, 695, 695)*CHOOSE(CONTROL!$C$42, 0.5599, 0.5599)*CHOOSE(CONTROL!$C$42, 29, 29))/1000000</f>
        <v>11.284784499999999</v>
      </c>
      <c r="V806" s="38">
        <f>(1000*CHOOSE(CONTROL!$C$42, 500, 500)*CHOOSE(CONTROL!$C$42, 0.275, 0.275)*CHOOSE(CONTROL!$C$42, 29, 29))/1000000</f>
        <v>3.9874999999999998</v>
      </c>
      <c r="W806" s="38">
        <f>(1000*CHOOSE(CONTROL!$C$42, 0.1146, 0.1146)*CHOOSE(CONTROL!$C$42, 121.5, 121.5)*CHOOSE(CONTROL!$C$42, 29, 29))/1000000</f>
        <v>0.40379309999999996</v>
      </c>
      <c r="X806" s="38">
        <f>(29*0.1790888*100000/1000000)+(29*0.2374*100000/1000000)</f>
        <v>1.2078175199999999</v>
      </c>
      <c r="Y806" s="38">
        <f>(1000*600*CHOOSE(CONTROL!$C$42, 1.0585, 1.0585)*CHOOSE(CONTROL!$C$42, 29, 29))/1000000</f>
        <v>18.417899999999999</v>
      </c>
      <c r="Z806" s="38"/>
      <c r="AA806" s="10"/>
      <c r="AB806" s="39"/>
      <c r="AC806" s="33">
        <f>(B806*122.58+C806*297.941+D806*89.177+E806*40.302+F806*40+G806*160+H806*0+I806*100+J806*300)/(122.58+297.941+89.177+40.302+0+40+160+100+300)</f>
        <v>27.445304141304348</v>
      </c>
      <c r="AD806" s="27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27.142705755395681</v>
      </c>
    </row>
    <row r="807" spans="1:30" ht="15.75" x14ac:dyDescent="0.25">
      <c r="A807" s="13">
        <v>65836</v>
      </c>
      <c r="B807" s="10">
        <f>CHOOSE(CONTROL!$C$42, 26.6657, 26.6657) * CHOOSE(CONTROL!$C$21, $C$9, 100%, $E$9)</f>
        <v>26.665700000000001</v>
      </c>
      <c r="C807" s="10">
        <f>CHOOSE(CONTROL!$C$42, 26.6708, 26.6708) * CHOOSE(CONTROL!$C$21, $C$9, 100%, $E$9)</f>
        <v>26.6708</v>
      </c>
      <c r="D807" s="10">
        <f>CHOOSE(CONTROL!$C$42, 26.7058, 26.7058) * CHOOSE(CONTROL!$C$21, $C$9, 100%, $E$9)</f>
        <v>26.7058</v>
      </c>
      <c r="E807" s="10">
        <f>CHOOSE(CONTROL!$C$42, 26.7396, 26.7396) * CHOOSE(CONTROL!$C$21, $C$9, 100%, $E$9)</f>
        <v>26.739599999999999</v>
      </c>
      <c r="F807" s="10">
        <f>CHOOSE(CONTROL!$C$42, 26.6451, 26.6451)*CHOOSE(CONTROL!$C$21, $C$9, 100%, $E$9)</f>
        <v>26.645099999999999</v>
      </c>
      <c r="G807" s="10">
        <f>CHOOSE(CONTROL!$C$42, 26.6634, 26.6634)*CHOOSE(CONTROL!$C$21, $C$9, 100%, $E$9)</f>
        <v>26.663399999999999</v>
      </c>
      <c r="H807" s="10">
        <f>CHOOSE(CONTROL!$C$42, 26.7285, 26.7285) * CHOOSE(CONTROL!$C$21, $C$9, 100%, $E$9)</f>
        <v>26.7285</v>
      </c>
      <c r="I807" s="10">
        <f>CHOOSE(CONTROL!$C$42, 26.6729, 26.6729)* CHOOSE(CONTROL!$C$21, $C$9, 100%, $E$9)</f>
        <v>26.672899999999998</v>
      </c>
      <c r="J807" s="10">
        <f>CHOOSE(CONTROL!$C$42, 26.6377, 26.6377)* CHOOSE(CONTROL!$C$21, $C$9, 100%, $E$9)</f>
        <v>26.637699999999999</v>
      </c>
      <c r="K807" s="10">
        <f>CHOOSE(CONTROL!$C$42, 26.0125, 26.0125) * CHOOSE(CONTROL!$C$21, $C$9, 100%, $E$9)</f>
        <v>26.012499999999999</v>
      </c>
      <c r="L807" s="10">
        <f>CHOOSE(CONTROL!$C$42, 27.3155, 27.3155) * CHOOSE(CONTROL!$C$21, $C$9, 100%, $E$9)</f>
        <v>27.3155</v>
      </c>
      <c r="M807" s="10">
        <f>CHOOSE(CONTROL!$C$42, 26.3259, 26.3259) * CHOOSE(CONTROL!$C$21, $C$9, 100%, $E$9)</f>
        <v>26.325900000000001</v>
      </c>
      <c r="N807" s="10">
        <f>CHOOSE(CONTROL!$C$42, 26.344, 26.344) * CHOOSE(CONTROL!$C$21, $C$9, 100%, $E$9)</f>
        <v>26.344000000000001</v>
      </c>
      <c r="O807" s="10">
        <f>CHOOSE(CONTROL!$C$42, 26.4155, 26.4155) * CHOOSE(CONTROL!$C$21, $C$9, 100%, $E$9)</f>
        <v>26.415500000000002</v>
      </c>
      <c r="P807" s="10">
        <f>CHOOSE(CONTROL!$C$42, 26.3607, 26.3607) * CHOOSE(CONTROL!$C$21, $C$9, 100%, $E$9)</f>
        <v>26.360700000000001</v>
      </c>
      <c r="Q807" s="10">
        <f>CHOOSE(CONTROL!$C$42, 27.0108, 27.0108) * CHOOSE(CONTROL!$C$21, $C$9, 100%, $E$9)</f>
        <v>27.0108</v>
      </c>
      <c r="R807" s="10">
        <f>CHOOSE(CONTROL!$C$42, 27.6653, 27.6653) * CHOOSE(CONTROL!$C$21, $C$9, 100%, $E$9)</f>
        <v>27.665299999999998</v>
      </c>
      <c r="S807" s="10">
        <f>CHOOSE(CONTROL!$C$42, 25.837, 25.837) * CHOOSE(CONTROL!$C$21, $C$9, 100%, $E$9)</f>
        <v>25.837</v>
      </c>
      <c r="T80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38">
        <f>(1000*CHOOSE(CONTROL!$C$42, 695, 695)*CHOOSE(CONTROL!$C$42, 0.5599, 0.5599)*CHOOSE(CONTROL!$C$42, 31, 31))/1000000</f>
        <v>12.063045499999998</v>
      </c>
      <c r="V807" s="38">
        <f>(1000*CHOOSE(CONTROL!$C$42, 500, 500)*CHOOSE(CONTROL!$C$42, 0.275, 0.275)*CHOOSE(CONTROL!$C$42, 31, 31))/1000000</f>
        <v>4.2625000000000002</v>
      </c>
      <c r="W807" s="38">
        <f>(1000*CHOOSE(CONTROL!$C$42, 0.1146, 0.1146)*CHOOSE(CONTROL!$C$42, 121.5, 121.5)*CHOOSE(CONTROL!$C$42, 31, 31))/1000000</f>
        <v>0.43164089999999994</v>
      </c>
      <c r="X807" s="38">
        <f>(31*0.1790888*100000/1000000)+(31*0.2374*100000/1000000)</f>
        <v>1.2911152800000001</v>
      </c>
      <c r="Y807" s="38">
        <f>(1000*600*CHOOSE(CONTROL!$C$42, 1.0585, 1.0585)*CHOOSE(CONTROL!$C$42, 31, 31))/1000000</f>
        <v>19.688099999999999</v>
      </c>
      <c r="Z807" s="38"/>
      <c r="AA807" s="10"/>
      <c r="AB807" s="39"/>
      <c r="AC807" s="33">
        <f>(B807*122.58+C807*297.941+D807*89.177+E807*40.302+F807*40+G807*160+H807*0+I807*100+J807*300)/(122.58+297.941+89.177+40.302+0+40+160+100+300)</f>
        <v>26.665005925739127</v>
      </c>
      <c r="AD807" s="27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26.372558992805757</v>
      </c>
    </row>
    <row r="808" spans="1:30" ht="15.75" x14ac:dyDescent="0.25">
      <c r="A808" s="13">
        <v>65866</v>
      </c>
      <c r="B808" s="10">
        <f>CHOOSE(CONTROL!$C$42, 26.5866, 26.5866) * CHOOSE(CONTROL!$C$21, $C$9, 100%, $E$9)</f>
        <v>26.586600000000001</v>
      </c>
      <c r="C808" s="10">
        <f>CHOOSE(CONTROL!$C$42, 26.5911, 26.5911) * CHOOSE(CONTROL!$C$21, $C$9, 100%, $E$9)</f>
        <v>26.591100000000001</v>
      </c>
      <c r="D808" s="10">
        <f>CHOOSE(CONTROL!$C$42, 26.7693, 26.7693) * CHOOSE(CONTROL!$C$21, $C$9, 100%, $E$9)</f>
        <v>26.769300000000001</v>
      </c>
      <c r="E808" s="10">
        <f>CHOOSE(CONTROL!$C$42, 26.8011, 26.8011) * CHOOSE(CONTROL!$C$21, $C$9, 100%, $E$9)</f>
        <v>26.801100000000002</v>
      </c>
      <c r="F808" s="10">
        <f>CHOOSE(CONTROL!$C$42, 26.53, 26.53)*CHOOSE(CONTROL!$C$21, $C$9, 100%, $E$9)</f>
        <v>26.53</v>
      </c>
      <c r="G808" s="10">
        <f>CHOOSE(CONTROL!$C$42, 26.5466, 26.5466)*CHOOSE(CONTROL!$C$21, $C$9, 100%, $E$9)</f>
        <v>26.546600000000002</v>
      </c>
      <c r="H808" s="10">
        <f>CHOOSE(CONTROL!$C$42, 26.7906, 26.7906) * CHOOSE(CONTROL!$C$21, $C$9, 100%, $E$9)</f>
        <v>26.790600000000001</v>
      </c>
      <c r="I808" s="10">
        <f>CHOOSE(CONTROL!$C$42, 26.5626, 26.5626)* CHOOSE(CONTROL!$C$21, $C$9, 100%, $E$9)</f>
        <v>26.5626</v>
      </c>
      <c r="J808" s="10">
        <f>CHOOSE(CONTROL!$C$42, 26.5226, 26.5226)* CHOOSE(CONTROL!$C$21, $C$9, 100%, $E$9)</f>
        <v>26.522600000000001</v>
      </c>
      <c r="K808" s="10">
        <f>CHOOSE(CONTROL!$C$42, 25.8909, 25.8909) * CHOOSE(CONTROL!$C$21, $C$9, 100%, $E$9)</f>
        <v>25.890899999999998</v>
      </c>
      <c r="L808" s="10">
        <f>CHOOSE(CONTROL!$C$42, 27.3776, 27.3776) * CHOOSE(CONTROL!$C$21, $C$9, 100%, $E$9)</f>
        <v>27.377600000000001</v>
      </c>
      <c r="M808" s="10">
        <f>CHOOSE(CONTROL!$C$42, 26.2123, 26.2123) * CHOOSE(CONTROL!$C$21, $C$9, 100%, $E$9)</f>
        <v>26.212299999999999</v>
      </c>
      <c r="N808" s="10">
        <f>CHOOSE(CONTROL!$C$42, 26.2287, 26.2287) * CHOOSE(CONTROL!$C$21, $C$9, 100%, $E$9)</f>
        <v>26.2287</v>
      </c>
      <c r="O808" s="10">
        <f>CHOOSE(CONTROL!$C$42, 26.4768, 26.4768) * CHOOSE(CONTROL!$C$21, $C$9, 100%, $E$9)</f>
        <v>26.476800000000001</v>
      </c>
      <c r="P808" s="10">
        <f>CHOOSE(CONTROL!$C$42, 26.2518, 26.2518) * CHOOSE(CONTROL!$C$21, $C$9, 100%, $E$9)</f>
        <v>26.251799999999999</v>
      </c>
      <c r="Q808" s="10">
        <f>CHOOSE(CONTROL!$C$42, 27.0721, 27.0721) * CHOOSE(CONTROL!$C$21, $C$9, 100%, $E$9)</f>
        <v>27.072099999999999</v>
      </c>
      <c r="R808" s="10">
        <f>CHOOSE(CONTROL!$C$42, 27.7268, 27.7268) * CHOOSE(CONTROL!$C$21, $C$9, 100%, $E$9)</f>
        <v>27.726800000000001</v>
      </c>
      <c r="S808" s="10">
        <f>CHOOSE(CONTROL!$C$42, 25.7597, 25.7597) * CHOOSE(CONTROL!$C$21, $C$9, 100%, $E$9)</f>
        <v>25.759699999999999</v>
      </c>
      <c r="T80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38">
        <f>(1000*CHOOSE(CONTROL!$C$42, 695, 695)*CHOOSE(CONTROL!$C$42, 0.5599, 0.5599)*CHOOSE(CONTROL!$C$42, 30, 30))/1000000</f>
        <v>11.673914999999997</v>
      </c>
      <c r="V808" s="38">
        <f>(1000*CHOOSE(CONTROL!$C$42, 500, 500)*CHOOSE(CONTROL!$C$42, 0.275, 0.275)*CHOOSE(CONTROL!$C$42, 30, 30))/1000000</f>
        <v>4.125</v>
      </c>
      <c r="W808" s="38">
        <f>(1000*CHOOSE(CONTROL!$C$42, 0.1146, 0.1146)*CHOOSE(CONTROL!$C$42, 121.5, 121.5)*CHOOSE(CONTROL!$C$42, 30, 30))/1000000</f>
        <v>0.417717</v>
      </c>
      <c r="X808" s="38">
        <f>(30*0.1790888*245000/1000000)+(30*0.2374*100000/1000000)</f>
        <v>2.0285026799999999</v>
      </c>
      <c r="Y808" s="38">
        <f>(1000*600*CHOOSE(CONTROL!$C$42, 1.0585, 1.0585)*CHOOSE(CONTROL!$C$42, 30, 30))/1000000</f>
        <v>19.053000000000001</v>
      </c>
      <c r="Z808" s="38"/>
      <c r="AA808" s="10"/>
      <c r="AB808" s="39"/>
      <c r="AC808" s="33">
        <f>(B808*141.293+C808*267.993+D808*115.016+E808*89.698+F808*40+G808*185+H808*0+I808*100+J808*300)/(141.293+267.993+115.016+89.698+0+40+185+100+300)</f>
        <v>26.594828904519773</v>
      </c>
      <c r="AD808" s="27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26.338808633093528</v>
      </c>
    </row>
    <row r="809" spans="1:30" ht="15.75" x14ac:dyDescent="0.25">
      <c r="A809" s="13">
        <v>65897</v>
      </c>
      <c r="B809" s="10">
        <f>CHOOSE(CONTROL!$C$42, 26.8231, 26.8231) * CHOOSE(CONTROL!$C$21, $C$9, 100%, $E$9)</f>
        <v>26.8231</v>
      </c>
      <c r="C809" s="10">
        <f>CHOOSE(CONTROL!$C$42, 26.8311, 26.8311) * CHOOSE(CONTROL!$C$21, $C$9, 100%, $E$9)</f>
        <v>26.831099999999999</v>
      </c>
      <c r="D809" s="10">
        <f>CHOOSE(CONTROL!$C$42, 27.0062, 27.0062) * CHOOSE(CONTROL!$C$21, $C$9, 100%, $E$9)</f>
        <v>27.0062</v>
      </c>
      <c r="E809" s="10">
        <f>CHOOSE(CONTROL!$C$42, 27.0375, 27.0375) * CHOOSE(CONTROL!$C$21, $C$9, 100%, $E$9)</f>
        <v>27.037500000000001</v>
      </c>
      <c r="F809" s="10">
        <f>CHOOSE(CONTROL!$C$42, 26.7648, 26.7648)*CHOOSE(CONTROL!$C$21, $C$9, 100%, $E$9)</f>
        <v>26.764800000000001</v>
      </c>
      <c r="G809" s="10">
        <f>CHOOSE(CONTROL!$C$42, 26.7817, 26.7817)*CHOOSE(CONTROL!$C$21, $C$9, 100%, $E$9)</f>
        <v>26.781700000000001</v>
      </c>
      <c r="H809" s="10">
        <f>CHOOSE(CONTROL!$C$42, 27.0258, 27.0258) * CHOOSE(CONTROL!$C$21, $C$9, 100%, $E$9)</f>
        <v>27.0258</v>
      </c>
      <c r="I809" s="10">
        <f>CHOOSE(CONTROL!$C$42, 26.7978, 26.7978)* CHOOSE(CONTROL!$C$21, $C$9, 100%, $E$9)</f>
        <v>26.797799999999999</v>
      </c>
      <c r="J809" s="10">
        <f>CHOOSE(CONTROL!$C$42, 26.7574, 26.7574)* CHOOSE(CONTROL!$C$21, $C$9, 100%, $E$9)</f>
        <v>26.757400000000001</v>
      </c>
      <c r="K809" s="10">
        <f>CHOOSE(CONTROL!$C$42, 26.1179, 26.1179) * CHOOSE(CONTROL!$C$21, $C$9, 100%, $E$9)</f>
        <v>26.117899999999999</v>
      </c>
      <c r="L809" s="10">
        <f>CHOOSE(CONTROL!$C$42, 27.6128, 27.6128) * CHOOSE(CONTROL!$C$21, $C$9, 100%, $E$9)</f>
        <v>27.6128</v>
      </c>
      <c r="M809" s="10">
        <f>CHOOSE(CONTROL!$C$42, 26.4441, 26.4441) * CHOOSE(CONTROL!$C$21, $C$9, 100%, $E$9)</f>
        <v>26.444099999999999</v>
      </c>
      <c r="N809" s="10">
        <f>CHOOSE(CONTROL!$C$42, 26.4607, 26.4607) * CHOOSE(CONTROL!$C$21, $C$9, 100%, $E$9)</f>
        <v>26.460699999999999</v>
      </c>
      <c r="O809" s="10">
        <f>CHOOSE(CONTROL!$C$42, 26.709, 26.709) * CHOOSE(CONTROL!$C$21, $C$9, 100%, $E$9)</f>
        <v>26.709</v>
      </c>
      <c r="P809" s="10">
        <f>CHOOSE(CONTROL!$C$42, 26.4839, 26.4839) * CHOOSE(CONTROL!$C$21, $C$9, 100%, $E$9)</f>
        <v>26.483899999999998</v>
      </c>
      <c r="Q809" s="10">
        <f>CHOOSE(CONTROL!$C$42, 27.3043, 27.3043) * CHOOSE(CONTROL!$C$21, $C$9, 100%, $E$9)</f>
        <v>27.304300000000001</v>
      </c>
      <c r="R809" s="10">
        <f>CHOOSE(CONTROL!$C$42, 27.9595, 27.9595) * CHOOSE(CONTROL!$C$21, $C$9, 100%, $E$9)</f>
        <v>27.959499999999998</v>
      </c>
      <c r="S809" s="10">
        <f>CHOOSE(CONTROL!$C$42, 25.9874, 25.9874) * CHOOSE(CONTROL!$C$21, $C$9, 100%, $E$9)</f>
        <v>25.987400000000001</v>
      </c>
      <c r="T80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38">
        <f>(1000*CHOOSE(CONTROL!$C$42, 695, 695)*CHOOSE(CONTROL!$C$42, 0.5599, 0.5599)*CHOOSE(CONTROL!$C$42, 31, 31))/1000000</f>
        <v>12.063045499999998</v>
      </c>
      <c r="V809" s="38">
        <f>(1000*CHOOSE(CONTROL!$C$42, 500, 500)*CHOOSE(CONTROL!$C$42, 0.275, 0.275)*CHOOSE(CONTROL!$C$42, 31, 31))/1000000</f>
        <v>4.2625000000000002</v>
      </c>
      <c r="W809" s="38">
        <f>(1000*CHOOSE(CONTROL!$C$42, 0.1146, 0.1146)*CHOOSE(CONTROL!$C$42, 121.5, 121.5)*CHOOSE(CONTROL!$C$42, 31, 31))/1000000</f>
        <v>0.43164089999999994</v>
      </c>
      <c r="X809" s="38">
        <f>(31*0.1790888*245000/1000000)+(31*0.2374*100000/1000000)</f>
        <v>2.0961194359999999</v>
      </c>
      <c r="Y809" s="38">
        <f>(1000*600*CHOOSE(CONTROL!$C$42, 1.0585, 1.0585)*CHOOSE(CONTROL!$C$42, 31, 31))/1000000</f>
        <v>19.688099999999999</v>
      </c>
      <c r="Z809" s="38"/>
      <c r="AA809" s="10"/>
      <c r="AB809" s="39"/>
      <c r="AC809" s="33">
        <f>(B809*194.205+C809*267.466+D809*133.845+E809*53.484+F809*40+G809*185+H809*0+I809*100+J809*300)/(194.205+267.466+133.845+53.484+0+40+185+100+300)</f>
        <v>26.827717517346937</v>
      </c>
      <c r="AD809" s="27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26.570844604316544</v>
      </c>
    </row>
    <row r="810" spans="1:30" ht="15.75" x14ac:dyDescent="0.25">
      <c r="A810" s="13">
        <v>65927</v>
      </c>
      <c r="B810" s="10">
        <f>CHOOSE(CONTROL!$C$42, 27.5844, 27.5844) * CHOOSE(CONTROL!$C$21, $C$9, 100%, $E$9)</f>
        <v>27.584399999999999</v>
      </c>
      <c r="C810" s="10">
        <f>CHOOSE(CONTROL!$C$42, 27.5924, 27.5924) * CHOOSE(CONTROL!$C$21, $C$9, 100%, $E$9)</f>
        <v>27.592400000000001</v>
      </c>
      <c r="D810" s="10">
        <f>CHOOSE(CONTROL!$C$42, 27.7675, 27.7675) * CHOOSE(CONTROL!$C$21, $C$9, 100%, $E$9)</f>
        <v>27.767499999999998</v>
      </c>
      <c r="E810" s="10">
        <f>CHOOSE(CONTROL!$C$42, 27.7987, 27.7987) * CHOOSE(CONTROL!$C$21, $C$9, 100%, $E$9)</f>
        <v>27.7987</v>
      </c>
      <c r="F810" s="10">
        <f>CHOOSE(CONTROL!$C$42, 27.5263, 27.5263)*CHOOSE(CONTROL!$C$21, $C$9, 100%, $E$9)</f>
        <v>27.526299999999999</v>
      </c>
      <c r="G810" s="10">
        <f>CHOOSE(CONTROL!$C$42, 27.5432, 27.5432)*CHOOSE(CONTROL!$C$21, $C$9, 100%, $E$9)</f>
        <v>27.543199999999999</v>
      </c>
      <c r="H810" s="10">
        <f>CHOOSE(CONTROL!$C$42, 27.7871, 27.7871) * CHOOSE(CONTROL!$C$21, $C$9, 100%, $E$9)</f>
        <v>27.787099999999999</v>
      </c>
      <c r="I810" s="10">
        <f>CHOOSE(CONTROL!$C$42, 27.559, 27.559)* CHOOSE(CONTROL!$C$21, $C$9, 100%, $E$9)</f>
        <v>27.559000000000001</v>
      </c>
      <c r="J810" s="10">
        <f>CHOOSE(CONTROL!$C$42, 27.5189, 27.5189)* CHOOSE(CONTROL!$C$21, $C$9, 100%, $E$9)</f>
        <v>27.518899999999999</v>
      </c>
      <c r="K810" s="10">
        <f>CHOOSE(CONTROL!$C$42, 26.8558, 26.8558) * CHOOSE(CONTROL!$C$21, $C$9, 100%, $E$9)</f>
        <v>26.855799999999999</v>
      </c>
      <c r="L810" s="10">
        <f>CHOOSE(CONTROL!$C$42, 28.3741, 28.3741) * CHOOSE(CONTROL!$C$21, $C$9, 100%, $E$9)</f>
        <v>28.374099999999999</v>
      </c>
      <c r="M810" s="10">
        <f>CHOOSE(CONTROL!$C$42, 27.1957, 27.1957) * CHOOSE(CONTROL!$C$21, $C$9, 100%, $E$9)</f>
        <v>27.195699999999999</v>
      </c>
      <c r="N810" s="10">
        <f>CHOOSE(CONTROL!$C$42, 27.2124, 27.2124) * CHOOSE(CONTROL!$C$21, $C$9, 100%, $E$9)</f>
        <v>27.212399999999999</v>
      </c>
      <c r="O810" s="10">
        <f>CHOOSE(CONTROL!$C$42, 27.4604, 27.4604) * CHOOSE(CONTROL!$C$21, $C$9, 100%, $E$9)</f>
        <v>27.4604</v>
      </c>
      <c r="P810" s="10">
        <f>CHOOSE(CONTROL!$C$42, 27.2354, 27.2354) * CHOOSE(CONTROL!$C$21, $C$9, 100%, $E$9)</f>
        <v>27.235399999999998</v>
      </c>
      <c r="Q810" s="10">
        <f>CHOOSE(CONTROL!$C$42, 28.0557, 28.0557) * CHOOSE(CONTROL!$C$21, $C$9, 100%, $E$9)</f>
        <v>28.055700000000002</v>
      </c>
      <c r="R810" s="10">
        <f>CHOOSE(CONTROL!$C$42, 28.7128, 28.7128) * CHOOSE(CONTROL!$C$21, $C$9, 100%, $E$9)</f>
        <v>28.712800000000001</v>
      </c>
      <c r="S810" s="10">
        <f>CHOOSE(CONTROL!$C$42, 26.7246, 26.7246) * CHOOSE(CONTROL!$C$21, $C$9, 100%, $E$9)</f>
        <v>26.724599999999999</v>
      </c>
      <c r="T81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38">
        <f>(1000*CHOOSE(CONTROL!$C$42, 695, 695)*CHOOSE(CONTROL!$C$42, 0.5599, 0.5599)*CHOOSE(CONTROL!$C$42, 30, 30))/1000000</f>
        <v>11.673914999999997</v>
      </c>
      <c r="V810" s="38">
        <f>(1000*CHOOSE(CONTROL!$C$42, 500, 500)*CHOOSE(CONTROL!$C$42, 0.275, 0.275)*CHOOSE(CONTROL!$C$42, 30, 30))/1000000</f>
        <v>4.125</v>
      </c>
      <c r="W810" s="38">
        <f>(1000*CHOOSE(CONTROL!$C$42, 0.1146, 0.1146)*CHOOSE(CONTROL!$C$42, 121.5, 121.5)*CHOOSE(CONTROL!$C$42, 30, 30))/1000000</f>
        <v>0.417717</v>
      </c>
      <c r="X810" s="38">
        <f>(30*0.1790888*245000/1000000)+(30*0.2374*100000/1000000)</f>
        <v>2.0285026799999999</v>
      </c>
      <c r="Y810" s="38">
        <f>(1000*600*CHOOSE(CONTROL!$C$42, 1.0585, 1.0585)*CHOOSE(CONTROL!$C$42, 30, 30))/1000000</f>
        <v>19.053000000000001</v>
      </c>
      <c r="Z810" s="38"/>
      <c r="AA810" s="10"/>
      <c r="AB810" s="39"/>
      <c r="AC810" s="33">
        <f>(B810*194.205+C810*267.466+D810*133.845+E810*53.484+F810*40+G810*185+H810*0+I810*100+J810*300)/(194.205+267.466+133.845+53.484+0+40+185+100+300)</f>
        <v>27.589087887519625</v>
      </c>
      <c r="AD810" s="27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27.322345323741004</v>
      </c>
    </row>
    <row r="811" spans="1:30" ht="15.75" x14ac:dyDescent="0.25">
      <c r="A811" s="13">
        <v>65958</v>
      </c>
      <c r="B811" s="10">
        <f>CHOOSE(CONTROL!$C$42, 27.0549, 27.0549) * CHOOSE(CONTROL!$C$21, $C$9, 100%, $E$9)</f>
        <v>27.0549</v>
      </c>
      <c r="C811" s="10">
        <f>CHOOSE(CONTROL!$C$42, 27.0629, 27.0629) * CHOOSE(CONTROL!$C$21, $C$9, 100%, $E$9)</f>
        <v>27.062899999999999</v>
      </c>
      <c r="D811" s="10">
        <f>CHOOSE(CONTROL!$C$42, 27.238, 27.238) * CHOOSE(CONTROL!$C$21, $C$9, 100%, $E$9)</f>
        <v>27.238</v>
      </c>
      <c r="E811" s="10">
        <f>CHOOSE(CONTROL!$C$42, 27.2693, 27.2693) * CHOOSE(CONTROL!$C$21, $C$9, 100%, $E$9)</f>
        <v>27.269300000000001</v>
      </c>
      <c r="F811" s="10">
        <f>CHOOSE(CONTROL!$C$42, 26.9971, 26.9971)*CHOOSE(CONTROL!$C$21, $C$9, 100%, $E$9)</f>
        <v>26.9971</v>
      </c>
      <c r="G811" s="10">
        <f>CHOOSE(CONTROL!$C$42, 27.0142, 27.0142)*CHOOSE(CONTROL!$C$21, $C$9, 100%, $E$9)</f>
        <v>27.014199999999999</v>
      </c>
      <c r="H811" s="10">
        <f>CHOOSE(CONTROL!$C$42, 27.2576, 27.2576) * CHOOSE(CONTROL!$C$21, $C$9, 100%, $E$9)</f>
        <v>27.2576</v>
      </c>
      <c r="I811" s="10">
        <f>CHOOSE(CONTROL!$C$42, 27.0296, 27.0296)* CHOOSE(CONTROL!$C$21, $C$9, 100%, $E$9)</f>
        <v>27.029599999999999</v>
      </c>
      <c r="J811" s="10">
        <f>CHOOSE(CONTROL!$C$42, 26.9897, 26.9897)* CHOOSE(CONTROL!$C$21, $C$9, 100%, $E$9)</f>
        <v>26.989699999999999</v>
      </c>
      <c r="K811" s="10">
        <f>CHOOSE(CONTROL!$C$42, 26.3436, 26.3436) * CHOOSE(CONTROL!$C$21, $C$9, 100%, $E$9)</f>
        <v>26.343599999999999</v>
      </c>
      <c r="L811" s="10">
        <f>CHOOSE(CONTROL!$C$42, 27.8446, 27.8446) * CHOOSE(CONTROL!$C$21, $C$9, 100%, $E$9)</f>
        <v>27.8446</v>
      </c>
      <c r="M811" s="10">
        <f>CHOOSE(CONTROL!$C$42, 26.6734, 26.6734) * CHOOSE(CONTROL!$C$21, $C$9, 100%, $E$9)</f>
        <v>26.673400000000001</v>
      </c>
      <c r="N811" s="10">
        <f>CHOOSE(CONTROL!$C$42, 26.6902, 26.6902) * CHOOSE(CONTROL!$C$21, $C$9, 100%, $E$9)</f>
        <v>26.690200000000001</v>
      </c>
      <c r="O811" s="10">
        <f>CHOOSE(CONTROL!$C$42, 26.9378, 26.9378) * CHOOSE(CONTROL!$C$21, $C$9, 100%, $E$9)</f>
        <v>26.937799999999999</v>
      </c>
      <c r="P811" s="10">
        <f>CHOOSE(CONTROL!$C$42, 26.7127, 26.7127) * CHOOSE(CONTROL!$C$21, $C$9, 100%, $E$9)</f>
        <v>26.712700000000002</v>
      </c>
      <c r="Q811" s="10">
        <f>CHOOSE(CONTROL!$C$42, 27.5331, 27.5331) * CHOOSE(CONTROL!$C$21, $C$9, 100%, $E$9)</f>
        <v>27.533100000000001</v>
      </c>
      <c r="R811" s="10">
        <f>CHOOSE(CONTROL!$C$42, 28.1889, 28.1889) * CHOOSE(CONTROL!$C$21, $C$9, 100%, $E$9)</f>
        <v>28.1889</v>
      </c>
      <c r="S811" s="10">
        <f>CHOOSE(CONTROL!$C$42, 26.2119, 26.2119) * CHOOSE(CONTROL!$C$21, $C$9, 100%, $E$9)</f>
        <v>26.2119</v>
      </c>
      <c r="T81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38">
        <f>(1000*CHOOSE(CONTROL!$C$42, 695, 695)*CHOOSE(CONTROL!$C$42, 0.5599, 0.5599)*CHOOSE(CONTROL!$C$42, 31, 31))/1000000</f>
        <v>12.063045499999998</v>
      </c>
      <c r="V811" s="38">
        <f>(1000*CHOOSE(CONTROL!$C$42, 500, 500)*CHOOSE(CONTROL!$C$42, 0.275, 0.275)*CHOOSE(CONTROL!$C$42, 31, 31))/1000000</f>
        <v>4.2625000000000002</v>
      </c>
      <c r="W811" s="38">
        <f>(1000*CHOOSE(CONTROL!$C$42, 0.1146, 0.1146)*CHOOSE(CONTROL!$C$42, 121.5, 121.5)*CHOOSE(CONTROL!$C$42, 31, 31))/1000000</f>
        <v>0.43164089999999994</v>
      </c>
      <c r="X811" s="38">
        <f>(31*0.1790888*245000/1000000)+(31*0.2374*100000/1000000)</f>
        <v>2.0961194359999999</v>
      </c>
      <c r="Y811" s="38">
        <f>(1000*600*CHOOSE(CONTROL!$C$42, 1.0585, 1.0585)*CHOOSE(CONTROL!$C$42, 31, 31))/1000000</f>
        <v>19.688099999999999</v>
      </c>
      <c r="Z811" s="38"/>
      <c r="AA811" s="10"/>
      <c r="AB811" s="39"/>
      <c r="AC811" s="33">
        <f>(B811*194.205+C811*267.466+D811*133.845+E811*53.484+F811*40+G811*185+H811*0+I811*100+J811*300)/(194.205+267.466+133.845+53.484+0+40+185+100+300)</f>
        <v>27.059752603689173</v>
      </c>
      <c r="AD811" s="27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26.79985755395683</v>
      </c>
    </row>
    <row r="812" spans="1:30" ht="15.75" x14ac:dyDescent="0.25">
      <c r="A812" s="13">
        <v>65989</v>
      </c>
      <c r="B812" s="10">
        <f>CHOOSE(CONTROL!$C$42, 25.7178, 25.7178) * CHOOSE(CONTROL!$C$21, $C$9, 100%, $E$9)</f>
        <v>25.7178</v>
      </c>
      <c r="C812" s="10">
        <f>CHOOSE(CONTROL!$C$42, 25.7258, 25.7258) * CHOOSE(CONTROL!$C$21, $C$9, 100%, $E$9)</f>
        <v>25.7258</v>
      </c>
      <c r="D812" s="10">
        <f>CHOOSE(CONTROL!$C$42, 25.901, 25.901) * CHOOSE(CONTROL!$C$21, $C$9, 100%, $E$9)</f>
        <v>25.901</v>
      </c>
      <c r="E812" s="10">
        <f>CHOOSE(CONTROL!$C$42, 25.9322, 25.9322) * CHOOSE(CONTROL!$C$21, $C$9, 100%, $E$9)</f>
        <v>25.932200000000002</v>
      </c>
      <c r="F812" s="10">
        <f>CHOOSE(CONTROL!$C$42, 25.66, 25.66)*CHOOSE(CONTROL!$C$21, $C$9, 100%, $E$9)</f>
        <v>25.66</v>
      </c>
      <c r="G812" s="10">
        <f>CHOOSE(CONTROL!$C$42, 25.677, 25.677)*CHOOSE(CONTROL!$C$21, $C$9, 100%, $E$9)</f>
        <v>25.677</v>
      </c>
      <c r="H812" s="10">
        <f>CHOOSE(CONTROL!$C$42, 25.9205, 25.9205) * CHOOSE(CONTROL!$C$21, $C$9, 100%, $E$9)</f>
        <v>25.920500000000001</v>
      </c>
      <c r="I812" s="10">
        <f>CHOOSE(CONTROL!$C$42, 25.6925, 25.6925)* CHOOSE(CONTROL!$C$21, $C$9, 100%, $E$9)</f>
        <v>25.692499999999999</v>
      </c>
      <c r="J812" s="10">
        <f>CHOOSE(CONTROL!$C$42, 25.6526, 25.6526)* CHOOSE(CONTROL!$C$21, $C$9, 100%, $E$9)</f>
        <v>25.6526</v>
      </c>
      <c r="K812" s="10">
        <f>CHOOSE(CONTROL!$C$42, 25.048, 25.048) * CHOOSE(CONTROL!$C$21, $C$9, 100%, $E$9)</f>
        <v>25.047999999999998</v>
      </c>
      <c r="L812" s="10">
        <f>CHOOSE(CONTROL!$C$42, 26.5075, 26.5075) * CHOOSE(CONTROL!$C$21, $C$9, 100%, $E$9)</f>
        <v>26.5075</v>
      </c>
      <c r="M812" s="10">
        <f>CHOOSE(CONTROL!$C$42, 25.3535, 25.3535) * CHOOSE(CONTROL!$C$21, $C$9, 100%, $E$9)</f>
        <v>25.3535</v>
      </c>
      <c r="N812" s="10">
        <f>CHOOSE(CONTROL!$C$42, 25.3703, 25.3703) * CHOOSE(CONTROL!$C$21, $C$9, 100%, $E$9)</f>
        <v>25.3703</v>
      </c>
      <c r="O812" s="10">
        <f>CHOOSE(CONTROL!$C$42, 25.618, 25.618) * CHOOSE(CONTROL!$C$21, $C$9, 100%, $E$9)</f>
        <v>25.617999999999999</v>
      </c>
      <c r="P812" s="10">
        <f>CHOOSE(CONTROL!$C$42, 25.393, 25.393) * CHOOSE(CONTROL!$C$21, $C$9, 100%, $E$9)</f>
        <v>25.393000000000001</v>
      </c>
      <c r="Q812" s="10">
        <f>CHOOSE(CONTROL!$C$42, 26.2133, 26.2133) * CHOOSE(CONTROL!$C$21, $C$9, 100%, $E$9)</f>
        <v>26.2133</v>
      </c>
      <c r="R812" s="10">
        <f>CHOOSE(CONTROL!$C$42, 26.8658, 26.8658) * CHOOSE(CONTROL!$C$21, $C$9, 100%, $E$9)</f>
        <v>26.8658</v>
      </c>
      <c r="S812" s="10">
        <f>CHOOSE(CONTROL!$C$42, 24.9172, 24.9172) * CHOOSE(CONTROL!$C$21, $C$9, 100%, $E$9)</f>
        <v>24.917200000000001</v>
      </c>
      <c r="T81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38">
        <f>(1000*CHOOSE(CONTROL!$C$42, 695, 695)*CHOOSE(CONTROL!$C$42, 0.5599, 0.5599)*CHOOSE(CONTROL!$C$42, 31, 31))/1000000</f>
        <v>12.063045499999998</v>
      </c>
      <c r="V812" s="38">
        <f>(1000*CHOOSE(CONTROL!$C$42, 500, 500)*CHOOSE(CONTROL!$C$42, 0.275, 0.275)*CHOOSE(CONTROL!$C$42, 31, 31))/1000000</f>
        <v>4.2625000000000002</v>
      </c>
      <c r="W812" s="38">
        <f>(1000*CHOOSE(CONTROL!$C$42, 0.1146, 0.1146)*CHOOSE(CONTROL!$C$42, 121.5, 121.5)*CHOOSE(CONTROL!$C$42, 31, 31))/1000000</f>
        <v>0.43164089999999994</v>
      </c>
      <c r="X812" s="38">
        <f>(31*0.1790888*245000/1000000)+(31*0.2374*100000/1000000)</f>
        <v>2.0961194359999999</v>
      </c>
      <c r="Y812" s="38">
        <f>(1000*600*CHOOSE(CONTROL!$C$42, 1.0585, 1.0585)*CHOOSE(CONTROL!$C$42, 31, 31))/1000000</f>
        <v>19.688099999999999</v>
      </c>
      <c r="Z812" s="38"/>
      <c r="AA812" s="10"/>
      <c r="AB812" s="39"/>
      <c r="AC812" s="33">
        <f>(B812*194.205+C812*267.466+D812*133.845+E812*53.484+F812*40+G812*185+H812*0+I812*100+J812*300)/(194.205+267.466+133.845+53.484+0+40+185+100+300)</f>
        <v>25.722648588383045</v>
      </c>
      <c r="AD812" s="27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25.480031654676257</v>
      </c>
    </row>
    <row r="813" spans="1:30" ht="15.75" x14ac:dyDescent="0.25">
      <c r="A813" s="13">
        <v>66019</v>
      </c>
      <c r="B813" s="10">
        <f>CHOOSE(CONTROL!$C$42, 24.0842, 24.0842) * CHOOSE(CONTROL!$C$21, $C$9, 100%, $E$9)</f>
        <v>24.084199999999999</v>
      </c>
      <c r="C813" s="10">
        <f>CHOOSE(CONTROL!$C$42, 24.0922, 24.0922) * CHOOSE(CONTROL!$C$21, $C$9, 100%, $E$9)</f>
        <v>24.092199999999998</v>
      </c>
      <c r="D813" s="10">
        <f>CHOOSE(CONTROL!$C$42, 24.2673, 24.2673) * CHOOSE(CONTROL!$C$21, $C$9, 100%, $E$9)</f>
        <v>24.267299999999999</v>
      </c>
      <c r="E813" s="10">
        <f>CHOOSE(CONTROL!$C$42, 24.2985, 24.2985) * CHOOSE(CONTROL!$C$21, $C$9, 100%, $E$9)</f>
        <v>24.298500000000001</v>
      </c>
      <c r="F813" s="10">
        <f>CHOOSE(CONTROL!$C$42, 24.026, 24.026)*CHOOSE(CONTROL!$C$21, $C$9, 100%, $E$9)</f>
        <v>24.026</v>
      </c>
      <c r="G813" s="10">
        <f>CHOOSE(CONTROL!$C$42, 24.0429, 24.0429)*CHOOSE(CONTROL!$C$21, $C$9, 100%, $E$9)</f>
        <v>24.042899999999999</v>
      </c>
      <c r="H813" s="10">
        <f>CHOOSE(CONTROL!$C$42, 24.2869, 24.2869) * CHOOSE(CONTROL!$C$21, $C$9, 100%, $E$9)</f>
        <v>24.286899999999999</v>
      </c>
      <c r="I813" s="10">
        <f>CHOOSE(CONTROL!$C$42, 24.0588, 24.0588)* CHOOSE(CONTROL!$C$21, $C$9, 100%, $E$9)</f>
        <v>24.058800000000002</v>
      </c>
      <c r="J813" s="10">
        <f>CHOOSE(CONTROL!$C$42, 24.0186, 24.0186)* CHOOSE(CONTROL!$C$21, $C$9, 100%, $E$9)</f>
        <v>24.018599999999999</v>
      </c>
      <c r="K813" s="10">
        <f>CHOOSE(CONTROL!$C$42, 23.4647, 23.4647) * CHOOSE(CONTROL!$C$21, $C$9, 100%, $E$9)</f>
        <v>23.464700000000001</v>
      </c>
      <c r="L813" s="10">
        <f>CHOOSE(CONTROL!$C$42, 24.8739, 24.8739) * CHOOSE(CONTROL!$C$21, $C$9, 100%, $E$9)</f>
        <v>24.873899999999999</v>
      </c>
      <c r="M813" s="10">
        <f>CHOOSE(CONTROL!$C$42, 23.7407, 23.7407) * CHOOSE(CONTROL!$C$21, $C$9, 100%, $E$9)</f>
        <v>23.7407</v>
      </c>
      <c r="N813" s="10">
        <f>CHOOSE(CONTROL!$C$42, 23.7574, 23.7574) * CHOOSE(CONTROL!$C$21, $C$9, 100%, $E$9)</f>
        <v>23.757400000000001</v>
      </c>
      <c r="O813" s="10">
        <f>CHOOSE(CONTROL!$C$42, 24.0055, 24.0055) * CHOOSE(CONTROL!$C$21, $C$9, 100%, $E$9)</f>
        <v>24.005500000000001</v>
      </c>
      <c r="P813" s="10">
        <f>CHOOSE(CONTROL!$C$42, 23.7805, 23.7805) * CHOOSE(CONTROL!$C$21, $C$9, 100%, $E$9)</f>
        <v>23.7805</v>
      </c>
      <c r="Q813" s="10">
        <f>CHOOSE(CONTROL!$C$42, 24.6008, 24.6008) * CHOOSE(CONTROL!$C$21, $C$9, 100%, $E$9)</f>
        <v>24.6008</v>
      </c>
      <c r="R813" s="10">
        <f>CHOOSE(CONTROL!$C$42, 25.2493, 25.2493) * CHOOSE(CONTROL!$C$21, $C$9, 100%, $E$9)</f>
        <v>25.249300000000002</v>
      </c>
      <c r="S813" s="10">
        <f>CHOOSE(CONTROL!$C$42, 23.3353, 23.3353) * CHOOSE(CONTROL!$C$21, $C$9, 100%, $E$9)</f>
        <v>23.3353</v>
      </c>
      <c r="T81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38">
        <f>(1000*CHOOSE(CONTROL!$C$42, 695, 695)*CHOOSE(CONTROL!$C$42, 0.5599, 0.5599)*CHOOSE(CONTROL!$C$42, 30, 30))/1000000</f>
        <v>11.673914999999997</v>
      </c>
      <c r="V813" s="38">
        <f>(1000*CHOOSE(CONTROL!$C$42, 500, 500)*CHOOSE(CONTROL!$C$42, 0.275, 0.275)*CHOOSE(CONTROL!$C$42, 30, 30))/1000000</f>
        <v>4.125</v>
      </c>
      <c r="W813" s="38">
        <f>(1000*CHOOSE(CONTROL!$C$42, 0.1146, 0.1146)*CHOOSE(CONTROL!$C$42, 121.5, 121.5)*CHOOSE(CONTROL!$C$42, 30, 30))/1000000</f>
        <v>0.417717</v>
      </c>
      <c r="X813" s="38">
        <f>(30*0.1790888*245000/1000000)+(30*0.2374*100000/1000000)</f>
        <v>2.0285026799999999</v>
      </c>
      <c r="Y813" s="38">
        <f>(1000*600*CHOOSE(CONTROL!$C$42, 1.0585, 1.0585)*CHOOSE(CONTROL!$C$42, 30, 30))/1000000</f>
        <v>19.053000000000001</v>
      </c>
      <c r="Z813" s="38"/>
      <c r="AA813" s="10"/>
      <c r="AB813" s="39"/>
      <c r="AC813" s="33">
        <f>(B813*194.205+C813*267.466+D813*133.845+E813*53.484+F813*40+G813*185+H813*0+I813*100+J813*300)/(194.205+267.466+133.845+53.484+0+40+185+100+300)</f>
        <v>24.088846678728416</v>
      </c>
      <c r="AD813" s="27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23.867405035971224</v>
      </c>
    </row>
    <row r="814" spans="1:30" ht="15.75" x14ac:dyDescent="0.25">
      <c r="A814" s="13">
        <v>66050</v>
      </c>
      <c r="B814" s="10">
        <f>CHOOSE(CONTROL!$C$42, 23.5928, 23.5928) * CHOOSE(CONTROL!$C$21, $C$9, 100%, $E$9)</f>
        <v>23.5928</v>
      </c>
      <c r="C814" s="10">
        <f>CHOOSE(CONTROL!$C$42, 23.5981, 23.5981) * CHOOSE(CONTROL!$C$21, $C$9, 100%, $E$9)</f>
        <v>23.598099999999999</v>
      </c>
      <c r="D814" s="10">
        <f>CHOOSE(CONTROL!$C$42, 23.7781, 23.7781) * CHOOSE(CONTROL!$C$21, $C$9, 100%, $E$9)</f>
        <v>23.778099999999998</v>
      </c>
      <c r="E814" s="10">
        <f>CHOOSE(CONTROL!$C$42, 23.8071, 23.8071) * CHOOSE(CONTROL!$C$21, $C$9, 100%, $E$9)</f>
        <v>23.807099999999998</v>
      </c>
      <c r="F814" s="10">
        <f>CHOOSE(CONTROL!$C$42, 23.5366, 23.5366)*CHOOSE(CONTROL!$C$21, $C$9, 100%, $E$9)</f>
        <v>23.5366</v>
      </c>
      <c r="G814" s="10">
        <f>CHOOSE(CONTROL!$C$42, 23.5532, 23.5532)*CHOOSE(CONTROL!$C$21, $C$9, 100%, $E$9)</f>
        <v>23.5532</v>
      </c>
      <c r="H814" s="10">
        <f>CHOOSE(CONTROL!$C$42, 23.7972, 23.7972) * CHOOSE(CONTROL!$C$21, $C$9, 100%, $E$9)</f>
        <v>23.7972</v>
      </c>
      <c r="I814" s="10">
        <f>CHOOSE(CONTROL!$C$42, 23.5692, 23.5692)* CHOOSE(CONTROL!$C$21, $C$9, 100%, $E$9)</f>
        <v>23.569199999999999</v>
      </c>
      <c r="J814" s="10">
        <f>CHOOSE(CONTROL!$C$42, 23.5292, 23.5292)* CHOOSE(CONTROL!$C$21, $C$9, 100%, $E$9)</f>
        <v>23.529199999999999</v>
      </c>
      <c r="K814" s="10">
        <f>CHOOSE(CONTROL!$C$42, 22.9908, 22.9908) * CHOOSE(CONTROL!$C$21, $C$9, 100%, $E$9)</f>
        <v>22.9908</v>
      </c>
      <c r="L814" s="10">
        <f>CHOOSE(CONTROL!$C$42, 24.3842, 24.3842) * CHOOSE(CONTROL!$C$21, $C$9, 100%, $E$9)</f>
        <v>24.3842</v>
      </c>
      <c r="M814" s="10">
        <f>CHOOSE(CONTROL!$C$42, 23.2576, 23.2576) * CHOOSE(CONTROL!$C$21, $C$9, 100%, $E$9)</f>
        <v>23.2576</v>
      </c>
      <c r="N814" s="10">
        <f>CHOOSE(CONTROL!$C$42, 23.274, 23.274) * CHOOSE(CONTROL!$C$21, $C$9, 100%, $E$9)</f>
        <v>23.274000000000001</v>
      </c>
      <c r="O814" s="10">
        <f>CHOOSE(CONTROL!$C$42, 23.5222, 23.5222) * CHOOSE(CONTROL!$C$21, $C$9, 100%, $E$9)</f>
        <v>23.522200000000002</v>
      </c>
      <c r="P814" s="10">
        <f>CHOOSE(CONTROL!$C$42, 23.2971, 23.2971) * CHOOSE(CONTROL!$C$21, $C$9, 100%, $E$9)</f>
        <v>23.2971</v>
      </c>
      <c r="Q814" s="10">
        <f>CHOOSE(CONTROL!$C$42, 24.1175, 24.1175) * CHOOSE(CONTROL!$C$21, $C$9, 100%, $E$9)</f>
        <v>24.1175</v>
      </c>
      <c r="R814" s="10">
        <f>CHOOSE(CONTROL!$C$42, 24.7647, 24.7647) * CHOOSE(CONTROL!$C$21, $C$9, 100%, $E$9)</f>
        <v>24.764700000000001</v>
      </c>
      <c r="S814" s="10">
        <f>CHOOSE(CONTROL!$C$42, 22.8612, 22.8612) * CHOOSE(CONTROL!$C$21, $C$9, 100%, $E$9)</f>
        <v>22.8612</v>
      </c>
      <c r="T81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38">
        <f>(1000*CHOOSE(CONTROL!$C$42, 695, 695)*CHOOSE(CONTROL!$C$42, 0.5599, 0.5599)*CHOOSE(CONTROL!$C$42, 31, 31))/1000000</f>
        <v>12.063045499999998</v>
      </c>
      <c r="V814" s="38">
        <f>(1000*CHOOSE(CONTROL!$C$42, 500, 500)*CHOOSE(CONTROL!$C$42, 0.275, 0.275)*CHOOSE(CONTROL!$C$42, 31, 31))/1000000</f>
        <v>4.2625000000000002</v>
      </c>
      <c r="W814" s="38">
        <f>(1000*CHOOSE(CONTROL!$C$42, 0.1146, 0.1146)*CHOOSE(CONTROL!$C$42, 121.5, 121.5)*CHOOSE(CONTROL!$C$42, 31, 31))/1000000</f>
        <v>0.43164089999999994</v>
      </c>
      <c r="X814" s="38">
        <f>(31*0.1790888*245000/1000000)+(31*0.2374*100000/1000000)</f>
        <v>2.0961194359999999</v>
      </c>
      <c r="Y814" s="38">
        <f>(1000*600*CHOOSE(CONTROL!$C$42, 1.0585, 1.0585)*CHOOSE(CONTROL!$C$42, 31, 31))/1000000</f>
        <v>19.688099999999999</v>
      </c>
      <c r="Z814" s="38"/>
      <c r="AA814" s="10"/>
      <c r="AB814" s="39"/>
      <c r="AC814" s="33">
        <f>(B814*131.881+C814*277.167+D814*79.08+E814*125.872+F814*40+G814*185+H814*0+I814*100+J814*300)/(131.881+277.167+79.08+125.872+0+40+185+100+300)</f>
        <v>23.602552121630346</v>
      </c>
      <c r="AD814" s="27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23.384153956834535</v>
      </c>
    </row>
    <row r="815" spans="1:30" ht="15.75" x14ac:dyDescent="0.25">
      <c r="A815" s="13">
        <v>66080</v>
      </c>
      <c r="B815" s="10">
        <f>CHOOSE(CONTROL!$C$42, 24.2143, 24.2143) * CHOOSE(CONTROL!$C$21, $C$9, 100%, $E$9)</f>
        <v>24.214300000000001</v>
      </c>
      <c r="C815" s="10">
        <f>CHOOSE(CONTROL!$C$42, 24.2194, 24.2194) * CHOOSE(CONTROL!$C$21, $C$9, 100%, $E$9)</f>
        <v>24.2194</v>
      </c>
      <c r="D815" s="10">
        <f>CHOOSE(CONTROL!$C$42, 24.2441, 24.2441) * CHOOSE(CONTROL!$C$21, $C$9, 100%, $E$9)</f>
        <v>24.2441</v>
      </c>
      <c r="E815" s="10">
        <f>CHOOSE(CONTROL!$C$42, 24.2779, 24.2779) * CHOOSE(CONTROL!$C$21, $C$9, 100%, $E$9)</f>
        <v>24.277899999999999</v>
      </c>
      <c r="F815" s="10">
        <f>CHOOSE(CONTROL!$C$42, 24.18, 24.18)*CHOOSE(CONTROL!$C$21, $C$9, 100%, $E$9)</f>
        <v>24.18</v>
      </c>
      <c r="G815" s="10">
        <f>CHOOSE(CONTROL!$C$42, 24.1968, 24.1968)*CHOOSE(CONTROL!$C$21, $C$9, 100%, $E$9)</f>
        <v>24.1968</v>
      </c>
      <c r="H815" s="10">
        <f>CHOOSE(CONTROL!$C$42, 24.2668, 24.2668) * CHOOSE(CONTROL!$C$21, $C$9, 100%, $E$9)</f>
        <v>24.2668</v>
      </c>
      <c r="I815" s="10">
        <f>CHOOSE(CONTROL!$C$42, 24.2138, 24.2138)* CHOOSE(CONTROL!$C$21, $C$9, 100%, $E$9)</f>
        <v>24.213799999999999</v>
      </c>
      <c r="J815" s="10">
        <f>CHOOSE(CONTROL!$C$42, 24.1726, 24.1726)* CHOOSE(CONTROL!$C$21, $C$9, 100%, $E$9)</f>
        <v>24.172599999999999</v>
      </c>
      <c r="K815" s="10">
        <f>CHOOSE(CONTROL!$C$42, 23.6172, 23.6172) * CHOOSE(CONTROL!$C$21, $C$9, 100%, $E$9)</f>
        <v>23.6172</v>
      </c>
      <c r="L815" s="10">
        <f>CHOOSE(CONTROL!$C$42, 24.8538, 24.8538) * CHOOSE(CONTROL!$C$21, $C$9, 100%, $E$9)</f>
        <v>24.8538</v>
      </c>
      <c r="M815" s="10">
        <f>CHOOSE(CONTROL!$C$42, 23.8927, 23.8927) * CHOOSE(CONTROL!$C$21, $C$9, 100%, $E$9)</f>
        <v>23.892700000000001</v>
      </c>
      <c r="N815" s="10">
        <f>CHOOSE(CONTROL!$C$42, 23.9093, 23.9093) * CHOOSE(CONTROL!$C$21, $C$9, 100%, $E$9)</f>
        <v>23.909300000000002</v>
      </c>
      <c r="O815" s="10">
        <f>CHOOSE(CONTROL!$C$42, 23.9857, 23.9857) * CHOOSE(CONTROL!$C$21, $C$9, 100%, $E$9)</f>
        <v>23.985700000000001</v>
      </c>
      <c r="P815" s="10">
        <f>CHOOSE(CONTROL!$C$42, 23.9335, 23.9335) * CHOOSE(CONTROL!$C$21, $C$9, 100%, $E$9)</f>
        <v>23.933499999999999</v>
      </c>
      <c r="Q815" s="10">
        <f>CHOOSE(CONTROL!$C$42, 24.581, 24.581) * CHOOSE(CONTROL!$C$21, $C$9, 100%, $E$9)</f>
        <v>24.581</v>
      </c>
      <c r="R815" s="10">
        <f>CHOOSE(CONTROL!$C$42, 25.2295, 25.2295) * CHOOSE(CONTROL!$C$21, $C$9, 100%, $E$9)</f>
        <v>25.229500000000002</v>
      </c>
      <c r="S815" s="10">
        <f>CHOOSE(CONTROL!$C$42, 23.4634, 23.4634) * CHOOSE(CONTROL!$C$21, $C$9, 100%, $E$9)</f>
        <v>23.4634</v>
      </c>
      <c r="T81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38">
        <f>(1000*CHOOSE(CONTROL!$C$42, 695, 695)*CHOOSE(CONTROL!$C$42, 0.5599, 0.5599)*CHOOSE(CONTROL!$C$42, 30, 30))/1000000</f>
        <v>11.673914999999997</v>
      </c>
      <c r="V815" s="38">
        <f>(1000*CHOOSE(CONTROL!$C$42, 500, 500)*CHOOSE(CONTROL!$C$42, 0.275, 0.275)*CHOOSE(CONTROL!$C$42, 30, 30))/1000000</f>
        <v>4.125</v>
      </c>
      <c r="W815" s="38">
        <f>(1000*CHOOSE(CONTROL!$C$42, 0.1146, 0.1146)*CHOOSE(CONTROL!$C$42, 121.5, 121.5)*CHOOSE(CONTROL!$C$42, 30, 30))/1000000</f>
        <v>0.417717</v>
      </c>
      <c r="X815" s="38">
        <f>(30*0.1790888*100000/1000000)+(30*0.2374*100000/1000000)</f>
        <v>1.2494664</v>
      </c>
      <c r="Y815" s="38">
        <f>(1000*600*CHOOSE(CONTROL!$C$42, 1.0585, 1.0585)*CHOOSE(CONTROL!$C$42, 30, 30))/1000000</f>
        <v>19.053000000000001</v>
      </c>
      <c r="Z815" s="38"/>
      <c r="AA815" s="10"/>
      <c r="AB815" s="39"/>
      <c r="AC815" s="33">
        <f>(B815*122.58+C815*297.941+D815*89.177+E815*40.302+F815*40+G815*160+H815*0+I815*100+J815*300)/(122.58+297.941+89.177+40.302+0+40+160+100+300)</f>
        <v>24.205611461652175</v>
      </c>
      <c r="AD815" s="27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23.941676978417263</v>
      </c>
    </row>
    <row r="816" spans="1:30" ht="15.75" x14ac:dyDescent="0.25">
      <c r="A816" s="13">
        <v>66111</v>
      </c>
      <c r="B816" s="10">
        <f>CHOOSE(CONTROL!$C$42, 25.8664, 25.8664) * CHOOSE(CONTROL!$C$21, $C$9, 100%, $E$9)</f>
        <v>25.866399999999999</v>
      </c>
      <c r="C816" s="10">
        <f>CHOOSE(CONTROL!$C$42, 25.8715, 25.8715) * CHOOSE(CONTROL!$C$21, $C$9, 100%, $E$9)</f>
        <v>25.871500000000001</v>
      </c>
      <c r="D816" s="10">
        <f>CHOOSE(CONTROL!$C$42, 25.8962, 25.8962) * CHOOSE(CONTROL!$C$21, $C$9, 100%, $E$9)</f>
        <v>25.8962</v>
      </c>
      <c r="E816" s="10">
        <f>CHOOSE(CONTROL!$C$42, 25.93, 25.93) * CHOOSE(CONTROL!$C$21, $C$9, 100%, $E$9)</f>
        <v>25.93</v>
      </c>
      <c r="F816" s="10">
        <f>CHOOSE(CONTROL!$C$42, 25.8338, 25.8338)*CHOOSE(CONTROL!$C$21, $C$9, 100%, $E$9)</f>
        <v>25.8338</v>
      </c>
      <c r="G816" s="10">
        <f>CHOOSE(CONTROL!$C$42, 25.8511, 25.8511)*CHOOSE(CONTROL!$C$21, $C$9, 100%, $E$9)</f>
        <v>25.851099999999999</v>
      </c>
      <c r="H816" s="10">
        <f>CHOOSE(CONTROL!$C$42, 25.9189, 25.9189) * CHOOSE(CONTROL!$C$21, $C$9, 100%, $E$9)</f>
        <v>25.918900000000001</v>
      </c>
      <c r="I816" s="10">
        <f>CHOOSE(CONTROL!$C$42, 25.8659, 25.8659)* CHOOSE(CONTROL!$C$21, $C$9, 100%, $E$9)</f>
        <v>25.8659</v>
      </c>
      <c r="J816" s="10">
        <f>CHOOSE(CONTROL!$C$42, 25.8264, 25.8264)* CHOOSE(CONTROL!$C$21, $C$9, 100%, $E$9)</f>
        <v>25.8264</v>
      </c>
      <c r="K816" s="10">
        <f>CHOOSE(CONTROL!$C$42, 25.2215, 25.2215) * CHOOSE(CONTROL!$C$21, $C$9, 100%, $E$9)</f>
        <v>25.221499999999999</v>
      </c>
      <c r="L816" s="10">
        <f>CHOOSE(CONTROL!$C$42, 26.5059, 26.5059) * CHOOSE(CONTROL!$C$21, $C$9, 100%, $E$9)</f>
        <v>26.5059</v>
      </c>
      <c r="M816" s="10">
        <f>CHOOSE(CONTROL!$C$42, 25.5251, 25.5251) * CHOOSE(CONTROL!$C$21, $C$9, 100%, $E$9)</f>
        <v>25.525099999999998</v>
      </c>
      <c r="N816" s="10">
        <f>CHOOSE(CONTROL!$C$42, 25.5422, 25.5422) * CHOOSE(CONTROL!$C$21, $C$9, 100%, $E$9)</f>
        <v>25.542200000000001</v>
      </c>
      <c r="O816" s="10">
        <f>CHOOSE(CONTROL!$C$42, 25.6164, 25.6164) * CHOOSE(CONTROL!$C$21, $C$9, 100%, $E$9)</f>
        <v>25.616399999999999</v>
      </c>
      <c r="P816" s="10">
        <f>CHOOSE(CONTROL!$C$42, 25.5641, 25.5641) * CHOOSE(CONTROL!$C$21, $C$9, 100%, $E$9)</f>
        <v>25.5641</v>
      </c>
      <c r="Q816" s="10">
        <f>CHOOSE(CONTROL!$C$42, 26.2117, 26.2117) * CHOOSE(CONTROL!$C$21, $C$9, 100%, $E$9)</f>
        <v>26.2117</v>
      </c>
      <c r="R816" s="10">
        <f>CHOOSE(CONTROL!$C$42, 26.8642, 26.8642) * CHOOSE(CONTROL!$C$21, $C$9, 100%, $E$9)</f>
        <v>26.8642</v>
      </c>
      <c r="S816" s="10">
        <f>CHOOSE(CONTROL!$C$42, 25.0631, 25.0631) * CHOOSE(CONTROL!$C$21, $C$9, 100%, $E$9)</f>
        <v>25.063099999999999</v>
      </c>
      <c r="T81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38">
        <f>(1000*CHOOSE(CONTROL!$C$42, 695, 695)*CHOOSE(CONTROL!$C$42, 0.5599, 0.5599)*CHOOSE(CONTROL!$C$42, 31, 31))/1000000</f>
        <v>12.063045499999998</v>
      </c>
      <c r="V816" s="38">
        <f>(1000*CHOOSE(CONTROL!$C$42, 500, 500)*CHOOSE(CONTROL!$C$42, 0.275, 0.275)*CHOOSE(CONTROL!$C$42, 31, 31))/1000000</f>
        <v>4.2625000000000002</v>
      </c>
      <c r="W816" s="38">
        <f>(1000*CHOOSE(CONTROL!$C$42, 0.1146, 0.1146)*CHOOSE(CONTROL!$C$42, 121.5, 121.5)*CHOOSE(CONTROL!$C$42, 31, 31))/1000000</f>
        <v>0.43164089999999994</v>
      </c>
      <c r="X816" s="38">
        <f>(31*0.1790888*100000/1000000)+(31*0.2374*100000/1000000)</f>
        <v>1.2911152800000001</v>
      </c>
      <c r="Y816" s="38">
        <f>(1000*600*CHOOSE(CONTROL!$C$42, 1.0585, 1.0585)*CHOOSE(CONTROL!$C$42, 31, 31))/1000000</f>
        <v>19.688099999999999</v>
      </c>
      <c r="Z816" s="38"/>
      <c r="AA816" s="10"/>
      <c r="AB816" s="39"/>
      <c r="AC816" s="33">
        <f>(B816*122.58+C816*297.941+D816*89.177+E816*40.302+F816*40+G816*160+H816*0+I816*100+J816*300)/(122.58+297.941+89.177+40.302+0+40+160+100+300)</f>
        <v>25.858520157304344</v>
      </c>
      <c r="AD816" s="27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25.573076258992806</v>
      </c>
    </row>
    <row r="817" spans="1:30" ht="15.75" x14ac:dyDescent="0.25">
      <c r="A817" s="13">
        <v>66142</v>
      </c>
      <c r="B817" s="10">
        <f>CHOOSE(CONTROL!$C$42, 27.6133, 27.6133) * CHOOSE(CONTROL!$C$21, $C$9, 100%, $E$9)</f>
        <v>27.613299999999999</v>
      </c>
      <c r="C817" s="10">
        <f>CHOOSE(CONTROL!$C$42, 27.6184, 27.6184) * CHOOSE(CONTROL!$C$21, $C$9, 100%, $E$9)</f>
        <v>27.618400000000001</v>
      </c>
      <c r="D817" s="10">
        <f>CHOOSE(CONTROL!$C$42, 27.6534, 27.6534) * CHOOSE(CONTROL!$C$21, $C$9, 100%, $E$9)</f>
        <v>27.653400000000001</v>
      </c>
      <c r="E817" s="10">
        <f>CHOOSE(CONTROL!$C$42, 27.6873, 27.6873) * CHOOSE(CONTROL!$C$21, $C$9, 100%, $E$9)</f>
        <v>27.6873</v>
      </c>
      <c r="F817" s="10">
        <f>CHOOSE(CONTROL!$C$42, 27.5946, 27.5946)*CHOOSE(CONTROL!$C$21, $C$9, 100%, $E$9)</f>
        <v>27.5946</v>
      </c>
      <c r="G817" s="10">
        <f>CHOOSE(CONTROL!$C$42, 27.6135, 27.6135)*CHOOSE(CONTROL!$C$21, $C$9, 100%, $E$9)</f>
        <v>27.613499999999998</v>
      </c>
      <c r="H817" s="10">
        <f>CHOOSE(CONTROL!$C$42, 27.6761, 27.6761) * CHOOSE(CONTROL!$C$21, $C$9, 100%, $E$9)</f>
        <v>27.676100000000002</v>
      </c>
      <c r="I817" s="10">
        <f>CHOOSE(CONTROL!$C$42, 27.6206, 27.6206)* CHOOSE(CONTROL!$C$21, $C$9, 100%, $E$9)</f>
        <v>27.6206</v>
      </c>
      <c r="J817" s="10">
        <f>CHOOSE(CONTROL!$C$42, 27.5872, 27.5872)* CHOOSE(CONTROL!$C$21, $C$9, 100%, $E$9)</f>
        <v>27.587199999999999</v>
      </c>
      <c r="K817" s="10">
        <f>CHOOSE(CONTROL!$C$42, 26.9347, 26.9347) * CHOOSE(CONTROL!$C$21, $C$9, 100%, $E$9)</f>
        <v>26.934699999999999</v>
      </c>
      <c r="L817" s="10">
        <f>CHOOSE(CONTROL!$C$42, 28.2631, 28.2631) * CHOOSE(CONTROL!$C$21, $C$9, 100%, $E$9)</f>
        <v>28.263100000000001</v>
      </c>
      <c r="M817" s="10">
        <f>CHOOSE(CONTROL!$C$42, 27.2631, 27.2631) * CHOOSE(CONTROL!$C$21, $C$9, 100%, $E$9)</f>
        <v>27.263100000000001</v>
      </c>
      <c r="N817" s="10">
        <f>CHOOSE(CONTROL!$C$42, 27.2818, 27.2818) * CHOOSE(CONTROL!$C$21, $C$9, 100%, $E$9)</f>
        <v>27.2818</v>
      </c>
      <c r="O817" s="10">
        <f>CHOOSE(CONTROL!$C$42, 27.3509, 27.3509) * CHOOSE(CONTROL!$C$21, $C$9, 100%, $E$9)</f>
        <v>27.350899999999999</v>
      </c>
      <c r="P817" s="10">
        <f>CHOOSE(CONTROL!$C$42, 27.2961, 27.2961) * CHOOSE(CONTROL!$C$21, $C$9, 100%, $E$9)</f>
        <v>27.296099999999999</v>
      </c>
      <c r="Q817" s="10">
        <f>CHOOSE(CONTROL!$C$42, 27.9462, 27.9462) * CHOOSE(CONTROL!$C$21, $C$9, 100%, $E$9)</f>
        <v>27.946200000000001</v>
      </c>
      <c r="R817" s="10">
        <f>CHOOSE(CONTROL!$C$42, 28.6031, 28.6031) * CHOOSE(CONTROL!$C$21, $C$9, 100%, $E$9)</f>
        <v>28.603100000000001</v>
      </c>
      <c r="S817" s="10">
        <f>CHOOSE(CONTROL!$C$42, 26.7546, 26.7546) * CHOOSE(CONTROL!$C$21, $C$9, 100%, $E$9)</f>
        <v>26.7546</v>
      </c>
      <c r="T81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38">
        <f>(1000*CHOOSE(CONTROL!$C$42, 695, 695)*CHOOSE(CONTROL!$C$42, 0.5599, 0.5599)*CHOOSE(CONTROL!$C$42, 31, 31))/1000000</f>
        <v>12.063045499999998</v>
      </c>
      <c r="V817" s="38">
        <f>(1000*CHOOSE(CONTROL!$C$42, 500, 500)*CHOOSE(CONTROL!$C$42, 0.275, 0.275)*CHOOSE(CONTROL!$C$42, 31, 31))/1000000</f>
        <v>4.2625000000000002</v>
      </c>
      <c r="W817" s="38">
        <f>(1000*CHOOSE(CONTROL!$C$42, 0.1146, 0.1146)*CHOOSE(CONTROL!$C$42, 121.5, 121.5)*CHOOSE(CONTROL!$C$42, 31, 31))/1000000</f>
        <v>0.43164089999999994</v>
      </c>
      <c r="X817" s="38">
        <f>(31*0.1790888*100000/1000000)+(31*0.2374*100000/1000000)</f>
        <v>1.2911152800000001</v>
      </c>
      <c r="Y817" s="38">
        <f>(1000*600*CHOOSE(CONTROL!$C$42, 1.0585, 1.0585)*CHOOSE(CONTROL!$C$42, 31, 31))/1000000</f>
        <v>19.688099999999999</v>
      </c>
      <c r="Z817" s="38"/>
      <c r="AA817" s="10"/>
      <c r="AB817" s="39"/>
      <c r="AC817" s="33">
        <f>(B817*122.58+C817*297.941+D817*89.177+E817*40.302+F817*40+G817*160+H817*0+I817*100+J817*300)/(122.58+297.941+89.177+40.302+0+40+160+100+300)</f>
        <v>27.613527691130436</v>
      </c>
      <c r="AD817" s="27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27.308718705035972</v>
      </c>
    </row>
    <row r="818" spans="1:30" ht="15.75" x14ac:dyDescent="0.25">
      <c r="A818" s="13">
        <v>66170</v>
      </c>
      <c r="B818" s="10">
        <f>CHOOSE(CONTROL!$C$42, 28.1052, 28.1052) * CHOOSE(CONTROL!$C$21, $C$9, 100%, $E$9)</f>
        <v>28.1052</v>
      </c>
      <c r="C818" s="10">
        <f>CHOOSE(CONTROL!$C$42, 28.1103, 28.1103) * CHOOSE(CONTROL!$C$21, $C$9, 100%, $E$9)</f>
        <v>28.110299999999999</v>
      </c>
      <c r="D818" s="10">
        <f>CHOOSE(CONTROL!$C$42, 28.1453, 28.1453) * CHOOSE(CONTROL!$C$21, $C$9, 100%, $E$9)</f>
        <v>28.145299999999999</v>
      </c>
      <c r="E818" s="10">
        <f>CHOOSE(CONTROL!$C$42, 28.1791, 28.1791) * CHOOSE(CONTROL!$C$21, $C$9, 100%, $E$9)</f>
        <v>28.179099999999998</v>
      </c>
      <c r="F818" s="10">
        <f>CHOOSE(CONTROL!$C$42, 28.0859, 28.0859)*CHOOSE(CONTROL!$C$21, $C$9, 100%, $E$9)</f>
        <v>28.085899999999999</v>
      </c>
      <c r="G818" s="10">
        <f>CHOOSE(CONTROL!$C$42, 28.1047, 28.1047)*CHOOSE(CONTROL!$C$21, $C$9, 100%, $E$9)</f>
        <v>28.104700000000001</v>
      </c>
      <c r="H818" s="10">
        <f>CHOOSE(CONTROL!$C$42, 28.168, 28.168) * CHOOSE(CONTROL!$C$21, $C$9, 100%, $E$9)</f>
        <v>28.167999999999999</v>
      </c>
      <c r="I818" s="10">
        <f>CHOOSE(CONTROL!$C$42, 28.1124, 28.1124)* CHOOSE(CONTROL!$C$21, $C$9, 100%, $E$9)</f>
        <v>28.112400000000001</v>
      </c>
      <c r="J818" s="10">
        <f>CHOOSE(CONTROL!$C$42, 28.0785, 28.0785)* CHOOSE(CONTROL!$C$21, $C$9, 100%, $E$9)</f>
        <v>28.078499999999998</v>
      </c>
      <c r="K818" s="10">
        <f>CHOOSE(CONTROL!$C$42, 27.4101, 27.4101) * CHOOSE(CONTROL!$C$21, $C$9, 100%, $E$9)</f>
        <v>27.4101</v>
      </c>
      <c r="L818" s="10">
        <f>CHOOSE(CONTROL!$C$42, 28.755, 28.755) * CHOOSE(CONTROL!$C$21, $C$9, 100%, $E$9)</f>
        <v>28.754999999999999</v>
      </c>
      <c r="M818" s="10">
        <f>CHOOSE(CONTROL!$C$42, 27.7481, 27.7481) * CHOOSE(CONTROL!$C$21, $C$9, 100%, $E$9)</f>
        <v>27.748100000000001</v>
      </c>
      <c r="N818" s="10">
        <f>CHOOSE(CONTROL!$C$42, 27.7666, 27.7666) * CHOOSE(CONTROL!$C$21, $C$9, 100%, $E$9)</f>
        <v>27.7666</v>
      </c>
      <c r="O818" s="10">
        <f>CHOOSE(CONTROL!$C$42, 27.8364, 27.8364) * CHOOSE(CONTROL!$C$21, $C$9, 100%, $E$9)</f>
        <v>27.836400000000001</v>
      </c>
      <c r="P818" s="10">
        <f>CHOOSE(CONTROL!$C$42, 27.7816, 27.7816) * CHOOSE(CONTROL!$C$21, $C$9, 100%, $E$9)</f>
        <v>27.781600000000001</v>
      </c>
      <c r="Q818" s="10">
        <f>CHOOSE(CONTROL!$C$42, 28.4317, 28.4317) * CHOOSE(CONTROL!$C$21, $C$9, 100%, $E$9)</f>
        <v>28.431699999999999</v>
      </c>
      <c r="R818" s="10">
        <f>CHOOSE(CONTROL!$C$42, 29.0898, 29.0898) * CHOOSE(CONTROL!$C$21, $C$9, 100%, $E$9)</f>
        <v>29.0898</v>
      </c>
      <c r="S818" s="10">
        <f>CHOOSE(CONTROL!$C$42, 27.2309, 27.2309) * CHOOSE(CONTROL!$C$21, $C$9, 100%, $E$9)</f>
        <v>27.230899999999998</v>
      </c>
      <c r="T81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18" s="38">
        <f>(1000*CHOOSE(CONTROL!$C$42, 695, 695)*CHOOSE(CONTROL!$C$42, 0.5599, 0.5599)*CHOOSE(CONTROL!$C$42, 28, 28))/1000000</f>
        <v>10.895653999999999</v>
      </c>
      <c r="V818" s="38">
        <f>(1000*CHOOSE(CONTROL!$C$42, 500, 500)*CHOOSE(CONTROL!$C$42, 0.275, 0.275)*CHOOSE(CONTROL!$C$42, 28, 28))/1000000</f>
        <v>3.85</v>
      </c>
      <c r="W818" s="38">
        <f>(1000*CHOOSE(CONTROL!$C$42, 0.1146, 0.1146)*CHOOSE(CONTROL!$C$42, 121.5, 121.5)*CHOOSE(CONTROL!$C$42, 28, 28))/1000000</f>
        <v>0.38986920000000003</v>
      </c>
      <c r="X818" s="38">
        <f>(28*0.1790888*100000/1000000)+(28*0.2374*100000/1000000)</f>
        <v>1.16616864</v>
      </c>
      <c r="Y818" s="38">
        <f>(1000*600*CHOOSE(CONTROL!$C$42, 1.0585, 1.0585)*CHOOSE(CONTROL!$C$42, 28, 28))/1000000</f>
        <v>17.782800000000002</v>
      </c>
      <c r="Z818" s="38"/>
      <c r="AA818" s="10"/>
      <c r="AB818" s="39"/>
      <c r="AC818" s="33">
        <f>(B818*122.58+C818*297.941+D818*89.177+E818*40.302+F818*40+G818*160+H818*0+I818*100+J818*300)/(122.58+297.941+89.177+40.302+0+40+160+100+300)</f>
        <v>28.105140708347825</v>
      </c>
      <c r="AD818" s="27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27.794005755395681</v>
      </c>
    </row>
    <row r="819" spans="1:30" ht="15.75" x14ac:dyDescent="0.25">
      <c r="A819" s="13">
        <v>66201</v>
      </c>
      <c r="B819" s="10">
        <f>CHOOSE(CONTROL!$C$42, 27.3068, 27.3068) * CHOOSE(CONTROL!$C$21, $C$9, 100%, $E$9)</f>
        <v>27.306799999999999</v>
      </c>
      <c r="C819" s="10">
        <f>CHOOSE(CONTROL!$C$42, 27.3119, 27.3119) * CHOOSE(CONTROL!$C$21, $C$9, 100%, $E$9)</f>
        <v>27.311900000000001</v>
      </c>
      <c r="D819" s="10">
        <f>CHOOSE(CONTROL!$C$42, 27.3469, 27.3469) * CHOOSE(CONTROL!$C$21, $C$9, 100%, $E$9)</f>
        <v>27.346900000000002</v>
      </c>
      <c r="E819" s="10">
        <f>CHOOSE(CONTROL!$C$42, 27.3807, 27.3807) * CHOOSE(CONTROL!$C$21, $C$9, 100%, $E$9)</f>
        <v>27.380700000000001</v>
      </c>
      <c r="F819" s="10">
        <f>CHOOSE(CONTROL!$C$42, 27.2862, 27.2862)*CHOOSE(CONTROL!$C$21, $C$9, 100%, $E$9)</f>
        <v>27.286200000000001</v>
      </c>
      <c r="G819" s="10">
        <f>CHOOSE(CONTROL!$C$42, 27.3046, 27.3046)*CHOOSE(CONTROL!$C$21, $C$9, 100%, $E$9)</f>
        <v>27.304600000000001</v>
      </c>
      <c r="H819" s="10">
        <f>CHOOSE(CONTROL!$C$42, 27.3696, 27.3696) * CHOOSE(CONTROL!$C$21, $C$9, 100%, $E$9)</f>
        <v>27.369599999999998</v>
      </c>
      <c r="I819" s="10">
        <f>CHOOSE(CONTROL!$C$42, 27.314, 27.314)* CHOOSE(CONTROL!$C$21, $C$9, 100%, $E$9)</f>
        <v>27.314</v>
      </c>
      <c r="J819" s="10">
        <f>CHOOSE(CONTROL!$C$42, 27.2788, 27.2788)* CHOOSE(CONTROL!$C$21, $C$9, 100%, $E$9)</f>
        <v>27.2788</v>
      </c>
      <c r="K819" s="10">
        <f>CHOOSE(CONTROL!$C$42, 26.6336, 26.6336) * CHOOSE(CONTROL!$C$21, $C$9, 100%, $E$9)</f>
        <v>26.633600000000001</v>
      </c>
      <c r="L819" s="10">
        <f>CHOOSE(CONTROL!$C$42, 27.9566, 27.9566) * CHOOSE(CONTROL!$C$21, $C$9, 100%, $E$9)</f>
        <v>27.956600000000002</v>
      </c>
      <c r="M819" s="10">
        <f>CHOOSE(CONTROL!$C$42, 26.9587, 26.9587) * CHOOSE(CONTROL!$C$21, $C$9, 100%, $E$9)</f>
        <v>26.9587</v>
      </c>
      <c r="N819" s="10">
        <f>CHOOSE(CONTROL!$C$42, 26.9768, 26.9768) * CHOOSE(CONTROL!$C$21, $C$9, 100%, $E$9)</f>
        <v>26.976800000000001</v>
      </c>
      <c r="O819" s="10">
        <f>CHOOSE(CONTROL!$C$42, 27.0483, 27.0483) * CHOOSE(CONTROL!$C$21, $C$9, 100%, $E$9)</f>
        <v>27.048300000000001</v>
      </c>
      <c r="P819" s="10">
        <f>CHOOSE(CONTROL!$C$42, 26.9935, 26.9935) * CHOOSE(CONTROL!$C$21, $C$9, 100%, $E$9)</f>
        <v>26.993500000000001</v>
      </c>
      <c r="Q819" s="10">
        <f>CHOOSE(CONTROL!$C$42, 27.6436, 27.6436) * CHOOSE(CONTROL!$C$21, $C$9, 100%, $E$9)</f>
        <v>27.643599999999999</v>
      </c>
      <c r="R819" s="10">
        <f>CHOOSE(CONTROL!$C$42, 28.2997, 28.2997) * CHOOSE(CONTROL!$C$21, $C$9, 100%, $E$9)</f>
        <v>28.299700000000001</v>
      </c>
      <c r="S819" s="10">
        <f>CHOOSE(CONTROL!$C$42, 26.4578, 26.4578) * CHOOSE(CONTROL!$C$21, $C$9, 100%, $E$9)</f>
        <v>26.457799999999999</v>
      </c>
      <c r="T81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38">
        <f>(1000*CHOOSE(CONTROL!$C$42, 695, 695)*CHOOSE(CONTROL!$C$42, 0.5599, 0.5599)*CHOOSE(CONTROL!$C$42, 31, 31))/1000000</f>
        <v>12.063045499999998</v>
      </c>
      <c r="V819" s="38">
        <f>(1000*CHOOSE(CONTROL!$C$42, 500, 500)*CHOOSE(CONTROL!$C$42, 0.275, 0.275)*CHOOSE(CONTROL!$C$42, 31, 31))/1000000</f>
        <v>4.2625000000000002</v>
      </c>
      <c r="W819" s="38">
        <f>(1000*CHOOSE(CONTROL!$C$42, 0.1146, 0.1146)*CHOOSE(CONTROL!$C$42, 121.5, 121.5)*CHOOSE(CONTROL!$C$42, 31, 31))/1000000</f>
        <v>0.43164089999999994</v>
      </c>
      <c r="X819" s="38">
        <f>(31*0.1790888*100000/1000000)+(31*0.2374*100000/1000000)</f>
        <v>1.2911152800000001</v>
      </c>
      <c r="Y819" s="38">
        <f>(1000*600*CHOOSE(CONTROL!$C$42, 1.0585, 1.0585)*CHOOSE(CONTROL!$C$42, 31, 31))/1000000</f>
        <v>19.688099999999999</v>
      </c>
      <c r="Z819" s="38"/>
      <c r="AA819" s="10"/>
      <c r="AB819" s="39"/>
      <c r="AC819" s="33">
        <f>(B819*122.58+C819*297.941+D819*89.177+E819*40.302+F819*40+G819*160+H819*0+I819*100+J819*300)/(122.58+297.941+89.177+40.302+0+40+160+100+300)</f>
        <v>27.30611983878261</v>
      </c>
      <c r="AD819" s="27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27.005358992805757</v>
      </c>
    </row>
    <row r="820" spans="1:30" ht="15.75" x14ac:dyDescent="0.25">
      <c r="A820" s="13">
        <v>66231</v>
      </c>
      <c r="B820" s="10">
        <f>CHOOSE(CONTROL!$C$42, 27.2257, 27.2257) * CHOOSE(CONTROL!$C$21, $C$9, 100%, $E$9)</f>
        <v>27.2257</v>
      </c>
      <c r="C820" s="10">
        <f>CHOOSE(CONTROL!$C$42, 27.2303, 27.2303) * CHOOSE(CONTROL!$C$21, $C$9, 100%, $E$9)</f>
        <v>27.2303</v>
      </c>
      <c r="D820" s="10">
        <f>CHOOSE(CONTROL!$C$42, 27.4085, 27.4085) * CHOOSE(CONTROL!$C$21, $C$9, 100%, $E$9)</f>
        <v>27.4085</v>
      </c>
      <c r="E820" s="10">
        <f>CHOOSE(CONTROL!$C$42, 27.4403, 27.4403) * CHOOSE(CONTROL!$C$21, $C$9, 100%, $E$9)</f>
        <v>27.440300000000001</v>
      </c>
      <c r="F820" s="10">
        <f>CHOOSE(CONTROL!$C$42, 27.1692, 27.1692)*CHOOSE(CONTROL!$C$21, $C$9, 100%, $E$9)</f>
        <v>27.1692</v>
      </c>
      <c r="G820" s="10">
        <f>CHOOSE(CONTROL!$C$42, 27.1858, 27.1858)*CHOOSE(CONTROL!$C$21, $C$9, 100%, $E$9)</f>
        <v>27.1858</v>
      </c>
      <c r="H820" s="10">
        <f>CHOOSE(CONTROL!$C$42, 27.4298, 27.4298) * CHOOSE(CONTROL!$C$21, $C$9, 100%, $E$9)</f>
        <v>27.4298</v>
      </c>
      <c r="I820" s="10">
        <f>CHOOSE(CONTROL!$C$42, 27.2018, 27.2018)* CHOOSE(CONTROL!$C$21, $C$9, 100%, $E$9)</f>
        <v>27.201799999999999</v>
      </c>
      <c r="J820" s="10">
        <f>CHOOSE(CONTROL!$C$42, 27.1618, 27.1618)* CHOOSE(CONTROL!$C$21, $C$9, 100%, $E$9)</f>
        <v>27.161799999999999</v>
      </c>
      <c r="K820" s="10">
        <f>CHOOSE(CONTROL!$C$42, 26.5101, 26.5101) * CHOOSE(CONTROL!$C$21, $C$9, 100%, $E$9)</f>
        <v>26.510100000000001</v>
      </c>
      <c r="L820" s="10">
        <f>CHOOSE(CONTROL!$C$42, 28.0168, 28.0168) * CHOOSE(CONTROL!$C$21, $C$9, 100%, $E$9)</f>
        <v>28.0168</v>
      </c>
      <c r="M820" s="10">
        <f>CHOOSE(CONTROL!$C$42, 26.8432, 26.8432) * CHOOSE(CONTROL!$C$21, $C$9, 100%, $E$9)</f>
        <v>26.8432</v>
      </c>
      <c r="N820" s="10">
        <f>CHOOSE(CONTROL!$C$42, 26.8596, 26.8596) * CHOOSE(CONTROL!$C$21, $C$9, 100%, $E$9)</f>
        <v>26.8596</v>
      </c>
      <c r="O820" s="10">
        <f>CHOOSE(CONTROL!$C$42, 27.1077, 27.1077) * CHOOSE(CONTROL!$C$21, $C$9, 100%, $E$9)</f>
        <v>27.107700000000001</v>
      </c>
      <c r="P820" s="10">
        <f>CHOOSE(CONTROL!$C$42, 26.8827, 26.8827) * CHOOSE(CONTROL!$C$21, $C$9, 100%, $E$9)</f>
        <v>26.8827</v>
      </c>
      <c r="Q820" s="10">
        <f>CHOOSE(CONTROL!$C$42, 27.703, 27.703) * CHOOSE(CONTROL!$C$21, $C$9, 100%, $E$9)</f>
        <v>27.702999999999999</v>
      </c>
      <c r="R820" s="10">
        <f>CHOOSE(CONTROL!$C$42, 28.3593, 28.3593) * CHOOSE(CONTROL!$C$21, $C$9, 100%, $E$9)</f>
        <v>28.359300000000001</v>
      </c>
      <c r="S820" s="10">
        <f>CHOOSE(CONTROL!$C$42, 26.3786, 26.3786) * CHOOSE(CONTROL!$C$21, $C$9, 100%, $E$9)</f>
        <v>26.378599999999999</v>
      </c>
      <c r="T82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38">
        <f>(1000*CHOOSE(CONTROL!$C$42, 695, 695)*CHOOSE(CONTROL!$C$42, 0.5599, 0.5599)*CHOOSE(CONTROL!$C$42, 30, 30))/1000000</f>
        <v>11.673914999999997</v>
      </c>
      <c r="V820" s="38">
        <f>(1000*CHOOSE(CONTROL!$C$42, 500, 500)*CHOOSE(CONTROL!$C$42, 0.275, 0.275)*CHOOSE(CONTROL!$C$42, 30, 30))/1000000</f>
        <v>4.125</v>
      </c>
      <c r="W820" s="38">
        <f>(1000*CHOOSE(CONTROL!$C$42, 0.1146, 0.1146)*CHOOSE(CONTROL!$C$42, 121.5, 121.5)*CHOOSE(CONTROL!$C$42, 30, 30))/1000000</f>
        <v>0.417717</v>
      </c>
      <c r="X820" s="38">
        <f>(30*0.1790888*245000/1000000)+(30*0.2374*100000/1000000)</f>
        <v>2.0285026799999999</v>
      </c>
      <c r="Y820" s="38">
        <f>(1000*600*CHOOSE(CONTROL!$C$42, 1.0585, 1.0585)*CHOOSE(CONTROL!$C$42, 30, 30))/1000000</f>
        <v>19.053000000000001</v>
      </c>
      <c r="Z820" s="38"/>
      <c r="AA820" s="10"/>
      <c r="AB820" s="39"/>
      <c r="AC820" s="33">
        <f>(B820*141.293+C820*267.993+D820*115.016+E820*89.698+F820*40+G820*185+H820*0+I820*100+J820*300)/(141.293+267.993+115.016+89.698+0+40+185+100+300)</f>
        <v>27.234017500726395</v>
      </c>
      <c r="AD820" s="27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26.969708633093529</v>
      </c>
    </row>
    <row r="821" spans="1:30" ht="15.75" x14ac:dyDescent="0.25">
      <c r="A821" s="13">
        <v>66262</v>
      </c>
      <c r="B821" s="10">
        <f>CHOOSE(CONTROL!$C$42, 27.4679, 27.4679) * CHOOSE(CONTROL!$C$21, $C$9, 100%, $E$9)</f>
        <v>27.4679</v>
      </c>
      <c r="C821" s="10">
        <f>CHOOSE(CONTROL!$C$42, 27.4759, 27.4759) * CHOOSE(CONTROL!$C$21, $C$9, 100%, $E$9)</f>
        <v>27.475899999999999</v>
      </c>
      <c r="D821" s="10">
        <f>CHOOSE(CONTROL!$C$42, 27.6511, 27.6511) * CHOOSE(CONTROL!$C$21, $C$9, 100%, $E$9)</f>
        <v>27.6511</v>
      </c>
      <c r="E821" s="10">
        <f>CHOOSE(CONTROL!$C$42, 27.6823, 27.6823) * CHOOSE(CONTROL!$C$21, $C$9, 100%, $E$9)</f>
        <v>27.682300000000001</v>
      </c>
      <c r="F821" s="10">
        <f>CHOOSE(CONTROL!$C$42, 27.4096, 27.4096)*CHOOSE(CONTROL!$C$21, $C$9, 100%, $E$9)</f>
        <v>27.409600000000001</v>
      </c>
      <c r="G821" s="10">
        <f>CHOOSE(CONTROL!$C$42, 27.4265, 27.4265)*CHOOSE(CONTROL!$C$21, $C$9, 100%, $E$9)</f>
        <v>27.426500000000001</v>
      </c>
      <c r="H821" s="10">
        <f>CHOOSE(CONTROL!$C$42, 27.6706, 27.6706) * CHOOSE(CONTROL!$C$21, $C$9, 100%, $E$9)</f>
        <v>27.6706</v>
      </c>
      <c r="I821" s="10">
        <f>CHOOSE(CONTROL!$C$42, 27.4426, 27.4426)* CHOOSE(CONTROL!$C$21, $C$9, 100%, $E$9)</f>
        <v>27.442599999999999</v>
      </c>
      <c r="J821" s="10">
        <f>CHOOSE(CONTROL!$C$42, 27.4022, 27.4022)* CHOOSE(CONTROL!$C$21, $C$9, 100%, $E$9)</f>
        <v>27.402200000000001</v>
      </c>
      <c r="K821" s="10">
        <f>CHOOSE(CONTROL!$C$42, 26.7426, 26.7426) * CHOOSE(CONTROL!$C$21, $C$9, 100%, $E$9)</f>
        <v>26.742599999999999</v>
      </c>
      <c r="L821" s="10">
        <f>CHOOSE(CONTROL!$C$42, 28.2576, 28.2576) * CHOOSE(CONTROL!$C$21, $C$9, 100%, $E$9)</f>
        <v>28.2576</v>
      </c>
      <c r="M821" s="10">
        <f>CHOOSE(CONTROL!$C$42, 27.0805, 27.0805) * CHOOSE(CONTROL!$C$21, $C$9, 100%, $E$9)</f>
        <v>27.080500000000001</v>
      </c>
      <c r="N821" s="10">
        <f>CHOOSE(CONTROL!$C$42, 27.0972, 27.0972) * CHOOSE(CONTROL!$C$21, $C$9, 100%, $E$9)</f>
        <v>27.097200000000001</v>
      </c>
      <c r="O821" s="10">
        <f>CHOOSE(CONTROL!$C$42, 27.3454, 27.3454) * CHOOSE(CONTROL!$C$21, $C$9, 100%, $E$9)</f>
        <v>27.345400000000001</v>
      </c>
      <c r="P821" s="10">
        <f>CHOOSE(CONTROL!$C$42, 27.1204, 27.1204) * CHOOSE(CONTROL!$C$21, $C$9, 100%, $E$9)</f>
        <v>27.1204</v>
      </c>
      <c r="Q821" s="10">
        <f>CHOOSE(CONTROL!$C$42, 27.9407, 27.9407) * CHOOSE(CONTROL!$C$21, $C$9, 100%, $E$9)</f>
        <v>27.9407</v>
      </c>
      <c r="R821" s="10">
        <f>CHOOSE(CONTROL!$C$42, 28.5976, 28.5976) * CHOOSE(CONTROL!$C$21, $C$9, 100%, $E$9)</f>
        <v>28.5976</v>
      </c>
      <c r="S821" s="10">
        <f>CHOOSE(CONTROL!$C$42, 26.6118, 26.6118) * CHOOSE(CONTROL!$C$21, $C$9, 100%, $E$9)</f>
        <v>26.611799999999999</v>
      </c>
      <c r="T82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38">
        <f>(1000*CHOOSE(CONTROL!$C$42, 695, 695)*CHOOSE(CONTROL!$C$42, 0.5599, 0.5599)*CHOOSE(CONTROL!$C$42, 31, 31))/1000000</f>
        <v>12.063045499999998</v>
      </c>
      <c r="V821" s="38">
        <f>(1000*CHOOSE(CONTROL!$C$42, 500, 500)*CHOOSE(CONTROL!$C$42, 0.275, 0.275)*CHOOSE(CONTROL!$C$42, 31, 31))/1000000</f>
        <v>4.2625000000000002</v>
      </c>
      <c r="W821" s="38">
        <f>(1000*CHOOSE(CONTROL!$C$42, 0.1146, 0.1146)*CHOOSE(CONTROL!$C$42, 121.5, 121.5)*CHOOSE(CONTROL!$C$42, 31, 31))/1000000</f>
        <v>0.43164089999999994</v>
      </c>
      <c r="X821" s="38">
        <f>(31*0.1790888*245000/1000000)+(31*0.2374*100000/1000000)</f>
        <v>2.0961194359999999</v>
      </c>
      <c r="Y821" s="38">
        <f>(1000*600*CHOOSE(CONTROL!$C$42, 1.0585, 1.0585)*CHOOSE(CONTROL!$C$42, 31, 31))/1000000</f>
        <v>19.688099999999999</v>
      </c>
      <c r="Z821" s="38"/>
      <c r="AA821" s="10"/>
      <c r="AB821" s="39"/>
      <c r="AC821" s="33">
        <f>(B821*194.205+C821*267.466+D821*133.845+E821*53.484+F821*40+G821*185+H821*0+I821*100+J821*300)/(194.205+267.466+133.845+53.484+0+40+185+100+300)</f>
        <v>27.47252802323391</v>
      </c>
      <c r="AD821" s="27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27.207264748201442</v>
      </c>
    </row>
    <row r="822" spans="1:30" ht="15.75" x14ac:dyDescent="0.25">
      <c r="A822" s="13">
        <v>66292</v>
      </c>
      <c r="B822" s="10">
        <f>CHOOSE(CONTROL!$C$42, 28.2475, 28.2475) * CHOOSE(CONTROL!$C$21, $C$9, 100%, $E$9)</f>
        <v>28.247499999999999</v>
      </c>
      <c r="C822" s="10">
        <f>CHOOSE(CONTROL!$C$42, 28.2555, 28.2555) * CHOOSE(CONTROL!$C$21, $C$9, 100%, $E$9)</f>
        <v>28.255500000000001</v>
      </c>
      <c r="D822" s="10">
        <f>CHOOSE(CONTROL!$C$42, 28.4306, 28.4306) * CHOOSE(CONTROL!$C$21, $C$9, 100%, $E$9)</f>
        <v>28.430599999999998</v>
      </c>
      <c r="E822" s="10">
        <f>CHOOSE(CONTROL!$C$42, 28.4618, 28.4618) * CHOOSE(CONTROL!$C$21, $C$9, 100%, $E$9)</f>
        <v>28.4618</v>
      </c>
      <c r="F822" s="10">
        <f>CHOOSE(CONTROL!$C$42, 28.1894, 28.1894)*CHOOSE(CONTROL!$C$21, $C$9, 100%, $E$9)</f>
        <v>28.189399999999999</v>
      </c>
      <c r="G822" s="10">
        <f>CHOOSE(CONTROL!$C$42, 28.2063, 28.2063)*CHOOSE(CONTROL!$C$21, $C$9, 100%, $E$9)</f>
        <v>28.206299999999999</v>
      </c>
      <c r="H822" s="10">
        <f>CHOOSE(CONTROL!$C$42, 28.4502, 28.4502) * CHOOSE(CONTROL!$C$21, $C$9, 100%, $E$9)</f>
        <v>28.450199999999999</v>
      </c>
      <c r="I822" s="10">
        <f>CHOOSE(CONTROL!$C$42, 28.2221, 28.2221)* CHOOSE(CONTROL!$C$21, $C$9, 100%, $E$9)</f>
        <v>28.222100000000001</v>
      </c>
      <c r="J822" s="10">
        <f>CHOOSE(CONTROL!$C$42, 28.182, 28.182)* CHOOSE(CONTROL!$C$21, $C$9, 100%, $E$9)</f>
        <v>28.181999999999999</v>
      </c>
      <c r="K822" s="10">
        <f>CHOOSE(CONTROL!$C$42, 27.4982, 27.4982) * CHOOSE(CONTROL!$C$21, $C$9, 100%, $E$9)</f>
        <v>27.498200000000001</v>
      </c>
      <c r="L822" s="10">
        <f>CHOOSE(CONTROL!$C$42, 29.0372, 29.0372) * CHOOSE(CONTROL!$C$21, $C$9, 100%, $E$9)</f>
        <v>29.037199999999999</v>
      </c>
      <c r="M822" s="10">
        <f>CHOOSE(CONTROL!$C$42, 27.8502, 27.8502) * CHOOSE(CONTROL!$C$21, $C$9, 100%, $E$9)</f>
        <v>27.850200000000001</v>
      </c>
      <c r="N822" s="10">
        <f>CHOOSE(CONTROL!$C$42, 27.8669, 27.8669) * CHOOSE(CONTROL!$C$21, $C$9, 100%, $E$9)</f>
        <v>27.866900000000001</v>
      </c>
      <c r="O822" s="10">
        <f>CHOOSE(CONTROL!$C$42, 28.1149, 28.1149) * CHOOSE(CONTROL!$C$21, $C$9, 100%, $E$9)</f>
        <v>28.114899999999999</v>
      </c>
      <c r="P822" s="10">
        <f>CHOOSE(CONTROL!$C$42, 27.8899, 27.8899) * CHOOSE(CONTROL!$C$21, $C$9, 100%, $E$9)</f>
        <v>27.889900000000001</v>
      </c>
      <c r="Q822" s="10">
        <f>CHOOSE(CONTROL!$C$42, 28.7102, 28.7102) * CHOOSE(CONTROL!$C$21, $C$9, 100%, $E$9)</f>
        <v>28.7102</v>
      </c>
      <c r="R822" s="10">
        <f>CHOOSE(CONTROL!$C$42, 29.369, 29.369) * CHOOSE(CONTROL!$C$21, $C$9, 100%, $E$9)</f>
        <v>29.369</v>
      </c>
      <c r="S822" s="10">
        <f>CHOOSE(CONTROL!$C$42, 27.3667, 27.3667) * CHOOSE(CONTROL!$C$21, $C$9, 100%, $E$9)</f>
        <v>27.366700000000002</v>
      </c>
      <c r="T82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38">
        <f>(1000*CHOOSE(CONTROL!$C$42, 695, 695)*CHOOSE(CONTROL!$C$42, 0.5599, 0.5599)*CHOOSE(CONTROL!$C$42, 30, 30))/1000000</f>
        <v>11.673914999999997</v>
      </c>
      <c r="V822" s="38">
        <f>(1000*CHOOSE(CONTROL!$C$42, 500, 500)*CHOOSE(CONTROL!$C$42, 0.275, 0.275)*CHOOSE(CONTROL!$C$42, 30, 30))/1000000</f>
        <v>4.125</v>
      </c>
      <c r="W822" s="38">
        <f>(1000*CHOOSE(CONTROL!$C$42, 0.1146, 0.1146)*CHOOSE(CONTROL!$C$42, 121.5, 121.5)*CHOOSE(CONTROL!$C$42, 30, 30))/1000000</f>
        <v>0.417717</v>
      </c>
      <c r="X822" s="38">
        <f>(30*0.1790888*245000/1000000)+(30*0.2374*100000/1000000)</f>
        <v>2.0285026799999999</v>
      </c>
      <c r="Y822" s="38">
        <f>(1000*600*CHOOSE(CONTROL!$C$42, 1.0585, 1.0585)*CHOOSE(CONTROL!$C$42, 30, 30))/1000000</f>
        <v>19.053000000000001</v>
      </c>
      <c r="Z822" s="38"/>
      <c r="AA822" s="10"/>
      <c r="AB822" s="39"/>
      <c r="AC822" s="33">
        <f>(B822*194.205+C822*267.466+D822*133.845+E822*53.484+F822*40+G822*185+H822*0+I822*100+J822*300)/(194.205+267.466+133.845+53.484+0+40+185+100+300)</f>
        <v>28.252187887519625</v>
      </c>
      <c r="AD822" s="27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27.97684532374101</v>
      </c>
    </row>
    <row r="823" spans="1:30" ht="15.75" x14ac:dyDescent="0.25">
      <c r="A823" s="13">
        <v>66323</v>
      </c>
      <c r="B823" s="10">
        <f>CHOOSE(CONTROL!$C$42, 27.7053, 27.7053) * CHOOSE(CONTROL!$C$21, $C$9, 100%, $E$9)</f>
        <v>27.705300000000001</v>
      </c>
      <c r="C823" s="10">
        <f>CHOOSE(CONTROL!$C$42, 27.7133, 27.7133) * CHOOSE(CONTROL!$C$21, $C$9, 100%, $E$9)</f>
        <v>27.7133</v>
      </c>
      <c r="D823" s="10">
        <f>CHOOSE(CONTROL!$C$42, 27.8884, 27.8884) * CHOOSE(CONTROL!$C$21, $C$9, 100%, $E$9)</f>
        <v>27.888400000000001</v>
      </c>
      <c r="E823" s="10">
        <f>CHOOSE(CONTROL!$C$42, 27.9197, 27.9197) * CHOOSE(CONTROL!$C$21, $C$9, 100%, $E$9)</f>
        <v>27.919699999999999</v>
      </c>
      <c r="F823" s="10">
        <f>CHOOSE(CONTROL!$C$42, 27.6475, 27.6475)*CHOOSE(CONTROL!$C$21, $C$9, 100%, $E$9)</f>
        <v>27.647500000000001</v>
      </c>
      <c r="G823" s="10">
        <f>CHOOSE(CONTROL!$C$42, 27.6646, 27.6646)*CHOOSE(CONTROL!$C$21, $C$9, 100%, $E$9)</f>
        <v>27.6646</v>
      </c>
      <c r="H823" s="10">
        <f>CHOOSE(CONTROL!$C$42, 27.908, 27.908) * CHOOSE(CONTROL!$C$21, $C$9, 100%, $E$9)</f>
        <v>27.908000000000001</v>
      </c>
      <c r="I823" s="10">
        <f>CHOOSE(CONTROL!$C$42, 27.68, 27.68)* CHOOSE(CONTROL!$C$21, $C$9, 100%, $E$9)</f>
        <v>27.68</v>
      </c>
      <c r="J823" s="10">
        <f>CHOOSE(CONTROL!$C$42, 27.6401, 27.6401)* CHOOSE(CONTROL!$C$21, $C$9, 100%, $E$9)</f>
        <v>27.6401</v>
      </c>
      <c r="K823" s="10">
        <f>CHOOSE(CONTROL!$C$42, 26.9737, 26.9737) * CHOOSE(CONTROL!$C$21, $C$9, 100%, $E$9)</f>
        <v>26.973700000000001</v>
      </c>
      <c r="L823" s="10">
        <f>CHOOSE(CONTROL!$C$42, 28.495, 28.495) * CHOOSE(CONTROL!$C$21, $C$9, 100%, $E$9)</f>
        <v>28.495000000000001</v>
      </c>
      <c r="M823" s="10">
        <f>CHOOSE(CONTROL!$C$42, 27.3154, 27.3154) * CHOOSE(CONTROL!$C$21, $C$9, 100%, $E$9)</f>
        <v>27.3154</v>
      </c>
      <c r="N823" s="10">
        <f>CHOOSE(CONTROL!$C$42, 27.3322, 27.3322) * CHOOSE(CONTROL!$C$21, $C$9, 100%, $E$9)</f>
        <v>27.3322</v>
      </c>
      <c r="O823" s="10">
        <f>CHOOSE(CONTROL!$C$42, 27.5797, 27.5797) * CHOOSE(CONTROL!$C$21, $C$9, 100%, $E$9)</f>
        <v>27.579699999999999</v>
      </c>
      <c r="P823" s="10">
        <f>CHOOSE(CONTROL!$C$42, 27.3547, 27.3547) * CHOOSE(CONTROL!$C$21, $C$9, 100%, $E$9)</f>
        <v>27.354700000000001</v>
      </c>
      <c r="Q823" s="10">
        <f>CHOOSE(CONTROL!$C$42, 28.175, 28.175) * CHOOSE(CONTROL!$C$21, $C$9, 100%, $E$9)</f>
        <v>28.175000000000001</v>
      </c>
      <c r="R823" s="10">
        <f>CHOOSE(CONTROL!$C$42, 28.8325, 28.8325) * CHOOSE(CONTROL!$C$21, $C$9, 100%, $E$9)</f>
        <v>28.8325</v>
      </c>
      <c r="S823" s="10">
        <f>CHOOSE(CONTROL!$C$42, 26.8416, 26.8416) * CHOOSE(CONTROL!$C$21, $C$9, 100%, $E$9)</f>
        <v>26.8416</v>
      </c>
      <c r="T82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38">
        <f>(1000*CHOOSE(CONTROL!$C$42, 695, 695)*CHOOSE(CONTROL!$C$42, 0.5599, 0.5599)*CHOOSE(CONTROL!$C$42, 31, 31))/1000000</f>
        <v>12.063045499999998</v>
      </c>
      <c r="V823" s="38">
        <f>(1000*CHOOSE(CONTROL!$C$42, 500, 500)*CHOOSE(CONTROL!$C$42, 0.275, 0.275)*CHOOSE(CONTROL!$C$42, 31, 31))/1000000</f>
        <v>4.2625000000000002</v>
      </c>
      <c r="W823" s="38">
        <f>(1000*CHOOSE(CONTROL!$C$42, 0.1146, 0.1146)*CHOOSE(CONTROL!$C$42, 121.5, 121.5)*CHOOSE(CONTROL!$C$42, 31, 31))/1000000</f>
        <v>0.43164089999999994</v>
      </c>
      <c r="X823" s="38">
        <f>(31*0.1790888*245000/1000000)+(31*0.2374*100000/1000000)</f>
        <v>2.0961194359999999</v>
      </c>
      <c r="Y823" s="38">
        <f>(1000*600*CHOOSE(CONTROL!$C$42, 1.0585, 1.0585)*CHOOSE(CONTROL!$C$42, 31, 31))/1000000</f>
        <v>19.688099999999999</v>
      </c>
      <c r="Z823" s="38"/>
      <c r="AA823" s="10"/>
      <c r="AB823" s="39"/>
      <c r="AC823" s="33">
        <f>(B823*194.205+C823*267.466+D823*133.845+E823*53.484+F823*40+G823*185+H823*0+I823*100+J823*300)/(194.205+267.466+133.845+53.484+0+40+185+100+300)</f>
        <v>27.710152603689167</v>
      </c>
      <c r="AD823" s="27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27.441812230215827</v>
      </c>
    </row>
    <row r="824" spans="1:30" ht="15.75" x14ac:dyDescent="0.25">
      <c r="A824" s="13">
        <v>66354</v>
      </c>
      <c r="B824" s="10">
        <f>CHOOSE(CONTROL!$C$42, 26.3361, 26.3361) * CHOOSE(CONTROL!$C$21, $C$9, 100%, $E$9)</f>
        <v>26.336099999999998</v>
      </c>
      <c r="C824" s="10">
        <f>CHOOSE(CONTROL!$C$42, 26.3441, 26.3441) * CHOOSE(CONTROL!$C$21, $C$9, 100%, $E$9)</f>
        <v>26.344100000000001</v>
      </c>
      <c r="D824" s="10">
        <f>CHOOSE(CONTROL!$C$42, 26.5192, 26.5192) * CHOOSE(CONTROL!$C$21, $C$9, 100%, $E$9)</f>
        <v>26.519200000000001</v>
      </c>
      <c r="E824" s="10">
        <f>CHOOSE(CONTROL!$C$42, 26.5505, 26.5505) * CHOOSE(CONTROL!$C$21, $C$9, 100%, $E$9)</f>
        <v>26.5505</v>
      </c>
      <c r="F824" s="10">
        <f>CHOOSE(CONTROL!$C$42, 26.2782, 26.2782)*CHOOSE(CONTROL!$C$21, $C$9, 100%, $E$9)</f>
        <v>26.278199999999998</v>
      </c>
      <c r="G824" s="10">
        <f>CHOOSE(CONTROL!$C$42, 26.2952, 26.2952)*CHOOSE(CONTROL!$C$21, $C$9, 100%, $E$9)</f>
        <v>26.295200000000001</v>
      </c>
      <c r="H824" s="10">
        <f>CHOOSE(CONTROL!$C$42, 26.5388, 26.5388) * CHOOSE(CONTROL!$C$21, $C$9, 100%, $E$9)</f>
        <v>26.538799999999998</v>
      </c>
      <c r="I824" s="10">
        <f>CHOOSE(CONTROL!$C$42, 26.3108, 26.3108)* CHOOSE(CONTROL!$C$21, $C$9, 100%, $E$9)</f>
        <v>26.3108</v>
      </c>
      <c r="J824" s="10">
        <f>CHOOSE(CONTROL!$C$42, 26.2708, 26.2708)* CHOOSE(CONTROL!$C$21, $C$9, 100%, $E$9)</f>
        <v>26.270800000000001</v>
      </c>
      <c r="K824" s="10">
        <f>CHOOSE(CONTROL!$C$42, 25.647, 25.647) * CHOOSE(CONTROL!$C$21, $C$9, 100%, $E$9)</f>
        <v>25.646999999999998</v>
      </c>
      <c r="L824" s="10">
        <f>CHOOSE(CONTROL!$C$42, 27.1258, 27.1258) * CHOOSE(CONTROL!$C$21, $C$9, 100%, $E$9)</f>
        <v>27.125800000000002</v>
      </c>
      <c r="M824" s="10">
        <f>CHOOSE(CONTROL!$C$42, 25.9638, 25.9638) * CHOOSE(CONTROL!$C$21, $C$9, 100%, $E$9)</f>
        <v>25.963799999999999</v>
      </c>
      <c r="N824" s="10">
        <f>CHOOSE(CONTROL!$C$42, 25.9806, 25.9806) * CHOOSE(CONTROL!$C$21, $C$9, 100%, $E$9)</f>
        <v>25.980599999999999</v>
      </c>
      <c r="O824" s="10">
        <f>CHOOSE(CONTROL!$C$42, 26.2283, 26.2283) * CHOOSE(CONTROL!$C$21, $C$9, 100%, $E$9)</f>
        <v>26.228300000000001</v>
      </c>
      <c r="P824" s="10">
        <f>CHOOSE(CONTROL!$C$42, 26.0032, 26.0032) * CHOOSE(CONTROL!$C$21, $C$9, 100%, $E$9)</f>
        <v>26.0032</v>
      </c>
      <c r="Q824" s="10">
        <f>CHOOSE(CONTROL!$C$42, 26.8236, 26.8236) * CHOOSE(CONTROL!$C$21, $C$9, 100%, $E$9)</f>
        <v>26.823599999999999</v>
      </c>
      <c r="R824" s="10">
        <f>CHOOSE(CONTROL!$C$42, 27.4776, 27.4776) * CHOOSE(CONTROL!$C$21, $C$9, 100%, $E$9)</f>
        <v>27.477599999999999</v>
      </c>
      <c r="S824" s="10">
        <f>CHOOSE(CONTROL!$C$42, 25.5159, 25.5159) * CHOOSE(CONTROL!$C$21, $C$9, 100%, $E$9)</f>
        <v>25.515899999999998</v>
      </c>
      <c r="T82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38">
        <f>(1000*CHOOSE(CONTROL!$C$42, 695, 695)*CHOOSE(CONTROL!$C$42, 0.5599, 0.5599)*CHOOSE(CONTROL!$C$42, 31, 31))/1000000</f>
        <v>12.063045499999998</v>
      </c>
      <c r="V824" s="38">
        <f>(1000*CHOOSE(CONTROL!$C$42, 500, 500)*CHOOSE(CONTROL!$C$42, 0.275, 0.275)*CHOOSE(CONTROL!$C$42, 31, 31))/1000000</f>
        <v>4.2625000000000002</v>
      </c>
      <c r="W824" s="38">
        <f>(1000*CHOOSE(CONTROL!$C$42, 0.1146, 0.1146)*CHOOSE(CONTROL!$C$42, 121.5, 121.5)*CHOOSE(CONTROL!$C$42, 31, 31))/1000000</f>
        <v>0.43164089999999994</v>
      </c>
      <c r="X824" s="38">
        <f>(31*0.1790888*245000/1000000)+(31*0.2374*100000/1000000)</f>
        <v>2.0961194359999999</v>
      </c>
      <c r="Y824" s="38">
        <f>(1000*600*CHOOSE(CONTROL!$C$42, 1.0585, 1.0585)*CHOOSE(CONTROL!$C$42, 31, 31))/1000000</f>
        <v>19.688099999999999</v>
      </c>
      <c r="Z824" s="38"/>
      <c r="AA824" s="10"/>
      <c r="AB824" s="39"/>
      <c r="AC824" s="33">
        <f>(B824*194.205+C824*267.466+D824*133.845+E824*53.484+F824*40+G824*185+H824*0+I824*100+J824*300)/(194.205+267.466+133.845+53.484+0+40+185+100+300)</f>
        <v>26.340896873704867</v>
      </c>
      <c r="AD824" s="27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26.090317266187053</v>
      </c>
    </row>
    <row r="825" spans="1:30" ht="15.75" x14ac:dyDescent="0.25">
      <c r="A825" s="13">
        <v>66384</v>
      </c>
      <c r="B825" s="10">
        <f>CHOOSE(CONTROL!$C$42, 24.6632, 24.6632) * CHOOSE(CONTROL!$C$21, $C$9, 100%, $E$9)</f>
        <v>24.6632</v>
      </c>
      <c r="C825" s="10">
        <f>CHOOSE(CONTROL!$C$42, 24.6712, 24.6712) * CHOOSE(CONTROL!$C$21, $C$9, 100%, $E$9)</f>
        <v>24.671199999999999</v>
      </c>
      <c r="D825" s="10">
        <f>CHOOSE(CONTROL!$C$42, 24.8463, 24.8463) * CHOOSE(CONTROL!$C$21, $C$9, 100%, $E$9)</f>
        <v>24.846299999999999</v>
      </c>
      <c r="E825" s="10">
        <f>CHOOSE(CONTROL!$C$42, 24.8775, 24.8775) * CHOOSE(CONTROL!$C$21, $C$9, 100%, $E$9)</f>
        <v>24.877500000000001</v>
      </c>
      <c r="F825" s="10">
        <f>CHOOSE(CONTROL!$C$42, 24.605, 24.605)*CHOOSE(CONTROL!$C$21, $C$9, 100%, $E$9)</f>
        <v>24.605</v>
      </c>
      <c r="G825" s="10">
        <f>CHOOSE(CONTROL!$C$42, 24.6219, 24.6219)*CHOOSE(CONTROL!$C$21, $C$9, 100%, $E$9)</f>
        <v>24.6219</v>
      </c>
      <c r="H825" s="10">
        <f>CHOOSE(CONTROL!$C$42, 24.8659, 24.8659) * CHOOSE(CONTROL!$C$21, $C$9, 100%, $E$9)</f>
        <v>24.8659</v>
      </c>
      <c r="I825" s="10">
        <f>CHOOSE(CONTROL!$C$42, 24.6379, 24.6379)* CHOOSE(CONTROL!$C$21, $C$9, 100%, $E$9)</f>
        <v>24.637899999999998</v>
      </c>
      <c r="J825" s="10">
        <f>CHOOSE(CONTROL!$C$42, 24.5976, 24.5976)* CHOOSE(CONTROL!$C$21, $C$9, 100%, $E$9)</f>
        <v>24.5976</v>
      </c>
      <c r="K825" s="10">
        <f>CHOOSE(CONTROL!$C$42, 24.0256, 24.0256) * CHOOSE(CONTROL!$C$21, $C$9, 100%, $E$9)</f>
        <v>24.025600000000001</v>
      </c>
      <c r="L825" s="10">
        <f>CHOOSE(CONTROL!$C$42, 25.4529, 25.4529) * CHOOSE(CONTROL!$C$21, $C$9, 100%, $E$9)</f>
        <v>25.4529</v>
      </c>
      <c r="M825" s="10">
        <f>CHOOSE(CONTROL!$C$42, 24.3122, 24.3122) * CHOOSE(CONTROL!$C$21, $C$9, 100%, $E$9)</f>
        <v>24.312200000000001</v>
      </c>
      <c r="N825" s="10">
        <f>CHOOSE(CONTROL!$C$42, 24.3289, 24.3289) * CHOOSE(CONTROL!$C$21, $C$9, 100%, $E$9)</f>
        <v>24.328900000000001</v>
      </c>
      <c r="O825" s="10">
        <f>CHOOSE(CONTROL!$C$42, 24.577, 24.577) * CHOOSE(CONTROL!$C$21, $C$9, 100%, $E$9)</f>
        <v>24.577000000000002</v>
      </c>
      <c r="P825" s="10">
        <f>CHOOSE(CONTROL!$C$42, 24.352, 24.352) * CHOOSE(CONTROL!$C$21, $C$9, 100%, $E$9)</f>
        <v>24.352</v>
      </c>
      <c r="Q825" s="10">
        <f>CHOOSE(CONTROL!$C$42, 25.1723, 25.1723) * CHOOSE(CONTROL!$C$21, $C$9, 100%, $E$9)</f>
        <v>25.1723</v>
      </c>
      <c r="R825" s="10">
        <f>CHOOSE(CONTROL!$C$42, 25.8222, 25.8222) * CHOOSE(CONTROL!$C$21, $C$9, 100%, $E$9)</f>
        <v>25.822199999999999</v>
      </c>
      <c r="S825" s="10">
        <f>CHOOSE(CONTROL!$C$42, 23.896, 23.896) * CHOOSE(CONTROL!$C$21, $C$9, 100%, $E$9)</f>
        <v>23.896000000000001</v>
      </c>
      <c r="T82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38">
        <f>(1000*CHOOSE(CONTROL!$C$42, 695, 695)*CHOOSE(CONTROL!$C$42, 0.5599, 0.5599)*CHOOSE(CONTROL!$C$42, 30, 30))/1000000</f>
        <v>11.673914999999997</v>
      </c>
      <c r="V825" s="38">
        <f>(1000*CHOOSE(CONTROL!$C$42, 500, 500)*CHOOSE(CONTROL!$C$42, 0.275, 0.275)*CHOOSE(CONTROL!$C$42, 30, 30))/1000000</f>
        <v>4.125</v>
      </c>
      <c r="W825" s="38">
        <f>(1000*CHOOSE(CONTROL!$C$42, 0.1146, 0.1146)*CHOOSE(CONTROL!$C$42, 121.5, 121.5)*CHOOSE(CONTROL!$C$42, 30, 30))/1000000</f>
        <v>0.417717</v>
      </c>
      <c r="X825" s="38">
        <f>(30*0.1790888*245000/1000000)+(30*0.2374*100000/1000000)</f>
        <v>2.0285026799999999</v>
      </c>
      <c r="Y825" s="38">
        <f>(1000*600*CHOOSE(CONTROL!$C$42, 1.0585, 1.0585)*CHOOSE(CONTROL!$C$42, 30, 30))/1000000</f>
        <v>19.053000000000001</v>
      </c>
      <c r="Z825" s="38"/>
      <c r="AA825" s="10"/>
      <c r="AB825" s="39"/>
      <c r="AC825" s="33">
        <f>(B825*194.205+C825*267.466+D825*133.845+E825*53.484+F825*40+G825*185+H825*0+I825*100+J825*300)/(194.205+267.466+133.845+53.484+0+40+185+100+300)</f>
        <v>24.66785452802198</v>
      </c>
      <c r="AD825" s="27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24.438905035971224</v>
      </c>
    </row>
    <row r="826" spans="1:30" ht="15.75" x14ac:dyDescent="0.25">
      <c r="A826" s="13">
        <v>66415</v>
      </c>
      <c r="B826" s="10">
        <f>CHOOSE(CONTROL!$C$42, 24.16, 24.16) * CHOOSE(CONTROL!$C$21, $C$9, 100%, $E$9)</f>
        <v>24.16</v>
      </c>
      <c r="C826" s="10">
        <f>CHOOSE(CONTROL!$C$42, 24.1654, 24.1654) * CHOOSE(CONTROL!$C$21, $C$9, 100%, $E$9)</f>
        <v>24.165400000000002</v>
      </c>
      <c r="D826" s="10">
        <f>CHOOSE(CONTROL!$C$42, 24.3454, 24.3454) * CHOOSE(CONTROL!$C$21, $C$9, 100%, $E$9)</f>
        <v>24.345400000000001</v>
      </c>
      <c r="E826" s="10">
        <f>CHOOSE(CONTROL!$C$42, 24.3743, 24.3743) * CHOOSE(CONTROL!$C$21, $C$9, 100%, $E$9)</f>
        <v>24.374300000000002</v>
      </c>
      <c r="F826" s="10">
        <f>CHOOSE(CONTROL!$C$42, 24.1038, 24.1038)*CHOOSE(CONTROL!$C$21, $C$9, 100%, $E$9)</f>
        <v>24.1038</v>
      </c>
      <c r="G826" s="10">
        <f>CHOOSE(CONTROL!$C$42, 24.1204, 24.1204)*CHOOSE(CONTROL!$C$21, $C$9, 100%, $E$9)</f>
        <v>24.1204</v>
      </c>
      <c r="H826" s="10">
        <f>CHOOSE(CONTROL!$C$42, 24.3644, 24.3644) * CHOOSE(CONTROL!$C$21, $C$9, 100%, $E$9)</f>
        <v>24.3644</v>
      </c>
      <c r="I826" s="10">
        <f>CHOOSE(CONTROL!$C$42, 24.1364, 24.1364)* CHOOSE(CONTROL!$C$21, $C$9, 100%, $E$9)</f>
        <v>24.136399999999998</v>
      </c>
      <c r="J826" s="10">
        <f>CHOOSE(CONTROL!$C$42, 24.0964, 24.0964)* CHOOSE(CONTROL!$C$21, $C$9, 100%, $E$9)</f>
        <v>24.096399999999999</v>
      </c>
      <c r="K826" s="10">
        <f>CHOOSE(CONTROL!$C$42, 23.5404, 23.5404) * CHOOSE(CONTROL!$C$21, $C$9, 100%, $E$9)</f>
        <v>23.540400000000002</v>
      </c>
      <c r="L826" s="10">
        <f>CHOOSE(CONTROL!$C$42, 24.9514, 24.9514) * CHOOSE(CONTROL!$C$21, $C$9, 100%, $E$9)</f>
        <v>24.9514</v>
      </c>
      <c r="M826" s="10">
        <f>CHOOSE(CONTROL!$C$42, 23.8175, 23.8175) * CHOOSE(CONTROL!$C$21, $C$9, 100%, $E$9)</f>
        <v>23.817499999999999</v>
      </c>
      <c r="N826" s="10">
        <f>CHOOSE(CONTROL!$C$42, 23.8339, 23.8339) * CHOOSE(CONTROL!$C$21, $C$9, 100%, $E$9)</f>
        <v>23.8339</v>
      </c>
      <c r="O826" s="10">
        <f>CHOOSE(CONTROL!$C$42, 24.0821, 24.0821) * CHOOSE(CONTROL!$C$21, $C$9, 100%, $E$9)</f>
        <v>24.082100000000001</v>
      </c>
      <c r="P826" s="10">
        <f>CHOOSE(CONTROL!$C$42, 23.857, 23.857) * CHOOSE(CONTROL!$C$21, $C$9, 100%, $E$9)</f>
        <v>23.856999999999999</v>
      </c>
      <c r="Q826" s="10">
        <f>CHOOSE(CONTROL!$C$42, 24.6774, 24.6774) * CHOOSE(CONTROL!$C$21, $C$9, 100%, $E$9)</f>
        <v>24.677399999999999</v>
      </c>
      <c r="R826" s="10">
        <f>CHOOSE(CONTROL!$C$42, 25.3261, 25.3261) * CHOOSE(CONTROL!$C$21, $C$9, 100%, $E$9)</f>
        <v>25.3261</v>
      </c>
      <c r="S826" s="10">
        <f>CHOOSE(CONTROL!$C$42, 23.4104, 23.4104) * CHOOSE(CONTROL!$C$21, $C$9, 100%, $E$9)</f>
        <v>23.410399999999999</v>
      </c>
      <c r="T82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38">
        <f>(1000*CHOOSE(CONTROL!$C$42, 695, 695)*CHOOSE(CONTROL!$C$42, 0.5599, 0.5599)*CHOOSE(CONTROL!$C$42, 31, 31))/1000000</f>
        <v>12.063045499999998</v>
      </c>
      <c r="V826" s="38">
        <f>(1000*CHOOSE(CONTROL!$C$42, 500, 500)*CHOOSE(CONTROL!$C$42, 0.275, 0.275)*CHOOSE(CONTROL!$C$42, 31, 31))/1000000</f>
        <v>4.2625000000000002</v>
      </c>
      <c r="W826" s="38">
        <f>(1000*CHOOSE(CONTROL!$C$42, 0.1146, 0.1146)*CHOOSE(CONTROL!$C$42, 121.5, 121.5)*CHOOSE(CONTROL!$C$42, 31, 31))/1000000</f>
        <v>0.43164089999999994</v>
      </c>
      <c r="X826" s="38">
        <f>(31*0.1790888*245000/1000000)+(31*0.2374*100000/1000000)</f>
        <v>2.0961194359999999</v>
      </c>
      <c r="Y826" s="38">
        <f>(1000*600*CHOOSE(CONTROL!$C$42, 1.0585, 1.0585)*CHOOSE(CONTROL!$C$42, 31, 31))/1000000</f>
        <v>19.688099999999999</v>
      </c>
      <c r="Z826" s="38"/>
      <c r="AA826" s="10"/>
      <c r="AB826" s="39"/>
      <c r="AC826" s="33">
        <f>(B826*131.881+C826*277.167+D826*79.08+E826*125.872+F826*40+G826*185+H826*0+I826*100+J826*300)/(131.881+277.167+79.08+125.872+0+40+185+100+300)</f>
        <v>24.169780874414851</v>
      </c>
      <c r="AD826" s="27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23.944053956834534</v>
      </c>
    </row>
    <row r="827" spans="1:30" ht="15.75" x14ac:dyDescent="0.25">
      <c r="A827" s="13">
        <v>66445</v>
      </c>
      <c r="B827" s="10">
        <f>CHOOSE(CONTROL!$C$42, 24.7965, 24.7965) * CHOOSE(CONTROL!$C$21, $C$9, 100%, $E$9)</f>
        <v>24.796500000000002</v>
      </c>
      <c r="C827" s="10">
        <f>CHOOSE(CONTROL!$C$42, 24.8016, 24.8016) * CHOOSE(CONTROL!$C$21, $C$9, 100%, $E$9)</f>
        <v>24.801600000000001</v>
      </c>
      <c r="D827" s="10">
        <f>CHOOSE(CONTROL!$C$42, 24.8263, 24.8263) * CHOOSE(CONTROL!$C$21, $C$9, 100%, $E$9)</f>
        <v>24.8263</v>
      </c>
      <c r="E827" s="10">
        <f>CHOOSE(CONTROL!$C$42, 24.8601, 24.8601) * CHOOSE(CONTROL!$C$21, $C$9, 100%, $E$9)</f>
        <v>24.860099999999999</v>
      </c>
      <c r="F827" s="10">
        <f>CHOOSE(CONTROL!$C$42, 24.7622, 24.7622)*CHOOSE(CONTROL!$C$21, $C$9, 100%, $E$9)</f>
        <v>24.7622</v>
      </c>
      <c r="G827" s="10">
        <f>CHOOSE(CONTROL!$C$42, 24.779, 24.779)*CHOOSE(CONTROL!$C$21, $C$9, 100%, $E$9)</f>
        <v>24.779</v>
      </c>
      <c r="H827" s="10">
        <f>CHOOSE(CONTROL!$C$42, 24.849, 24.849) * CHOOSE(CONTROL!$C$21, $C$9, 100%, $E$9)</f>
        <v>24.849</v>
      </c>
      <c r="I827" s="10">
        <f>CHOOSE(CONTROL!$C$42, 24.796, 24.796)* CHOOSE(CONTROL!$C$21, $C$9, 100%, $E$9)</f>
        <v>24.795999999999999</v>
      </c>
      <c r="J827" s="10">
        <f>CHOOSE(CONTROL!$C$42, 24.7548, 24.7548)* CHOOSE(CONTROL!$C$21, $C$9, 100%, $E$9)</f>
        <v>24.754799999999999</v>
      </c>
      <c r="K827" s="10">
        <f>CHOOSE(CONTROL!$C$42, 24.1812, 24.1812) * CHOOSE(CONTROL!$C$21, $C$9, 100%, $E$9)</f>
        <v>24.1812</v>
      </c>
      <c r="L827" s="10">
        <f>CHOOSE(CONTROL!$C$42, 25.436, 25.436) * CHOOSE(CONTROL!$C$21, $C$9, 100%, $E$9)</f>
        <v>25.436</v>
      </c>
      <c r="M827" s="10">
        <f>CHOOSE(CONTROL!$C$42, 24.4674, 24.4674) * CHOOSE(CONTROL!$C$21, $C$9, 100%, $E$9)</f>
        <v>24.467400000000001</v>
      </c>
      <c r="N827" s="10">
        <f>CHOOSE(CONTROL!$C$42, 24.484, 24.484) * CHOOSE(CONTROL!$C$21, $C$9, 100%, $E$9)</f>
        <v>24.484000000000002</v>
      </c>
      <c r="O827" s="10">
        <f>CHOOSE(CONTROL!$C$42, 24.5604, 24.5604) * CHOOSE(CONTROL!$C$21, $C$9, 100%, $E$9)</f>
        <v>24.560400000000001</v>
      </c>
      <c r="P827" s="10">
        <f>CHOOSE(CONTROL!$C$42, 24.5081, 24.5081) * CHOOSE(CONTROL!$C$21, $C$9, 100%, $E$9)</f>
        <v>24.508099999999999</v>
      </c>
      <c r="Q827" s="10">
        <f>CHOOSE(CONTROL!$C$42, 25.1557, 25.1557) * CHOOSE(CONTROL!$C$21, $C$9, 100%, $E$9)</f>
        <v>25.1557</v>
      </c>
      <c r="R827" s="10">
        <f>CHOOSE(CONTROL!$C$42, 25.8056, 25.8056) * CHOOSE(CONTROL!$C$21, $C$9, 100%, $E$9)</f>
        <v>25.805599999999998</v>
      </c>
      <c r="S827" s="10">
        <f>CHOOSE(CONTROL!$C$42, 24.0272, 24.0272) * CHOOSE(CONTROL!$C$21, $C$9, 100%, $E$9)</f>
        <v>24.027200000000001</v>
      </c>
      <c r="T82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38">
        <f>(1000*CHOOSE(CONTROL!$C$42, 695, 695)*CHOOSE(CONTROL!$C$42, 0.5599, 0.5599)*CHOOSE(CONTROL!$C$42, 30, 30))/1000000</f>
        <v>11.673914999999997</v>
      </c>
      <c r="V827" s="38">
        <f>(1000*CHOOSE(CONTROL!$C$42, 500, 500)*CHOOSE(CONTROL!$C$42, 0.275, 0.275)*CHOOSE(CONTROL!$C$42, 30, 30))/1000000</f>
        <v>4.125</v>
      </c>
      <c r="W827" s="38">
        <f>(1000*CHOOSE(CONTROL!$C$42, 0.1146, 0.1146)*CHOOSE(CONTROL!$C$42, 121.5, 121.5)*CHOOSE(CONTROL!$C$42, 30, 30))/1000000</f>
        <v>0.417717</v>
      </c>
      <c r="X827" s="38">
        <f>(30*0.1790888*100000/1000000)+(30*0.2374*100000/1000000)</f>
        <v>1.2494664</v>
      </c>
      <c r="Y827" s="38">
        <f>(1000*600*CHOOSE(CONTROL!$C$42, 1.0585, 1.0585)*CHOOSE(CONTROL!$C$42, 30, 30))/1000000</f>
        <v>19.053000000000001</v>
      </c>
      <c r="Z827" s="38"/>
      <c r="AA827" s="10"/>
      <c r="AB827" s="39"/>
      <c r="AC827" s="33">
        <f>(B827*122.58+C827*297.941+D827*89.177+E827*40.302+F827*40+G827*160+H827*0+I827*100+J827*300)/(122.58+297.941+89.177+40.302+0+40+160+100+300)</f>
        <v>24.787811461652169</v>
      </c>
      <c r="AD827" s="27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24.516362589928061</v>
      </c>
    </row>
    <row r="828" spans="1:30" ht="15.75" x14ac:dyDescent="0.25">
      <c r="A828" s="13">
        <v>66476</v>
      </c>
      <c r="B828" s="10">
        <f>CHOOSE(CONTROL!$C$42, 26.4883, 26.4883) * CHOOSE(CONTROL!$C$21, $C$9, 100%, $E$9)</f>
        <v>26.488299999999999</v>
      </c>
      <c r="C828" s="10">
        <f>CHOOSE(CONTROL!$C$42, 26.4934, 26.4934) * CHOOSE(CONTROL!$C$21, $C$9, 100%, $E$9)</f>
        <v>26.493400000000001</v>
      </c>
      <c r="D828" s="10">
        <f>CHOOSE(CONTROL!$C$42, 26.5181, 26.5181) * CHOOSE(CONTROL!$C$21, $C$9, 100%, $E$9)</f>
        <v>26.5181</v>
      </c>
      <c r="E828" s="10">
        <f>CHOOSE(CONTROL!$C$42, 26.5519, 26.5519) * CHOOSE(CONTROL!$C$21, $C$9, 100%, $E$9)</f>
        <v>26.5519</v>
      </c>
      <c r="F828" s="10">
        <f>CHOOSE(CONTROL!$C$42, 26.4557, 26.4557)*CHOOSE(CONTROL!$C$21, $C$9, 100%, $E$9)</f>
        <v>26.4557</v>
      </c>
      <c r="G828" s="10">
        <f>CHOOSE(CONTROL!$C$42, 26.473, 26.473)*CHOOSE(CONTROL!$C$21, $C$9, 100%, $E$9)</f>
        <v>26.472999999999999</v>
      </c>
      <c r="H828" s="10">
        <f>CHOOSE(CONTROL!$C$42, 26.5408, 26.5408) * CHOOSE(CONTROL!$C$21, $C$9, 100%, $E$9)</f>
        <v>26.540800000000001</v>
      </c>
      <c r="I828" s="10">
        <f>CHOOSE(CONTROL!$C$42, 26.4878, 26.4878)* CHOOSE(CONTROL!$C$21, $C$9, 100%, $E$9)</f>
        <v>26.4878</v>
      </c>
      <c r="J828" s="10">
        <f>CHOOSE(CONTROL!$C$42, 26.4483, 26.4483)* CHOOSE(CONTROL!$C$21, $C$9, 100%, $E$9)</f>
        <v>26.4483</v>
      </c>
      <c r="K828" s="10">
        <f>CHOOSE(CONTROL!$C$42, 25.824, 25.824) * CHOOSE(CONTROL!$C$21, $C$9, 100%, $E$9)</f>
        <v>25.824000000000002</v>
      </c>
      <c r="L828" s="10">
        <f>CHOOSE(CONTROL!$C$42, 27.1278, 27.1278) * CHOOSE(CONTROL!$C$21, $C$9, 100%, $E$9)</f>
        <v>27.127800000000001</v>
      </c>
      <c r="M828" s="10">
        <f>CHOOSE(CONTROL!$C$42, 26.139, 26.139) * CHOOSE(CONTROL!$C$21, $C$9, 100%, $E$9)</f>
        <v>26.138999999999999</v>
      </c>
      <c r="N828" s="10">
        <f>CHOOSE(CONTROL!$C$42, 26.156, 26.156) * CHOOSE(CONTROL!$C$21, $C$9, 100%, $E$9)</f>
        <v>26.155999999999999</v>
      </c>
      <c r="O828" s="10">
        <f>CHOOSE(CONTROL!$C$42, 26.2302, 26.2302) * CHOOSE(CONTROL!$C$21, $C$9, 100%, $E$9)</f>
        <v>26.2302</v>
      </c>
      <c r="P828" s="10">
        <f>CHOOSE(CONTROL!$C$42, 26.178, 26.178) * CHOOSE(CONTROL!$C$21, $C$9, 100%, $E$9)</f>
        <v>26.178000000000001</v>
      </c>
      <c r="Q828" s="10">
        <f>CHOOSE(CONTROL!$C$42, 26.8255, 26.8255) * CHOOSE(CONTROL!$C$21, $C$9, 100%, $E$9)</f>
        <v>26.825500000000002</v>
      </c>
      <c r="R828" s="10">
        <f>CHOOSE(CONTROL!$C$42, 27.4796, 27.4796) * CHOOSE(CONTROL!$C$21, $C$9, 100%, $E$9)</f>
        <v>27.479600000000001</v>
      </c>
      <c r="S828" s="10">
        <f>CHOOSE(CONTROL!$C$42, 25.6653, 25.6653) * CHOOSE(CONTROL!$C$21, $C$9, 100%, $E$9)</f>
        <v>25.665299999999998</v>
      </c>
      <c r="T82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38">
        <f>(1000*CHOOSE(CONTROL!$C$42, 695, 695)*CHOOSE(CONTROL!$C$42, 0.5599, 0.5599)*CHOOSE(CONTROL!$C$42, 31, 31))/1000000</f>
        <v>12.063045499999998</v>
      </c>
      <c r="V828" s="38">
        <f>(1000*CHOOSE(CONTROL!$C$42, 500, 500)*CHOOSE(CONTROL!$C$42, 0.275, 0.275)*CHOOSE(CONTROL!$C$42, 31, 31))/1000000</f>
        <v>4.2625000000000002</v>
      </c>
      <c r="W828" s="38">
        <f>(1000*CHOOSE(CONTROL!$C$42, 0.1146, 0.1146)*CHOOSE(CONTROL!$C$42, 121.5, 121.5)*CHOOSE(CONTROL!$C$42, 31, 31))/1000000</f>
        <v>0.43164089999999994</v>
      </c>
      <c r="X828" s="38">
        <f>(31*0.1790888*100000/1000000)+(31*0.2374*100000/1000000)</f>
        <v>1.2911152800000001</v>
      </c>
      <c r="Y828" s="38">
        <f>(1000*600*CHOOSE(CONTROL!$C$42, 1.0585, 1.0585)*CHOOSE(CONTROL!$C$42, 31, 31))/1000000</f>
        <v>19.688099999999999</v>
      </c>
      <c r="Z828" s="38"/>
      <c r="AA828" s="10"/>
      <c r="AB828" s="39"/>
      <c r="AC828" s="33">
        <f>(B828*122.58+C828*297.941+D828*89.177+E828*40.302+F828*40+G828*160+H828*0+I828*100+J828*300)/(122.58+297.941+89.177+40.302+0+40+160+100+300)</f>
        <v>26.480420157304351</v>
      </c>
      <c r="AD828" s="27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26.186925179856114</v>
      </c>
    </row>
    <row r="829" spans="1:30" ht="15.75" x14ac:dyDescent="0.25">
      <c r="A829" s="13">
        <v>66507</v>
      </c>
      <c r="B829" s="10">
        <f>CHOOSE(CONTROL!$C$42, 28.2772, 28.2772) * CHOOSE(CONTROL!$C$21, $C$9, 100%, $E$9)</f>
        <v>28.277200000000001</v>
      </c>
      <c r="C829" s="10">
        <f>CHOOSE(CONTROL!$C$42, 28.2823, 28.2823) * CHOOSE(CONTROL!$C$21, $C$9, 100%, $E$9)</f>
        <v>28.282299999999999</v>
      </c>
      <c r="D829" s="10">
        <f>CHOOSE(CONTROL!$C$42, 28.3173, 28.3173) * CHOOSE(CONTROL!$C$21, $C$9, 100%, $E$9)</f>
        <v>28.317299999999999</v>
      </c>
      <c r="E829" s="10">
        <f>CHOOSE(CONTROL!$C$42, 28.3511, 28.3511) * CHOOSE(CONTROL!$C$21, $C$9, 100%, $E$9)</f>
        <v>28.351099999999999</v>
      </c>
      <c r="F829" s="10">
        <f>CHOOSE(CONTROL!$C$42, 28.2585, 28.2585)*CHOOSE(CONTROL!$C$21, $C$9, 100%, $E$9)</f>
        <v>28.258500000000002</v>
      </c>
      <c r="G829" s="10">
        <f>CHOOSE(CONTROL!$C$42, 28.2774, 28.2774)*CHOOSE(CONTROL!$C$21, $C$9, 100%, $E$9)</f>
        <v>28.2774</v>
      </c>
      <c r="H829" s="10">
        <f>CHOOSE(CONTROL!$C$42, 28.34, 28.34) * CHOOSE(CONTROL!$C$21, $C$9, 100%, $E$9)</f>
        <v>28.34</v>
      </c>
      <c r="I829" s="10">
        <f>CHOOSE(CONTROL!$C$42, 28.2844, 28.2844)* CHOOSE(CONTROL!$C$21, $C$9, 100%, $E$9)</f>
        <v>28.284400000000002</v>
      </c>
      <c r="J829" s="10">
        <f>CHOOSE(CONTROL!$C$42, 28.2511, 28.2511)* CHOOSE(CONTROL!$C$21, $C$9, 100%, $E$9)</f>
        <v>28.251100000000001</v>
      </c>
      <c r="K829" s="10">
        <f>CHOOSE(CONTROL!$C$42, 27.5779, 27.5779) * CHOOSE(CONTROL!$C$21, $C$9, 100%, $E$9)</f>
        <v>27.5779</v>
      </c>
      <c r="L829" s="10">
        <f>CHOOSE(CONTROL!$C$42, 28.927, 28.927) * CHOOSE(CONTROL!$C$21, $C$9, 100%, $E$9)</f>
        <v>28.927</v>
      </c>
      <c r="M829" s="10">
        <f>CHOOSE(CONTROL!$C$42, 27.9184, 27.9184) * CHOOSE(CONTROL!$C$21, $C$9, 100%, $E$9)</f>
        <v>27.918399999999998</v>
      </c>
      <c r="N829" s="10">
        <f>CHOOSE(CONTROL!$C$42, 27.9371, 27.9371) * CHOOSE(CONTROL!$C$21, $C$9, 100%, $E$9)</f>
        <v>27.937100000000001</v>
      </c>
      <c r="O829" s="10">
        <f>CHOOSE(CONTROL!$C$42, 28.0062, 28.0062) * CHOOSE(CONTROL!$C$21, $C$9, 100%, $E$9)</f>
        <v>28.0062</v>
      </c>
      <c r="P829" s="10">
        <f>CHOOSE(CONTROL!$C$42, 27.9514, 27.9514) * CHOOSE(CONTROL!$C$21, $C$9, 100%, $E$9)</f>
        <v>27.9514</v>
      </c>
      <c r="Q829" s="10">
        <f>CHOOSE(CONTROL!$C$42, 28.6015, 28.6015) * CHOOSE(CONTROL!$C$21, $C$9, 100%, $E$9)</f>
        <v>28.601500000000001</v>
      </c>
      <c r="R829" s="10">
        <f>CHOOSE(CONTROL!$C$42, 29.26, 29.26) * CHOOSE(CONTROL!$C$21, $C$9, 100%, $E$9)</f>
        <v>29.26</v>
      </c>
      <c r="S829" s="10">
        <f>CHOOSE(CONTROL!$C$42, 27.3975, 27.3975) * CHOOSE(CONTROL!$C$21, $C$9, 100%, $E$9)</f>
        <v>27.397500000000001</v>
      </c>
      <c r="T82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38">
        <f>(1000*CHOOSE(CONTROL!$C$42, 695, 695)*CHOOSE(CONTROL!$C$42, 0.5599, 0.5599)*CHOOSE(CONTROL!$C$42, 31, 31))/1000000</f>
        <v>12.063045499999998</v>
      </c>
      <c r="V829" s="38">
        <f>(1000*CHOOSE(CONTROL!$C$42, 500, 500)*CHOOSE(CONTROL!$C$42, 0.275, 0.275)*CHOOSE(CONTROL!$C$42, 31, 31))/1000000</f>
        <v>4.2625000000000002</v>
      </c>
      <c r="W829" s="38">
        <f>(1000*CHOOSE(CONTROL!$C$42, 0.1146, 0.1146)*CHOOSE(CONTROL!$C$42, 121.5, 121.5)*CHOOSE(CONTROL!$C$42, 31, 31))/1000000</f>
        <v>0.43164089999999994</v>
      </c>
      <c r="X829" s="38">
        <f>(31*0.1790888*100000/1000000)+(31*0.2374*100000/1000000)</f>
        <v>1.2911152800000001</v>
      </c>
      <c r="Y829" s="38">
        <f>(1000*600*CHOOSE(CONTROL!$C$42, 1.0585, 1.0585)*CHOOSE(CONTROL!$C$42, 31, 31))/1000000</f>
        <v>19.688099999999999</v>
      </c>
      <c r="Z829" s="38"/>
      <c r="AA829" s="10"/>
      <c r="AB829" s="39"/>
      <c r="AC829" s="33">
        <f>(B829*122.58+C829*297.941+D829*89.177+E829*40.302+F829*40+G829*160+H829*0+I829*100+J829*300)/(122.58+297.941+89.177+40.302+0+40+160+100+300)</f>
        <v>28.277415490956521</v>
      </c>
      <c r="AD829" s="27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27.964018705035969</v>
      </c>
    </row>
    <row r="830" spans="1:30" ht="15.75" x14ac:dyDescent="0.25">
      <c r="A830" s="13">
        <v>66535</v>
      </c>
      <c r="B830" s="10">
        <f>CHOOSE(CONTROL!$C$42, 28.7809, 28.7809) * CHOOSE(CONTROL!$C$21, $C$9, 100%, $E$9)</f>
        <v>28.780899999999999</v>
      </c>
      <c r="C830" s="10">
        <f>CHOOSE(CONTROL!$C$42, 28.786, 28.786) * CHOOSE(CONTROL!$C$21, $C$9, 100%, $E$9)</f>
        <v>28.786000000000001</v>
      </c>
      <c r="D830" s="10">
        <f>CHOOSE(CONTROL!$C$42, 28.821, 28.821) * CHOOSE(CONTROL!$C$21, $C$9, 100%, $E$9)</f>
        <v>28.821000000000002</v>
      </c>
      <c r="E830" s="10">
        <f>CHOOSE(CONTROL!$C$42, 28.8548, 28.8548) * CHOOSE(CONTROL!$C$21, $C$9, 100%, $E$9)</f>
        <v>28.854800000000001</v>
      </c>
      <c r="F830" s="10">
        <f>CHOOSE(CONTROL!$C$42, 28.7616, 28.7616)*CHOOSE(CONTROL!$C$21, $C$9, 100%, $E$9)</f>
        <v>28.761600000000001</v>
      </c>
      <c r="G830" s="10">
        <f>CHOOSE(CONTROL!$C$42, 28.7804, 28.7804)*CHOOSE(CONTROL!$C$21, $C$9, 100%, $E$9)</f>
        <v>28.7804</v>
      </c>
      <c r="H830" s="10">
        <f>CHOOSE(CONTROL!$C$42, 28.8437, 28.8437) * CHOOSE(CONTROL!$C$21, $C$9, 100%, $E$9)</f>
        <v>28.843699999999998</v>
      </c>
      <c r="I830" s="10">
        <f>CHOOSE(CONTROL!$C$42, 28.7881, 28.7881)* CHOOSE(CONTROL!$C$21, $C$9, 100%, $E$9)</f>
        <v>28.7881</v>
      </c>
      <c r="J830" s="10">
        <f>CHOOSE(CONTROL!$C$42, 28.7542, 28.7542)* CHOOSE(CONTROL!$C$21, $C$9, 100%, $E$9)</f>
        <v>28.754200000000001</v>
      </c>
      <c r="K830" s="10">
        <f>CHOOSE(CONTROL!$C$42, 28.0647, 28.0647) * CHOOSE(CONTROL!$C$21, $C$9, 100%, $E$9)</f>
        <v>28.064699999999998</v>
      </c>
      <c r="L830" s="10">
        <f>CHOOSE(CONTROL!$C$42, 29.4307, 29.4307) * CHOOSE(CONTROL!$C$21, $C$9, 100%, $E$9)</f>
        <v>29.430700000000002</v>
      </c>
      <c r="M830" s="10">
        <f>CHOOSE(CONTROL!$C$42, 28.415, 28.415) * CHOOSE(CONTROL!$C$21, $C$9, 100%, $E$9)</f>
        <v>28.414999999999999</v>
      </c>
      <c r="N830" s="10">
        <f>CHOOSE(CONTROL!$C$42, 28.4335, 28.4335) * CHOOSE(CONTROL!$C$21, $C$9, 100%, $E$9)</f>
        <v>28.433499999999999</v>
      </c>
      <c r="O830" s="10">
        <f>CHOOSE(CONTROL!$C$42, 28.5033, 28.5033) * CHOOSE(CONTROL!$C$21, $C$9, 100%, $E$9)</f>
        <v>28.503299999999999</v>
      </c>
      <c r="P830" s="10">
        <f>CHOOSE(CONTROL!$C$42, 28.4485, 28.4485) * CHOOSE(CONTROL!$C$21, $C$9, 100%, $E$9)</f>
        <v>28.448499999999999</v>
      </c>
      <c r="Q830" s="10">
        <f>CHOOSE(CONTROL!$C$42, 29.0986, 29.0986) * CHOOSE(CONTROL!$C$21, $C$9, 100%, $E$9)</f>
        <v>29.098600000000001</v>
      </c>
      <c r="R830" s="10">
        <f>CHOOSE(CONTROL!$C$42, 29.7584, 29.7584) * CHOOSE(CONTROL!$C$21, $C$9, 100%, $E$9)</f>
        <v>29.758400000000002</v>
      </c>
      <c r="S830" s="10">
        <f>CHOOSE(CONTROL!$C$42, 27.8852, 27.8852) * CHOOSE(CONTROL!$C$21, $C$9, 100%, $E$9)</f>
        <v>27.885200000000001</v>
      </c>
      <c r="T83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38">
        <f>(1000*CHOOSE(CONTROL!$C$42, 695, 695)*CHOOSE(CONTROL!$C$42, 0.5599, 0.5599)*CHOOSE(CONTROL!$C$42, 28, 28))/1000000</f>
        <v>10.895653999999999</v>
      </c>
      <c r="V830" s="38">
        <f>(1000*CHOOSE(CONTROL!$C$42, 500, 500)*CHOOSE(CONTROL!$C$42, 0.275, 0.275)*CHOOSE(CONTROL!$C$42, 28, 28))/1000000</f>
        <v>3.85</v>
      </c>
      <c r="W830" s="38">
        <f>(1000*CHOOSE(CONTROL!$C$42, 0.1146, 0.1146)*CHOOSE(CONTROL!$C$42, 121.5, 121.5)*CHOOSE(CONTROL!$C$42, 28, 28))/1000000</f>
        <v>0.38986920000000003</v>
      </c>
      <c r="X830" s="38">
        <f>(28*0.1790888*100000/1000000)+(28*0.2374*100000/1000000)</f>
        <v>1.16616864</v>
      </c>
      <c r="Y830" s="38">
        <f>(1000*600*CHOOSE(CONTROL!$C$42, 1.0585, 1.0585)*CHOOSE(CONTROL!$C$42, 28, 28))/1000000</f>
        <v>17.782800000000002</v>
      </c>
      <c r="Z830" s="38"/>
      <c r="AA830" s="10"/>
      <c r="AB830" s="39"/>
      <c r="AC830" s="33">
        <f>(B830*122.58+C830*297.941+D830*89.177+E830*40.302+F830*40+G830*160+H830*0+I830*100+J830*300)/(122.58+297.941+89.177+40.302+0+40+160+100+300)</f>
        <v>28.780840708347824</v>
      </c>
      <c r="AD830" s="27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28.460905755395679</v>
      </c>
    </row>
    <row r="831" spans="1:30" ht="15.75" x14ac:dyDescent="0.25">
      <c r="A831" s="13">
        <v>66566</v>
      </c>
      <c r="B831" s="10">
        <f>CHOOSE(CONTROL!$C$42, 27.9633, 27.9633) * CHOOSE(CONTROL!$C$21, $C$9, 100%, $E$9)</f>
        <v>27.9633</v>
      </c>
      <c r="C831" s="10">
        <f>CHOOSE(CONTROL!$C$42, 27.9684, 27.9684) * CHOOSE(CONTROL!$C$21, $C$9, 100%, $E$9)</f>
        <v>27.968399999999999</v>
      </c>
      <c r="D831" s="10">
        <f>CHOOSE(CONTROL!$C$42, 28.0034, 28.0034) * CHOOSE(CONTROL!$C$21, $C$9, 100%, $E$9)</f>
        <v>28.003399999999999</v>
      </c>
      <c r="E831" s="10">
        <f>CHOOSE(CONTROL!$C$42, 28.0372, 28.0372) * CHOOSE(CONTROL!$C$21, $C$9, 100%, $E$9)</f>
        <v>28.037199999999999</v>
      </c>
      <c r="F831" s="10">
        <f>CHOOSE(CONTROL!$C$42, 27.9427, 27.9427)*CHOOSE(CONTROL!$C$21, $C$9, 100%, $E$9)</f>
        <v>27.942699999999999</v>
      </c>
      <c r="G831" s="10">
        <f>CHOOSE(CONTROL!$C$42, 27.9611, 27.9611)*CHOOSE(CONTROL!$C$21, $C$9, 100%, $E$9)</f>
        <v>27.961099999999998</v>
      </c>
      <c r="H831" s="10">
        <f>CHOOSE(CONTROL!$C$42, 28.0261, 28.0261) * CHOOSE(CONTROL!$C$21, $C$9, 100%, $E$9)</f>
        <v>28.0261</v>
      </c>
      <c r="I831" s="10">
        <f>CHOOSE(CONTROL!$C$42, 27.9705, 27.9705)* CHOOSE(CONTROL!$C$21, $C$9, 100%, $E$9)</f>
        <v>27.970500000000001</v>
      </c>
      <c r="J831" s="10">
        <f>CHOOSE(CONTROL!$C$42, 27.9353, 27.9353)* CHOOSE(CONTROL!$C$21, $C$9, 100%, $E$9)</f>
        <v>27.935300000000002</v>
      </c>
      <c r="K831" s="10">
        <f>CHOOSE(CONTROL!$C$42, 27.2696, 27.2696) * CHOOSE(CONTROL!$C$21, $C$9, 100%, $E$9)</f>
        <v>27.269600000000001</v>
      </c>
      <c r="L831" s="10">
        <f>CHOOSE(CONTROL!$C$42, 28.6131, 28.6131) * CHOOSE(CONTROL!$C$21, $C$9, 100%, $E$9)</f>
        <v>28.613099999999999</v>
      </c>
      <c r="M831" s="10">
        <f>CHOOSE(CONTROL!$C$42, 27.6067, 27.6067) * CHOOSE(CONTROL!$C$21, $C$9, 100%, $E$9)</f>
        <v>27.6067</v>
      </c>
      <c r="N831" s="10">
        <f>CHOOSE(CONTROL!$C$42, 27.6248, 27.6248) * CHOOSE(CONTROL!$C$21, $C$9, 100%, $E$9)</f>
        <v>27.6248</v>
      </c>
      <c r="O831" s="10">
        <f>CHOOSE(CONTROL!$C$42, 27.6963, 27.6963) * CHOOSE(CONTROL!$C$21, $C$9, 100%, $E$9)</f>
        <v>27.696300000000001</v>
      </c>
      <c r="P831" s="10">
        <f>CHOOSE(CONTROL!$C$42, 27.6415, 27.6415) * CHOOSE(CONTROL!$C$21, $C$9, 100%, $E$9)</f>
        <v>27.641500000000001</v>
      </c>
      <c r="Q831" s="10">
        <f>CHOOSE(CONTROL!$C$42, 28.2916, 28.2916) * CHOOSE(CONTROL!$C$21, $C$9, 100%, $E$9)</f>
        <v>28.291599999999999</v>
      </c>
      <c r="R831" s="10">
        <f>CHOOSE(CONTROL!$C$42, 28.9494, 28.9494) * CHOOSE(CONTROL!$C$21, $C$9, 100%, $E$9)</f>
        <v>28.949400000000001</v>
      </c>
      <c r="S831" s="10">
        <f>CHOOSE(CONTROL!$C$42, 27.0935, 27.0935) * CHOOSE(CONTROL!$C$21, $C$9, 100%, $E$9)</f>
        <v>27.093499999999999</v>
      </c>
      <c r="T83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38">
        <f>(1000*CHOOSE(CONTROL!$C$42, 695, 695)*CHOOSE(CONTROL!$C$42, 0.5599, 0.5599)*CHOOSE(CONTROL!$C$42, 31, 31))/1000000</f>
        <v>12.063045499999998</v>
      </c>
      <c r="V831" s="38">
        <f>(1000*CHOOSE(CONTROL!$C$42, 500, 500)*CHOOSE(CONTROL!$C$42, 0.275, 0.275)*CHOOSE(CONTROL!$C$42, 31, 31))/1000000</f>
        <v>4.2625000000000002</v>
      </c>
      <c r="W831" s="38">
        <f>(1000*CHOOSE(CONTROL!$C$42, 0.1146, 0.1146)*CHOOSE(CONTROL!$C$42, 121.5, 121.5)*CHOOSE(CONTROL!$C$42, 31, 31))/1000000</f>
        <v>0.43164089999999994</v>
      </c>
      <c r="X831" s="38">
        <f>(31*0.1790888*100000/1000000)+(31*0.2374*100000/1000000)</f>
        <v>1.2911152800000001</v>
      </c>
      <c r="Y831" s="38">
        <f>(1000*600*CHOOSE(CONTROL!$C$42, 1.0585, 1.0585)*CHOOSE(CONTROL!$C$42, 31, 31))/1000000</f>
        <v>19.688099999999999</v>
      </c>
      <c r="Z831" s="38"/>
      <c r="AA831" s="10"/>
      <c r="AB831" s="39"/>
      <c r="AC831" s="33">
        <f>(B831*122.58+C831*297.941+D831*89.177+E831*40.302+F831*40+G831*160+H831*0+I831*100+J831*300)/(122.58+297.941+89.177+40.302+0+40+160+100+300)</f>
        <v>27.962619838782608</v>
      </c>
      <c r="AD831" s="27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27.65335899280576</v>
      </c>
    </row>
    <row r="832" spans="1:30" ht="15.75" x14ac:dyDescent="0.25">
      <c r="A832" s="13">
        <v>66596</v>
      </c>
      <c r="B832" s="10">
        <f>CHOOSE(CONTROL!$C$42, 27.8803, 27.8803) * CHOOSE(CONTROL!$C$21, $C$9, 100%, $E$9)</f>
        <v>27.880299999999998</v>
      </c>
      <c r="C832" s="10">
        <f>CHOOSE(CONTROL!$C$42, 27.8848, 27.8848) * CHOOSE(CONTROL!$C$21, $C$9, 100%, $E$9)</f>
        <v>27.884799999999998</v>
      </c>
      <c r="D832" s="10">
        <f>CHOOSE(CONTROL!$C$42, 28.063, 28.063) * CHOOSE(CONTROL!$C$21, $C$9, 100%, $E$9)</f>
        <v>28.062999999999999</v>
      </c>
      <c r="E832" s="10">
        <f>CHOOSE(CONTROL!$C$42, 28.0949, 28.0949) * CHOOSE(CONTROL!$C$21, $C$9, 100%, $E$9)</f>
        <v>28.094899999999999</v>
      </c>
      <c r="F832" s="10">
        <f>CHOOSE(CONTROL!$C$42, 27.8237, 27.8237)*CHOOSE(CONTROL!$C$21, $C$9, 100%, $E$9)</f>
        <v>27.823699999999999</v>
      </c>
      <c r="G832" s="10">
        <f>CHOOSE(CONTROL!$C$42, 27.8403, 27.8403)*CHOOSE(CONTROL!$C$21, $C$9, 100%, $E$9)</f>
        <v>27.840299999999999</v>
      </c>
      <c r="H832" s="10">
        <f>CHOOSE(CONTROL!$C$42, 28.0843, 28.0843) * CHOOSE(CONTROL!$C$21, $C$9, 100%, $E$9)</f>
        <v>28.084299999999999</v>
      </c>
      <c r="I832" s="10">
        <f>CHOOSE(CONTROL!$C$42, 27.8563, 27.8563)* CHOOSE(CONTROL!$C$21, $C$9, 100%, $E$9)</f>
        <v>27.856300000000001</v>
      </c>
      <c r="J832" s="10">
        <f>CHOOSE(CONTROL!$C$42, 27.8163, 27.8163)* CHOOSE(CONTROL!$C$21, $C$9, 100%, $E$9)</f>
        <v>27.816299999999998</v>
      </c>
      <c r="K832" s="10">
        <f>CHOOSE(CONTROL!$C$42, 27.1442, 27.1442) * CHOOSE(CONTROL!$C$21, $C$9, 100%, $E$9)</f>
        <v>27.144200000000001</v>
      </c>
      <c r="L832" s="10">
        <f>CHOOSE(CONTROL!$C$42, 28.6713, 28.6713) * CHOOSE(CONTROL!$C$21, $C$9, 100%, $E$9)</f>
        <v>28.671299999999999</v>
      </c>
      <c r="M832" s="10">
        <f>CHOOSE(CONTROL!$C$42, 27.4893, 27.4893) * CHOOSE(CONTROL!$C$21, $C$9, 100%, $E$9)</f>
        <v>27.4893</v>
      </c>
      <c r="N832" s="10">
        <f>CHOOSE(CONTROL!$C$42, 27.5057, 27.5057) * CHOOSE(CONTROL!$C$21, $C$9, 100%, $E$9)</f>
        <v>27.505700000000001</v>
      </c>
      <c r="O832" s="10">
        <f>CHOOSE(CONTROL!$C$42, 27.7538, 27.7538) * CHOOSE(CONTROL!$C$21, $C$9, 100%, $E$9)</f>
        <v>27.753799999999998</v>
      </c>
      <c r="P832" s="10">
        <f>CHOOSE(CONTROL!$C$42, 27.5288, 27.5288) * CHOOSE(CONTROL!$C$21, $C$9, 100%, $E$9)</f>
        <v>27.5288</v>
      </c>
      <c r="Q832" s="10">
        <f>CHOOSE(CONTROL!$C$42, 28.3491, 28.3491) * CHOOSE(CONTROL!$C$21, $C$9, 100%, $E$9)</f>
        <v>28.3491</v>
      </c>
      <c r="R832" s="10">
        <f>CHOOSE(CONTROL!$C$42, 29.007, 29.007) * CHOOSE(CONTROL!$C$21, $C$9, 100%, $E$9)</f>
        <v>29.007000000000001</v>
      </c>
      <c r="S832" s="10">
        <f>CHOOSE(CONTROL!$C$42, 27.0124, 27.0124) * CHOOSE(CONTROL!$C$21, $C$9, 100%, $E$9)</f>
        <v>27.0124</v>
      </c>
      <c r="T83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38">
        <f>(1000*CHOOSE(CONTROL!$C$42, 695, 695)*CHOOSE(CONTROL!$C$42, 0.5599, 0.5599)*CHOOSE(CONTROL!$C$42, 30, 30))/1000000</f>
        <v>11.673914999999997</v>
      </c>
      <c r="V832" s="38">
        <f>(1000*CHOOSE(CONTROL!$C$42, 500, 500)*CHOOSE(CONTROL!$C$42, 0.275, 0.275)*CHOOSE(CONTROL!$C$42, 30, 30))/1000000</f>
        <v>4.125</v>
      </c>
      <c r="W832" s="38">
        <f>(1000*CHOOSE(CONTROL!$C$42, 0.1146, 0.1146)*CHOOSE(CONTROL!$C$42, 121.5, 121.5)*CHOOSE(CONTROL!$C$42, 30, 30))/1000000</f>
        <v>0.417717</v>
      </c>
      <c r="X832" s="38">
        <f>(30*0.1790888*245000/1000000)+(30*0.2374*100000/1000000)</f>
        <v>2.0285026799999999</v>
      </c>
      <c r="Y832" s="38">
        <f>(1000*600*CHOOSE(CONTROL!$C$42, 1.0585, 1.0585)*CHOOSE(CONTROL!$C$42, 30, 30))/1000000</f>
        <v>19.053000000000001</v>
      </c>
      <c r="Z832" s="38"/>
      <c r="AA832" s="10"/>
      <c r="AB832" s="39"/>
      <c r="AC832" s="33">
        <f>(B832*141.293+C832*267.993+D832*115.016+E832*89.698+F832*40+G832*185+H832*0+I832*100+J832*300)/(141.293+267.993+115.016+89.698+0+40+185+100+300)</f>
        <v>27.8885361440678</v>
      </c>
      <c r="AD832" s="27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27.615808633093526</v>
      </c>
    </row>
    <row r="833" spans="1:30" ht="15.75" x14ac:dyDescent="0.25">
      <c r="A833" s="13">
        <v>66627</v>
      </c>
      <c r="B833" s="10">
        <f>CHOOSE(CONTROL!$C$42, 28.1283, 28.1283) * CHOOSE(CONTROL!$C$21, $C$9, 100%, $E$9)</f>
        <v>28.128299999999999</v>
      </c>
      <c r="C833" s="10">
        <f>CHOOSE(CONTROL!$C$42, 28.1363, 28.1363) * CHOOSE(CONTROL!$C$21, $C$9, 100%, $E$9)</f>
        <v>28.136299999999999</v>
      </c>
      <c r="D833" s="10">
        <f>CHOOSE(CONTROL!$C$42, 28.3114, 28.3114) * CHOOSE(CONTROL!$C$21, $C$9, 100%, $E$9)</f>
        <v>28.311399999999999</v>
      </c>
      <c r="E833" s="10">
        <f>CHOOSE(CONTROL!$C$42, 28.3426, 28.3426) * CHOOSE(CONTROL!$C$21, $C$9, 100%, $E$9)</f>
        <v>28.342600000000001</v>
      </c>
      <c r="F833" s="10">
        <f>CHOOSE(CONTROL!$C$42, 28.0699, 28.0699)*CHOOSE(CONTROL!$C$21, $C$9, 100%, $E$9)</f>
        <v>28.069900000000001</v>
      </c>
      <c r="G833" s="10">
        <f>CHOOSE(CONTROL!$C$42, 28.0868, 28.0868)*CHOOSE(CONTROL!$C$21, $C$9, 100%, $E$9)</f>
        <v>28.0868</v>
      </c>
      <c r="H833" s="10">
        <f>CHOOSE(CONTROL!$C$42, 28.3309, 28.3309) * CHOOSE(CONTROL!$C$21, $C$9, 100%, $E$9)</f>
        <v>28.3309</v>
      </c>
      <c r="I833" s="10">
        <f>CHOOSE(CONTROL!$C$42, 28.1029, 28.1029)* CHOOSE(CONTROL!$C$21, $C$9, 100%, $E$9)</f>
        <v>28.102900000000002</v>
      </c>
      <c r="J833" s="10">
        <f>CHOOSE(CONTROL!$C$42, 28.0625, 28.0625)* CHOOSE(CONTROL!$C$21, $C$9, 100%, $E$9)</f>
        <v>28.0625</v>
      </c>
      <c r="K833" s="10">
        <f>CHOOSE(CONTROL!$C$42, 27.3823, 27.3823) * CHOOSE(CONTROL!$C$21, $C$9, 100%, $E$9)</f>
        <v>27.382300000000001</v>
      </c>
      <c r="L833" s="10">
        <f>CHOOSE(CONTROL!$C$42, 28.9179, 28.9179) * CHOOSE(CONTROL!$C$21, $C$9, 100%, $E$9)</f>
        <v>28.917899999999999</v>
      </c>
      <c r="M833" s="10">
        <f>CHOOSE(CONTROL!$C$42, 27.7323, 27.7323) * CHOOSE(CONTROL!$C$21, $C$9, 100%, $E$9)</f>
        <v>27.732299999999999</v>
      </c>
      <c r="N833" s="10">
        <f>CHOOSE(CONTROL!$C$42, 27.749, 27.749) * CHOOSE(CONTROL!$C$21, $C$9, 100%, $E$9)</f>
        <v>27.748999999999999</v>
      </c>
      <c r="O833" s="10">
        <f>CHOOSE(CONTROL!$C$42, 27.9972, 27.9972) * CHOOSE(CONTROL!$C$21, $C$9, 100%, $E$9)</f>
        <v>27.997199999999999</v>
      </c>
      <c r="P833" s="10">
        <f>CHOOSE(CONTROL!$C$42, 27.7722, 27.7722) * CHOOSE(CONTROL!$C$21, $C$9, 100%, $E$9)</f>
        <v>27.772200000000002</v>
      </c>
      <c r="Q833" s="10">
        <f>CHOOSE(CONTROL!$C$42, 28.5925, 28.5925) * CHOOSE(CONTROL!$C$21, $C$9, 100%, $E$9)</f>
        <v>28.592500000000001</v>
      </c>
      <c r="R833" s="10">
        <f>CHOOSE(CONTROL!$C$42, 29.251, 29.251) * CHOOSE(CONTROL!$C$21, $C$9, 100%, $E$9)</f>
        <v>29.251000000000001</v>
      </c>
      <c r="S833" s="10">
        <f>CHOOSE(CONTROL!$C$42, 27.2512, 27.2512) * CHOOSE(CONTROL!$C$21, $C$9, 100%, $E$9)</f>
        <v>27.251200000000001</v>
      </c>
      <c r="T83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38">
        <f>(1000*CHOOSE(CONTROL!$C$42, 695, 695)*CHOOSE(CONTROL!$C$42, 0.5599, 0.5599)*CHOOSE(CONTROL!$C$42, 31, 31))/1000000</f>
        <v>12.063045499999998</v>
      </c>
      <c r="V833" s="38">
        <f>(1000*CHOOSE(CONTROL!$C$42, 500, 500)*CHOOSE(CONTROL!$C$42, 0.275, 0.275)*CHOOSE(CONTROL!$C$42, 31, 31))/1000000</f>
        <v>4.2625000000000002</v>
      </c>
      <c r="W833" s="38">
        <f>(1000*CHOOSE(CONTROL!$C$42, 0.1146, 0.1146)*CHOOSE(CONTROL!$C$42, 121.5, 121.5)*CHOOSE(CONTROL!$C$42, 31, 31))/1000000</f>
        <v>0.43164089999999994</v>
      </c>
      <c r="X833" s="38">
        <f>(31*0.1790888*245000/1000000)+(31*0.2374*100000/1000000)</f>
        <v>2.0961194359999999</v>
      </c>
      <c r="Y833" s="38">
        <f>(1000*600*CHOOSE(CONTROL!$C$42, 1.0585, 1.0585)*CHOOSE(CONTROL!$C$42, 31, 31))/1000000</f>
        <v>19.688099999999999</v>
      </c>
      <c r="Z833" s="38"/>
      <c r="AA833" s="10"/>
      <c r="AB833" s="39"/>
      <c r="AC833" s="33">
        <f>(B833*194.205+C833*267.466+D833*133.845+E833*53.484+F833*40+G833*185+H833*0+I833*100+J833*300)/(194.205+267.466+133.845+53.484+0+40+185+100+300)</f>
        <v>28.132864261145997</v>
      </c>
      <c r="AD833" s="27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27.859064748201444</v>
      </c>
    </row>
    <row r="834" spans="1:30" ht="15.75" x14ac:dyDescent="0.25">
      <c r="A834" s="13">
        <v>66657</v>
      </c>
      <c r="B834" s="10">
        <f>CHOOSE(CONTROL!$C$42, 28.9265, 28.9265) * CHOOSE(CONTROL!$C$21, $C$9, 100%, $E$9)</f>
        <v>28.926500000000001</v>
      </c>
      <c r="C834" s="10">
        <f>CHOOSE(CONTROL!$C$42, 28.9345, 28.9345) * CHOOSE(CONTROL!$C$21, $C$9, 100%, $E$9)</f>
        <v>28.9345</v>
      </c>
      <c r="D834" s="10">
        <f>CHOOSE(CONTROL!$C$42, 29.1097, 29.1097) * CHOOSE(CONTROL!$C$21, $C$9, 100%, $E$9)</f>
        <v>29.1097</v>
      </c>
      <c r="E834" s="10">
        <f>CHOOSE(CONTROL!$C$42, 29.1409, 29.1409) * CHOOSE(CONTROL!$C$21, $C$9, 100%, $E$9)</f>
        <v>29.140899999999998</v>
      </c>
      <c r="F834" s="10">
        <f>CHOOSE(CONTROL!$C$42, 28.8684, 28.8684)*CHOOSE(CONTROL!$C$21, $C$9, 100%, $E$9)</f>
        <v>28.868400000000001</v>
      </c>
      <c r="G834" s="10">
        <f>CHOOSE(CONTROL!$C$42, 28.8854, 28.8854)*CHOOSE(CONTROL!$C$21, $C$9, 100%, $E$9)</f>
        <v>28.885400000000001</v>
      </c>
      <c r="H834" s="10">
        <f>CHOOSE(CONTROL!$C$42, 29.1292, 29.1292) * CHOOSE(CONTROL!$C$21, $C$9, 100%, $E$9)</f>
        <v>29.129200000000001</v>
      </c>
      <c r="I834" s="10">
        <f>CHOOSE(CONTROL!$C$42, 28.9012, 28.9012)* CHOOSE(CONTROL!$C$21, $C$9, 100%, $E$9)</f>
        <v>28.901199999999999</v>
      </c>
      <c r="J834" s="10">
        <f>CHOOSE(CONTROL!$C$42, 28.861, 28.861)* CHOOSE(CONTROL!$C$21, $C$9, 100%, $E$9)</f>
        <v>28.861000000000001</v>
      </c>
      <c r="K834" s="10">
        <f>CHOOSE(CONTROL!$C$42, 28.156, 28.156) * CHOOSE(CONTROL!$C$21, $C$9, 100%, $E$9)</f>
        <v>28.155999999999999</v>
      </c>
      <c r="L834" s="10">
        <f>CHOOSE(CONTROL!$C$42, 29.7162, 29.7162) * CHOOSE(CONTROL!$C$21, $C$9, 100%, $E$9)</f>
        <v>29.716200000000001</v>
      </c>
      <c r="M834" s="10">
        <f>CHOOSE(CONTROL!$C$42, 28.5204, 28.5204) * CHOOSE(CONTROL!$C$21, $C$9, 100%, $E$9)</f>
        <v>28.520399999999999</v>
      </c>
      <c r="N834" s="10">
        <f>CHOOSE(CONTROL!$C$42, 28.5372, 28.5372) * CHOOSE(CONTROL!$C$21, $C$9, 100%, $E$9)</f>
        <v>28.537199999999999</v>
      </c>
      <c r="O834" s="10">
        <f>CHOOSE(CONTROL!$C$42, 28.7852, 28.7852) * CHOOSE(CONTROL!$C$21, $C$9, 100%, $E$9)</f>
        <v>28.7852</v>
      </c>
      <c r="P834" s="10">
        <f>CHOOSE(CONTROL!$C$42, 28.5601, 28.5601) * CHOOSE(CONTROL!$C$21, $C$9, 100%, $E$9)</f>
        <v>28.560099999999998</v>
      </c>
      <c r="Q834" s="10">
        <f>CHOOSE(CONTROL!$C$42, 29.3805, 29.3805) * CHOOSE(CONTROL!$C$21, $C$9, 100%, $E$9)</f>
        <v>29.380500000000001</v>
      </c>
      <c r="R834" s="10">
        <f>CHOOSE(CONTROL!$C$42, 30.0409, 30.0409) * CHOOSE(CONTROL!$C$21, $C$9, 100%, $E$9)</f>
        <v>30.040900000000001</v>
      </c>
      <c r="S834" s="10">
        <f>CHOOSE(CONTROL!$C$42, 28.0242, 28.0242) * CHOOSE(CONTROL!$C$21, $C$9, 100%, $E$9)</f>
        <v>28.0242</v>
      </c>
      <c r="T83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38">
        <f>(1000*CHOOSE(CONTROL!$C$42, 695, 695)*CHOOSE(CONTROL!$C$42, 0.5599, 0.5599)*CHOOSE(CONTROL!$C$42, 30, 30))/1000000</f>
        <v>11.673914999999997</v>
      </c>
      <c r="V834" s="38">
        <f>(1000*CHOOSE(CONTROL!$C$42, 500, 500)*CHOOSE(CONTROL!$C$42, 0.275, 0.275)*CHOOSE(CONTROL!$C$42, 30, 30))/1000000</f>
        <v>4.125</v>
      </c>
      <c r="W834" s="38">
        <f>(1000*CHOOSE(CONTROL!$C$42, 0.1146, 0.1146)*CHOOSE(CONTROL!$C$42, 121.5, 121.5)*CHOOSE(CONTROL!$C$42, 30, 30))/1000000</f>
        <v>0.417717</v>
      </c>
      <c r="X834" s="38">
        <f>(30*0.1790888*245000/1000000)+(30*0.2374*100000/1000000)</f>
        <v>2.0285026799999999</v>
      </c>
      <c r="Y834" s="38">
        <f>(1000*600*CHOOSE(CONTROL!$C$42, 1.0585, 1.0585)*CHOOSE(CONTROL!$C$42, 30, 30))/1000000</f>
        <v>19.053000000000001</v>
      </c>
      <c r="Z834" s="38"/>
      <c r="AA834" s="10"/>
      <c r="AB834" s="39"/>
      <c r="AC834" s="33">
        <f>(B834*194.205+C834*267.466+D834*133.845+E834*53.484+F834*40+G834*185+H834*0+I834*100+J834*300)/(194.205+267.466+133.845+53.484+0+40+185+100+300)</f>
        <v>28.93122496200942</v>
      </c>
      <c r="AD834" s="27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28.647096402877697</v>
      </c>
    </row>
    <row r="835" spans="1:30" ht="15.75" x14ac:dyDescent="0.25">
      <c r="A835" s="13">
        <v>66688</v>
      </c>
      <c r="B835" s="10">
        <f>CHOOSE(CONTROL!$C$42, 28.3713, 28.3713) * CHOOSE(CONTROL!$C$21, $C$9, 100%, $E$9)</f>
        <v>28.371300000000002</v>
      </c>
      <c r="C835" s="10">
        <f>CHOOSE(CONTROL!$C$42, 28.3793, 28.3793) * CHOOSE(CONTROL!$C$21, $C$9, 100%, $E$9)</f>
        <v>28.379300000000001</v>
      </c>
      <c r="D835" s="10">
        <f>CHOOSE(CONTROL!$C$42, 28.5545, 28.5545) * CHOOSE(CONTROL!$C$21, $C$9, 100%, $E$9)</f>
        <v>28.554500000000001</v>
      </c>
      <c r="E835" s="10">
        <f>CHOOSE(CONTROL!$C$42, 28.5857, 28.5857) * CHOOSE(CONTROL!$C$21, $C$9, 100%, $E$9)</f>
        <v>28.585699999999999</v>
      </c>
      <c r="F835" s="10">
        <f>CHOOSE(CONTROL!$C$42, 28.3136, 28.3136)*CHOOSE(CONTROL!$C$21, $C$9, 100%, $E$9)</f>
        <v>28.313600000000001</v>
      </c>
      <c r="G835" s="10">
        <f>CHOOSE(CONTROL!$C$42, 28.3306, 28.3306)*CHOOSE(CONTROL!$C$21, $C$9, 100%, $E$9)</f>
        <v>28.3306</v>
      </c>
      <c r="H835" s="10">
        <f>CHOOSE(CONTROL!$C$42, 28.574, 28.574) * CHOOSE(CONTROL!$C$21, $C$9, 100%, $E$9)</f>
        <v>28.574000000000002</v>
      </c>
      <c r="I835" s="10">
        <f>CHOOSE(CONTROL!$C$42, 28.346, 28.346)* CHOOSE(CONTROL!$C$21, $C$9, 100%, $E$9)</f>
        <v>28.346</v>
      </c>
      <c r="J835" s="10">
        <f>CHOOSE(CONTROL!$C$42, 28.3062, 28.3062)* CHOOSE(CONTROL!$C$21, $C$9, 100%, $E$9)</f>
        <v>28.3062</v>
      </c>
      <c r="K835" s="10">
        <f>CHOOSE(CONTROL!$C$42, 27.6189, 27.6189) * CHOOSE(CONTROL!$C$21, $C$9, 100%, $E$9)</f>
        <v>27.6189</v>
      </c>
      <c r="L835" s="10">
        <f>CHOOSE(CONTROL!$C$42, 29.161, 29.161) * CHOOSE(CONTROL!$C$21, $C$9, 100%, $E$9)</f>
        <v>29.161000000000001</v>
      </c>
      <c r="M835" s="10">
        <f>CHOOSE(CONTROL!$C$42, 27.9728, 27.9728) * CHOOSE(CONTROL!$C$21, $C$9, 100%, $E$9)</f>
        <v>27.972799999999999</v>
      </c>
      <c r="N835" s="10">
        <f>CHOOSE(CONTROL!$C$42, 27.9896, 27.9896) * CHOOSE(CONTROL!$C$21, $C$9, 100%, $E$9)</f>
        <v>27.989599999999999</v>
      </c>
      <c r="O835" s="10">
        <f>CHOOSE(CONTROL!$C$42, 28.2371, 28.2371) * CHOOSE(CONTROL!$C$21, $C$9, 100%, $E$9)</f>
        <v>28.237100000000002</v>
      </c>
      <c r="P835" s="10">
        <f>CHOOSE(CONTROL!$C$42, 28.0121, 28.0121) * CHOOSE(CONTROL!$C$21, $C$9, 100%, $E$9)</f>
        <v>28.0121</v>
      </c>
      <c r="Q835" s="10">
        <f>CHOOSE(CONTROL!$C$42, 28.8324, 28.8324) * CHOOSE(CONTROL!$C$21, $C$9, 100%, $E$9)</f>
        <v>28.8324</v>
      </c>
      <c r="R835" s="10">
        <f>CHOOSE(CONTROL!$C$42, 29.4915, 29.4915) * CHOOSE(CONTROL!$C$21, $C$9, 100%, $E$9)</f>
        <v>29.491499999999998</v>
      </c>
      <c r="S835" s="10">
        <f>CHOOSE(CONTROL!$C$42, 27.4866, 27.4866) * CHOOSE(CONTROL!$C$21, $C$9, 100%, $E$9)</f>
        <v>27.486599999999999</v>
      </c>
      <c r="T83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38">
        <f>(1000*CHOOSE(CONTROL!$C$42, 695, 695)*CHOOSE(CONTROL!$C$42, 0.5599, 0.5599)*CHOOSE(CONTROL!$C$42, 31, 31))/1000000</f>
        <v>12.063045499999998</v>
      </c>
      <c r="V835" s="38">
        <f>(1000*CHOOSE(CONTROL!$C$42, 500, 500)*CHOOSE(CONTROL!$C$42, 0.275, 0.275)*CHOOSE(CONTROL!$C$42, 31, 31))/1000000</f>
        <v>4.2625000000000002</v>
      </c>
      <c r="W835" s="38">
        <f>(1000*CHOOSE(CONTROL!$C$42, 0.1146, 0.1146)*CHOOSE(CONTROL!$C$42, 121.5, 121.5)*CHOOSE(CONTROL!$C$42, 31, 31))/1000000</f>
        <v>0.43164089999999994</v>
      </c>
      <c r="X835" s="38">
        <f>(31*0.1790888*245000/1000000)+(31*0.2374*100000/1000000)</f>
        <v>2.0961194359999999</v>
      </c>
      <c r="Y835" s="38">
        <f>(1000*600*CHOOSE(CONTROL!$C$42, 1.0585, 1.0585)*CHOOSE(CONTROL!$C$42, 31, 31))/1000000</f>
        <v>19.688099999999999</v>
      </c>
      <c r="Z835" s="38"/>
      <c r="AA835" s="10"/>
      <c r="AB835" s="39"/>
      <c r="AC835" s="33">
        <f>(B835*194.205+C835*267.466+D835*133.845+E835*53.484+F835*40+G835*185+H835*0+I835*100+J835*300)/(194.205+267.466+133.845+53.484+0+40+185+100+300)</f>
        <v>28.376189797174252</v>
      </c>
      <c r="AD835" s="27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28.099212230215826</v>
      </c>
    </row>
    <row r="836" spans="1:30" ht="15.75" x14ac:dyDescent="0.25">
      <c r="A836" s="13">
        <v>66719</v>
      </c>
      <c r="B836" s="10">
        <f>CHOOSE(CONTROL!$C$42, 26.9692, 26.9692) * CHOOSE(CONTROL!$C$21, $C$9, 100%, $E$9)</f>
        <v>26.969200000000001</v>
      </c>
      <c r="C836" s="10">
        <f>CHOOSE(CONTROL!$C$42, 26.9772, 26.9772) * CHOOSE(CONTROL!$C$21, $C$9, 100%, $E$9)</f>
        <v>26.9772</v>
      </c>
      <c r="D836" s="10">
        <f>CHOOSE(CONTROL!$C$42, 27.1524, 27.1524) * CHOOSE(CONTROL!$C$21, $C$9, 100%, $E$9)</f>
        <v>27.1524</v>
      </c>
      <c r="E836" s="10">
        <f>CHOOSE(CONTROL!$C$42, 27.1836, 27.1836) * CHOOSE(CONTROL!$C$21, $C$9, 100%, $E$9)</f>
        <v>27.183599999999998</v>
      </c>
      <c r="F836" s="10">
        <f>CHOOSE(CONTROL!$C$42, 26.9113, 26.9113)*CHOOSE(CONTROL!$C$21, $C$9, 100%, $E$9)</f>
        <v>26.911300000000001</v>
      </c>
      <c r="G836" s="10">
        <f>CHOOSE(CONTROL!$C$42, 26.9283, 26.9283)*CHOOSE(CONTROL!$C$21, $C$9, 100%, $E$9)</f>
        <v>26.9283</v>
      </c>
      <c r="H836" s="10">
        <f>CHOOSE(CONTROL!$C$42, 27.1719, 27.1719) * CHOOSE(CONTROL!$C$21, $C$9, 100%, $E$9)</f>
        <v>27.171900000000001</v>
      </c>
      <c r="I836" s="10">
        <f>CHOOSE(CONTROL!$C$42, 26.9439, 26.9439)* CHOOSE(CONTROL!$C$21, $C$9, 100%, $E$9)</f>
        <v>26.943899999999999</v>
      </c>
      <c r="J836" s="10">
        <f>CHOOSE(CONTROL!$C$42, 26.9039, 26.9039)* CHOOSE(CONTROL!$C$21, $C$9, 100%, $E$9)</f>
        <v>26.9039</v>
      </c>
      <c r="K836" s="10">
        <f>CHOOSE(CONTROL!$C$42, 26.2603, 26.2603) * CHOOSE(CONTROL!$C$21, $C$9, 100%, $E$9)</f>
        <v>26.260300000000001</v>
      </c>
      <c r="L836" s="10">
        <f>CHOOSE(CONTROL!$C$42, 27.7589, 27.7589) * CHOOSE(CONTROL!$C$21, $C$9, 100%, $E$9)</f>
        <v>27.758900000000001</v>
      </c>
      <c r="M836" s="10">
        <f>CHOOSE(CONTROL!$C$42, 26.5887, 26.5887) * CHOOSE(CONTROL!$C$21, $C$9, 100%, $E$9)</f>
        <v>26.588699999999999</v>
      </c>
      <c r="N836" s="10">
        <f>CHOOSE(CONTROL!$C$42, 26.6055, 26.6055) * CHOOSE(CONTROL!$C$21, $C$9, 100%, $E$9)</f>
        <v>26.605499999999999</v>
      </c>
      <c r="O836" s="10">
        <f>CHOOSE(CONTROL!$C$42, 26.8532, 26.8532) * CHOOSE(CONTROL!$C$21, $C$9, 100%, $E$9)</f>
        <v>26.853200000000001</v>
      </c>
      <c r="P836" s="10">
        <f>CHOOSE(CONTROL!$C$42, 26.6282, 26.6282) * CHOOSE(CONTROL!$C$21, $C$9, 100%, $E$9)</f>
        <v>26.6282</v>
      </c>
      <c r="Q836" s="10">
        <f>CHOOSE(CONTROL!$C$42, 27.4485, 27.4485) * CHOOSE(CONTROL!$C$21, $C$9, 100%, $E$9)</f>
        <v>27.448499999999999</v>
      </c>
      <c r="R836" s="10">
        <f>CHOOSE(CONTROL!$C$42, 28.1041, 28.1041) * CHOOSE(CONTROL!$C$21, $C$9, 100%, $E$9)</f>
        <v>28.104099999999999</v>
      </c>
      <c r="S836" s="10">
        <f>CHOOSE(CONTROL!$C$42, 26.1289, 26.1289) * CHOOSE(CONTROL!$C$21, $C$9, 100%, $E$9)</f>
        <v>26.128900000000002</v>
      </c>
      <c r="T83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38">
        <f>(1000*CHOOSE(CONTROL!$C$42, 695, 695)*CHOOSE(CONTROL!$C$42, 0.5599, 0.5599)*CHOOSE(CONTROL!$C$42, 31, 31))/1000000</f>
        <v>12.063045499999998</v>
      </c>
      <c r="V836" s="38">
        <f>(1000*CHOOSE(CONTROL!$C$42, 500, 500)*CHOOSE(CONTROL!$C$42, 0.275, 0.275)*CHOOSE(CONTROL!$C$42, 31, 31))/1000000</f>
        <v>4.2625000000000002</v>
      </c>
      <c r="W836" s="38">
        <f>(1000*CHOOSE(CONTROL!$C$42, 0.1146, 0.1146)*CHOOSE(CONTROL!$C$42, 121.5, 121.5)*CHOOSE(CONTROL!$C$42, 31, 31))/1000000</f>
        <v>0.43164089999999994</v>
      </c>
      <c r="X836" s="38">
        <f>(31*0.1790888*245000/1000000)+(31*0.2374*100000/1000000)</f>
        <v>2.0961194359999999</v>
      </c>
      <c r="Y836" s="38">
        <f>(1000*600*CHOOSE(CONTROL!$C$42, 1.0585, 1.0585)*CHOOSE(CONTROL!$C$42, 31, 31))/1000000</f>
        <v>19.688099999999999</v>
      </c>
      <c r="Z836" s="38"/>
      <c r="AA836" s="10"/>
      <c r="AB836" s="39"/>
      <c r="AC836" s="33">
        <f>(B836*194.205+C836*267.466+D836*133.845+E836*53.484+F836*40+G836*185+H836*0+I836*100+J836*300)/(194.205+267.466+133.845+53.484+0+40+185+100+300)</f>
        <v>26.974007379591836</v>
      </c>
      <c r="AD836" s="27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26.715231654676259</v>
      </c>
    </row>
    <row r="837" spans="1:30" ht="15.75" x14ac:dyDescent="0.25">
      <c r="A837" s="13">
        <v>66749</v>
      </c>
      <c r="B837" s="10">
        <f>CHOOSE(CONTROL!$C$42, 25.2561, 25.2561) * CHOOSE(CONTROL!$C$21, $C$9, 100%, $E$9)</f>
        <v>25.2561</v>
      </c>
      <c r="C837" s="10">
        <f>CHOOSE(CONTROL!$C$42, 25.2641, 25.2641) * CHOOSE(CONTROL!$C$21, $C$9, 100%, $E$9)</f>
        <v>25.264099999999999</v>
      </c>
      <c r="D837" s="10">
        <f>CHOOSE(CONTROL!$C$42, 25.4393, 25.4393) * CHOOSE(CONTROL!$C$21, $C$9, 100%, $E$9)</f>
        <v>25.439299999999999</v>
      </c>
      <c r="E837" s="10">
        <f>CHOOSE(CONTROL!$C$42, 25.4705, 25.4705) * CHOOSE(CONTROL!$C$21, $C$9, 100%, $E$9)</f>
        <v>25.470500000000001</v>
      </c>
      <c r="F837" s="10">
        <f>CHOOSE(CONTROL!$C$42, 25.1979, 25.1979)*CHOOSE(CONTROL!$C$21, $C$9, 100%, $E$9)</f>
        <v>25.197900000000001</v>
      </c>
      <c r="G837" s="10">
        <f>CHOOSE(CONTROL!$C$42, 25.2148, 25.2148)*CHOOSE(CONTROL!$C$21, $C$9, 100%, $E$9)</f>
        <v>25.2148</v>
      </c>
      <c r="H837" s="10">
        <f>CHOOSE(CONTROL!$C$42, 25.4588, 25.4588) * CHOOSE(CONTROL!$C$21, $C$9, 100%, $E$9)</f>
        <v>25.4588</v>
      </c>
      <c r="I837" s="10">
        <f>CHOOSE(CONTROL!$C$42, 25.2308, 25.2308)* CHOOSE(CONTROL!$C$21, $C$9, 100%, $E$9)</f>
        <v>25.230799999999999</v>
      </c>
      <c r="J837" s="10">
        <f>CHOOSE(CONTROL!$C$42, 25.1905, 25.1905)* CHOOSE(CONTROL!$C$21, $C$9, 100%, $E$9)</f>
        <v>25.1905</v>
      </c>
      <c r="K837" s="10">
        <f>CHOOSE(CONTROL!$C$42, 24.6, 24.6) * CHOOSE(CONTROL!$C$21, $C$9, 100%, $E$9)</f>
        <v>24.6</v>
      </c>
      <c r="L837" s="10">
        <f>CHOOSE(CONTROL!$C$42, 26.0458, 26.0458) * CHOOSE(CONTROL!$C$21, $C$9, 100%, $E$9)</f>
        <v>26.0458</v>
      </c>
      <c r="M837" s="10">
        <f>CHOOSE(CONTROL!$C$42, 24.8975, 24.8975) * CHOOSE(CONTROL!$C$21, $C$9, 100%, $E$9)</f>
        <v>24.897500000000001</v>
      </c>
      <c r="N837" s="10">
        <f>CHOOSE(CONTROL!$C$42, 24.9142, 24.9142) * CHOOSE(CONTROL!$C$21, $C$9, 100%, $E$9)</f>
        <v>24.914200000000001</v>
      </c>
      <c r="O837" s="10">
        <f>CHOOSE(CONTROL!$C$42, 25.1623, 25.1623) * CHOOSE(CONTROL!$C$21, $C$9, 100%, $E$9)</f>
        <v>25.162299999999998</v>
      </c>
      <c r="P837" s="10">
        <f>CHOOSE(CONTROL!$C$42, 24.9372, 24.9372) * CHOOSE(CONTROL!$C$21, $C$9, 100%, $E$9)</f>
        <v>24.937200000000001</v>
      </c>
      <c r="Q837" s="10">
        <f>CHOOSE(CONTROL!$C$42, 25.7576, 25.7576) * CHOOSE(CONTROL!$C$21, $C$9, 100%, $E$9)</f>
        <v>25.7576</v>
      </c>
      <c r="R837" s="10">
        <f>CHOOSE(CONTROL!$C$42, 26.409, 26.409) * CHOOSE(CONTROL!$C$21, $C$9, 100%, $E$9)</f>
        <v>26.408999999999999</v>
      </c>
      <c r="S837" s="10">
        <f>CHOOSE(CONTROL!$C$42, 24.4701, 24.4701) * CHOOSE(CONTROL!$C$21, $C$9, 100%, $E$9)</f>
        <v>24.470099999999999</v>
      </c>
      <c r="T83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38">
        <f>(1000*CHOOSE(CONTROL!$C$42, 695, 695)*CHOOSE(CONTROL!$C$42, 0.5599, 0.5599)*CHOOSE(CONTROL!$C$42, 30, 30))/1000000</f>
        <v>11.673914999999997</v>
      </c>
      <c r="V837" s="38">
        <f>(1000*CHOOSE(CONTROL!$C$42, 500, 500)*CHOOSE(CONTROL!$C$42, 0.275, 0.275)*CHOOSE(CONTROL!$C$42, 30, 30))/1000000</f>
        <v>4.125</v>
      </c>
      <c r="W837" s="38">
        <f>(1000*CHOOSE(CONTROL!$C$42, 0.1146, 0.1146)*CHOOSE(CONTROL!$C$42, 121.5, 121.5)*CHOOSE(CONTROL!$C$42, 30, 30))/1000000</f>
        <v>0.417717</v>
      </c>
      <c r="X837" s="38">
        <f>(30*0.1790888*245000/1000000)+(30*0.2374*100000/1000000)</f>
        <v>2.0285026799999999</v>
      </c>
      <c r="Y837" s="38">
        <f>(1000*600*CHOOSE(CONTROL!$C$42, 1.0585, 1.0585)*CHOOSE(CONTROL!$C$42, 30, 30))/1000000</f>
        <v>19.053000000000001</v>
      </c>
      <c r="Z837" s="38"/>
      <c r="AA837" s="10"/>
      <c r="AB837" s="39"/>
      <c r="AC837" s="33">
        <f>(B837*194.205+C837*267.466+D837*133.845+E837*53.484+F837*40+G837*185+H837*0+I837*100+J837*300)/(194.205+267.466+133.845+53.484+0+40+185+100+300)</f>
        <v>25.260769232025122</v>
      </c>
      <c r="AD837" s="27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25.024190647482015</v>
      </c>
    </row>
    <row r="838" spans="1:30" ht="15.75" x14ac:dyDescent="0.25">
      <c r="A838" s="13">
        <v>66780</v>
      </c>
      <c r="B838" s="10">
        <f>CHOOSE(CONTROL!$C$42, 24.7409, 24.7409) * CHOOSE(CONTROL!$C$21, $C$9, 100%, $E$9)</f>
        <v>24.7409</v>
      </c>
      <c r="C838" s="10">
        <f>CHOOSE(CONTROL!$C$42, 24.7463, 24.7463) * CHOOSE(CONTROL!$C$21, $C$9, 100%, $E$9)</f>
        <v>24.746300000000002</v>
      </c>
      <c r="D838" s="10">
        <f>CHOOSE(CONTROL!$C$42, 24.9263, 24.9263) * CHOOSE(CONTROL!$C$21, $C$9, 100%, $E$9)</f>
        <v>24.926300000000001</v>
      </c>
      <c r="E838" s="10">
        <f>CHOOSE(CONTROL!$C$42, 24.9552, 24.9552) * CHOOSE(CONTROL!$C$21, $C$9, 100%, $E$9)</f>
        <v>24.955200000000001</v>
      </c>
      <c r="F838" s="10">
        <f>CHOOSE(CONTROL!$C$42, 24.6847, 24.6847)*CHOOSE(CONTROL!$C$21, $C$9, 100%, $E$9)</f>
        <v>24.684699999999999</v>
      </c>
      <c r="G838" s="10">
        <f>CHOOSE(CONTROL!$C$42, 24.7013, 24.7013)*CHOOSE(CONTROL!$C$21, $C$9, 100%, $E$9)</f>
        <v>24.7013</v>
      </c>
      <c r="H838" s="10">
        <f>CHOOSE(CONTROL!$C$42, 24.9453, 24.9453) * CHOOSE(CONTROL!$C$21, $C$9, 100%, $E$9)</f>
        <v>24.9453</v>
      </c>
      <c r="I838" s="10">
        <f>CHOOSE(CONTROL!$C$42, 24.7173, 24.7173)* CHOOSE(CONTROL!$C$21, $C$9, 100%, $E$9)</f>
        <v>24.717300000000002</v>
      </c>
      <c r="J838" s="10">
        <f>CHOOSE(CONTROL!$C$42, 24.6773, 24.6773)* CHOOSE(CONTROL!$C$21, $C$9, 100%, $E$9)</f>
        <v>24.677299999999999</v>
      </c>
      <c r="K838" s="10">
        <f>CHOOSE(CONTROL!$C$42, 24.1032, 24.1032) * CHOOSE(CONTROL!$C$21, $C$9, 100%, $E$9)</f>
        <v>24.103200000000001</v>
      </c>
      <c r="L838" s="10">
        <f>CHOOSE(CONTROL!$C$42, 25.5323, 25.5323) * CHOOSE(CONTROL!$C$21, $C$9, 100%, $E$9)</f>
        <v>25.532299999999999</v>
      </c>
      <c r="M838" s="10">
        <f>CHOOSE(CONTROL!$C$42, 24.3909, 24.3909) * CHOOSE(CONTROL!$C$21, $C$9, 100%, $E$9)</f>
        <v>24.390899999999998</v>
      </c>
      <c r="N838" s="10">
        <f>CHOOSE(CONTROL!$C$42, 24.4073, 24.4073) * CHOOSE(CONTROL!$C$21, $C$9, 100%, $E$9)</f>
        <v>24.407299999999999</v>
      </c>
      <c r="O838" s="10">
        <f>CHOOSE(CONTROL!$C$42, 24.6554, 24.6554) * CHOOSE(CONTROL!$C$21, $C$9, 100%, $E$9)</f>
        <v>24.6554</v>
      </c>
      <c r="P838" s="10">
        <f>CHOOSE(CONTROL!$C$42, 24.4304, 24.4304) * CHOOSE(CONTROL!$C$21, $C$9, 100%, $E$9)</f>
        <v>24.430399999999999</v>
      </c>
      <c r="Q838" s="10">
        <f>CHOOSE(CONTROL!$C$42, 25.2507, 25.2507) * CHOOSE(CONTROL!$C$21, $C$9, 100%, $E$9)</f>
        <v>25.250699999999998</v>
      </c>
      <c r="R838" s="10">
        <f>CHOOSE(CONTROL!$C$42, 25.9009, 25.9009) * CHOOSE(CONTROL!$C$21, $C$9, 100%, $E$9)</f>
        <v>25.9009</v>
      </c>
      <c r="S838" s="10">
        <f>CHOOSE(CONTROL!$C$42, 23.9729, 23.9729) * CHOOSE(CONTROL!$C$21, $C$9, 100%, $E$9)</f>
        <v>23.972899999999999</v>
      </c>
      <c r="T83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38">
        <f>(1000*CHOOSE(CONTROL!$C$42, 695, 695)*CHOOSE(CONTROL!$C$42, 0.5599, 0.5599)*CHOOSE(CONTROL!$C$42, 31, 31))/1000000</f>
        <v>12.063045499999998</v>
      </c>
      <c r="V838" s="38">
        <f>(1000*CHOOSE(CONTROL!$C$42, 500, 500)*CHOOSE(CONTROL!$C$42, 0.275, 0.275)*CHOOSE(CONTROL!$C$42, 31, 31))/1000000</f>
        <v>4.2625000000000002</v>
      </c>
      <c r="W838" s="38">
        <f>(1000*CHOOSE(CONTROL!$C$42, 0.1146, 0.1146)*CHOOSE(CONTROL!$C$42, 121.5, 121.5)*CHOOSE(CONTROL!$C$42, 31, 31))/1000000</f>
        <v>0.43164089999999994</v>
      </c>
      <c r="X838" s="38">
        <f>(31*0.1790888*245000/1000000)+(31*0.2374*100000/1000000)</f>
        <v>2.0961194359999999</v>
      </c>
      <c r="Y838" s="38">
        <f>(1000*600*CHOOSE(CONTROL!$C$42, 1.0585, 1.0585)*CHOOSE(CONTROL!$C$42, 31, 31))/1000000</f>
        <v>19.688099999999999</v>
      </c>
      <c r="Z838" s="38"/>
      <c r="AA838" s="10"/>
      <c r="AB838" s="39"/>
      <c r="AC838" s="33">
        <f>(B838*131.881+C838*277.167+D838*79.08+E838*125.872+F838*40+G838*185+H838*0+I838*100+J838*300)/(131.881+277.167+79.08+125.872+0+40+185+100+300)</f>
        <v>24.750680874414847</v>
      </c>
      <c r="AD838" s="27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24.517408633093527</v>
      </c>
    </row>
    <row r="839" spans="1:30" ht="15.75" x14ac:dyDescent="0.25">
      <c r="A839" s="13">
        <v>66810</v>
      </c>
      <c r="B839" s="10">
        <f>CHOOSE(CONTROL!$C$42, 25.3927, 25.3927) * CHOOSE(CONTROL!$C$21, $C$9, 100%, $E$9)</f>
        <v>25.392700000000001</v>
      </c>
      <c r="C839" s="10">
        <f>CHOOSE(CONTROL!$C$42, 25.3978, 25.3978) * CHOOSE(CONTROL!$C$21, $C$9, 100%, $E$9)</f>
        <v>25.3978</v>
      </c>
      <c r="D839" s="10">
        <f>CHOOSE(CONTROL!$C$42, 25.4225, 25.4225) * CHOOSE(CONTROL!$C$21, $C$9, 100%, $E$9)</f>
        <v>25.422499999999999</v>
      </c>
      <c r="E839" s="10">
        <f>CHOOSE(CONTROL!$C$42, 25.4563, 25.4563) * CHOOSE(CONTROL!$C$21, $C$9, 100%, $E$9)</f>
        <v>25.456299999999999</v>
      </c>
      <c r="F839" s="10">
        <f>CHOOSE(CONTROL!$C$42, 25.3584, 25.3584)*CHOOSE(CONTROL!$C$21, $C$9, 100%, $E$9)</f>
        <v>25.3584</v>
      </c>
      <c r="G839" s="10">
        <f>CHOOSE(CONTROL!$C$42, 25.3752, 25.3752)*CHOOSE(CONTROL!$C$21, $C$9, 100%, $E$9)</f>
        <v>25.3752</v>
      </c>
      <c r="H839" s="10">
        <f>CHOOSE(CONTROL!$C$42, 25.4452, 25.4452) * CHOOSE(CONTROL!$C$21, $C$9, 100%, $E$9)</f>
        <v>25.4452</v>
      </c>
      <c r="I839" s="10">
        <f>CHOOSE(CONTROL!$C$42, 25.3922, 25.3922)* CHOOSE(CONTROL!$C$21, $C$9, 100%, $E$9)</f>
        <v>25.392199999999999</v>
      </c>
      <c r="J839" s="10">
        <f>CHOOSE(CONTROL!$C$42, 25.351, 25.351)* CHOOSE(CONTROL!$C$21, $C$9, 100%, $E$9)</f>
        <v>25.350999999999999</v>
      </c>
      <c r="K839" s="10">
        <f>CHOOSE(CONTROL!$C$42, 24.7588, 24.7588) * CHOOSE(CONTROL!$C$21, $C$9, 100%, $E$9)</f>
        <v>24.758800000000001</v>
      </c>
      <c r="L839" s="10">
        <f>CHOOSE(CONTROL!$C$42, 26.0322, 26.0322) * CHOOSE(CONTROL!$C$21, $C$9, 100%, $E$9)</f>
        <v>26.0322</v>
      </c>
      <c r="M839" s="10">
        <f>CHOOSE(CONTROL!$C$42, 25.0558, 25.0558) * CHOOSE(CONTROL!$C$21, $C$9, 100%, $E$9)</f>
        <v>25.055800000000001</v>
      </c>
      <c r="N839" s="10">
        <f>CHOOSE(CONTROL!$C$42, 25.0724, 25.0724) * CHOOSE(CONTROL!$C$21, $C$9, 100%, $E$9)</f>
        <v>25.072399999999998</v>
      </c>
      <c r="O839" s="10">
        <f>CHOOSE(CONTROL!$C$42, 25.1489, 25.1489) * CHOOSE(CONTROL!$C$21, $C$9, 100%, $E$9)</f>
        <v>25.148900000000001</v>
      </c>
      <c r="P839" s="10">
        <f>CHOOSE(CONTROL!$C$42, 25.0966, 25.0966) * CHOOSE(CONTROL!$C$21, $C$9, 100%, $E$9)</f>
        <v>25.096599999999999</v>
      </c>
      <c r="Q839" s="10">
        <f>CHOOSE(CONTROL!$C$42, 25.7442, 25.7442) * CHOOSE(CONTROL!$C$21, $C$9, 100%, $E$9)</f>
        <v>25.744199999999999</v>
      </c>
      <c r="R839" s="10">
        <f>CHOOSE(CONTROL!$C$42, 26.3955, 26.3955) * CHOOSE(CONTROL!$C$21, $C$9, 100%, $E$9)</f>
        <v>26.395499999999998</v>
      </c>
      <c r="S839" s="10">
        <f>CHOOSE(CONTROL!$C$42, 24.6045, 24.6045) * CHOOSE(CONTROL!$C$21, $C$9, 100%, $E$9)</f>
        <v>24.604500000000002</v>
      </c>
      <c r="T83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38">
        <f>(1000*CHOOSE(CONTROL!$C$42, 695, 695)*CHOOSE(CONTROL!$C$42, 0.5599, 0.5599)*CHOOSE(CONTROL!$C$42, 30, 30))/1000000</f>
        <v>11.673914999999997</v>
      </c>
      <c r="V839" s="38">
        <f>(1000*CHOOSE(CONTROL!$C$42, 500, 500)*CHOOSE(CONTROL!$C$42, 0.275, 0.275)*CHOOSE(CONTROL!$C$42, 30, 30))/1000000</f>
        <v>4.125</v>
      </c>
      <c r="W839" s="38">
        <f>(1000*CHOOSE(CONTROL!$C$42, 0.1146, 0.1146)*CHOOSE(CONTROL!$C$42, 121.5, 121.5)*CHOOSE(CONTROL!$C$42, 30, 30))/1000000</f>
        <v>0.417717</v>
      </c>
      <c r="X839" s="38">
        <f>(30*0.1790888*100000/1000000)+(30*0.2374*100000/1000000)</f>
        <v>1.2494664</v>
      </c>
      <c r="Y839" s="38">
        <f>(1000*600*CHOOSE(CONTROL!$C$42, 1.0585, 1.0585)*CHOOSE(CONTROL!$C$42, 30, 30))/1000000</f>
        <v>19.053000000000001</v>
      </c>
      <c r="Z839" s="38"/>
      <c r="AA839" s="10"/>
      <c r="AB839" s="39"/>
      <c r="AC839" s="33">
        <f>(B839*122.58+C839*297.941+D839*89.177+E839*40.302+F839*40+G839*160+H839*0+I839*100+J839*300)/(122.58+297.941+89.177+40.302+0+40+160+100+300)</f>
        <v>25.384011461652175</v>
      </c>
      <c r="AD839" s="27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25.104822302158276</v>
      </c>
    </row>
    <row r="840" spans="1:30" ht="15.75" x14ac:dyDescent="0.25">
      <c r="A840" s="13">
        <v>66841</v>
      </c>
      <c r="B840" s="10">
        <f>CHOOSE(CONTROL!$C$42, 27.1251, 27.1251) * CHOOSE(CONTROL!$C$21, $C$9, 100%, $E$9)</f>
        <v>27.1251</v>
      </c>
      <c r="C840" s="10">
        <f>CHOOSE(CONTROL!$C$42, 27.1302, 27.1302) * CHOOSE(CONTROL!$C$21, $C$9, 100%, $E$9)</f>
        <v>27.130199999999999</v>
      </c>
      <c r="D840" s="10">
        <f>CHOOSE(CONTROL!$C$42, 27.1549, 27.1549) * CHOOSE(CONTROL!$C$21, $C$9, 100%, $E$9)</f>
        <v>27.154900000000001</v>
      </c>
      <c r="E840" s="10">
        <f>CHOOSE(CONTROL!$C$42, 27.1887, 27.1887) * CHOOSE(CONTROL!$C$21, $C$9, 100%, $E$9)</f>
        <v>27.188700000000001</v>
      </c>
      <c r="F840" s="10">
        <f>CHOOSE(CONTROL!$C$42, 27.0925, 27.0925)*CHOOSE(CONTROL!$C$21, $C$9, 100%, $E$9)</f>
        <v>27.092500000000001</v>
      </c>
      <c r="G840" s="10">
        <f>CHOOSE(CONTROL!$C$42, 27.1098, 27.1098)*CHOOSE(CONTROL!$C$21, $C$9, 100%, $E$9)</f>
        <v>27.1098</v>
      </c>
      <c r="H840" s="10">
        <f>CHOOSE(CONTROL!$C$42, 27.1776, 27.1776) * CHOOSE(CONTROL!$C$21, $C$9, 100%, $E$9)</f>
        <v>27.177600000000002</v>
      </c>
      <c r="I840" s="10">
        <f>CHOOSE(CONTROL!$C$42, 27.1246, 27.1246)* CHOOSE(CONTROL!$C$21, $C$9, 100%, $E$9)</f>
        <v>27.124600000000001</v>
      </c>
      <c r="J840" s="10">
        <f>CHOOSE(CONTROL!$C$42, 27.0851, 27.0851)* CHOOSE(CONTROL!$C$21, $C$9, 100%, $E$9)</f>
        <v>27.085100000000001</v>
      </c>
      <c r="K840" s="10">
        <f>CHOOSE(CONTROL!$C$42, 26.441, 26.441) * CHOOSE(CONTROL!$C$21, $C$9, 100%, $E$9)</f>
        <v>26.440999999999999</v>
      </c>
      <c r="L840" s="10">
        <f>CHOOSE(CONTROL!$C$42, 27.7646, 27.7646) * CHOOSE(CONTROL!$C$21, $C$9, 100%, $E$9)</f>
        <v>27.764600000000002</v>
      </c>
      <c r="M840" s="10">
        <f>CHOOSE(CONTROL!$C$42, 26.7676, 26.7676) * CHOOSE(CONTROL!$C$21, $C$9, 100%, $E$9)</f>
        <v>26.767600000000002</v>
      </c>
      <c r="N840" s="10">
        <f>CHOOSE(CONTROL!$C$42, 26.7846, 26.7846) * CHOOSE(CONTROL!$C$21, $C$9, 100%, $E$9)</f>
        <v>26.784600000000001</v>
      </c>
      <c r="O840" s="10">
        <f>CHOOSE(CONTROL!$C$42, 26.8588, 26.8588) * CHOOSE(CONTROL!$C$21, $C$9, 100%, $E$9)</f>
        <v>26.858799999999999</v>
      </c>
      <c r="P840" s="10">
        <f>CHOOSE(CONTROL!$C$42, 26.8066, 26.8066) * CHOOSE(CONTROL!$C$21, $C$9, 100%, $E$9)</f>
        <v>26.8066</v>
      </c>
      <c r="Q840" s="10">
        <f>CHOOSE(CONTROL!$C$42, 27.4541, 27.4541) * CHOOSE(CONTROL!$C$21, $C$9, 100%, $E$9)</f>
        <v>27.4541</v>
      </c>
      <c r="R840" s="10">
        <f>CHOOSE(CONTROL!$C$42, 28.1097, 28.1097) * CHOOSE(CONTROL!$C$21, $C$9, 100%, $E$9)</f>
        <v>28.1097</v>
      </c>
      <c r="S840" s="10">
        <f>CHOOSE(CONTROL!$C$42, 26.2819, 26.2819) * CHOOSE(CONTROL!$C$21, $C$9, 100%, $E$9)</f>
        <v>26.2819</v>
      </c>
      <c r="T84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38">
        <f>(1000*CHOOSE(CONTROL!$C$42, 695, 695)*CHOOSE(CONTROL!$C$42, 0.5599, 0.5599)*CHOOSE(CONTROL!$C$42, 31, 31))/1000000</f>
        <v>12.063045499999998</v>
      </c>
      <c r="V840" s="38">
        <f>(1000*CHOOSE(CONTROL!$C$42, 500, 500)*CHOOSE(CONTROL!$C$42, 0.275, 0.275)*CHOOSE(CONTROL!$C$42, 31, 31))/1000000</f>
        <v>4.2625000000000002</v>
      </c>
      <c r="W840" s="38">
        <f>(1000*CHOOSE(CONTROL!$C$42, 0.1146, 0.1146)*CHOOSE(CONTROL!$C$42, 121.5, 121.5)*CHOOSE(CONTROL!$C$42, 31, 31))/1000000</f>
        <v>0.43164089999999994</v>
      </c>
      <c r="X840" s="38">
        <f>(31*0.1790888*100000/1000000)+(31*0.2374*100000/1000000)</f>
        <v>1.2911152800000001</v>
      </c>
      <c r="Y840" s="38">
        <f>(1000*600*CHOOSE(CONTROL!$C$42, 1.0585, 1.0585)*CHOOSE(CONTROL!$C$42, 31, 31))/1000000</f>
        <v>19.688099999999999</v>
      </c>
      <c r="Z840" s="38"/>
      <c r="AA840" s="10"/>
      <c r="AB840" s="39"/>
      <c r="AC840" s="33">
        <f>(B840*122.58+C840*297.941+D840*89.177+E840*40.302+F840*40+G840*160+H840*0+I840*100+J840*300)/(122.58+297.941+89.177+40.302+0+40+160+100+300)</f>
        <v>27.117220157304345</v>
      </c>
      <c r="AD840" s="27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26.815525179856117</v>
      </c>
    </row>
    <row r="841" spans="1:30" ht="15.75" x14ac:dyDescent="0.25">
      <c r="A841" s="13">
        <v>66872</v>
      </c>
      <c r="B841" s="10">
        <f>CHOOSE(CONTROL!$C$42, 28.957, 28.957) * CHOOSE(CONTROL!$C$21, $C$9, 100%, $E$9)</f>
        <v>28.957000000000001</v>
      </c>
      <c r="C841" s="10">
        <f>CHOOSE(CONTROL!$C$42, 28.9621, 28.9621) * CHOOSE(CONTROL!$C$21, $C$9, 100%, $E$9)</f>
        <v>28.9621</v>
      </c>
      <c r="D841" s="10">
        <f>CHOOSE(CONTROL!$C$42, 28.9971, 28.9971) * CHOOSE(CONTROL!$C$21, $C$9, 100%, $E$9)</f>
        <v>28.9971</v>
      </c>
      <c r="E841" s="10">
        <f>CHOOSE(CONTROL!$C$42, 29.0309, 29.0309) * CHOOSE(CONTROL!$C$21, $C$9, 100%, $E$9)</f>
        <v>29.030899999999999</v>
      </c>
      <c r="F841" s="10">
        <f>CHOOSE(CONTROL!$C$42, 28.9383, 28.9383)*CHOOSE(CONTROL!$C$21, $C$9, 100%, $E$9)</f>
        <v>28.938300000000002</v>
      </c>
      <c r="G841" s="10">
        <f>CHOOSE(CONTROL!$C$42, 28.9572, 28.9572)*CHOOSE(CONTROL!$C$21, $C$9, 100%, $E$9)</f>
        <v>28.9572</v>
      </c>
      <c r="H841" s="10">
        <f>CHOOSE(CONTROL!$C$42, 29.0198, 29.0198) * CHOOSE(CONTROL!$C$21, $C$9, 100%, $E$9)</f>
        <v>29.0198</v>
      </c>
      <c r="I841" s="10">
        <f>CHOOSE(CONTROL!$C$42, 28.9643, 28.9643)* CHOOSE(CONTROL!$C$21, $C$9, 100%, $E$9)</f>
        <v>28.964300000000001</v>
      </c>
      <c r="J841" s="10">
        <f>CHOOSE(CONTROL!$C$42, 28.9309, 28.9309)* CHOOSE(CONTROL!$C$21, $C$9, 100%, $E$9)</f>
        <v>28.930900000000001</v>
      </c>
      <c r="K841" s="10">
        <f>CHOOSE(CONTROL!$C$42, 28.2365, 28.2365) * CHOOSE(CONTROL!$C$21, $C$9, 100%, $E$9)</f>
        <v>28.236499999999999</v>
      </c>
      <c r="L841" s="10">
        <f>CHOOSE(CONTROL!$C$42, 29.6068, 29.6068) * CHOOSE(CONTROL!$C$21, $C$9, 100%, $E$9)</f>
        <v>29.6068</v>
      </c>
      <c r="M841" s="10">
        <f>CHOOSE(CONTROL!$C$42, 28.5894, 28.5894) * CHOOSE(CONTROL!$C$21, $C$9, 100%, $E$9)</f>
        <v>28.589400000000001</v>
      </c>
      <c r="N841" s="10">
        <f>CHOOSE(CONTROL!$C$42, 28.6081, 28.6081) * CHOOSE(CONTROL!$C$21, $C$9, 100%, $E$9)</f>
        <v>28.6081</v>
      </c>
      <c r="O841" s="10">
        <f>CHOOSE(CONTROL!$C$42, 28.6772, 28.6772) * CHOOSE(CONTROL!$C$21, $C$9, 100%, $E$9)</f>
        <v>28.677199999999999</v>
      </c>
      <c r="P841" s="10">
        <f>CHOOSE(CONTROL!$C$42, 28.6224, 28.6224) * CHOOSE(CONTROL!$C$21, $C$9, 100%, $E$9)</f>
        <v>28.622399999999999</v>
      </c>
      <c r="Q841" s="10">
        <f>CHOOSE(CONTROL!$C$42, 29.2725, 29.2725) * CHOOSE(CONTROL!$C$21, $C$9, 100%, $E$9)</f>
        <v>29.272500000000001</v>
      </c>
      <c r="R841" s="10">
        <f>CHOOSE(CONTROL!$C$42, 29.9327, 29.9327) * CHOOSE(CONTROL!$C$21, $C$9, 100%, $E$9)</f>
        <v>29.932700000000001</v>
      </c>
      <c r="S841" s="10">
        <f>CHOOSE(CONTROL!$C$42, 28.0557, 28.0557) * CHOOSE(CONTROL!$C$21, $C$9, 100%, $E$9)</f>
        <v>28.055700000000002</v>
      </c>
      <c r="T84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38">
        <f>(1000*CHOOSE(CONTROL!$C$42, 695, 695)*CHOOSE(CONTROL!$C$42, 0.5599, 0.5599)*CHOOSE(CONTROL!$C$42, 31, 31))/1000000</f>
        <v>12.063045499999998</v>
      </c>
      <c r="V841" s="38">
        <f>(1000*CHOOSE(CONTROL!$C$42, 500, 500)*CHOOSE(CONTROL!$C$42, 0.275, 0.275)*CHOOSE(CONTROL!$C$42, 31, 31))/1000000</f>
        <v>4.2625000000000002</v>
      </c>
      <c r="W841" s="38">
        <f>(1000*CHOOSE(CONTROL!$C$42, 0.1146, 0.1146)*CHOOSE(CONTROL!$C$42, 121.5, 121.5)*CHOOSE(CONTROL!$C$42, 31, 31))/1000000</f>
        <v>0.43164089999999994</v>
      </c>
      <c r="X841" s="38">
        <f>(31*0.1790888*100000/1000000)+(31*0.2374*100000/1000000)</f>
        <v>1.2911152800000001</v>
      </c>
      <c r="Y841" s="38">
        <f>(1000*600*CHOOSE(CONTROL!$C$42, 1.0585, 1.0585)*CHOOSE(CONTROL!$C$42, 31, 31))/1000000</f>
        <v>19.688099999999999</v>
      </c>
      <c r="Z841" s="38"/>
      <c r="AA841" s="10"/>
      <c r="AB841" s="39"/>
      <c r="AC841" s="33">
        <f>(B841*122.58+C841*297.941+D841*89.177+E841*40.302+F841*40+G841*160+H841*0+I841*100+J841*300)/(122.58+297.941+89.177+40.302+0+40+160+100+300)</f>
        <v>28.957224186608698</v>
      </c>
      <c r="AD841" s="27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28.635018705035964</v>
      </c>
    </row>
    <row r="842" spans="1:30" ht="15.75" x14ac:dyDescent="0.25">
      <c r="A842" s="13">
        <v>66900</v>
      </c>
      <c r="B842" s="10">
        <f>CHOOSE(CONTROL!$C$42, 29.4728, 29.4728) * CHOOSE(CONTROL!$C$21, $C$9, 100%, $E$9)</f>
        <v>29.472799999999999</v>
      </c>
      <c r="C842" s="10">
        <f>CHOOSE(CONTROL!$C$42, 29.4779, 29.4779) * CHOOSE(CONTROL!$C$21, $C$9, 100%, $E$9)</f>
        <v>29.477900000000002</v>
      </c>
      <c r="D842" s="10">
        <f>CHOOSE(CONTROL!$C$42, 29.5129, 29.5129) * CHOOSE(CONTROL!$C$21, $C$9, 100%, $E$9)</f>
        <v>29.512899999999998</v>
      </c>
      <c r="E842" s="10">
        <f>CHOOSE(CONTROL!$C$42, 29.5467, 29.5467) * CHOOSE(CONTROL!$C$21, $C$9, 100%, $E$9)</f>
        <v>29.546700000000001</v>
      </c>
      <c r="F842" s="10">
        <f>CHOOSE(CONTROL!$C$42, 29.4536, 29.4536)*CHOOSE(CONTROL!$C$21, $C$9, 100%, $E$9)</f>
        <v>29.453600000000002</v>
      </c>
      <c r="G842" s="10">
        <f>CHOOSE(CONTROL!$C$42, 29.4723, 29.4723)*CHOOSE(CONTROL!$C$21, $C$9, 100%, $E$9)</f>
        <v>29.472300000000001</v>
      </c>
      <c r="H842" s="10">
        <f>CHOOSE(CONTROL!$C$42, 29.5356, 29.5356) * CHOOSE(CONTROL!$C$21, $C$9, 100%, $E$9)</f>
        <v>29.535599999999999</v>
      </c>
      <c r="I842" s="10">
        <f>CHOOSE(CONTROL!$C$42, 29.48, 29.48)* CHOOSE(CONTROL!$C$21, $C$9, 100%, $E$9)</f>
        <v>29.48</v>
      </c>
      <c r="J842" s="10">
        <f>CHOOSE(CONTROL!$C$42, 29.4462, 29.4462)* CHOOSE(CONTROL!$C$21, $C$9, 100%, $E$9)</f>
        <v>29.446200000000001</v>
      </c>
      <c r="K842" s="10">
        <f>CHOOSE(CONTROL!$C$42, 28.735, 28.735) * CHOOSE(CONTROL!$C$21, $C$9, 100%, $E$9)</f>
        <v>28.734999999999999</v>
      </c>
      <c r="L842" s="10">
        <f>CHOOSE(CONTROL!$C$42, 30.1226, 30.1226) * CHOOSE(CONTROL!$C$21, $C$9, 100%, $E$9)</f>
        <v>30.122599999999998</v>
      </c>
      <c r="M842" s="10">
        <f>CHOOSE(CONTROL!$C$42, 29.098, 29.098) * CHOOSE(CONTROL!$C$21, $C$9, 100%, $E$9)</f>
        <v>29.097999999999999</v>
      </c>
      <c r="N842" s="10">
        <f>CHOOSE(CONTROL!$C$42, 29.1165, 29.1165) * CHOOSE(CONTROL!$C$21, $C$9, 100%, $E$9)</f>
        <v>29.116499999999998</v>
      </c>
      <c r="O842" s="10">
        <f>CHOOSE(CONTROL!$C$42, 29.1863, 29.1863) * CHOOSE(CONTROL!$C$21, $C$9, 100%, $E$9)</f>
        <v>29.186299999999999</v>
      </c>
      <c r="P842" s="10">
        <f>CHOOSE(CONTROL!$C$42, 29.1315, 29.1315) * CHOOSE(CONTROL!$C$21, $C$9, 100%, $E$9)</f>
        <v>29.131499999999999</v>
      </c>
      <c r="Q842" s="10">
        <f>CHOOSE(CONTROL!$C$42, 29.7816, 29.7816) * CHOOSE(CONTROL!$C$21, $C$9, 100%, $E$9)</f>
        <v>29.781600000000001</v>
      </c>
      <c r="R842" s="10">
        <f>CHOOSE(CONTROL!$C$42, 30.443, 30.443) * CHOOSE(CONTROL!$C$21, $C$9, 100%, $E$9)</f>
        <v>30.443000000000001</v>
      </c>
      <c r="S842" s="10">
        <f>CHOOSE(CONTROL!$C$42, 28.5552, 28.5552) * CHOOSE(CONTROL!$C$21, $C$9, 100%, $E$9)</f>
        <v>28.555199999999999</v>
      </c>
      <c r="T84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38">
        <f>(1000*CHOOSE(CONTROL!$C$42, 695, 695)*CHOOSE(CONTROL!$C$42, 0.5599, 0.5599)*CHOOSE(CONTROL!$C$42, 28, 28))/1000000</f>
        <v>10.895653999999999</v>
      </c>
      <c r="V842" s="38">
        <f>(1000*CHOOSE(CONTROL!$C$42, 500, 500)*CHOOSE(CONTROL!$C$42, 0.275, 0.275)*CHOOSE(CONTROL!$C$42, 28, 28))/1000000</f>
        <v>3.85</v>
      </c>
      <c r="W842" s="38">
        <f>(1000*CHOOSE(CONTROL!$C$42, 0.1146, 0.1146)*CHOOSE(CONTROL!$C$42, 121.5, 121.5)*CHOOSE(CONTROL!$C$42, 28, 28))/1000000</f>
        <v>0.38986920000000003</v>
      </c>
      <c r="X842" s="38">
        <f>(28*0.1790888*100000/1000000)+(28*0.2374*100000/1000000)</f>
        <v>1.16616864</v>
      </c>
      <c r="Y842" s="38">
        <f>(1000*600*CHOOSE(CONTROL!$C$42, 1.0585, 1.0585)*CHOOSE(CONTROL!$C$42, 28, 28))/1000000</f>
        <v>17.782800000000002</v>
      </c>
      <c r="Z842" s="38"/>
      <c r="AA842" s="10"/>
      <c r="AB842" s="39"/>
      <c r="AC842" s="33">
        <f>(B842*122.58+C842*297.941+D842*89.177+E842*40.302+F842*40+G842*160+H842*0+I842*100+J842*300)/(122.58+297.941+89.177+40.302+0+40+160+100+300)</f>
        <v>29.472770273565217</v>
      </c>
      <c r="AD842" s="27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29.143905755395686</v>
      </c>
    </row>
    <row r="843" spans="1:30" ht="15.75" x14ac:dyDescent="0.25">
      <c r="A843" s="13">
        <v>66931</v>
      </c>
      <c r="B843" s="10">
        <f>CHOOSE(CONTROL!$C$42, 28.6356, 28.6356) * CHOOSE(CONTROL!$C$21, $C$9, 100%, $E$9)</f>
        <v>28.6356</v>
      </c>
      <c r="C843" s="10">
        <f>CHOOSE(CONTROL!$C$42, 28.6407, 28.6407) * CHOOSE(CONTROL!$C$21, $C$9, 100%, $E$9)</f>
        <v>28.640699999999999</v>
      </c>
      <c r="D843" s="10">
        <f>CHOOSE(CONTROL!$C$42, 28.6757, 28.6757) * CHOOSE(CONTROL!$C$21, $C$9, 100%, $E$9)</f>
        <v>28.675699999999999</v>
      </c>
      <c r="E843" s="10">
        <f>CHOOSE(CONTROL!$C$42, 28.7095, 28.7095) * CHOOSE(CONTROL!$C$21, $C$9, 100%, $E$9)</f>
        <v>28.709499999999998</v>
      </c>
      <c r="F843" s="10">
        <f>CHOOSE(CONTROL!$C$42, 28.6149, 28.6149)*CHOOSE(CONTROL!$C$21, $C$9, 100%, $E$9)</f>
        <v>28.614899999999999</v>
      </c>
      <c r="G843" s="10">
        <f>CHOOSE(CONTROL!$C$42, 28.6333, 28.6333)*CHOOSE(CONTROL!$C$21, $C$9, 100%, $E$9)</f>
        <v>28.633299999999998</v>
      </c>
      <c r="H843" s="10">
        <f>CHOOSE(CONTROL!$C$42, 28.6984, 28.6984) * CHOOSE(CONTROL!$C$21, $C$9, 100%, $E$9)</f>
        <v>28.698399999999999</v>
      </c>
      <c r="I843" s="10">
        <f>CHOOSE(CONTROL!$C$42, 28.6428, 28.6428)* CHOOSE(CONTROL!$C$21, $C$9, 100%, $E$9)</f>
        <v>28.642800000000001</v>
      </c>
      <c r="J843" s="10">
        <f>CHOOSE(CONTROL!$C$42, 28.6075, 28.6075)* CHOOSE(CONTROL!$C$21, $C$9, 100%, $E$9)</f>
        <v>28.607500000000002</v>
      </c>
      <c r="K843" s="10">
        <f>CHOOSE(CONTROL!$C$42, 27.9209, 27.9209) * CHOOSE(CONTROL!$C$21, $C$9, 100%, $E$9)</f>
        <v>27.9209</v>
      </c>
      <c r="L843" s="10">
        <f>CHOOSE(CONTROL!$C$42, 29.2854, 29.2854) * CHOOSE(CONTROL!$C$21, $C$9, 100%, $E$9)</f>
        <v>29.285399999999999</v>
      </c>
      <c r="M843" s="10">
        <f>CHOOSE(CONTROL!$C$42, 28.2703, 28.2703) * CHOOSE(CONTROL!$C$21, $C$9, 100%, $E$9)</f>
        <v>28.270299999999999</v>
      </c>
      <c r="N843" s="10">
        <f>CHOOSE(CONTROL!$C$42, 28.2884, 28.2884) * CHOOSE(CONTROL!$C$21, $C$9, 100%, $E$9)</f>
        <v>28.288399999999999</v>
      </c>
      <c r="O843" s="10">
        <f>CHOOSE(CONTROL!$C$42, 28.3599, 28.3599) * CHOOSE(CONTROL!$C$21, $C$9, 100%, $E$9)</f>
        <v>28.3599</v>
      </c>
      <c r="P843" s="10">
        <f>CHOOSE(CONTROL!$C$42, 28.3051, 28.3051) * CHOOSE(CONTROL!$C$21, $C$9, 100%, $E$9)</f>
        <v>28.305099999999999</v>
      </c>
      <c r="Q843" s="10">
        <f>CHOOSE(CONTROL!$C$42, 28.9552, 28.9552) * CHOOSE(CONTROL!$C$21, $C$9, 100%, $E$9)</f>
        <v>28.955200000000001</v>
      </c>
      <c r="R843" s="10">
        <f>CHOOSE(CONTROL!$C$42, 29.6146, 29.6146) * CHOOSE(CONTROL!$C$21, $C$9, 100%, $E$9)</f>
        <v>29.614599999999999</v>
      </c>
      <c r="S843" s="10">
        <f>CHOOSE(CONTROL!$C$42, 27.7445, 27.7445) * CHOOSE(CONTROL!$C$21, $C$9, 100%, $E$9)</f>
        <v>27.744499999999999</v>
      </c>
      <c r="T84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38">
        <f>(1000*CHOOSE(CONTROL!$C$42, 695, 695)*CHOOSE(CONTROL!$C$42, 0.5599, 0.5599)*CHOOSE(CONTROL!$C$42, 31, 31))/1000000</f>
        <v>12.063045499999998</v>
      </c>
      <c r="V843" s="38">
        <f>(1000*CHOOSE(CONTROL!$C$42, 500, 500)*CHOOSE(CONTROL!$C$42, 0.275, 0.275)*CHOOSE(CONTROL!$C$42, 31, 31))/1000000</f>
        <v>4.2625000000000002</v>
      </c>
      <c r="W843" s="38">
        <f>(1000*CHOOSE(CONTROL!$C$42, 0.1146, 0.1146)*CHOOSE(CONTROL!$C$42, 121.5, 121.5)*CHOOSE(CONTROL!$C$42, 31, 31))/1000000</f>
        <v>0.43164089999999994</v>
      </c>
      <c r="X843" s="38">
        <f>(31*0.1790888*100000/1000000)+(31*0.2374*100000/1000000)</f>
        <v>1.2911152800000001</v>
      </c>
      <c r="Y843" s="38">
        <f>(1000*600*CHOOSE(CONTROL!$C$42, 1.0585, 1.0585)*CHOOSE(CONTROL!$C$42, 31, 31))/1000000</f>
        <v>19.688099999999999</v>
      </c>
      <c r="Z843" s="38"/>
      <c r="AA843" s="10"/>
      <c r="AB843" s="39"/>
      <c r="AC843" s="33">
        <f>(B843*122.58+C843*297.941+D843*89.177+E843*40.302+F843*40+G843*160+H843*0+I843*100+J843*300)/(122.58+297.941+89.177+40.302+0+40+160+100+300)</f>
        <v>28.634876360521741</v>
      </c>
      <c r="AD843" s="27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28.316958992805752</v>
      </c>
    </row>
    <row r="844" spans="1:30" ht="15.75" x14ac:dyDescent="0.25">
      <c r="A844" s="13">
        <v>66961</v>
      </c>
      <c r="B844" s="10">
        <f>CHOOSE(CONTROL!$C$42, 28.5506, 28.5506) * CHOOSE(CONTROL!$C$21, $C$9, 100%, $E$9)</f>
        <v>28.550599999999999</v>
      </c>
      <c r="C844" s="10">
        <f>CHOOSE(CONTROL!$C$42, 28.5551, 28.5551) * CHOOSE(CONTROL!$C$21, $C$9, 100%, $E$9)</f>
        <v>28.555099999999999</v>
      </c>
      <c r="D844" s="10">
        <f>CHOOSE(CONTROL!$C$42, 28.7333, 28.7333) * CHOOSE(CONTROL!$C$21, $C$9, 100%, $E$9)</f>
        <v>28.7333</v>
      </c>
      <c r="E844" s="10">
        <f>CHOOSE(CONTROL!$C$42, 28.7651, 28.7651) * CHOOSE(CONTROL!$C$21, $C$9, 100%, $E$9)</f>
        <v>28.7651</v>
      </c>
      <c r="F844" s="10">
        <f>CHOOSE(CONTROL!$C$42, 28.494, 28.494)*CHOOSE(CONTROL!$C$21, $C$9, 100%, $E$9)</f>
        <v>28.494</v>
      </c>
      <c r="G844" s="10">
        <f>CHOOSE(CONTROL!$C$42, 28.5106, 28.5106)*CHOOSE(CONTROL!$C$21, $C$9, 100%, $E$9)</f>
        <v>28.5106</v>
      </c>
      <c r="H844" s="10">
        <f>CHOOSE(CONTROL!$C$42, 28.7546, 28.7546) * CHOOSE(CONTROL!$C$21, $C$9, 100%, $E$9)</f>
        <v>28.7546</v>
      </c>
      <c r="I844" s="10">
        <f>CHOOSE(CONTROL!$C$42, 28.5266, 28.5266)* CHOOSE(CONTROL!$C$21, $C$9, 100%, $E$9)</f>
        <v>28.526599999999998</v>
      </c>
      <c r="J844" s="10">
        <f>CHOOSE(CONTROL!$C$42, 28.4866, 28.4866)* CHOOSE(CONTROL!$C$21, $C$9, 100%, $E$9)</f>
        <v>28.486599999999999</v>
      </c>
      <c r="K844" s="10">
        <f>CHOOSE(CONTROL!$C$42, 27.7936, 27.7936) * CHOOSE(CONTROL!$C$21, $C$9, 100%, $E$9)</f>
        <v>27.793600000000001</v>
      </c>
      <c r="L844" s="10">
        <f>CHOOSE(CONTROL!$C$42, 29.3416, 29.3416) * CHOOSE(CONTROL!$C$21, $C$9, 100%, $E$9)</f>
        <v>29.3416</v>
      </c>
      <c r="M844" s="10">
        <f>CHOOSE(CONTROL!$C$42, 28.1509, 28.1509) * CHOOSE(CONTROL!$C$21, $C$9, 100%, $E$9)</f>
        <v>28.1509</v>
      </c>
      <c r="N844" s="10">
        <f>CHOOSE(CONTROL!$C$42, 28.1673, 28.1673) * CHOOSE(CONTROL!$C$21, $C$9, 100%, $E$9)</f>
        <v>28.167300000000001</v>
      </c>
      <c r="O844" s="10">
        <f>CHOOSE(CONTROL!$C$42, 28.4154, 28.4154) * CHOOSE(CONTROL!$C$21, $C$9, 100%, $E$9)</f>
        <v>28.415400000000002</v>
      </c>
      <c r="P844" s="10">
        <f>CHOOSE(CONTROL!$C$42, 28.1904, 28.1904) * CHOOSE(CONTROL!$C$21, $C$9, 100%, $E$9)</f>
        <v>28.1904</v>
      </c>
      <c r="Q844" s="10">
        <f>CHOOSE(CONTROL!$C$42, 29.0107, 29.0107) * CHOOSE(CONTROL!$C$21, $C$9, 100%, $E$9)</f>
        <v>29.0107</v>
      </c>
      <c r="R844" s="10">
        <f>CHOOSE(CONTROL!$C$42, 29.6702, 29.6702) * CHOOSE(CONTROL!$C$21, $C$9, 100%, $E$9)</f>
        <v>29.670200000000001</v>
      </c>
      <c r="S844" s="10">
        <f>CHOOSE(CONTROL!$C$42, 27.6614, 27.6614) * CHOOSE(CONTROL!$C$21, $C$9, 100%, $E$9)</f>
        <v>27.6614</v>
      </c>
      <c r="T84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38">
        <f>(1000*CHOOSE(CONTROL!$C$42, 695, 695)*CHOOSE(CONTROL!$C$42, 0.5599, 0.5599)*CHOOSE(CONTROL!$C$42, 30, 30))/1000000</f>
        <v>11.673914999999997</v>
      </c>
      <c r="V844" s="38">
        <f>(1000*CHOOSE(CONTROL!$C$42, 500, 500)*CHOOSE(CONTROL!$C$42, 0.275, 0.275)*CHOOSE(CONTROL!$C$42, 30, 30))/1000000</f>
        <v>4.125</v>
      </c>
      <c r="W844" s="38">
        <f>(1000*CHOOSE(CONTROL!$C$42, 0.1146, 0.1146)*CHOOSE(CONTROL!$C$42, 121.5, 121.5)*CHOOSE(CONTROL!$C$42, 30, 30))/1000000</f>
        <v>0.417717</v>
      </c>
      <c r="X844" s="38">
        <f>(30*0.1790888*245000/1000000)+(30*0.2374*100000/1000000)</f>
        <v>2.0285026799999999</v>
      </c>
      <c r="Y844" s="38">
        <f>(1000*600*CHOOSE(CONTROL!$C$42, 1.0585, 1.0585)*CHOOSE(CONTROL!$C$42, 30, 30))/1000000</f>
        <v>19.053000000000001</v>
      </c>
      <c r="Z844" s="38"/>
      <c r="AA844" s="10"/>
      <c r="AB844" s="39"/>
      <c r="AC844" s="33">
        <f>(B844*141.293+C844*267.993+D844*115.016+E844*89.698+F844*40+G844*185+H844*0+I844*100+J844*300)/(141.293+267.993+115.016+89.698+0+40+185+100+300)</f>
        <v>28.558828904519771</v>
      </c>
      <c r="AD844" s="27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28.277408633093529</v>
      </c>
    </row>
    <row r="845" spans="1:30" ht="15.75" x14ac:dyDescent="0.25">
      <c r="A845" s="13">
        <v>66992</v>
      </c>
      <c r="B845" s="10">
        <f>CHOOSE(CONTROL!$C$42, 28.8044, 28.8044) * CHOOSE(CONTROL!$C$21, $C$9, 100%, $E$9)</f>
        <v>28.804400000000001</v>
      </c>
      <c r="C845" s="10">
        <f>CHOOSE(CONTROL!$C$42, 28.8124, 28.8124) * CHOOSE(CONTROL!$C$21, $C$9, 100%, $E$9)</f>
        <v>28.8124</v>
      </c>
      <c r="D845" s="10">
        <f>CHOOSE(CONTROL!$C$42, 28.9876, 28.9876) * CHOOSE(CONTROL!$C$21, $C$9, 100%, $E$9)</f>
        <v>28.9876</v>
      </c>
      <c r="E845" s="10">
        <f>CHOOSE(CONTROL!$C$42, 29.0188, 29.0188) * CHOOSE(CONTROL!$C$21, $C$9, 100%, $E$9)</f>
        <v>29.018799999999999</v>
      </c>
      <c r="F845" s="10">
        <f>CHOOSE(CONTROL!$C$42, 28.7461, 28.7461)*CHOOSE(CONTROL!$C$21, $C$9, 100%, $E$9)</f>
        <v>28.746099999999998</v>
      </c>
      <c r="G845" s="10">
        <f>CHOOSE(CONTROL!$C$42, 28.763, 28.763)*CHOOSE(CONTROL!$C$21, $C$9, 100%, $E$9)</f>
        <v>28.763000000000002</v>
      </c>
      <c r="H845" s="10">
        <f>CHOOSE(CONTROL!$C$42, 29.0071, 29.0071) * CHOOSE(CONTROL!$C$21, $C$9, 100%, $E$9)</f>
        <v>29.007100000000001</v>
      </c>
      <c r="I845" s="10">
        <f>CHOOSE(CONTROL!$C$42, 28.7791, 28.7791)* CHOOSE(CONTROL!$C$21, $C$9, 100%, $E$9)</f>
        <v>28.7791</v>
      </c>
      <c r="J845" s="10">
        <f>CHOOSE(CONTROL!$C$42, 28.7387, 28.7387)* CHOOSE(CONTROL!$C$21, $C$9, 100%, $E$9)</f>
        <v>28.738700000000001</v>
      </c>
      <c r="K845" s="10">
        <f>CHOOSE(CONTROL!$C$42, 28.0373, 28.0373) * CHOOSE(CONTROL!$C$21, $C$9, 100%, $E$9)</f>
        <v>28.037299999999998</v>
      </c>
      <c r="L845" s="10">
        <f>CHOOSE(CONTROL!$C$42, 29.5941, 29.5941) * CHOOSE(CONTROL!$C$21, $C$9, 100%, $E$9)</f>
        <v>29.594100000000001</v>
      </c>
      <c r="M845" s="10">
        <f>CHOOSE(CONTROL!$C$42, 28.3997, 28.3997) * CHOOSE(CONTROL!$C$21, $C$9, 100%, $E$9)</f>
        <v>28.399699999999999</v>
      </c>
      <c r="N845" s="10">
        <f>CHOOSE(CONTROL!$C$42, 28.4164, 28.4164) * CHOOSE(CONTROL!$C$21, $C$9, 100%, $E$9)</f>
        <v>28.416399999999999</v>
      </c>
      <c r="O845" s="10">
        <f>CHOOSE(CONTROL!$C$42, 28.6646, 28.6646) * CHOOSE(CONTROL!$C$21, $C$9, 100%, $E$9)</f>
        <v>28.6646</v>
      </c>
      <c r="P845" s="10">
        <f>CHOOSE(CONTROL!$C$42, 28.4396, 28.4396) * CHOOSE(CONTROL!$C$21, $C$9, 100%, $E$9)</f>
        <v>28.439599999999999</v>
      </c>
      <c r="Q845" s="10">
        <f>CHOOSE(CONTROL!$C$42, 29.2599, 29.2599) * CHOOSE(CONTROL!$C$21, $C$9, 100%, $E$9)</f>
        <v>29.259899999999998</v>
      </c>
      <c r="R845" s="10">
        <f>CHOOSE(CONTROL!$C$42, 29.9201, 29.9201) * CHOOSE(CONTROL!$C$21, $C$9, 100%, $E$9)</f>
        <v>29.920100000000001</v>
      </c>
      <c r="S845" s="10">
        <f>CHOOSE(CONTROL!$C$42, 27.9059, 27.9059) * CHOOSE(CONTROL!$C$21, $C$9, 100%, $E$9)</f>
        <v>27.905899999999999</v>
      </c>
      <c r="T84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38">
        <f>(1000*CHOOSE(CONTROL!$C$42, 695, 695)*CHOOSE(CONTROL!$C$42, 0.5599, 0.5599)*CHOOSE(CONTROL!$C$42, 31, 31))/1000000</f>
        <v>12.063045499999998</v>
      </c>
      <c r="V845" s="38">
        <f>(1000*CHOOSE(CONTROL!$C$42, 500, 500)*CHOOSE(CONTROL!$C$42, 0.275, 0.275)*CHOOSE(CONTROL!$C$42, 31, 31))/1000000</f>
        <v>4.2625000000000002</v>
      </c>
      <c r="W845" s="38">
        <f>(1000*CHOOSE(CONTROL!$C$42, 0.1146, 0.1146)*CHOOSE(CONTROL!$C$42, 121.5, 121.5)*CHOOSE(CONTROL!$C$42, 31, 31))/1000000</f>
        <v>0.43164089999999994</v>
      </c>
      <c r="X845" s="38">
        <f>(31*0.1790888*245000/1000000)+(31*0.2374*100000/1000000)</f>
        <v>2.0961194359999999</v>
      </c>
      <c r="Y845" s="38">
        <f>(1000*600*CHOOSE(CONTROL!$C$42, 1.0585, 1.0585)*CHOOSE(CONTROL!$C$42, 31, 31))/1000000</f>
        <v>19.688099999999999</v>
      </c>
      <c r="Z845" s="38"/>
      <c r="AA845" s="10"/>
      <c r="AB845" s="39"/>
      <c r="AC845" s="33">
        <f>(B845*194.205+C845*267.466+D845*133.845+E845*53.484+F845*40+G845*185+H845*0+I845*100+J845*300)/(194.205+267.466+133.845+53.484+0+40+185+100+300)</f>
        <v>28.80902802323391</v>
      </c>
      <c r="AD845" s="27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28.526464748201438</v>
      </c>
    </row>
    <row r="846" spans="1:30" ht="15.75" x14ac:dyDescent="0.25">
      <c r="A846" s="13">
        <v>67022</v>
      </c>
      <c r="B846" s="10">
        <f>CHOOSE(CONTROL!$C$42, 29.6219, 29.6219) * CHOOSE(CONTROL!$C$21, $C$9, 100%, $E$9)</f>
        <v>29.6219</v>
      </c>
      <c r="C846" s="10">
        <f>CHOOSE(CONTROL!$C$42, 29.6299, 29.6299) * CHOOSE(CONTROL!$C$21, $C$9, 100%, $E$9)</f>
        <v>29.629899999999999</v>
      </c>
      <c r="D846" s="10">
        <f>CHOOSE(CONTROL!$C$42, 29.805, 29.805) * CHOOSE(CONTROL!$C$21, $C$9, 100%, $E$9)</f>
        <v>29.805</v>
      </c>
      <c r="E846" s="10">
        <f>CHOOSE(CONTROL!$C$42, 29.8363, 29.8363) * CHOOSE(CONTROL!$C$21, $C$9, 100%, $E$9)</f>
        <v>29.836300000000001</v>
      </c>
      <c r="F846" s="10">
        <f>CHOOSE(CONTROL!$C$42, 29.5638, 29.5638)*CHOOSE(CONTROL!$C$21, $C$9, 100%, $E$9)</f>
        <v>29.563800000000001</v>
      </c>
      <c r="G846" s="10">
        <f>CHOOSE(CONTROL!$C$42, 29.5807, 29.5807)*CHOOSE(CONTROL!$C$21, $C$9, 100%, $E$9)</f>
        <v>29.5807</v>
      </c>
      <c r="H846" s="10">
        <f>CHOOSE(CONTROL!$C$42, 29.8246, 29.8246) * CHOOSE(CONTROL!$C$21, $C$9, 100%, $E$9)</f>
        <v>29.8246</v>
      </c>
      <c r="I846" s="10">
        <f>CHOOSE(CONTROL!$C$42, 29.5966, 29.5966)* CHOOSE(CONTROL!$C$21, $C$9, 100%, $E$9)</f>
        <v>29.596599999999999</v>
      </c>
      <c r="J846" s="10">
        <f>CHOOSE(CONTROL!$C$42, 29.5564, 29.5564)* CHOOSE(CONTROL!$C$21, $C$9, 100%, $E$9)</f>
        <v>29.5564</v>
      </c>
      <c r="K846" s="10">
        <f>CHOOSE(CONTROL!$C$42, 28.8297, 28.8297) * CHOOSE(CONTROL!$C$21, $C$9, 100%, $E$9)</f>
        <v>28.829699999999999</v>
      </c>
      <c r="L846" s="10">
        <f>CHOOSE(CONTROL!$C$42, 30.4116, 30.4116) * CHOOSE(CONTROL!$C$21, $C$9, 100%, $E$9)</f>
        <v>30.4116</v>
      </c>
      <c r="M846" s="10">
        <f>CHOOSE(CONTROL!$C$42, 29.2068, 29.2068) * CHOOSE(CONTROL!$C$21, $C$9, 100%, $E$9)</f>
        <v>29.206800000000001</v>
      </c>
      <c r="N846" s="10">
        <f>CHOOSE(CONTROL!$C$42, 29.2235, 29.2235) * CHOOSE(CONTROL!$C$21, $C$9, 100%, $E$9)</f>
        <v>29.223500000000001</v>
      </c>
      <c r="O846" s="10">
        <f>CHOOSE(CONTROL!$C$42, 29.4715, 29.4715) * CHOOSE(CONTROL!$C$21, $C$9, 100%, $E$9)</f>
        <v>29.471499999999999</v>
      </c>
      <c r="P846" s="10">
        <f>CHOOSE(CONTROL!$C$42, 29.2465, 29.2465) * CHOOSE(CONTROL!$C$21, $C$9, 100%, $E$9)</f>
        <v>29.246500000000001</v>
      </c>
      <c r="Q846" s="10">
        <f>CHOOSE(CONTROL!$C$42, 30.0668, 30.0668) * CHOOSE(CONTROL!$C$21, $C$9, 100%, $E$9)</f>
        <v>30.066800000000001</v>
      </c>
      <c r="R846" s="10">
        <f>CHOOSE(CONTROL!$C$42, 30.729, 30.729) * CHOOSE(CONTROL!$C$21, $C$9, 100%, $E$9)</f>
        <v>30.728999999999999</v>
      </c>
      <c r="S846" s="10">
        <f>CHOOSE(CONTROL!$C$42, 28.6975, 28.6975) * CHOOSE(CONTROL!$C$21, $C$9, 100%, $E$9)</f>
        <v>28.697500000000002</v>
      </c>
      <c r="T84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38">
        <f>(1000*CHOOSE(CONTROL!$C$42, 695, 695)*CHOOSE(CONTROL!$C$42, 0.5599, 0.5599)*CHOOSE(CONTROL!$C$42, 30, 30))/1000000</f>
        <v>11.673914999999997</v>
      </c>
      <c r="V846" s="38">
        <f>(1000*CHOOSE(CONTROL!$C$42, 500, 500)*CHOOSE(CONTROL!$C$42, 0.275, 0.275)*CHOOSE(CONTROL!$C$42, 30, 30))/1000000</f>
        <v>4.125</v>
      </c>
      <c r="W846" s="38">
        <f>(1000*CHOOSE(CONTROL!$C$42, 0.1146, 0.1146)*CHOOSE(CONTROL!$C$42, 121.5, 121.5)*CHOOSE(CONTROL!$C$42, 30, 30))/1000000</f>
        <v>0.417717</v>
      </c>
      <c r="X846" s="38">
        <f>(30*0.1790888*245000/1000000)+(30*0.2374*100000/1000000)</f>
        <v>2.0285026799999999</v>
      </c>
      <c r="Y846" s="38">
        <f>(1000*600*CHOOSE(CONTROL!$C$42, 1.0585, 1.0585)*CHOOSE(CONTROL!$C$42, 30, 30))/1000000</f>
        <v>19.053000000000001</v>
      </c>
      <c r="Z846" s="38"/>
      <c r="AA846" s="10"/>
      <c r="AB846" s="39"/>
      <c r="AC846" s="33">
        <f>(B846*194.205+C846*267.466+D846*133.845+E846*53.484+F846*40+G846*185+H846*0+I846*100+J846*300)/(194.205+267.466+133.845+53.484+0+40+185+100+300)</f>
        <v>29.626599934929363</v>
      </c>
      <c r="AD846" s="27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29.333445323741007</v>
      </c>
    </row>
    <row r="847" spans="1:30" ht="15.75" x14ac:dyDescent="0.25">
      <c r="A847" s="13">
        <v>67053</v>
      </c>
      <c r="B847" s="10">
        <f>CHOOSE(CONTROL!$C$42, 29.0534, 29.0534) * CHOOSE(CONTROL!$C$21, $C$9, 100%, $E$9)</f>
        <v>29.0534</v>
      </c>
      <c r="C847" s="10">
        <f>CHOOSE(CONTROL!$C$42, 29.0614, 29.0614) * CHOOSE(CONTROL!$C$21, $C$9, 100%, $E$9)</f>
        <v>29.061399999999999</v>
      </c>
      <c r="D847" s="10">
        <f>CHOOSE(CONTROL!$C$42, 29.2365, 29.2365) * CHOOSE(CONTROL!$C$21, $C$9, 100%, $E$9)</f>
        <v>29.236499999999999</v>
      </c>
      <c r="E847" s="10">
        <f>CHOOSE(CONTROL!$C$42, 29.2677, 29.2677) * CHOOSE(CONTROL!$C$21, $C$9, 100%, $E$9)</f>
        <v>29.267700000000001</v>
      </c>
      <c r="F847" s="10">
        <f>CHOOSE(CONTROL!$C$42, 28.9956, 28.9956)*CHOOSE(CONTROL!$C$21, $C$9, 100%, $E$9)</f>
        <v>28.9956</v>
      </c>
      <c r="G847" s="10">
        <f>CHOOSE(CONTROL!$C$42, 29.0126, 29.0126)*CHOOSE(CONTROL!$C$21, $C$9, 100%, $E$9)</f>
        <v>29.012599999999999</v>
      </c>
      <c r="H847" s="10">
        <f>CHOOSE(CONTROL!$C$42, 29.256, 29.256) * CHOOSE(CONTROL!$C$21, $C$9, 100%, $E$9)</f>
        <v>29.256</v>
      </c>
      <c r="I847" s="10">
        <f>CHOOSE(CONTROL!$C$42, 29.028, 29.028)* CHOOSE(CONTROL!$C$21, $C$9, 100%, $E$9)</f>
        <v>29.027999999999999</v>
      </c>
      <c r="J847" s="10">
        <f>CHOOSE(CONTROL!$C$42, 28.9882, 28.9882)* CHOOSE(CONTROL!$C$21, $C$9, 100%, $E$9)</f>
        <v>28.988199999999999</v>
      </c>
      <c r="K847" s="10">
        <f>CHOOSE(CONTROL!$C$42, 28.2796, 28.2796) * CHOOSE(CONTROL!$C$21, $C$9, 100%, $E$9)</f>
        <v>28.279599999999999</v>
      </c>
      <c r="L847" s="10">
        <f>CHOOSE(CONTROL!$C$42, 29.843, 29.843) * CHOOSE(CONTROL!$C$21, $C$9, 100%, $E$9)</f>
        <v>29.843</v>
      </c>
      <c r="M847" s="10">
        <f>CHOOSE(CONTROL!$C$42, 28.6459, 28.6459) * CHOOSE(CONTROL!$C$21, $C$9, 100%, $E$9)</f>
        <v>28.645900000000001</v>
      </c>
      <c r="N847" s="10">
        <f>CHOOSE(CONTROL!$C$42, 28.6628, 28.6628) * CHOOSE(CONTROL!$C$21, $C$9, 100%, $E$9)</f>
        <v>28.662800000000001</v>
      </c>
      <c r="O847" s="10">
        <f>CHOOSE(CONTROL!$C$42, 28.9103, 28.9103) * CHOOSE(CONTROL!$C$21, $C$9, 100%, $E$9)</f>
        <v>28.910299999999999</v>
      </c>
      <c r="P847" s="10">
        <f>CHOOSE(CONTROL!$C$42, 28.6853, 28.6853) * CHOOSE(CONTROL!$C$21, $C$9, 100%, $E$9)</f>
        <v>28.685300000000002</v>
      </c>
      <c r="Q847" s="10">
        <f>CHOOSE(CONTROL!$C$42, 29.5056, 29.5056) * CHOOSE(CONTROL!$C$21, $C$9, 100%, $E$9)</f>
        <v>29.505600000000001</v>
      </c>
      <c r="R847" s="10">
        <f>CHOOSE(CONTROL!$C$42, 30.1664, 30.1664) * CHOOSE(CONTROL!$C$21, $C$9, 100%, $E$9)</f>
        <v>30.166399999999999</v>
      </c>
      <c r="S847" s="10">
        <f>CHOOSE(CONTROL!$C$42, 28.147, 28.147) * CHOOSE(CONTROL!$C$21, $C$9, 100%, $E$9)</f>
        <v>28.146999999999998</v>
      </c>
      <c r="T84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38">
        <f>(1000*CHOOSE(CONTROL!$C$42, 695, 695)*CHOOSE(CONTROL!$C$42, 0.5599, 0.5599)*CHOOSE(CONTROL!$C$42, 31, 31))/1000000</f>
        <v>12.063045499999998</v>
      </c>
      <c r="V847" s="38">
        <f>(1000*CHOOSE(CONTROL!$C$42, 500, 500)*CHOOSE(CONTROL!$C$42, 0.275, 0.275)*CHOOSE(CONTROL!$C$42, 31, 31))/1000000</f>
        <v>4.2625000000000002</v>
      </c>
      <c r="W847" s="38">
        <f>(1000*CHOOSE(CONTROL!$C$42, 0.1146, 0.1146)*CHOOSE(CONTROL!$C$42, 121.5, 121.5)*CHOOSE(CONTROL!$C$42, 31, 31))/1000000</f>
        <v>0.43164089999999994</v>
      </c>
      <c r="X847" s="38">
        <f>(31*0.1790888*245000/1000000)+(31*0.2374*100000/1000000)</f>
        <v>2.0961194359999999</v>
      </c>
      <c r="Y847" s="38">
        <f>(1000*600*CHOOSE(CONTROL!$C$42, 1.0585, 1.0585)*CHOOSE(CONTROL!$C$42, 31, 31))/1000000</f>
        <v>19.688099999999999</v>
      </c>
      <c r="Z847" s="38"/>
      <c r="AA847" s="10"/>
      <c r="AB847" s="39"/>
      <c r="AC847" s="33">
        <f>(B847*194.205+C847*267.466+D847*133.845+E847*53.484+F847*40+G847*185+H847*0+I847*100+J847*300)/(194.205+267.466+133.845+53.484+0+40+185+100+300)</f>
        <v>29.058226035086342</v>
      </c>
      <c r="AD847" s="27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28.772377697841723</v>
      </c>
    </row>
    <row r="848" spans="1:30" ht="15.75" x14ac:dyDescent="0.25">
      <c r="A848" s="13">
        <v>67084</v>
      </c>
      <c r="B848" s="10">
        <f>CHOOSE(CONTROL!$C$42, 27.6176, 27.6176) * CHOOSE(CONTROL!$C$21, $C$9, 100%, $E$9)</f>
        <v>27.617599999999999</v>
      </c>
      <c r="C848" s="10">
        <f>CHOOSE(CONTROL!$C$42, 27.6256, 27.6256) * CHOOSE(CONTROL!$C$21, $C$9, 100%, $E$9)</f>
        <v>27.625599999999999</v>
      </c>
      <c r="D848" s="10">
        <f>CHOOSE(CONTROL!$C$42, 27.8007, 27.8007) * CHOOSE(CONTROL!$C$21, $C$9, 100%, $E$9)</f>
        <v>27.800699999999999</v>
      </c>
      <c r="E848" s="10">
        <f>CHOOSE(CONTROL!$C$42, 27.8319, 27.8319) * CHOOSE(CONTROL!$C$21, $C$9, 100%, $E$9)</f>
        <v>27.831900000000001</v>
      </c>
      <c r="F848" s="10">
        <f>CHOOSE(CONTROL!$C$42, 27.5597, 27.5597)*CHOOSE(CONTROL!$C$21, $C$9, 100%, $E$9)</f>
        <v>27.559699999999999</v>
      </c>
      <c r="G848" s="10">
        <f>CHOOSE(CONTROL!$C$42, 27.5767, 27.5767)*CHOOSE(CONTROL!$C$21, $C$9, 100%, $E$9)</f>
        <v>27.576699999999999</v>
      </c>
      <c r="H848" s="10">
        <f>CHOOSE(CONTROL!$C$42, 27.8202, 27.8202) * CHOOSE(CONTROL!$C$21, $C$9, 100%, $E$9)</f>
        <v>27.8202</v>
      </c>
      <c r="I848" s="10">
        <f>CHOOSE(CONTROL!$C$42, 27.5922, 27.5922)* CHOOSE(CONTROL!$C$21, $C$9, 100%, $E$9)</f>
        <v>27.592199999999998</v>
      </c>
      <c r="J848" s="10">
        <f>CHOOSE(CONTROL!$C$42, 27.5523, 27.5523)* CHOOSE(CONTROL!$C$21, $C$9, 100%, $E$9)</f>
        <v>27.552299999999999</v>
      </c>
      <c r="K848" s="10">
        <f>CHOOSE(CONTROL!$C$42, 26.8884, 26.8884) * CHOOSE(CONTROL!$C$21, $C$9, 100%, $E$9)</f>
        <v>26.888400000000001</v>
      </c>
      <c r="L848" s="10">
        <f>CHOOSE(CONTROL!$C$42, 28.4072, 28.4072) * CHOOSE(CONTROL!$C$21, $C$9, 100%, $E$9)</f>
        <v>28.4072</v>
      </c>
      <c r="M848" s="10">
        <f>CHOOSE(CONTROL!$C$42, 27.2286, 27.2286) * CHOOSE(CONTROL!$C$21, $C$9, 100%, $E$9)</f>
        <v>27.2286</v>
      </c>
      <c r="N848" s="10">
        <f>CHOOSE(CONTROL!$C$42, 27.2454, 27.2454) * CHOOSE(CONTROL!$C$21, $C$9, 100%, $E$9)</f>
        <v>27.2454</v>
      </c>
      <c r="O848" s="10">
        <f>CHOOSE(CONTROL!$C$42, 27.4931, 27.4931) * CHOOSE(CONTROL!$C$21, $C$9, 100%, $E$9)</f>
        <v>27.493099999999998</v>
      </c>
      <c r="P848" s="10">
        <f>CHOOSE(CONTROL!$C$42, 27.2681, 27.2681) * CHOOSE(CONTROL!$C$21, $C$9, 100%, $E$9)</f>
        <v>27.2681</v>
      </c>
      <c r="Q848" s="10">
        <f>CHOOSE(CONTROL!$C$42, 28.0884, 28.0884) * CHOOSE(CONTROL!$C$21, $C$9, 100%, $E$9)</f>
        <v>28.0884</v>
      </c>
      <c r="R848" s="10">
        <f>CHOOSE(CONTROL!$C$42, 28.7457, 28.7457) * CHOOSE(CONTROL!$C$21, $C$9, 100%, $E$9)</f>
        <v>28.745699999999999</v>
      </c>
      <c r="S848" s="10">
        <f>CHOOSE(CONTROL!$C$42, 26.7567, 26.7567) * CHOOSE(CONTROL!$C$21, $C$9, 100%, $E$9)</f>
        <v>26.756699999999999</v>
      </c>
      <c r="T84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38">
        <f>(1000*CHOOSE(CONTROL!$C$42, 695, 695)*CHOOSE(CONTROL!$C$42, 0.5599, 0.5599)*CHOOSE(CONTROL!$C$42, 31, 31))/1000000</f>
        <v>12.063045499999998</v>
      </c>
      <c r="V848" s="38">
        <f>(1000*CHOOSE(CONTROL!$C$42, 500, 500)*CHOOSE(CONTROL!$C$42, 0.275, 0.275)*CHOOSE(CONTROL!$C$42, 31, 31))/1000000</f>
        <v>4.2625000000000002</v>
      </c>
      <c r="W848" s="38">
        <f>(1000*CHOOSE(CONTROL!$C$42, 0.1146, 0.1146)*CHOOSE(CONTROL!$C$42, 121.5, 121.5)*CHOOSE(CONTROL!$C$42, 31, 31))/1000000</f>
        <v>0.43164089999999994</v>
      </c>
      <c r="X848" s="38">
        <f>(31*0.1790888*245000/1000000)+(31*0.2374*100000/1000000)</f>
        <v>2.0961194359999999</v>
      </c>
      <c r="Y848" s="38">
        <f>(1000*600*CHOOSE(CONTROL!$C$42, 1.0585, 1.0585)*CHOOSE(CONTROL!$C$42, 31, 31))/1000000</f>
        <v>19.688099999999999</v>
      </c>
      <c r="Z848" s="38"/>
      <c r="AA848" s="10"/>
      <c r="AB848" s="39"/>
      <c r="AC848" s="33">
        <f>(B848*194.205+C848*267.466+D848*133.845+E848*53.484+F848*40+G848*185+H848*0+I848*100+J848*300)/(194.205+267.466+133.845+53.484+0+40+185+100+300)</f>
        <v>27.622384826295132</v>
      </c>
      <c r="AD848" s="27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27.35513165467626</v>
      </c>
    </row>
    <row r="849" spans="1:30" ht="15.75" x14ac:dyDescent="0.25">
      <c r="A849" s="13">
        <v>67114</v>
      </c>
      <c r="B849" s="10">
        <f>CHOOSE(CONTROL!$C$42, 25.8633, 25.8633) * CHOOSE(CONTROL!$C$21, $C$9, 100%, $E$9)</f>
        <v>25.863299999999999</v>
      </c>
      <c r="C849" s="10">
        <f>CHOOSE(CONTROL!$C$42, 25.8713, 25.8713) * CHOOSE(CONTROL!$C$21, $C$9, 100%, $E$9)</f>
        <v>25.871300000000002</v>
      </c>
      <c r="D849" s="10">
        <f>CHOOSE(CONTROL!$C$42, 26.0464, 26.0464) * CHOOSE(CONTROL!$C$21, $C$9, 100%, $E$9)</f>
        <v>26.046399999999998</v>
      </c>
      <c r="E849" s="10">
        <f>CHOOSE(CONTROL!$C$42, 26.0776, 26.0776) * CHOOSE(CONTROL!$C$21, $C$9, 100%, $E$9)</f>
        <v>26.0776</v>
      </c>
      <c r="F849" s="10">
        <f>CHOOSE(CONTROL!$C$42, 25.8051, 25.8051)*CHOOSE(CONTROL!$C$21, $C$9, 100%, $E$9)</f>
        <v>25.805099999999999</v>
      </c>
      <c r="G849" s="10">
        <f>CHOOSE(CONTROL!$C$42, 25.822, 25.822)*CHOOSE(CONTROL!$C$21, $C$9, 100%, $E$9)</f>
        <v>25.821999999999999</v>
      </c>
      <c r="H849" s="10">
        <f>CHOOSE(CONTROL!$C$42, 26.066, 26.066) * CHOOSE(CONTROL!$C$21, $C$9, 100%, $E$9)</f>
        <v>26.065999999999999</v>
      </c>
      <c r="I849" s="10">
        <f>CHOOSE(CONTROL!$C$42, 25.838, 25.838)* CHOOSE(CONTROL!$C$21, $C$9, 100%, $E$9)</f>
        <v>25.838000000000001</v>
      </c>
      <c r="J849" s="10">
        <f>CHOOSE(CONTROL!$C$42, 25.7977, 25.7977)* CHOOSE(CONTROL!$C$21, $C$9, 100%, $E$9)</f>
        <v>25.797699999999999</v>
      </c>
      <c r="K849" s="10">
        <f>CHOOSE(CONTROL!$C$42, 25.1882, 25.1882) * CHOOSE(CONTROL!$C$21, $C$9, 100%, $E$9)</f>
        <v>25.188199999999998</v>
      </c>
      <c r="L849" s="10">
        <f>CHOOSE(CONTROL!$C$42, 26.653, 26.653) * CHOOSE(CONTROL!$C$21, $C$9, 100%, $E$9)</f>
        <v>26.652999999999999</v>
      </c>
      <c r="M849" s="10">
        <f>CHOOSE(CONTROL!$C$42, 25.4968, 25.4968) * CHOOSE(CONTROL!$C$21, $C$9, 100%, $E$9)</f>
        <v>25.4968</v>
      </c>
      <c r="N849" s="10">
        <f>CHOOSE(CONTROL!$C$42, 25.5135, 25.5135) * CHOOSE(CONTROL!$C$21, $C$9, 100%, $E$9)</f>
        <v>25.513500000000001</v>
      </c>
      <c r="O849" s="10">
        <f>CHOOSE(CONTROL!$C$42, 25.7616, 25.7616) * CHOOSE(CONTROL!$C$21, $C$9, 100%, $E$9)</f>
        <v>25.761600000000001</v>
      </c>
      <c r="P849" s="10">
        <f>CHOOSE(CONTROL!$C$42, 25.5366, 25.5366) * CHOOSE(CONTROL!$C$21, $C$9, 100%, $E$9)</f>
        <v>25.5366</v>
      </c>
      <c r="Q849" s="10">
        <f>CHOOSE(CONTROL!$C$42, 26.3569, 26.3569) * CHOOSE(CONTROL!$C$21, $C$9, 100%, $E$9)</f>
        <v>26.3569</v>
      </c>
      <c r="R849" s="10">
        <f>CHOOSE(CONTROL!$C$42, 27.0098, 27.0098) * CHOOSE(CONTROL!$C$21, $C$9, 100%, $E$9)</f>
        <v>27.009799999999998</v>
      </c>
      <c r="S849" s="10">
        <f>CHOOSE(CONTROL!$C$42, 25.058, 25.058) * CHOOSE(CONTROL!$C$21, $C$9, 100%, $E$9)</f>
        <v>25.058</v>
      </c>
      <c r="T84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38">
        <f>(1000*CHOOSE(CONTROL!$C$42, 695, 695)*CHOOSE(CONTROL!$C$42, 0.5599, 0.5599)*CHOOSE(CONTROL!$C$42, 30, 30))/1000000</f>
        <v>11.673914999999997</v>
      </c>
      <c r="V849" s="38">
        <f>(1000*CHOOSE(CONTROL!$C$42, 500, 500)*CHOOSE(CONTROL!$C$42, 0.275, 0.275)*CHOOSE(CONTROL!$C$42, 30, 30))/1000000</f>
        <v>4.125</v>
      </c>
      <c r="W849" s="38">
        <f>(1000*CHOOSE(CONTROL!$C$42, 0.1146, 0.1146)*CHOOSE(CONTROL!$C$42, 121.5, 121.5)*CHOOSE(CONTROL!$C$42, 30, 30))/1000000</f>
        <v>0.417717</v>
      </c>
      <c r="X849" s="38">
        <f>(30*0.1790888*245000/1000000)+(30*0.2374*100000/1000000)</f>
        <v>2.0285026799999999</v>
      </c>
      <c r="Y849" s="38">
        <f>(1000*600*CHOOSE(CONTROL!$C$42, 1.0585, 1.0585)*CHOOSE(CONTROL!$C$42, 30, 30))/1000000</f>
        <v>19.053000000000001</v>
      </c>
      <c r="Z849" s="38"/>
      <c r="AA849" s="10"/>
      <c r="AB849" s="39"/>
      <c r="AC849" s="33">
        <f>(B849*194.205+C849*267.466+D849*133.845+E849*53.484+F849*40+G849*185+H849*0+I849*100+J849*300)/(194.205+267.466+133.845+53.484+0+40+185+100+300)</f>
        <v>25.867954528021983</v>
      </c>
      <c r="AD849" s="27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25.62350503597122</v>
      </c>
    </row>
    <row r="850" spans="1:30" ht="15.75" x14ac:dyDescent="0.25">
      <c r="A850" s="13">
        <v>67145</v>
      </c>
      <c r="B850" s="10">
        <f>CHOOSE(CONTROL!$C$42, 25.3358, 25.3358) * CHOOSE(CONTROL!$C$21, $C$9, 100%, $E$9)</f>
        <v>25.335799999999999</v>
      </c>
      <c r="C850" s="10">
        <f>CHOOSE(CONTROL!$C$42, 25.3411, 25.3411) * CHOOSE(CONTROL!$C$21, $C$9, 100%, $E$9)</f>
        <v>25.341100000000001</v>
      </c>
      <c r="D850" s="10">
        <f>CHOOSE(CONTROL!$C$42, 25.5211, 25.5211) * CHOOSE(CONTROL!$C$21, $C$9, 100%, $E$9)</f>
        <v>25.521100000000001</v>
      </c>
      <c r="E850" s="10">
        <f>CHOOSE(CONTROL!$C$42, 25.55, 25.55) * CHOOSE(CONTROL!$C$21, $C$9, 100%, $E$9)</f>
        <v>25.55</v>
      </c>
      <c r="F850" s="10">
        <f>CHOOSE(CONTROL!$C$42, 25.2796, 25.2796)*CHOOSE(CONTROL!$C$21, $C$9, 100%, $E$9)</f>
        <v>25.279599999999999</v>
      </c>
      <c r="G850" s="10">
        <f>CHOOSE(CONTROL!$C$42, 25.2962, 25.2962)*CHOOSE(CONTROL!$C$21, $C$9, 100%, $E$9)</f>
        <v>25.296199999999999</v>
      </c>
      <c r="H850" s="10">
        <f>CHOOSE(CONTROL!$C$42, 25.5402, 25.5402) * CHOOSE(CONTROL!$C$21, $C$9, 100%, $E$9)</f>
        <v>25.540199999999999</v>
      </c>
      <c r="I850" s="10">
        <f>CHOOSE(CONTROL!$C$42, 25.3121, 25.3121)* CHOOSE(CONTROL!$C$21, $C$9, 100%, $E$9)</f>
        <v>25.312100000000001</v>
      </c>
      <c r="J850" s="10">
        <f>CHOOSE(CONTROL!$C$42, 25.2722, 25.2722)* CHOOSE(CONTROL!$C$21, $C$9, 100%, $E$9)</f>
        <v>25.272200000000002</v>
      </c>
      <c r="K850" s="10">
        <f>CHOOSE(CONTROL!$C$42, 24.6794, 24.6794) * CHOOSE(CONTROL!$C$21, $C$9, 100%, $E$9)</f>
        <v>24.679400000000001</v>
      </c>
      <c r="L850" s="10">
        <f>CHOOSE(CONTROL!$C$42, 26.1272, 26.1272) * CHOOSE(CONTROL!$C$21, $C$9, 100%, $E$9)</f>
        <v>26.127199999999998</v>
      </c>
      <c r="M850" s="10">
        <f>CHOOSE(CONTROL!$C$42, 24.978, 24.978) * CHOOSE(CONTROL!$C$21, $C$9, 100%, $E$9)</f>
        <v>24.978000000000002</v>
      </c>
      <c r="N850" s="10">
        <f>CHOOSE(CONTROL!$C$42, 24.9944, 24.9944) * CHOOSE(CONTROL!$C$21, $C$9, 100%, $E$9)</f>
        <v>24.994399999999999</v>
      </c>
      <c r="O850" s="10">
        <f>CHOOSE(CONTROL!$C$42, 25.2426, 25.2426) * CHOOSE(CONTROL!$C$21, $C$9, 100%, $E$9)</f>
        <v>25.242599999999999</v>
      </c>
      <c r="P850" s="10">
        <f>CHOOSE(CONTROL!$C$42, 25.0176, 25.0176) * CHOOSE(CONTROL!$C$21, $C$9, 100%, $E$9)</f>
        <v>25.017600000000002</v>
      </c>
      <c r="Q850" s="10">
        <f>CHOOSE(CONTROL!$C$42, 25.8379, 25.8379) * CHOOSE(CONTROL!$C$21, $C$9, 100%, $E$9)</f>
        <v>25.837900000000001</v>
      </c>
      <c r="R850" s="10">
        <f>CHOOSE(CONTROL!$C$42, 26.4895, 26.4895) * CHOOSE(CONTROL!$C$21, $C$9, 100%, $E$9)</f>
        <v>26.4895</v>
      </c>
      <c r="S850" s="10">
        <f>CHOOSE(CONTROL!$C$42, 24.5489, 24.5489) * CHOOSE(CONTROL!$C$21, $C$9, 100%, $E$9)</f>
        <v>24.5489</v>
      </c>
      <c r="T85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38">
        <f>(1000*CHOOSE(CONTROL!$C$42, 695, 695)*CHOOSE(CONTROL!$C$42, 0.5599, 0.5599)*CHOOSE(CONTROL!$C$42, 31, 31))/1000000</f>
        <v>12.063045499999998</v>
      </c>
      <c r="V850" s="38">
        <f>(1000*CHOOSE(CONTROL!$C$42, 500, 500)*CHOOSE(CONTROL!$C$42, 0.275, 0.275)*CHOOSE(CONTROL!$C$42, 31, 31))/1000000</f>
        <v>4.2625000000000002</v>
      </c>
      <c r="W850" s="38">
        <f>(1000*CHOOSE(CONTROL!$C$42, 0.1146, 0.1146)*CHOOSE(CONTROL!$C$42, 121.5, 121.5)*CHOOSE(CONTROL!$C$42, 31, 31))/1000000</f>
        <v>0.43164089999999994</v>
      </c>
      <c r="X850" s="38">
        <f>(31*0.1790888*245000/1000000)+(31*0.2374*100000/1000000)</f>
        <v>2.0961194359999999</v>
      </c>
      <c r="Y850" s="38">
        <f>(1000*600*CHOOSE(CONTROL!$C$42, 1.0585, 1.0585)*CHOOSE(CONTROL!$C$42, 31, 31))/1000000</f>
        <v>19.688099999999999</v>
      </c>
      <c r="Z850" s="38"/>
      <c r="AA850" s="10"/>
      <c r="AB850" s="39"/>
      <c r="AC850" s="33">
        <f>(B850*131.881+C850*277.167+D850*79.08+E850*125.872+F850*40+G850*185+H850*0+I850*100+J850*300)/(131.881+277.167+79.08+125.872+0+40+185+100+300)</f>
        <v>25.34553389144471</v>
      </c>
      <c r="AD850" s="27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25.104568345323745</v>
      </c>
    </row>
    <row r="851" spans="1:30" ht="15.75" x14ac:dyDescent="0.25">
      <c r="A851" s="13">
        <v>67175</v>
      </c>
      <c r="B851" s="10">
        <f>CHOOSE(CONTROL!$C$42, 26.0033, 26.0033) * CHOOSE(CONTROL!$C$21, $C$9, 100%, $E$9)</f>
        <v>26.003299999999999</v>
      </c>
      <c r="C851" s="10">
        <f>CHOOSE(CONTROL!$C$42, 26.0084, 26.0084) * CHOOSE(CONTROL!$C$21, $C$9, 100%, $E$9)</f>
        <v>26.008400000000002</v>
      </c>
      <c r="D851" s="10">
        <f>CHOOSE(CONTROL!$C$42, 26.033, 26.033) * CHOOSE(CONTROL!$C$21, $C$9, 100%, $E$9)</f>
        <v>26.033000000000001</v>
      </c>
      <c r="E851" s="10">
        <f>CHOOSE(CONTROL!$C$42, 26.0668, 26.0668) * CHOOSE(CONTROL!$C$21, $C$9, 100%, $E$9)</f>
        <v>26.066800000000001</v>
      </c>
      <c r="F851" s="10">
        <f>CHOOSE(CONTROL!$C$42, 25.9689, 25.9689)*CHOOSE(CONTROL!$C$21, $C$9, 100%, $E$9)</f>
        <v>25.968900000000001</v>
      </c>
      <c r="G851" s="10">
        <f>CHOOSE(CONTROL!$C$42, 25.9857, 25.9857)*CHOOSE(CONTROL!$C$21, $C$9, 100%, $E$9)</f>
        <v>25.985700000000001</v>
      </c>
      <c r="H851" s="10">
        <f>CHOOSE(CONTROL!$C$42, 26.0557, 26.0557) * CHOOSE(CONTROL!$C$21, $C$9, 100%, $E$9)</f>
        <v>26.055700000000002</v>
      </c>
      <c r="I851" s="10">
        <f>CHOOSE(CONTROL!$C$42, 26.0028, 26.0028)* CHOOSE(CONTROL!$C$21, $C$9, 100%, $E$9)</f>
        <v>26.002800000000001</v>
      </c>
      <c r="J851" s="10">
        <f>CHOOSE(CONTROL!$C$42, 25.9615, 25.9615)* CHOOSE(CONTROL!$C$21, $C$9, 100%, $E$9)</f>
        <v>25.961500000000001</v>
      </c>
      <c r="K851" s="10">
        <f>CHOOSE(CONTROL!$C$42, 25.3503, 25.3503) * CHOOSE(CONTROL!$C$21, $C$9, 100%, $E$9)</f>
        <v>25.350300000000001</v>
      </c>
      <c r="L851" s="10">
        <f>CHOOSE(CONTROL!$C$42, 26.6427, 26.6427) * CHOOSE(CONTROL!$C$21, $C$9, 100%, $E$9)</f>
        <v>26.642700000000001</v>
      </c>
      <c r="M851" s="10">
        <f>CHOOSE(CONTROL!$C$42, 25.6585, 25.6585) * CHOOSE(CONTROL!$C$21, $C$9, 100%, $E$9)</f>
        <v>25.6585</v>
      </c>
      <c r="N851" s="10">
        <f>CHOOSE(CONTROL!$C$42, 25.675, 25.675) * CHOOSE(CONTROL!$C$21, $C$9, 100%, $E$9)</f>
        <v>25.675000000000001</v>
      </c>
      <c r="O851" s="10">
        <f>CHOOSE(CONTROL!$C$42, 25.7515, 25.7515) * CHOOSE(CONTROL!$C$21, $C$9, 100%, $E$9)</f>
        <v>25.7515</v>
      </c>
      <c r="P851" s="10">
        <f>CHOOSE(CONTROL!$C$42, 25.6992, 25.6992) * CHOOSE(CONTROL!$C$21, $C$9, 100%, $E$9)</f>
        <v>25.699200000000001</v>
      </c>
      <c r="Q851" s="10">
        <f>CHOOSE(CONTROL!$C$42, 26.3468, 26.3468) * CHOOSE(CONTROL!$C$21, $C$9, 100%, $E$9)</f>
        <v>26.346800000000002</v>
      </c>
      <c r="R851" s="10">
        <f>CHOOSE(CONTROL!$C$42, 26.9996, 26.9996) * CHOOSE(CONTROL!$C$21, $C$9, 100%, $E$9)</f>
        <v>26.999600000000001</v>
      </c>
      <c r="S851" s="10">
        <f>CHOOSE(CONTROL!$C$42, 25.1956, 25.1956) * CHOOSE(CONTROL!$C$21, $C$9, 100%, $E$9)</f>
        <v>25.195599999999999</v>
      </c>
      <c r="T85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38">
        <f>(1000*CHOOSE(CONTROL!$C$42, 695, 695)*CHOOSE(CONTROL!$C$42, 0.5599, 0.5599)*CHOOSE(CONTROL!$C$42, 30, 30))/1000000</f>
        <v>11.673914999999997</v>
      </c>
      <c r="V851" s="38">
        <f>(1000*CHOOSE(CONTROL!$C$42, 500, 500)*CHOOSE(CONTROL!$C$42, 0.275, 0.275)*CHOOSE(CONTROL!$C$42, 30, 30))/1000000</f>
        <v>4.125</v>
      </c>
      <c r="W851" s="38">
        <f>(1000*CHOOSE(CONTROL!$C$42, 0.1146, 0.1146)*CHOOSE(CONTROL!$C$42, 121.5, 121.5)*CHOOSE(CONTROL!$C$42, 30, 30))/1000000</f>
        <v>0.417717</v>
      </c>
      <c r="X851" s="38">
        <f>(30*0.1790888*100000/1000000)+(30*0.2374*100000/1000000)</f>
        <v>1.2494664</v>
      </c>
      <c r="Y851" s="38">
        <f>(1000*600*CHOOSE(CONTROL!$C$42, 1.0585, 1.0585)*CHOOSE(CONTROL!$C$42, 30, 30))/1000000</f>
        <v>19.053000000000001</v>
      </c>
      <c r="Z851" s="38"/>
      <c r="AA851" s="10"/>
      <c r="AB851" s="39"/>
      <c r="AC851" s="33">
        <f>(B851*122.58+C851*297.941+D851*89.177+E851*40.302+F851*40+G851*160+H851*0+I851*100+J851*300)/(122.58+297.941+89.177+40.302+0+40+160+100+300)</f>
        <v>25.994556724347827</v>
      </c>
      <c r="AD851" s="27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25.707456834532376</v>
      </c>
    </row>
    <row r="852" spans="1:30" ht="15.75" x14ac:dyDescent="0.25">
      <c r="A852" s="13">
        <v>67206</v>
      </c>
      <c r="B852" s="10">
        <f>CHOOSE(CONTROL!$C$42, 27.7773, 27.7773) * CHOOSE(CONTROL!$C$21, $C$9, 100%, $E$9)</f>
        <v>27.7773</v>
      </c>
      <c r="C852" s="10">
        <f>CHOOSE(CONTROL!$C$42, 27.7824, 27.7824) * CHOOSE(CONTROL!$C$21, $C$9, 100%, $E$9)</f>
        <v>27.782399999999999</v>
      </c>
      <c r="D852" s="10">
        <f>CHOOSE(CONTROL!$C$42, 27.8071, 27.8071) * CHOOSE(CONTROL!$C$21, $C$9, 100%, $E$9)</f>
        <v>27.807099999999998</v>
      </c>
      <c r="E852" s="10">
        <f>CHOOSE(CONTROL!$C$42, 27.8409, 27.8409) * CHOOSE(CONTROL!$C$21, $C$9, 100%, $E$9)</f>
        <v>27.840900000000001</v>
      </c>
      <c r="F852" s="10">
        <f>CHOOSE(CONTROL!$C$42, 27.7447, 27.7447)*CHOOSE(CONTROL!$C$21, $C$9, 100%, $E$9)</f>
        <v>27.744700000000002</v>
      </c>
      <c r="G852" s="10">
        <f>CHOOSE(CONTROL!$C$42, 27.762, 27.762)*CHOOSE(CONTROL!$C$21, $C$9, 100%, $E$9)</f>
        <v>27.762</v>
      </c>
      <c r="H852" s="10">
        <f>CHOOSE(CONTROL!$C$42, 27.8297, 27.8297) * CHOOSE(CONTROL!$C$21, $C$9, 100%, $E$9)</f>
        <v>27.829699999999999</v>
      </c>
      <c r="I852" s="10">
        <f>CHOOSE(CONTROL!$C$42, 27.7768, 27.7768)* CHOOSE(CONTROL!$C$21, $C$9, 100%, $E$9)</f>
        <v>27.776800000000001</v>
      </c>
      <c r="J852" s="10">
        <f>CHOOSE(CONTROL!$C$42, 27.7373, 27.7373)* CHOOSE(CONTROL!$C$21, $C$9, 100%, $E$9)</f>
        <v>27.737300000000001</v>
      </c>
      <c r="K852" s="10">
        <f>CHOOSE(CONTROL!$C$42, 27.0728, 27.0728) * CHOOSE(CONTROL!$C$21, $C$9, 100%, $E$9)</f>
        <v>27.072800000000001</v>
      </c>
      <c r="L852" s="10">
        <f>CHOOSE(CONTROL!$C$42, 28.4167, 28.4167) * CHOOSE(CONTROL!$C$21, $C$9, 100%, $E$9)</f>
        <v>28.416699999999999</v>
      </c>
      <c r="M852" s="10">
        <f>CHOOSE(CONTROL!$C$42, 27.4113, 27.4113) * CHOOSE(CONTROL!$C$21, $C$9, 100%, $E$9)</f>
        <v>27.411300000000001</v>
      </c>
      <c r="N852" s="10">
        <f>CHOOSE(CONTROL!$C$42, 27.4283, 27.4283) * CHOOSE(CONTROL!$C$21, $C$9, 100%, $E$9)</f>
        <v>27.4283</v>
      </c>
      <c r="O852" s="10">
        <f>CHOOSE(CONTROL!$C$42, 27.5025, 27.5025) * CHOOSE(CONTROL!$C$21, $C$9, 100%, $E$9)</f>
        <v>27.502500000000001</v>
      </c>
      <c r="P852" s="10">
        <f>CHOOSE(CONTROL!$C$42, 27.4503, 27.4503) * CHOOSE(CONTROL!$C$21, $C$9, 100%, $E$9)</f>
        <v>27.450299999999999</v>
      </c>
      <c r="Q852" s="10">
        <f>CHOOSE(CONTROL!$C$42, 28.0978, 28.0978) * CHOOSE(CONTROL!$C$21, $C$9, 100%, $E$9)</f>
        <v>28.097799999999999</v>
      </c>
      <c r="R852" s="10">
        <f>CHOOSE(CONTROL!$C$42, 28.7551, 28.7551) * CHOOSE(CONTROL!$C$21, $C$9, 100%, $E$9)</f>
        <v>28.755099999999999</v>
      </c>
      <c r="S852" s="10">
        <f>CHOOSE(CONTROL!$C$42, 26.9134, 26.9134) * CHOOSE(CONTROL!$C$21, $C$9, 100%, $E$9)</f>
        <v>26.913399999999999</v>
      </c>
      <c r="T85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38">
        <f>(1000*CHOOSE(CONTROL!$C$42, 695, 695)*CHOOSE(CONTROL!$C$42, 0.5599, 0.5599)*CHOOSE(CONTROL!$C$42, 31, 31))/1000000</f>
        <v>12.063045499999998</v>
      </c>
      <c r="V852" s="38">
        <f>(1000*CHOOSE(CONTROL!$C$42, 500, 500)*CHOOSE(CONTROL!$C$42, 0.275, 0.275)*CHOOSE(CONTROL!$C$42, 31, 31))/1000000</f>
        <v>4.2625000000000002</v>
      </c>
      <c r="W852" s="38">
        <f>(1000*CHOOSE(CONTROL!$C$42, 0.1146, 0.1146)*CHOOSE(CONTROL!$C$42, 121.5, 121.5)*CHOOSE(CONTROL!$C$42, 31, 31))/1000000</f>
        <v>0.43164089999999994</v>
      </c>
      <c r="X852" s="38">
        <f>(31*0.1790888*100000/1000000)+(31*0.2374*100000/1000000)</f>
        <v>1.2911152800000001</v>
      </c>
      <c r="Y852" s="38">
        <f>(1000*600*CHOOSE(CONTROL!$C$42, 1.0585, 1.0585)*CHOOSE(CONTROL!$C$42, 31, 31))/1000000</f>
        <v>19.688099999999999</v>
      </c>
      <c r="Z852" s="38"/>
      <c r="AA852" s="10"/>
      <c r="AB852" s="39"/>
      <c r="AC852" s="33">
        <f>(B852*122.58+C852*297.941+D852*89.177+E852*40.302+F852*40+G852*160+H852*0+I852*100+J852*300)/(122.58+297.941+89.177+40.302+0+40+160+100+300)</f>
        <v>27.769420157304349</v>
      </c>
      <c r="AD852" s="27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27.459225179856119</v>
      </c>
    </row>
    <row r="853" spans="1:30" ht="15.75" x14ac:dyDescent="0.25">
      <c r="A853" s="13">
        <v>67237</v>
      </c>
      <c r="B853" s="10">
        <f>CHOOSE(CONTROL!$C$42, 29.6532, 29.6532) * CHOOSE(CONTROL!$C$21, $C$9, 100%, $E$9)</f>
        <v>29.653199999999998</v>
      </c>
      <c r="C853" s="10">
        <f>CHOOSE(CONTROL!$C$42, 29.6583, 29.6583) * CHOOSE(CONTROL!$C$21, $C$9, 100%, $E$9)</f>
        <v>29.658300000000001</v>
      </c>
      <c r="D853" s="10">
        <f>CHOOSE(CONTROL!$C$42, 29.6933, 29.6933) * CHOOSE(CONTROL!$C$21, $C$9, 100%, $E$9)</f>
        <v>29.693300000000001</v>
      </c>
      <c r="E853" s="10">
        <f>CHOOSE(CONTROL!$C$42, 29.7271, 29.7271) * CHOOSE(CONTROL!$C$21, $C$9, 100%, $E$9)</f>
        <v>29.7271</v>
      </c>
      <c r="F853" s="10">
        <f>CHOOSE(CONTROL!$C$42, 29.6345, 29.6345)*CHOOSE(CONTROL!$C$21, $C$9, 100%, $E$9)</f>
        <v>29.634499999999999</v>
      </c>
      <c r="G853" s="10">
        <f>CHOOSE(CONTROL!$C$42, 29.6534, 29.6534)*CHOOSE(CONTROL!$C$21, $C$9, 100%, $E$9)</f>
        <v>29.653400000000001</v>
      </c>
      <c r="H853" s="10">
        <f>CHOOSE(CONTROL!$C$42, 29.716, 29.716) * CHOOSE(CONTROL!$C$21, $C$9, 100%, $E$9)</f>
        <v>29.716000000000001</v>
      </c>
      <c r="I853" s="10">
        <f>CHOOSE(CONTROL!$C$42, 29.6604, 29.6604)* CHOOSE(CONTROL!$C$21, $C$9, 100%, $E$9)</f>
        <v>29.660399999999999</v>
      </c>
      <c r="J853" s="10">
        <f>CHOOSE(CONTROL!$C$42, 29.6271, 29.6271)* CHOOSE(CONTROL!$C$21, $C$9, 100%, $E$9)</f>
        <v>29.627099999999999</v>
      </c>
      <c r="K853" s="10">
        <f>CHOOSE(CONTROL!$C$42, 28.9109, 28.9109) * CHOOSE(CONTROL!$C$21, $C$9, 100%, $E$9)</f>
        <v>28.910900000000002</v>
      </c>
      <c r="L853" s="10">
        <f>CHOOSE(CONTROL!$C$42, 30.303, 30.303) * CHOOSE(CONTROL!$C$21, $C$9, 100%, $E$9)</f>
        <v>30.303000000000001</v>
      </c>
      <c r="M853" s="10">
        <f>CHOOSE(CONTROL!$C$42, 29.2766, 29.2766) * CHOOSE(CONTROL!$C$21, $C$9, 100%, $E$9)</f>
        <v>29.276599999999998</v>
      </c>
      <c r="N853" s="10">
        <f>CHOOSE(CONTROL!$C$42, 29.2952, 29.2952) * CHOOSE(CONTROL!$C$21, $C$9, 100%, $E$9)</f>
        <v>29.295200000000001</v>
      </c>
      <c r="O853" s="10">
        <f>CHOOSE(CONTROL!$C$42, 29.3643, 29.3643) * CHOOSE(CONTROL!$C$21, $C$9, 100%, $E$9)</f>
        <v>29.3643</v>
      </c>
      <c r="P853" s="10">
        <f>CHOOSE(CONTROL!$C$42, 29.3095, 29.3095) * CHOOSE(CONTROL!$C$21, $C$9, 100%, $E$9)</f>
        <v>29.3095</v>
      </c>
      <c r="Q853" s="10">
        <f>CHOOSE(CONTROL!$C$42, 29.9596, 29.9596) * CHOOSE(CONTROL!$C$21, $C$9, 100%, $E$9)</f>
        <v>29.959599999999998</v>
      </c>
      <c r="R853" s="10">
        <f>CHOOSE(CONTROL!$C$42, 30.6215, 30.6215) * CHOOSE(CONTROL!$C$21, $C$9, 100%, $E$9)</f>
        <v>30.621500000000001</v>
      </c>
      <c r="S853" s="10">
        <f>CHOOSE(CONTROL!$C$42, 28.7298, 28.7298) * CHOOSE(CONTROL!$C$21, $C$9, 100%, $E$9)</f>
        <v>28.729800000000001</v>
      </c>
      <c r="T85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38">
        <f>(1000*CHOOSE(CONTROL!$C$42, 695, 695)*CHOOSE(CONTROL!$C$42, 0.5599, 0.5599)*CHOOSE(CONTROL!$C$42, 31, 31))/1000000</f>
        <v>12.063045499999998</v>
      </c>
      <c r="V853" s="38">
        <f>(1000*CHOOSE(CONTROL!$C$42, 500, 500)*CHOOSE(CONTROL!$C$42, 0.275, 0.275)*CHOOSE(CONTROL!$C$42, 31, 31))/1000000</f>
        <v>4.2625000000000002</v>
      </c>
      <c r="W853" s="38">
        <f>(1000*CHOOSE(CONTROL!$C$42, 0.1146, 0.1146)*CHOOSE(CONTROL!$C$42, 121.5, 121.5)*CHOOSE(CONTROL!$C$42, 31, 31))/1000000</f>
        <v>0.43164089999999994</v>
      </c>
      <c r="X853" s="38">
        <f>(31*0.1790888*100000/1000000)+(31*0.2374*100000/1000000)</f>
        <v>1.2911152800000001</v>
      </c>
      <c r="Y853" s="38">
        <f>(1000*600*CHOOSE(CONTROL!$C$42, 1.0585, 1.0585)*CHOOSE(CONTROL!$C$42, 31, 31))/1000000</f>
        <v>19.688099999999999</v>
      </c>
      <c r="Z853" s="38"/>
      <c r="AA853" s="10"/>
      <c r="AB853" s="39"/>
      <c r="AC853" s="33">
        <f>(B853*122.58+C853*297.941+D853*89.177+E853*40.302+F853*40+G853*160+H853*0+I853*100+J853*300)/(122.58+297.941+89.177+40.302+0+40+160+100+300)</f>
        <v>29.653415490956522</v>
      </c>
      <c r="AD853" s="27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29.32215323741007</v>
      </c>
    </row>
    <row r="854" spans="1:30" ht="15.75" x14ac:dyDescent="0.25">
      <c r="A854" s="13">
        <v>67266</v>
      </c>
      <c r="B854" s="10">
        <f>CHOOSE(CONTROL!$C$42, 30.1813, 30.1813) * CHOOSE(CONTROL!$C$21, $C$9, 100%, $E$9)</f>
        <v>30.1813</v>
      </c>
      <c r="C854" s="10">
        <f>CHOOSE(CONTROL!$C$42, 30.1864, 30.1864) * CHOOSE(CONTROL!$C$21, $C$9, 100%, $E$9)</f>
        <v>30.186399999999999</v>
      </c>
      <c r="D854" s="10">
        <f>CHOOSE(CONTROL!$C$42, 30.2215, 30.2215) * CHOOSE(CONTROL!$C$21, $C$9, 100%, $E$9)</f>
        <v>30.221499999999999</v>
      </c>
      <c r="E854" s="10">
        <f>CHOOSE(CONTROL!$C$42, 30.2553, 30.2553) * CHOOSE(CONTROL!$C$21, $C$9, 100%, $E$9)</f>
        <v>30.255299999999998</v>
      </c>
      <c r="F854" s="10">
        <f>CHOOSE(CONTROL!$C$42, 30.1621, 30.1621)*CHOOSE(CONTROL!$C$21, $C$9, 100%, $E$9)</f>
        <v>30.162099999999999</v>
      </c>
      <c r="G854" s="10">
        <f>CHOOSE(CONTROL!$C$42, 30.1809, 30.1809)*CHOOSE(CONTROL!$C$21, $C$9, 100%, $E$9)</f>
        <v>30.180900000000001</v>
      </c>
      <c r="H854" s="10">
        <f>CHOOSE(CONTROL!$C$42, 30.2441, 30.2441) * CHOOSE(CONTROL!$C$21, $C$9, 100%, $E$9)</f>
        <v>30.2441</v>
      </c>
      <c r="I854" s="10">
        <f>CHOOSE(CONTROL!$C$42, 30.1886, 30.1886)* CHOOSE(CONTROL!$C$21, $C$9, 100%, $E$9)</f>
        <v>30.188600000000001</v>
      </c>
      <c r="J854" s="10">
        <f>CHOOSE(CONTROL!$C$42, 30.1547, 30.1547)* CHOOSE(CONTROL!$C$21, $C$9, 100%, $E$9)</f>
        <v>30.154699999999998</v>
      </c>
      <c r="K854" s="10">
        <f>CHOOSE(CONTROL!$C$42, 29.4214, 29.4214) * CHOOSE(CONTROL!$C$21, $C$9, 100%, $E$9)</f>
        <v>29.421399999999998</v>
      </c>
      <c r="L854" s="10">
        <f>CHOOSE(CONTROL!$C$42, 30.8311, 30.8311) * CHOOSE(CONTROL!$C$21, $C$9, 100%, $E$9)</f>
        <v>30.831099999999999</v>
      </c>
      <c r="M854" s="10">
        <f>CHOOSE(CONTROL!$C$42, 29.7974, 29.7974) * CHOOSE(CONTROL!$C$21, $C$9, 100%, $E$9)</f>
        <v>29.7974</v>
      </c>
      <c r="N854" s="10">
        <f>CHOOSE(CONTROL!$C$42, 29.8159, 29.8159) * CHOOSE(CONTROL!$C$21, $C$9, 100%, $E$9)</f>
        <v>29.815899999999999</v>
      </c>
      <c r="O854" s="10">
        <f>CHOOSE(CONTROL!$C$42, 29.8857, 29.8857) * CHOOSE(CONTROL!$C$21, $C$9, 100%, $E$9)</f>
        <v>29.8857</v>
      </c>
      <c r="P854" s="10">
        <f>CHOOSE(CONTROL!$C$42, 29.8309, 29.8309) * CHOOSE(CONTROL!$C$21, $C$9, 100%, $E$9)</f>
        <v>29.8309</v>
      </c>
      <c r="Q854" s="10">
        <f>CHOOSE(CONTROL!$C$42, 30.481, 30.481) * CHOOSE(CONTROL!$C$21, $C$9, 100%, $E$9)</f>
        <v>30.481000000000002</v>
      </c>
      <c r="R854" s="10">
        <f>CHOOSE(CONTROL!$C$42, 31.1442, 31.1442) * CHOOSE(CONTROL!$C$21, $C$9, 100%, $E$9)</f>
        <v>31.144200000000001</v>
      </c>
      <c r="S854" s="10">
        <f>CHOOSE(CONTROL!$C$42, 29.2413, 29.2413) * CHOOSE(CONTROL!$C$21, $C$9, 100%, $E$9)</f>
        <v>29.241299999999999</v>
      </c>
      <c r="T854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54" s="38">
        <f>(1000*CHOOSE(CONTROL!$C$42, 695, 695)*CHOOSE(CONTROL!$C$42, 0.5599, 0.5599)*CHOOSE(CONTROL!$C$42, 29, 29))/1000000</f>
        <v>11.284784499999999</v>
      </c>
      <c r="V854" s="38">
        <f>(1000*CHOOSE(CONTROL!$C$42, 500, 500)*CHOOSE(CONTROL!$C$42, 0.275, 0.275)*CHOOSE(CONTROL!$C$42, 29, 29))/1000000</f>
        <v>3.9874999999999998</v>
      </c>
      <c r="W854" s="38">
        <f>(1000*CHOOSE(CONTROL!$C$42, 0.1146, 0.1146)*CHOOSE(CONTROL!$C$42, 121.5, 121.5)*CHOOSE(CONTROL!$C$42, 29, 29))/1000000</f>
        <v>0.40379309999999996</v>
      </c>
      <c r="X854" s="38">
        <f>(29*0.1790888*100000/1000000)+(29*0.2374*100000/1000000)</f>
        <v>1.2078175199999999</v>
      </c>
      <c r="Y854" s="38">
        <f>(1000*600*CHOOSE(CONTROL!$C$42, 1.0585, 1.0585)*CHOOSE(CONTROL!$C$42, 29, 29))/1000000</f>
        <v>18.417899999999999</v>
      </c>
      <c r="Z854" s="38"/>
      <c r="AA854" s="10"/>
      <c r="AB854" s="39"/>
      <c r="AC854" s="33">
        <f>(B854*122.58+C854*297.941+D854*89.177+E854*40.302+F854*40+G854*160+H854*0+I854*100+J854*300)/(122.58+297.941+89.177+40.302+0+40+160+100+300)</f>
        <v>30.181304141304345</v>
      </c>
      <c r="AD854" s="27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29.843305755395683</v>
      </c>
    </row>
    <row r="855" spans="1:30" ht="15.75" x14ac:dyDescent="0.25">
      <c r="A855" s="13">
        <v>67297</v>
      </c>
      <c r="B855" s="10">
        <f>CHOOSE(CONTROL!$C$42, 29.324, 29.324) * CHOOSE(CONTROL!$C$21, $C$9, 100%, $E$9)</f>
        <v>29.324000000000002</v>
      </c>
      <c r="C855" s="10">
        <f>CHOOSE(CONTROL!$C$42, 29.3291, 29.3291) * CHOOSE(CONTROL!$C$21, $C$9, 100%, $E$9)</f>
        <v>29.3291</v>
      </c>
      <c r="D855" s="10">
        <f>CHOOSE(CONTROL!$C$42, 29.3641, 29.3641) * CHOOSE(CONTROL!$C$21, $C$9, 100%, $E$9)</f>
        <v>29.364100000000001</v>
      </c>
      <c r="E855" s="10">
        <f>CHOOSE(CONTROL!$C$42, 29.3979, 29.3979) * CHOOSE(CONTROL!$C$21, $C$9, 100%, $E$9)</f>
        <v>29.3979</v>
      </c>
      <c r="F855" s="10">
        <f>CHOOSE(CONTROL!$C$42, 29.3034, 29.3034)*CHOOSE(CONTROL!$C$21, $C$9, 100%, $E$9)</f>
        <v>29.3034</v>
      </c>
      <c r="G855" s="10">
        <f>CHOOSE(CONTROL!$C$42, 29.3218, 29.3218)*CHOOSE(CONTROL!$C$21, $C$9, 100%, $E$9)</f>
        <v>29.3218</v>
      </c>
      <c r="H855" s="10">
        <f>CHOOSE(CONTROL!$C$42, 29.3868, 29.3868) * CHOOSE(CONTROL!$C$21, $C$9, 100%, $E$9)</f>
        <v>29.386800000000001</v>
      </c>
      <c r="I855" s="10">
        <f>CHOOSE(CONTROL!$C$42, 29.3313, 29.3313)* CHOOSE(CONTROL!$C$21, $C$9, 100%, $E$9)</f>
        <v>29.331299999999999</v>
      </c>
      <c r="J855" s="10">
        <f>CHOOSE(CONTROL!$C$42, 29.296, 29.296)* CHOOSE(CONTROL!$C$21, $C$9, 100%, $E$9)</f>
        <v>29.295999999999999</v>
      </c>
      <c r="K855" s="10">
        <f>CHOOSE(CONTROL!$C$42, 28.5878, 28.5878) * CHOOSE(CONTROL!$C$21, $C$9, 100%, $E$9)</f>
        <v>28.587800000000001</v>
      </c>
      <c r="L855" s="10">
        <f>CHOOSE(CONTROL!$C$42, 29.9738, 29.9738) * CHOOSE(CONTROL!$C$21, $C$9, 100%, $E$9)</f>
        <v>29.973800000000001</v>
      </c>
      <c r="M855" s="10">
        <f>CHOOSE(CONTROL!$C$42, 28.9498, 28.9498) * CHOOSE(CONTROL!$C$21, $C$9, 100%, $E$9)</f>
        <v>28.9498</v>
      </c>
      <c r="N855" s="10">
        <f>CHOOSE(CONTROL!$C$42, 28.9679, 28.9679) * CHOOSE(CONTROL!$C$21, $C$9, 100%, $E$9)</f>
        <v>28.9679</v>
      </c>
      <c r="O855" s="10">
        <f>CHOOSE(CONTROL!$C$42, 29.0394, 29.0394) * CHOOSE(CONTROL!$C$21, $C$9, 100%, $E$9)</f>
        <v>29.039400000000001</v>
      </c>
      <c r="P855" s="10">
        <f>CHOOSE(CONTROL!$C$42, 28.9846, 28.9846) * CHOOSE(CONTROL!$C$21, $C$9, 100%, $E$9)</f>
        <v>28.9846</v>
      </c>
      <c r="Q855" s="10">
        <f>CHOOSE(CONTROL!$C$42, 29.6347, 29.6347) * CHOOSE(CONTROL!$C$21, $C$9, 100%, $E$9)</f>
        <v>29.634699999999999</v>
      </c>
      <c r="R855" s="10">
        <f>CHOOSE(CONTROL!$C$42, 30.2958, 30.2958) * CHOOSE(CONTROL!$C$21, $C$9, 100%, $E$9)</f>
        <v>30.2958</v>
      </c>
      <c r="S855" s="10">
        <f>CHOOSE(CONTROL!$C$42, 28.4111, 28.4111) * CHOOSE(CONTROL!$C$21, $C$9, 100%, $E$9)</f>
        <v>28.411100000000001</v>
      </c>
      <c r="T85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38">
        <f>(1000*CHOOSE(CONTROL!$C$42, 695, 695)*CHOOSE(CONTROL!$C$42, 0.5599, 0.5599)*CHOOSE(CONTROL!$C$42, 31, 31))/1000000</f>
        <v>12.063045499999998</v>
      </c>
      <c r="V855" s="38">
        <f>(1000*CHOOSE(CONTROL!$C$42, 500, 500)*CHOOSE(CONTROL!$C$42, 0.275, 0.275)*CHOOSE(CONTROL!$C$42, 31, 31))/1000000</f>
        <v>4.2625000000000002</v>
      </c>
      <c r="W855" s="38">
        <f>(1000*CHOOSE(CONTROL!$C$42, 0.1146, 0.1146)*CHOOSE(CONTROL!$C$42, 121.5, 121.5)*CHOOSE(CONTROL!$C$42, 31, 31))/1000000</f>
        <v>0.43164089999999994</v>
      </c>
      <c r="X855" s="38">
        <f>(31*0.1790888*100000/1000000)+(31*0.2374*100000/1000000)</f>
        <v>1.2911152800000001</v>
      </c>
      <c r="Y855" s="38">
        <f>(1000*600*CHOOSE(CONTROL!$C$42, 1.0585, 1.0585)*CHOOSE(CONTROL!$C$42, 31, 31))/1000000</f>
        <v>19.688099999999999</v>
      </c>
      <c r="Z855" s="38"/>
      <c r="AA855" s="10"/>
      <c r="AB855" s="39"/>
      <c r="AC855" s="33">
        <f>(B855*122.58+C855*297.941+D855*89.177+E855*40.302+F855*40+G855*160+H855*0+I855*100+J855*300)/(122.58+297.941+89.177+40.302+0+40+160+100+300)</f>
        <v>29.323328534434783</v>
      </c>
      <c r="AD855" s="27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28.996458992805753</v>
      </c>
    </row>
    <row r="856" spans="1:30" ht="15.75" x14ac:dyDescent="0.25">
      <c r="A856" s="13">
        <v>67327</v>
      </c>
      <c r="B856" s="10">
        <f>CHOOSE(CONTROL!$C$42, 29.2369, 29.2369) * CHOOSE(CONTROL!$C$21, $C$9, 100%, $E$9)</f>
        <v>29.236899999999999</v>
      </c>
      <c r="C856" s="10">
        <f>CHOOSE(CONTROL!$C$42, 29.2415, 29.2415) * CHOOSE(CONTROL!$C$21, $C$9, 100%, $E$9)</f>
        <v>29.241499999999998</v>
      </c>
      <c r="D856" s="10">
        <f>CHOOSE(CONTROL!$C$42, 29.4197, 29.4197) * CHOOSE(CONTROL!$C$21, $C$9, 100%, $E$9)</f>
        <v>29.419699999999999</v>
      </c>
      <c r="E856" s="10">
        <f>CHOOSE(CONTROL!$C$42, 29.4515, 29.4515) * CHOOSE(CONTROL!$C$21, $C$9, 100%, $E$9)</f>
        <v>29.451499999999999</v>
      </c>
      <c r="F856" s="10">
        <f>CHOOSE(CONTROL!$C$42, 29.1804, 29.1804)*CHOOSE(CONTROL!$C$21, $C$9, 100%, $E$9)</f>
        <v>29.180399999999999</v>
      </c>
      <c r="G856" s="10">
        <f>CHOOSE(CONTROL!$C$42, 29.197, 29.197)*CHOOSE(CONTROL!$C$21, $C$9, 100%, $E$9)</f>
        <v>29.196999999999999</v>
      </c>
      <c r="H856" s="10">
        <f>CHOOSE(CONTROL!$C$42, 29.441, 29.441) * CHOOSE(CONTROL!$C$21, $C$9, 100%, $E$9)</f>
        <v>29.440999999999999</v>
      </c>
      <c r="I856" s="10">
        <f>CHOOSE(CONTROL!$C$42, 29.2129, 29.2129)* CHOOSE(CONTROL!$C$21, $C$9, 100%, $E$9)</f>
        <v>29.212900000000001</v>
      </c>
      <c r="J856" s="10">
        <f>CHOOSE(CONTROL!$C$42, 29.173, 29.173)* CHOOSE(CONTROL!$C$21, $C$9, 100%, $E$9)</f>
        <v>29.172999999999998</v>
      </c>
      <c r="K856" s="10">
        <f>CHOOSE(CONTROL!$C$42, 28.4585, 28.4585) * CHOOSE(CONTROL!$C$21, $C$9, 100%, $E$9)</f>
        <v>28.458500000000001</v>
      </c>
      <c r="L856" s="10">
        <f>CHOOSE(CONTROL!$C$42, 30.028, 30.028) * CHOOSE(CONTROL!$C$21, $C$9, 100%, $E$9)</f>
        <v>30.027999999999999</v>
      </c>
      <c r="M856" s="10">
        <f>CHOOSE(CONTROL!$C$42, 28.8284, 28.8284) * CHOOSE(CONTROL!$C$21, $C$9, 100%, $E$9)</f>
        <v>28.828399999999998</v>
      </c>
      <c r="N856" s="10">
        <f>CHOOSE(CONTROL!$C$42, 28.8447, 28.8447) * CHOOSE(CONTROL!$C$21, $C$9, 100%, $E$9)</f>
        <v>28.8447</v>
      </c>
      <c r="O856" s="10">
        <f>CHOOSE(CONTROL!$C$42, 29.0929, 29.0929) * CHOOSE(CONTROL!$C$21, $C$9, 100%, $E$9)</f>
        <v>29.0929</v>
      </c>
      <c r="P856" s="10">
        <f>CHOOSE(CONTROL!$C$42, 28.8679, 28.8679) * CHOOSE(CONTROL!$C$21, $C$9, 100%, $E$9)</f>
        <v>28.867899999999999</v>
      </c>
      <c r="Q856" s="10">
        <f>CHOOSE(CONTROL!$C$42, 29.6882, 29.6882) * CHOOSE(CONTROL!$C$21, $C$9, 100%, $E$9)</f>
        <v>29.688199999999998</v>
      </c>
      <c r="R856" s="10">
        <f>CHOOSE(CONTROL!$C$42, 30.3494, 30.3494) * CHOOSE(CONTROL!$C$21, $C$9, 100%, $E$9)</f>
        <v>30.349399999999999</v>
      </c>
      <c r="S856" s="10">
        <f>CHOOSE(CONTROL!$C$42, 28.326, 28.326) * CHOOSE(CONTROL!$C$21, $C$9, 100%, $E$9)</f>
        <v>28.326000000000001</v>
      </c>
      <c r="T85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38">
        <f>(1000*CHOOSE(CONTROL!$C$42, 695, 695)*CHOOSE(CONTROL!$C$42, 0.5599, 0.5599)*CHOOSE(CONTROL!$C$42, 30, 30))/1000000</f>
        <v>11.673914999999997</v>
      </c>
      <c r="V856" s="38">
        <f>(1000*CHOOSE(CONTROL!$C$42, 500, 500)*CHOOSE(CONTROL!$C$42, 0.275, 0.275)*CHOOSE(CONTROL!$C$42, 30, 30))/1000000</f>
        <v>4.125</v>
      </c>
      <c r="W856" s="38">
        <f>(1000*CHOOSE(CONTROL!$C$42, 0.1146, 0.1146)*CHOOSE(CONTROL!$C$42, 121.5, 121.5)*CHOOSE(CONTROL!$C$42, 30, 30))/1000000</f>
        <v>0.417717</v>
      </c>
      <c r="X856" s="38">
        <f>(30*0.1790888*245000/1000000)+(30*0.2374*100000/1000000)</f>
        <v>2.0285026799999999</v>
      </c>
      <c r="Y856" s="38">
        <f>(1000*600*CHOOSE(CONTROL!$C$42, 1.0585, 1.0585)*CHOOSE(CONTROL!$C$42, 30, 30))/1000000</f>
        <v>19.053000000000001</v>
      </c>
      <c r="Z856" s="38"/>
      <c r="AA856" s="10"/>
      <c r="AB856" s="39"/>
      <c r="AC856" s="33">
        <f>(B856*141.293+C856*267.993+D856*115.016+E856*89.698+F856*40+G856*185+H856*0+I856*100+J856*300)/(141.293+267.993+115.016+89.698+0+40+185+100+300)</f>
        <v>29.245209429701369</v>
      </c>
      <c r="AD856" s="27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28.954902877697844</v>
      </c>
    </row>
    <row r="857" spans="1:30" ht="15.75" x14ac:dyDescent="0.25">
      <c r="A857" s="13">
        <v>67358</v>
      </c>
      <c r="B857" s="10">
        <f>CHOOSE(CONTROL!$C$42, 29.4969, 29.4969) * CHOOSE(CONTROL!$C$21, $C$9, 100%, $E$9)</f>
        <v>29.4969</v>
      </c>
      <c r="C857" s="10">
        <f>CHOOSE(CONTROL!$C$42, 29.5049, 29.5049) * CHOOSE(CONTROL!$C$21, $C$9, 100%, $E$9)</f>
        <v>29.504899999999999</v>
      </c>
      <c r="D857" s="10">
        <f>CHOOSE(CONTROL!$C$42, 29.68, 29.68) * CHOOSE(CONTROL!$C$21, $C$9, 100%, $E$9)</f>
        <v>29.68</v>
      </c>
      <c r="E857" s="10">
        <f>CHOOSE(CONTROL!$C$42, 29.7112, 29.7112) * CHOOSE(CONTROL!$C$21, $C$9, 100%, $E$9)</f>
        <v>29.711200000000002</v>
      </c>
      <c r="F857" s="10">
        <f>CHOOSE(CONTROL!$C$42, 29.4386, 29.4386)*CHOOSE(CONTROL!$C$21, $C$9, 100%, $E$9)</f>
        <v>29.438600000000001</v>
      </c>
      <c r="G857" s="10">
        <f>CHOOSE(CONTROL!$C$42, 29.4554, 29.4554)*CHOOSE(CONTROL!$C$21, $C$9, 100%, $E$9)</f>
        <v>29.455400000000001</v>
      </c>
      <c r="H857" s="10">
        <f>CHOOSE(CONTROL!$C$42, 29.6995, 29.6995) * CHOOSE(CONTROL!$C$21, $C$9, 100%, $E$9)</f>
        <v>29.6995</v>
      </c>
      <c r="I857" s="10">
        <f>CHOOSE(CONTROL!$C$42, 29.4715, 29.4715)* CHOOSE(CONTROL!$C$21, $C$9, 100%, $E$9)</f>
        <v>29.471499999999999</v>
      </c>
      <c r="J857" s="10">
        <f>CHOOSE(CONTROL!$C$42, 29.4312, 29.4312)* CHOOSE(CONTROL!$C$21, $C$9, 100%, $E$9)</f>
        <v>29.4312</v>
      </c>
      <c r="K857" s="10">
        <f>CHOOSE(CONTROL!$C$42, 28.7082, 28.7082) * CHOOSE(CONTROL!$C$21, $C$9, 100%, $E$9)</f>
        <v>28.708200000000001</v>
      </c>
      <c r="L857" s="10">
        <f>CHOOSE(CONTROL!$C$42, 30.2865, 30.2865) * CHOOSE(CONTROL!$C$21, $C$9, 100%, $E$9)</f>
        <v>30.2865</v>
      </c>
      <c r="M857" s="10">
        <f>CHOOSE(CONTROL!$C$42, 29.0832, 29.0832) * CHOOSE(CONTROL!$C$21, $C$9, 100%, $E$9)</f>
        <v>29.083200000000001</v>
      </c>
      <c r="N857" s="10">
        <f>CHOOSE(CONTROL!$C$42, 29.0999, 29.0999) * CHOOSE(CONTROL!$C$21, $C$9, 100%, $E$9)</f>
        <v>29.099900000000002</v>
      </c>
      <c r="O857" s="10">
        <f>CHOOSE(CONTROL!$C$42, 29.3481, 29.3481) * CHOOSE(CONTROL!$C$21, $C$9, 100%, $E$9)</f>
        <v>29.348099999999999</v>
      </c>
      <c r="P857" s="10">
        <f>CHOOSE(CONTROL!$C$42, 29.1231, 29.1231) * CHOOSE(CONTROL!$C$21, $C$9, 100%, $E$9)</f>
        <v>29.123100000000001</v>
      </c>
      <c r="Q857" s="10">
        <f>CHOOSE(CONTROL!$C$42, 29.9434, 29.9434) * CHOOSE(CONTROL!$C$21, $C$9, 100%, $E$9)</f>
        <v>29.9434</v>
      </c>
      <c r="R857" s="10">
        <f>CHOOSE(CONTROL!$C$42, 30.6053, 30.6053) * CHOOSE(CONTROL!$C$21, $C$9, 100%, $E$9)</f>
        <v>30.6053</v>
      </c>
      <c r="S857" s="10">
        <f>CHOOSE(CONTROL!$C$42, 28.5764, 28.5764) * CHOOSE(CONTROL!$C$21, $C$9, 100%, $E$9)</f>
        <v>28.5764</v>
      </c>
      <c r="T85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38">
        <f>(1000*CHOOSE(CONTROL!$C$42, 695, 695)*CHOOSE(CONTROL!$C$42, 0.5599, 0.5599)*CHOOSE(CONTROL!$C$42, 31, 31))/1000000</f>
        <v>12.063045499999998</v>
      </c>
      <c r="V857" s="38">
        <f>(1000*CHOOSE(CONTROL!$C$42, 500, 500)*CHOOSE(CONTROL!$C$42, 0.275, 0.275)*CHOOSE(CONTROL!$C$42, 31, 31))/1000000</f>
        <v>4.2625000000000002</v>
      </c>
      <c r="W857" s="38">
        <f>(1000*CHOOSE(CONTROL!$C$42, 0.1146, 0.1146)*CHOOSE(CONTROL!$C$42, 121.5, 121.5)*CHOOSE(CONTROL!$C$42, 31, 31))/1000000</f>
        <v>0.43164089999999994</v>
      </c>
      <c r="X857" s="38">
        <f>(31*0.1790888*245000/1000000)+(31*0.2374*100000/1000000)</f>
        <v>2.0961194359999999</v>
      </c>
      <c r="Y857" s="38">
        <f>(1000*600*CHOOSE(CONTROL!$C$42, 1.0585, 1.0585)*CHOOSE(CONTROL!$C$42, 31, 31))/1000000</f>
        <v>19.688099999999999</v>
      </c>
      <c r="Z857" s="38"/>
      <c r="AA857" s="10"/>
      <c r="AB857" s="39"/>
      <c r="AC857" s="33">
        <f>(B857*194.205+C857*267.466+D857*133.845+E857*53.484+F857*40+G857*185+H857*0+I857*100+J857*300)/(194.205+267.466+133.845+53.484+0+40+185+100+300)</f>
        <v>29.50149094874412</v>
      </c>
      <c r="AD857" s="27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29.20996474820144</v>
      </c>
    </row>
    <row r="858" spans="1:30" ht="15.75" x14ac:dyDescent="0.25">
      <c r="A858" s="13">
        <v>67388</v>
      </c>
      <c r="B858" s="10">
        <f>CHOOSE(CONTROL!$C$42, 30.334, 30.334) * CHOOSE(CONTROL!$C$21, $C$9, 100%, $E$9)</f>
        <v>30.334</v>
      </c>
      <c r="C858" s="10">
        <f>CHOOSE(CONTROL!$C$42, 30.342, 30.342) * CHOOSE(CONTROL!$C$21, $C$9, 100%, $E$9)</f>
        <v>30.341999999999999</v>
      </c>
      <c r="D858" s="10">
        <f>CHOOSE(CONTROL!$C$42, 30.5171, 30.5171) * CHOOSE(CONTROL!$C$21, $C$9, 100%, $E$9)</f>
        <v>30.517099999999999</v>
      </c>
      <c r="E858" s="10">
        <f>CHOOSE(CONTROL!$C$42, 30.5483, 30.5483) * CHOOSE(CONTROL!$C$21, $C$9, 100%, $E$9)</f>
        <v>30.548300000000001</v>
      </c>
      <c r="F858" s="10">
        <f>CHOOSE(CONTROL!$C$42, 30.2759, 30.2759)*CHOOSE(CONTROL!$C$21, $C$9, 100%, $E$9)</f>
        <v>30.2759</v>
      </c>
      <c r="G858" s="10">
        <f>CHOOSE(CONTROL!$C$42, 30.2928, 30.2928)*CHOOSE(CONTROL!$C$21, $C$9, 100%, $E$9)</f>
        <v>30.2928</v>
      </c>
      <c r="H858" s="10">
        <f>CHOOSE(CONTROL!$C$42, 30.5367, 30.5367) * CHOOSE(CONTROL!$C$21, $C$9, 100%, $E$9)</f>
        <v>30.5367</v>
      </c>
      <c r="I858" s="10">
        <f>CHOOSE(CONTROL!$C$42, 30.3086, 30.3086)* CHOOSE(CONTROL!$C$21, $C$9, 100%, $E$9)</f>
        <v>30.308599999999998</v>
      </c>
      <c r="J858" s="10">
        <f>CHOOSE(CONTROL!$C$42, 30.2685, 30.2685)* CHOOSE(CONTROL!$C$21, $C$9, 100%, $E$9)</f>
        <v>30.2685</v>
      </c>
      <c r="K858" s="10">
        <f>CHOOSE(CONTROL!$C$42, 29.5195, 29.5195) * CHOOSE(CONTROL!$C$21, $C$9, 100%, $E$9)</f>
        <v>29.519500000000001</v>
      </c>
      <c r="L858" s="10">
        <f>CHOOSE(CONTROL!$C$42, 31.1237, 31.1237) * CHOOSE(CONTROL!$C$21, $C$9, 100%, $E$9)</f>
        <v>31.123699999999999</v>
      </c>
      <c r="M858" s="10">
        <f>CHOOSE(CONTROL!$C$42, 29.9097, 29.9097) * CHOOSE(CONTROL!$C$21, $C$9, 100%, $E$9)</f>
        <v>29.909700000000001</v>
      </c>
      <c r="N858" s="10">
        <f>CHOOSE(CONTROL!$C$42, 29.9264, 29.9264) * CHOOSE(CONTROL!$C$21, $C$9, 100%, $E$9)</f>
        <v>29.926400000000001</v>
      </c>
      <c r="O858" s="10">
        <f>CHOOSE(CONTROL!$C$42, 30.1744, 30.1744) * CHOOSE(CONTROL!$C$21, $C$9, 100%, $E$9)</f>
        <v>30.174399999999999</v>
      </c>
      <c r="P858" s="10">
        <f>CHOOSE(CONTROL!$C$42, 29.9494, 29.9494) * CHOOSE(CONTROL!$C$21, $C$9, 100%, $E$9)</f>
        <v>29.949400000000001</v>
      </c>
      <c r="Q858" s="10">
        <f>CHOOSE(CONTROL!$C$42, 30.7697, 30.7697) * CHOOSE(CONTROL!$C$21, $C$9, 100%, $E$9)</f>
        <v>30.7697</v>
      </c>
      <c r="R858" s="10">
        <f>CHOOSE(CONTROL!$C$42, 31.4336, 31.4336) * CHOOSE(CONTROL!$C$21, $C$9, 100%, $E$9)</f>
        <v>31.433599999999998</v>
      </c>
      <c r="S858" s="10">
        <f>CHOOSE(CONTROL!$C$42, 29.387, 29.387) * CHOOSE(CONTROL!$C$21, $C$9, 100%, $E$9)</f>
        <v>29.387</v>
      </c>
      <c r="T85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38">
        <f>(1000*CHOOSE(CONTROL!$C$42, 695, 695)*CHOOSE(CONTROL!$C$42, 0.5599, 0.5599)*CHOOSE(CONTROL!$C$42, 30, 30))/1000000</f>
        <v>11.673914999999997</v>
      </c>
      <c r="V858" s="38">
        <f>(1000*CHOOSE(CONTROL!$C$42, 500, 500)*CHOOSE(CONTROL!$C$42, 0.275, 0.275)*CHOOSE(CONTROL!$C$42, 30, 30))/1000000</f>
        <v>4.125</v>
      </c>
      <c r="W858" s="38">
        <f>(1000*CHOOSE(CONTROL!$C$42, 0.1146, 0.1146)*CHOOSE(CONTROL!$C$42, 121.5, 121.5)*CHOOSE(CONTROL!$C$42, 30, 30))/1000000</f>
        <v>0.417717</v>
      </c>
      <c r="X858" s="38">
        <f>(30*0.1790888*245000/1000000)+(30*0.2374*100000/1000000)</f>
        <v>2.0285026799999999</v>
      </c>
      <c r="Y858" s="38">
        <f>(1000*600*CHOOSE(CONTROL!$C$42, 1.0585, 1.0585)*CHOOSE(CONTROL!$C$42, 30, 30))/1000000</f>
        <v>19.053000000000001</v>
      </c>
      <c r="Z858" s="38"/>
      <c r="AA858" s="10"/>
      <c r="AB858" s="39"/>
      <c r="AC858" s="33">
        <f>(B858*194.205+C858*267.466+D858*133.845+E858*53.484+F858*40+G858*185+H858*0+I858*100+J858*300)/(194.205+267.466+133.845+53.484+0+40+185+100+300)</f>
        <v>30.338687887519619</v>
      </c>
      <c r="AD858" s="27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30.036345323741006</v>
      </c>
    </row>
    <row r="859" spans="1:30" ht="15.75" x14ac:dyDescent="0.25">
      <c r="A859" s="13">
        <v>67419</v>
      </c>
      <c r="B859" s="10">
        <f>CHOOSE(CONTROL!$C$42, 29.7518, 29.7518) * CHOOSE(CONTROL!$C$21, $C$9, 100%, $E$9)</f>
        <v>29.751799999999999</v>
      </c>
      <c r="C859" s="10">
        <f>CHOOSE(CONTROL!$C$42, 29.7598, 29.7598) * CHOOSE(CONTROL!$C$21, $C$9, 100%, $E$9)</f>
        <v>29.759799999999998</v>
      </c>
      <c r="D859" s="10">
        <f>CHOOSE(CONTROL!$C$42, 29.9349, 29.9349) * CHOOSE(CONTROL!$C$21, $C$9, 100%, $E$9)</f>
        <v>29.934899999999999</v>
      </c>
      <c r="E859" s="10">
        <f>CHOOSE(CONTROL!$C$42, 29.9661, 29.9661) * CHOOSE(CONTROL!$C$21, $C$9, 100%, $E$9)</f>
        <v>29.966100000000001</v>
      </c>
      <c r="F859" s="10">
        <f>CHOOSE(CONTROL!$C$42, 29.694, 29.694)*CHOOSE(CONTROL!$C$21, $C$9, 100%, $E$9)</f>
        <v>29.693999999999999</v>
      </c>
      <c r="G859" s="10">
        <f>CHOOSE(CONTROL!$C$42, 29.711, 29.711)*CHOOSE(CONTROL!$C$21, $C$9, 100%, $E$9)</f>
        <v>29.710999999999999</v>
      </c>
      <c r="H859" s="10">
        <f>CHOOSE(CONTROL!$C$42, 29.9544, 29.9544) * CHOOSE(CONTROL!$C$21, $C$9, 100%, $E$9)</f>
        <v>29.9544</v>
      </c>
      <c r="I859" s="10">
        <f>CHOOSE(CONTROL!$C$42, 29.7264, 29.7264)* CHOOSE(CONTROL!$C$21, $C$9, 100%, $E$9)</f>
        <v>29.726400000000002</v>
      </c>
      <c r="J859" s="10">
        <f>CHOOSE(CONTROL!$C$42, 29.6866, 29.6866)* CHOOSE(CONTROL!$C$21, $C$9, 100%, $E$9)</f>
        <v>29.686599999999999</v>
      </c>
      <c r="K859" s="10">
        <f>CHOOSE(CONTROL!$C$42, 28.9562, 28.9562) * CHOOSE(CONTROL!$C$21, $C$9, 100%, $E$9)</f>
        <v>28.956199999999999</v>
      </c>
      <c r="L859" s="10">
        <f>CHOOSE(CONTROL!$C$42, 30.5414, 30.5414) * CHOOSE(CONTROL!$C$21, $C$9, 100%, $E$9)</f>
        <v>30.541399999999999</v>
      </c>
      <c r="M859" s="10">
        <f>CHOOSE(CONTROL!$C$42, 29.3353, 29.3353) * CHOOSE(CONTROL!$C$21, $C$9, 100%, $E$9)</f>
        <v>29.3353</v>
      </c>
      <c r="N859" s="10">
        <f>CHOOSE(CONTROL!$C$42, 29.3521, 29.3521) * CHOOSE(CONTROL!$C$21, $C$9, 100%, $E$9)</f>
        <v>29.3521</v>
      </c>
      <c r="O859" s="10">
        <f>CHOOSE(CONTROL!$C$42, 29.5997, 29.5997) * CHOOSE(CONTROL!$C$21, $C$9, 100%, $E$9)</f>
        <v>29.599699999999999</v>
      </c>
      <c r="P859" s="10">
        <f>CHOOSE(CONTROL!$C$42, 29.3747, 29.3747) * CHOOSE(CONTROL!$C$21, $C$9, 100%, $E$9)</f>
        <v>29.374700000000001</v>
      </c>
      <c r="Q859" s="10">
        <f>CHOOSE(CONTROL!$C$42, 30.195, 30.195) * CHOOSE(CONTROL!$C$21, $C$9, 100%, $E$9)</f>
        <v>30.195</v>
      </c>
      <c r="R859" s="10">
        <f>CHOOSE(CONTROL!$C$42, 30.8575, 30.8575) * CHOOSE(CONTROL!$C$21, $C$9, 100%, $E$9)</f>
        <v>30.857500000000002</v>
      </c>
      <c r="S859" s="10">
        <f>CHOOSE(CONTROL!$C$42, 28.8232, 28.8232) * CHOOSE(CONTROL!$C$21, $C$9, 100%, $E$9)</f>
        <v>28.8232</v>
      </c>
      <c r="T85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38">
        <f>(1000*CHOOSE(CONTROL!$C$42, 695, 695)*CHOOSE(CONTROL!$C$42, 0.5599, 0.5599)*CHOOSE(CONTROL!$C$42, 31, 31))/1000000</f>
        <v>12.063045499999998</v>
      </c>
      <c r="V859" s="38">
        <f>(1000*CHOOSE(CONTROL!$C$42, 500, 500)*CHOOSE(CONTROL!$C$42, 0.275, 0.275)*CHOOSE(CONTROL!$C$42, 31, 31))/1000000</f>
        <v>4.2625000000000002</v>
      </c>
      <c r="W859" s="38">
        <f>(1000*CHOOSE(CONTROL!$C$42, 0.1146, 0.1146)*CHOOSE(CONTROL!$C$42, 121.5, 121.5)*CHOOSE(CONTROL!$C$42, 31, 31))/1000000</f>
        <v>0.43164089999999994</v>
      </c>
      <c r="X859" s="38">
        <f>(31*0.1790888*245000/1000000)+(31*0.2374*100000/1000000)</f>
        <v>2.0961194359999999</v>
      </c>
      <c r="Y859" s="38">
        <f>(1000*600*CHOOSE(CONTROL!$C$42, 1.0585, 1.0585)*CHOOSE(CONTROL!$C$42, 31, 31))/1000000</f>
        <v>19.688099999999999</v>
      </c>
      <c r="Z859" s="38"/>
      <c r="AA859" s="10"/>
      <c r="AB859" s="39"/>
      <c r="AC859" s="33">
        <f>(B859*194.205+C859*267.466+D859*133.845+E859*53.484+F859*40+G859*185+H859*0+I859*100+J859*300)/(194.205+267.466+133.845+53.484+0+40+185+100+300)</f>
        <v>29.756626035086342</v>
      </c>
      <c r="AD859" s="27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29.461771942446042</v>
      </c>
    </row>
    <row r="860" spans="1:30" ht="15.75" x14ac:dyDescent="0.25">
      <c r="A860" s="13">
        <v>67450</v>
      </c>
      <c r="B860" s="10">
        <f>CHOOSE(CONTROL!$C$42, 28.2815, 28.2815) * CHOOSE(CONTROL!$C$21, $C$9, 100%, $E$9)</f>
        <v>28.281500000000001</v>
      </c>
      <c r="C860" s="10">
        <f>CHOOSE(CONTROL!$C$42, 28.2895, 28.2895) * CHOOSE(CONTROL!$C$21, $C$9, 100%, $E$9)</f>
        <v>28.2895</v>
      </c>
      <c r="D860" s="10">
        <f>CHOOSE(CONTROL!$C$42, 28.4646, 28.4646) * CHOOSE(CONTROL!$C$21, $C$9, 100%, $E$9)</f>
        <v>28.464600000000001</v>
      </c>
      <c r="E860" s="10">
        <f>CHOOSE(CONTROL!$C$42, 28.4958, 28.4958) * CHOOSE(CONTROL!$C$21, $C$9, 100%, $E$9)</f>
        <v>28.495799999999999</v>
      </c>
      <c r="F860" s="10">
        <f>CHOOSE(CONTROL!$C$42, 28.2236, 28.2236)*CHOOSE(CONTROL!$C$21, $C$9, 100%, $E$9)</f>
        <v>28.223600000000001</v>
      </c>
      <c r="G860" s="10">
        <f>CHOOSE(CONTROL!$C$42, 28.2406, 28.2406)*CHOOSE(CONTROL!$C$21, $C$9, 100%, $E$9)</f>
        <v>28.240600000000001</v>
      </c>
      <c r="H860" s="10">
        <f>CHOOSE(CONTROL!$C$42, 28.4841, 28.4841) * CHOOSE(CONTROL!$C$21, $C$9, 100%, $E$9)</f>
        <v>28.484100000000002</v>
      </c>
      <c r="I860" s="10">
        <f>CHOOSE(CONTROL!$C$42, 28.2561, 28.2561)* CHOOSE(CONTROL!$C$21, $C$9, 100%, $E$9)</f>
        <v>28.2561</v>
      </c>
      <c r="J860" s="10">
        <f>CHOOSE(CONTROL!$C$42, 28.2162, 28.2162)* CHOOSE(CONTROL!$C$21, $C$9, 100%, $E$9)</f>
        <v>28.216200000000001</v>
      </c>
      <c r="K860" s="10">
        <f>CHOOSE(CONTROL!$C$42, 27.5316, 27.5316) * CHOOSE(CONTROL!$C$21, $C$9, 100%, $E$9)</f>
        <v>27.531600000000001</v>
      </c>
      <c r="L860" s="10">
        <f>CHOOSE(CONTROL!$C$42, 29.0711, 29.0711) * CHOOSE(CONTROL!$C$21, $C$9, 100%, $E$9)</f>
        <v>29.071100000000001</v>
      </c>
      <c r="M860" s="10">
        <f>CHOOSE(CONTROL!$C$42, 27.884, 27.884) * CHOOSE(CONTROL!$C$21, $C$9, 100%, $E$9)</f>
        <v>27.884</v>
      </c>
      <c r="N860" s="10">
        <f>CHOOSE(CONTROL!$C$42, 27.9007, 27.9007) * CHOOSE(CONTROL!$C$21, $C$9, 100%, $E$9)</f>
        <v>27.900700000000001</v>
      </c>
      <c r="O860" s="10">
        <f>CHOOSE(CONTROL!$C$42, 28.1484, 28.1484) * CHOOSE(CONTROL!$C$21, $C$9, 100%, $E$9)</f>
        <v>28.148399999999999</v>
      </c>
      <c r="P860" s="10">
        <f>CHOOSE(CONTROL!$C$42, 27.9234, 27.9234) * CHOOSE(CONTROL!$C$21, $C$9, 100%, $E$9)</f>
        <v>27.923400000000001</v>
      </c>
      <c r="Q860" s="10">
        <f>CHOOSE(CONTROL!$C$42, 28.7437, 28.7437) * CHOOSE(CONTROL!$C$21, $C$9, 100%, $E$9)</f>
        <v>28.7437</v>
      </c>
      <c r="R860" s="10">
        <f>CHOOSE(CONTROL!$C$42, 29.4026, 29.4026) * CHOOSE(CONTROL!$C$21, $C$9, 100%, $E$9)</f>
        <v>29.4026</v>
      </c>
      <c r="S860" s="10">
        <f>CHOOSE(CONTROL!$C$42, 27.3996, 27.3996) * CHOOSE(CONTROL!$C$21, $C$9, 100%, $E$9)</f>
        <v>27.3996</v>
      </c>
      <c r="T86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38">
        <f>(1000*CHOOSE(CONTROL!$C$42, 695, 695)*CHOOSE(CONTROL!$C$42, 0.5599, 0.5599)*CHOOSE(CONTROL!$C$42, 31, 31))/1000000</f>
        <v>12.063045499999998</v>
      </c>
      <c r="V860" s="38">
        <f>(1000*CHOOSE(CONTROL!$C$42, 500, 500)*CHOOSE(CONTROL!$C$42, 0.275, 0.275)*CHOOSE(CONTROL!$C$42, 31, 31))/1000000</f>
        <v>4.2625000000000002</v>
      </c>
      <c r="W860" s="38">
        <f>(1000*CHOOSE(CONTROL!$C$42, 0.1146, 0.1146)*CHOOSE(CONTROL!$C$42, 121.5, 121.5)*CHOOSE(CONTROL!$C$42, 31, 31))/1000000</f>
        <v>0.43164089999999994</v>
      </c>
      <c r="X860" s="38">
        <f>(31*0.1790888*245000/1000000)+(31*0.2374*100000/1000000)</f>
        <v>2.0961194359999999</v>
      </c>
      <c r="Y860" s="38">
        <f>(1000*600*CHOOSE(CONTROL!$C$42, 1.0585, 1.0585)*CHOOSE(CONTROL!$C$42, 31, 31))/1000000</f>
        <v>19.688099999999999</v>
      </c>
      <c r="Z860" s="38"/>
      <c r="AA860" s="10"/>
      <c r="AB860" s="39"/>
      <c r="AC860" s="33">
        <f>(B860*194.205+C860*267.466+D860*133.845+E860*53.484+F860*40+G860*185+H860*0+I860*100+J860*300)/(194.205+267.466+133.845+53.484+0+40+185+100+300)</f>
        <v>28.286284826295137</v>
      </c>
      <c r="AD860" s="27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28.010466187050362</v>
      </c>
    </row>
    <row r="861" spans="1:30" ht="15.75" x14ac:dyDescent="0.25">
      <c r="A861" s="13">
        <v>67480</v>
      </c>
      <c r="B861" s="10">
        <f>CHOOSE(CONTROL!$C$42, 26.4851, 26.4851) * CHOOSE(CONTROL!$C$21, $C$9, 100%, $E$9)</f>
        <v>26.485099999999999</v>
      </c>
      <c r="C861" s="10">
        <f>CHOOSE(CONTROL!$C$42, 26.4931, 26.4931) * CHOOSE(CONTROL!$C$21, $C$9, 100%, $E$9)</f>
        <v>26.493099999999998</v>
      </c>
      <c r="D861" s="10">
        <f>CHOOSE(CONTROL!$C$42, 26.6682, 26.6682) * CHOOSE(CONTROL!$C$21, $C$9, 100%, $E$9)</f>
        <v>26.668199999999999</v>
      </c>
      <c r="E861" s="10">
        <f>CHOOSE(CONTROL!$C$42, 26.6994, 26.6994) * CHOOSE(CONTROL!$C$21, $C$9, 100%, $E$9)</f>
        <v>26.699400000000001</v>
      </c>
      <c r="F861" s="10">
        <f>CHOOSE(CONTROL!$C$42, 26.4269, 26.4269)*CHOOSE(CONTROL!$C$21, $C$9, 100%, $E$9)</f>
        <v>26.4269</v>
      </c>
      <c r="G861" s="10">
        <f>CHOOSE(CONTROL!$C$42, 26.4438, 26.4438)*CHOOSE(CONTROL!$C$21, $C$9, 100%, $E$9)</f>
        <v>26.4438</v>
      </c>
      <c r="H861" s="10">
        <f>CHOOSE(CONTROL!$C$42, 26.6877, 26.6877) * CHOOSE(CONTROL!$C$21, $C$9, 100%, $E$9)</f>
        <v>26.6877</v>
      </c>
      <c r="I861" s="10">
        <f>CHOOSE(CONTROL!$C$42, 26.4597, 26.4597)* CHOOSE(CONTROL!$C$21, $C$9, 100%, $E$9)</f>
        <v>26.459700000000002</v>
      </c>
      <c r="J861" s="10">
        <f>CHOOSE(CONTROL!$C$42, 26.4195, 26.4195)* CHOOSE(CONTROL!$C$21, $C$9, 100%, $E$9)</f>
        <v>26.419499999999999</v>
      </c>
      <c r="K861" s="10">
        <f>CHOOSE(CONTROL!$C$42, 25.7906, 25.7906) * CHOOSE(CONTROL!$C$21, $C$9, 100%, $E$9)</f>
        <v>25.790600000000001</v>
      </c>
      <c r="L861" s="10">
        <f>CHOOSE(CONTROL!$C$42, 27.2747, 27.2747) * CHOOSE(CONTROL!$C$21, $C$9, 100%, $E$9)</f>
        <v>27.274699999999999</v>
      </c>
      <c r="M861" s="10">
        <f>CHOOSE(CONTROL!$C$42, 26.1105, 26.1105) * CHOOSE(CONTROL!$C$21, $C$9, 100%, $E$9)</f>
        <v>26.110499999999998</v>
      </c>
      <c r="N861" s="10">
        <f>CHOOSE(CONTROL!$C$42, 26.1272, 26.1272) * CHOOSE(CONTROL!$C$21, $C$9, 100%, $E$9)</f>
        <v>26.127199999999998</v>
      </c>
      <c r="O861" s="10">
        <f>CHOOSE(CONTROL!$C$42, 26.3753, 26.3753) * CHOOSE(CONTROL!$C$21, $C$9, 100%, $E$9)</f>
        <v>26.375299999999999</v>
      </c>
      <c r="P861" s="10">
        <f>CHOOSE(CONTROL!$C$42, 26.1503, 26.1503) * CHOOSE(CONTROL!$C$21, $C$9, 100%, $E$9)</f>
        <v>26.150300000000001</v>
      </c>
      <c r="Q861" s="10">
        <f>CHOOSE(CONTROL!$C$42, 26.9706, 26.9706) * CHOOSE(CONTROL!$C$21, $C$9, 100%, $E$9)</f>
        <v>26.970600000000001</v>
      </c>
      <c r="R861" s="10">
        <f>CHOOSE(CONTROL!$C$42, 27.625, 27.625) * CHOOSE(CONTROL!$C$21, $C$9, 100%, $E$9)</f>
        <v>27.625</v>
      </c>
      <c r="S861" s="10">
        <f>CHOOSE(CONTROL!$C$42, 25.6601, 25.6601) * CHOOSE(CONTROL!$C$21, $C$9, 100%, $E$9)</f>
        <v>25.6601</v>
      </c>
      <c r="T86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38">
        <f>(1000*CHOOSE(CONTROL!$C$42, 695, 695)*CHOOSE(CONTROL!$C$42, 0.5599, 0.5599)*CHOOSE(CONTROL!$C$42, 30, 30))/1000000</f>
        <v>11.673914999999997</v>
      </c>
      <c r="V861" s="38">
        <f>(1000*CHOOSE(CONTROL!$C$42, 500, 500)*CHOOSE(CONTROL!$C$42, 0.275, 0.275)*CHOOSE(CONTROL!$C$42, 30, 30))/1000000</f>
        <v>4.125</v>
      </c>
      <c r="W861" s="38">
        <f>(1000*CHOOSE(CONTROL!$C$42, 0.1146, 0.1146)*CHOOSE(CONTROL!$C$42, 121.5, 121.5)*CHOOSE(CONTROL!$C$42, 30, 30))/1000000</f>
        <v>0.417717</v>
      </c>
      <c r="X861" s="38">
        <f>(30*0.1790888*245000/1000000)+(30*0.2374*100000/1000000)</f>
        <v>2.0285026799999999</v>
      </c>
      <c r="Y861" s="38">
        <f>(1000*600*CHOOSE(CONTROL!$C$42, 1.0585, 1.0585)*CHOOSE(CONTROL!$C$42, 30, 30))/1000000</f>
        <v>19.053000000000001</v>
      </c>
      <c r="Z861" s="38"/>
      <c r="AA861" s="10"/>
      <c r="AB861" s="39"/>
      <c r="AC861" s="33">
        <f>(B861*194.205+C861*267.466+D861*133.845+E861*53.484+F861*40+G861*185+H861*0+I861*100+J861*300)/(194.205+267.466+133.845+53.484+0+40+185+100+300)</f>
        <v>26.489746678728412</v>
      </c>
      <c r="AD861" s="27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26.237205035971222</v>
      </c>
    </row>
    <row r="862" spans="1:30" ht="15.75" x14ac:dyDescent="0.25">
      <c r="A862" s="13">
        <v>67511</v>
      </c>
      <c r="B862" s="10">
        <f>CHOOSE(CONTROL!$C$42, 25.9449, 25.9449) * CHOOSE(CONTROL!$C$21, $C$9, 100%, $E$9)</f>
        <v>25.944900000000001</v>
      </c>
      <c r="C862" s="10">
        <f>CHOOSE(CONTROL!$C$42, 25.9503, 25.9503) * CHOOSE(CONTROL!$C$21, $C$9, 100%, $E$9)</f>
        <v>25.950299999999999</v>
      </c>
      <c r="D862" s="10">
        <f>CHOOSE(CONTROL!$C$42, 26.1303, 26.1303) * CHOOSE(CONTROL!$C$21, $C$9, 100%, $E$9)</f>
        <v>26.130299999999998</v>
      </c>
      <c r="E862" s="10">
        <f>CHOOSE(CONTROL!$C$42, 26.1592, 26.1592) * CHOOSE(CONTROL!$C$21, $C$9, 100%, $E$9)</f>
        <v>26.159199999999998</v>
      </c>
      <c r="F862" s="10">
        <f>CHOOSE(CONTROL!$C$42, 25.8887, 25.8887)*CHOOSE(CONTROL!$C$21, $C$9, 100%, $E$9)</f>
        <v>25.8887</v>
      </c>
      <c r="G862" s="10">
        <f>CHOOSE(CONTROL!$C$42, 25.9053, 25.9053)*CHOOSE(CONTROL!$C$21, $C$9, 100%, $E$9)</f>
        <v>25.9053</v>
      </c>
      <c r="H862" s="10">
        <f>CHOOSE(CONTROL!$C$42, 26.1493, 26.1493) * CHOOSE(CONTROL!$C$21, $C$9, 100%, $E$9)</f>
        <v>26.1493</v>
      </c>
      <c r="I862" s="10">
        <f>CHOOSE(CONTROL!$C$42, 25.9213, 25.9213)* CHOOSE(CONTROL!$C$21, $C$9, 100%, $E$9)</f>
        <v>25.921299999999999</v>
      </c>
      <c r="J862" s="10">
        <f>CHOOSE(CONTROL!$C$42, 25.8813, 25.8813)* CHOOSE(CONTROL!$C$21, $C$9, 100%, $E$9)</f>
        <v>25.8813</v>
      </c>
      <c r="K862" s="10">
        <f>CHOOSE(CONTROL!$C$42, 25.2696, 25.2696) * CHOOSE(CONTROL!$C$21, $C$9, 100%, $E$9)</f>
        <v>25.269600000000001</v>
      </c>
      <c r="L862" s="10">
        <f>CHOOSE(CONTROL!$C$42, 26.7363, 26.7363) * CHOOSE(CONTROL!$C$21, $C$9, 100%, $E$9)</f>
        <v>26.7363</v>
      </c>
      <c r="M862" s="10">
        <f>CHOOSE(CONTROL!$C$42, 25.5793, 25.5793) * CHOOSE(CONTROL!$C$21, $C$9, 100%, $E$9)</f>
        <v>25.5793</v>
      </c>
      <c r="N862" s="10">
        <f>CHOOSE(CONTROL!$C$42, 25.5957, 25.5957) * CHOOSE(CONTROL!$C$21, $C$9, 100%, $E$9)</f>
        <v>25.595700000000001</v>
      </c>
      <c r="O862" s="10">
        <f>CHOOSE(CONTROL!$C$42, 25.8438, 25.8438) * CHOOSE(CONTROL!$C$21, $C$9, 100%, $E$9)</f>
        <v>25.843800000000002</v>
      </c>
      <c r="P862" s="10">
        <f>CHOOSE(CONTROL!$C$42, 25.6188, 25.6188) * CHOOSE(CONTROL!$C$21, $C$9, 100%, $E$9)</f>
        <v>25.6188</v>
      </c>
      <c r="Q862" s="10">
        <f>CHOOSE(CONTROL!$C$42, 26.4391, 26.4391) * CHOOSE(CONTROL!$C$21, $C$9, 100%, $E$9)</f>
        <v>26.4391</v>
      </c>
      <c r="R862" s="10">
        <f>CHOOSE(CONTROL!$C$42, 27.0922, 27.0922) * CHOOSE(CONTROL!$C$21, $C$9, 100%, $E$9)</f>
        <v>27.092199999999998</v>
      </c>
      <c r="S862" s="10">
        <f>CHOOSE(CONTROL!$C$42, 25.1387, 25.1387) * CHOOSE(CONTROL!$C$21, $C$9, 100%, $E$9)</f>
        <v>25.1387</v>
      </c>
      <c r="T86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38">
        <f>(1000*CHOOSE(CONTROL!$C$42, 695, 695)*CHOOSE(CONTROL!$C$42, 0.5599, 0.5599)*CHOOSE(CONTROL!$C$42, 31, 31))/1000000</f>
        <v>12.063045499999998</v>
      </c>
      <c r="V862" s="38">
        <f>(1000*CHOOSE(CONTROL!$C$42, 500, 500)*CHOOSE(CONTROL!$C$42, 0.275, 0.275)*CHOOSE(CONTROL!$C$42, 31, 31))/1000000</f>
        <v>4.2625000000000002</v>
      </c>
      <c r="W862" s="38">
        <f>(1000*CHOOSE(CONTROL!$C$42, 0.1146, 0.1146)*CHOOSE(CONTROL!$C$42, 121.5, 121.5)*CHOOSE(CONTROL!$C$42, 31, 31))/1000000</f>
        <v>0.43164089999999994</v>
      </c>
      <c r="X862" s="38">
        <f>(31*0.1790888*245000/1000000)+(31*0.2374*100000/1000000)</f>
        <v>2.0961194359999999</v>
      </c>
      <c r="Y862" s="38">
        <f>(1000*600*CHOOSE(CONTROL!$C$42, 1.0585, 1.0585)*CHOOSE(CONTROL!$C$42, 31, 31))/1000000</f>
        <v>19.688099999999999</v>
      </c>
      <c r="Z862" s="38"/>
      <c r="AA862" s="10"/>
      <c r="AB862" s="39"/>
      <c r="AC862" s="33">
        <f>(B862*131.881+C862*277.167+D862*79.08+E862*125.872+F862*40+G862*185+H862*0+I862*100+J862*300)/(131.881+277.167+79.08+125.872+0+40+185+100+300)</f>
        <v>25.954680874414851</v>
      </c>
      <c r="AD862" s="27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25.705808633093525</v>
      </c>
    </row>
    <row r="863" spans="1:30" ht="15.75" x14ac:dyDescent="0.25">
      <c r="A863" s="13">
        <v>67541</v>
      </c>
      <c r="B863" s="10">
        <f>CHOOSE(CONTROL!$C$42, 26.6284, 26.6284) * CHOOSE(CONTROL!$C$21, $C$9, 100%, $E$9)</f>
        <v>26.628399999999999</v>
      </c>
      <c r="C863" s="10">
        <f>CHOOSE(CONTROL!$C$42, 26.6335, 26.6335) * CHOOSE(CONTROL!$C$21, $C$9, 100%, $E$9)</f>
        <v>26.633500000000002</v>
      </c>
      <c r="D863" s="10">
        <f>CHOOSE(CONTROL!$C$42, 26.6582, 26.6582) * CHOOSE(CONTROL!$C$21, $C$9, 100%, $E$9)</f>
        <v>26.658200000000001</v>
      </c>
      <c r="E863" s="10">
        <f>CHOOSE(CONTROL!$C$42, 26.692, 26.692) * CHOOSE(CONTROL!$C$21, $C$9, 100%, $E$9)</f>
        <v>26.692</v>
      </c>
      <c r="F863" s="10">
        <f>CHOOSE(CONTROL!$C$42, 26.5941, 26.5941)*CHOOSE(CONTROL!$C$21, $C$9, 100%, $E$9)</f>
        <v>26.594100000000001</v>
      </c>
      <c r="G863" s="10">
        <f>CHOOSE(CONTROL!$C$42, 26.6109, 26.6109)*CHOOSE(CONTROL!$C$21, $C$9, 100%, $E$9)</f>
        <v>26.610900000000001</v>
      </c>
      <c r="H863" s="10">
        <f>CHOOSE(CONTROL!$C$42, 26.6809, 26.6809) * CHOOSE(CONTROL!$C$21, $C$9, 100%, $E$9)</f>
        <v>26.680900000000001</v>
      </c>
      <c r="I863" s="10">
        <f>CHOOSE(CONTROL!$C$42, 26.6279, 26.6279)* CHOOSE(CONTROL!$C$21, $C$9, 100%, $E$9)</f>
        <v>26.6279</v>
      </c>
      <c r="J863" s="10">
        <f>CHOOSE(CONTROL!$C$42, 26.5867, 26.5867)* CHOOSE(CONTROL!$C$21, $C$9, 100%, $E$9)</f>
        <v>26.5867</v>
      </c>
      <c r="K863" s="10">
        <f>CHOOSE(CONTROL!$C$42, 25.9559, 25.9559) * CHOOSE(CONTROL!$C$21, $C$9, 100%, $E$9)</f>
        <v>25.9559</v>
      </c>
      <c r="L863" s="10">
        <f>CHOOSE(CONTROL!$C$42, 27.2679, 27.2679) * CHOOSE(CONTROL!$C$21, $C$9, 100%, $E$9)</f>
        <v>27.267900000000001</v>
      </c>
      <c r="M863" s="10">
        <f>CHOOSE(CONTROL!$C$42, 26.2755, 26.2755) * CHOOSE(CONTROL!$C$21, $C$9, 100%, $E$9)</f>
        <v>26.275500000000001</v>
      </c>
      <c r="N863" s="10">
        <f>CHOOSE(CONTROL!$C$42, 26.2921, 26.2921) * CHOOSE(CONTROL!$C$21, $C$9, 100%, $E$9)</f>
        <v>26.292100000000001</v>
      </c>
      <c r="O863" s="10">
        <f>CHOOSE(CONTROL!$C$42, 26.3686, 26.3686) * CHOOSE(CONTROL!$C$21, $C$9, 100%, $E$9)</f>
        <v>26.368600000000001</v>
      </c>
      <c r="P863" s="10">
        <f>CHOOSE(CONTROL!$C$42, 26.3163, 26.3163) * CHOOSE(CONTROL!$C$21, $C$9, 100%, $E$9)</f>
        <v>26.316299999999998</v>
      </c>
      <c r="Q863" s="10">
        <f>CHOOSE(CONTROL!$C$42, 26.9639, 26.9639) * CHOOSE(CONTROL!$C$21, $C$9, 100%, $E$9)</f>
        <v>26.963899999999999</v>
      </c>
      <c r="R863" s="10">
        <f>CHOOSE(CONTROL!$C$42, 27.6183, 27.6183) * CHOOSE(CONTROL!$C$21, $C$9, 100%, $E$9)</f>
        <v>27.618300000000001</v>
      </c>
      <c r="S863" s="10">
        <f>CHOOSE(CONTROL!$C$42, 25.801, 25.801) * CHOOSE(CONTROL!$C$21, $C$9, 100%, $E$9)</f>
        <v>25.800999999999998</v>
      </c>
      <c r="T86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38">
        <f>(1000*CHOOSE(CONTROL!$C$42, 695, 695)*CHOOSE(CONTROL!$C$42, 0.5599, 0.5599)*CHOOSE(CONTROL!$C$42, 30, 30))/1000000</f>
        <v>11.673914999999997</v>
      </c>
      <c r="V863" s="38">
        <f>(1000*CHOOSE(CONTROL!$C$42, 500, 500)*CHOOSE(CONTROL!$C$42, 0.275, 0.275)*CHOOSE(CONTROL!$C$42, 30, 30))/1000000</f>
        <v>4.125</v>
      </c>
      <c r="W863" s="38">
        <f>(1000*CHOOSE(CONTROL!$C$42, 0.1146, 0.1146)*CHOOSE(CONTROL!$C$42, 121.5, 121.5)*CHOOSE(CONTROL!$C$42, 30, 30))/1000000</f>
        <v>0.417717</v>
      </c>
      <c r="X863" s="38">
        <f>(30*0.1790888*100000/1000000)+(30*0.2374*100000/1000000)</f>
        <v>1.2494664</v>
      </c>
      <c r="Y863" s="38">
        <f>(1000*600*CHOOSE(CONTROL!$C$42, 1.0585, 1.0585)*CHOOSE(CONTROL!$C$42, 30, 30))/1000000</f>
        <v>19.053000000000001</v>
      </c>
      <c r="Z863" s="38"/>
      <c r="AA863" s="10"/>
      <c r="AB863" s="39"/>
      <c r="AC863" s="33">
        <f>(B863*122.58+C863*297.941+D863*89.177+E863*40.302+F863*40+G863*160+H863*0+I863*100+J863*300)/(122.58+297.941+89.177+40.302+0+40+160+100+300)</f>
        <v>26.619711461652173</v>
      </c>
      <c r="AD863" s="27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26.324522302158275</v>
      </c>
    </row>
    <row r="864" spans="1:30" ht="15.75" x14ac:dyDescent="0.25">
      <c r="A864" s="13">
        <v>67572</v>
      </c>
      <c r="B864" s="10">
        <f>CHOOSE(CONTROL!$C$42, 28.4451, 28.4451) * CHOOSE(CONTROL!$C$21, $C$9, 100%, $E$9)</f>
        <v>28.4451</v>
      </c>
      <c r="C864" s="10">
        <f>CHOOSE(CONTROL!$C$42, 28.4502, 28.4502) * CHOOSE(CONTROL!$C$21, $C$9, 100%, $E$9)</f>
        <v>28.450199999999999</v>
      </c>
      <c r="D864" s="10">
        <f>CHOOSE(CONTROL!$C$42, 28.4749, 28.4749) * CHOOSE(CONTROL!$C$21, $C$9, 100%, $E$9)</f>
        <v>28.474900000000002</v>
      </c>
      <c r="E864" s="10">
        <f>CHOOSE(CONTROL!$C$42, 28.5087, 28.5087) * CHOOSE(CONTROL!$C$21, $C$9, 100%, $E$9)</f>
        <v>28.508700000000001</v>
      </c>
      <c r="F864" s="10">
        <f>CHOOSE(CONTROL!$C$42, 28.4125, 28.4125)*CHOOSE(CONTROL!$C$21, $C$9, 100%, $E$9)</f>
        <v>28.412500000000001</v>
      </c>
      <c r="G864" s="10">
        <f>CHOOSE(CONTROL!$C$42, 28.4298, 28.4298)*CHOOSE(CONTROL!$C$21, $C$9, 100%, $E$9)</f>
        <v>28.4298</v>
      </c>
      <c r="H864" s="10">
        <f>CHOOSE(CONTROL!$C$42, 28.4975, 28.4975) * CHOOSE(CONTROL!$C$21, $C$9, 100%, $E$9)</f>
        <v>28.497499999999999</v>
      </c>
      <c r="I864" s="10">
        <f>CHOOSE(CONTROL!$C$42, 28.4446, 28.4446)* CHOOSE(CONTROL!$C$21, $C$9, 100%, $E$9)</f>
        <v>28.444600000000001</v>
      </c>
      <c r="J864" s="10">
        <f>CHOOSE(CONTROL!$C$42, 28.4051, 28.4051)* CHOOSE(CONTROL!$C$21, $C$9, 100%, $E$9)</f>
        <v>28.405100000000001</v>
      </c>
      <c r="K864" s="10">
        <f>CHOOSE(CONTROL!$C$42, 27.7197, 27.7197) * CHOOSE(CONTROL!$C$21, $C$9, 100%, $E$9)</f>
        <v>27.7197</v>
      </c>
      <c r="L864" s="10">
        <f>CHOOSE(CONTROL!$C$42, 29.0845, 29.0845) * CHOOSE(CONTROL!$C$21, $C$9, 100%, $E$9)</f>
        <v>29.084499999999998</v>
      </c>
      <c r="M864" s="10">
        <f>CHOOSE(CONTROL!$C$42, 28.0704, 28.0704) * CHOOSE(CONTROL!$C$21, $C$9, 100%, $E$9)</f>
        <v>28.070399999999999</v>
      </c>
      <c r="N864" s="10">
        <f>CHOOSE(CONTROL!$C$42, 28.0875, 28.0875) * CHOOSE(CONTROL!$C$21, $C$9, 100%, $E$9)</f>
        <v>28.087499999999999</v>
      </c>
      <c r="O864" s="10">
        <f>CHOOSE(CONTROL!$C$42, 28.1617, 28.1617) * CHOOSE(CONTROL!$C$21, $C$9, 100%, $E$9)</f>
        <v>28.1617</v>
      </c>
      <c r="P864" s="10">
        <f>CHOOSE(CONTROL!$C$42, 28.1094, 28.1094) * CHOOSE(CONTROL!$C$21, $C$9, 100%, $E$9)</f>
        <v>28.109400000000001</v>
      </c>
      <c r="Q864" s="10">
        <f>CHOOSE(CONTROL!$C$42, 28.757, 28.757) * CHOOSE(CONTROL!$C$21, $C$9, 100%, $E$9)</f>
        <v>28.757000000000001</v>
      </c>
      <c r="R864" s="10">
        <f>CHOOSE(CONTROL!$C$42, 29.4159, 29.4159) * CHOOSE(CONTROL!$C$21, $C$9, 100%, $E$9)</f>
        <v>29.415900000000001</v>
      </c>
      <c r="S864" s="10">
        <f>CHOOSE(CONTROL!$C$42, 27.56, 27.56) * CHOOSE(CONTROL!$C$21, $C$9, 100%, $E$9)</f>
        <v>27.56</v>
      </c>
      <c r="T86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38">
        <f>(1000*CHOOSE(CONTROL!$C$42, 695, 695)*CHOOSE(CONTROL!$C$42, 0.5599, 0.5599)*CHOOSE(CONTROL!$C$42, 31, 31))/1000000</f>
        <v>12.063045499999998</v>
      </c>
      <c r="V864" s="38">
        <f>(1000*CHOOSE(CONTROL!$C$42, 500, 500)*CHOOSE(CONTROL!$C$42, 0.275, 0.275)*CHOOSE(CONTROL!$C$42, 31, 31))/1000000</f>
        <v>4.2625000000000002</v>
      </c>
      <c r="W864" s="38">
        <f>(1000*CHOOSE(CONTROL!$C$42, 0.1146, 0.1146)*CHOOSE(CONTROL!$C$42, 121.5, 121.5)*CHOOSE(CONTROL!$C$42, 31, 31))/1000000</f>
        <v>0.43164089999999994</v>
      </c>
      <c r="X864" s="38">
        <f>(31*0.1790888*100000/1000000)+(31*0.2374*100000/1000000)</f>
        <v>1.2911152800000001</v>
      </c>
      <c r="Y864" s="38">
        <f>(1000*600*CHOOSE(CONTROL!$C$42, 1.0585, 1.0585)*CHOOSE(CONTROL!$C$42, 31, 31))/1000000</f>
        <v>19.688099999999999</v>
      </c>
      <c r="Z864" s="38"/>
      <c r="AA864" s="10"/>
      <c r="AB864" s="39"/>
      <c r="AC864" s="33">
        <f>(B864*122.58+C864*297.941+D864*89.177+E864*40.302+F864*40+G864*160+H864*0+I864*100+J864*300)/(122.58+297.941+89.177+40.302+0+40+160+100+300)</f>
        <v>28.437220157304349</v>
      </c>
      <c r="AD864" s="27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28.118376258992804</v>
      </c>
    </row>
    <row r="865" spans="1:30" ht="15.75" x14ac:dyDescent="0.25">
      <c r="A865" s="13">
        <v>67603</v>
      </c>
      <c r="B865" s="10">
        <f>CHOOSE(CONTROL!$C$42, 30.3661, 30.3661) * CHOOSE(CONTROL!$C$21, $C$9, 100%, $E$9)</f>
        <v>30.366099999999999</v>
      </c>
      <c r="C865" s="10">
        <f>CHOOSE(CONTROL!$C$42, 30.3712, 30.3712) * CHOOSE(CONTROL!$C$21, $C$9, 100%, $E$9)</f>
        <v>30.371200000000002</v>
      </c>
      <c r="D865" s="10">
        <f>CHOOSE(CONTROL!$C$42, 30.4062, 30.4062) * CHOOSE(CONTROL!$C$21, $C$9, 100%, $E$9)</f>
        <v>30.406199999999998</v>
      </c>
      <c r="E865" s="10">
        <f>CHOOSE(CONTROL!$C$42, 30.44, 30.44) * CHOOSE(CONTROL!$C$21, $C$9, 100%, $E$9)</f>
        <v>30.44</v>
      </c>
      <c r="F865" s="10">
        <f>CHOOSE(CONTROL!$C$42, 30.3474, 30.3474)*CHOOSE(CONTROL!$C$21, $C$9, 100%, $E$9)</f>
        <v>30.3474</v>
      </c>
      <c r="G865" s="10">
        <f>CHOOSE(CONTROL!$C$42, 30.3662, 30.3662)*CHOOSE(CONTROL!$C$21, $C$9, 100%, $E$9)</f>
        <v>30.366199999999999</v>
      </c>
      <c r="H865" s="10">
        <f>CHOOSE(CONTROL!$C$42, 30.4289, 30.4289) * CHOOSE(CONTROL!$C$21, $C$9, 100%, $E$9)</f>
        <v>30.428899999999999</v>
      </c>
      <c r="I865" s="10">
        <f>CHOOSE(CONTROL!$C$42, 30.3733, 30.3733)* CHOOSE(CONTROL!$C$21, $C$9, 100%, $E$9)</f>
        <v>30.3733</v>
      </c>
      <c r="J865" s="10">
        <f>CHOOSE(CONTROL!$C$42, 30.34, 30.34)* CHOOSE(CONTROL!$C$21, $C$9, 100%, $E$9)</f>
        <v>30.34</v>
      </c>
      <c r="K865" s="10">
        <f>CHOOSE(CONTROL!$C$42, 29.6015, 29.6015) * CHOOSE(CONTROL!$C$21, $C$9, 100%, $E$9)</f>
        <v>29.601500000000001</v>
      </c>
      <c r="L865" s="10">
        <f>CHOOSE(CONTROL!$C$42, 31.0159, 31.0159) * CHOOSE(CONTROL!$C$21, $C$9, 100%, $E$9)</f>
        <v>31.015899999999998</v>
      </c>
      <c r="M865" s="10">
        <f>CHOOSE(CONTROL!$C$42, 29.9802, 29.9802) * CHOOSE(CONTROL!$C$21, $C$9, 100%, $E$9)</f>
        <v>29.9802</v>
      </c>
      <c r="N865" s="10">
        <f>CHOOSE(CONTROL!$C$42, 29.9989, 29.9989) * CHOOSE(CONTROL!$C$21, $C$9, 100%, $E$9)</f>
        <v>29.998899999999999</v>
      </c>
      <c r="O865" s="10">
        <f>CHOOSE(CONTROL!$C$42, 30.068, 30.068) * CHOOSE(CONTROL!$C$21, $C$9, 100%, $E$9)</f>
        <v>30.068000000000001</v>
      </c>
      <c r="P865" s="10">
        <f>CHOOSE(CONTROL!$C$42, 30.0132, 30.0132) * CHOOSE(CONTROL!$C$21, $C$9, 100%, $E$9)</f>
        <v>30.013200000000001</v>
      </c>
      <c r="Q865" s="10">
        <f>CHOOSE(CONTROL!$C$42, 30.6633, 30.6633) * CHOOSE(CONTROL!$C$21, $C$9, 100%, $E$9)</f>
        <v>30.6633</v>
      </c>
      <c r="R865" s="10">
        <f>CHOOSE(CONTROL!$C$42, 31.3269, 31.3269) * CHOOSE(CONTROL!$C$21, $C$9, 100%, $E$9)</f>
        <v>31.326899999999998</v>
      </c>
      <c r="S865" s="10">
        <f>CHOOSE(CONTROL!$C$42, 29.4201, 29.4201) * CHOOSE(CONTROL!$C$21, $C$9, 100%, $E$9)</f>
        <v>29.420100000000001</v>
      </c>
      <c r="T86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38">
        <f>(1000*CHOOSE(CONTROL!$C$42, 695, 695)*CHOOSE(CONTROL!$C$42, 0.5599, 0.5599)*CHOOSE(CONTROL!$C$42, 31, 31))/1000000</f>
        <v>12.063045499999998</v>
      </c>
      <c r="V865" s="38">
        <f>(1000*CHOOSE(CONTROL!$C$42, 500, 500)*CHOOSE(CONTROL!$C$42, 0.275, 0.275)*CHOOSE(CONTROL!$C$42, 31, 31))/1000000</f>
        <v>4.2625000000000002</v>
      </c>
      <c r="W865" s="38">
        <f>(1000*CHOOSE(CONTROL!$C$42, 0.1146, 0.1146)*CHOOSE(CONTROL!$C$42, 121.5, 121.5)*CHOOSE(CONTROL!$C$42, 31, 31))/1000000</f>
        <v>0.43164089999999994</v>
      </c>
      <c r="X865" s="38">
        <f>(31*0.1790888*100000/1000000)+(31*0.2374*100000/1000000)</f>
        <v>1.2911152800000001</v>
      </c>
      <c r="Y865" s="38">
        <f>(1000*600*CHOOSE(CONTROL!$C$42, 1.0585, 1.0585)*CHOOSE(CONTROL!$C$42, 31, 31))/1000000</f>
        <v>19.688099999999999</v>
      </c>
      <c r="Z865" s="38"/>
      <c r="AA865" s="10"/>
      <c r="AB865" s="39"/>
      <c r="AC865" s="33">
        <f>(B865*122.58+C865*297.941+D865*89.177+E865*40.302+F865*40+G865*160+H865*0+I865*100+J865*300)/(122.58+297.941+89.177+40.302+0+40+160+100+300)</f>
        <v>30.366301577913045</v>
      </c>
      <c r="AD865" s="27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30.02581870503597</v>
      </c>
    </row>
    <row r="866" spans="1:30" ht="15.75" x14ac:dyDescent="0.25">
      <c r="A866" s="13">
        <v>67631</v>
      </c>
      <c r="B866" s="10">
        <f>CHOOSE(CONTROL!$C$42, 30.9069, 30.9069) * CHOOSE(CONTROL!$C$21, $C$9, 100%, $E$9)</f>
        <v>30.9069</v>
      </c>
      <c r="C866" s="10">
        <f>CHOOSE(CONTROL!$C$42, 30.912, 30.912) * CHOOSE(CONTROL!$C$21, $C$9, 100%, $E$9)</f>
        <v>30.911999999999999</v>
      </c>
      <c r="D866" s="10">
        <f>CHOOSE(CONTROL!$C$42, 30.947, 30.947) * CHOOSE(CONTROL!$C$21, $C$9, 100%, $E$9)</f>
        <v>30.946999999999999</v>
      </c>
      <c r="E866" s="10">
        <f>CHOOSE(CONTROL!$C$42, 30.9808, 30.9808) * CHOOSE(CONTROL!$C$21, $C$9, 100%, $E$9)</f>
        <v>30.980799999999999</v>
      </c>
      <c r="F866" s="10">
        <f>CHOOSE(CONTROL!$C$42, 30.8877, 30.8877)*CHOOSE(CONTROL!$C$21, $C$9, 100%, $E$9)</f>
        <v>30.887699999999999</v>
      </c>
      <c r="G866" s="10">
        <f>CHOOSE(CONTROL!$C$42, 30.9064, 30.9064)*CHOOSE(CONTROL!$C$21, $C$9, 100%, $E$9)</f>
        <v>30.906400000000001</v>
      </c>
      <c r="H866" s="10">
        <f>CHOOSE(CONTROL!$C$42, 30.9697, 30.9697) * CHOOSE(CONTROL!$C$21, $C$9, 100%, $E$9)</f>
        <v>30.9697</v>
      </c>
      <c r="I866" s="10">
        <f>CHOOSE(CONTROL!$C$42, 30.9142, 30.9142)* CHOOSE(CONTROL!$C$21, $C$9, 100%, $E$9)</f>
        <v>30.914200000000001</v>
      </c>
      <c r="J866" s="10">
        <f>CHOOSE(CONTROL!$C$42, 30.8803, 30.8803)* CHOOSE(CONTROL!$C$21, $C$9, 100%, $E$9)</f>
        <v>30.880299999999998</v>
      </c>
      <c r="K866" s="10">
        <f>CHOOSE(CONTROL!$C$42, 30.1243, 30.1243) * CHOOSE(CONTROL!$C$21, $C$9, 100%, $E$9)</f>
        <v>30.124300000000002</v>
      </c>
      <c r="L866" s="10">
        <f>CHOOSE(CONTROL!$C$42, 31.5567, 31.5567) * CHOOSE(CONTROL!$C$21, $C$9, 100%, $E$9)</f>
        <v>31.556699999999999</v>
      </c>
      <c r="M866" s="10">
        <f>CHOOSE(CONTROL!$C$42, 30.5136, 30.5136) * CHOOSE(CONTROL!$C$21, $C$9, 100%, $E$9)</f>
        <v>30.5136</v>
      </c>
      <c r="N866" s="10">
        <f>CHOOSE(CONTROL!$C$42, 30.5321, 30.5321) * CHOOSE(CONTROL!$C$21, $C$9, 100%, $E$9)</f>
        <v>30.5321</v>
      </c>
      <c r="O866" s="10">
        <f>CHOOSE(CONTROL!$C$42, 30.6018, 30.6018) * CHOOSE(CONTROL!$C$21, $C$9, 100%, $E$9)</f>
        <v>30.601800000000001</v>
      </c>
      <c r="P866" s="10">
        <f>CHOOSE(CONTROL!$C$42, 30.5471, 30.5471) * CHOOSE(CONTROL!$C$21, $C$9, 100%, $E$9)</f>
        <v>30.5471</v>
      </c>
      <c r="Q866" s="10">
        <f>CHOOSE(CONTROL!$C$42, 31.1971, 31.1971) * CHOOSE(CONTROL!$C$21, $C$9, 100%, $E$9)</f>
        <v>31.197099999999999</v>
      </c>
      <c r="R866" s="10">
        <f>CHOOSE(CONTROL!$C$42, 31.8621, 31.8621) * CHOOSE(CONTROL!$C$21, $C$9, 100%, $E$9)</f>
        <v>31.862100000000002</v>
      </c>
      <c r="S866" s="10">
        <f>CHOOSE(CONTROL!$C$42, 29.9438, 29.9438) * CHOOSE(CONTROL!$C$21, $C$9, 100%, $E$9)</f>
        <v>29.9438</v>
      </c>
      <c r="T86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6" s="38">
        <f>(1000*CHOOSE(CONTROL!$C$42, 695, 695)*CHOOSE(CONTROL!$C$42, 0.5599, 0.5599)*CHOOSE(CONTROL!$C$42, 28, 28))/1000000</f>
        <v>10.895653999999999</v>
      </c>
      <c r="V866" s="38">
        <f>(1000*CHOOSE(CONTROL!$C$42, 500, 500)*CHOOSE(CONTROL!$C$42, 0.275, 0.275)*CHOOSE(CONTROL!$C$42, 28, 28))/1000000</f>
        <v>3.85</v>
      </c>
      <c r="W866" s="38">
        <f>(1000*CHOOSE(CONTROL!$C$42, 0.1146, 0.1146)*CHOOSE(CONTROL!$C$42, 121.5, 121.5)*CHOOSE(CONTROL!$C$42, 28, 28))/1000000</f>
        <v>0.38986920000000003</v>
      </c>
      <c r="X866" s="38">
        <f>(28*0.1790888*100000/1000000)+(28*0.2374*100000/1000000)</f>
        <v>1.16616864</v>
      </c>
      <c r="Y866" s="38">
        <f>(1000*600*CHOOSE(CONTROL!$C$42, 1.0585, 1.0585)*CHOOSE(CONTROL!$C$42, 28, 28))/1000000</f>
        <v>17.782800000000002</v>
      </c>
      <c r="Z866" s="38"/>
      <c r="AA866" s="10"/>
      <c r="AB866" s="39"/>
      <c r="AC866" s="33">
        <f>(B866*122.58+C866*297.941+D866*89.177+E866*40.302+F866*40+G866*160+H866*0+I866*100+J866*300)/(122.58+297.941+89.177+40.302+0+40+160+100+300)</f>
        <v>30.906878969217399</v>
      </c>
      <c r="AD866" s="27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30.559460431654678</v>
      </c>
    </row>
    <row r="867" spans="1:30" ht="15.75" x14ac:dyDescent="0.25">
      <c r="A867" s="13">
        <v>67662</v>
      </c>
      <c r="B867" s="10">
        <f>CHOOSE(CONTROL!$C$42, 30.029, 30.029) * CHOOSE(CONTROL!$C$21, $C$9, 100%, $E$9)</f>
        <v>30.029</v>
      </c>
      <c r="C867" s="10">
        <f>CHOOSE(CONTROL!$C$42, 30.0341, 30.0341) * CHOOSE(CONTROL!$C$21, $C$9, 100%, $E$9)</f>
        <v>30.034099999999999</v>
      </c>
      <c r="D867" s="10">
        <f>CHOOSE(CONTROL!$C$42, 30.0691, 30.0691) * CHOOSE(CONTROL!$C$21, $C$9, 100%, $E$9)</f>
        <v>30.069099999999999</v>
      </c>
      <c r="E867" s="10">
        <f>CHOOSE(CONTROL!$C$42, 30.1029, 30.1029) * CHOOSE(CONTROL!$C$21, $C$9, 100%, $E$9)</f>
        <v>30.102900000000002</v>
      </c>
      <c r="F867" s="10">
        <f>CHOOSE(CONTROL!$C$42, 30.0084, 30.0084)*CHOOSE(CONTROL!$C$21, $C$9, 100%, $E$9)</f>
        <v>30.008400000000002</v>
      </c>
      <c r="G867" s="10">
        <f>CHOOSE(CONTROL!$C$42, 30.0267, 30.0267)*CHOOSE(CONTROL!$C$21, $C$9, 100%, $E$9)</f>
        <v>30.026700000000002</v>
      </c>
      <c r="H867" s="10">
        <f>CHOOSE(CONTROL!$C$42, 30.0918, 30.0918) * CHOOSE(CONTROL!$C$21, $C$9, 100%, $E$9)</f>
        <v>30.091799999999999</v>
      </c>
      <c r="I867" s="10">
        <f>CHOOSE(CONTROL!$C$42, 30.0362, 30.0362)* CHOOSE(CONTROL!$C$21, $C$9, 100%, $E$9)</f>
        <v>30.036200000000001</v>
      </c>
      <c r="J867" s="10">
        <f>CHOOSE(CONTROL!$C$42, 30.001, 30.001)* CHOOSE(CONTROL!$C$21, $C$9, 100%, $E$9)</f>
        <v>30.001000000000001</v>
      </c>
      <c r="K867" s="10">
        <f>CHOOSE(CONTROL!$C$42, 29.2708, 29.2708) * CHOOSE(CONTROL!$C$21, $C$9, 100%, $E$9)</f>
        <v>29.270800000000001</v>
      </c>
      <c r="L867" s="10">
        <f>CHOOSE(CONTROL!$C$42, 30.6788, 30.6788) * CHOOSE(CONTROL!$C$21, $C$9, 100%, $E$9)</f>
        <v>30.678799999999999</v>
      </c>
      <c r="M867" s="10">
        <f>CHOOSE(CONTROL!$C$42, 29.6456, 29.6456) * CHOOSE(CONTROL!$C$21, $C$9, 100%, $E$9)</f>
        <v>29.645600000000002</v>
      </c>
      <c r="N867" s="10">
        <f>CHOOSE(CONTROL!$C$42, 29.6638, 29.6638) * CHOOSE(CONTROL!$C$21, $C$9, 100%, $E$9)</f>
        <v>29.663799999999998</v>
      </c>
      <c r="O867" s="10">
        <f>CHOOSE(CONTROL!$C$42, 29.7353, 29.7353) * CHOOSE(CONTROL!$C$21, $C$9, 100%, $E$9)</f>
        <v>29.735299999999999</v>
      </c>
      <c r="P867" s="10">
        <f>CHOOSE(CONTROL!$C$42, 29.6805, 29.6805) * CHOOSE(CONTROL!$C$21, $C$9, 100%, $E$9)</f>
        <v>29.680499999999999</v>
      </c>
      <c r="Q867" s="10">
        <f>CHOOSE(CONTROL!$C$42, 30.3306, 30.3306) * CHOOSE(CONTROL!$C$21, $C$9, 100%, $E$9)</f>
        <v>30.3306</v>
      </c>
      <c r="R867" s="10">
        <f>CHOOSE(CONTROL!$C$42, 30.9934, 30.9934) * CHOOSE(CONTROL!$C$21, $C$9, 100%, $E$9)</f>
        <v>30.993400000000001</v>
      </c>
      <c r="S867" s="10">
        <f>CHOOSE(CONTROL!$C$42, 29.0937, 29.0937) * CHOOSE(CONTROL!$C$21, $C$9, 100%, $E$9)</f>
        <v>29.093699999999998</v>
      </c>
      <c r="T86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38">
        <f>(1000*CHOOSE(CONTROL!$C$42, 695, 695)*CHOOSE(CONTROL!$C$42, 0.5599, 0.5599)*CHOOSE(CONTROL!$C$42, 31, 31))/1000000</f>
        <v>12.063045499999998</v>
      </c>
      <c r="V867" s="38">
        <f>(1000*CHOOSE(CONTROL!$C$42, 500, 500)*CHOOSE(CONTROL!$C$42, 0.275, 0.275)*CHOOSE(CONTROL!$C$42, 31, 31))/1000000</f>
        <v>4.2625000000000002</v>
      </c>
      <c r="W867" s="38">
        <f>(1000*CHOOSE(CONTROL!$C$42, 0.1146, 0.1146)*CHOOSE(CONTROL!$C$42, 121.5, 121.5)*CHOOSE(CONTROL!$C$42, 31, 31))/1000000</f>
        <v>0.43164089999999994</v>
      </c>
      <c r="X867" s="38">
        <f>(31*0.1790888*100000/1000000)+(31*0.2374*100000/1000000)</f>
        <v>1.2911152800000001</v>
      </c>
      <c r="Y867" s="38">
        <f>(1000*600*CHOOSE(CONTROL!$C$42, 1.0585, 1.0585)*CHOOSE(CONTROL!$C$42, 31, 31))/1000000</f>
        <v>19.688099999999999</v>
      </c>
      <c r="Z867" s="38"/>
      <c r="AA867" s="10"/>
      <c r="AB867" s="39"/>
      <c r="AC867" s="33">
        <f>(B867*122.58+C867*297.941+D867*89.177+E867*40.302+F867*40+G867*160+H867*0+I867*100+J867*300)/(122.58+297.941+89.177+40.302+0+40+160+100+300)</f>
        <v>30.028305925739133</v>
      </c>
      <c r="AD867" s="27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29.692324460431653</v>
      </c>
    </row>
    <row r="868" spans="1:30" ht="15.75" x14ac:dyDescent="0.25">
      <c r="A868" s="13">
        <v>67692</v>
      </c>
      <c r="B868" s="10">
        <f>CHOOSE(CONTROL!$C$42, 29.9398, 29.9398) * CHOOSE(CONTROL!$C$21, $C$9, 100%, $E$9)</f>
        <v>29.939800000000002</v>
      </c>
      <c r="C868" s="10">
        <f>CHOOSE(CONTROL!$C$42, 29.9443, 29.9443) * CHOOSE(CONTROL!$C$21, $C$9, 100%, $E$9)</f>
        <v>29.944299999999998</v>
      </c>
      <c r="D868" s="10">
        <f>CHOOSE(CONTROL!$C$42, 30.1225, 30.1225) * CHOOSE(CONTROL!$C$21, $C$9, 100%, $E$9)</f>
        <v>30.122499999999999</v>
      </c>
      <c r="E868" s="10">
        <f>CHOOSE(CONTROL!$C$42, 30.1544, 30.1544) * CHOOSE(CONTROL!$C$21, $C$9, 100%, $E$9)</f>
        <v>30.154399999999999</v>
      </c>
      <c r="F868" s="10">
        <f>CHOOSE(CONTROL!$C$42, 29.8832, 29.8832)*CHOOSE(CONTROL!$C$21, $C$9, 100%, $E$9)</f>
        <v>29.883199999999999</v>
      </c>
      <c r="G868" s="10">
        <f>CHOOSE(CONTROL!$C$42, 29.8998, 29.8998)*CHOOSE(CONTROL!$C$21, $C$9, 100%, $E$9)</f>
        <v>29.899799999999999</v>
      </c>
      <c r="H868" s="10">
        <f>CHOOSE(CONTROL!$C$42, 30.1438, 30.1438) * CHOOSE(CONTROL!$C$21, $C$9, 100%, $E$9)</f>
        <v>30.143799999999999</v>
      </c>
      <c r="I868" s="10">
        <f>CHOOSE(CONTROL!$C$42, 29.9158, 29.9158)* CHOOSE(CONTROL!$C$21, $C$9, 100%, $E$9)</f>
        <v>29.915800000000001</v>
      </c>
      <c r="J868" s="10">
        <f>CHOOSE(CONTROL!$C$42, 29.8758, 29.8758)* CHOOSE(CONTROL!$C$21, $C$9, 100%, $E$9)</f>
        <v>29.875800000000002</v>
      </c>
      <c r="K868" s="10">
        <f>CHOOSE(CONTROL!$C$42, 29.1394, 29.1394) * CHOOSE(CONTROL!$C$21, $C$9, 100%, $E$9)</f>
        <v>29.139399999999998</v>
      </c>
      <c r="L868" s="10">
        <f>CHOOSE(CONTROL!$C$42, 30.7308, 30.7308) * CHOOSE(CONTROL!$C$21, $C$9, 100%, $E$9)</f>
        <v>30.730799999999999</v>
      </c>
      <c r="M868" s="10">
        <f>CHOOSE(CONTROL!$C$42, 29.5221, 29.5221) * CHOOSE(CONTROL!$C$21, $C$9, 100%, $E$9)</f>
        <v>29.522099999999998</v>
      </c>
      <c r="N868" s="10">
        <f>CHOOSE(CONTROL!$C$42, 29.5385, 29.5385) * CHOOSE(CONTROL!$C$21, $C$9, 100%, $E$9)</f>
        <v>29.538499999999999</v>
      </c>
      <c r="O868" s="10">
        <f>CHOOSE(CONTROL!$C$42, 29.7866, 29.7866) * CHOOSE(CONTROL!$C$21, $C$9, 100%, $E$9)</f>
        <v>29.7866</v>
      </c>
      <c r="P868" s="10">
        <f>CHOOSE(CONTROL!$C$42, 29.5616, 29.5616) * CHOOSE(CONTROL!$C$21, $C$9, 100%, $E$9)</f>
        <v>29.561599999999999</v>
      </c>
      <c r="Q868" s="10">
        <f>CHOOSE(CONTROL!$C$42, 30.3819, 30.3819) * CHOOSE(CONTROL!$C$21, $C$9, 100%, $E$9)</f>
        <v>30.381900000000002</v>
      </c>
      <c r="R868" s="10">
        <f>CHOOSE(CONTROL!$C$42, 31.0449, 31.0449) * CHOOSE(CONTROL!$C$21, $C$9, 100%, $E$9)</f>
        <v>31.044899999999998</v>
      </c>
      <c r="S868" s="10">
        <f>CHOOSE(CONTROL!$C$42, 29.0066, 29.0066) * CHOOSE(CONTROL!$C$21, $C$9, 100%, $E$9)</f>
        <v>29.006599999999999</v>
      </c>
      <c r="T86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38">
        <f>(1000*CHOOSE(CONTROL!$C$42, 695, 695)*CHOOSE(CONTROL!$C$42, 0.5599, 0.5599)*CHOOSE(CONTROL!$C$42, 30, 30))/1000000</f>
        <v>11.673914999999997</v>
      </c>
      <c r="V868" s="38">
        <f>(1000*CHOOSE(CONTROL!$C$42, 500, 500)*CHOOSE(CONTROL!$C$42, 0.275, 0.275)*CHOOSE(CONTROL!$C$42, 30, 30))/1000000</f>
        <v>4.125</v>
      </c>
      <c r="W868" s="38">
        <f>(1000*CHOOSE(CONTROL!$C$42, 0.1146, 0.1146)*CHOOSE(CONTROL!$C$42, 121.5, 121.5)*CHOOSE(CONTROL!$C$42, 30, 30))/1000000</f>
        <v>0.417717</v>
      </c>
      <c r="X868" s="38">
        <f>(30*0.1790888*245000/1000000)+(30*0.2374*100000/1000000)</f>
        <v>2.0285026799999999</v>
      </c>
      <c r="Y868" s="38">
        <f>(1000*600*CHOOSE(CONTROL!$C$42, 1.0585, 1.0585)*CHOOSE(CONTROL!$C$42, 30, 30))/1000000</f>
        <v>19.053000000000001</v>
      </c>
      <c r="Z868" s="38"/>
      <c r="AA868" s="10"/>
      <c r="AB868" s="39"/>
      <c r="AC868" s="33">
        <f>(B868*141.293+C868*267.993+D868*115.016+E868*89.698+F868*40+G868*185+H868*0+I868*100+J868*300)/(141.293+267.993+115.016+89.698+0+40+185+100+300)</f>
        <v>29.948036144067796</v>
      </c>
      <c r="AD868" s="27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29.648608633093524</v>
      </c>
    </row>
    <row r="869" spans="1:30" ht="15.75" x14ac:dyDescent="0.25">
      <c r="A869" s="13">
        <v>67723</v>
      </c>
      <c r="B869" s="10">
        <f>CHOOSE(CONTROL!$C$42, 30.2059, 30.2059) * CHOOSE(CONTROL!$C$21, $C$9, 100%, $E$9)</f>
        <v>30.2059</v>
      </c>
      <c r="C869" s="10">
        <f>CHOOSE(CONTROL!$C$42, 30.2139, 30.2139) * CHOOSE(CONTROL!$C$21, $C$9, 100%, $E$9)</f>
        <v>30.213899999999999</v>
      </c>
      <c r="D869" s="10">
        <f>CHOOSE(CONTROL!$C$42, 30.3891, 30.3891) * CHOOSE(CONTROL!$C$21, $C$9, 100%, $E$9)</f>
        <v>30.389099999999999</v>
      </c>
      <c r="E869" s="10">
        <f>CHOOSE(CONTROL!$C$42, 30.4203, 30.4203) * CHOOSE(CONTROL!$C$21, $C$9, 100%, $E$9)</f>
        <v>30.420300000000001</v>
      </c>
      <c r="F869" s="10">
        <f>CHOOSE(CONTROL!$C$42, 30.1476, 30.1476)*CHOOSE(CONTROL!$C$21, $C$9, 100%, $E$9)</f>
        <v>30.147600000000001</v>
      </c>
      <c r="G869" s="10">
        <f>CHOOSE(CONTROL!$C$42, 30.1645, 30.1645)*CHOOSE(CONTROL!$C$21, $C$9, 100%, $E$9)</f>
        <v>30.1645</v>
      </c>
      <c r="H869" s="10">
        <f>CHOOSE(CONTROL!$C$42, 30.4086, 30.4086) * CHOOSE(CONTROL!$C$21, $C$9, 100%, $E$9)</f>
        <v>30.4086</v>
      </c>
      <c r="I869" s="10">
        <f>CHOOSE(CONTROL!$C$42, 30.1806, 30.1806)* CHOOSE(CONTROL!$C$21, $C$9, 100%, $E$9)</f>
        <v>30.180599999999998</v>
      </c>
      <c r="J869" s="10">
        <f>CHOOSE(CONTROL!$C$42, 30.1402, 30.1402)* CHOOSE(CONTROL!$C$21, $C$9, 100%, $E$9)</f>
        <v>30.1402</v>
      </c>
      <c r="K869" s="10">
        <f>CHOOSE(CONTROL!$C$42, 29.3951, 29.3951) * CHOOSE(CONTROL!$C$21, $C$9, 100%, $E$9)</f>
        <v>29.395099999999999</v>
      </c>
      <c r="L869" s="10">
        <f>CHOOSE(CONTROL!$C$42, 30.9956, 30.9956) * CHOOSE(CONTROL!$C$21, $C$9, 100%, $E$9)</f>
        <v>30.9956</v>
      </c>
      <c r="M869" s="10">
        <f>CHOOSE(CONTROL!$C$42, 29.7831, 29.7831) * CHOOSE(CONTROL!$C$21, $C$9, 100%, $E$9)</f>
        <v>29.783100000000001</v>
      </c>
      <c r="N869" s="10">
        <f>CHOOSE(CONTROL!$C$42, 29.7998, 29.7998) * CHOOSE(CONTROL!$C$21, $C$9, 100%, $E$9)</f>
        <v>29.799800000000001</v>
      </c>
      <c r="O869" s="10">
        <f>CHOOSE(CONTROL!$C$42, 30.048, 30.048) * CHOOSE(CONTROL!$C$21, $C$9, 100%, $E$9)</f>
        <v>30.047999999999998</v>
      </c>
      <c r="P869" s="10">
        <f>CHOOSE(CONTROL!$C$42, 29.823, 29.823) * CHOOSE(CONTROL!$C$21, $C$9, 100%, $E$9)</f>
        <v>29.823</v>
      </c>
      <c r="Q869" s="10">
        <f>CHOOSE(CONTROL!$C$42, 30.6433, 30.6433) * CHOOSE(CONTROL!$C$21, $C$9, 100%, $E$9)</f>
        <v>30.6433</v>
      </c>
      <c r="R869" s="10">
        <f>CHOOSE(CONTROL!$C$42, 31.3069, 31.3069) * CHOOSE(CONTROL!$C$21, $C$9, 100%, $E$9)</f>
        <v>31.306899999999999</v>
      </c>
      <c r="S869" s="10">
        <f>CHOOSE(CONTROL!$C$42, 29.263, 29.263) * CHOOSE(CONTROL!$C$21, $C$9, 100%, $E$9)</f>
        <v>29.263000000000002</v>
      </c>
      <c r="T86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38">
        <f>(1000*CHOOSE(CONTROL!$C$42, 695, 695)*CHOOSE(CONTROL!$C$42, 0.5599, 0.5599)*CHOOSE(CONTROL!$C$42, 31, 31))/1000000</f>
        <v>12.063045499999998</v>
      </c>
      <c r="V869" s="38">
        <f>(1000*CHOOSE(CONTROL!$C$42, 500, 500)*CHOOSE(CONTROL!$C$42, 0.275, 0.275)*CHOOSE(CONTROL!$C$42, 31, 31))/1000000</f>
        <v>4.2625000000000002</v>
      </c>
      <c r="W869" s="38">
        <f>(1000*CHOOSE(CONTROL!$C$42, 0.1146, 0.1146)*CHOOSE(CONTROL!$C$42, 121.5, 121.5)*CHOOSE(CONTROL!$C$42, 31, 31))/1000000</f>
        <v>0.43164089999999994</v>
      </c>
      <c r="X869" s="38">
        <f>(31*0.1790888*245000/1000000)+(31*0.2374*100000/1000000)</f>
        <v>2.0961194359999999</v>
      </c>
      <c r="Y869" s="38">
        <f>(1000*600*CHOOSE(CONTROL!$C$42, 1.0585, 1.0585)*CHOOSE(CONTROL!$C$42, 31, 31))/1000000</f>
        <v>19.688099999999999</v>
      </c>
      <c r="Z869" s="38"/>
      <c r="AA869" s="10"/>
      <c r="AB869" s="39"/>
      <c r="AC869" s="33">
        <f>(B869*194.205+C869*267.466+D869*133.845+E869*53.484+F869*40+G869*185+H869*0+I869*100+J869*300)/(194.205+267.466+133.845+53.484+0+40+185+100+300)</f>
        <v>30.210528023233909</v>
      </c>
      <c r="AD869" s="27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29.909864748201432</v>
      </c>
    </row>
    <row r="870" spans="1:30" ht="15.75" x14ac:dyDescent="0.25">
      <c r="A870" s="13">
        <v>67753</v>
      </c>
      <c r="B870" s="10">
        <f>CHOOSE(CONTROL!$C$42, 31.0632, 31.0632) * CHOOSE(CONTROL!$C$21, $C$9, 100%, $E$9)</f>
        <v>31.063199999999998</v>
      </c>
      <c r="C870" s="10">
        <f>CHOOSE(CONTROL!$C$42, 31.0712, 31.0712) * CHOOSE(CONTROL!$C$21, $C$9, 100%, $E$9)</f>
        <v>31.071200000000001</v>
      </c>
      <c r="D870" s="10">
        <f>CHOOSE(CONTROL!$C$42, 31.2463, 31.2463) * CHOOSE(CONTROL!$C$21, $C$9, 100%, $E$9)</f>
        <v>31.246300000000002</v>
      </c>
      <c r="E870" s="10">
        <f>CHOOSE(CONTROL!$C$42, 31.2775, 31.2775) * CHOOSE(CONTROL!$C$21, $C$9, 100%, $E$9)</f>
        <v>31.2775</v>
      </c>
      <c r="F870" s="10">
        <f>CHOOSE(CONTROL!$C$42, 31.005, 31.005)*CHOOSE(CONTROL!$C$21, $C$9, 100%, $E$9)</f>
        <v>31.004999999999999</v>
      </c>
      <c r="G870" s="10">
        <f>CHOOSE(CONTROL!$C$42, 31.022, 31.022)*CHOOSE(CONTROL!$C$21, $C$9, 100%, $E$9)</f>
        <v>31.021999999999998</v>
      </c>
      <c r="H870" s="10">
        <f>CHOOSE(CONTROL!$C$42, 31.2658, 31.2658) * CHOOSE(CONTROL!$C$21, $C$9, 100%, $E$9)</f>
        <v>31.265799999999999</v>
      </c>
      <c r="I870" s="10">
        <f>CHOOSE(CONTROL!$C$42, 31.0378, 31.0378)* CHOOSE(CONTROL!$C$21, $C$9, 100%, $E$9)</f>
        <v>31.037800000000001</v>
      </c>
      <c r="J870" s="10">
        <f>CHOOSE(CONTROL!$C$42, 30.9976, 30.9976)* CHOOSE(CONTROL!$C$21, $C$9, 100%, $E$9)</f>
        <v>30.997599999999998</v>
      </c>
      <c r="K870" s="10">
        <f>CHOOSE(CONTROL!$C$42, 30.226, 30.226) * CHOOSE(CONTROL!$C$21, $C$9, 100%, $E$9)</f>
        <v>30.225999999999999</v>
      </c>
      <c r="L870" s="10">
        <f>CHOOSE(CONTROL!$C$42, 31.8528, 31.8528) * CHOOSE(CONTROL!$C$21, $C$9, 100%, $E$9)</f>
        <v>31.852799999999998</v>
      </c>
      <c r="M870" s="10">
        <f>CHOOSE(CONTROL!$C$42, 30.6294, 30.6294) * CHOOSE(CONTROL!$C$21, $C$9, 100%, $E$9)</f>
        <v>30.6294</v>
      </c>
      <c r="N870" s="10">
        <f>CHOOSE(CONTROL!$C$42, 30.6461, 30.6461) * CHOOSE(CONTROL!$C$21, $C$9, 100%, $E$9)</f>
        <v>30.646100000000001</v>
      </c>
      <c r="O870" s="10">
        <f>CHOOSE(CONTROL!$C$42, 30.8941, 30.8941) * CHOOSE(CONTROL!$C$21, $C$9, 100%, $E$9)</f>
        <v>30.894100000000002</v>
      </c>
      <c r="P870" s="10">
        <f>CHOOSE(CONTROL!$C$42, 30.6691, 30.6691) * CHOOSE(CONTROL!$C$21, $C$9, 100%, $E$9)</f>
        <v>30.6691</v>
      </c>
      <c r="Q870" s="10">
        <f>CHOOSE(CONTROL!$C$42, 31.4894, 31.4894) * CHOOSE(CONTROL!$C$21, $C$9, 100%, $E$9)</f>
        <v>31.4894</v>
      </c>
      <c r="R870" s="10">
        <f>CHOOSE(CONTROL!$C$42, 32.1551, 32.1551) * CHOOSE(CONTROL!$C$21, $C$9, 100%, $E$9)</f>
        <v>32.155099999999997</v>
      </c>
      <c r="S870" s="10">
        <f>CHOOSE(CONTROL!$C$42, 30.0931, 30.0931) * CHOOSE(CONTROL!$C$21, $C$9, 100%, $E$9)</f>
        <v>30.0931</v>
      </c>
      <c r="T87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38">
        <f>(1000*CHOOSE(CONTROL!$C$42, 695, 695)*CHOOSE(CONTROL!$C$42, 0.5599, 0.5599)*CHOOSE(CONTROL!$C$42, 30, 30))/1000000</f>
        <v>11.673914999999997</v>
      </c>
      <c r="V870" s="38">
        <f>(1000*CHOOSE(CONTROL!$C$42, 500, 500)*CHOOSE(CONTROL!$C$42, 0.275, 0.275)*CHOOSE(CONTROL!$C$42, 30, 30))/1000000</f>
        <v>4.125</v>
      </c>
      <c r="W870" s="38">
        <f>(1000*CHOOSE(CONTROL!$C$42, 0.1146, 0.1146)*CHOOSE(CONTROL!$C$42, 121.5, 121.5)*CHOOSE(CONTROL!$C$42, 30, 30))/1000000</f>
        <v>0.417717</v>
      </c>
      <c r="X870" s="38">
        <f>(30*0.1790888*245000/1000000)+(30*0.2374*100000/1000000)</f>
        <v>2.0285026799999999</v>
      </c>
      <c r="Y870" s="38">
        <f>(1000*600*CHOOSE(CONTROL!$C$42, 1.0585, 1.0585)*CHOOSE(CONTROL!$C$42, 30, 30))/1000000</f>
        <v>19.053000000000001</v>
      </c>
      <c r="Z870" s="38"/>
      <c r="AA870" s="10"/>
      <c r="AB870" s="39"/>
      <c r="AC870" s="33">
        <f>(B870*194.205+C870*267.466+D870*133.845+E870*53.484+F870*40+G870*185+H870*0+I870*100+J870*300)/(194.205+267.466+133.845+53.484+0+40+185+100+300)</f>
        <v>31.067861199921506</v>
      </c>
      <c r="AD870" s="27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30.756045323741006</v>
      </c>
    </row>
    <row r="871" spans="1:30" ht="15.75" x14ac:dyDescent="0.25">
      <c r="A871" s="13">
        <v>67784</v>
      </c>
      <c r="B871" s="10">
        <f>CHOOSE(CONTROL!$C$42, 30.467, 30.467) * CHOOSE(CONTROL!$C$21, $C$9, 100%, $E$9)</f>
        <v>30.466999999999999</v>
      </c>
      <c r="C871" s="10">
        <f>CHOOSE(CONTROL!$C$42, 30.475, 30.475) * CHOOSE(CONTROL!$C$21, $C$9, 100%, $E$9)</f>
        <v>30.475000000000001</v>
      </c>
      <c r="D871" s="10">
        <f>CHOOSE(CONTROL!$C$42, 30.6501, 30.6501) * CHOOSE(CONTROL!$C$21, $C$9, 100%, $E$9)</f>
        <v>30.650099999999998</v>
      </c>
      <c r="E871" s="10">
        <f>CHOOSE(CONTROL!$C$42, 30.6813, 30.6813) * CHOOSE(CONTROL!$C$21, $C$9, 100%, $E$9)</f>
        <v>30.6813</v>
      </c>
      <c r="F871" s="10">
        <f>CHOOSE(CONTROL!$C$42, 30.4092, 30.4092)*CHOOSE(CONTROL!$C$21, $C$9, 100%, $E$9)</f>
        <v>30.409199999999998</v>
      </c>
      <c r="G871" s="10">
        <f>CHOOSE(CONTROL!$C$42, 30.4262, 30.4262)*CHOOSE(CONTROL!$C$21, $C$9, 100%, $E$9)</f>
        <v>30.426200000000001</v>
      </c>
      <c r="H871" s="10">
        <f>CHOOSE(CONTROL!$C$42, 30.6696, 30.6696) * CHOOSE(CONTROL!$C$21, $C$9, 100%, $E$9)</f>
        <v>30.669599999999999</v>
      </c>
      <c r="I871" s="10">
        <f>CHOOSE(CONTROL!$C$42, 30.4416, 30.4416)* CHOOSE(CONTROL!$C$21, $C$9, 100%, $E$9)</f>
        <v>30.441600000000001</v>
      </c>
      <c r="J871" s="10">
        <f>CHOOSE(CONTROL!$C$42, 30.4018, 30.4018)* CHOOSE(CONTROL!$C$21, $C$9, 100%, $E$9)</f>
        <v>30.401800000000001</v>
      </c>
      <c r="K871" s="10">
        <f>CHOOSE(CONTROL!$C$42, 29.6491, 29.6491) * CHOOSE(CONTROL!$C$21, $C$9, 100%, $E$9)</f>
        <v>29.649100000000001</v>
      </c>
      <c r="L871" s="10">
        <f>CHOOSE(CONTROL!$C$42, 31.2566, 31.2566) * CHOOSE(CONTROL!$C$21, $C$9, 100%, $E$9)</f>
        <v>31.256599999999999</v>
      </c>
      <c r="M871" s="10">
        <f>CHOOSE(CONTROL!$C$42, 30.0413, 30.0413) * CHOOSE(CONTROL!$C$21, $C$9, 100%, $E$9)</f>
        <v>30.0413</v>
      </c>
      <c r="N871" s="10">
        <f>CHOOSE(CONTROL!$C$42, 30.0581, 30.0581) * CHOOSE(CONTROL!$C$21, $C$9, 100%, $E$9)</f>
        <v>30.0581</v>
      </c>
      <c r="O871" s="10">
        <f>CHOOSE(CONTROL!$C$42, 30.3056, 30.3056) * CHOOSE(CONTROL!$C$21, $C$9, 100%, $E$9)</f>
        <v>30.305599999999998</v>
      </c>
      <c r="P871" s="10">
        <f>CHOOSE(CONTROL!$C$42, 30.0806, 30.0806) * CHOOSE(CONTROL!$C$21, $C$9, 100%, $E$9)</f>
        <v>30.0806</v>
      </c>
      <c r="Q871" s="10">
        <f>CHOOSE(CONTROL!$C$42, 30.9009, 30.9009) * CHOOSE(CONTROL!$C$21, $C$9, 100%, $E$9)</f>
        <v>30.9009</v>
      </c>
      <c r="R871" s="10">
        <f>CHOOSE(CONTROL!$C$42, 31.5652, 31.5652) * CHOOSE(CONTROL!$C$21, $C$9, 100%, $E$9)</f>
        <v>31.565200000000001</v>
      </c>
      <c r="S871" s="10">
        <f>CHOOSE(CONTROL!$C$42, 29.5158, 29.5158) * CHOOSE(CONTROL!$C$21, $C$9, 100%, $E$9)</f>
        <v>29.515799999999999</v>
      </c>
      <c r="T87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38">
        <f>(1000*CHOOSE(CONTROL!$C$42, 695, 695)*CHOOSE(CONTROL!$C$42, 0.5599, 0.5599)*CHOOSE(CONTROL!$C$42, 31, 31))/1000000</f>
        <v>12.063045499999998</v>
      </c>
      <c r="V871" s="38">
        <f>(1000*CHOOSE(CONTROL!$C$42, 500, 500)*CHOOSE(CONTROL!$C$42, 0.275, 0.275)*CHOOSE(CONTROL!$C$42, 31, 31))/1000000</f>
        <v>4.2625000000000002</v>
      </c>
      <c r="W871" s="38">
        <f>(1000*CHOOSE(CONTROL!$C$42, 0.1146, 0.1146)*CHOOSE(CONTROL!$C$42, 121.5, 121.5)*CHOOSE(CONTROL!$C$42, 31, 31))/1000000</f>
        <v>0.43164089999999994</v>
      </c>
      <c r="X871" s="38">
        <f>(31*0.1790888*245000/1000000)+(31*0.2374*100000/1000000)</f>
        <v>2.0961194359999999</v>
      </c>
      <c r="Y871" s="38">
        <f>(1000*600*CHOOSE(CONTROL!$C$42, 1.0585, 1.0585)*CHOOSE(CONTROL!$C$42, 31, 31))/1000000</f>
        <v>19.688099999999999</v>
      </c>
      <c r="Z871" s="38"/>
      <c r="AA871" s="10"/>
      <c r="AB871" s="39"/>
      <c r="AC871" s="33">
        <f>(B871*194.205+C871*267.466+D871*133.845+E871*53.484+F871*40+G871*185+H871*0+I871*100+J871*300)/(194.205+267.466+133.845+53.484+0+40+185+100+300)</f>
        <v>30.471826035086348</v>
      </c>
      <c r="AD871" s="27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30.16771223021583</v>
      </c>
    </row>
    <row r="872" spans="1:30" ht="15.75" x14ac:dyDescent="0.25">
      <c r="A872" s="13">
        <v>67815</v>
      </c>
      <c r="B872" s="10">
        <f>CHOOSE(CONTROL!$C$42, 28.9613, 28.9613) * CHOOSE(CONTROL!$C$21, $C$9, 100%, $E$9)</f>
        <v>28.961300000000001</v>
      </c>
      <c r="C872" s="10">
        <f>CHOOSE(CONTROL!$C$42, 28.9693, 28.9693) * CHOOSE(CONTROL!$C$21, $C$9, 100%, $E$9)</f>
        <v>28.9693</v>
      </c>
      <c r="D872" s="10">
        <f>CHOOSE(CONTROL!$C$42, 29.1445, 29.1445) * CHOOSE(CONTROL!$C$21, $C$9, 100%, $E$9)</f>
        <v>29.144500000000001</v>
      </c>
      <c r="E872" s="10">
        <f>CHOOSE(CONTROL!$C$42, 29.1757, 29.1757) * CHOOSE(CONTROL!$C$21, $C$9, 100%, $E$9)</f>
        <v>29.175699999999999</v>
      </c>
      <c r="F872" s="10">
        <f>CHOOSE(CONTROL!$C$42, 28.9035, 28.9035)*CHOOSE(CONTROL!$C$21, $C$9, 100%, $E$9)</f>
        <v>28.903500000000001</v>
      </c>
      <c r="G872" s="10">
        <f>CHOOSE(CONTROL!$C$42, 28.9205, 28.9205)*CHOOSE(CONTROL!$C$21, $C$9, 100%, $E$9)</f>
        <v>28.920500000000001</v>
      </c>
      <c r="H872" s="10">
        <f>CHOOSE(CONTROL!$C$42, 29.164, 29.164) * CHOOSE(CONTROL!$C$21, $C$9, 100%, $E$9)</f>
        <v>29.164000000000001</v>
      </c>
      <c r="I872" s="10">
        <f>CHOOSE(CONTROL!$C$42, 28.936, 28.936)* CHOOSE(CONTROL!$C$21, $C$9, 100%, $E$9)</f>
        <v>28.936</v>
      </c>
      <c r="J872" s="10">
        <f>CHOOSE(CONTROL!$C$42, 28.8961, 28.8961)* CHOOSE(CONTROL!$C$21, $C$9, 100%, $E$9)</f>
        <v>28.896100000000001</v>
      </c>
      <c r="K872" s="10">
        <f>CHOOSE(CONTROL!$C$42, 28.1903, 28.1903) * CHOOSE(CONTROL!$C$21, $C$9, 100%, $E$9)</f>
        <v>28.190300000000001</v>
      </c>
      <c r="L872" s="10">
        <f>CHOOSE(CONTROL!$C$42, 29.751, 29.751) * CHOOSE(CONTROL!$C$21, $C$9, 100%, $E$9)</f>
        <v>29.751000000000001</v>
      </c>
      <c r="M872" s="10">
        <f>CHOOSE(CONTROL!$C$42, 28.555, 28.555) * CHOOSE(CONTROL!$C$21, $C$9, 100%, $E$9)</f>
        <v>28.555</v>
      </c>
      <c r="N872" s="10">
        <f>CHOOSE(CONTROL!$C$42, 28.5718, 28.5718) * CHOOSE(CONTROL!$C$21, $C$9, 100%, $E$9)</f>
        <v>28.5718</v>
      </c>
      <c r="O872" s="10">
        <f>CHOOSE(CONTROL!$C$42, 28.8195, 28.8195) * CHOOSE(CONTROL!$C$21, $C$9, 100%, $E$9)</f>
        <v>28.819500000000001</v>
      </c>
      <c r="P872" s="10">
        <f>CHOOSE(CONTROL!$C$42, 28.5945, 28.5945) * CHOOSE(CONTROL!$C$21, $C$9, 100%, $E$9)</f>
        <v>28.5945</v>
      </c>
      <c r="Q872" s="10">
        <f>CHOOSE(CONTROL!$C$42, 29.4148, 29.4148) * CHOOSE(CONTROL!$C$21, $C$9, 100%, $E$9)</f>
        <v>29.4148</v>
      </c>
      <c r="R872" s="10">
        <f>CHOOSE(CONTROL!$C$42, 30.0753, 30.0753) * CHOOSE(CONTROL!$C$21, $C$9, 100%, $E$9)</f>
        <v>30.075299999999999</v>
      </c>
      <c r="S872" s="10">
        <f>CHOOSE(CONTROL!$C$42, 28.0579, 28.0579) * CHOOSE(CONTROL!$C$21, $C$9, 100%, $E$9)</f>
        <v>28.0579</v>
      </c>
      <c r="T87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38">
        <f>(1000*CHOOSE(CONTROL!$C$42, 695, 695)*CHOOSE(CONTROL!$C$42, 0.5599, 0.5599)*CHOOSE(CONTROL!$C$42, 31, 31))/1000000</f>
        <v>12.063045499999998</v>
      </c>
      <c r="V872" s="38">
        <f>(1000*CHOOSE(CONTROL!$C$42, 500, 500)*CHOOSE(CONTROL!$C$42, 0.275, 0.275)*CHOOSE(CONTROL!$C$42, 31, 31))/1000000</f>
        <v>4.2625000000000002</v>
      </c>
      <c r="W872" s="38">
        <f>(1000*CHOOSE(CONTROL!$C$42, 0.1146, 0.1146)*CHOOSE(CONTROL!$C$42, 121.5, 121.5)*CHOOSE(CONTROL!$C$42, 31, 31))/1000000</f>
        <v>0.43164089999999994</v>
      </c>
      <c r="X872" s="38">
        <f>(31*0.1790888*245000/1000000)+(31*0.2374*100000/1000000)</f>
        <v>2.0961194359999999</v>
      </c>
      <c r="Y872" s="38">
        <f>(1000*600*CHOOSE(CONTROL!$C$42, 1.0585, 1.0585)*CHOOSE(CONTROL!$C$42, 31, 31))/1000000</f>
        <v>19.688099999999999</v>
      </c>
      <c r="Z872" s="38"/>
      <c r="AA872" s="10"/>
      <c r="AB872" s="39"/>
      <c r="AC872" s="33">
        <f>(B872*194.205+C872*267.466+D872*133.845+E872*53.484+F872*40+G872*185+H872*0+I872*100+J872*300)/(194.205+267.466+133.845+53.484+0+40+185+100+300)</f>
        <v>28.966148588383042</v>
      </c>
      <c r="AD872" s="27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28.681531654676263</v>
      </c>
    </row>
    <row r="873" spans="1:30" ht="15.75" x14ac:dyDescent="0.25">
      <c r="A873" s="13">
        <v>67845</v>
      </c>
      <c r="B873" s="10">
        <f>CHOOSE(CONTROL!$C$42, 27.1218, 27.1218) * CHOOSE(CONTROL!$C$21, $C$9, 100%, $E$9)</f>
        <v>27.1218</v>
      </c>
      <c r="C873" s="10">
        <f>CHOOSE(CONTROL!$C$42, 27.1298, 27.1298) * CHOOSE(CONTROL!$C$21, $C$9, 100%, $E$9)</f>
        <v>27.129799999999999</v>
      </c>
      <c r="D873" s="10">
        <f>CHOOSE(CONTROL!$C$42, 27.3049, 27.3049) * CHOOSE(CONTROL!$C$21, $C$9, 100%, $E$9)</f>
        <v>27.3049</v>
      </c>
      <c r="E873" s="10">
        <f>CHOOSE(CONTROL!$C$42, 27.3361, 27.3361) * CHOOSE(CONTROL!$C$21, $C$9, 100%, $E$9)</f>
        <v>27.336099999999998</v>
      </c>
      <c r="F873" s="10">
        <f>CHOOSE(CONTROL!$C$42, 27.0636, 27.0636)*CHOOSE(CONTROL!$C$21, $C$9, 100%, $E$9)</f>
        <v>27.063600000000001</v>
      </c>
      <c r="G873" s="10">
        <f>CHOOSE(CONTROL!$C$42, 27.0805, 27.0805)*CHOOSE(CONTROL!$C$21, $C$9, 100%, $E$9)</f>
        <v>27.080500000000001</v>
      </c>
      <c r="H873" s="10">
        <f>CHOOSE(CONTROL!$C$42, 27.3244, 27.3244) * CHOOSE(CONTROL!$C$21, $C$9, 100%, $E$9)</f>
        <v>27.324400000000001</v>
      </c>
      <c r="I873" s="10">
        <f>CHOOSE(CONTROL!$C$42, 27.0964, 27.0964)* CHOOSE(CONTROL!$C$21, $C$9, 100%, $E$9)</f>
        <v>27.096399999999999</v>
      </c>
      <c r="J873" s="10">
        <f>CHOOSE(CONTROL!$C$42, 27.0562, 27.0562)* CHOOSE(CONTROL!$C$21, $C$9, 100%, $E$9)</f>
        <v>27.0562</v>
      </c>
      <c r="K873" s="10">
        <f>CHOOSE(CONTROL!$C$42, 26.4074, 26.4074) * CHOOSE(CONTROL!$C$21, $C$9, 100%, $E$9)</f>
        <v>26.407399999999999</v>
      </c>
      <c r="L873" s="10">
        <f>CHOOSE(CONTROL!$C$42, 27.9114, 27.9114) * CHOOSE(CONTROL!$C$21, $C$9, 100%, $E$9)</f>
        <v>27.9114</v>
      </c>
      <c r="M873" s="10">
        <f>CHOOSE(CONTROL!$C$42, 26.7389, 26.7389) * CHOOSE(CONTROL!$C$21, $C$9, 100%, $E$9)</f>
        <v>26.738900000000001</v>
      </c>
      <c r="N873" s="10">
        <f>CHOOSE(CONTROL!$C$42, 26.7556, 26.7556) * CHOOSE(CONTROL!$C$21, $C$9, 100%, $E$9)</f>
        <v>26.755600000000001</v>
      </c>
      <c r="O873" s="10">
        <f>CHOOSE(CONTROL!$C$42, 27.0037, 27.0037) * CHOOSE(CONTROL!$C$21, $C$9, 100%, $E$9)</f>
        <v>27.003699999999998</v>
      </c>
      <c r="P873" s="10">
        <f>CHOOSE(CONTROL!$C$42, 26.7787, 26.7787) * CHOOSE(CONTROL!$C$21, $C$9, 100%, $E$9)</f>
        <v>26.778700000000001</v>
      </c>
      <c r="Q873" s="10">
        <f>CHOOSE(CONTROL!$C$42, 27.599, 27.599) * CHOOSE(CONTROL!$C$21, $C$9, 100%, $E$9)</f>
        <v>27.599</v>
      </c>
      <c r="R873" s="10">
        <f>CHOOSE(CONTROL!$C$42, 28.255, 28.255) * CHOOSE(CONTROL!$C$21, $C$9, 100%, $E$9)</f>
        <v>28.254999999999999</v>
      </c>
      <c r="S873" s="10">
        <f>CHOOSE(CONTROL!$C$42, 26.2766, 26.2766) * CHOOSE(CONTROL!$C$21, $C$9, 100%, $E$9)</f>
        <v>26.276599999999998</v>
      </c>
      <c r="T87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38">
        <f>(1000*CHOOSE(CONTROL!$C$42, 695, 695)*CHOOSE(CONTROL!$C$42, 0.5599, 0.5599)*CHOOSE(CONTROL!$C$42, 30, 30))/1000000</f>
        <v>11.673914999999997</v>
      </c>
      <c r="V873" s="38">
        <f>(1000*CHOOSE(CONTROL!$C$42, 500, 500)*CHOOSE(CONTROL!$C$42, 0.275, 0.275)*CHOOSE(CONTROL!$C$42, 30, 30))/1000000</f>
        <v>4.125</v>
      </c>
      <c r="W873" s="38">
        <f>(1000*CHOOSE(CONTROL!$C$42, 0.1146, 0.1146)*CHOOSE(CONTROL!$C$42, 121.5, 121.5)*CHOOSE(CONTROL!$C$42, 30, 30))/1000000</f>
        <v>0.417717</v>
      </c>
      <c r="X873" s="38">
        <f>(30*0.1790888*245000/1000000)+(30*0.2374*100000/1000000)</f>
        <v>2.0285026799999999</v>
      </c>
      <c r="Y873" s="38">
        <f>(1000*600*CHOOSE(CONTROL!$C$42, 1.0585, 1.0585)*CHOOSE(CONTROL!$C$42, 30, 30))/1000000</f>
        <v>19.053000000000001</v>
      </c>
      <c r="Z873" s="38"/>
      <c r="AA873" s="10"/>
      <c r="AB873" s="39"/>
      <c r="AC873" s="33">
        <f>(B873*194.205+C873*267.466+D873*133.845+E873*53.484+F873*40+G873*185+H873*0+I873*100+J873*300)/(194.205+267.466+133.845+53.484+0+40+185+100+300)</f>
        <v>27.126446678728414</v>
      </c>
      <c r="AD873" s="27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26.865605035971221</v>
      </c>
    </row>
    <row r="874" spans="1:30" ht="15.75" x14ac:dyDescent="0.25">
      <c r="A874" s="13">
        <v>67876</v>
      </c>
      <c r="B874" s="10">
        <f>CHOOSE(CONTROL!$C$42, 26.5687, 26.5687) * CHOOSE(CONTROL!$C$21, $C$9, 100%, $E$9)</f>
        <v>26.5687</v>
      </c>
      <c r="C874" s="10">
        <f>CHOOSE(CONTROL!$C$42, 26.574, 26.574) * CHOOSE(CONTROL!$C$21, $C$9, 100%, $E$9)</f>
        <v>26.574000000000002</v>
      </c>
      <c r="D874" s="10">
        <f>CHOOSE(CONTROL!$C$42, 26.754, 26.754) * CHOOSE(CONTROL!$C$21, $C$9, 100%, $E$9)</f>
        <v>26.754000000000001</v>
      </c>
      <c r="E874" s="10">
        <f>CHOOSE(CONTROL!$C$42, 26.783, 26.783) * CHOOSE(CONTROL!$C$21, $C$9, 100%, $E$9)</f>
        <v>26.783000000000001</v>
      </c>
      <c r="F874" s="10">
        <f>CHOOSE(CONTROL!$C$42, 26.5125, 26.5125)*CHOOSE(CONTROL!$C$21, $C$9, 100%, $E$9)</f>
        <v>26.512499999999999</v>
      </c>
      <c r="G874" s="10">
        <f>CHOOSE(CONTROL!$C$42, 26.5291, 26.5291)*CHOOSE(CONTROL!$C$21, $C$9, 100%, $E$9)</f>
        <v>26.5291</v>
      </c>
      <c r="H874" s="10">
        <f>CHOOSE(CONTROL!$C$42, 26.7731, 26.7731) * CHOOSE(CONTROL!$C$21, $C$9, 100%, $E$9)</f>
        <v>26.773099999999999</v>
      </c>
      <c r="I874" s="10">
        <f>CHOOSE(CONTROL!$C$42, 26.5451, 26.5451)* CHOOSE(CONTROL!$C$21, $C$9, 100%, $E$9)</f>
        <v>26.545100000000001</v>
      </c>
      <c r="J874" s="10">
        <f>CHOOSE(CONTROL!$C$42, 26.5051, 26.5051)* CHOOSE(CONTROL!$C$21, $C$9, 100%, $E$9)</f>
        <v>26.505099999999999</v>
      </c>
      <c r="K874" s="10">
        <f>CHOOSE(CONTROL!$C$42, 25.8739, 25.8739) * CHOOSE(CONTROL!$C$21, $C$9, 100%, $E$9)</f>
        <v>25.873899999999999</v>
      </c>
      <c r="L874" s="10">
        <f>CHOOSE(CONTROL!$C$42, 27.3601, 27.3601) * CHOOSE(CONTROL!$C$21, $C$9, 100%, $E$9)</f>
        <v>27.360099999999999</v>
      </c>
      <c r="M874" s="10">
        <f>CHOOSE(CONTROL!$C$42, 26.195, 26.195) * CHOOSE(CONTROL!$C$21, $C$9, 100%, $E$9)</f>
        <v>26.195</v>
      </c>
      <c r="N874" s="10">
        <f>CHOOSE(CONTROL!$C$42, 26.2114, 26.2114) * CHOOSE(CONTROL!$C$21, $C$9, 100%, $E$9)</f>
        <v>26.211400000000001</v>
      </c>
      <c r="O874" s="10">
        <f>CHOOSE(CONTROL!$C$42, 26.4595, 26.4595) * CHOOSE(CONTROL!$C$21, $C$9, 100%, $E$9)</f>
        <v>26.459499999999998</v>
      </c>
      <c r="P874" s="10">
        <f>CHOOSE(CONTROL!$C$42, 26.2345, 26.2345) * CHOOSE(CONTROL!$C$21, $C$9, 100%, $E$9)</f>
        <v>26.234500000000001</v>
      </c>
      <c r="Q874" s="10">
        <f>CHOOSE(CONTROL!$C$42, 27.0548, 27.0548) * CHOOSE(CONTROL!$C$21, $C$9, 100%, $E$9)</f>
        <v>27.0548</v>
      </c>
      <c r="R874" s="10">
        <f>CHOOSE(CONTROL!$C$42, 27.7095, 27.7095) * CHOOSE(CONTROL!$C$21, $C$9, 100%, $E$9)</f>
        <v>27.709499999999998</v>
      </c>
      <c r="S874" s="10">
        <f>CHOOSE(CONTROL!$C$42, 25.7427, 25.7427) * CHOOSE(CONTROL!$C$21, $C$9, 100%, $E$9)</f>
        <v>25.742699999999999</v>
      </c>
      <c r="T87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38">
        <f>(1000*CHOOSE(CONTROL!$C$42, 695, 695)*CHOOSE(CONTROL!$C$42, 0.5599, 0.5599)*CHOOSE(CONTROL!$C$42, 31, 31))/1000000</f>
        <v>12.063045499999998</v>
      </c>
      <c r="V874" s="38">
        <f>(1000*CHOOSE(CONTROL!$C$42, 500, 500)*CHOOSE(CONTROL!$C$42, 0.275, 0.275)*CHOOSE(CONTROL!$C$42, 31, 31))/1000000</f>
        <v>4.2625000000000002</v>
      </c>
      <c r="W874" s="38">
        <f>(1000*CHOOSE(CONTROL!$C$42, 0.1146, 0.1146)*CHOOSE(CONTROL!$C$42, 121.5, 121.5)*CHOOSE(CONTROL!$C$42, 31, 31))/1000000</f>
        <v>0.43164089999999994</v>
      </c>
      <c r="X874" s="38">
        <f>(31*0.1790888*245000/1000000)+(31*0.2374*100000/1000000)</f>
        <v>2.0961194359999999</v>
      </c>
      <c r="Y874" s="38">
        <f>(1000*600*CHOOSE(CONTROL!$C$42, 1.0585, 1.0585)*CHOOSE(CONTROL!$C$42, 31, 31))/1000000</f>
        <v>19.688099999999999</v>
      </c>
      <c r="Z874" s="38"/>
      <c r="AA874" s="10"/>
      <c r="AB874" s="39"/>
      <c r="AC874" s="33">
        <f>(B874*131.881+C874*277.167+D874*79.08+E874*125.872+F874*40+G874*185+H874*0+I874*100+J874*300)/(131.881+277.167+79.08+125.872+0+40+185+100+300)</f>
        <v>26.578452121630345</v>
      </c>
      <c r="AD874" s="27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26.321508633093529</v>
      </c>
    </row>
    <row r="875" spans="1:30" ht="15.75" x14ac:dyDescent="0.25">
      <c r="A875" s="13">
        <v>67906</v>
      </c>
      <c r="B875" s="10">
        <f>CHOOSE(CONTROL!$C$42, 27.2687, 27.2687) * CHOOSE(CONTROL!$C$21, $C$9, 100%, $E$9)</f>
        <v>27.268699999999999</v>
      </c>
      <c r="C875" s="10">
        <f>CHOOSE(CONTROL!$C$42, 27.2738, 27.2738) * CHOOSE(CONTROL!$C$21, $C$9, 100%, $E$9)</f>
        <v>27.273800000000001</v>
      </c>
      <c r="D875" s="10">
        <f>CHOOSE(CONTROL!$C$42, 27.2984, 27.2984) * CHOOSE(CONTROL!$C$21, $C$9, 100%, $E$9)</f>
        <v>27.298400000000001</v>
      </c>
      <c r="E875" s="10">
        <f>CHOOSE(CONTROL!$C$42, 27.3322, 27.3322) * CHOOSE(CONTROL!$C$21, $C$9, 100%, $E$9)</f>
        <v>27.3322</v>
      </c>
      <c r="F875" s="10">
        <f>CHOOSE(CONTROL!$C$42, 27.2343, 27.2343)*CHOOSE(CONTROL!$C$21, $C$9, 100%, $E$9)</f>
        <v>27.234300000000001</v>
      </c>
      <c r="G875" s="10">
        <f>CHOOSE(CONTROL!$C$42, 27.2511, 27.2511)*CHOOSE(CONTROL!$C$21, $C$9, 100%, $E$9)</f>
        <v>27.251100000000001</v>
      </c>
      <c r="H875" s="10">
        <f>CHOOSE(CONTROL!$C$42, 27.3211, 27.3211) * CHOOSE(CONTROL!$C$21, $C$9, 100%, $E$9)</f>
        <v>27.321100000000001</v>
      </c>
      <c r="I875" s="10">
        <f>CHOOSE(CONTROL!$C$42, 27.2681, 27.2681)* CHOOSE(CONTROL!$C$21, $C$9, 100%, $E$9)</f>
        <v>27.2681</v>
      </c>
      <c r="J875" s="10">
        <f>CHOOSE(CONTROL!$C$42, 27.2269, 27.2269)* CHOOSE(CONTROL!$C$21, $C$9, 100%, $E$9)</f>
        <v>27.226900000000001</v>
      </c>
      <c r="K875" s="10">
        <f>CHOOSE(CONTROL!$C$42, 26.5762, 26.5762) * CHOOSE(CONTROL!$C$21, $C$9, 100%, $E$9)</f>
        <v>26.5762</v>
      </c>
      <c r="L875" s="10">
        <f>CHOOSE(CONTROL!$C$42, 27.9081, 27.9081) * CHOOSE(CONTROL!$C$21, $C$9, 100%, $E$9)</f>
        <v>27.908100000000001</v>
      </c>
      <c r="M875" s="10">
        <f>CHOOSE(CONTROL!$C$42, 26.9075, 26.9075) * CHOOSE(CONTROL!$C$21, $C$9, 100%, $E$9)</f>
        <v>26.907499999999999</v>
      </c>
      <c r="N875" s="10">
        <f>CHOOSE(CONTROL!$C$42, 26.9241, 26.9241) * CHOOSE(CONTROL!$C$21, $C$9, 100%, $E$9)</f>
        <v>26.924099999999999</v>
      </c>
      <c r="O875" s="10">
        <f>CHOOSE(CONTROL!$C$42, 27.0005, 27.0005) * CHOOSE(CONTROL!$C$21, $C$9, 100%, $E$9)</f>
        <v>27.000499999999999</v>
      </c>
      <c r="P875" s="10">
        <f>CHOOSE(CONTROL!$C$42, 26.9482, 26.9482) * CHOOSE(CONTROL!$C$21, $C$9, 100%, $E$9)</f>
        <v>26.9482</v>
      </c>
      <c r="Q875" s="10">
        <f>CHOOSE(CONTROL!$C$42, 27.5958, 27.5958) * CHOOSE(CONTROL!$C$21, $C$9, 100%, $E$9)</f>
        <v>27.595800000000001</v>
      </c>
      <c r="R875" s="10">
        <f>CHOOSE(CONTROL!$C$42, 28.2518, 28.2518) * CHOOSE(CONTROL!$C$21, $C$9, 100%, $E$9)</f>
        <v>28.251799999999999</v>
      </c>
      <c r="S875" s="10">
        <f>CHOOSE(CONTROL!$C$42, 26.4209, 26.4209) * CHOOSE(CONTROL!$C$21, $C$9, 100%, $E$9)</f>
        <v>26.4209</v>
      </c>
      <c r="T87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38">
        <f>(1000*CHOOSE(CONTROL!$C$42, 695, 695)*CHOOSE(CONTROL!$C$42, 0.5599, 0.5599)*CHOOSE(CONTROL!$C$42, 30, 30))/1000000</f>
        <v>11.673914999999997</v>
      </c>
      <c r="V875" s="38">
        <f>(1000*CHOOSE(CONTROL!$C$42, 500, 500)*CHOOSE(CONTROL!$C$42, 0.275, 0.275)*CHOOSE(CONTROL!$C$42, 30, 30))/1000000</f>
        <v>4.125</v>
      </c>
      <c r="W875" s="38">
        <f>(1000*CHOOSE(CONTROL!$C$42, 0.1146, 0.1146)*CHOOSE(CONTROL!$C$42, 121.5, 121.5)*CHOOSE(CONTROL!$C$42, 30, 30))/1000000</f>
        <v>0.417717</v>
      </c>
      <c r="X875" s="38">
        <f>(30*0.1790888*100000/1000000)+(30*0.2374*100000/1000000)</f>
        <v>1.2494664</v>
      </c>
      <c r="Y875" s="38">
        <f>(1000*600*CHOOSE(CONTROL!$C$42, 1.0585, 1.0585)*CHOOSE(CONTROL!$C$42, 30, 30))/1000000</f>
        <v>19.053000000000001</v>
      </c>
      <c r="Z875" s="38"/>
      <c r="AA875" s="10"/>
      <c r="AB875" s="39"/>
      <c r="AC875" s="33">
        <f>(B875*122.58+C875*297.941+D875*89.177+E875*40.302+F875*40+G875*160+H875*0+I875*100+J875*300)/(122.58+297.941+89.177+40.302+0+40+160+100+300)</f>
        <v>27.259948028695653</v>
      </c>
      <c r="AD875" s="27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26.956462589928059</v>
      </c>
    </row>
    <row r="876" spans="1:30" ht="15.75" x14ac:dyDescent="0.25">
      <c r="A876" s="13">
        <v>67937</v>
      </c>
      <c r="B876" s="10">
        <f>CHOOSE(CONTROL!$C$42, 29.1289, 29.1289) * CHOOSE(CONTROL!$C$21, $C$9, 100%, $E$9)</f>
        <v>29.128900000000002</v>
      </c>
      <c r="C876" s="10">
        <f>CHOOSE(CONTROL!$C$42, 29.134, 29.134) * CHOOSE(CONTROL!$C$21, $C$9, 100%, $E$9)</f>
        <v>29.134</v>
      </c>
      <c r="D876" s="10">
        <f>CHOOSE(CONTROL!$C$42, 29.1587, 29.1587) * CHOOSE(CONTROL!$C$21, $C$9, 100%, $E$9)</f>
        <v>29.1587</v>
      </c>
      <c r="E876" s="10">
        <f>CHOOSE(CONTROL!$C$42, 29.1925, 29.1925) * CHOOSE(CONTROL!$C$21, $C$9, 100%, $E$9)</f>
        <v>29.192499999999999</v>
      </c>
      <c r="F876" s="10">
        <f>CHOOSE(CONTROL!$C$42, 29.0964, 29.0964)*CHOOSE(CONTROL!$C$21, $C$9, 100%, $E$9)</f>
        <v>29.096399999999999</v>
      </c>
      <c r="G876" s="10">
        <f>CHOOSE(CONTROL!$C$42, 29.1136, 29.1136)*CHOOSE(CONTROL!$C$21, $C$9, 100%, $E$9)</f>
        <v>29.113600000000002</v>
      </c>
      <c r="H876" s="10">
        <f>CHOOSE(CONTROL!$C$42, 29.1814, 29.1814) * CHOOSE(CONTROL!$C$21, $C$9, 100%, $E$9)</f>
        <v>29.1814</v>
      </c>
      <c r="I876" s="10">
        <f>CHOOSE(CONTROL!$C$42, 29.1284, 29.1284)* CHOOSE(CONTROL!$C$21, $C$9, 100%, $E$9)</f>
        <v>29.128399999999999</v>
      </c>
      <c r="J876" s="10">
        <f>CHOOSE(CONTROL!$C$42, 29.089, 29.089)* CHOOSE(CONTROL!$C$21, $C$9, 100%, $E$9)</f>
        <v>29.088999999999999</v>
      </c>
      <c r="K876" s="10">
        <f>CHOOSE(CONTROL!$C$42, 28.3822, 28.3822) * CHOOSE(CONTROL!$C$21, $C$9, 100%, $E$9)</f>
        <v>28.382200000000001</v>
      </c>
      <c r="L876" s="10">
        <f>CHOOSE(CONTROL!$C$42, 29.7684, 29.7684) * CHOOSE(CONTROL!$C$21, $C$9, 100%, $E$9)</f>
        <v>29.7684</v>
      </c>
      <c r="M876" s="10">
        <f>CHOOSE(CONTROL!$C$42, 28.7454, 28.7454) * CHOOSE(CONTROL!$C$21, $C$9, 100%, $E$9)</f>
        <v>28.7454</v>
      </c>
      <c r="N876" s="10">
        <f>CHOOSE(CONTROL!$C$42, 28.7625, 28.7625) * CHOOSE(CONTROL!$C$21, $C$9, 100%, $E$9)</f>
        <v>28.762499999999999</v>
      </c>
      <c r="O876" s="10">
        <f>CHOOSE(CONTROL!$C$42, 28.8367, 28.8367) * CHOOSE(CONTROL!$C$21, $C$9, 100%, $E$9)</f>
        <v>28.8367</v>
      </c>
      <c r="P876" s="10">
        <f>CHOOSE(CONTROL!$C$42, 28.7844, 28.7844) * CHOOSE(CONTROL!$C$21, $C$9, 100%, $E$9)</f>
        <v>28.784400000000002</v>
      </c>
      <c r="Q876" s="10">
        <f>CHOOSE(CONTROL!$C$42, 29.432, 29.432) * CHOOSE(CONTROL!$C$21, $C$9, 100%, $E$9)</f>
        <v>29.431999999999999</v>
      </c>
      <c r="R876" s="10">
        <f>CHOOSE(CONTROL!$C$42, 30.0926, 30.0926) * CHOOSE(CONTROL!$C$21, $C$9, 100%, $E$9)</f>
        <v>30.092600000000001</v>
      </c>
      <c r="S876" s="10">
        <f>CHOOSE(CONTROL!$C$42, 28.2222, 28.2222) * CHOOSE(CONTROL!$C$21, $C$9, 100%, $E$9)</f>
        <v>28.222200000000001</v>
      </c>
      <c r="T87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38">
        <f>(1000*CHOOSE(CONTROL!$C$42, 695, 695)*CHOOSE(CONTROL!$C$42, 0.5599, 0.5599)*CHOOSE(CONTROL!$C$42, 31, 31))/1000000</f>
        <v>12.063045499999998</v>
      </c>
      <c r="V876" s="38">
        <f>(1000*CHOOSE(CONTROL!$C$42, 500, 500)*CHOOSE(CONTROL!$C$42, 0.275, 0.275)*CHOOSE(CONTROL!$C$42, 31, 31))/1000000</f>
        <v>4.2625000000000002</v>
      </c>
      <c r="W876" s="38">
        <f>(1000*CHOOSE(CONTROL!$C$42, 0.1146, 0.1146)*CHOOSE(CONTROL!$C$42, 121.5, 121.5)*CHOOSE(CONTROL!$C$42, 31, 31))/1000000</f>
        <v>0.43164089999999994</v>
      </c>
      <c r="X876" s="38">
        <f>(31*0.1790888*100000/1000000)+(31*0.2374*100000/1000000)</f>
        <v>1.2911152800000001</v>
      </c>
      <c r="Y876" s="38">
        <f>(1000*600*CHOOSE(CONTROL!$C$42, 1.0585, 1.0585)*CHOOSE(CONTROL!$C$42, 31, 31))/1000000</f>
        <v>19.688099999999999</v>
      </c>
      <c r="Z876" s="38"/>
      <c r="AA876" s="10"/>
      <c r="AB876" s="39"/>
      <c r="AC876" s="33">
        <f>(B876*122.58+C876*297.941+D876*89.177+E876*40.302+F876*40+G876*160+H876*0+I876*100+J876*300)/(122.58+297.941+89.177+40.302+0+40+160+100+300)</f>
        <v>29.121049722521736</v>
      </c>
      <c r="AD876" s="27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28.793376258992804</v>
      </c>
    </row>
    <row r="877" spans="1:30" ht="15.75" x14ac:dyDescent="0.25">
      <c r="A877" s="13">
        <v>67968</v>
      </c>
      <c r="B877" s="10">
        <f>CHOOSE(CONTROL!$C$42, 31.0961, 31.0961) * CHOOSE(CONTROL!$C$21, $C$9, 100%, $E$9)</f>
        <v>31.0961</v>
      </c>
      <c r="C877" s="10">
        <f>CHOOSE(CONTROL!$C$42, 31.1012, 31.1012) * CHOOSE(CONTROL!$C$21, $C$9, 100%, $E$9)</f>
        <v>31.101199999999999</v>
      </c>
      <c r="D877" s="10">
        <f>CHOOSE(CONTROL!$C$42, 31.1362, 31.1362) * CHOOSE(CONTROL!$C$21, $C$9, 100%, $E$9)</f>
        <v>31.136199999999999</v>
      </c>
      <c r="E877" s="10">
        <f>CHOOSE(CONTROL!$C$42, 31.17, 31.17) * CHOOSE(CONTROL!$C$21, $C$9, 100%, $E$9)</f>
        <v>31.17</v>
      </c>
      <c r="F877" s="10">
        <f>CHOOSE(CONTROL!$C$42, 31.0774, 31.0774)*CHOOSE(CONTROL!$C$21, $C$9, 100%, $E$9)</f>
        <v>31.077400000000001</v>
      </c>
      <c r="G877" s="10">
        <f>CHOOSE(CONTROL!$C$42, 31.0963, 31.0963)*CHOOSE(CONTROL!$C$21, $C$9, 100%, $E$9)</f>
        <v>31.096299999999999</v>
      </c>
      <c r="H877" s="10">
        <f>CHOOSE(CONTROL!$C$42, 31.1589, 31.1589) * CHOOSE(CONTROL!$C$21, $C$9, 100%, $E$9)</f>
        <v>31.158899999999999</v>
      </c>
      <c r="I877" s="10">
        <f>CHOOSE(CONTROL!$C$42, 31.1033, 31.1033)* CHOOSE(CONTROL!$C$21, $C$9, 100%, $E$9)</f>
        <v>31.103300000000001</v>
      </c>
      <c r="J877" s="10">
        <f>CHOOSE(CONTROL!$C$42, 31.07, 31.07)* CHOOSE(CONTROL!$C$21, $C$9, 100%, $E$9)</f>
        <v>31.07</v>
      </c>
      <c r="K877" s="10">
        <f>CHOOSE(CONTROL!$C$42, 30.3088, 30.3088) * CHOOSE(CONTROL!$C$21, $C$9, 100%, $E$9)</f>
        <v>30.308800000000002</v>
      </c>
      <c r="L877" s="10">
        <f>CHOOSE(CONTROL!$C$42, 31.7459, 31.7459) * CHOOSE(CONTROL!$C$21, $C$9, 100%, $E$9)</f>
        <v>31.745899999999999</v>
      </c>
      <c r="M877" s="10">
        <f>CHOOSE(CONTROL!$C$42, 30.7008, 30.7008) * CHOOSE(CONTROL!$C$21, $C$9, 100%, $E$9)</f>
        <v>30.700800000000001</v>
      </c>
      <c r="N877" s="10">
        <f>CHOOSE(CONTROL!$C$42, 30.7194, 30.7194) * CHOOSE(CONTROL!$C$21, $C$9, 100%, $E$9)</f>
        <v>30.7194</v>
      </c>
      <c r="O877" s="10">
        <f>CHOOSE(CONTROL!$C$42, 30.7886, 30.7886) * CHOOSE(CONTROL!$C$21, $C$9, 100%, $E$9)</f>
        <v>30.788599999999999</v>
      </c>
      <c r="P877" s="10">
        <f>CHOOSE(CONTROL!$C$42, 30.7338, 30.7338) * CHOOSE(CONTROL!$C$21, $C$9, 100%, $E$9)</f>
        <v>30.733799999999999</v>
      </c>
      <c r="Q877" s="10">
        <f>CHOOSE(CONTROL!$C$42, 31.3839, 31.3839) * CHOOSE(CONTROL!$C$21, $C$9, 100%, $E$9)</f>
        <v>31.383900000000001</v>
      </c>
      <c r="R877" s="10">
        <f>CHOOSE(CONTROL!$C$42, 32.0493, 32.0493) * CHOOSE(CONTROL!$C$21, $C$9, 100%, $E$9)</f>
        <v>32.049300000000002</v>
      </c>
      <c r="S877" s="10">
        <f>CHOOSE(CONTROL!$C$42, 30.127, 30.127) * CHOOSE(CONTROL!$C$21, $C$9, 100%, $E$9)</f>
        <v>30.126999999999999</v>
      </c>
      <c r="T87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38">
        <f>(1000*CHOOSE(CONTROL!$C$42, 695, 695)*CHOOSE(CONTROL!$C$42, 0.5599, 0.5599)*CHOOSE(CONTROL!$C$42, 31, 31))/1000000</f>
        <v>12.063045499999998</v>
      </c>
      <c r="V877" s="38">
        <f>(1000*CHOOSE(CONTROL!$C$42, 500, 500)*CHOOSE(CONTROL!$C$42, 0.275, 0.275)*CHOOSE(CONTROL!$C$42, 31, 31))/1000000</f>
        <v>4.2625000000000002</v>
      </c>
      <c r="W877" s="38">
        <f>(1000*CHOOSE(CONTROL!$C$42, 0.1146, 0.1146)*CHOOSE(CONTROL!$C$42, 121.5, 121.5)*CHOOSE(CONTROL!$C$42, 31, 31))/1000000</f>
        <v>0.43164089999999994</v>
      </c>
      <c r="X877" s="38">
        <f>(31*0.1790888*100000/1000000)+(31*0.2374*100000/1000000)</f>
        <v>1.2911152800000001</v>
      </c>
      <c r="Y877" s="38">
        <f>(1000*600*CHOOSE(CONTROL!$C$42, 1.0585, 1.0585)*CHOOSE(CONTROL!$C$42, 31, 31))/1000000</f>
        <v>19.688099999999999</v>
      </c>
      <c r="Z877" s="38"/>
      <c r="AA877" s="10"/>
      <c r="AB877" s="39"/>
      <c r="AC877" s="33">
        <f>(B877*122.58+C877*297.941+D877*89.177+E877*40.302+F877*40+G877*160+H877*0+I877*100+J877*300)/(122.58+297.941+89.177+40.302+0+40+160+100+300)</f>
        <v>31.09631549095652</v>
      </c>
      <c r="AD877" s="27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30.746412949640291</v>
      </c>
    </row>
    <row r="878" spans="1:30" ht="15.75" x14ac:dyDescent="0.25">
      <c r="A878" s="13">
        <v>67996</v>
      </c>
      <c r="B878" s="10">
        <f>CHOOSE(CONTROL!$C$42, 31.6499, 31.6499) * CHOOSE(CONTROL!$C$21, $C$9, 100%, $E$9)</f>
        <v>31.649899999999999</v>
      </c>
      <c r="C878" s="10">
        <f>CHOOSE(CONTROL!$C$42, 31.655, 31.655) * CHOOSE(CONTROL!$C$21, $C$9, 100%, $E$9)</f>
        <v>31.655000000000001</v>
      </c>
      <c r="D878" s="10">
        <f>CHOOSE(CONTROL!$C$42, 31.69, 31.69) * CHOOSE(CONTROL!$C$21, $C$9, 100%, $E$9)</f>
        <v>31.69</v>
      </c>
      <c r="E878" s="10">
        <f>CHOOSE(CONTROL!$C$42, 31.7238, 31.7238) * CHOOSE(CONTROL!$C$21, $C$9, 100%, $E$9)</f>
        <v>31.723800000000001</v>
      </c>
      <c r="F878" s="10">
        <f>CHOOSE(CONTROL!$C$42, 31.6307, 31.6307)*CHOOSE(CONTROL!$C$21, $C$9, 100%, $E$9)</f>
        <v>31.630700000000001</v>
      </c>
      <c r="G878" s="10">
        <f>CHOOSE(CONTROL!$C$42, 31.6494, 31.6494)*CHOOSE(CONTROL!$C$21, $C$9, 100%, $E$9)</f>
        <v>31.6494</v>
      </c>
      <c r="H878" s="10">
        <f>CHOOSE(CONTROL!$C$42, 31.7127, 31.7127) * CHOOSE(CONTROL!$C$21, $C$9, 100%, $E$9)</f>
        <v>31.712700000000002</v>
      </c>
      <c r="I878" s="10">
        <f>CHOOSE(CONTROL!$C$42, 31.6572, 31.6572)* CHOOSE(CONTROL!$C$21, $C$9, 100%, $E$9)</f>
        <v>31.6572</v>
      </c>
      <c r="J878" s="10">
        <f>CHOOSE(CONTROL!$C$42, 31.6233, 31.6233)* CHOOSE(CONTROL!$C$21, $C$9, 100%, $E$9)</f>
        <v>31.6233</v>
      </c>
      <c r="K878" s="10">
        <f>CHOOSE(CONTROL!$C$42, 30.8442, 30.8442) * CHOOSE(CONTROL!$C$21, $C$9, 100%, $E$9)</f>
        <v>30.844200000000001</v>
      </c>
      <c r="L878" s="10">
        <f>CHOOSE(CONTROL!$C$42, 32.2997, 32.2997) * CHOOSE(CONTROL!$C$21, $C$9, 100%, $E$9)</f>
        <v>32.299700000000001</v>
      </c>
      <c r="M878" s="10">
        <f>CHOOSE(CONTROL!$C$42, 31.2469, 31.2469) * CHOOSE(CONTROL!$C$21, $C$9, 100%, $E$9)</f>
        <v>31.2469</v>
      </c>
      <c r="N878" s="10">
        <f>CHOOSE(CONTROL!$C$42, 31.2655, 31.2655) * CHOOSE(CONTROL!$C$21, $C$9, 100%, $E$9)</f>
        <v>31.265499999999999</v>
      </c>
      <c r="O878" s="10">
        <f>CHOOSE(CONTROL!$C$42, 31.3352, 31.3352) * CHOOSE(CONTROL!$C$21, $C$9, 100%, $E$9)</f>
        <v>31.3352</v>
      </c>
      <c r="P878" s="10">
        <f>CHOOSE(CONTROL!$C$42, 31.2804, 31.2804) * CHOOSE(CONTROL!$C$21, $C$9, 100%, $E$9)</f>
        <v>31.2804</v>
      </c>
      <c r="Q878" s="10">
        <f>CHOOSE(CONTROL!$C$42, 31.9305, 31.9305) * CHOOSE(CONTROL!$C$21, $C$9, 100%, $E$9)</f>
        <v>31.930499999999999</v>
      </c>
      <c r="R878" s="10">
        <f>CHOOSE(CONTROL!$C$42, 32.5974, 32.5974) * CHOOSE(CONTROL!$C$21, $C$9, 100%, $E$9)</f>
        <v>32.5974</v>
      </c>
      <c r="S878" s="10">
        <f>CHOOSE(CONTROL!$C$42, 30.6633, 30.6633) * CHOOSE(CONTROL!$C$21, $C$9, 100%, $E$9)</f>
        <v>30.6633</v>
      </c>
      <c r="T87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38">
        <f>(1000*CHOOSE(CONTROL!$C$42, 695, 695)*CHOOSE(CONTROL!$C$42, 0.5599, 0.5599)*CHOOSE(CONTROL!$C$42, 28, 28))/1000000</f>
        <v>10.895653999999999</v>
      </c>
      <c r="V878" s="38">
        <f>(1000*CHOOSE(CONTROL!$C$42, 500, 500)*CHOOSE(CONTROL!$C$42, 0.275, 0.275)*CHOOSE(CONTROL!$C$42, 28, 28))/1000000</f>
        <v>3.85</v>
      </c>
      <c r="W878" s="38">
        <f>(1000*CHOOSE(CONTROL!$C$42, 0.1146, 0.1146)*CHOOSE(CONTROL!$C$42, 121.5, 121.5)*CHOOSE(CONTROL!$C$42, 28, 28))/1000000</f>
        <v>0.38986920000000003</v>
      </c>
      <c r="X878" s="38">
        <f>(28*0.1790888*100000/1000000)+(28*0.2374*100000/1000000)</f>
        <v>1.16616864</v>
      </c>
      <c r="Y878" s="38">
        <f>(1000*600*CHOOSE(CONTROL!$C$42, 1.0585, 1.0585)*CHOOSE(CONTROL!$C$42, 28, 28))/1000000</f>
        <v>17.782800000000002</v>
      </c>
      <c r="Z878" s="38"/>
      <c r="AA878" s="10"/>
      <c r="AB878" s="39"/>
      <c r="AC878" s="33">
        <f>(B878*122.58+C878*297.941+D878*89.177+E878*40.302+F878*40+G878*160+H878*0+I878*100+J878*300)/(122.58+297.941+89.177+40.302+0+40+160+100+300)</f>
        <v>31.64987896921739</v>
      </c>
      <c r="AD878" s="27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31.292811510791367</v>
      </c>
    </row>
    <row r="879" spans="1:30" ht="15.75" x14ac:dyDescent="0.25">
      <c r="A879" s="13">
        <v>68027</v>
      </c>
      <c r="B879" s="10">
        <f>CHOOSE(CONTROL!$C$42, 30.7509, 30.7509) * CHOOSE(CONTROL!$C$21, $C$9, 100%, $E$9)</f>
        <v>30.750900000000001</v>
      </c>
      <c r="C879" s="10">
        <f>CHOOSE(CONTROL!$C$42, 30.756, 30.756) * CHOOSE(CONTROL!$C$21, $C$9, 100%, $E$9)</f>
        <v>30.756</v>
      </c>
      <c r="D879" s="10">
        <f>CHOOSE(CONTROL!$C$42, 30.791, 30.791) * CHOOSE(CONTROL!$C$21, $C$9, 100%, $E$9)</f>
        <v>30.791</v>
      </c>
      <c r="E879" s="10">
        <f>CHOOSE(CONTROL!$C$42, 30.8248, 30.8248) * CHOOSE(CONTROL!$C$21, $C$9, 100%, $E$9)</f>
        <v>30.8248</v>
      </c>
      <c r="F879" s="10">
        <f>CHOOSE(CONTROL!$C$42, 30.7303, 30.7303)*CHOOSE(CONTROL!$C$21, $C$9, 100%, $E$9)</f>
        <v>30.7303</v>
      </c>
      <c r="G879" s="10">
        <f>CHOOSE(CONTROL!$C$42, 30.7487, 30.7487)*CHOOSE(CONTROL!$C$21, $C$9, 100%, $E$9)</f>
        <v>30.748699999999999</v>
      </c>
      <c r="H879" s="10">
        <f>CHOOSE(CONTROL!$C$42, 30.8137, 30.8137) * CHOOSE(CONTROL!$C$21, $C$9, 100%, $E$9)</f>
        <v>30.813700000000001</v>
      </c>
      <c r="I879" s="10">
        <f>CHOOSE(CONTROL!$C$42, 30.7581, 30.7581)* CHOOSE(CONTROL!$C$21, $C$9, 100%, $E$9)</f>
        <v>30.758099999999999</v>
      </c>
      <c r="J879" s="10">
        <f>CHOOSE(CONTROL!$C$42, 30.7229, 30.7229)* CHOOSE(CONTROL!$C$21, $C$9, 100%, $E$9)</f>
        <v>30.722899999999999</v>
      </c>
      <c r="K879" s="10">
        <f>CHOOSE(CONTROL!$C$42, 29.9702, 29.9702) * CHOOSE(CONTROL!$C$21, $C$9, 100%, $E$9)</f>
        <v>29.970199999999998</v>
      </c>
      <c r="L879" s="10">
        <f>CHOOSE(CONTROL!$C$42, 31.4007, 31.4007) * CHOOSE(CONTROL!$C$21, $C$9, 100%, $E$9)</f>
        <v>31.400700000000001</v>
      </c>
      <c r="M879" s="10">
        <f>CHOOSE(CONTROL!$C$42, 30.3582, 30.3582) * CHOOSE(CONTROL!$C$21, $C$9, 100%, $E$9)</f>
        <v>30.3582</v>
      </c>
      <c r="N879" s="10">
        <f>CHOOSE(CONTROL!$C$42, 30.3763, 30.3763) * CHOOSE(CONTROL!$C$21, $C$9, 100%, $E$9)</f>
        <v>30.376300000000001</v>
      </c>
      <c r="O879" s="10">
        <f>CHOOSE(CONTROL!$C$42, 30.4478, 30.4478) * CHOOSE(CONTROL!$C$21, $C$9, 100%, $E$9)</f>
        <v>30.447800000000001</v>
      </c>
      <c r="P879" s="10">
        <f>CHOOSE(CONTROL!$C$42, 30.3931, 30.3931) * CHOOSE(CONTROL!$C$21, $C$9, 100%, $E$9)</f>
        <v>30.3931</v>
      </c>
      <c r="Q879" s="10">
        <f>CHOOSE(CONTROL!$C$42, 31.0431, 31.0431) * CHOOSE(CONTROL!$C$21, $C$9, 100%, $E$9)</f>
        <v>31.043099999999999</v>
      </c>
      <c r="R879" s="10">
        <f>CHOOSE(CONTROL!$C$42, 31.7077, 31.7077) * CHOOSE(CONTROL!$C$21, $C$9, 100%, $E$9)</f>
        <v>31.707699999999999</v>
      </c>
      <c r="S879" s="10">
        <f>CHOOSE(CONTROL!$C$42, 29.7928, 29.7928) * CHOOSE(CONTROL!$C$21, $C$9, 100%, $E$9)</f>
        <v>29.7928</v>
      </c>
      <c r="T87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38">
        <f>(1000*CHOOSE(CONTROL!$C$42, 695, 695)*CHOOSE(CONTROL!$C$42, 0.5599, 0.5599)*CHOOSE(CONTROL!$C$42, 31, 31))/1000000</f>
        <v>12.063045499999998</v>
      </c>
      <c r="V879" s="38">
        <f>(1000*CHOOSE(CONTROL!$C$42, 500, 500)*CHOOSE(CONTROL!$C$42, 0.275, 0.275)*CHOOSE(CONTROL!$C$42, 31, 31))/1000000</f>
        <v>4.2625000000000002</v>
      </c>
      <c r="W879" s="38">
        <f>(1000*CHOOSE(CONTROL!$C$42, 0.1146, 0.1146)*CHOOSE(CONTROL!$C$42, 121.5, 121.5)*CHOOSE(CONTROL!$C$42, 31, 31))/1000000</f>
        <v>0.43164089999999994</v>
      </c>
      <c r="X879" s="38">
        <f>(31*0.1790888*100000/1000000)+(31*0.2374*100000/1000000)</f>
        <v>1.2911152800000001</v>
      </c>
      <c r="Y879" s="38">
        <f>(1000*600*CHOOSE(CONTROL!$C$42, 1.0585, 1.0585)*CHOOSE(CONTROL!$C$42, 31, 31))/1000000</f>
        <v>19.688099999999999</v>
      </c>
      <c r="Z879" s="38"/>
      <c r="AA879" s="10"/>
      <c r="AB879" s="39"/>
      <c r="AC879" s="33">
        <f>(B879*122.58+C879*297.941+D879*89.177+E879*40.302+F879*40+G879*160+H879*0+I879*100+J879*300)/(122.58+297.941+89.177+40.302+0+40+160+100+300)</f>
        <v>30.750219838782606</v>
      </c>
      <c r="AD879" s="27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30.404873381294969</v>
      </c>
    </row>
    <row r="880" spans="1:30" ht="15.75" x14ac:dyDescent="0.25">
      <c r="A880" s="13">
        <v>68057</v>
      </c>
      <c r="B880" s="10">
        <f>CHOOSE(CONTROL!$C$42, 30.6595, 30.6595) * CHOOSE(CONTROL!$C$21, $C$9, 100%, $E$9)</f>
        <v>30.659500000000001</v>
      </c>
      <c r="C880" s="10">
        <f>CHOOSE(CONTROL!$C$42, 30.6641, 30.6641) * CHOOSE(CONTROL!$C$21, $C$9, 100%, $E$9)</f>
        <v>30.664100000000001</v>
      </c>
      <c r="D880" s="10">
        <f>CHOOSE(CONTROL!$C$42, 30.8423, 30.8423) * CHOOSE(CONTROL!$C$21, $C$9, 100%, $E$9)</f>
        <v>30.842300000000002</v>
      </c>
      <c r="E880" s="10">
        <f>CHOOSE(CONTROL!$C$42, 30.8741, 30.8741) * CHOOSE(CONTROL!$C$21, $C$9, 100%, $E$9)</f>
        <v>30.874099999999999</v>
      </c>
      <c r="F880" s="10">
        <f>CHOOSE(CONTROL!$C$42, 30.603, 30.603)*CHOOSE(CONTROL!$C$21, $C$9, 100%, $E$9)</f>
        <v>30.603000000000002</v>
      </c>
      <c r="G880" s="10">
        <f>CHOOSE(CONTROL!$C$42, 30.6196, 30.6196)*CHOOSE(CONTROL!$C$21, $C$9, 100%, $E$9)</f>
        <v>30.619599999999998</v>
      </c>
      <c r="H880" s="10">
        <f>CHOOSE(CONTROL!$C$42, 30.8636, 30.8636) * CHOOSE(CONTROL!$C$21, $C$9, 100%, $E$9)</f>
        <v>30.863600000000002</v>
      </c>
      <c r="I880" s="10">
        <f>CHOOSE(CONTROL!$C$42, 30.6356, 30.6356)* CHOOSE(CONTROL!$C$21, $C$9, 100%, $E$9)</f>
        <v>30.6356</v>
      </c>
      <c r="J880" s="10">
        <f>CHOOSE(CONTROL!$C$42, 30.5956, 30.5956)* CHOOSE(CONTROL!$C$21, $C$9, 100%, $E$9)</f>
        <v>30.595600000000001</v>
      </c>
      <c r="K880" s="10">
        <f>CHOOSE(CONTROL!$C$42, 29.8367, 29.8367) * CHOOSE(CONTROL!$C$21, $C$9, 100%, $E$9)</f>
        <v>29.8367</v>
      </c>
      <c r="L880" s="10">
        <f>CHOOSE(CONTROL!$C$42, 31.4506, 31.4506) * CHOOSE(CONTROL!$C$21, $C$9, 100%, $E$9)</f>
        <v>31.450600000000001</v>
      </c>
      <c r="M880" s="10">
        <f>CHOOSE(CONTROL!$C$42, 30.2326, 30.2326) * CHOOSE(CONTROL!$C$21, $C$9, 100%, $E$9)</f>
        <v>30.232600000000001</v>
      </c>
      <c r="N880" s="10">
        <f>CHOOSE(CONTROL!$C$42, 30.2489, 30.2489) * CHOOSE(CONTROL!$C$21, $C$9, 100%, $E$9)</f>
        <v>30.248899999999999</v>
      </c>
      <c r="O880" s="10">
        <f>CHOOSE(CONTROL!$C$42, 30.4971, 30.4971) * CHOOSE(CONTROL!$C$21, $C$9, 100%, $E$9)</f>
        <v>30.4971</v>
      </c>
      <c r="P880" s="10">
        <f>CHOOSE(CONTROL!$C$42, 30.2721, 30.2721) * CHOOSE(CONTROL!$C$21, $C$9, 100%, $E$9)</f>
        <v>30.272099999999998</v>
      </c>
      <c r="Q880" s="10">
        <f>CHOOSE(CONTROL!$C$42, 31.0924, 31.0924) * CHOOSE(CONTROL!$C$21, $C$9, 100%, $E$9)</f>
        <v>31.092400000000001</v>
      </c>
      <c r="R880" s="10">
        <f>CHOOSE(CONTROL!$C$42, 31.7571, 31.7571) * CHOOSE(CONTROL!$C$21, $C$9, 100%, $E$9)</f>
        <v>31.757100000000001</v>
      </c>
      <c r="S880" s="10">
        <f>CHOOSE(CONTROL!$C$42, 29.7036, 29.7036) * CHOOSE(CONTROL!$C$21, $C$9, 100%, $E$9)</f>
        <v>29.703600000000002</v>
      </c>
      <c r="T88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38">
        <f>(1000*CHOOSE(CONTROL!$C$42, 695, 695)*CHOOSE(CONTROL!$C$42, 0.5599, 0.5599)*CHOOSE(CONTROL!$C$42, 30, 30))/1000000</f>
        <v>11.673914999999997</v>
      </c>
      <c r="V880" s="38">
        <f>(1000*CHOOSE(CONTROL!$C$42, 500, 500)*CHOOSE(CONTROL!$C$42, 0.275, 0.275)*CHOOSE(CONTROL!$C$42, 30, 30))/1000000</f>
        <v>4.125</v>
      </c>
      <c r="W880" s="38">
        <f>(1000*CHOOSE(CONTROL!$C$42, 0.1146, 0.1146)*CHOOSE(CONTROL!$C$42, 121.5, 121.5)*CHOOSE(CONTROL!$C$42, 30, 30))/1000000</f>
        <v>0.417717</v>
      </c>
      <c r="X880" s="38">
        <f>(30*0.1790888*245000/1000000)+(30*0.2374*100000/1000000)</f>
        <v>2.0285026799999999</v>
      </c>
      <c r="Y880" s="38">
        <f>(1000*600*CHOOSE(CONTROL!$C$42, 1.0585, 1.0585)*CHOOSE(CONTROL!$C$42, 30, 30))/1000000</f>
        <v>19.053000000000001</v>
      </c>
      <c r="Z880" s="38"/>
      <c r="AA880" s="10"/>
      <c r="AB880" s="39"/>
      <c r="AC880" s="33">
        <f>(B880*141.293+C880*267.993+D880*115.016+E880*89.698+F880*40+G880*185+H880*0+I880*100+J880*300)/(141.293+267.993+115.016+89.698+0+40+185+100+300)</f>
        <v>30.667817500726397</v>
      </c>
      <c r="AD880" s="27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30.35910287769784</v>
      </c>
    </row>
    <row r="881" spans="1:30" ht="15.75" x14ac:dyDescent="0.25">
      <c r="A881" s="13">
        <v>68088</v>
      </c>
      <c r="B881" s="10">
        <f>CHOOSE(CONTROL!$C$42, 30.932, 30.932) * CHOOSE(CONTROL!$C$21, $C$9, 100%, $E$9)</f>
        <v>30.931999999999999</v>
      </c>
      <c r="C881" s="10">
        <f>CHOOSE(CONTROL!$C$42, 30.94, 30.94) * CHOOSE(CONTROL!$C$21, $C$9, 100%, $E$9)</f>
        <v>30.94</v>
      </c>
      <c r="D881" s="10">
        <f>CHOOSE(CONTROL!$C$42, 31.1152, 31.1152) * CHOOSE(CONTROL!$C$21, $C$9, 100%, $E$9)</f>
        <v>31.115200000000002</v>
      </c>
      <c r="E881" s="10">
        <f>CHOOSE(CONTROL!$C$42, 31.1464, 31.1464) * CHOOSE(CONTROL!$C$21, $C$9, 100%, $E$9)</f>
        <v>31.1464</v>
      </c>
      <c r="F881" s="10">
        <f>CHOOSE(CONTROL!$C$42, 30.8737, 30.8737)*CHOOSE(CONTROL!$C$21, $C$9, 100%, $E$9)</f>
        <v>30.873699999999999</v>
      </c>
      <c r="G881" s="10">
        <f>CHOOSE(CONTROL!$C$42, 30.8906, 30.8906)*CHOOSE(CONTROL!$C$21, $C$9, 100%, $E$9)</f>
        <v>30.890599999999999</v>
      </c>
      <c r="H881" s="10">
        <f>CHOOSE(CONTROL!$C$42, 31.1347, 31.1347) * CHOOSE(CONTROL!$C$21, $C$9, 100%, $E$9)</f>
        <v>31.134699999999999</v>
      </c>
      <c r="I881" s="10">
        <f>CHOOSE(CONTROL!$C$42, 30.9067, 30.9067)* CHOOSE(CONTROL!$C$21, $C$9, 100%, $E$9)</f>
        <v>30.906700000000001</v>
      </c>
      <c r="J881" s="10">
        <f>CHOOSE(CONTROL!$C$42, 30.8663, 30.8663)* CHOOSE(CONTROL!$C$21, $C$9, 100%, $E$9)</f>
        <v>30.866299999999999</v>
      </c>
      <c r="K881" s="10">
        <f>CHOOSE(CONTROL!$C$42, 30.0985, 30.0985) * CHOOSE(CONTROL!$C$21, $C$9, 100%, $E$9)</f>
        <v>30.098500000000001</v>
      </c>
      <c r="L881" s="10">
        <f>CHOOSE(CONTROL!$C$42, 31.7217, 31.7217) * CHOOSE(CONTROL!$C$21, $C$9, 100%, $E$9)</f>
        <v>31.721699999999998</v>
      </c>
      <c r="M881" s="10">
        <f>CHOOSE(CONTROL!$C$42, 30.4998, 30.4998) * CHOOSE(CONTROL!$C$21, $C$9, 100%, $E$9)</f>
        <v>30.4998</v>
      </c>
      <c r="N881" s="10">
        <f>CHOOSE(CONTROL!$C$42, 30.5165, 30.5165) * CHOOSE(CONTROL!$C$21, $C$9, 100%, $E$9)</f>
        <v>30.516500000000001</v>
      </c>
      <c r="O881" s="10">
        <f>CHOOSE(CONTROL!$C$42, 30.7647, 30.7647) * CHOOSE(CONTROL!$C$21, $C$9, 100%, $E$9)</f>
        <v>30.764700000000001</v>
      </c>
      <c r="P881" s="10">
        <f>CHOOSE(CONTROL!$C$42, 30.5397, 30.5397) * CHOOSE(CONTROL!$C$21, $C$9, 100%, $E$9)</f>
        <v>30.5397</v>
      </c>
      <c r="Q881" s="10">
        <f>CHOOSE(CONTROL!$C$42, 31.36, 31.36) * CHOOSE(CONTROL!$C$21, $C$9, 100%, $E$9)</f>
        <v>31.36</v>
      </c>
      <c r="R881" s="10">
        <f>CHOOSE(CONTROL!$C$42, 32.0254, 32.0254) * CHOOSE(CONTROL!$C$21, $C$9, 100%, $E$9)</f>
        <v>32.025399999999998</v>
      </c>
      <c r="S881" s="10">
        <f>CHOOSE(CONTROL!$C$42, 29.9661, 29.9661) * CHOOSE(CONTROL!$C$21, $C$9, 100%, $E$9)</f>
        <v>29.966100000000001</v>
      </c>
      <c r="T88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38">
        <f>(1000*CHOOSE(CONTROL!$C$42, 695, 695)*CHOOSE(CONTROL!$C$42, 0.5599, 0.5599)*CHOOSE(CONTROL!$C$42, 31, 31))/1000000</f>
        <v>12.063045499999998</v>
      </c>
      <c r="V881" s="38">
        <f>(1000*CHOOSE(CONTROL!$C$42, 500, 500)*CHOOSE(CONTROL!$C$42, 0.275, 0.275)*CHOOSE(CONTROL!$C$42, 31, 31))/1000000</f>
        <v>4.2625000000000002</v>
      </c>
      <c r="W881" s="38">
        <f>(1000*CHOOSE(CONTROL!$C$42, 0.1146, 0.1146)*CHOOSE(CONTROL!$C$42, 121.5, 121.5)*CHOOSE(CONTROL!$C$42, 31, 31))/1000000</f>
        <v>0.43164089999999994</v>
      </c>
      <c r="X881" s="38">
        <f>(31*0.1790888*245000/1000000)+(31*0.2374*100000/1000000)</f>
        <v>2.0961194359999999</v>
      </c>
      <c r="Y881" s="38">
        <f>(1000*600*CHOOSE(CONTROL!$C$42, 1.0585, 1.0585)*CHOOSE(CONTROL!$C$42, 31, 31))/1000000</f>
        <v>19.688099999999999</v>
      </c>
      <c r="Z881" s="38"/>
      <c r="AA881" s="10"/>
      <c r="AB881" s="39"/>
      <c r="AC881" s="33">
        <f>(B881*194.205+C881*267.466+D881*133.845+E881*53.484+F881*40+G881*185+H881*0+I881*100+J881*300)/(194.205+267.466+133.845+53.484+0+40+185+100+300)</f>
        <v>30.936628023233908</v>
      </c>
      <c r="AD881" s="27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30.626564748201442</v>
      </c>
    </row>
    <row r="882" spans="1:30" ht="15.75" x14ac:dyDescent="0.25">
      <c r="A882" s="13">
        <v>68118</v>
      </c>
      <c r="B882" s="10">
        <f>CHOOSE(CONTROL!$C$42, 31.8099, 31.8099) * CHOOSE(CONTROL!$C$21, $C$9, 100%, $E$9)</f>
        <v>31.809899999999999</v>
      </c>
      <c r="C882" s="10">
        <f>CHOOSE(CONTROL!$C$42, 31.8179, 31.8179) * CHOOSE(CONTROL!$C$21, $C$9, 100%, $E$9)</f>
        <v>31.817900000000002</v>
      </c>
      <c r="D882" s="10">
        <f>CHOOSE(CONTROL!$C$42, 31.993, 31.993) * CHOOSE(CONTROL!$C$21, $C$9, 100%, $E$9)</f>
        <v>31.992999999999999</v>
      </c>
      <c r="E882" s="10">
        <f>CHOOSE(CONTROL!$C$42, 32.0242, 32.0242) * CHOOSE(CONTROL!$C$21, $C$9, 100%, $E$9)</f>
        <v>32.0242</v>
      </c>
      <c r="F882" s="10">
        <f>CHOOSE(CONTROL!$C$42, 31.7517, 31.7517)*CHOOSE(CONTROL!$C$21, $C$9, 100%, $E$9)</f>
        <v>31.7517</v>
      </c>
      <c r="G882" s="10">
        <f>CHOOSE(CONTROL!$C$42, 31.7687, 31.7687)*CHOOSE(CONTROL!$C$21, $C$9, 100%, $E$9)</f>
        <v>31.768699999999999</v>
      </c>
      <c r="H882" s="10">
        <f>CHOOSE(CONTROL!$C$42, 32.0125, 32.0125) * CHOOSE(CONTROL!$C$21, $C$9, 100%, $E$9)</f>
        <v>32.012500000000003</v>
      </c>
      <c r="I882" s="10">
        <f>CHOOSE(CONTROL!$C$42, 31.7845, 31.7845)* CHOOSE(CONTROL!$C$21, $C$9, 100%, $E$9)</f>
        <v>31.784500000000001</v>
      </c>
      <c r="J882" s="10">
        <f>CHOOSE(CONTROL!$C$42, 31.7443, 31.7443)* CHOOSE(CONTROL!$C$21, $C$9, 100%, $E$9)</f>
        <v>31.744299999999999</v>
      </c>
      <c r="K882" s="10">
        <f>CHOOSE(CONTROL!$C$42, 30.9494, 30.9494) * CHOOSE(CONTROL!$C$21, $C$9, 100%, $E$9)</f>
        <v>30.949400000000001</v>
      </c>
      <c r="L882" s="10">
        <f>CHOOSE(CONTROL!$C$42, 32.5995, 32.5995) * CHOOSE(CONTROL!$C$21, $C$9, 100%, $E$9)</f>
        <v>32.599499999999999</v>
      </c>
      <c r="M882" s="10">
        <f>CHOOSE(CONTROL!$C$42, 31.3664, 31.3664) * CHOOSE(CONTROL!$C$21, $C$9, 100%, $E$9)</f>
        <v>31.366399999999999</v>
      </c>
      <c r="N882" s="10">
        <f>CHOOSE(CONTROL!$C$42, 31.3832, 31.3832) * CHOOSE(CONTROL!$C$21, $C$9, 100%, $E$9)</f>
        <v>31.383199999999999</v>
      </c>
      <c r="O882" s="10">
        <f>CHOOSE(CONTROL!$C$42, 31.6312, 31.6312) * CHOOSE(CONTROL!$C$21, $C$9, 100%, $E$9)</f>
        <v>31.6312</v>
      </c>
      <c r="P882" s="10">
        <f>CHOOSE(CONTROL!$C$42, 31.4061, 31.4061) * CHOOSE(CONTROL!$C$21, $C$9, 100%, $E$9)</f>
        <v>31.406099999999999</v>
      </c>
      <c r="Q882" s="10">
        <f>CHOOSE(CONTROL!$C$42, 32.2265, 32.2265) * CHOOSE(CONTROL!$C$21, $C$9, 100%, $E$9)</f>
        <v>32.226500000000001</v>
      </c>
      <c r="R882" s="10">
        <f>CHOOSE(CONTROL!$C$42, 32.894, 32.894) * CHOOSE(CONTROL!$C$21, $C$9, 100%, $E$9)</f>
        <v>32.893999999999998</v>
      </c>
      <c r="S882" s="10">
        <f>CHOOSE(CONTROL!$C$42, 30.8161, 30.8161) * CHOOSE(CONTROL!$C$21, $C$9, 100%, $E$9)</f>
        <v>30.816099999999999</v>
      </c>
      <c r="T88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38">
        <f>(1000*CHOOSE(CONTROL!$C$42, 695, 695)*CHOOSE(CONTROL!$C$42, 0.5599, 0.5599)*CHOOSE(CONTROL!$C$42, 30, 30))/1000000</f>
        <v>11.673914999999997</v>
      </c>
      <c r="V882" s="38">
        <f>(1000*CHOOSE(CONTROL!$C$42, 500, 500)*CHOOSE(CONTROL!$C$42, 0.275, 0.275)*CHOOSE(CONTROL!$C$42, 30, 30))/1000000</f>
        <v>4.125</v>
      </c>
      <c r="W882" s="38">
        <f>(1000*CHOOSE(CONTROL!$C$42, 0.1146, 0.1146)*CHOOSE(CONTROL!$C$42, 121.5, 121.5)*CHOOSE(CONTROL!$C$42, 30, 30))/1000000</f>
        <v>0.417717</v>
      </c>
      <c r="X882" s="38">
        <f>(30*0.1790888*245000/1000000)+(30*0.2374*100000/1000000)</f>
        <v>2.0285026799999999</v>
      </c>
      <c r="Y882" s="38">
        <f>(1000*600*CHOOSE(CONTROL!$C$42, 1.0585, 1.0585)*CHOOSE(CONTROL!$C$42, 30, 30))/1000000</f>
        <v>19.053000000000001</v>
      </c>
      <c r="Z882" s="38"/>
      <c r="AA882" s="10"/>
      <c r="AB882" s="39"/>
      <c r="AC882" s="33">
        <f>(B882*194.205+C882*267.466+D882*133.845+E882*53.484+F882*40+G882*185+H882*0+I882*100+J882*300)/(194.205+267.466+133.845+53.484+0+40+185+100+300)</f>
        <v>31.81456119992151</v>
      </c>
      <c r="AD882" s="27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31.493096402877693</v>
      </c>
    </row>
    <row r="883" spans="1:30" ht="15.75" x14ac:dyDescent="0.25">
      <c r="A883" s="13">
        <v>68149</v>
      </c>
      <c r="B883" s="10">
        <f>CHOOSE(CONTROL!$C$42, 31.1993, 31.1993) * CHOOSE(CONTROL!$C$21, $C$9, 100%, $E$9)</f>
        <v>31.199300000000001</v>
      </c>
      <c r="C883" s="10">
        <f>CHOOSE(CONTROL!$C$42, 31.2073, 31.2073) * CHOOSE(CONTROL!$C$21, $C$9, 100%, $E$9)</f>
        <v>31.2073</v>
      </c>
      <c r="D883" s="10">
        <f>CHOOSE(CONTROL!$C$42, 31.3825, 31.3825) * CHOOSE(CONTROL!$C$21, $C$9, 100%, $E$9)</f>
        <v>31.3825</v>
      </c>
      <c r="E883" s="10">
        <f>CHOOSE(CONTROL!$C$42, 31.4137, 31.4137) * CHOOSE(CONTROL!$C$21, $C$9, 100%, $E$9)</f>
        <v>31.413699999999999</v>
      </c>
      <c r="F883" s="10">
        <f>CHOOSE(CONTROL!$C$42, 31.1416, 31.1416)*CHOOSE(CONTROL!$C$21, $C$9, 100%, $E$9)</f>
        <v>31.1416</v>
      </c>
      <c r="G883" s="10">
        <f>CHOOSE(CONTROL!$C$42, 31.1586, 31.1586)*CHOOSE(CONTROL!$C$21, $C$9, 100%, $E$9)</f>
        <v>31.1586</v>
      </c>
      <c r="H883" s="10">
        <f>CHOOSE(CONTROL!$C$42, 31.402, 31.402) * CHOOSE(CONTROL!$C$21, $C$9, 100%, $E$9)</f>
        <v>31.402000000000001</v>
      </c>
      <c r="I883" s="10">
        <f>CHOOSE(CONTROL!$C$42, 31.174, 31.174)* CHOOSE(CONTROL!$C$21, $C$9, 100%, $E$9)</f>
        <v>31.173999999999999</v>
      </c>
      <c r="J883" s="10">
        <f>CHOOSE(CONTROL!$C$42, 31.1342, 31.1342)* CHOOSE(CONTROL!$C$21, $C$9, 100%, $E$9)</f>
        <v>31.1342</v>
      </c>
      <c r="K883" s="10">
        <f>CHOOSE(CONTROL!$C$42, 30.3586, 30.3586) * CHOOSE(CONTROL!$C$21, $C$9, 100%, $E$9)</f>
        <v>30.358599999999999</v>
      </c>
      <c r="L883" s="10">
        <f>CHOOSE(CONTROL!$C$42, 31.989, 31.989) * CHOOSE(CONTROL!$C$21, $C$9, 100%, $E$9)</f>
        <v>31.989000000000001</v>
      </c>
      <c r="M883" s="10">
        <f>CHOOSE(CONTROL!$C$42, 30.7641, 30.7641) * CHOOSE(CONTROL!$C$21, $C$9, 100%, $E$9)</f>
        <v>30.764099999999999</v>
      </c>
      <c r="N883" s="10">
        <f>CHOOSE(CONTROL!$C$42, 30.781, 30.781) * CHOOSE(CONTROL!$C$21, $C$9, 100%, $E$9)</f>
        <v>30.780999999999999</v>
      </c>
      <c r="O883" s="10">
        <f>CHOOSE(CONTROL!$C$42, 31.0285, 31.0285) * CHOOSE(CONTROL!$C$21, $C$9, 100%, $E$9)</f>
        <v>31.028500000000001</v>
      </c>
      <c r="P883" s="10">
        <f>CHOOSE(CONTROL!$C$42, 30.8035, 30.8035) * CHOOSE(CONTROL!$C$21, $C$9, 100%, $E$9)</f>
        <v>30.8035</v>
      </c>
      <c r="Q883" s="10">
        <f>CHOOSE(CONTROL!$C$42, 31.6238, 31.6238) * CHOOSE(CONTROL!$C$21, $C$9, 100%, $E$9)</f>
        <v>31.623799999999999</v>
      </c>
      <c r="R883" s="10">
        <f>CHOOSE(CONTROL!$C$42, 32.2899, 32.2899) * CHOOSE(CONTROL!$C$21, $C$9, 100%, $E$9)</f>
        <v>32.289900000000003</v>
      </c>
      <c r="S883" s="10">
        <f>CHOOSE(CONTROL!$C$42, 30.2249, 30.2249) * CHOOSE(CONTROL!$C$21, $C$9, 100%, $E$9)</f>
        <v>30.224900000000002</v>
      </c>
      <c r="T88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38">
        <f>(1000*CHOOSE(CONTROL!$C$42, 695, 695)*CHOOSE(CONTROL!$C$42, 0.5599, 0.5599)*CHOOSE(CONTROL!$C$42, 31, 31))/1000000</f>
        <v>12.063045499999998</v>
      </c>
      <c r="V883" s="38">
        <f>(1000*CHOOSE(CONTROL!$C$42, 500, 500)*CHOOSE(CONTROL!$C$42, 0.275, 0.275)*CHOOSE(CONTROL!$C$42, 31, 31))/1000000</f>
        <v>4.2625000000000002</v>
      </c>
      <c r="W883" s="38">
        <f>(1000*CHOOSE(CONTROL!$C$42, 0.1146, 0.1146)*CHOOSE(CONTROL!$C$42, 121.5, 121.5)*CHOOSE(CONTROL!$C$42, 31, 31))/1000000</f>
        <v>0.43164089999999994</v>
      </c>
      <c r="X883" s="38">
        <f>(31*0.1790888*245000/1000000)+(31*0.2374*100000/1000000)</f>
        <v>2.0961194359999999</v>
      </c>
      <c r="Y883" s="38">
        <f>(1000*600*CHOOSE(CONTROL!$C$42, 1.0585, 1.0585)*CHOOSE(CONTROL!$C$42, 31, 31))/1000000</f>
        <v>19.688099999999999</v>
      </c>
      <c r="Z883" s="38"/>
      <c r="AA883" s="10"/>
      <c r="AB883" s="39"/>
      <c r="AC883" s="33">
        <f>(B883*194.205+C883*267.466+D883*133.845+E883*53.484+F883*40+G883*185+H883*0+I883*100+J883*300)/(194.205+267.466+133.845+53.484+0+40+185+100+300)</f>
        <v>31.204189797174255</v>
      </c>
      <c r="AD883" s="27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30.890577697841724</v>
      </c>
    </row>
    <row r="884" spans="1:30" ht="15.75" x14ac:dyDescent="0.25">
      <c r="A884" s="13">
        <v>68180</v>
      </c>
      <c r="B884" s="10">
        <f>CHOOSE(CONTROL!$C$42, 29.6575, 29.6575) * CHOOSE(CONTROL!$C$21, $C$9, 100%, $E$9)</f>
        <v>29.657499999999999</v>
      </c>
      <c r="C884" s="10">
        <f>CHOOSE(CONTROL!$C$42, 29.6655, 29.6655) * CHOOSE(CONTROL!$C$21, $C$9, 100%, $E$9)</f>
        <v>29.665500000000002</v>
      </c>
      <c r="D884" s="10">
        <f>CHOOSE(CONTROL!$C$42, 29.8407, 29.8407) * CHOOSE(CONTROL!$C$21, $C$9, 100%, $E$9)</f>
        <v>29.840699999999998</v>
      </c>
      <c r="E884" s="10">
        <f>CHOOSE(CONTROL!$C$42, 29.8719, 29.8719) * CHOOSE(CONTROL!$C$21, $C$9, 100%, $E$9)</f>
        <v>29.8719</v>
      </c>
      <c r="F884" s="10">
        <f>CHOOSE(CONTROL!$C$42, 29.5997, 29.5997)*CHOOSE(CONTROL!$C$21, $C$9, 100%, $E$9)</f>
        <v>29.599699999999999</v>
      </c>
      <c r="G884" s="10">
        <f>CHOOSE(CONTROL!$C$42, 29.6167, 29.6167)*CHOOSE(CONTROL!$C$21, $C$9, 100%, $E$9)</f>
        <v>29.616700000000002</v>
      </c>
      <c r="H884" s="10">
        <f>CHOOSE(CONTROL!$C$42, 29.8602, 29.8602) * CHOOSE(CONTROL!$C$21, $C$9, 100%, $E$9)</f>
        <v>29.860199999999999</v>
      </c>
      <c r="I884" s="10">
        <f>CHOOSE(CONTROL!$C$42, 29.6322, 29.6322)* CHOOSE(CONTROL!$C$21, $C$9, 100%, $E$9)</f>
        <v>29.632200000000001</v>
      </c>
      <c r="J884" s="10">
        <f>CHOOSE(CONTROL!$C$42, 29.5923, 29.5923)* CHOOSE(CONTROL!$C$21, $C$9, 100%, $E$9)</f>
        <v>29.592300000000002</v>
      </c>
      <c r="K884" s="10">
        <f>CHOOSE(CONTROL!$C$42, 28.8647, 28.8647) * CHOOSE(CONTROL!$C$21, $C$9, 100%, $E$9)</f>
        <v>28.864699999999999</v>
      </c>
      <c r="L884" s="10">
        <f>CHOOSE(CONTROL!$C$42, 30.4472, 30.4472) * CHOOSE(CONTROL!$C$21, $C$9, 100%, $E$9)</f>
        <v>30.447199999999999</v>
      </c>
      <c r="M884" s="10">
        <f>CHOOSE(CONTROL!$C$42, 29.2422, 29.2422) * CHOOSE(CONTROL!$C$21, $C$9, 100%, $E$9)</f>
        <v>29.2422</v>
      </c>
      <c r="N884" s="10">
        <f>CHOOSE(CONTROL!$C$42, 29.259, 29.259) * CHOOSE(CONTROL!$C$21, $C$9, 100%, $E$9)</f>
        <v>29.259</v>
      </c>
      <c r="O884" s="10">
        <f>CHOOSE(CONTROL!$C$42, 29.5067, 29.5067) * CHOOSE(CONTROL!$C$21, $C$9, 100%, $E$9)</f>
        <v>29.506699999999999</v>
      </c>
      <c r="P884" s="10">
        <f>CHOOSE(CONTROL!$C$42, 29.2817, 29.2817) * CHOOSE(CONTROL!$C$21, $C$9, 100%, $E$9)</f>
        <v>29.281700000000001</v>
      </c>
      <c r="Q884" s="10">
        <f>CHOOSE(CONTROL!$C$42, 30.102, 30.102) * CHOOSE(CONTROL!$C$21, $C$9, 100%, $E$9)</f>
        <v>30.102</v>
      </c>
      <c r="R884" s="10">
        <f>CHOOSE(CONTROL!$C$42, 30.7643, 30.7643) * CHOOSE(CONTROL!$C$21, $C$9, 100%, $E$9)</f>
        <v>30.764299999999999</v>
      </c>
      <c r="S884" s="10">
        <f>CHOOSE(CONTROL!$C$42, 28.732, 28.732) * CHOOSE(CONTROL!$C$21, $C$9, 100%, $E$9)</f>
        <v>28.731999999999999</v>
      </c>
      <c r="T88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38">
        <f>(1000*CHOOSE(CONTROL!$C$42, 695, 695)*CHOOSE(CONTROL!$C$42, 0.5599, 0.5599)*CHOOSE(CONTROL!$C$42, 31, 31))/1000000</f>
        <v>12.063045499999998</v>
      </c>
      <c r="V884" s="38">
        <f>(1000*CHOOSE(CONTROL!$C$42, 500, 500)*CHOOSE(CONTROL!$C$42, 0.275, 0.275)*CHOOSE(CONTROL!$C$42, 31, 31))/1000000</f>
        <v>4.2625000000000002</v>
      </c>
      <c r="W884" s="38">
        <f>(1000*CHOOSE(CONTROL!$C$42, 0.1146, 0.1146)*CHOOSE(CONTROL!$C$42, 121.5, 121.5)*CHOOSE(CONTROL!$C$42, 31, 31))/1000000</f>
        <v>0.43164089999999994</v>
      </c>
      <c r="X884" s="38">
        <f>(31*0.1790888*245000/1000000)+(31*0.2374*100000/1000000)</f>
        <v>2.0961194359999999</v>
      </c>
      <c r="Y884" s="38">
        <f>(1000*600*CHOOSE(CONTROL!$C$42, 1.0585, 1.0585)*CHOOSE(CONTROL!$C$42, 31, 31))/1000000</f>
        <v>19.688099999999999</v>
      </c>
      <c r="Z884" s="38"/>
      <c r="AA884" s="10"/>
      <c r="AB884" s="39"/>
      <c r="AC884" s="33">
        <f>(B884*194.205+C884*267.466+D884*133.845+E884*53.484+F884*40+G884*185+H884*0+I884*100+J884*300)/(194.205+267.466+133.845+53.484+0+40+185+100+300)</f>
        <v>29.66234858838305</v>
      </c>
      <c r="AD884" s="27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29.368731654676257</v>
      </c>
    </row>
    <row r="885" spans="1:30" ht="15.75" x14ac:dyDescent="0.25">
      <c r="A885" s="13">
        <v>68210</v>
      </c>
      <c r="B885" s="10">
        <f>CHOOSE(CONTROL!$C$42, 27.7738, 27.7738) * CHOOSE(CONTROL!$C$21, $C$9, 100%, $E$9)</f>
        <v>27.773800000000001</v>
      </c>
      <c r="C885" s="10">
        <f>CHOOSE(CONTROL!$C$42, 27.7818, 27.7818) * CHOOSE(CONTROL!$C$21, $C$9, 100%, $E$9)</f>
        <v>27.7818</v>
      </c>
      <c r="D885" s="10">
        <f>CHOOSE(CONTROL!$C$42, 27.9569, 27.9569) * CHOOSE(CONTROL!$C$21, $C$9, 100%, $E$9)</f>
        <v>27.956900000000001</v>
      </c>
      <c r="E885" s="10">
        <f>CHOOSE(CONTROL!$C$42, 27.9881, 27.9881) * CHOOSE(CONTROL!$C$21, $C$9, 100%, $E$9)</f>
        <v>27.988099999999999</v>
      </c>
      <c r="F885" s="10">
        <f>CHOOSE(CONTROL!$C$42, 27.7156, 27.7156)*CHOOSE(CONTROL!$C$21, $C$9, 100%, $E$9)</f>
        <v>27.715599999999998</v>
      </c>
      <c r="G885" s="10">
        <f>CHOOSE(CONTROL!$C$42, 27.7325, 27.7325)*CHOOSE(CONTROL!$C$21, $C$9, 100%, $E$9)</f>
        <v>27.732500000000002</v>
      </c>
      <c r="H885" s="10">
        <f>CHOOSE(CONTROL!$C$42, 27.9764, 27.9764) * CHOOSE(CONTROL!$C$21, $C$9, 100%, $E$9)</f>
        <v>27.976400000000002</v>
      </c>
      <c r="I885" s="10">
        <f>CHOOSE(CONTROL!$C$42, 27.7484, 27.7484)* CHOOSE(CONTROL!$C$21, $C$9, 100%, $E$9)</f>
        <v>27.7484</v>
      </c>
      <c r="J885" s="10">
        <f>CHOOSE(CONTROL!$C$42, 27.7082, 27.7082)* CHOOSE(CONTROL!$C$21, $C$9, 100%, $E$9)</f>
        <v>27.708200000000001</v>
      </c>
      <c r="K885" s="10">
        <f>CHOOSE(CONTROL!$C$42, 27.0391, 27.0391) * CHOOSE(CONTROL!$C$21, $C$9, 100%, $E$9)</f>
        <v>27.039100000000001</v>
      </c>
      <c r="L885" s="10">
        <f>CHOOSE(CONTROL!$C$42, 28.5634, 28.5634) * CHOOSE(CONTROL!$C$21, $C$9, 100%, $E$9)</f>
        <v>28.563400000000001</v>
      </c>
      <c r="M885" s="10">
        <f>CHOOSE(CONTROL!$C$42, 27.3825, 27.3825) * CHOOSE(CONTROL!$C$21, $C$9, 100%, $E$9)</f>
        <v>27.3825</v>
      </c>
      <c r="N885" s="10">
        <f>CHOOSE(CONTROL!$C$42, 27.3992, 27.3992) * CHOOSE(CONTROL!$C$21, $C$9, 100%, $E$9)</f>
        <v>27.3992</v>
      </c>
      <c r="O885" s="10">
        <f>CHOOSE(CONTROL!$C$42, 27.6473, 27.6473) * CHOOSE(CONTROL!$C$21, $C$9, 100%, $E$9)</f>
        <v>27.647300000000001</v>
      </c>
      <c r="P885" s="10">
        <f>CHOOSE(CONTROL!$C$42, 27.4223, 27.4223) * CHOOSE(CONTROL!$C$21, $C$9, 100%, $E$9)</f>
        <v>27.4223</v>
      </c>
      <c r="Q885" s="10">
        <f>CHOOSE(CONTROL!$C$42, 28.2426, 28.2426) * CHOOSE(CONTROL!$C$21, $C$9, 100%, $E$9)</f>
        <v>28.242599999999999</v>
      </c>
      <c r="R885" s="10">
        <f>CHOOSE(CONTROL!$C$42, 28.9002, 28.9002) * CHOOSE(CONTROL!$C$21, $C$9, 100%, $E$9)</f>
        <v>28.900200000000002</v>
      </c>
      <c r="S885" s="10">
        <f>CHOOSE(CONTROL!$C$42, 26.9079, 26.9079) * CHOOSE(CONTROL!$C$21, $C$9, 100%, $E$9)</f>
        <v>26.907900000000001</v>
      </c>
      <c r="T88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38">
        <f>(1000*CHOOSE(CONTROL!$C$42, 695, 695)*CHOOSE(CONTROL!$C$42, 0.5599, 0.5599)*CHOOSE(CONTROL!$C$42, 30, 30))/1000000</f>
        <v>11.673914999999997</v>
      </c>
      <c r="V885" s="38">
        <f>(1000*CHOOSE(CONTROL!$C$42, 500, 500)*CHOOSE(CONTROL!$C$42, 0.275, 0.275)*CHOOSE(CONTROL!$C$42, 30, 30))/1000000</f>
        <v>4.125</v>
      </c>
      <c r="W885" s="38">
        <f>(1000*CHOOSE(CONTROL!$C$42, 0.1146, 0.1146)*CHOOSE(CONTROL!$C$42, 121.5, 121.5)*CHOOSE(CONTROL!$C$42, 30, 30))/1000000</f>
        <v>0.417717</v>
      </c>
      <c r="X885" s="38">
        <f>(30*0.1790888*245000/1000000)+(30*0.2374*100000/1000000)</f>
        <v>2.0285026799999999</v>
      </c>
      <c r="Y885" s="38">
        <f>(1000*600*CHOOSE(CONTROL!$C$42, 1.0585, 1.0585)*CHOOSE(CONTROL!$C$42, 30, 30))/1000000</f>
        <v>19.053000000000001</v>
      </c>
      <c r="Z885" s="38"/>
      <c r="AA885" s="10"/>
      <c r="AB885" s="39"/>
      <c r="AC885" s="33">
        <f>(B885*194.205+C885*267.466+D885*133.845+E885*53.484+F885*40+G885*185+H885*0+I885*100+J885*300)/(194.205+267.466+133.845+53.484+0+40+185+100+300)</f>
        <v>27.778446678728415</v>
      </c>
      <c r="AD885" s="27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27.50920503597122</v>
      </c>
    </row>
    <row r="886" spans="1:30" ht="15.75" x14ac:dyDescent="0.25">
      <c r="A886" s="13">
        <v>68241</v>
      </c>
      <c r="B886" s="10">
        <f>CHOOSE(CONTROL!$C$42, 27.2075, 27.2075) * CHOOSE(CONTROL!$C$21, $C$9, 100%, $E$9)</f>
        <v>27.2075</v>
      </c>
      <c r="C886" s="10">
        <f>CHOOSE(CONTROL!$C$42, 27.2128, 27.2128) * CHOOSE(CONTROL!$C$21, $C$9, 100%, $E$9)</f>
        <v>27.212800000000001</v>
      </c>
      <c r="D886" s="10">
        <f>CHOOSE(CONTROL!$C$42, 27.3928, 27.3928) * CHOOSE(CONTROL!$C$21, $C$9, 100%, $E$9)</f>
        <v>27.392800000000001</v>
      </c>
      <c r="E886" s="10">
        <f>CHOOSE(CONTROL!$C$42, 27.4217, 27.4217) * CHOOSE(CONTROL!$C$21, $C$9, 100%, $E$9)</f>
        <v>27.421700000000001</v>
      </c>
      <c r="F886" s="10">
        <f>CHOOSE(CONTROL!$C$42, 27.1512, 27.1512)*CHOOSE(CONTROL!$C$21, $C$9, 100%, $E$9)</f>
        <v>27.151199999999999</v>
      </c>
      <c r="G886" s="10">
        <f>CHOOSE(CONTROL!$C$42, 27.1678, 27.1678)*CHOOSE(CONTROL!$C$21, $C$9, 100%, $E$9)</f>
        <v>27.1678</v>
      </c>
      <c r="H886" s="10">
        <f>CHOOSE(CONTROL!$C$42, 27.4118, 27.4118) * CHOOSE(CONTROL!$C$21, $C$9, 100%, $E$9)</f>
        <v>27.411799999999999</v>
      </c>
      <c r="I886" s="10">
        <f>CHOOSE(CONTROL!$C$42, 27.1838, 27.1838)* CHOOSE(CONTROL!$C$21, $C$9, 100%, $E$9)</f>
        <v>27.183800000000002</v>
      </c>
      <c r="J886" s="10">
        <f>CHOOSE(CONTROL!$C$42, 27.1438, 27.1438)* CHOOSE(CONTROL!$C$21, $C$9, 100%, $E$9)</f>
        <v>27.143799999999999</v>
      </c>
      <c r="K886" s="10">
        <f>CHOOSE(CONTROL!$C$42, 26.4927, 26.4927) * CHOOSE(CONTROL!$C$21, $C$9, 100%, $E$9)</f>
        <v>26.492699999999999</v>
      </c>
      <c r="L886" s="10">
        <f>CHOOSE(CONTROL!$C$42, 27.9988, 27.9988) * CHOOSE(CONTROL!$C$21, $C$9, 100%, $E$9)</f>
        <v>27.998799999999999</v>
      </c>
      <c r="M886" s="10">
        <f>CHOOSE(CONTROL!$C$42, 26.8255, 26.8255) * CHOOSE(CONTROL!$C$21, $C$9, 100%, $E$9)</f>
        <v>26.825500000000002</v>
      </c>
      <c r="N886" s="10">
        <f>CHOOSE(CONTROL!$C$42, 26.8419, 26.8419) * CHOOSE(CONTROL!$C$21, $C$9, 100%, $E$9)</f>
        <v>26.841899999999999</v>
      </c>
      <c r="O886" s="10">
        <f>CHOOSE(CONTROL!$C$42, 27.09, 27.09) * CHOOSE(CONTROL!$C$21, $C$9, 100%, $E$9)</f>
        <v>27.09</v>
      </c>
      <c r="P886" s="10">
        <f>CHOOSE(CONTROL!$C$42, 26.865, 26.865) * CHOOSE(CONTROL!$C$21, $C$9, 100%, $E$9)</f>
        <v>26.864999999999998</v>
      </c>
      <c r="Q886" s="10">
        <f>CHOOSE(CONTROL!$C$42, 27.6853, 27.6853) * CHOOSE(CONTROL!$C$21, $C$9, 100%, $E$9)</f>
        <v>27.685300000000002</v>
      </c>
      <c r="R886" s="10">
        <f>CHOOSE(CONTROL!$C$42, 28.3415, 28.3415) * CHOOSE(CONTROL!$C$21, $C$9, 100%, $E$9)</f>
        <v>28.3415</v>
      </c>
      <c r="S886" s="10">
        <f>CHOOSE(CONTROL!$C$42, 26.3612, 26.3612) * CHOOSE(CONTROL!$C$21, $C$9, 100%, $E$9)</f>
        <v>26.3612</v>
      </c>
      <c r="T88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38">
        <f>(1000*CHOOSE(CONTROL!$C$42, 695, 695)*CHOOSE(CONTROL!$C$42, 0.5599, 0.5599)*CHOOSE(CONTROL!$C$42, 31, 31))/1000000</f>
        <v>12.063045499999998</v>
      </c>
      <c r="V886" s="38">
        <f>(1000*CHOOSE(CONTROL!$C$42, 500, 500)*CHOOSE(CONTROL!$C$42, 0.275, 0.275)*CHOOSE(CONTROL!$C$42, 31, 31))/1000000</f>
        <v>4.2625000000000002</v>
      </c>
      <c r="W886" s="38">
        <f>(1000*CHOOSE(CONTROL!$C$42, 0.1146, 0.1146)*CHOOSE(CONTROL!$C$42, 121.5, 121.5)*CHOOSE(CONTROL!$C$42, 31, 31))/1000000</f>
        <v>0.43164089999999994</v>
      </c>
      <c r="X886" s="38">
        <f>(31*0.1790888*245000/1000000)+(31*0.2374*100000/1000000)</f>
        <v>2.0961194359999999</v>
      </c>
      <c r="Y886" s="38">
        <f>(1000*600*CHOOSE(CONTROL!$C$42, 1.0585, 1.0585)*CHOOSE(CONTROL!$C$42, 31, 31))/1000000</f>
        <v>19.688099999999999</v>
      </c>
      <c r="Z886" s="38"/>
      <c r="AA886" s="10"/>
      <c r="AB886" s="39"/>
      <c r="AC886" s="33">
        <f>(B886*131.881+C886*277.167+D886*79.08+E886*125.872+F886*40+G886*185+H886*0+I886*100+J886*300)/(131.881+277.167+79.08+125.872+0+40+185+100+300)</f>
        <v>27.217191518563357</v>
      </c>
      <c r="AD886" s="27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26.952008633093527</v>
      </c>
    </row>
    <row r="887" spans="1:30" ht="15.75" x14ac:dyDescent="0.25">
      <c r="A887" s="13">
        <v>68271</v>
      </c>
      <c r="B887" s="10">
        <f>CHOOSE(CONTROL!$C$42, 27.9242, 27.9242) * CHOOSE(CONTROL!$C$21, $C$9, 100%, $E$9)</f>
        <v>27.924199999999999</v>
      </c>
      <c r="C887" s="10">
        <f>CHOOSE(CONTROL!$C$42, 27.9293, 27.9293) * CHOOSE(CONTROL!$C$21, $C$9, 100%, $E$9)</f>
        <v>27.929300000000001</v>
      </c>
      <c r="D887" s="10">
        <f>CHOOSE(CONTROL!$C$42, 27.954, 27.954) * CHOOSE(CONTROL!$C$21, $C$9, 100%, $E$9)</f>
        <v>27.954000000000001</v>
      </c>
      <c r="E887" s="10">
        <f>CHOOSE(CONTROL!$C$42, 27.9878, 27.9878) * CHOOSE(CONTROL!$C$21, $C$9, 100%, $E$9)</f>
        <v>27.9878</v>
      </c>
      <c r="F887" s="10">
        <f>CHOOSE(CONTROL!$C$42, 27.8899, 27.8899)*CHOOSE(CONTROL!$C$21, $C$9, 100%, $E$9)</f>
        <v>27.889900000000001</v>
      </c>
      <c r="G887" s="10">
        <f>CHOOSE(CONTROL!$C$42, 27.9067, 27.9067)*CHOOSE(CONTROL!$C$21, $C$9, 100%, $E$9)</f>
        <v>27.906700000000001</v>
      </c>
      <c r="H887" s="10">
        <f>CHOOSE(CONTROL!$C$42, 27.9767, 27.9767) * CHOOSE(CONTROL!$C$21, $C$9, 100%, $E$9)</f>
        <v>27.976700000000001</v>
      </c>
      <c r="I887" s="10">
        <f>CHOOSE(CONTROL!$C$42, 27.9237, 27.9237)* CHOOSE(CONTROL!$C$21, $C$9, 100%, $E$9)</f>
        <v>27.9237</v>
      </c>
      <c r="J887" s="10">
        <f>CHOOSE(CONTROL!$C$42, 27.8825, 27.8825)* CHOOSE(CONTROL!$C$21, $C$9, 100%, $E$9)</f>
        <v>27.8825</v>
      </c>
      <c r="K887" s="10">
        <f>CHOOSE(CONTROL!$C$42, 27.2113, 27.2113) * CHOOSE(CONTROL!$C$21, $C$9, 100%, $E$9)</f>
        <v>27.211300000000001</v>
      </c>
      <c r="L887" s="10">
        <f>CHOOSE(CONTROL!$C$42, 28.5637, 28.5637) * CHOOSE(CONTROL!$C$21, $C$9, 100%, $E$9)</f>
        <v>28.563700000000001</v>
      </c>
      <c r="M887" s="10">
        <f>CHOOSE(CONTROL!$C$42, 27.5546, 27.5546) * CHOOSE(CONTROL!$C$21, $C$9, 100%, $E$9)</f>
        <v>27.554600000000001</v>
      </c>
      <c r="N887" s="10">
        <f>CHOOSE(CONTROL!$C$42, 27.5712, 27.5712) * CHOOSE(CONTROL!$C$21, $C$9, 100%, $E$9)</f>
        <v>27.571200000000001</v>
      </c>
      <c r="O887" s="10">
        <f>CHOOSE(CONTROL!$C$42, 27.6476, 27.6476) * CHOOSE(CONTROL!$C$21, $C$9, 100%, $E$9)</f>
        <v>27.647600000000001</v>
      </c>
      <c r="P887" s="10">
        <f>CHOOSE(CONTROL!$C$42, 27.5953, 27.5953) * CHOOSE(CONTROL!$C$21, $C$9, 100%, $E$9)</f>
        <v>27.595300000000002</v>
      </c>
      <c r="Q887" s="10">
        <f>CHOOSE(CONTROL!$C$42, 28.2429, 28.2429) * CHOOSE(CONTROL!$C$21, $C$9, 100%, $E$9)</f>
        <v>28.242899999999999</v>
      </c>
      <c r="R887" s="10">
        <f>CHOOSE(CONTROL!$C$42, 28.9005, 28.9005) * CHOOSE(CONTROL!$C$21, $C$9, 100%, $E$9)</f>
        <v>28.900500000000001</v>
      </c>
      <c r="S887" s="10">
        <f>CHOOSE(CONTROL!$C$42, 27.0557, 27.0557) * CHOOSE(CONTROL!$C$21, $C$9, 100%, $E$9)</f>
        <v>27.055700000000002</v>
      </c>
      <c r="T88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38">
        <f>(1000*CHOOSE(CONTROL!$C$42, 695, 695)*CHOOSE(CONTROL!$C$42, 0.5599, 0.5599)*CHOOSE(CONTROL!$C$42, 30, 30))/1000000</f>
        <v>11.673914999999997</v>
      </c>
      <c r="V887" s="38">
        <f>(1000*CHOOSE(CONTROL!$C$42, 500, 500)*CHOOSE(CONTROL!$C$42, 0.275, 0.275)*CHOOSE(CONTROL!$C$42, 30, 30))/1000000</f>
        <v>4.125</v>
      </c>
      <c r="W887" s="38">
        <f>(1000*CHOOSE(CONTROL!$C$42, 0.1146, 0.1146)*CHOOSE(CONTROL!$C$42, 121.5, 121.5)*CHOOSE(CONTROL!$C$42, 30, 30))/1000000</f>
        <v>0.417717</v>
      </c>
      <c r="X887" s="38">
        <f>(30*0.1790888*100000/1000000)+(30*0.2374*100000/1000000)</f>
        <v>1.2494664</v>
      </c>
      <c r="Y887" s="38">
        <f>(1000*600*CHOOSE(CONTROL!$C$42, 1.0585, 1.0585)*CHOOSE(CONTROL!$C$42, 30, 30))/1000000</f>
        <v>19.053000000000001</v>
      </c>
      <c r="Z887" s="38"/>
      <c r="AA887" s="10"/>
      <c r="AB887" s="39"/>
      <c r="AC887" s="33">
        <f>(B887*122.58+C887*297.941+D887*89.177+E887*40.302+F887*40+G887*160+H887*0+I887*100+J887*300)/(122.58+297.941+89.177+40.302+0+40+160+100+300)</f>
        <v>27.915511461652176</v>
      </c>
      <c r="AD887" s="27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27.603562589928057</v>
      </c>
    </row>
    <row r="888" spans="1:30" ht="15.75" x14ac:dyDescent="0.25">
      <c r="A888" s="13">
        <v>68302</v>
      </c>
      <c r="B888" s="10">
        <f>CHOOSE(CONTROL!$C$42, 29.8292, 29.8292) * CHOOSE(CONTROL!$C$21, $C$9, 100%, $E$9)</f>
        <v>29.8292</v>
      </c>
      <c r="C888" s="10">
        <f>CHOOSE(CONTROL!$C$42, 29.8343, 29.8343) * CHOOSE(CONTROL!$C$21, $C$9, 100%, $E$9)</f>
        <v>29.834299999999999</v>
      </c>
      <c r="D888" s="10">
        <f>CHOOSE(CONTROL!$C$42, 29.859, 29.859) * CHOOSE(CONTROL!$C$21, $C$9, 100%, $E$9)</f>
        <v>29.859000000000002</v>
      </c>
      <c r="E888" s="10">
        <f>CHOOSE(CONTROL!$C$42, 29.8928, 29.8928) * CHOOSE(CONTROL!$C$21, $C$9, 100%, $E$9)</f>
        <v>29.892800000000001</v>
      </c>
      <c r="F888" s="10">
        <f>CHOOSE(CONTROL!$C$42, 29.7966, 29.7966)*CHOOSE(CONTROL!$C$21, $C$9, 100%, $E$9)</f>
        <v>29.796600000000002</v>
      </c>
      <c r="G888" s="10">
        <f>CHOOSE(CONTROL!$C$42, 29.8139, 29.8139)*CHOOSE(CONTROL!$C$21, $C$9, 100%, $E$9)</f>
        <v>29.8139</v>
      </c>
      <c r="H888" s="10">
        <f>CHOOSE(CONTROL!$C$42, 29.8817, 29.8817) * CHOOSE(CONTROL!$C$21, $C$9, 100%, $E$9)</f>
        <v>29.881699999999999</v>
      </c>
      <c r="I888" s="10">
        <f>CHOOSE(CONTROL!$C$42, 29.8287, 29.8287)* CHOOSE(CONTROL!$C$21, $C$9, 100%, $E$9)</f>
        <v>29.828700000000001</v>
      </c>
      <c r="J888" s="10">
        <f>CHOOSE(CONTROL!$C$42, 29.7892, 29.7892)* CHOOSE(CONTROL!$C$21, $C$9, 100%, $E$9)</f>
        <v>29.789200000000001</v>
      </c>
      <c r="K888" s="10">
        <f>CHOOSE(CONTROL!$C$42, 29.0607, 29.0607) * CHOOSE(CONTROL!$C$21, $C$9, 100%, $E$9)</f>
        <v>29.060700000000001</v>
      </c>
      <c r="L888" s="10">
        <f>CHOOSE(CONTROL!$C$42, 30.4687, 30.4687) * CHOOSE(CONTROL!$C$21, $C$9, 100%, $E$9)</f>
        <v>30.468699999999998</v>
      </c>
      <c r="M888" s="10">
        <f>CHOOSE(CONTROL!$C$42, 29.4366, 29.4366) * CHOOSE(CONTROL!$C$21, $C$9, 100%, $E$9)</f>
        <v>29.436599999999999</v>
      </c>
      <c r="N888" s="10">
        <f>CHOOSE(CONTROL!$C$42, 29.4537, 29.4537) * CHOOSE(CONTROL!$C$21, $C$9, 100%, $E$9)</f>
        <v>29.453700000000001</v>
      </c>
      <c r="O888" s="10">
        <f>CHOOSE(CONTROL!$C$42, 29.5279, 29.5279) * CHOOSE(CONTROL!$C$21, $C$9, 100%, $E$9)</f>
        <v>29.527899999999999</v>
      </c>
      <c r="P888" s="10">
        <f>CHOOSE(CONTROL!$C$42, 29.4757, 29.4757) * CHOOSE(CONTROL!$C$21, $C$9, 100%, $E$9)</f>
        <v>29.4757</v>
      </c>
      <c r="Q888" s="10">
        <f>CHOOSE(CONTROL!$C$42, 30.1232, 30.1232) * CHOOSE(CONTROL!$C$21, $C$9, 100%, $E$9)</f>
        <v>30.123200000000001</v>
      </c>
      <c r="R888" s="10">
        <f>CHOOSE(CONTROL!$C$42, 30.7855, 30.7855) * CHOOSE(CONTROL!$C$21, $C$9, 100%, $E$9)</f>
        <v>30.785499999999999</v>
      </c>
      <c r="S888" s="10">
        <f>CHOOSE(CONTROL!$C$42, 28.9003, 28.9003) * CHOOSE(CONTROL!$C$21, $C$9, 100%, $E$9)</f>
        <v>28.900300000000001</v>
      </c>
      <c r="T88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38">
        <f>(1000*CHOOSE(CONTROL!$C$42, 695, 695)*CHOOSE(CONTROL!$C$42, 0.5599, 0.5599)*CHOOSE(CONTROL!$C$42, 31, 31))/1000000</f>
        <v>12.063045499999998</v>
      </c>
      <c r="V888" s="38">
        <f>(1000*CHOOSE(CONTROL!$C$42, 500, 500)*CHOOSE(CONTROL!$C$42, 0.275, 0.275)*CHOOSE(CONTROL!$C$42, 31, 31))/1000000</f>
        <v>4.2625000000000002</v>
      </c>
      <c r="W888" s="38">
        <f>(1000*CHOOSE(CONTROL!$C$42, 0.1146, 0.1146)*CHOOSE(CONTROL!$C$42, 121.5, 121.5)*CHOOSE(CONTROL!$C$42, 31, 31))/1000000</f>
        <v>0.43164089999999994</v>
      </c>
      <c r="X888" s="38">
        <f>(31*0.1790888*100000/1000000)+(31*0.2374*100000/1000000)</f>
        <v>1.2911152800000001</v>
      </c>
      <c r="Y888" s="38">
        <f>(1000*600*CHOOSE(CONTROL!$C$42, 1.0585, 1.0585)*CHOOSE(CONTROL!$C$42, 31, 31))/1000000</f>
        <v>19.688099999999999</v>
      </c>
      <c r="Z888" s="38"/>
      <c r="AA888" s="10"/>
      <c r="AB888" s="39"/>
      <c r="AC888" s="33">
        <f>(B888*122.58+C888*297.941+D888*89.177+E888*40.302+F888*40+G888*160+H888*0+I888*100+J888*300)/(122.58+297.941+89.177+40.302+0+40+160+100+300)</f>
        <v>29.821320157304346</v>
      </c>
      <c r="AD888" s="27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29.484590647482019</v>
      </c>
    </row>
    <row r="889" spans="1:30" ht="15.75" x14ac:dyDescent="0.25">
      <c r="A889" s="13">
        <v>68333</v>
      </c>
      <c r="B889" s="10">
        <f>CHOOSE(CONTROL!$C$42, 31.8436, 31.8436) * CHOOSE(CONTROL!$C$21, $C$9, 100%, $E$9)</f>
        <v>31.843599999999999</v>
      </c>
      <c r="C889" s="10">
        <f>CHOOSE(CONTROL!$C$42, 31.8487, 31.8487) * CHOOSE(CONTROL!$C$21, $C$9, 100%, $E$9)</f>
        <v>31.848700000000001</v>
      </c>
      <c r="D889" s="10">
        <f>CHOOSE(CONTROL!$C$42, 31.8837, 31.8837) * CHOOSE(CONTROL!$C$21, $C$9, 100%, $E$9)</f>
        <v>31.883700000000001</v>
      </c>
      <c r="E889" s="10">
        <f>CHOOSE(CONTROL!$C$42, 31.9176, 31.9176) * CHOOSE(CONTROL!$C$21, $C$9, 100%, $E$9)</f>
        <v>31.9176</v>
      </c>
      <c r="F889" s="10">
        <f>CHOOSE(CONTROL!$C$42, 31.8249, 31.8249)*CHOOSE(CONTROL!$C$21, $C$9, 100%, $E$9)</f>
        <v>31.8249</v>
      </c>
      <c r="G889" s="10">
        <f>CHOOSE(CONTROL!$C$42, 31.8438, 31.8438)*CHOOSE(CONTROL!$C$21, $C$9, 100%, $E$9)</f>
        <v>31.843800000000002</v>
      </c>
      <c r="H889" s="10">
        <f>CHOOSE(CONTROL!$C$42, 31.9064, 31.9064) * CHOOSE(CONTROL!$C$21, $C$9, 100%, $E$9)</f>
        <v>31.906400000000001</v>
      </c>
      <c r="I889" s="10">
        <f>CHOOSE(CONTROL!$C$42, 31.8509, 31.8509)* CHOOSE(CONTROL!$C$21, $C$9, 100%, $E$9)</f>
        <v>31.850899999999999</v>
      </c>
      <c r="J889" s="10">
        <f>CHOOSE(CONTROL!$C$42, 31.8175, 31.8175)* CHOOSE(CONTROL!$C$21, $C$9, 100%, $E$9)</f>
        <v>31.817499999999999</v>
      </c>
      <c r="K889" s="10">
        <f>CHOOSE(CONTROL!$C$42, 31.033, 31.033) * CHOOSE(CONTROL!$C$21, $C$9, 100%, $E$9)</f>
        <v>31.033000000000001</v>
      </c>
      <c r="L889" s="10">
        <f>CHOOSE(CONTROL!$C$42, 32.4934, 32.4934) * CHOOSE(CONTROL!$C$21, $C$9, 100%, $E$9)</f>
        <v>32.493400000000001</v>
      </c>
      <c r="M889" s="10">
        <f>CHOOSE(CONTROL!$C$42, 31.4387, 31.4387) * CHOOSE(CONTROL!$C$21, $C$9, 100%, $E$9)</f>
        <v>31.438700000000001</v>
      </c>
      <c r="N889" s="10">
        <f>CHOOSE(CONTROL!$C$42, 31.4573, 31.4573) * CHOOSE(CONTROL!$C$21, $C$9, 100%, $E$9)</f>
        <v>31.4573</v>
      </c>
      <c r="O889" s="10">
        <f>CHOOSE(CONTROL!$C$42, 31.5264, 31.5264) * CHOOSE(CONTROL!$C$21, $C$9, 100%, $E$9)</f>
        <v>31.526399999999999</v>
      </c>
      <c r="P889" s="10">
        <f>CHOOSE(CONTROL!$C$42, 31.4716, 31.4716) * CHOOSE(CONTROL!$C$21, $C$9, 100%, $E$9)</f>
        <v>31.471599999999999</v>
      </c>
      <c r="Q889" s="10">
        <f>CHOOSE(CONTROL!$C$42, 32.1217, 32.1217) * CHOOSE(CONTROL!$C$21, $C$9, 100%, $E$9)</f>
        <v>32.121699999999997</v>
      </c>
      <c r="R889" s="10">
        <f>CHOOSE(CONTROL!$C$42, 32.789, 32.789) * CHOOSE(CONTROL!$C$21, $C$9, 100%, $E$9)</f>
        <v>32.789000000000001</v>
      </c>
      <c r="S889" s="10">
        <f>CHOOSE(CONTROL!$C$42, 30.8509, 30.8509) * CHOOSE(CONTROL!$C$21, $C$9, 100%, $E$9)</f>
        <v>30.850899999999999</v>
      </c>
      <c r="T88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38">
        <f>(1000*CHOOSE(CONTROL!$C$42, 695, 695)*CHOOSE(CONTROL!$C$42, 0.5599, 0.5599)*CHOOSE(CONTROL!$C$42, 31, 31))/1000000</f>
        <v>12.063045499999998</v>
      </c>
      <c r="V889" s="38">
        <f>(1000*CHOOSE(CONTROL!$C$42, 500, 500)*CHOOSE(CONTROL!$C$42, 0.275, 0.275)*CHOOSE(CONTROL!$C$42, 31, 31))/1000000</f>
        <v>4.2625000000000002</v>
      </c>
      <c r="W889" s="38">
        <f>(1000*CHOOSE(CONTROL!$C$42, 0.1146, 0.1146)*CHOOSE(CONTROL!$C$42, 121.5, 121.5)*CHOOSE(CONTROL!$C$42, 31, 31))/1000000</f>
        <v>0.43164089999999994</v>
      </c>
      <c r="X889" s="38">
        <f>(31*0.1790888*100000/1000000)+(31*0.2374*100000/1000000)</f>
        <v>1.2911152800000001</v>
      </c>
      <c r="Y889" s="38">
        <f>(1000*600*CHOOSE(CONTROL!$C$42, 1.0585, 1.0585)*CHOOSE(CONTROL!$C$42, 31, 31))/1000000</f>
        <v>19.688099999999999</v>
      </c>
      <c r="Z889" s="38"/>
      <c r="AA889" s="10"/>
      <c r="AB889" s="39"/>
      <c r="AC889" s="33">
        <f>(B889*122.58+C889*297.941+D889*89.177+E889*40.302+F889*40+G889*160+H889*0+I889*100+J889*300)/(122.58+297.941+89.177+40.302+0+40+160+100+300)</f>
        <v>31.843827691130432</v>
      </c>
      <c r="AD889" s="27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31.484253237410073</v>
      </c>
    </row>
    <row r="890" spans="1:30" ht="15.75" x14ac:dyDescent="0.25">
      <c r="A890" s="13">
        <v>68361</v>
      </c>
      <c r="B890" s="10">
        <f>CHOOSE(CONTROL!$C$42, 32.4108, 32.4108) * CHOOSE(CONTROL!$C$21, $C$9, 100%, $E$9)</f>
        <v>32.410800000000002</v>
      </c>
      <c r="C890" s="10">
        <f>CHOOSE(CONTROL!$C$42, 32.4159, 32.4159) * CHOOSE(CONTROL!$C$21, $C$9, 100%, $E$9)</f>
        <v>32.415900000000001</v>
      </c>
      <c r="D890" s="10">
        <f>CHOOSE(CONTROL!$C$42, 32.4509, 32.4509) * CHOOSE(CONTROL!$C$21, $C$9, 100%, $E$9)</f>
        <v>32.450899999999997</v>
      </c>
      <c r="E890" s="10">
        <f>CHOOSE(CONTROL!$C$42, 32.4847, 32.4847) * CHOOSE(CONTROL!$C$21, $C$9, 100%, $E$9)</f>
        <v>32.484699999999997</v>
      </c>
      <c r="F890" s="10">
        <f>CHOOSE(CONTROL!$C$42, 32.3915, 32.3915)*CHOOSE(CONTROL!$C$21, $C$9, 100%, $E$9)</f>
        <v>32.391500000000001</v>
      </c>
      <c r="G890" s="10">
        <f>CHOOSE(CONTROL!$C$42, 32.4103, 32.4103)*CHOOSE(CONTROL!$C$21, $C$9, 100%, $E$9)</f>
        <v>32.410299999999999</v>
      </c>
      <c r="H890" s="10">
        <f>CHOOSE(CONTROL!$C$42, 32.4736, 32.4736) * CHOOSE(CONTROL!$C$21, $C$9, 100%, $E$9)</f>
        <v>32.473599999999998</v>
      </c>
      <c r="I890" s="10">
        <f>CHOOSE(CONTROL!$C$42, 32.418, 32.418)* CHOOSE(CONTROL!$C$21, $C$9, 100%, $E$9)</f>
        <v>32.417999999999999</v>
      </c>
      <c r="J890" s="10">
        <f>CHOOSE(CONTROL!$C$42, 32.3841, 32.3841)* CHOOSE(CONTROL!$C$21, $C$9, 100%, $E$9)</f>
        <v>32.384099999999997</v>
      </c>
      <c r="K890" s="10">
        <f>CHOOSE(CONTROL!$C$42, 31.5813, 31.5813) * CHOOSE(CONTROL!$C$21, $C$9, 100%, $E$9)</f>
        <v>31.581299999999999</v>
      </c>
      <c r="L890" s="10">
        <f>CHOOSE(CONTROL!$C$42, 33.0606, 33.0606) * CHOOSE(CONTROL!$C$21, $C$9, 100%, $E$9)</f>
        <v>33.060600000000001</v>
      </c>
      <c r="M890" s="10">
        <f>CHOOSE(CONTROL!$C$42, 31.998, 31.998) * CHOOSE(CONTROL!$C$21, $C$9, 100%, $E$9)</f>
        <v>31.998000000000001</v>
      </c>
      <c r="N890" s="10">
        <f>CHOOSE(CONTROL!$C$42, 32.0165, 32.0165) * CHOOSE(CONTROL!$C$21, $C$9, 100%, $E$9)</f>
        <v>32.016500000000001</v>
      </c>
      <c r="O890" s="10">
        <f>CHOOSE(CONTROL!$C$42, 32.0862, 32.0862) * CHOOSE(CONTROL!$C$21, $C$9, 100%, $E$9)</f>
        <v>32.086199999999998</v>
      </c>
      <c r="P890" s="10">
        <f>CHOOSE(CONTROL!$C$42, 32.0315, 32.0315) * CHOOSE(CONTROL!$C$21, $C$9, 100%, $E$9)</f>
        <v>32.031500000000001</v>
      </c>
      <c r="Q890" s="10">
        <f>CHOOSE(CONTROL!$C$42, 32.6815, 32.6815) * CHOOSE(CONTROL!$C$21, $C$9, 100%, $E$9)</f>
        <v>32.6815</v>
      </c>
      <c r="R890" s="10">
        <f>CHOOSE(CONTROL!$C$42, 33.3502, 33.3502) * CHOOSE(CONTROL!$C$21, $C$9, 100%, $E$9)</f>
        <v>33.350200000000001</v>
      </c>
      <c r="S890" s="10">
        <f>CHOOSE(CONTROL!$C$42, 31.4, 31.4) * CHOOSE(CONTROL!$C$21, $C$9, 100%, $E$9)</f>
        <v>31.4</v>
      </c>
      <c r="T89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38">
        <f>(1000*CHOOSE(CONTROL!$C$42, 695, 695)*CHOOSE(CONTROL!$C$42, 0.5599, 0.5599)*CHOOSE(CONTROL!$C$42, 28, 28))/1000000</f>
        <v>10.895653999999999</v>
      </c>
      <c r="V890" s="38">
        <f>(1000*CHOOSE(CONTROL!$C$42, 500, 500)*CHOOSE(CONTROL!$C$42, 0.275, 0.275)*CHOOSE(CONTROL!$C$42, 28, 28))/1000000</f>
        <v>3.85</v>
      </c>
      <c r="W890" s="38">
        <f>(1000*CHOOSE(CONTROL!$C$42, 0.1146, 0.1146)*CHOOSE(CONTROL!$C$42, 121.5, 121.5)*CHOOSE(CONTROL!$C$42, 28, 28))/1000000</f>
        <v>0.38986920000000003</v>
      </c>
      <c r="X890" s="38">
        <f>(28*0.1790888*100000/1000000)+(28*0.2374*100000/1000000)</f>
        <v>1.16616864</v>
      </c>
      <c r="Y890" s="38">
        <f>(1000*600*CHOOSE(CONTROL!$C$42, 1.0585, 1.0585)*CHOOSE(CONTROL!$C$42, 28, 28))/1000000</f>
        <v>17.782800000000002</v>
      </c>
      <c r="Z890" s="38"/>
      <c r="AA890" s="10"/>
      <c r="AB890" s="39"/>
      <c r="AC890" s="33">
        <f>(B890*122.58+C890*297.941+D890*89.177+E890*40.302+F890*40+G890*160+H890*0+I890*100+J890*300)/(122.58+297.941+89.177+40.302+0+40+160+100+300)</f>
        <v>32.410740708347824</v>
      </c>
      <c r="AD890" s="27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32.043860431654679</v>
      </c>
    </row>
    <row r="891" spans="1:30" ht="15.75" x14ac:dyDescent="0.25">
      <c r="A891" s="13">
        <v>68392</v>
      </c>
      <c r="B891" s="10">
        <f>CHOOSE(CONTROL!$C$42, 31.4902, 31.4902) * CHOOSE(CONTROL!$C$21, $C$9, 100%, $E$9)</f>
        <v>31.490200000000002</v>
      </c>
      <c r="C891" s="10">
        <f>CHOOSE(CONTROL!$C$42, 31.4953, 31.4953) * CHOOSE(CONTROL!$C$21, $C$9, 100%, $E$9)</f>
        <v>31.4953</v>
      </c>
      <c r="D891" s="10">
        <f>CHOOSE(CONTROL!$C$42, 31.5303, 31.5303) * CHOOSE(CONTROL!$C$21, $C$9, 100%, $E$9)</f>
        <v>31.5303</v>
      </c>
      <c r="E891" s="10">
        <f>CHOOSE(CONTROL!$C$42, 31.5641, 31.5641) * CHOOSE(CONTROL!$C$21, $C$9, 100%, $E$9)</f>
        <v>31.5641</v>
      </c>
      <c r="F891" s="10">
        <f>CHOOSE(CONTROL!$C$42, 31.4695, 31.4695)*CHOOSE(CONTROL!$C$21, $C$9, 100%, $E$9)</f>
        <v>31.4695</v>
      </c>
      <c r="G891" s="10">
        <f>CHOOSE(CONTROL!$C$42, 31.4879, 31.4879)*CHOOSE(CONTROL!$C$21, $C$9, 100%, $E$9)</f>
        <v>31.4879</v>
      </c>
      <c r="H891" s="10">
        <f>CHOOSE(CONTROL!$C$42, 31.553, 31.553) * CHOOSE(CONTROL!$C$21, $C$9, 100%, $E$9)</f>
        <v>31.553000000000001</v>
      </c>
      <c r="I891" s="10">
        <f>CHOOSE(CONTROL!$C$42, 31.4974, 31.4974)* CHOOSE(CONTROL!$C$21, $C$9, 100%, $E$9)</f>
        <v>31.497399999999999</v>
      </c>
      <c r="J891" s="10">
        <f>CHOOSE(CONTROL!$C$42, 31.4621, 31.4621)* CHOOSE(CONTROL!$C$21, $C$9, 100%, $E$9)</f>
        <v>31.4621</v>
      </c>
      <c r="K891" s="10">
        <f>CHOOSE(CONTROL!$C$42, 30.6864, 30.6864) * CHOOSE(CONTROL!$C$21, $C$9, 100%, $E$9)</f>
        <v>30.686399999999999</v>
      </c>
      <c r="L891" s="10">
        <f>CHOOSE(CONTROL!$C$42, 32.14, 32.14) * CHOOSE(CONTROL!$C$21, $C$9, 100%, $E$9)</f>
        <v>32.14</v>
      </c>
      <c r="M891" s="10">
        <f>CHOOSE(CONTROL!$C$42, 31.0879, 31.0879) * CHOOSE(CONTROL!$C$21, $C$9, 100%, $E$9)</f>
        <v>31.087900000000001</v>
      </c>
      <c r="N891" s="10">
        <f>CHOOSE(CONTROL!$C$42, 31.106, 31.106) * CHOOSE(CONTROL!$C$21, $C$9, 100%, $E$9)</f>
        <v>31.106000000000002</v>
      </c>
      <c r="O891" s="10">
        <f>CHOOSE(CONTROL!$C$42, 31.1775, 31.1775) * CHOOSE(CONTROL!$C$21, $C$9, 100%, $E$9)</f>
        <v>31.177499999999998</v>
      </c>
      <c r="P891" s="10">
        <f>CHOOSE(CONTROL!$C$42, 31.1227, 31.1227) * CHOOSE(CONTROL!$C$21, $C$9, 100%, $E$9)</f>
        <v>31.122699999999998</v>
      </c>
      <c r="Q891" s="10">
        <f>CHOOSE(CONTROL!$C$42, 31.7728, 31.7728) * CHOOSE(CONTROL!$C$21, $C$9, 100%, $E$9)</f>
        <v>31.7728</v>
      </c>
      <c r="R891" s="10">
        <f>CHOOSE(CONTROL!$C$42, 32.4393, 32.4393) * CHOOSE(CONTROL!$C$21, $C$9, 100%, $E$9)</f>
        <v>32.439300000000003</v>
      </c>
      <c r="S891" s="10">
        <f>CHOOSE(CONTROL!$C$42, 30.5086, 30.5086) * CHOOSE(CONTROL!$C$21, $C$9, 100%, $E$9)</f>
        <v>30.508600000000001</v>
      </c>
      <c r="T89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38">
        <f>(1000*CHOOSE(CONTROL!$C$42, 695, 695)*CHOOSE(CONTROL!$C$42, 0.5599, 0.5599)*CHOOSE(CONTROL!$C$42, 31, 31))/1000000</f>
        <v>12.063045499999998</v>
      </c>
      <c r="V891" s="38">
        <f>(1000*CHOOSE(CONTROL!$C$42, 500, 500)*CHOOSE(CONTROL!$C$42, 0.275, 0.275)*CHOOSE(CONTROL!$C$42, 31, 31))/1000000</f>
        <v>4.2625000000000002</v>
      </c>
      <c r="W891" s="38">
        <f>(1000*CHOOSE(CONTROL!$C$42, 0.1146, 0.1146)*CHOOSE(CONTROL!$C$42, 121.5, 121.5)*CHOOSE(CONTROL!$C$42, 31, 31))/1000000</f>
        <v>0.43164089999999994</v>
      </c>
      <c r="X891" s="38">
        <f>(31*0.1790888*100000/1000000)+(31*0.2374*100000/1000000)</f>
        <v>1.2911152800000001</v>
      </c>
      <c r="Y891" s="38">
        <f>(1000*600*CHOOSE(CONTROL!$C$42, 1.0585, 1.0585)*CHOOSE(CONTROL!$C$42, 31, 31))/1000000</f>
        <v>19.688099999999999</v>
      </c>
      <c r="Z891" s="38"/>
      <c r="AA891" s="10"/>
      <c r="AB891" s="39"/>
      <c r="AC891" s="33">
        <f>(B891*122.58+C891*297.941+D891*89.177+E891*40.302+F891*40+G891*160+H891*0+I891*100+J891*300)/(122.58+297.941+89.177+40.302+0+40+160+100+300)</f>
        <v>31.489476360521735</v>
      </c>
      <c r="AD891" s="27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31.134558992805758</v>
      </c>
    </row>
    <row r="892" spans="1:30" ht="15.75" x14ac:dyDescent="0.25">
      <c r="A892" s="13">
        <v>68422</v>
      </c>
      <c r="B892" s="10">
        <f>CHOOSE(CONTROL!$C$42, 31.3966, 31.3966) * CHOOSE(CONTROL!$C$21, $C$9, 100%, $E$9)</f>
        <v>31.396599999999999</v>
      </c>
      <c r="C892" s="10">
        <f>CHOOSE(CONTROL!$C$42, 31.4011, 31.4011) * CHOOSE(CONTROL!$C$21, $C$9, 100%, $E$9)</f>
        <v>31.4011</v>
      </c>
      <c r="D892" s="10">
        <f>CHOOSE(CONTROL!$C$42, 31.5793, 31.5793) * CHOOSE(CONTROL!$C$21, $C$9, 100%, $E$9)</f>
        <v>31.5793</v>
      </c>
      <c r="E892" s="10">
        <f>CHOOSE(CONTROL!$C$42, 31.6112, 31.6112) * CHOOSE(CONTROL!$C$21, $C$9, 100%, $E$9)</f>
        <v>31.6112</v>
      </c>
      <c r="F892" s="10">
        <f>CHOOSE(CONTROL!$C$42, 31.34, 31.34)*CHOOSE(CONTROL!$C$21, $C$9, 100%, $E$9)</f>
        <v>31.34</v>
      </c>
      <c r="G892" s="10">
        <f>CHOOSE(CONTROL!$C$42, 31.3566, 31.3566)*CHOOSE(CONTROL!$C$21, $C$9, 100%, $E$9)</f>
        <v>31.3566</v>
      </c>
      <c r="H892" s="10">
        <f>CHOOSE(CONTROL!$C$42, 31.6006, 31.6006) * CHOOSE(CONTROL!$C$21, $C$9, 100%, $E$9)</f>
        <v>31.6006</v>
      </c>
      <c r="I892" s="10">
        <f>CHOOSE(CONTROL!$C$42, 31.3726, 31.3726)* CHOOSE(CONTROL!$C$21, $C$9, 100%, $E$9)</f>
        <v>31.372599999999998</v>
      </c>
      <c r="J892" s="10">
        <f>CHOOSE(CONTROL!$C$42, 31.3326, 31.3326)* CHOOSE(CONTROL!$C$21, $C$9, 100%, $E$9)</f>
        <v>31.332599999999999</v>
      </c>
      <c r="K892" s="10">
        <f>CHOOSE(CONTROL!$C$42, 30.5508, 30.5508) * CHOOSE(CONTROL!$C$21, $C$9, 100%, $E$9)</f>
        <v>30.550799999999999</v>
      </c>
      <c r="L892" s="10">
        <f>CHOOSE(CONTROL!$C$42, 32.1876, 32.1876) * CHOOSE(CONTROL!$C$21, $C$9, 100%, $E$9)</f>
        <v>32.187600000000003</v>
      </c>
      <c r="M892" s="10">
        <f>CHOOSE(CONTROL!$C$42, 30.9601, 30.9601) * CHOOSE(CONTROL!$C$21, $C$9, 100%, $E$9)</f>
        <v>30.960100000000001</v>
      </c>
      <c r="N892" s="10">
        <f>CHOOSE(CONTROL!$C$42, 30.9764, 30.9764) * CHOOSE(CONTROL!$C$21, $C$9, 100%, $E$9)</f>
        <v>30.976400000000002</v>
      </c>
      <c r="O892" s="10">
        <f>CHOOSE(CONTROL!$C$42, 31.2246, 31.2246) * CHOOSE(CONTROL!$C$21, $C$9, 100%, $E$9)</f>
        <v>31.224599999999999</v>
      </c>
      <c r="P892" s="10">
        <f>CHOOSE(CONTROL!$C$42, 30.9996, 30.9996) * CHOOSE(CONTROL!$C$21, $C$9, 100%, $E$9)</f>
        <v>30.999600000000001</v>
      </c>
      <c r="Q892" s="10">
        <f>CHOOSE(CONTROL!$C$42, 31.8199, 31.8199) * CHOOSE(CONTROL!$C$21, $C$9, 100%, $E$9)</f>
        <v>31.819900000000001</v>
      </c>
      <c r="R892" s="10">
        <f>CHOOSE(CONTROL!$C$42, 32.4864, 32.4864) * CHOOSE(CONTROL!$C$21, $C$9, 100%, $E$9)</f>
        <v>32.486400000000003</v>
      </c>
      <c r="S892" s="10">
        <f>CHOOSE(CONTROL!$C$42, 30.4172, 30.4172) * CHOOSE(CONTROL!$C$21, $C$9, 100%, $E$9)</f>
        <v>30.417200000000001</v>
      </c>
      <c r="T89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38">
        <f>(1000*CHOOSE(CONTROL!$C$42, 695, 695)*CHOOSE(CONTROL!$C$42, 0.5599, 0.5599)*CHOOSE(CONTROL!$C$42, 30, 30))/1000000</f>
        <v>11.673914999999997</v>
      </c>
      <c r="V892" s="38">
        <f>(1000*CHOOSE(CONTROL!$C$42, 500, 500)*CHOOSE(CONTROL!$C$42, 0.275, 0.275)*CHOOSE(CONTROL!$C$42, 30, 30))/1000000</f>
        <v>4.125</v>
      </c>
      <c r="W892" s="38">
        <f>(1000*CHOOSE(CONTROL!$C$42, 0.1146, 0.1146)*CHOOSE(CONTROL!$C$42, 121.5, 121.5)*CHOOSE(CONTROL!$C$42, 30, 30))/1000000</f>
        <v>0.417717</v>
      </c>
      <c r="X892" s="38">
        <f>(30*0.1790888*245000/1000000)+(30*0.2374*100000/1000000)</f>
        <v>2.0285026799999999</v>
      </c>
      <c r="Y892" s="38">
        <f>(1000*600*CHOOSE(CONTROL!$C$42, 1.0585, 1.0585)*CHOOSE(CONTROL!$C$42, 30, 30))/1000000</f>
        <v>19.053000000000001</v>
      </c>
      <c r="Z892" s="38"/>
      <c r="AA892" s="10"/>
      <c r="AB892" s="39"/>
      <c r="AC892" s="33">
        <f>(B892*141.293+C892*267.993+D892*115.016+E892*89.698+F892*40+G892*185+H892*0+I892*100+J892*300)/(141.293+267.993+115.016+89.698+0+40+185+100+300)</f>
        <v>31.404836144067797</v>
      </c>
      <c r="AD892" s="27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31.086602877697839</v>
      </c>
    </row>
    <row r="893" spans="1:30" ht="15.75" x14ac:dyDescent="0.25">
      <c r="A893" s="13">
        <v>68453</v>
      </c>
      <c r="B893" s="10">
        <f>CHOOSE(CONTROL!$C$42, 31.6756, 31.6756) * CHOOSE(CONTROL!$C$21, $C$9, 100%, $E$9)</f>
        <v>31.675599999999999</v>
      </c>
      <c r="C893" s="10">
        <f>CHOOSE(CONTROL!$C$42, 31.6836, 31.6836) * CHOOSE(CONTROL!$C$21, $C$9, 100%, $E$9)</f>
        <v>31.683599999999998</v>
      </c>
      <c r="D893" s="10">
        <f>CHOOSE(CONTROL!$C$42, 31.8587, 31.8587) * CHOOSE(CONTROL!$C$21, $C$9, 100%, $E$9)</f>
        <v>31.858699999999999</v>
      </c>
      <c r="E893" s="10">
        <f>CHOOSE(CONTROL!$C$42, 31.8899, 31.8899) * CHOOSE(CONTROL!$C$21, $C$9, 100%, $E$9)</f>
        <v>31.889900000000001</v>
      </c>
      <c r="F893" s="10">
        <f>CHOOSE(CONTROL!$C$42, 31.6173, 31.6173)*CHOOSE(CONTROL!$C$21, $C$9, 100%, $E$9)</f>
        <v>31.6173</v>
      </c>
      <c r="G893" s="10">
        <f>CHOOSE(CONTROL!$C$42, 31.6342, 31.6342)*CHOOSE(CONTROL!$C$21, $C$9, 100%, $E$9)</f>
        <v>31.6342</v>
      </c>
      <c r="H893" s="10">
        <f>CHOOSE(CONTROL!$C$42, 31.8783, 31.8783) * CHOOSE(CONTROL!$C$21, $C$9, 100%, $E$9)</f>
        <v>31.878299999999999</v>
      </c>
      <c r="I893" s="10">
        <f>CHOOSE(CONTROL!$C$42, 31.6502, 31.6502)* CHOOSE(CONTROL!$C$21, $C$9, 100%, $E$9)</f>
        <v>31.650200000000002</v>
      </c>
      <c r="J893" s="10">
        <f>CHOOSE(CONTROL!$C$42, 31.6099, 31.6099)* CHOOSE(CONTROL!$C$21, $C$9, 100%, $E$9)</f>
        <v>31.6099</v>
      </c>
      <c r="K893" s="10">
        <f>CHOOSE(CONTROL!$C$42, 30.8189, 30.8189) * CHOOSE(CONTROL!$C$21, $C$9, 100%, $E$9)</f>
        <v>30.818899999999999</v>
      </c>
      <c r="L893" s="10">
        <f>CHOOSE(CONTROL!$C$42, 32.4653, 32.4653) * CHOOSE(CONTROL!$C$21, $C$9, 100%, $E$9)</f>
        <v>32.465299999999999</v>
      </c>
      <c r="M893" s="10">
        <f>CHOOSE(CONTROL!$C$42, 31.2337, 31.2337) * CHOOSE(CONTROL!$C$21, $C$9, 100%, $E$9)</f>
        <v>31.233699999999999</v>
      </c>
      <c r="N893" s="10">
        <f>CHOOSE(CONTROL!$C$42, 31.2504, 31.2504) * CHOOSE(CONTROL!$C$21, $C$9, 100%, $E$9)</f>
        <v>31.250399999999999</v>
      </c>
      <c r="O893" s="10">
        <f>CHOOSE(CONTROL!$C$42, 31.4986, 31.4986) * CHOOSE(CONTROL!$C$21, $C$9, 100%, $E$9)</f>
        <v>31.4986</v>
      </c>
      <c r="P893" s="10">
        <f>CHOOSE(CONTROL!$C$42, 31.2736, 31.2736) * CHOOSE(CONTROL!$C$21, $C$9, 100%, $E$9)</f>
        <v>31.273599999999998</v>
      </c>
      <c r="Q893" s="10">
        <f>CHOOSE(CONTROL!$C$42, 32.0939, 32.0939) * CHOOSE(CONTROL!$C$21, $C$9, 100%, $E$9)</f>
        <v>32.093899999999998</v>
      </c>
      <c r="R893" s="10">
        <f>CHOOSE(CONTROL!$C$42, 32.7612, 32.7612) * CHOOSE(CONTROL!$C$21, $C$9, 100%, $E$9)</f>
        <v>32.761200000000002</v>
      </c>
      <c r="S893" s="10">
        <f>CHOOSE(CONTROL!$C$42, 30.6861, 30.6861) * CHOOSE(CONTROL!$C$21, $C$9, 100%, $E$9)</f>
        <v>30.6861</v>
      </c>
      <c r="T89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38">
        <f>(1000*CHOOSE(CONTROL!$C$42, 695, 695)*CHOOSE(CONTROL!$C$42, 0.5599, 0.5599)*CHOOSE(CONTROL!$C$42, 31, 31))/1000000</f>
        <v>12.063045499999998</v>
      </c>
      <c r="V893" s="38">
        <f>(1000*CHOOSE(CONTROL!$C$42, 500, 500)*CHOOSE(CONTROL!$C$42, 0.275, 0.275)*CHOOSE(CONTROL!$C$42, 31, 31))/1000000</f>
        <v>4.2625000000000002</v>
      </c>
      <c r="W893" s="38">
        <f>(1000*CHOOSE(CONTROL!$C$42, 0.1146, 0.1146)*CHOOSE(CONTROL!$C$42, 121.5, 121.5)*CHOOSE(CONTROL!$C$42, 31, 31))/1000000</f>
        <v>0.43164089999999994</v>
      </c>
      <c r="X893" s="38">
        <f>(31*0.1790888*245000/1000000)+(31*0.2374*100000/1000000)</f>
        <v>2.0961194359999999</v>
      </c>
      <c r="Y893" s="38">
        <f>(1000*600*CHOOSE(CONTROL!$C$42, 1.0585, 1.0585)*CHOOSE(CONTROL!$C$42, 31, 31))/1000000</f>
        <v>19.688099999999999</v>
      </c>
      <c r="Z893" s="38"/>
      <c r="AA893" s="10"/>
      <c r="AB893" s="39"/>
      <c r="AC893" s="33">
        <f>(B893*194.205+C893*267.466+D893*133.845+E893*53.484+F893*40+G893*185+H893*0+I893*100+J893*300)/(194.205+267.466+133.845+53.484+0+40+185+100+300)</f>
        <v>31.680205469937206</v>
      </c>
      <c r="AD893" s="27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31.360464748201441</v>
      </c>
    </row>
    <row r="894" spans="1:30" ht="15.75" x14ac:dyDescent="0.25">
      <c r="A894" s="13">
        <v>68483</v>
      </c>
      <c r="B894" s="10">
        <f>CHOOSE(CONTROL!$C$42, 32.5745, 32.5745) * CHOOSE(CONTROL!$C$21, $C$9, 100%, $E$9)</f>
        <v>32.5745</v>
      </c>
      <c r="C894" s="10">
        <f>CHOOSE(CONTROL!$C$42, 32.5825, 32.5825) * CHOOSE(CONTROL!$C$21, $C$9, 100%, $E$9)</f>
        <v>32.582500000000003</v>
      </c>
      <c r="D894" s="10">
        <f>CHOOSE(CONTROL!$C$42, 32.7576, 32.7576) * CHOOSE(CONTROL!$C$21, $C$9, 100%, $E$9)</f>
        <v>32.757599999999996</v>
      </c>
      <c r="E894" s="10">
        <f>CHOOSE(CONTROL!$C$42, 32.7889, 32.7889) * CHOOSE(CONTROL!$C$21, $C$9, 100%, $E$9)</f>
        <v>32.788899999999998</v>
      </c>
      <c r="F894" s="10">
        <f>CHOOSE(CONTROL!$C$42, 32.5164, 32.5164)*CHOOSE(CONTROL!$C$21, $C$9, 100%, $E$9)</f>
        <v>32.516399999999997</v>
      </c>
      <c r="G894" s="10">
        <f>CHOOSE(CONTROL!$C$42, 32.5333, 32.5333)*CHOOSE(CONTROL!$C$21, $C$9, 100%, $E$9)</f>
        <v>32.533299999999997</v>
      </c>
      <c r="H894" s="10">
        <f>CHOOSE(CONTROL!$C$42, 32.7772, 32.7772) * CHOOSE(CONTROL!$C$21, $C$9, 100%, $E$9)</f>
        <v>32.777200000000001</v>
      </c>
      <c r="I894" s="10">
        <f>CHOOSE(CONTROL!$C$42, 32.5492, 32.5492)* CHOOSE(CONTROL!$C$21, $C$9, 100%, $E$9)</f>
        <v>32.549199999999999</v>
      </c>
      <c r="J894" s="10">
        <f>CHOOSE(CONTROL!$C$42, 32.509, 32.509)* CHOOSE(CONTROL!$C$21, $C$9, 100%, $E$9)</f>
        <v>32.509</v>
      </c>
      <c r="K894" s="10">
        <f>CHOOSE(CONTROL!$C$42, 31.6901, 31.6901) * CHOOSE(CONTROL!$C$21, $C$9, 100%, $E$9)</f>
        <v>31.690100000000001</v>
      </c>
      <c r="L894" s="10">
        <f>CHOOSE(CONTROL!$C$42, 33.3642, 33.3642) * CHOOSE(CONTROL!$C$21, $C$9, 100%, $E$9)</f>
        <v>33.364199999999997</v>
      </c>
      <c r="M894" s="10">
        <f>CHOOSE(CONTROL!$C$42, 32.1212, 32.1212) * CHOOSE(CONTROL!$C$21, $C$9, 100%, $E$9)</f>
        <v>32.121200000000002</v>
      </c>
      <c r="N894" s="10">
        <f>CHOOSE(CONTROL!$C$42, 32.1379, 32.1379) * CHOOSE(CONTROL!$C$21, $C$9, 100%, $E$9)</f>
        <v>32.137900000000002</v>
      </c>
      <c r="O894" s="10">
        <f>CHOOSE(CONTROL!$C$42, 32.3859, 32.3859) * CHOOSE(CONTROL!$C$21, $C$9, 100%, $E$9)</f>
        <v>32.385899999999999</v>
      </c>
      <c r="P894" s="10">
        <f>CHOOSE(CONTROL!$C$42, 32.1609, 32.1609) * CHOOSE(CONTROL!$C$21, $C$9, 100%, $E$9)</f>
        <v>32.160899999999998</v>
      </c>
      <c r="Q894" s="10">
        <f>CHOOSE(CONTROL!$C$42, 32.9812, 32.9812) * CHOOSE(CONTROL!$C$21, $C$9, 100%, $E$9)</f>
        <v>32.981200000000001</v>
      </c>
      <c r="R894" s="10">
        <f>CHOOSE(CONTROL!$C$42, 33.6507, 33.6507) * CHOOSE(CONTROL!$C$21, $C$9, 100%, $E$9)</f>
        <v>33.650700000000001</v>
      </c>
      <c r="S894" s="10">
        <f>CHOOSE(CONTROL!$C$42, 31.5565, 31.5565) * CHOOSE(CONTROL!$C$21, $C$9, 100%, $E$9)</f>
        <v>31.5565</v>
      </c>
      <c r="T89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38">
        <f>(1000*CHOOSE(CONTROL!$C$42, 695, 695)*CHOOSE(CONTROL!$C$42, 0.5599, 0.5599)*CHOOSE(CONTROL!$C$42, 30, 30))/1000000</f>
        <v>11.673914999999997</v>
      </c>
      <c r="V894" s="38">
        <f>(1000*CHOOSE(CONTROL!$C$42, 500, 500)*CHOOSE(CONTROL!$C$42, 0.275, 0.275)*CHOOSE(CONTROL!$C$42, 30, 30))/1000000</f>
        <v>4.125</v>
      </c>
      <c r="W894" s="38">
        <f>(1000*CHOOSE(CONTROL!$C$42, 0.1146, 0.1146)*CHOOSE(CONTROL!$C$42, 121.5, 121.5)*CHOOSE(CONTROL!$C$42, 30, 30))/1000000</f>
        <v>0.417717</v>
      </c>
      <c r="X894" s="38">
        <f>(30*0.1790888*245000/1000000)+(30*0.2374*100000/1000000)</f>
        <v>2.0285026799999999</v>
      </c>
      <c r="Y894" s="38">
        <f>(1000*600*CHOOSE(CONTROL!$C$42, 1.0585, 1.0585)*CHOOSE(CONTROL!$C$42, 30, 30))/1000000</f>
        <v>19.053000000000001</v>
      </c>
      <c r="Z894" s="38"/>
      <c r="AA894" s="10"/>
      <c r="AB894" s="39"/>
      <c r="AC894" s="33">
        <f>(B894*194.205+C894*267.466+D894*133.845+E894*53.484+F894*40+G894*185+H894*0+I894*100+J894*300)/(194.205+267.466+133.845+53.484+0+40+185+100+300)</f>
        <v>32.579199934929356</v>
      </c>
      <c r="AD894" s="27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32.247845323741004</v>
      </c>
    </row>
    <row r="895" spans="1:30" ht="15.75" x14ac:dyDescent="0.25">
      <c r="A895" s="13">
        <v>68514</v>
      </c>
      <c r="B895" s="10">
        <f>CHOOSE(CONTROL!$C$42, 31.9493, 31.9493) * CHOOSE(CONTROL!$C$21, $C$9, 100%, $E$9)</f>
        <v>31.949300000000001</v>
      </c>
      <c r="C895" s="10">
        <f>CHOOSE(CONTROL!$C$42, 31.9573, 31.9573) * CHOOSE(CONTROL!$C$21, $C$9, 100%, $E$9)</f>
        <v>31.9573</v>
      </c>
      <c r="D895" s="10">
        <f>CHOOSE(CONTROL!$C$42, 32.1324, 32.1324) * CHOOSE(CONTROL!$C$21, $C$9, 100%, $E$9)</f>
        <v>32.132399999999997</v>
      </c>
      <c r="E895" s="10">
        <f>CHOOSE(CONTROL!$C$42, 32.1636, 32.1636) * CHOOSE(CONTROL!$C$21, $C$9, 100%, $E$9)</f>
        <v>32.163600000000002</v>
      </c>
      <c r="F895" s="10">
        <f>CHOOSE(CONTROL!$C$42, 31.8915, 31.8915)*CHOOSE(CONTROL!$C$21, $C$9, 100%, $E$9)</f>
        <v>31.891500000000001</v>
      </c>
      <c r="G895" s="10">
        <f>CHOOSE(CONTROL!$C$42, 31.9086, 31.9086)*CHOOSE(CONTROL!$C$21, $C$9, 100%, $E$9)</f>
        <v>31.9086</v>
      </c>
      <c r="H895" s="10">
        <f>CHOOSE(CONTROL!$C$42, 32.152, 32.152) * CHOOSE(CONTROL!$C$21, $C$9, 100%, $E$9)</f>
        <v>32.152000000000001</v>
      </c>
      <c r="I895" s="10">
        <f>CHOOSE(CONTROL!$C$42, 31.924, 31.924)* CHOOSE(CONTROL!$C$21, $C$9, 100%, $E$9)</f>
        <v>31.923999999999999</v>
      </c>
      <c r="J895" s="10">
        <f>CHOOSE(CONTROL!$C$42, 31.8841, 31.8841)* CHOOSE(CONTROL!$C$21, $C$9, 100%, $E$9)</f>
        <v>31.8841</v>
      </c>
      <c r="K895" s="10">
        <f>CHOOSE(CONTROL!$C$42, 31.0852, 31.0852) * CHOOSE(CONTROL!$C$21, $C$9, 100%, $E$9)</f>
        <v>31.0852</v>
      </c>
      <c r="L895" s="10">
        <f>CHOOSE(CONTROL!$C$42, 32.739, 32.739) * CHOOSE(CONTROL!$C$21, $C$9, 100%, $E$9)</f>
        <v>32.738999999999997</v>
      </c>
      <c r="M895" s="10">
        <f>CHOOSE(CONTROL!$C$42, 31.5044, 31.5044) * CHOOSE(CONTROL!$C$21, $C$9, 100%, $E$9)</f>
        <v>31.5044</v>
      </c>
      <c r="N895" s="10">
        <f>CHOOSE(CONTROL!$C$42, 31.5212, 31.5212) * CHOOSE(CONTROL!$C$21, $C$9, 100%, $E$9)</f>
        <v>31.5212</v>
      </c>
      <c r="O895" s="10">
        <f>CHOOSE(CONTROL!$C$42, 31.7688, 31.7688) * CHOOSE(CONTROL!$C$21, $C$9, 100%, $E$9)</f>
        <v>31.768799999999999</v>
      </c>
      <c r="P895" s="10">
        <f>CHOOSE(CONTROL!$C$42, 31.5438, 31.5438) * CHOOSE(CONTROL!$C$21, $C$9, 100%, $E$9)</f>
        <v>31.543800000000001</v>
      </c>
      <c r="Q895" s="10">
        <f>CHOOSE(CONTROL!$C$42, 32.3641, 32.3641) * CHOOSE(CONTROL!$C$21, $C$9, 100%, $E$9)</f>
        <v>32.364100000000001</v>
      </c>
      <c r="R895" s="10">
        <f>CHOOSE(CONTROL!$C$42, 33.032, 33.032) * CHOOSE(CONTROL!$C$21, $C$9, 100%, $E$9)</f>
        <v>33.031999999999996</v>
      </c>
      <c r="S895" s="10">
        <f>CHOOSE(CONTROL!$C$42, 30.9511, 30.9511) * CHOOSE(CONTROL!$C$21, $C$9, 100%, $E$9)</f>
        <v>30.9511</v>
      </c>
      <c r="T89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38">
        <f>(1000*CHOOSE(CONTROL!$C$42, 695, 695)*CHOOSE(CONTROL!$C$42, 0.5599, 0.5599)*CHOOSE(CONTROL!$C$42, 31, 31))/1000000</f>
        <v>12.063045499999998</v>
      </c>
      <c r="V895" s="38">
        <f>(1000*CHOOSE(CONTROL!$C$42, 500, 500)*CHOOSE(CONTROL!$C$42, 0.275, 0.275)*CHOOSE(CONTROL!$C$42, 31, 31))/1000000</f>
        <v>4.2625000000000002</v>
      </c>
      <c r="W895" s="38">
        <f>(1000*CHOOSE(CONTROL!$C$42, 0.1146, 0.1146)*CHOOSE(CONTROL!$C$42, 121.5, 121.5)*CHOOSE(CONTROL!$C$42, 31, 31))/1000000</f>
        <v>0.43164089999999994</v>
      </c>
      <c r="X895" s="38">
        <f>(31*0.1790888*245000/1000000)+(31*0.2374*100000/1000000)</f>
        <v>2.0961194359999999</v>
      </c>
      <c r="Y895" s="38">
        <f>(1000*600*CHOOSE(CONTROL!$C$42, 1.0585, 1.0585)*CHOOSE(CONTROL!$C$42, 31, 31))/1000000</f>
        <v>19.688099999999999</v>
      </c>
      <c r="Z895" s="38"/>
      <c r="AA895" s="10"/>
      <c r="AB895" s="39"/>
      <c r="AC895" s="33">
        <f>(B895*194.205+C895*267.466+D895*133.845+E895*53.484+F895*40+G895*185+H895*0+I895*100+J895*300)/(194.205+267.466+133.845+53.484+0+40+185+100+300)</f>
        <v>31.954148405573005</v>
      </c>
      <c r="AD895" s="27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31.630871942446046</v>
      </c>
    </row>
    <row r="896" spans="1:30" ht="15.75" x14ac:dyDescent="0.25">
      <c r="A896" s="13">
        <v>68545</v>
      </c>
      <c r="B896" s="10">
        <f>CHOOSE(CONTROL!$C$42, 30.3705, 30.3705) * CHOOSE(CONTROL!$C$21, $C$9, 100%, $E$9)</f>
        <v>30.3705</v>
      </c>
      <c r="C896" s="10">
        <f>CHOOSE(CONTROL!$C$42, 30.3785, 30.3785) * CHOOSE(CONTROL!$C$21, $C$9, 100%, $E$9)</f>
        <v>30.378499999999999</v>
      </c>
      <c r="D896" s="10">
        <f>CHOOSE(CONTROL!$C$42, 30.5536, 30.5536) * CHOOSE(CONTROL!$C$21, $C$9, 100%, $E$9)</f>
        <v>30.553599999999999</v>
      </c>
      <c r="E896" s="10">
        <f>CHOOSE(CONTROL!$C$42, 30.5848, 30.5848) * CHOOSE(CONTROL!$C$21, $C$9, 100%, $E$9)</f>
        <v>30.584800000000001</v>
      </c>
      <c r="F896" s="10">
        <f>CHOOSE(CONTROL!$C$42, 30.3126, 30.3126)*CHOOSE(CONTROL!$C$21, $C$9, 100%, $E$9)</f>
        <v>30.3126</v>
      </c>
      <c r="G896" s="10">
        <f>CHOOSE(CONTROL!$C$42, 30.3296, 30.3296)*CHOOSE(CONTROL!$C$21, $C$9, 100%, $E$9)</f>
        <v>30.329599999999999</v>
      </c>
      <c r="H896" s="10">
        <f>CHOOSE(CONTROL!$C$42, 30.5731, 30.5731) * CHOOSE(CONTROL!$C$21, $C$9, 100%, $E$9)</f>
        <v>30.5731</v>
      </c>
      <c r="I896" s="10">
        <f>CHOOSE(CONTROL!$C$42, 30.3451, 30.3451)* CHOOSE(CONTROL!$C$21, $C$9, 100%, $E$9)</f>
        <v>30.345099999999999</v>
      </c>
      <c r="J896" s="10">
        <f>CHOOSE(CONTROL!$C$42, 30.3052, 30.3052)* CHOOSE(CONTROL!$C$21, $C$9, 100%, $E$9)</f>
        <v>30.305199999999999</v>
      </c>
      <c r="K896" s="10">
        <f>CHOOSE(CONTROL!$C$42, 29.5554, 29.5554) * CHOOSE(CONTROL!$C$21, $C$9, 100%, $E$9)</f>
        <v>29.555399999999999</v>
      </c>
      <c r="L896" s="10">
        <f>CHOOSE(CONTROL!$C$42, 31.1601, 31.1601) * CHOOSE(CONTROL!$C$21, $C$9, 100%, $E$9)</f>
        <v>31.1601</v>
      </c>
      <c r="M896" s="10">
        <f>CHOOSE(CONTROL!$C$42, 29.9459, 29.9459) * CHOOSE(CONTROL!$C$21, $C$9, 100%, $E$9)</f>
        <v>29.945900000000002</v>
      </c>
      <c r="N896" s="10">
        <f>CHOOSE(CONTROL!$C$42, 29.9627, 29.9627) * CHOOSE(CONTROL!$C$21, $C$9, 100%, $E$9)</f>
        <v>29.962700000000002</v>
      </c>
      <c r="O896" s="10">
        <f>CHOOSE(CONTROL!$C$42, 30.2104, 30.2104) * CHOOSE(CONTROL!$C$21, $C$9, 100%, $E$9)</f>
        <v>30.2104</v>
      </c>
      <c r="P896" s="10">
        <f>CHOOSE(CONTROL!$C$42, 29.9854, 29.9854) * CHOOSE(CONTROL!$C$21, $C$9, 100%, $E$9)</f>
        <v>29.985399999999998</v>
      </c>
      <c r="Q896" s="10">
        <f>CHOOSE(CONTROL!$C$42, 30.8057, 30.8057) * CHOOSE(CONTROL!$C$21, $C$9, 100%, $E$9)</f>
        <v>30.805700000000002</v>
      </c>
      <c r="R896" s="10">
        <f>CHOOSE(CONTROL!$C$42, 31.4697, 31.4697) * CHOOSE(CONTROL!$C$21, $C$9, 100%, $E$9)</f>
        <v>31.4697</v>
      </c>
      <c r="S896" s="10">
        <f>CHOOSE(CONTROL!$C$42, 29.4223, 29.4223) * CHOOSE(CONTROL!$C$21, $C$9, 100%, $E$9)</f>
        <v>29.4223</v>
      </c>
      <c r="T89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38">
        <f>(1000*CHOOSE(CONTROL!$C$42, 695, 695)*CHOOSE(CONTROL!$C$42, 0.5599, 0.5599)*CHOOSE(CONTROL!$C$42, 31, 31))/1000000</f>
        <v>12.063045499999998</v>
      </c>
      <c r="V896" s="38">
        <f>(1000*CHOOSE(CONTROL!$C$42, 500, 500)*CHOOSE(CONTROL!$C$42, 0.275, 0.275)*CHOOSE(CONTROL!$C$42, 31, 31))/1000000</f>
        <v>4.2625000000000002</v>
      </c>
      <c r="W896" s="38">
        <f>(1000*CHOOSE(CONTROL!$C$42, 0.1146, 0.1146)*CHOOSE(CONTROL!$C$42, 121.5, 121.5)*CHOOSE(CONTROL!$C$42, 31, 31))/1000000</f>
        <v>0.43164089999999994</v>
      </c>
      <c r="X896" s="38">
        <f>(31*0.1790888*245000/1000000)+(31*0.2374*100000/1000000)</f>
        <v>2.0961194359999999</v>
      </c>
      <c r="Y896" s="38">
        <f>(1000*600*CHOOSE(CONTROL!$C$42, 1.0585, 1.0585)*CHOOSE(CONTROL!$C$42, 31, 31))/1000000</f>
        <v>19.688099999999999</v>
      </c>
      <c r="Z896" s="38"/>
      <c r="AA896" s="10"/>
      <c r="AB896" s="39"/>
      <c r="AC896" s="33">
        <f>(B896*194.205+C896*267.466+D896*133.845+E896*53.484+F896*40+G896*185+H896*0+I896*100+J896*300)/(194.205+267.466+133.845+53.484+0+40+185+100+300)</f>
        <v>30.375284826295136</v>
      </c>
      <c r="AD896" s="27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30.072431654676265</v>
      </c>
    </row>
    <row r="897" spans="1:30" ht="15.75" x14ac:dyDescent="0.25">
      <c r="A897" s="13">
        <v>68575</v>
      </c>
      <c r="B897" s="10">
        <f>CHOOSE(CONTROL!$C$42, 28.4414, 28.4414) * CHOOSE(CONTROL!$C$21, $C$9, 100%, $E$9)</f>
        <v>28.441400000000002</v>
      </c>
      <c r="C897" s="10">
        <f>CHOOSE(CONTROL!$C$42, 28.4494, 28.4494) * CHOOSE(CONTROL!$C$21, $C$9, 100%, $E$9)</f>
        <v>28.449400000000001</v>
      </c>
      <c r="D897" s="10">
        <f>CHOOSE(CONTROL!$C$42, 28.6246, 28.6246) * CHOOSE(CONTROL!$C$21, $C$9, 100%, $E$9)</f>
        <v>28.624600000000001</v>
      </c>
      <c r="E897" s="10">
        <f>CHOOSE(CONTROL!$C$42, 28.6558, 28.6558) * CHOOSE(CONTROL!$C$21, $C$9, 100%, $E$9)</f>
        <v>28.655799999999999</v>
      </c>
      <c r="F897" s="10">
        <f>CHOOSE(CONTROL!$C$42, 28.3832, 28.3832)*CHOOSE(CONTROL!$C$21, $C$9, 100%, $E$9)</f>
        <v>28.383199999999999</v>
      </c>
      <c r="G897" s="10">
        <f>CHOOSE(CONTROL!$C$42, 28.4001, 28.4001)*CHOOSE(CONTROL!$C$21, $C$9, 100%, $E$9)</f>
        <v>28.400099999999998</v>
      </c>
      <c r="H897" s="10">
        <f>CHOOSE(CONTROL!$C$42, 28.6441, 28.6441) * CHOOSE(CONTROL!$C$21, $C$9, 100%, $E$9)</f>
        <v>28.644100000000002</v>
      </c>
      <c r="I897" s="10">
        <f>CHOOSE(CONTROL!$C$42, 28.4161, 28.4161)* CHOOSE(CONTROL!$C$21, $C$9, 100%, $E$9)</f>
        <v>28.4161</v>
      </c>
      <c r="J897" s="10">
        <f>CHOOSE(CONTROL!$C$42, 28.3758, 28.3758)* CHOOSE(CONTROL!$C$21, $C$9, 100%, $E$9)</f>
        <v>28.375800000000002</v>
      </c>
      <c r="K897" s="10">
        <f>CHOOSE(CONTROL!$C$42, 27.6859, 27.6859) * CHOOSE(CONTROL!$C$21, $C$9, 100%, $E$9)</f>
        <v>27.6859</v>
      </c>
      <c r="L897" s="10">
        <f>CHOOSE(CONTROL!$C$42, 29.2311, 29.2311) * CHOOSE(CONTROL!$C$21, $C$9, 100%, $E$9)</f>
        <v>29.231100000000001</v>
      </c>
      <c r="M897" s="10">
        <f>CHOOSE(CONTROL!$C$42, 28.0415, 28.0415) * CHOOSE(CONTROL!$C$21, $C$9, 100%, $E$9)</f>
        <v>28.041499999999999</v>
      </c>
      <c r="N897" s="10">
        <f>CHOOSE(CONTROL!$C$42, 28.0582, 28.0582) * CHOOSE(CONTROL!$C$21, $C$9, 100%, $E$9)</f>
        <v>28.058199999999999</v>
      </c>
      <c r="O897" s="10">
        <f>CHOOSE(CONTROL!$C$42, 28.3063, 28.3063) * CHOOSE(CONTROL!$C$21, $C$9, 100%, $E$9)</f>
        <v>28.3063</v>
      </c>
      <c r="P897" s="10">
        <f>CHOOSE(CONTROL!$C$42, 28.0813, 28.0813) * CHOOSE(CONTROL!$C$21, $C$9, 100%, $E$9)</f>
        <v>28.081299999999999</v>
      </c>
      <c r="Q897" s="10">
        <f>CHOOSE(CONTROL!$C$42, 28.9016, 28.9016) * CHOOSE(CONTROL!$C$21, $C$9, 100%, $E$9)</f>
        <v>28.901599999999998</v>
      </c>
      <c r="R897" s="10">
        <f>CHOOSE(CONTROL!$C$42, 29.5609, 29.5609) * CHOOSE(CONTROL!$C$21, $C$9, 100%, $E$9)</f>
        <v>29.5609</v>
      </c>
      <c r="S897" s="10">
        <f>CHOOSE(CONTROL!$C$42, 27.5544, 27.5544) * CHOOSE(CONTROL!$C$21, $C$9, 100%, $E$9)</f>
        <v>27.554400000000001</v>
      </c>
      <c r="T89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38">
        <f>(1000*CHOOSE(CONTROL!$C$42, 695, 695)*CHOOSE(CONTROL!$C$42, 0.5599, 0.5599)*CHOOSE(CONTROL!$C$42, 30, 30))/1000000</f>
        <v>11.673914999999997</v>
      </c>
      <c r="V897" s="38">
        <f>(1000*CHOOSE(CONTROL!$C$42, 500, 500)*CHOOSE(CONTROL!$C$42, 0.275, 0.275)*CHOOSE(CONTROL!$C$42, 30, 30))/1000000</f>
        <v>4.125</v>
      </c>
      <c r="W897" s="38">
        <f>(1000*CHOOSE(CONTROL!$C$42, 0.1146, 0.1146)*CHOOSE(CONTROL!$C$42, 121.5, 121.5)*CHOOSE(CONTROL!$C$42, 30, 30))/1000000</f>
        <v>0.417717</v>
      </c>
      <c r="X897" s="38">
        <f>(30*0.1790888*245000/1000000)+(30*0.2374*100000/1000000)</f>
        <v>2.0285026799999999</v>
      </c>
      <c r="Y897" s="38">
        <f>(1000*600*CHOOSE(CONTROL!$C$42, 1.0585, 1.0585)*CHOOSE(CONTROL!$C$42, 30, 30))/1000000</f>
        <v>19.053000000000001</v>
      </c>
      <c r="Z897" s="38"/>
      <c r="AA897" s="10"/>
      <c r="AB897" s="39"/>
      <c r="AC897" s="33">
        <f>(B897*194.205+C897*267.466+D897*133.845+E897*53.484+F897*40+G897*185+H897*0+I897*100+J897*300)/(194.205+267.466+133.845+53.484+0+40+185+100+300)</f>
        <v>28.446069232025117</v>
      </c>
      <c r="AD897" s="27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28.168205035971223</v>
      </c>
    </row>
    <row r="898" spans="1:30" ht="15.75" x14ac:dyDescent="0.25">
      <c r="A898" s="13">
        <v>68606</v>
      </c>
      <c r="B898" s="10">
        <f>CHOOSE(CONTROL!$C$42, 27.8616, 27.8616) * CHOOSE(CONTROL!$C$21, $C$9, 100%, $E$9)</f>
        <v>27.861599999999999</v>
      </c>
      <c r="C898" s="10">
        <f>CHOOSE(CONTROL!$C$42, 27.8669, 27.8669) * CHOOSE(CONTROL!$C$21, $C$9, 100%, $E$9)</f>
        <v>27.866900000000001</v>
      </c>
      <c r="D898" s="10">
        <f>CHOOSE(CONTROL!$C$42, 28.0469, 28.0469) * CHOOSE(CONTROL!$C$21, $C$9, 100%, $E$9)</f>
        <v>28.046900000000001</v>
      </c>
      <c r="E898" s="10">
        <f>CHOOSE(CONTROL!$C$42, 28.0758, 28.0758) * CHOOSE(CONTROL!$C$21, $C$9, 100%, $E$9)</f>
        <v>28.075800000000001</v>
      </c>
      <c r="F898" s="10">
        <f>CHOOSE(CONTROL!$C$42, 27.8053, 27.8053)*CHOOSE(CONTROL!$C$21, $C$9, 100%, $E$9)</f>
        <v>27.805299999999999</v>
      </c>
      <c r="G898" s="10">
        <f>CHOOSE(CONTROL!$C$42, 27.8219, 27.8219)*CHOOSE(CONTROL!$C$21, $C$9, 100%, $E$9)</f>
        <v>27.821899999999999</v>
      </c>
      <c r="H898" s="10">
        <f>CHOOSE(CONTROL!$C$42, 28.066, 28.066) * CHOOSE(CONTROL!$C$21, $C$9, 100%, $E$9)</f>
        <v>28.065999999999999</v>
      </c>
      <c r="I898" s="10">
        <f>CHOOSE(CONTROL!$C$42, 27.8379, 27.8379)* CHOOSE(CONTROL!$C$21, $C$9, 100%, $E$9)</f>
        <v>27.837900000000001</v>
      </c>
      <c r="J898" s="10">
        <f>CHOOSE(CONTROL!$C$42, 27.7979, 27.7979)* CHOOSE(CONTROL!$C$21, $C$9, 100%, $E$9)</f>
        <v>27.797899999999998</v>
      </c>
      <c r="K898" s="10">
        <f>CHOOSE(CONTROL!$C$42, 27.1264, 27.1264) * CHOOSE(CONTROL!$C$21, $C$9, 100%, $E$9)</f>
        <v>27.1264</v>
      </c>
      <c r="L898" s="10">
        <f>CHOOSE(CONTROL!$C$42, 28.653, 28.653) * CHOOSE(CONTROL!$C$21, $C$9, 100%, $E$9)</f>
        <v>28.652999999999999</v>
      </c>
      <c r="M898" s="10">
        <f>CHOOSE(CONTROL!$C$42, 27.4711, 27.4711) * CHOOSE(CONTROL!$C$21, $C$9, 100%, $E$9)</f>
        <v>27.4711</v>
      </c>
      <c r="N898" s="10">
        <f>CHOOSE(CONTROL!$C$42, 27.4875, 27.4875) * CHOOSE(CONTROL!$C$21, $C$9, 100%, $E$9)</f>
        <v>27.487500000000001</v>
      </c>
      <c r="O898" s="10">
        <f>CHOOSE(CONTROL!$C$42, 27.7357, 27.7357) * CHOOSE(CONTROL!$C$21, $C$9, 100%, $E$9)</f>
        <v>27.735700000000001</v>
      </c>
      <c r="P898" s="10">
        <f>CHOOSE(CONTROL!$C$42, 27.5106, 27.5106) * CHOOSE(CONTROL!$C$21, $C$9, 100%, $E$9)</f>
        <v>27.5106</v>
      </c>
      <c r="Q898" s="10">
        <f>CHOOSE(CONTROL!$C$42, 28.331, 28.331) * CHOOSE(CONTROL!$C$21, $C$9, 100%, $E$9)</f>
        <v>28.331</v>
      </c>
      <c r="R898" s="10">
        <f>CHOOSE(CONTROL!$C$42, 28.9888, 28.9888) * CHOOSE(CONTROL!$C$21, $C$9, 100%, $E$9)</f>
        <v>28.988800000000001</v>
      </c>
      <c r="S898" s="10">
        <f>CHOOSE(CONTROL!$C$42, 26.9946, 26.9946) * CHOOSE(CONTROL!$C$21, $C$9, 100%, $E$9)</f>
        <v>26.994599999999998</v>
      </c>
      <c r="T89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38">
        <f>(1000*CHOOSE(CONTROL!$C$42, 695, 695)*CHOOSE(CONTROL!$C$42, 0.5599, 0.5599)*CHOOSE(CONTROL!$C$42, 31, 31))/1000000</f>
        <v>12.063045499999998</v>
      </c>
      <c r="V898" s="38">
        <f>(1000*CHOOSE(CONTROL!$C$42, 500, 500)*CHOOSE(CONTROL!$C$42, 0.275, 0.275)*CHOOSE(CONTROL!$C$42, 31, 31))/1000000</f>
        <v>4.2625000000000002</v>
      </c>
      <c r="W898" s="38">
        <f>(1000*CHOOSE(CONTROL!$C$42, 0.1146, 0.1146)*CHOOSE(CONTROL!$C$42, 121.5, 121.5)*CHOOSE(CONTROL!$C$42, 31, 31))/1000000</f>
        <v>0.43164089999999994</v>
      </c>
      <c r="X898" s="38">
        <f>(31*0.1790888*245000/1000000)+(31*0.2374*100000/1000000)</f>
        <v>2.0961194359999999</v>
      </c>
      <c r="Y898" s="38">
        <f>(1000*600*CHOOSE(CONTROL!$C$42, 1.0585, 1.0585)*CHOOSE(CONTROL!$C$42, 31, 31))/1000000</f>
        <v>19.688099999999999</v>
      </c>
      <c r="Z898" s="38"/>
      <c r="AA898" s="10"/>
      <c r="AB898" s="39"/>
      <c r="AC898" s="33">
        <f>(B898*131.881+C898*277.167+D898*79.08+E898*125.872+F898*40+G898*185+H898*0+I898*100+J898*300)/(131.881+277.167+79.08+125.872+0+40+185+100+300)</f>
        <v>27.871291518563361</v>
      </c>
      <c r="AD898" s="27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27.597653956834538</v>
      </c>
    </row>
    <row r="899" spans="1:30" ht="15.75" x14ac:dyDescent="0.25">
      <c r="A899" s="13">
        <v>68636</v>
      </c>
      <c r="B899" s="10">
        <f>CHOOSE(CONTROL!$C$42, 28.5956, 28.5956) * CHOOSE(CONTROL!$C$21, $C$9, 100%, $E$9)</f>
        <v>28.595600000000001</v>
      </c>
      <c r="C899" s="10">
        <f>CHOOSE(CONTROL!$C$42, 28.6007, 28.6007) * CHOOSE(CONTROL!$C$21, $C$9, 100%, $E$9)</f>
        <v>28.6007</v>
      </c>
      <c r="D899" s="10">
        <f>CHOOSE(CONTROL!$C$42, 28.6254, 28.6254) * CHOOSE(CONTROL!$C$21, $C$9, 100%, $E$9)</f>
        <v>28.625399999999999</v>
      </c>
      <c r="E899" s="10">
        <f>CHOOSE(CONTROL!$C$42, 28.6592, 28.6592) * CHOOSE(CONTROL!$C$21, $C$9, 100%, $E$9)</f>
        <v>28.659199999999998</v>
      </c>
      <c r="F899" s="10">
        <f>CHOOSE(CONTROL!$C$42, 28.5612, 28.5612)*CHOOSE(CONTROL!$C$21, $C$9, 100%, $E$9)</f>
        <v>28.561199999999999</v>
      </c>
      <c r="G899" s="10">
        <f>CHOOSE(CONTROL!$C$42, 28.578, 28.578)*CHOOSE(CONTROL!$C$21, $C$9, 100%, $E$9)</f>
        <v>28.577999999999999</v>
      </c>
      <c r="H899" s="10">
        <f>CHOOSE(CONTROL!$C$42, 28.6481, 28.6481) * CHOOSE(CONTROL!$C$21, $C$9, 100%, $E$9)</f>
        <v>28.648099999999999</v>
      </c>
      <c r="I899" s="10">
        <f>CHOOSE(CONTROL!$C$42, 28.5951, 28.5951)* CHOOSE(CONTROL!$C$21, $C$9, 100%, $E$9)</f>
        <v>28.595099999999999</v>
      </c>
      <c r="J899" s="10">
        <f>CHOOSE(CONTROL!$C$42, 28.5538, 28.5538)* CHOOSE(CONTROL!$C$21, $C$9, 100%, $E$9)</f>
        <v>28.553799999999999</v>
      </c>
      <c r="K899" s="10">
        <f>CHOOSE(CONTROL!$C$42, 27.8617, 27.8617) * CHOOSE(CONTROL!$C$21, $C$9, 100%, $E$9)</f>
        <v>27.861699999999999</v>
      </c>
      <c r="L899" s="10">
        <f>CHOOSE(CONTROL!$C$42, 29.2351, 29.2351) * CHOOSE(CONTROL!$C$21, $C$9, 100%, $E$9)</f>
        <v>29.235099999999999</v>
      </c>
      <c r="M899" s="10">
        <f>CHOOSE(CONTROL!$C$42, 28.2172, 28.2172) * CHOOSE(CONTROL!$C$21, $C$9, 100%, $E$9)</f>
        <v>28.217199999999998</v>
      </c>
      <c r="N899" s="10">
        <f>CHOOSE(CONTROL!$C$42, 28.2338, 28.2338) * CHOOSE(CONTROL!$C$21, $C$9, 100%, $E$9)</f>
        <v>28.233799999999999</v>
      </c>
      <c r="O899" s="10">
        <f>CHOOSE(CONTROL!$C$42, 28.3102, 28.3102) * CHOOSE(CONTROL!$C$21, $C$9, 100%, $E$9)</f>
        <v>28.310199999999998</v>
      </c>
      <c r="P899" s="10">
        <f>CHOOSE(CONTROL!$C$42, 28.258, 28.258) * CHOOSE(CONTROL!$C$21, $C$9, 100%, $E$9)</f>
        <v>28.257999999999999</v>
      </c>
      <c r="Q899" s="10">
        <f>CHOOSE(CONTROL!$C$42, 28.9055, 28.9055) * CHOOSE(CONTROL!$C$21, $C$9, 100%, $E$9)</f>
        <v>28.9055</v>
      </c>
      <c r="R899" s="10">
        <f>CHOOSE(CONTROL!$C$42, 29.5648, 29.5648) * CHOOSE(CONTROL!$C$21, $C$9, 100%, $E$9)</f>
        <v>29.564800000000002</v>
      </c>
      <c r="S899" s="10">
        <f>CHOOSE(CONTROL!$C$42, 27.7058, 27.7058) * CHOOSE(CONTROL!$C$21, $C$9, 100%, $E$9)</f>
        <v>27.7058</v>
      </c>
      <c r="T89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38">
        <f>(1000*CHOOSE(CONTROL!$C$42, 695, 695)*CHOOSE(CONTROL!$C$42, 0.5599, 0.5599)*CHOOSE(CONTROL!$C$42, 30, 30))/1000000</f>
        <v>11.673914999999997</v>
      </c>
      <c r="V899" s="38">
        <f>(1000*CHOOSE(CONTROL!$C$42, 500, 500)*CHOOSE(CONTROL!$C$42, 0.275, 0.275)*CHOOSE(CONTROL!$C$42, 30, 30))/1000000</f>
        <v>4.125</v>
      </c>
      <c r="W899" s="38">
        <f>(1000*CHOOSE(CONTROL!$C$42, 0.1146, 0.1146)*CHOOSE(CONTROL!$C$42, 121.5, 121.5)*CHOOSE(CONTROL!$C$42, 30, 30))/1000000</f>
        <v>0.417717</v>
      </c>
      <c r="X899" s="38">
        <f>(30*0.1790888*100000/1000000)+(30*0.2374*100000/1000000)</f>
        <v>1.2494664</v>
      </c>
      <c r="Y899" s="38">
        <f>(1000*600*CHOOSE(CONTROL!$C$42, 1.0585, 1.0585)*CHOOSE(CONTROL!$C$42, 30, 30))/1000000</f>
        <v>19.053000000000001</v>
      </c>
      <c r="Z899" s="38"/>
      <c r="AA899" s="10"/>
      <c r="AB899" s="39"/>
      <c r="AC899" s="33">
        <f>(B899*122.58+C899*297.941+D899*89.177+E899*40.302+F899*40+G899*160+H899*0+I899*100+J899*300)/(122.58+297.941+89.177+40.302+0+40+160+100+300)</f>
        <v>28.586867983391301</v>
      </c>
      <c r="AD899" s="27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28.266176978417263</v>
      </c>
    </row>
    <row r="900" spans="1:30" ht="15.75" x14ac:dyDescent="0.25">
      <c r="A900" s="13">
        <v>68667</v>
      </c>
      <c r="B900" s="10">
        <f>CHOOSE(CONTROL!$C$42, 30.5463, 30.5463) * CHOOSE(CONTROL!$C$21, $C$9, 100%, $E$9)</f>
        <v>30.546299999999999</v>
      </c>
      <c r="C900" s="10">
        <f>CHOOSE(CONTROL!$C$42, 30.5514, 30.5514) * CHOOSE(CONTROL!$C$21, $C$9, 100%, $E$9)</f>
        <v>30.551400000000001</v>
      </c>
      <c r="D900" s="10">
        <f>CHOOSE(CONTROL!$C$42, 30.5761, 30.5761) * CHOOSE(CONTROL!$C$21, $C$9, 100%, $E$9)</f>
        <v>30.5761</v>
      </c>
      <c r="E900" s="10">
        <f>CHOOSE(CONTROL!$C$42, 30.6099, 30.6099) * CHOOSE(CONTROL!$C$21, $C$9, 100%, $E$9)</f>
        <v>30.6099</v>
      </c>
      <c r="F900" s="10">
        <f>CHOOSE(CONTROL!$C$42, 30.5138, 30.5138)*CHOOSE(CONTROL!$C$21, $C$9, 100%, $E$9)</f>
        <v>30.5138</v>
      </c>
      <c r="G900" s="10">
        <f>CHOOSE(CONTROL!$C$42, 30.531, 30.531)*CHOOSE(CONTROL!$C$21, $C$9, 100%, $E$9)</f>
        <v>30.530999999999999</v>
      </c>
      <c r="H900" s="10">
        <f>CHOOSE(CONTROL!$C$42, 30.5988, 30.5988) * CHOOSE(CONTROL!$C$21, $C$9, 100%, $E$9)</f>
        <v>30.598800000000001</v>
      </c>
      <c r="I900" s="10">
        <f>CHOOSE(CONTROL!$C$42, 30.5458, 30.5458)* CHOOSE(CONTROL!$C$21, $C$9, 100%, $E$9)</f>
        <v>30.5458</v>
      </c>
      <c r="J900" s="10">
        <f>CHOOSE(CONTROL!$C$42, 30.5064, 30.5064)* CHOOSE(CONTROL!$C$21, $C$9, 100%, $E$9)</f>
        <v>30.506399999999999</v>
      </c>
      <c r="K900" s="10">
        <f>CHOOSE(CONTROL!$C$42, 29.7554, 29.7554) * CHOOSE(CONTROL!$C$21, $C$9, 100%, $E$9)</f>
        <v>29.755400000000002</v>
      </c>
      <c r="L900" s="10">
        <f>CHOOSE(CONTROL!$C$42, 31.1858, 31.1858) * CHOOSE(CONTROL!$C$21, $C$9, 100%, $E$9)</f>
        <v>31.1858</v>
      </c>
      <c r="M900" s="10">
        <f>CHOOSE(CONTROL!$C$42, 30.1445, 30.1445) * CHOOSE(CONTROL!$C$21, $C$9, 100%, $E$9)</f>
        <v>30.144500000000001</v>
      </c>
      <c r="N900" s="10">
        <f>CHOOSE(CONTROL!$C$42, 30.1615, 30.1615) * CHOOSE(CONTROL!$C$21, $C$9, 100%, $E$9)</f>
        <v>30.1615</v>
      </c>
      <c r="O900" s="10">
        <f>CHOOSE(CONTROL!$C$42, 30.2357, 30.2357) * CHOOSE(CONTROL!$C$21, $C$9, 100%, $E$9)</f>
        <v>30.235700000000001</v>
      </c>
      <c r="P900" s="10">
        <f>CHOOSE(CONTROL!$C$42, 30.1835, 30.1835) * CHOOSE(CONTROL!$C$21, $C$9, 100%, $E$9)</f>
        <v>30.183499999999999</v>
      </c>
      <c r="Q900" s="10">
        <f>CHOOSE(CONTROL!$C$42, 30.831, 30.831) * CHOOSE(CONTROL!$C$21, $C$9, 100%, $E$9)</f>
        <v>30.831</v>
      </c>
      <c r="R900" s="10">
        <f>CHOOSE(CONTROL!$C$42, 31.4951, 31.4951) * CHOOSE(CONTROL!$C$21, $C$9, 100%, $E$9)</f>
        <v>31.495100000000001</v>
      </c>
      <c r="S900" s="10">
        <f>CHOOSE(CONTROL!$C$42, 29.5947, 29.5947) * CHOOSE(CONTROL!$C$21, $C$9, 100%, $E$9)</f>
        <v>29.5947</v>
      </c>
      <c r="T90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38">
        <f>(1000*CHOOSE(CONTROL!$C$42, 695, 695)*CHOOSE(CONTROL!$C$42, 0.5599, 0.5599)*CHOOSE(CONTROL!$C$42, 31, 31))/1000000</f>
        <v>12.063045499999998</v>
      </c>
      <c r="V900" s="38">
        <f>(1000*CHOOSE(CONTROL!$C$42, 500, 500)*CHOOSE(CONTROL!$C$42, 0.275, 0.275)*CHOOSE(CONTROL!$C$42, 31, 31))/1000000</f>
        <v>4.2625000000000002</v>
      </c>
      <c r="W900" s="38">
        <f>(1000*CHOOSE(CONTROL!$C$42, 0.1146, 0.1146)*CHOOSE(CONTROL!$C$42, 121.5, 121.5)*CHOOSE(CONTROL!$C$42, 31, 31))/1000000</f>
        <v>0.43164089999999994</v>
      </c>
      <c r="X900" s="38">
        <f>(31*0.1790888*100000/1000000)+(31*0.2374*100000/1000000)</f>
        <v>1.2911152800000001</v>
      </c>
      <c r="Y900" s="38">
        <f>(1000*600*CHOOSE(CONTROL!$C$42, 1.0585, 1.0585)*CHOOSE(CONTROL!$C$42, 31, 31))/1000000</f>
        <v>19.688099999999999</v>
      </c>
      <c r="Z900" s="38"/>
      <c r="AA900" s="10"/>
      <c r="AB900" s="39"/>
      <c r="AC900" s="33">
        <f>(B900*122.58+C900*297.941+D900*89.177+E900*40.302+F900*40+G900*160+H900*0+I900*100+J900*300)/(122.58+297.941+89.177+40.302+0+40+160+100+300)</f>
        <v>30.538449722521733</v>
      </c>
      <c r="AD900" s="27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30.192425179856112</v>
      </c>
    </row>
    <row r="901" spans="1:30" ht="15.75" x14ac:dyDescent="0.25">
      <c r="A901" s="13">
        <v>68698</v>
      </c>
      <c r="B901" s="10">
        <f>CHOOSE(CONTROL!$C$42, 32.6092, 32.6092) * CHOOSE(CONTROL!$C$21, $C$9, 100%, $E$9)</f>
        <v>32.609200000000001</v>
      </c>
      <c r="C901" s="10">
        <f>CHOOSE(CONTROL!$C$42, 32.6142, 32.6142) * CHOOSE(CONTROL!$C$21, $C$9, 100%, $E$9)</f>
        <v>32.614199999999997</v>
      </c>
      <c r="D901" s="10">
        <f>CHOOSE(CONTROL!$C$42, 32.6493, 32.6493) * CHOOSE(CONTROL!$C$21, $C$9, 100%, $E$9)</f>
        <v>32.649299999999997</v>
      </c>
      <c r="E901" s="10">
        <f>CHOOSE(CONTROL!$C$42, 32.6831, 32.6831) * CHOOSE(CONTROL!$C$21, $C$9, 100%, $E$9)</f>
        <v>32.683100000000003</v>
      </c>
      <c r="F901" s="10">
        <f>CHOOSE(CONTROL!$C$42, 32.5904, 32.5904)*CHOOSE(CONTROL!$C$21, $C$9, 100%, $E$9)</f>
        <v>32.590400000000002</v>
      </c>
      <c r="G901" s="10">
        <f>CHOOSE(CONTROL!$C$42, 32.6093, 32.6093)*CHOOSE(CONTROL!$C$21, $C$9, 100%, $E$9)</f>
        <v>32.609299999999998</v>
      </c>
      <c r="H901" s="10">
        <f>CHOOSE(CONTROL!$C$42, 32.6719, 32.6719) * CHOOSE(CONTROL!$C$21, $C$9, 100%, $E$9)</f>
        <v>32.671900000000001</v>
      </c>
      <c r="I901" s="10">
        <f>CHOOSE(CONTROL!$C$42, 32.6164, 32.6164)* CHOOSE(CONTROL!$C$21, $C$9, 100%, $E$9)</f>
        <v>32.616399999999999</v>
      </c>
      <c r="J901" s="10">
        <f>CHOOSE(CONTROL!$C$42, 32.583, 32.583)* CHOOSE(CONTROL!$C$21, $C$9, 100%, $E$9)</f>
        <v>32.582999999999998</v>
      </c>
      <c r="K901" s="10">
        <f>CHOOSE(CONTROL!$C$42, 31.7746, 31.7746) * CHOOSE(CONTROL!$C$21, $C$9, 100%, $E$9)</f>
        <v>31.7746</v>
      </c>
      <c r="L901" s="10">
        <f>CHOOSE(CONTROL!$C$42, 33.2589, 33.2589) * CHOOSE(CONTROL!$C$21, $C$9, 100%, $E$9)</f>
        <v>33.258899999999997</v>
      </c>
      <c r="M901" s="10">
        <f>CHOOSE(CONTROL!$C$42, 32.1943, 32.1943) * CHOOSE(CONTROL!$C$21, $C$9, 100%, $E$9)</f>
        <v>32.194299999999998</v>
      </c>
      <c r="N901" s="10">
        <f>CHOOSE(CONTROL!$C$42, 32.2129, 32.2129) * CHOOSE(CONTROL!$C$21, $C$9, 100%, $E$9)</f>
        <v>32.212899999999998</v>
      </c>
      <c r="O901" s="10">
        <f>CHOOSE(CONTROL!$C$42, 32.282, 32.282) * CHOOSE(CONTROL!$C$21, $C$9, 100%, $E$9)</f>
        <v>32.281999999999996</v>
      </c>
      <c r="P901" s="10">
        <f>CHOOSE(CONTROL!$C$42, 32.2272, 32.2272) * CHOOSE(CONTROL!$C$21, $C$9, 100%, $E$9)</f>
        <v>32.227200000000003</v>
      </c>
      <c r="Q901" s="10">
        <f>CHOOSE(CONTROL!$C$42, 32.8773, 32.8773) * CHOOSE(CONTROL!$C$21, $C$9, 100%, $E$9)</f>
        <v>32.877299999999998</v>
      </c>
      <c r="R901" s="10">
        <f>CHOOSE(CONTROL!$C$42, 33.5465, 33.5465) * CHOOSE(CONTROL!$C$21, $C$9, 100%, $E$9)</f>
        <v>33.546500000000002</v>
      </c>
      <c r="S901" s="10">
        <f>CHOOSE(CONTROL!$C$42, 31.5921, 31.5921) * CHOOSE(CONTROL!$C$21, $C$9, 100%, $E$9)</f>
        <v>31.592099999999999</v>
      </c>
      <c r="T90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38">
        <f>(1000*CHOOSE(CONTROL!$C$42, 695, 695)*CHOOSE(CONTROL!$C$42, 0.5599, 0.5599)*CHOOSE(CONTROL!$C$42, 31, 31))/1000000</f>
        <v>12.063045499999998</v>
      </c>
      <c r="V901" s="38">
        <f>(1000*CHOOSE(CONTROL!$C$42, 500, 500)*CHOOSE(CONTROL!$C$42, 0.275, 0.275)*CHOOSE(CONTROL!$C$42, 31, 31))/1000000</f>
        <v>4.2625000000000002</v>
      </c>
      <c r="W901" s="38">
        <f>(1000*CHOOSE(CONTROL!$C$42, 0.1146, 0.1146)*CHOOSE(CONTROL!$C$42, 121.5, 121.5)*CHOOSE(CONTROL!$C$42, 31, 31))/1000000</f>
        <v>0.43164089999999994</v>
      </c>
      <c r="X901" s="38">
        <f>(31*0.1790888*100000/1000000)+(31*0.2374*100000/1000000)</f>
        <v>1.2911152800000001</v>
      </c>
      <c r="Y901" s="38">
        <f>(1000*600*CHOOSE(CONTROL!$C$42, 1.0585, 1.0585)*CHOOSE(CONTROL!$C$42, 31, 31))/1000000</f>
        <v>19.688099999999999</v>
      </c>
      <c r="Z901" s="38"/>
      <c r="AA901" s="10"/>
      <c r="AB901" s="39"/>
      <c r="AC901" s="33">
        <f>(B901*122.58+C901*297.941+D901*89.177+E901*40.302+F901*40+G901*160+H901*0+I901*100+J901*300)/(122.58+297.941+89.177+40.302+0+40+160+100+300)</f>
        <v>32.609346104782603</v>
      </c>
      <c r="AD901" s="27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32.239853237410067</v>
      </c>
    </row>
    <row r="902" spans="1:30" ht="15.75" x14ac:dyDescent="0.25">
      <c r="A902" s="13">
        <v>68727</v>
      </c>
      <c r="B902" s="10">
        <f>CHOOSE(CONTROL!$C$42, 33.1899, 33.1899) * CHOOSE(CONTROL!$C$21, $C$9, 100%, $E$9)</f>
        <v>33.189900000000002</v>
      </c>
      <c r="C902" s="10">
        <f>CHOOSE(CONTROL!$C$42, 33.195, 33.195) * CHOOSE(CONTROL!$C$21, $C$9, 100%, $E$9)</f>
        <v>33.195</v>
      </c>
      <c r="D902" s="10">
        <f>CHOOSE(CONTROL!$C$42, 33.23, 33.23) * CHOOSE(CONTROL!$C$21, $C$9, 100%, $E$9)</f>
        <v>33.229999999999997</v>
      </c>
      <c r="E902" s="10">
        <f>CHOOSE(CONTROL!$C$42, 33.2639, 33.2639) * CHOOSE(CONTROL!$C$21, $C$9, 100%, $E$9)</f>
        <v>33.2639</v>
      </c>
      <c r="F902" s="10">
        <f>CHOOSE(CONTROL!$C$42, 33.1707, 33.1707)*CHOOSE(CONTROL!$C$21, $C$9, 100%, $E$9)</f>
        <v>33.170699999999997</v>
      </c>
      <c r="G902" s="10">
        <f>CHOOSE(CONTROL!$C$42, 33.1894, 33.1894)*CHOOSE(CONTROL!$C$21, $C$9, 100%, $E$9)</f>
        <v>33.189399999999999</v>
      </c>
      <c r="H902" s="10">
        <f>CHOOSE(CONTROL!$C$42, 33.2527, 33.2527) * CHOOSE(CONTROL!$C$21, $C$9, 100%, $E$9)</f>
        <v>33.252699999999997</v>
      </c>
      <c r="I902" s="10">
        <f>CHOOSE(CONTROL!$C$42, 33.1972, 33.1972)* CHOOSE(CONTROL!$C$21, $C$9, 100%, $E$9)</f>
        <v>33.197200000000002</v>
      </c>
      <c r="J902" s="10">
        <f>CHOOSE(CONTROL!$C$42, 33.1633, 33.1633)* CHOOSE(CONTROL!$C$21, $C$9, 100%, $E$9)</f>
        <v>33.1633</v>
      </c>
      <c r="K902" s="10">
        <f>CHOOSE(CONTROL!$C$42, 32.3361, 32.3361) * CHOOSE(CONTROL!$C$21, $C$9, 100%, $E$9)</f>
        <v>32.336100000000002</v>
      </c>
      <c r="L902" s="10">
        <f>CHOOSE(CONTROL!$C$42, 33.8397, 33.8397) * CHOOSE(CONTROL!$C$21, $C$9, 100%, $E$9)</f>
        <v>33.839700000000001</v>
      </c>
      <c r="M902" s="10">
        <f>CHOOSE(CONTROL!$C$42, 32.767, 32.767) * CHOOSE(CONTROL!$C$21, $C$9, 100%, $E$9)</f>
        <v>32.767000000000003</v>
      </c>
      <c r="N902" s="10">
        <f>CHOOSE(CONTROL!$C$42, 32.7855, 32.7855) * CHOOSE(CONTROL!$C$21, $C$9, 100%, $E$9)</f>
        <v>32.785499999999999</v>
      </c>
      <c r="O902" s="10">
        <f>CHOOSE(CONTROL!$C$42, 32.8553, 32.8553) * CHOOSE(CONTROL!$C$21, $C$9, 100%, $E$9)</f>
        <v>32.8553</v>
      </c>
      <c r="P902" s="10">
        <f>CHOOSE(CONTROL!$C$42, 32.8005, 32.8005) * CHOOSE(CONTROL!$C$21, $C$9, 100%, $E$9)</f>
        <v>32.8005</v>
      </c>
      <c r="Q902" s="10">
        <f>CHOOSE(CONTROL!$C$42, 33.4506, 33.4506) * CHOOSE(CONTROL!$C$21, $C$9, 100%, $E$9)</f>
        <v>33.450600000000001</v>
      </c>
      <c r="R902" s="10">
        <f>CHOOSE(CONTROL!$C$42, 34.1212, 34.1212) * CHOOSE(CONTROL!$C$21, $C$9, 100%, $E$9)</f>
        <v>34.121200000000002</v>
      </c>
      <c r="S902" s="10">
        <f>CHOOSE(CONTROL!$C$42, 32.1545, 32.1545) * CHOOSE(CONTROL!$C$21, $C$9, 100%, $E$9)</f>
        <v>32.154499999999999</v>
      </c>
      <c r="T902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02" s="38">
        <f>(1000*CHOOSE(CONTROL!$C$42, 695, 695)*CHOOSE(CONTROL!$C$42, 0.5599, 0.5599)*CHOOSE(CONTROL!$C$42, 29, 29))/1000000</f>
        <v>11.284784499999999</v>
      </c>
      <c r="V902" s="38">
        <f>(1000*CHOOSE(CONTROL!$C$42, 500, 500)*CHOOSE(CONTROL!$C$42, 0.275, 0.275)*CHOOSE(CONTROL!$C$42, 29, 29))/1000000</f>
        <v>3.9874999999999998</v>
      </c>
      <c r="W902" s="38">
        <f>(1000*CHOOSE(CONTROL!$C$42, 0.1146, 0.1146)*CHOOSE(CONTROL!$C$42, 121.5, 121.5)*CHOOSE(CONTROL!$C$42, 29, 29))/1000000</f>
        <v>0.40379309999999996</v>
      </c>
      <c r="X902" s="38">
        <f>(29*0.1790888*100000/1000000)+(29*0.2374*100000/1000000)</f>
        <v>1.2078175199999999</v>
      </c>
      <c r="Y902" s="38">
        <f>(1000*600*CHOOSE(CONTROL!$C$42, 1.0585, 1.0585)*CHOOSE(CONTROL!$C$42, 29, 29))/1000000</f>
        <v>18.417899999999999</v>
      </c>
      <c r="Z902" s="38"/>
      <c r="AA902" s="10"/>
      <c r="AB902" s="39"/>
      <c r="AC902" s="33">
        <f>(B902*122.58+C902*297.941+D902*89.177+E902*40.302+F902*40+G902*160+H902*0+I902*100+J902*300)/(122.58+297.941+89.177+40.302+0+40+160+100+300)</f>
        <v>33.189882473739132</v>
      </c>
      <c r="AD902" s="27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32.812905755395683</v>
      </c>
    </row>
    <row r="903" spans="1:30" ht="15.75" x14ac:dyDescent="0.25">
      <c r="A903" s="13">
        <v>68758</v>
      </c>
      <c r="B903" s="10">
        <f>CHOOSE(CONTROL!$C$42, 32.2472, 32.2472) * CHOOSE(CONTROL!$C$21, $C$9, 100%, $E$9)</f>
        <v>32.247199999999999</v>
      </c>
      <c r="C903" s="10">
        <f>CHOOSE(CONTROL!$C$42, 32.2523, 32.2523) * CHOOSE(CONTROL!$C$21, $C$9, 100%, $E$9)</f>
        <v>32.252299999999998</v>
      </c>
      <c r="D903" s="10">
        <f>CHOOSE(CONTROL!$C$42, 32.2873, 32.2873) * CHOOSE(CONTROL!$C$21, $C$9, 100%, $E$9)</f>
        <v>32.287300000000002</v>
      </c>
      <c r="E903" s="10">
        <f>CHOOSE(CONTROL!$C$42, 32.3211, 32.3211) * CHOOSE(CONTROL!$C$21, $C$9, 100%, $E$9)</f>
        <v>32.321100000000001</v>
      </c>
      <c r="F903" s="10">
        <f>CHOOSE(CONTROL!$C$42, 32.2266, 32.2266)*CHOOSE(CONTROL!$C$21, $C$9, 100%, $E$9)</f>
        <v>32.226599999999998</v>
      </c>
      <c r="G903" s="10">
        <f>CHOOSE(CONTROL!$C$42, 32.2449, 32.2449)*CHOOSE(CONTROL!$C$21, $C$9, 100%, $E$9)</f>
        <v>32.244900000000001</v>
      </c>
      <c r="H903" s="10">
        <f>CHOOSE(CONTROL!$C$42, 32.31, 32.31) * CHOOSE(CONTROL!$C$21, $C$9, 100%, $E$9)</f>
        <v>32.31</v>
      </c>
      <c r="I903" s="10">
        <f>CHOOSE(CONTROL!$C$42, 32.2544, 32.2544)* CHOOSE(CONTROL!$C$21, $C$9, 100%, $E$9)</f>
        <v>32.254399999999997</v>
      </c>
      <c r="J903" s="10">
        <f>CHOOSE(CONTROL!$C$42, 32.2192, 32.2192)* CHOOSE(CONTROL!$C$21, $C$9, 100%, $E$9)</f>
        <v>32.219200000000001</v>
      </c>
      <c r="K903" s="10">
        <f>CHOOSE(CONTROL!$C$42, 31.4198, 31.4198) * CHOOSE(CONTROL!$C$21, $C$9, 100%, $E$9)</f>
        <v>31.419799999999999</v>
      </c>
      <c r="L903" s="10">
        <f>CHOOSE(CONTROL!$C$42, 32.897, 32.897) * CHOOSE(CONTROL!$C$21, $C$9, 100%, $E$9)</f>
        <v>32.896999999999998</v>
      </c>
      <c r="M903" s="10">
        <f>CHOOSE(CONTROL!$C$42, 31.8351, 31.8351) * CHOOSE(CONTROL!$C$21, $C$9, 100%, $E$9)</f>
        <v>31.835100000000001</v>
      </c>
      <c r="N903" s="10">
        <f>CHOOSE(CONTROL!$C$42, 31.8532, 31.8532) * CHOOSE(CONTROL!$C$21, $C$9, 100%, $E$9)</f>
        <v>31.853200000000001</v>
      </c>
      <c r="O903" s="10">
        <f>CHOOSE(CONTROL!$C$42, 31.9247, 31.9247) * CHOOSE(CONTROL!$C$21, $C$9, 100%, $E$9)</f>
        <v>31.924700000000001</v>
      </c>
      <c r="P903" s="10">
        <f>CHOOSE(CONTROL!$C$42, 31.87, 31.87) * CHOOSE(CONTROL!$C$21, $C$9, 100%, $E$9)</f>
        <v>31.87</v>
      </c>
      <c r="Q903" s="10">
        <f>CHOOSE(CONTROL!$C$42, 32.52, 32.52) * CHOOSE(CONTROL!$C$21, $C$9, 100%, $E$9)</f>
        <v>32.520000000000003</v>
      </c>
      <c r="R903" s="10">
        <f>CHOOSE(CONTROL!$C$42, 33.1883, 33.1883) * CHOOSE(CONTROL!$C$21, $C$9, 100%, $E$9)</f>
        <v>33.188299999999998</v>
      </c>
      <c r="S903" s="10">
        <f>CHOOSE(CONTROL!$C$42, 31.2416, 31.2416) * CHOOSE(CONTROL!$C$21, $C$9, 100%, $E$9)</f>
        <v>31.241599999999998</v>
      </c>
      <c r="T90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38">
        <f>(1000*CHOOSE(CONTROL!$C$42, 695, 695)*CHOOSE(CONTROL!$C$42, 0.5599, 0.5599)*CHOOSE(CONTROL!$C$42, 31, 31))/1000000</f>
        <v>12.063045499999998</v>
      </c>
      <c r="V903" s="38">
        <f>(1000*CHOOSE(CONTROL!$C$42, 500, 500)*CHOOSE(CONTROL!$C$42, 0.275, 0.275)*CHOOSE(CONTROL!$C$42, 31, 31))/1000000</f>
        <v>4.2625000000000002</v>
      </c>
      <c r="W903" s="38">
        <f>(1000*CHOOSE(CONTROL!$C$42, 0.1146, 0.1146)*CHOOSE(CONTROL!$C$42, 121.5, 121.5)*CHOOSE(CONTROL!$C$42, 31, 31))/1000000</f>
        <v>0.43164089999999994</v>
      </c>
      <c r="X903" s="38">
        <f>(31*0.1790888*100000/1000000)+(31*0.2374*100000/1000000)</f>
        <v>1.2911152800000001</v>
      </c>
      <c r="Y903" s="38">
        <f>(1000*600*CHOOSE(CONTROL!$C$42, 1.0585, 1.0585)*CHOOSE(CONTROL!$C$42, 31, 31))/1000000</f>
        <v>19.688099999999999</v>
      </c>
      <c r="Z903" s="38"/>
      <c r="AA903" s="10"/>
      <c r="AB903" s="39"/>
      <c r="AC903" s="33">
        <f>(B903*122.58+C903*297.941+D903*89.177+E903*40.302+F903*40+G903*160+H903*0+I903*100+J903*300)/(122.58+297.941+89.177+40.302+0+40+160+100+300)</f>
        <v>32.246505925739129</v>
      </c>
      <c r="AD903" s="27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31.881773381294966</v>
      </c>
    </row>
    <row r="904" spans="1:30" ht="15.75" x14ac:dyDescent="0.25">
      <c r="A904" s="13">
        <v>68788</v>
      </c>
      <c r="B904" s="10">
        <f>CHOOSE(CONTROL!$C$42, 32.1513, 32.1513) * CHOOSE(CONTROL!$C$21, $C$9, 100%, $E$9)</f>
        <v>32.151299999999999</v>
      </c>
      <c r="C904" s="10">
        <f>CHOOSE(CONTROL!$C$42, 32.1559, 32.1559) * CHOOSE(CONTROL!$C$21, $C$9, 100%, $E$9)</f>
        <v>32.155900000000003</v>
      </c>
      <c r="D904" s="10">
        <f>CHOOSE(CONTROL!$C$42, 32.3341, 32.3341) * CHOOSE(CONTROL!$C$21, $C$9, 100%, $E$9)</f>
        <v>32.334099999999999</v>
      </c>
      <c r="E904" s="10">
        <f>CHOOSE(CONTROL!$C$42, 32.3659, 32.3659) * CHOOSE(CONTROL!$C$21, $C$9, 100%, $E$9)</f>
        <v>32.365900000000003</v>
      </c>
      <c r="F904" s="10">
        <f>CHOOSE(CONTROL!$C$42, 32.0948, 32.0948)*CHOOSE(CONTROL!$C$21, $C$9, 100%, $E$9)</f>
        <v>32.094799999999999</v>
      </c>
      <c r="G904" s="10">
        <f>CHOOSE(CONTROL!$C$42, 32.1114, 32.1114)*CHOOSE(CONTROL!$C$21, $C$9, 100%, $E$9)</f>
        <v>32.111400000000003</v>
      </c>
      <c r="H904" s="10">
        <f>CHOOSE(CONTROL!$C$42, 32.3554, 32.3554) * CHOOSE(CONTROL!$C$21, $C$9, 100%, $E$9)</f>
        <v>32.355400000000003</v>
      </c>
      <c r="I904" s="10">
        <f>CHOOSE(CONTROL!$C$42, 32.1274, 32.1274)* CHOOSE(CONTROL!$C$21, $C$9, 100%, $E$9)</f>
        <v>32.127400000000002</v>
      </c>
      <c r="J904" s="10">
        <f>CHOOSE(CONTROL!$C$42, 32.0874, 32.0874)* CHOOSE(CONTROL!$C$21, $C$9, 100%, $E$9)</f>
        <v>32.087400000000002</v>
      </c>
      <c r="K904" s="10">
        <f>CHOOSE(CONTROL!$C$42, 31.282, 31.282) * CHOOSE(CONTROL!$C$21, $C$9, 100%, $E$9)</f>
        <v>31.282</v>
      </c>
      <c r="L904" s="10">
        <f>CHOOSE(CONTROL!$C$42, 32.9424, 32.9424) * CHOOSE(CONTROL!$C$21, $C$9, 100%, $E$9)</f>
        <v>32.942399999999999</v>
      </c>
      <c r="M904" s="10">
        <f>CHOOSE(CONTROL!$C$42, 31.705, 31.705) * CHOOSE(CONTROL!$C$21, $C$9, 100%, $E$9)</f>
        <v>31.704999999999998</v>
      </c>
      <c r="N904" s="10">
        <f>CHOOSE(CONTROL!$C$42, 31.7214, 31.7214) * CHOOSE(CONTROL!$C$21, $C$9, 100%, $E$9)</f>
        <v>31.721399999999999</v>
      </c>
      <c r="O904" s="10">
        <f>CHOOSE(CONTROL!$C$42, 31.9696, 31.9696) * CHOOSE(CONTROL!$C$21, $C$9, 100%, $E$9)</f>
        <v>31.9696</v>
      </c>
      <c r="P904" s="10">
        <f>CHOOSE(CONTROL!$C$42, 31.7445, 31.7445) * CHOOSE(CONTROL!$C$21, $C$9, 100%, $E$9)</f>
        <v>31.744499999999999</v>
      </c>
      <c r="Q904" s="10">
        <f>CHOOSE(CONTROL!$C$42, 32.5649, 32.5649) * CHOOSE(CONTROL!$C$21, $C$9, 100%, $E$9)</f>
        <v>32.564900000000002</v>
      </c>
      <c r="R904" s="10">
        <f>CHOOSE(CONTROL!$C$42, 33.2333, 33.2333) * CHOOSE(CONTROL!$C$21, $C$9, 100%, $E$9)</f>
        <v>33.2333</v>
      </c>
      <c r="S904" s="10">
        <f>CHOOSE(CONTROL!$C$42, 31.1481, 31.1481) * CHOOSE(CONTROL!$C$21, $C$9, 100%, $E$9)</f>
        <v>31.148099999999999</v>
      </c>
      <c r="T90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38">
        <f>(1000*CHOOSE(CONTROL!$C$42, 695, 695)*CHOOSE(CONTROL!$C$42, 0.5599, 0.5599)*CHOOSE(CONTROL!$C$42, 30, 30))/1000000</f>
        <v>11.673914999999997</v>
      </c>
      <c r="V904" s="38">
        <f>(1000*CHOOSE(CONTROL!$C$42, 500, 500)*CHOOSE(CONTROL!$C$42, 0.275, 0.275)*CHOOSE(CONTROL!$C$42, 30, 30))/1000000</f>
        <v>4.125</v>
      </c>
      <c r="W904" s="38">
        <f>(1000*CHOOSE(CONTROL!$C$42, 0.1146, 0.1146)*CHOOSE(CONTROL!$C$42, 121.5, 121.5)*CHOOSE(CONTROL!$C$42, 30, 30))/1000000</f>
        <v>0.417717</v>
      </c>
      <c r="X904" s="38">
        <f>(30*0.1790888*245000/1000000)+(30*0.2374*100000/1000000)</f>
        <v>2.0285026799999999</v>
      </c>
      <c r="Y904" s="38">
        <f>(1000*600*CHOOSE(CONTROL!$C$42, 1.0585, 1.0585)*CHOOSE(CONTROL!$C$42, 30, 30))/1000000</f>
        <v>19.053000000000001</v>
      </c>
      <c r="Z904" s="38"/>
      <c r="AA904" s="10"/>
      <c r="AB904" s="39"/>
      <c r="AC904" s="33">
        <f>(B904*141.293+C904*267.993+D904*115.016+E904*89.698+F904*40+G904*185+H904*0+I904*100+J904*300)/(141.293+267.993+115.016+89.698+0+40+185+100+300)</f>
        <v>32.159617500726398</v>
      </c>
      <c r="AD904" s="27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31.831553956834533</v>
      </c>
    </row>
    <row r="905" spans="1:30" ht="15.75" x14ac:dyDescent="0.25">
      <c r="A905" s="13">
        <v>68819</v>
      </c>
      <c r="B905" s="10">
        <f>CHOOSE(CONTROL!$C$42, 32.437, 32.437) * CHOOSE(CONTROL!$C$21, $C$9, 100%, $E$9)</f>
        <v>32.436999999999998</v>
      </c>
      <c r="C905" s="10">
        <f>CHOOSE(CONTROL!$C$42, 32.445, 32.445) * CHOOSE(CONTROL!$C$21, $C$9, 100%, $E$9)</f>
        <v>32.445</v>
      </c>
      <c r="D905" s="10">
        <f>CHOOSE(CONTROL!$C$42, 32.6201, 32.6201) * CHOOSE(CONTROL!$C$21, $C$9, 100%, $E$9)</f>
        <v>32.620100000000001</v>
      </c>
      <c r="E905" s="10">
        <f>CHOOSE(CONTROL!$C$42, 32.6514, 32.6514) * CHOOSE(CONTROL!$C$21, $C$9, 100%, $E$9)</f>
        <v>32.651400000000002</v>
      </c>
      <c r="F905" s="10">
        <f>CHOOSE(CONTROL!$C$42, 32.3787, 32.3787)*CHOOSE(CONTROL!$C$21, $C$9, 100%, $E$9)</f>
        <v>32.378700000000002</v>
      </c>
      <c r="G905" s="10">
        <f>CHOOSE(CONTROL!$C$42, 32.3956, 32.3956)*CHOOSE(CONTROL!$C$21, $C$9, 100%, $E$9)</f>
        <v>32.395600000000002</v>
      </c>
      <c r="H905" s="10">
        <f>CHOOSE(CONTROL!$C$42, 32.6397, 32.6397) * CHOOSE(CONTROL!$C$21, $C$9, 100%, $E$9)</f>
        <v>32.639699999999998</v>
      </c>
      <c r="I905" s="10">
        <f>CHOOSE(CONTROL!$C$42, 32.4117, 32.4117)* CHOOSE(CONTROL!$C$21, $C$9, 100%, $E$9)</f>
        <v>32.411700000000003</v>
      </c>
      <c r="J905" s="10">
        <f>CHOOSE(CONTROL!$C$42, 32.3713, 32.3713)* CHOOSE(CONTROL!$C$21, $C$9, 100%, $E$9)</f>
        <v>32.371299999999998</v>
      </c>
      <c r="K905" s="10">
        <f>CHOOSE(CONTROL!$C$42, 31.5565, 31.5565) * CHOOSE(CONTROL!$C$21, $C$9, 100%, $E$9)</f>
        <v>31.5565</v>
      </c>
      <c r="L905" s="10">
        <f>CHOOSE(CONTROL!$C$42, 33.2267, 33.2267) * CHOOSE(CONTROL!$C$21, $C$9, 100%, $E$9)</f>
        <v>33.226700000000001</v>
      </c>
      <c r="M905" s="10">
        <f>CHOOSE(CONTROL!$C$42, 31.9853, 31.9853) * CHOOSE(CONTROL!$C$21, $C$9, 100%, $E$9)</f>
        <v>31.985299999999999</v>
      </c>
      <c r="N905" s="10">
        <f>CHOOSE(CONTROL!$C$42, 32.0019, 32.0019) * CHOOSE(CONTROL!$C$21, $C$9, 100%, $E$9)</f>
        <v>32.001899999999999</v>
      </c>
      <c r="O905" s="10">
        <f>CHOOSE(CONTROL!$C$42, 32.2502, 32.2502) * CHOOSE(CONTROL!$C$21, $C$9, 100%, $E$9)</f>
        <v>32.2502</v>
      </c>
      <c r="P905" s="10">
        <f>CHOOSE(CONTROL!$C$42, 32.0252, 32.0252) * CHOOSE(CONTROL!$C$21, $C$9, 100%, $E$9)</f>
        <v>32.025199999999998</v>
      </c>
      <c r="Q905" s="10">
        <f>CHOOSE(CONTROL!$C$42, 32.8455, 32.8455) * CHOOSE(CONTROL!$C$21, $C$9, 100%, $E$9)</f>
        <v>32.845500000000001</v>
      </c>
      <c r="R905" s="10">
        <f>CHOOSE(CONTROL!$C$42, 33.5146, 33.5146) * CHOOSE(CONTROL!$C$21, $C$9, 100%, $E$9)</f>
        <v>33.514600000000002</v>
      </c>
      <c r="S905" s="10">
        <f>CHOOSE(CONTROL!$C$42, 31.4234, 31.4234) * CHOOSE(CONTROL!$C$21, $C$9, 100%, $E$9)</f>
        <v>31.423400000000001</v>
      </c>
      <c r="T90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38">
        <f>(1000*CHOOSE(CONTROL!$C$42, 695, 695)*CHOOSE(CONTROL!$C$42, 0.5599, 0.5599)*CHOOSE(CONTROL!$C$42, 31, 31))/1000000</f>
        <v>12.063045499999998</v>
      </c>
      <c r="V905" s="38">
        <f>(1000*CHOOSE(CONTROL!$C$42, 500, 500)*CHOOSE(CONTROL!$C$42, 0.275, 0.275)*CHOOSE(CONTROL!$C$42, 31, 31))/1000000</f>
        <v>4.2625000000000002</v>
      </c>
      <c r="W905" s="38">
        <f>(1000*CHOOSE(CONTROL!$C$42, 0.1146, 0.1146)*CHOOSE(CONTROL!$C$42, 121.5, 121.5)*CHOOSE(CONTROL!$C$42, 31, 31))/1000000</f>
        <v>0.43164089999999994</v>
      </c>
      <c r="X905" s="38">
        <f>(31*0.1790888*245000/1000000)+(31*0.2374*100000/1000000)</f>
        <v>2.0961194359999999</v>
      </c>
      <c r="Y905" s="38">
        <f>(1000*600*CHOOSE(CONTROL!$C$42, 1.0585, 1.0585)*CHOOSE(CONTROL!$C$42, 31, 31))/1000000</f>
        <v>19.688099999999999</v>
      </c>
      <c r="Z905" s="38"/>
      <c r="AA905" s="10"/>
      <c r="AB905" s="39"/>
      <c r="AC905" s="33">
        <f>(B905*194.205+C905*267.466+D905*133.845+E905*53.484+F905*40+G905*185+H905*0+I905*100+J905*300)/(194.205+267.466+133.845+53.484+0+40+185+100+300)</f>
        <v>32.441617517346941</v>
      </c>
      <c r="AD905" s="27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32.11205899280575</v>
      </c>
    </row>
    <row r="906" spans="1:30" ht="15.75" x14ac:dyDescent="0.25">
      <c r="A906" s="13">
        <v>68849</v>
      </c>
      <c r="B906" s="10">
        <f>CHOOSE(CONTROL!$C$42, 33.3575, 33.3575) * CHOOSE(CONTROL!$C$21, $C$9, 100%, $E$9)</f>
        <v>33.357500000000002</v>
      </c>
      <c r="C906" s="10">
        <f>CHOOSE(CONTROL!$C$42, 33.3655, 33.3655) * CHOOSE(CONTROL!$C$21, $C$9, 100%, $E$9)</f>
        <v>33.365499999999997</v>
      </c>
      <c r="D906" s="10">
        <f>CHOOSE(CONTROL!$C$42, 33.5406, 33.5406) * CHOOSE(CONTROL!$C$21, $C$9, 100%, $E$9)</f>
        <v>33.540599999999998</v>
      </c>
      <c r="E906" s="10">
        <f>CHOOSE(CONTROL!$C$42, 33.5719, 33.5719) * CHOOSE(CONTROL!$C$21, $C$9, 100%, $E$9)</f>
        <v>33.571899999999999</v>
      </c>
      <c r="F906" s="10">
        <f>CHOOSE(CONTROL!$C$42, 33.2994, 33.2994)*CHOOSE(CONTROL!$C$21, $C$9, 100%, $E$9)</f>
        <v>33.299399999999999</v>
      </c>
      <c r="G906" s="10">
        <f>CHOOSE(CONTROL!$C$42, 33.3163, 33.3163)*CHOOSE(CONTROL!$C$21, $C$9, 100%, $E$9)</f>
        <v>33.316299999999998</v>
      </c>
      <c r="H906" s="10">
        <f>CHOOSE(CONTROL!$C$42, 33.5602, 33.5602) * CHOOSE(CONTROL!$C$21, $C$9, 100%, $E$9)</f>
        <v>33.560200000000002</v>
      </c>
      <c r="I906" s="10">
        <f>CHOOSE(CONTROL!$C$42, 33.3322, 33.3322)* CHOOSE(CONTROL!$C$21, $C$9, 100%, $E$9)</f>
        <v>33.3322</v>
      </c>
      <c r="J906" s="10">
        <f>CHOOSE(CONTROL!$C$42, 33.292, 33.292)* CHOOSE(CONTROL!$C$21, $C$9, 100%, $E$9)</f>
        <v>33.292000000000002</v>
      </c>
      <c r="K906" s="10">
        <f>CHOOSE(CONTROL!$C$42, 32.4487, 32.4487) * CHOOSE(CONTROL!$C$21, $C$9, 100%, $E$9)</f>
        <v>32.448700000000002</v>
      </c>
      <c r="L906" s="10">
        <f>CHOOSE(CONTROL!$C$42, 34.1472, 34.1472) * CHOOSE(CONTROL!$C$21, $C$9, 100%, $E$9)</f>
        <v>34.147199999999998</v>
      </c>
      <c r="M906" s="10">
        <f>CHOOSE(CONTROL!$C$42, 32.8941, 32.8941) * CHOOSE(CONTROL!$C$21, $C$9, 100%, $E$9)</f>
        <v>32.894100000000002</v>
      </c>
      <c r="N906" s="10">
        <f>CHOOSE(CONTROL!$C$42, 32.9108, 32.9108) * CHOOSE(CONTROL!$C$21, $C$9, 100%, $E$9)</f>
        <v>32.910800000000002</v>
      </c>
      <c r="O906" s="10">
        <f>CHOOSE(CONTROL!$C$42, 33.1588, 33.1588) * CHOOSE(CONTROL!$C$21, $C$9, 100%, $E$9)</f>
        <v>33.158799999999999</v>
      </c>
      <c r="P906" s="10">
        <f>CHOOSE(CONTROL!$C$42, 32.9338, 32.9338) * CHOOSE(CONTROL!$C$21, $C$9, 100%, $E$9)</f>
        <v>32.933799999999998</v>
      </c>
      <c r="Q906" s="10">
        <f>CHOOSE(CONTROL!$C$42, 33.7541, 33.7541) * CHOOSE(CONTROL!$C$21, $C$9, 100%, $E$9)</f>
        <v>33.754100000000001</v>
      </c>
      <c r="R906" s="10">
        <f>CHOOSE(CONTROL!$C$42, 34.4255, 34.4255) * CHOOSE(CONTROL!$C$21, $C$9, 100%, $E$9)</f>
        <v>34.4255</v>
      </c>
      <c r="S906" s="10">
        <f>CHOOSE(CONTROL!$C$42, 32.3147, 32.3147) * CHOOSE(CONTROL!$C$21, $C$9, 100%, $E$9)</f>
        <v>32.314700000000002</v>
      </c>
      <c r="T90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38">
        <f>(1000*CHOOSE(CONTROL!$C$42, 695, 695)*CHOOSE(CONTROL!$C$42, 0.5599, 0.5599)*CHOOSE(CONTROL!$C$42, 30, 30))/1000000</f>
        <v>11.673914999999997</v>
      </c>
      <c r="V906" s="38">
        <f>(1000*CHOOSE(CONTROL!$C$42, 500, 500)*CHOOSE(CONTROL!$C$42, 0.275, 0.275)*CHOOSE(CONTROL!$C$42, 30, 30))/1000000</f>
        <v>4.125</v>
      </c>
      <c r="W906" s="38">
        <f>(1000*CHOOSE(CONTROL!$C$42, 0.1146, 0.1146)*CHOOSE(CONTROL!$C$42, 121.5, 121.5)*CHOOSE(CONTROL!$C$42, 30, 30))/1000000</f>
        <v>0.417717</v>
      </c>
      <c r="X906" s="38">
        <f>(30*0.1790888*245000/1000000)+(30*0.2374*100000/1000000)</f>
        <v>2.0285026799999999</v>
      </c>
      <c r="Y906" s="38">
        <f>(1000*600*CHOOSE(CONTROL!$C$42, 1.0585, 1.0585)*CHOOSE(CONTROL!$C$42, 30, 30))/1000000</f>
        <v>19.053000000000001</v>
      </c>
      <c r="Z906" s="38"/>
      <c r="AA906" s="10"/>
      <c r="AB906" s="39"/>
      <c r="AC906" s="33">
        <f>(B906*194.205+C906*267.466+D906*133.845+E906*53.484+F906*40+G906*185+H906*0+I906*100+J906*300)/(194.205+267.466+133.845+53.484+0+40+185+100+300)</f>
        <v>33.362199934929357</v>
      </c>
      <c r="AD906" s="27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33.020745323741011</v>
      </c>
    </row>
    <row r="907" spans="1:30" ht="15.75" x14ac:dyDescent="0.25">
      <c r="A907" s="13">
        <v>68880</v>
      </c>
      <c r="B907" s="10">
        <f>CHOOSE(CONTROL!$C$42, 32.7173, 32.7173) * CHOOSE(CONTROL!$C$21, $C$9, 100%, $E$9)</f>
        <v>32.717300000000002</v>
      </c>
      <c r="C907" s="10">
        <f>CHOOSE(CONTROL!$C$42, 32.7253, 32.7253) * CHOOSE(CONTROL!$C$21, $C$9, 100%, $E$9)</f>
        <v>32.725299999999997</v>
      </c>
      <c r="D907" s="10">
        <f>CHOOSE(CONTROL!$C$42, 32.9004, 32.9004) * CHOOSE(CONTROL!$C$21, $C$9, 100%, $E$9)</f>
        <v>32.900399999999998</v>
      </c>
      <c r="E907" s="10">
        <f>CHOOSE(CONTROL!$C$42, 32.9316, 32.9316) * CHOOSE(CONTROL!$C$21, $C$9, 100%, $E$9)</f>
        <v>32.931600000000003</v>
      </c>
      <c r="F907" s="10">
        <f>CHOOSE(CONTROL!$C$42, 32.6595, 32.6595)*CHOOSE(CONTROL!$C$21, $C$9, 100%, $E$9)</f>
        <v>32.659500000000001</v>
      </c>
      <c r="G907" s="10">
        <f>CHOOSE(CONTROL!$C$42, 32.6766, 32.6766)*CHOOSE(CONTROL!$C$21, $C$9, 100%, $E$9)</f>
        <v>32.676600000000001</v>
      </c>
      <c r="H907" s="10">
        <f>CHOOSE(CONTROL!$C$42, 32.92, 32.92) * CHOOSE(CONTROL!$C$21, $C$9, 100%, $E$9)</f>
        <v>32.92</v>
      </c>
      <c r="I907" s="10">
        <f>CHOOSE(CONTROL!$C$42, 32.692, 32.692)* CHOOSE(CONTROL!$C$21, $C$9, 100%, $E$9)</f>
        <v>32.692</v>
      </c>
      <c r="J907" s="10">
        <f>CHOOSE(CONTROL!$C$42, 32.6521, 32.6521)* CHOOSE(CONTROL!$C$21, $C$9, 100%, $E$9)</f>
        <v>32.652099999999997</v>
      </c>
      <c r="K907" s="10">
        <f>CHOOSE(CONTROL!$C$42, 31.8292, 31.8292) * CHOOSE(CONTROL!$C$21, $C$9, 100%, $E$9)</f>
        <v>31.8292</v>
      </c>
      <c r="L907" s="10">
        <f>CHOOSE(CONTROL!$C$42, 33.507, 33.507) * CHOOSE(CONTROL!$C$21, $C$9, 100%, $E$9)</f>
        <v>33.506999999999998</v>
      </c>
      <c r="M907" s="10">
        <f>CHOOSE(CONTROL!$C$42, 32.2625, 32.2625) * CHOOSE(CONTROL!$C$21, $C$9, 100%, $E$9)</f>
        <v>32.262500000000003</v>
      </c>
      <c r="N907" s="10">
        <f>CHOOSE(CONTROL!$C$42, 32.2793, 32.2793) * CHOOSE(CONTROL!$C$21, $C$9, 100%, $E$9)</f>
        <v>32.279299999999999</v>
      </c>
      <c r="O907" s="10">
        <f>CHOOSE(CONTROL!$C$42, 32.5268, 32.5268) * CHOOSE(CONTROL!$C$21, $C$9, 100%, $E$9)</f>
        <v>32.526800000000001</v>
      </c>
      <c r="P907" s="10">
        <f>CHOOSE(CONTROL!$C$42, 32.3018, 32.3018) * CHOOSE(CONTROL!$C$21, $C$9, 100%, $E$9)</f>
        <v>32.3018</v>
      </c>
      <c r="Q907" s="10">
        <f>CHOOSE(CONTROL!$C$42, 33.1221, 33.1221) * CHOOSE(CONTROL!$C$21, $C$9, 100%, $E$9)</f>
        <v>33.122100000000003</v>
      </c>
      <c r="R907" s="10">
        <f>CHOOSE(CONTROL!$C$42, 33.7919, 33.7919) * CHOOSE(CONTROL!$C$21, $C$9, 100%, $E$9)</f>
        <v>33.791899999999998</v>
      </c>
      <c r="S907" s="10">
        <f>CHOOSE(CONTROL!$C$42, 31.6948, 31.6948) * CHOOSE(CONTROL!$C$21, $C$9, 100%, $E$9)</f>
        <v>31.694800000000001</v>
      </c>
      <c r="T90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38">
        <f>(1000*CHOOSE(CONTROL!$C$42, 695, 695)*CHOOSE(CONTROL!$C$42, 0.5599, 0.5599)*CHOOSE(CONTROL!$C$42, 31, 31))/1000000</f>
        <v>12.063045499999998</v>
      </c>
      <c r="V907" s="38">
        <f>(1000*CHOOSE(CONTROL!$C$42, 500, 500)*CHOOSE(CONTROL!$C$42, 0.275, 0.275)*CHOOSE(CONTROL!$C$42, 31, 31))/1000000</f>
        <v>4.2625000000000002</v>
      </c>
      <c r="W907" s="38">
        <f>(1000*CHOOSE(CONTROL!$C$42, 0.1146, 0.1146)*CHOOSE(CONTROL!$C$42, 121.5, 121.5)*CHOOSE(CONTROL!$C$42, 31, 31))/1000000</f>
        <v>0.43164089999999994</v>
      </c>
      <c r="X907" s="38">
        <f>(31*0.1790888*245000/1000000)+(31*0.2374*100000/1000000)</f>
        <v>2.0961194359999999</v>
      </c>
      <c r="Y907" s="38">
        <f>(1000*600*CHOOSE(CONTROL!$C$42, 1.0585, 1.0585)*CHOOSE(CONTROL!$C$42, 31, 31))/1000000</f>
        <v>19.688099999999999</v>
      </c>
      <c r="Z907" s="38"/>
      <c r="AA907" s="10"/>
      <c r="AB907" s="39"/>
      <c r="AC907" s="33">
        <f>(B907*194.205+C907*267.466+D907*133.845+E907*53.484+F907*40+G907*185+H907*0+I907*100+J907*300)/(194.205+267.466+133.845+53.484+0+40+185+100+300)</f>
        <v>32.722148405572995</v>
      </c>
      <c r="AD907" s="27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32.38891223021583</v>
      </c>
    </row>
    <row r="908" spans="1:30" ht="15.75" x14ac:dyDescent="0.25">
      <c r="A908" s="13">
        <v>68911</v>
      </c>
      <c r="B908" s="10">
        <f>CHOOSE(CONTROL!$C$42, 31.1005, 31.1005) * CHOOSE(CONTROL!$C$21, $C$9, 100%, $E$9)</f>
        <v>31.1005</v>
      </c>
      <c r="C908" s="10">
        <f>CHOOSE(CONTROL!$C$42, 31.1085, 31.1085) * CHOOSE(CONTROL!$C$21, $C$9, 100%, $E$9)</f>
        <v>31.108499999999999</v>
      </c>
      <c r="D908" s="10">
        <f>CHOOSE(CONTROL!$C$42, 31.2837, 31.2837) * CHOOSE(CONTROL!$C$21, $C$9, 100%, $E$9)</f>
        <v>31.2837</v>
      </c>
      <c r="E908" s="10">
        <f>CHOOSE(CONTROL!$C$42, 31.3149, 31.3149) * CHOOSE(CONTROL!$C$21, $C$9, 100%, $E$9)</f>
        <v>31.314900000000002</v>
      </c>
      <c r="F908" s="10">
        <f>CHOOSE(CONTROL!$C$42, 31.0426, 31.0426)*CHOOSE(CONTROL!$C$21, $C$9, 100%, $E$9)</f>
        <v>31.0426</v>
      </c>
      <c r="G908" s="10">
        <f>CHOOSE(CONTROL!$C$42, 31.0596, 31.0596)*CHOOSE(CONTROL!$C$21, $C$9, 100%, $E$9)</f>
        <v>31.0596</v>
      </c>
      <c r="H908" s="10">
        <f>CHOOSE(CONTROL!$C$42, 31.3032, 31.3032) * CHOOSE(CONTROL!$C$21, $C$9, 100%, $E$9)</f>
        <v>31.3032</v>
      </c>
      <c r="I908" s="10">
        <f>CHOOSE(CONTROL!$C$42, 31.0752, 31.0752)* CHOOSE(CONTROL!$C$21, $C$9, 100%, $E$9)</f>
        <v>31.075199999999999</v>
      </c>
      <c r="J908" s="10">
        <f>CHOOSE(CONTROL!$C$42, 31.0352, 31.0352)* CHOOSE(CONTROL!$C$21, $C$9, 100%, $E$9)</f>
        <v>31.0352</v>
      </c>
      <c r="K908" s="10">
        <f>CHOOSE(CONTROL!$C$42, 30.2627, 30.2627) * CHOOSE(CONTROL!$C$21, $C$9, 100%, $E$9)</f>
        <v>30.262699999999999</v>
      </c>
      <c r="L908" s="10">
        <f>CHOOSE(CONTROL!$C$42, 31.8902, 31.8902) * CHOOSE(CONTROL!$C$21, $C$9, 100%, $E$9)</f>
        <v>31.8902</v>
      </c>
      <c r="M908" s="10">
        <f>CHOOSE(CONTROL!$C$42, 30.6665, 30.6665) * CHOOSE(CONTROL!$C$21, $C$9, 100%, $E$9)</f>
        <v>30.666499999999999</v>
      </c>
      <c r="N908" s="10">
        <f>CHOOSE(CONTROL!$C$42, 30.6833, 30.6833) * CHOOSE(CONTROL!$C$21, $C$9, 100%, $E$9)</f>
        <v>30.683299999999999</v>
      </c>
      <c r="O908" s="10">
        <f>CHOOSE(CONTROL!$C$42, 30.931, 30.931) * CHOOSE(CONTROL!$C$21, $C$9, 100%, $E$9)</f>
        <v>30.931000000000001</v>
      </c>
      <c r="P908" s="10">
        <f>CHOOSE(CONTROL!$C$42, 30.706, 30.706) * CHOOSE(CONTROL!$C$21, $C$9, 100%, $E$9)</f>
        <v>30.706</v>
      </c>
      <c r="Q908" s="10">
        <f>CHOOSE(CONTROL!$C$42, 31.5263, 31.5263) * CHOOSE(CONTROL!$C$21, $C$9, 100%, $E$9)</f>
        <v>31.526299999999999</v>
      </c>
      <c r="R908" s="10">
        <f>CHOOSE(CONTROL!$C$42, 32.1921, 32.1921) * CHOOSE(CONTROL!$C$21, $C$9, 100%, $E$9)</f>
        <v>32.192100000000003</v>
      </c>
      <c r="S908" s="10">
        <f>CHOOSE(CONTROL!$C$42, 30.1292, 30.1292) * CHOOSE(CONTROL!$C$21, $C$9, 100%, $E$9)</f>
        <v>30.129200000000001</v>
      </c>
      <c r="T90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38">
        <f>(1000*CHOOSE(CONTROL!$C$42, 695, 695)*CHOOSE(CONTROL!$C$42, 0.5599, 0.5599)*CHOOSE(CONTROL!$C$42, 31, 31))/1000000</f>
        <v>12.063045499999998</v>
      </c>
      <c r="V908" s="38">
        <f>(1000*CHOOSE(CONTROL!$C$42, 500, 500)*CHOOSE(CONTROL!$C$42, 0.275, 0.275)*CHOOSE(CONTROL!$C$42, 31, 31))/1000000</f>
        <v>4.2625000000000002</v>
      </c>
      <c r="W908" s="38">
        <f>(1000*CHOOSE(CONTROL!$C$42, 0.1146, 0.1146)*CHOOSE(CONTROL!$C$42, 121.5, 121.5)*CHOOSE(CONTROL!$C$42, 31, 31))/1000000</f>
        <v>0.43164089999999994</v>
      </c>
      <c r="X908" s="38">
        <f>(31*0.1790888*245000/1000000)+(31*0.2374*100000/1000000)</f>
        <v>2.0961194359999999</v>
      </c>
      <c r="Y908" s="38">
        <f>(1000*600*CHOOSE(CONTROL!$C$42, 1.0585, 1.0585)*CHOOSE(CONTROL!$C$42, 31, 31))/1000000</f>
        <v>19.688099999999999</v>
      </c>
      <c r="Z908" s="38"/>
      <c r="AA908" s="10"/>
      <c r="AB908" s="39"/>
      <c r="AC908" s="33">
        <f>(B908*194.205+C908*267.466+D908*133.845+E908*53.484+F908*40+G908*185+H908*0+I908*100+J908*300)/(194.205+267.466+133.845+53.484+0+40+185+100+300)</f>
        <v>31.105307379591839</v>
      </c>
      <c r="AD908" s="27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30.793031654676259</v>
      </c>
    </row>
    <row r="909" spans="1:30" ht="15.75" x14ac:dyDescent="0.25">
      <c r="A909" s="13">
        <v>68941</v>
      </c>
      <c r="B909" s="10">
        <f>CHOOSE(CONTROL!$C$42, 29.1251, 29.1251) * CHOOSE(CONTROL!$C$21, $C$9, 100%, $E$9)</f>
        <v>29.1251</v>
      </c>
      <c r="C909" s="10">
        <f>CHOOSE(CONTROL!$C$42, 29.1331, 29.1331) * CHOOSE(CONTROL!$C$21, $C$9, 100%, $E$9)</f>
        <v>29.133099999999999</v>
      </c>
      <c r="D909" s="10">
        <f>CHOOSE(CONTROL!$C$42, 29.3083, 29.3083) * CHOOSE(CONTROL!$C$21, $C$9, 100%, $E$9)</f>
        <v>29.308299999999999</v>
      </c>
      <c r="E909" s="10">
        <f>CHOOSE(CONTROL!$C$42, 29.3395, 29.3395) * CHOOSE(CONTROL!$C$21, $C$9, 100%, $E$9)</f>
        <v>29.339500000000001</v>
      </c>
      <c r="F909" s="10">
        <f>CHOOSE(CONTROL!$C$42, 29.0669, 29.0669)*CHOOSE(CONTROL!$C$21, $C$9, 100%, $E$9)</f>
        <v>29.0669</v>
      </c>
      <c r="G909" s="10">
        <f>CHOOSE(CONTROL!$C$42, 29.0839, 29.0839)*CHOOSE(CONTROL!$C$21, $C$9, 100%, $E$9)</f>
        <v>29.0839</v>
      </c>
      <c r="H909" s="10">
        <f>CHOOSE(CONTROL!$C$42, 29.3278, 29.3278) * CHOOSE(CONTROL!$C$21, $C$9, 100%, $E$9)</f>
        <v>29.3278</v>
      </c>
      <c r="I909" s="10">
        <f>CHOOSE(CONTROL!$C$42, 29.0998, 29.0998)* CHOOSE(CONTROL!$C$21, $C$9, 100%, $E$9)</f>
        <v>29.099799999999998</v>
      </c>
      <c r="J909" s="10">
        <f>CHOOSE(CONTROL!$C$42, 29.0595, 29.0595)* CHOOSE(CONTROL!$C$21, $C$9, 100%, $E$9)</f>
        <v>29.0595</v>
      </c>
      <c r="K909" s="10">
        <f>CHOOSE(CONTROL!$C$42, 28.3483, 28.3483) * CHOOSE(CONTROL!$C$21, $C$9, 100%, $E$9)</f>
        <v>28.348299999999998</v>
      </c>
      <c r="L909" s="10">
        <f>CHOOSE(CONTROL!$C$42, 29.9148, 29.9148) * CHOOSE(CONTROL!$C$21, $C$9, 100%, $E$9)</f>
        <v>29.9148</v>
      </c>
      <c r="M909" s="10">
        <f>CHOOSE(CONTROL!$C$42, 28.7164, 28.7164) * CHOOSE(CONTROL!$C$21, $C$9, 100%, $E$9)</f>
        <v>28.7164</v>
      </c>
      <c r="N909" s="10">
        <f>CHOOSE(CONTROL!$C$42, 28.7331, 28.7331) * CHOOSE(CONTROL!$C$21, $C$9, 100%, $E$9)</f>
        <v>28.7331</v>
      </c>
      <c r="O909" s="10">
        <f>CHOOSE(CONTROL!$C$42, 28.9812, 28.9812) * CHOOSE(CONTROL!$C$21, $C$9, 100%, $E$9)</f>
        <v>28.981200000000001</v>
      </c>
      <c r="P909" s="10">
        <f>CHOOSE(CONTROL!$C$42, 28.7562, 28.7562) * CHOOSE(CONTROL!$C$21, $C$9, 100%, $E$9)</f>
        <v>28.7562</v>
      </c>
      <c r="Q909" s="10">
        <f>CHOOSE(CONTROL!$C$42, 29.5765, 29.5765) * CHOOSE(CONTROL!$C$21, $C$9, 100%, $E$9)</f>
        <v>29.576499999999999</v>
      </c>
      <c r="R909" s="10">
        <f>CHOOSE(CONTROL!$C$42, 30.2374, 30.2374) * CHOOSE(CONTROL!$C$21, $C$9, 100%, $E$9)</f>
        <v>30.237400000000001</v>
      </c>
      <c r="S909" s="10">
        <f>CHOOSE(CONTROL!$C$42, 28.2165, 28.2165) * CHOOSE(CONTROL!$C$21, $C$9, 100%, $E$9)</f>
        <v>28.2165</v>
      </c>
      <c r="T90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38">
        <f>(1000*CHOOSE(CONTROL!$C$42, 695, 695)*CHOOSE(CONTROL!$C$42, 0.5599, 0.5599)*CHOOSE(CONTROL!$C$42, 30, 30))/1000000</f>
        <v>11.673914999999997</v>
      </c>
      <c r="V909" s="38">
        <f>(1000*CHOOSE(CONTROL!$C$42, 500, 500)*CHOOSE(CONTROL!$C$42, 0.275, 0.275)*CHOOSE(CONTROL!$C$42, 30, 30))/1000000</f>
        <v>4.125</v>
      </c>
      <c r="W909" s="38">
        <f>(1000*CHOOSE(CONTROL!$C$42, 0.1146, 0.1146)*CHOOSE(CONTROL!$C$42, 121.5, 121.5)*CHOOSE(CONTROL!$C$42, 30, 30))/1000000</f>
        <v>0.417717</v>
      </c>
      <c r="X909" s="38">
        <f>(30*0.1790888*245000/1000000)+(30*0.2374*100000/1000000)</f>
        <v>2.0285026799999999</v>
      </c>
      <c r="Y909" s="38">
        <f>(1000*600*CHOOSE(CONTROL!$C$42, 1.0585, 1.0585)*CHOOSE(CONTROL!$C$42, 30, 30))/1000000</f>
        <v>19.053000000000001</v>
      </c>
      <c r="Z909" s="38"/>
      <c r="AA909" s="10"/>
      <c r="AB909" s="39"/>
      <c r="AC909" s="33">
        <f>(B909*194.205+C909*267.466+D909*133.845+E909*53.484+F909*40+G909*185+H909*0+I909*100+J909*300)/(194.205+267.466+133.845+53.484+0+40+185+100+300)</f>
        <v>29.129783753218209</v>
      </c>
      <c r="AD909" s="27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28.84310503597122</v>
      </c>
    </row>
    <row r="910" spans="1:30" ht="15.75" x14ac:dyDescent="0.25">
      <c r="A910" s="13">
        <v>68972</v>
      </c>
      <c r="B910" s="10">
        <f>CHOOSE(CONTROL!$C$42, 28.5314, 28.5314) * CHOOSE(CONTROL!$C$21, $C$9, 100%, $E$9)</f>
        <v>28.531400000000001</v>
      </c>
      <c r="C910" s="10">
        <f>CHOOSE(CONTROL!$C$42, 28.5367, 28.5367) * CHOOSE(CONTROL!$C$21, $C$9, 100%, $E$9)</f>
        <v>28.5367</v>
      </c>
      <c r="D910" s="10">
        <f>CHOOSE(CONTROL!$C$42, 28.7167, 28.7167) * CHOOSE(CONTROL!$C$21, $C$9, 100%, $E$9)</f>
        <v>28.716699999999999</v>
      </c>
      <c r="E910" s="10">
        <f>CHOOSE(CONTROL!$C$42, 28.7457, 28.7457) * CHOOSE(CONTROL!$C$21, $C$9, 100%, $E$9)</f>
        <v>28.745699999999999</v>
      </c>
      <c r="F910" s="10">
        <f>CHOOSE(CONTROL!$C$42, 28.4752, 28.4752)*CHOOSE(CONTROL!$C$21, $C$9, 100%, $E$9)</f>
        <v>28.475200000000001</v>
      </c>
      <c r="G910" s="10">
        <f>CHOOSE(CONTROL!$C$42, 28.4918, 28.4918)*CHOOSE(CONTROL!$C$21, $C$9, 100%, $E$9)</f>
        <v>28.491800000000001</v>
      </c>
      <c r="H910" s="10">
        <f>CHOOSE(CONTROL!$C$42, 28.7358, 28.7358) * CHOOSE(CONTROL!$C$21, $C$9, 100%, $E$9)</f>
        <v>28.735800000000001</v>
      </c>
      <c r="I910" s="10">
        <f>CHOOSE(CONTROL!$C$42, 28.5078, 28.5078)* CHOOSE(CONTROL!$C$21, $C$9, 100%, $E$9)</f>
        <v>28.5078</v>
      </c>
      <c r="J910" s="10">
        <f>CHOOSE(CONTROL!$C$42, 28.4678, 28.4678)* CHOOSE(CONTROL!$C$21, $C$9, 100%, $E$9)</f>
        <v>28.4678</v>
      </c>
      <c r="K910" s="10">
        <f>CHOOSE(CONTROL!$C$42, 27.7753, 27.7753) * CHOOSE(CONTROL!$C$21, $C$9, 100%, $E$9)</f>
        <v>27.775300000000001</v>
      </c>
      <c r="L910" s="10">
        <f>CHOOSE(CONTROL!$C$42, 29.3228, 29.3228) * CHOOSE(CONTROL!$C$21, $C$9, 100%, $E$9)</f>
        <v>29.322800000000001</v>
      </c>
      <c r="M910" s="10">
        <f>CHOOSE(CONTROL!$C$42, 28.1323, 28.1323) * CHOOSE(CONTROL!$C$21, $C$9, 100%, $E$9)</f>
        <v>28.132300000000001</v>
      </c>
      <c r="N910" s="10">
        <f>CHOOSE(CONTROL!$C$42, 28.1487, 28.1487) * CHOOSE(CONTROL!$C$21, $C$9, 100%, $E$9)</f>
        <v>28.148700000000002</v>
      </c>
      <c r="O910" s="10">
        <f>CHOOSE(CONTROL!$C$42, 28.3968, 28.3968) * CHOOSE(CONTROL!$C$21, $C$9, 100%, $E$9)</f>
        <v>28.396799999999999</v>
      </c>
      <c r="P910" s="10">
        <f>CHOOSE(CONTROL!$C$42, 28.1718, 28.1718) * CHOOSE(CONTROL!$C$21, $C$9, 100%, $E$9)</f>
        <v>28.171800000000001</v>
      </c>
      <c r="Q910" s="10">
        <f>CHOOSE(CONTROL!$C$42, 28.9921, 28.9921) * CHOOSE(CONTROL!$C$21, $C$9, 100%, $E$9)</f>
        <v>28.992100000000001</v>
      </c>
      <c r="R910" s="10">
        <f>CHOOSE(CONTROL!$C$42, 29.6516, 29.6516) * CHOOSE(CONTROL!$C$21, $C$9, 100%, $E$9)</f>
        <v>29.651599999999998</v>
      </c>
      <c r="S910" s="10">
        <f>CHOOSE(CONTROL!$C$42, 27.6432, 27.6432) * CHOOSE(CONTROL!$C$21, $C$9, 100%, $E$9)</f>
        <v>27.6432</v>
      </c>
      <c r="T91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38">
        <f>(1000*CHOOSE(CONTROL!$C$42, 695, 695)*CHOOSE(CONTROL!$C$42, 0.5599, 0.5599)*CHOOSE(CONTROL!$C$42, 31, 31))/1000000</f>
        <v>12.063045499999998</v>
      </c>
      <c r="V910" s="38">
        <f>(1000*CHOOSE(CONTROL!$C$42, 500, 500)*CHOOSE(CONTROL!$C$42, 0.275, 0.275)*CHOOSE(CONTROL!$C$42, 31, 31))/1000000</f>
        <v>4.2625000000000002</v>
      </c>
      <c r="W910" s="38">
        <f>(1000*CHOOSE(CONTROL!$C$42, 0.1146, 0.1146)*CHOOSE(CONTROL!$C$42, 121.5, 121.5)*CHOOSE(CONTROL!$C$42, 31, 31))/1000000</f>
        <v>0.43164089999999994</v>
      </c>
      <c r="X910" s="38">
        <f>(31*0.1790888*245000/1000000)+(31*0.2374*100000/1000000)</f>
        <v>2.0961194359999999</v>
      </c>
      <c r="Y910" s="38">
        <f>(1000*600*CHOOSE(CONTROL!$C$42, 1.0585, 1.0585)*CHOOSE(CONTROL!$C$42, 31, 31))/1000000</f>
        <v>19.688099999999999</v>
      </c>
      <c r="Z910" s="38"/>
      <c r="AA910" s="10"/>
      <c r="AB910" s="39"/>
      <c r="AC910" s="33">
        <f>(B910*131.881+C910*277.167+D910*79.08+E910*125.872+F910*40+G910*185+H910*0+I910*100+J910*300)/(131.881+277.167+79.08+125.872+0+40+185+100+300)</f>
        <v>28.541152121630347</v>
      </c>
      <c r="AD910" s="27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28.25880863309353</v>
      </c>
    </row>
    <row r="911" spans="1:30" ht="15.75" x14ac:dyDescent="0.25">
      <c r="A911" s="13">
        <v>69002</v>
      </c>
      <c r="B911" s="10">
        <f>CHOOSE(CONTROL!$C$42, 29.2831, 29.2831) * CHOOSE(CONTROL!$C$21, $C$9, 100%, $E$9)</f>
        <v>29.283100000000001</v>
      </c>
      <c r="C911" s="10">
        <f>CHOOSE(CONTROL!$C$42, 29.2882, 29.2882) * CHOOSE(CONTROL!$C$21, $C$9, 100%, $E$9)</f>
        <v>29.2882</v>
      </c>
      <c r="D911" s="10">
        <f>CHOOSE(CONTROL!$C$42, 29.3128, 29.3128) * CHOOSE(CONTROL!$C$21, $C$9, 100%, $E$9)</f>
        <v>29.312799999999999</v>
      </c>
      <c r="E911" s="10">
        <f>CHOOSE(CONTROL!$C$42, 29.3466, 29.3466) * CHOOSE(CONTROL!$C$21, $C$9, 100%, $E$9)</f>
        <v>29.346599999999999</v>
      </c>
      <c r="F911" s="10">
        <f>CHOOSE(CONTROL!$C$42, 29.2487, 29.2487)*CHOOSE(CONTROL!$C$21, $C$9, 100%, $E$9)</f>
        <v>29.248699999999999</v>
      </c>
      <c r="G911" s="10">
        <f>CHOOSE(CONTROL!$C$42, 29.2655, 29.2655)*CHOOSE(CONTROL!$C$21, $C$9, 100%, $E$9)</f>
        <v>29.265499999999999</v>
      </c>
      <c r="H911" s="10">
        <f>CHOOSE(CONTROL!$C$42, 29.3355, 29.3355) * CHOOSE(CONTROL!$C$21, $C$9, 100%, $E$9)</f>
        <v>29.3355</v>
      </c>
      <c r="I911" s="10">
        <f>CHOOSE(CONTROL!$C$42, 29.2826, 29.2826)* CHOOSE(CONTROL!$C$21, $C$9, 100%, $E$9)</f>
        <v>29.282599999999999</v>
      </c>
      <c r="J911" s="10">
        <f>CHOOSE(CONTROL!$C$42, 29.2413, 29.2413)* CHOOSE(CONTROL!$C$21, $C$9, 100%, $E$9)</f>
        <v>29.241299999999999</v>
      </c>
      <c r="K911" s="10">
        <f>CHOOSE(CONTROL!$C$42, 28.5277, 28.5277) * CHOOSE(CONTROL!$C$21, $C$9, 100%, $E$9)</f>
        <v>28.527699999999999</v>
      </c>
      <c r="L911" s="10">
        <f>CHOOSE(CONTROL!$C$42, 29.9225, 29.9225) * CHOOSE(CONTROL!$C$21, $C$9, 100%, $E$9)</f>
        <v>29.922499999999999</v>
      </c>
      <c r="M911" s="10">
        <f>CHOOSE(CONTROL!$C$42, 28.8958, 28.8958) * CHOOSE(CONTROL!$C$21, $C$9, 100%, $E$9)</f>
        <v>28.895800000000001</v>
      </c>
      <c r="N911" s="10">
        <f>CHOOSE(CONTROL!$C$42, 28.9124, 28.9124) * CHOOSE(CONTROL!$C$21, $C$9, 100%, $E$9)</f>
        <v>28.912400000000002</v>
      </c>
      <c r="O911" s="10">
        <f>CHOOSE(CONTROL!$C$42, 28.9888, 28.9888) * CHOOSE(CONTROL!$C$21, $C$9, 100%, $E$9)</f>
        <v>28.988800000000001</v>
      </c>
      <c r="P911" s="10">
        <f>CHOOSE(CONTROL!$C$42, 28.9366, 28.9366) * CHOOSE(CONTROL!$C$21, $C$9, 100%, $E$9)</f>
        <v>28.936599999999999</v>
      </c>
      <c r="Q911" s="10">
        <f>CHOOSE(CONTROL!$C$42, 29.5841, 29.5841) * CHOOSE(CONTROL!$C$21, $C$9, 100%, $E$9)</f>
        <v>29.584099999999999</v>
      </c>
      <c r="R911" s="10">
        <f>CHOOSE(CONTROL!$C$42, 30.2451, 30.2451) * CHOOSE(CONTROL!$C$21, $C$9, 100%, $E$9)</f>
        <v>30.245100000000001</v>
      </c>
      <c r="S911" s="10">
        <f>CHOOSE(CONTROL!$C$42, 28.3714, 28.3714) * CHOOSE(CONTROL!$C$21, $C$9, 100%, $E$9)</f>
        <v>28.371400000000001</v>
      </c>
      <c r="T91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38">
        <f>(1000*CHOOSE(CONTROL!$C$42, 695, 695)*CHOOSE(CONTROL!$C$42, 0.5599, 0.5599)*CHOOSE(CONTROL!$C$42, 30, 30))/1000000</f>
        <v>11.673914999999997</v>
      </c>
      <c r="V911" s="38">
        <f>(1000*CHOOSE(CONTROL!$C$42, 500, 500)*CHOOSE(CONTROL!$C$42, 0.275, 0.275)*CHOOSE(CONTROL!$C$42, 30, 30))/1000000</f>
        <v>4.125</v>
      </c>
      <c r="W911" s="38">
        <f>(1000*CHOOSE(CONTROL!$C$42, 0.1146, 0.1146)*CHOOSE(CONTROL!$C$42, 121.5, 121.5)*CHOOSE(CONTROL!$C$42, 30, 30))/1000000</f>
        <v>0.417717</v>
      </c>
      <c r="X911" s="38">
        <f>(30*0.1790888*100000/1000000)+(30*0.2374*100000/1000000)</f>
        <v>1.2494664</v>
      </c>
      <c r="Y911" s="38">
        <f>(1000*600*CHOOSE(CONTROL!$C$42, 1.0585, 1.0585)*CHOOSE(CONTROL!$C$42, 30, 30))/1000000</f>
        <v>19.053000000000001</v>
      </c>
      <c r="Z911" s="38"/>
      <c r="AA911" s="10"/>
      <c r="AB911" s="39"/>
      <c r="AC911" s="33">
        <f>(B911*122.58+C911*297.941+D911*89.177+E911*40.302+F911*40+G911*160+H911*0+I911*100+J911*300)/(122.58+297.941+89.177+40.302+0+40+160+100+300)</f>
        <v>29.274356724347822</v>
      </c>
      <c r="AD911" s="27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28.944776978417266</v>
      </c>
    </row>
    <row r="912" spans="1:30" ht="15.75" x14ac:dyDescent="0.25">
      <c r="A912" s="13">
        <v>69033</v>
      </c>
      <c r="B912" s="10">
        <f>CHOOSE(CONTROL!$C$42, 31.2807, 31.2807) * CHOOSE(CONTROL!$C$21, $C$9, 100%, $E$9)</f>
        <v>31.2807</v>
      </c>
      <c r="C912" s="10">
        <f>CHOOSE(CONTROL!$C$42, 31.2858, 31.2858) * CHOOSE(CONTROL!$C$21, $C$9, 100%, $E$9)</f>
        <v>31.285799999999998</v>
      </c>
      <c r="D912" s="10">
        <f>CHOOSE(CONTROL!$C$42, 31.3105, 31.3105) * CHOOSE(CONTROL!$C$21, $C$9, 100%, $E$9)</f>
        <v>31.310500000000001</v>
      </c>
      <c r="E912" s="10">
        <f>CHOOSE(CONTROL!$C$42, 31.3443, 31.3443) * CHOOSE(CONTROL!$C$21, $C$9, 100%, $E$9)</f>
        <v>31.3443</v>
      </c>
      <c r="F912" s="10">
        <f>CHOOSE(CONTROL!$C$42, 31.2481, 31.2481)*CHOOSE(CONTROL!$C$21, $C$9, 100%, $E$9)</f>
        <v>31.248100000000001</v>
      </c>
      <c r="G912" s="10">
        <f>CHOOSE(CONTROL!$C$42, 31.2654, 31.2654)*CHOOSE(CONTROL!$C$21, $C$9, 100%, $E$9)</f>
        <v>31.2654</v>
      </c>
      <c r="H912" s="10">
        <f>CHOOSE(CONTROL!$C$42, 31.3331, 31.3331) * CHOOSE(CONTROL!$C$21, $C$9, 100%, $E$9)</f>
        <v>31.333100000000002</v>
      </c>
      <c r="I912" s="10">
        <f>CHOOSE(CONTROL!$C$42, 31.2802, 31.2802)* CHOOSE(CONTROL!$C$21, $C$9, 100%, $E$9)</f>
        <v>31.280200000000001</v>
      </c>
      <c r="J912" s="10">
        <f>CHOOSE(CONTROL!$C$42, 31.2407, 31.2407)* CHOOSE(CONTROL!$C$21, $C$9, 100%, $E$9)</f>
        <v>31.2407</v>
      </c>
      <c r="K912" s="10">
        <f>CHOOSE(CONTROL!$C$42, 30.4668, 30.4668) * CHOOSE(CONTROL!$C$21, $C$9, 100%, $E$9)</f>
        <v>30.466799999999999</v>
      </c>
      <c r="L912" s="10">
        <f>CHOOSE(CONTROL!$C$42, 31.9201, 31.9201) * CHOOSE(CONTROL!$C$21, $C$9, 100%, $E$9)</f>
        <v>31.920100000000001</v>
      </c>
      <c r="M912" s="10">
        <f>CHOOSE(CONTROL!$C$42, 30.8693, 30.8693) * CHOOSE(CONTROL!$C$21, $C$9, 100%, $E$9)</f>
        <v>30.869299999999999</v>
      </c>
      <c r="N912" s="10">
        <f>CHOOSE(CONTROL!$C$42, 30.8864, 30.8864) * CHOOSE(CONTROL!$C$21, $C$9, 100%, $E$9)</f>
        <v>30.886399999999998</v>
      </c>
      <c r="O912" s="10">
        <f>CHOOSE(CONTROL!$C$42, 30.9606, 30.9606) * CHOOSE(CONTROL!$C$21, $C$9, 100%, $E$9)</f>
        <v>30.960599999999999</v>
      </c>
      <c r="P912" s="10">
        <f>CHOOSE(CONTROL!$C$42, 30.9083, 30.9083) * CHOOSE(CONTROL!$C$21, $C$9, 100%, $E$9)</f>
        <v>30.908300000000001</v>
      </c>
      <c r="Q912" s="10">
        <f>CHOOSE(CONTROL!$C$42, 31.5559, 31.5559) * CHOOSE(CONTROL!$C$21, $C$9, 100%, $E$9)</f>
        <v>31.555900000000001</v>
      </c>
      <c r="R912" s="10">
        <f>CHOOSE(CONTROL!$C$42, 32.2218, 32.2218) * CHOOSE(CONTROL!$C$21, $C$9, 100%, $E$9)</f>
        <v>32.221800000000002</v>
      </c>
      <c r="S912" s="10">
        <f>CHOOSE(CONTROL!$C$42, 30.3057, 30.3057) * CHOOSE(CONTROL!$C$21, $C$9, 100%, $E$9)</f>
        <v>30.305700000000002</v>
      </c>
      <c r="T91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38">
        <f>(1000*CHOOSE(CONTROL!$C$42, 695, 695)*CHOOSE(CONTROL!$C$42, 0.5599, 0.5599)*CHOOSE(CONTROL!$C$42, 31, 31))/1000000</f>
        <v>12.063045499999998</v>
      </c>
      <c r="V912" s="38">
        <f>(1000*CHOOSE(CONTROL!$C$42, 500, 500)*CHOOSE(CONTROL!$C$42, 0.275, 0.275)*CHOOSE(CONTROL!$C$42, 31, 31))/1000000</f>
        <v>4.2625000000000002</v>
      </c>
      <c r="W912" s="38">
        <f>(1000*CHOOSE(CONTROL!$C$42, 0.1146, 0.1146)*CHOOSE(CONTROL!$C$42, 121.5, 121.5)*CHOOSE(CONTROL!$C$42, 31, 31))/1000000</f>
        <v>0.43164089999999994</v>
      </c>
      <c r="X912" s="38">
        <f>(31*0.1790888*100000/1000000)+(31*0.2374*100000/1000000)</f>
        <v>1.2911152800000001</v>
      </c>
      <c r="Y912" s="38">
        <f>(1000*600*CHOOSE(CONTROL!$C$42, 1.0585, 1.0585)*CHOOSE(CONTROL!$C$42, 31, 31))/1000000</f>
        <v>19.688099999999999</v>
      </c>
      <c r="Z912" s="38"/>
      <c r="AA912" s="10"/>
      <c r="AB912" s="39"/>
      <c r="AC912" s="33">
        <f>(B912*122.58+C912*297.941+D912*89.177+E912*40.302+F912*40+G912*160+H912*0+I912*100+J912*300)/(122.58+297.941+89.177+40.302+0+40+160+100+300)</f>
        <v>31.272820157304345</v>
      </c>
      <c r="AD912" s="27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30.917276258992803</v>
      </c>
    </row>
    <row r="913" spans="1:30" ht="15.75" x14ac:dyDescent="0.25">
      <c r="A913" s="13">
        <v>69064</v>
      </c>
      <c r="B913" s="10">
        <f>CHOOSE(CONTROL!$C$42, 33.3931, 33.3931) * CHOOSE(CONTROL!$C$21, $C$9, 100%, $E$9)</f>
        <v>33.393099999999997</v>
      </c>
      <c r="C913" s="10">
        <f>CHOOSE(CONTROL!$C$42, 33.3982, 33.3982) * CHOOSE(CONTROL!$C$21, $C$9, 100%, $E$9)</f>
        <v>33.398200000000003</v>
      </c>
      <c r="D913" s="10">
        <f>CHOOSE(CONTROL!$C$42, 33.4332, 33.4332) * CHOOSE(CONTROL!$C$21, $C$9, 100%, $E$9)</f>
        <v>33.433199999999999</v>
      </c>
      <c r="E913" s="10">
        <f>CHOOSE(CONTROL!$C$42, 33.467, 33.467) * CHOOSE(CONTROL!$C$21, $C$9, 100%, $E$9)</f>
        <v>33.466999999999999</v>
      </c>
      <c r="F913" s="10">
        <f>CHOOSE(CONTROL!$C$42, 33.3743, 33.3743)*CHOOSE(CONTROL!$C$21, $C$9, 100%, $E$9)</f>
        <v>33.374299999999998</v>
      </c>
      <c r="G913" s="10">
        <f>CHOOSE(CONTROL!$C$42, 33.3932, 33.3932)*CHOOSE(CONTROL!$C$21, $C$9, 100%, $E$9)</f>
        <v>33.3932</v>
      </c>
      <c r="H913" s="10">
        <f>CHOOSE(CONTROL!$C$42, 33.4559, 33.4559) * CHOOSE(CONTROL!$C$21, $C$9, 100%, $E$9)</f>
        <v>33.4559</v>
      </c>
      <c r="I913" s="10">
        <f>CHOOSE(CONTROL!$C$42, 33.4003, 33.4003)* CHOOSE(CONTROL!$C$21, $C$9, 100%, $E$9)</f>
        <v>33.400300000000001</v>
      </c>
      <c r="J913" s="10">
        <f>CHOOSE(CONTROL!$C$42, 33.3669, 33.3669)* CHOOSE(CONTROL!$C$21, $C$9, 100%, $E$9)</f>
        <v>33.366900000000001</v>
      </c>
      <c r="K913" s="10">
        <f>CHOOSE(CONTROL!$C$42, 32.534, 32.534) * CHOOSE(CONTROL!$C$21, $C$9, 100%, $E$9)</f>
        <v>32.533999999999999</v>
      </c>
      <c r="L913" s="10">
        <f>CHOOSE(CONTROL!$C$42, 34.0429, 34.0429) * CHOOSE(CONTROL!$C$21, $C$9, 100%, $E$9)</f>
        <v>34.042900000000003</v>
      </c>
      <c r="M913" s="10">
        <f>CHOOSE(CONTROL!$C$42, 32.968, 32.968) * CHOOSE(CONTROL!$C$21, $C$9, 100%, $E$9)</f>
        <v>32.968000000000004</v>
      </c>
      <c r="N913" s="10">
        <f>CHOOSE(CONTROL!$C$42, 32.9867, 32.9867) * CHOOSE(CONTROL!$C$21, $C$9, 100%, $E$9)</f>
        <v>32.986699999999999</v>
      </c>
      <c r="O913" s="10">
        <f>CHOOSE(CONTROL!$C$42, 33.0558, 33.0558) * CHOOSE(CONTROL!$C$21, $C$9, 100%, $E$9)</f>
        <v>33.055799999999998</v>
      </c>
      <c r="P913" s="10">
        <f>CHOOSE(CONTROL!$C$42, 33.001, 33.001) * CHOOSE(CONTROL!$C$21, $C$9, 100%, $E$9)</f>
        <v>33.000999999999998</v>
      </c>
      <c r="Q913" s="10">
        <f>CHOOSE(CONTROL!$C$42, 33.6511, 33.6511) * CHOOSE(CONTROL!$C$21, $C$9, 100%, $E$9)</f>
        <v>33.6511</v>
      </c>
      <c r="R913" s="10">
        <f>CHOOSE(CONTROL!$C$42, 34.3222, 34.3222) * CHOOSE(CONTROL!$C$21, $C$9, 100%, $E$9)</f>
        <v>34.322200000000002</v>
      </c>
      <c r="S913" s="10">
        <f>CHOOSE(CONTROL!$C$42, 32.3512, 32.3512) * CHOOSE(CONTROL!$C$21, $C$9, 100%, $E$9)</f>
        <v>32.351199999999999</v>
      </c>
      <c r="T91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38">
        <f>(1000*CHOOSE(CONTROL!$C$42, 695, 695)*CHOOSE(CONTROL!$C$42, 0.5599, 0.5599)*CHOOSE(CONTROL!$C$42, 31, 31))/1000000</f>
        <v>12.063045499999998</v>
      </c>
      <c r="V913" s="38">
        <f>(1000*CHOOSE(CONTROL!$C$42, 500, 500)*CHOOSE(CONTROL!$C$42, 0.275, 0.275)*CHOOSE(CONTROL!$C$42, 31, 31))/1000000</f>
        <v>4.2625000000000002</v>
      </c>
      <c r="W913" s="38">
        <f>(1000*CHOOSE(CONTROL!$C$42, 0.1146, 0.1146)*CHOOSE(CONTROL!$C$42, 121.5, 121.5)*CHOOSE(CONTROL!$C$42, 31, 31))/1000000</f>
        <v>0.43164089999999994</v>
      </c>
      <c r="X913" s="38">
        <f>(31*0.1790888*100000/1000000)+(31*0.2374*100000/1000000)</f>
        <v>1.2911152800000001</v>
      </c>
      <c r="Y913" s="38">
        <f>(1000*600*CHOOSE(CONTROL!$C$42, 1.0585, 1.0585)*CHOOSE(CONTROL!$C$42, 31, 31))/1000000</f>
        <v>19.688099999999999</v>
      </c>
      <c r="Z913" s="38"/>
      <c r="AA913" s="10"/>
      <c r="AB913" s="39"/>
      <c r="AC913" s="33">
        <f>(B913*122.58+C913*297.941+D913*89.177+E913*40.302+F913*40+G913*160+H913*0+I913*100+J913*300)/(122.58+297.941+89.177+40.302+0+40+160+100+300)</f>
        <v>33.393272012695654</v>
      </c>
      <c r="AD913" s="27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33.013618705035967</v>
      </c>
    </row>
    <row r="914" spans="1:30" ht="15.75" x14ac:dyDescent="0.25">
      <c r="A914" s="13">
        <v>69092</v>
      </c>
      <c r="B914" s="10">
        <f>CHOOSE(CONTROL!$C$42, 33.9878, 33.9878) * CHOOSE(CONTROL!$C$21, $C$9, 100%, $E$9)</f>
        <v>33.9878</v>
      </c>
      <c r="C914" s="10">
        <f>CHOOSE(CONTROL!$C$42, 33.9929, 33.9929) * CHOOSE(CONTROL!$C$21, $C$9, 100%, $E$9)</f>
        <v>33.992899999999999</v>
      </c>
      <c r="D914" s="10">
        <f>CHOOSE(CONTROL!$C$42, 34.0279, 34.0279) * CHOOSE(CONTROL!$C$21, $C$9, 100%, $E$9)</f>
        <v>34.027900000000002</v>
      </c>
      <c r="E914" s="10">
        <f>CHOOSE(CONTROL!$C$42, 34.0617, 34.0617) * CHOOSE(CONTROL!$C$21, $C$9, 100%, $E$9)</f>
        <v>34.061700000000002</v>
      </c>
      <c r="F914" s="10">
        <f>CHOOSE(CONTROL!$C$42, 33.9685, 33.9685)*CHOOSE(CONTROL!$C$21, $C$9, 100%, $E$9)</f>
        <v>33.968499999999999</v>
      </c>
      <c r="G914" s="10">
        <f>CHOOSE(CONTROL!$C$42, 33.9873, 33.9873)*CHOOSE(CONTROL!$C$21, $C$9, 100%, $E$9)</f>
        <v>33.987299999999998</v>
      </c>
      <c r="H914" s="10">
        <f>CHOOSE(CONTROL!$C$42, 34.0506, 34.0506) * CHOOSE(CONTROL!$C$21, $C$9, 100%, $E$9)</f>
        <v>34.050600000000003</v>
      </c>
      <c r="I914" s="10">
        <f>CHOOSE(CONTROL!$C$42, 33.995, 33.995)* CHOOSE(CONTROL!$C$21, $C$9, 100%, $E$9)</f>
        <v>33.994999999999997</v>
      </c>
      <c r="J914" s="10">
        <f>CHOOSE(CONTROL!$C$42, 33.9611, 33.9611)* CHOOSE(CONTROL!$C$21, $C$9, 100%, $E$9)</f>
        <v>33.961100000000002</v>
      </c>
      <c r="K914" s="10">
        <f>CHOOSE(CONTROL!$C$42, 33.109, 33.109) * CHOOSE(CONTROL!$C$21, $C$9, 100%, $E$9)</f>
        <v>33.109000000000002</v>
      </c>
      <c r="L914" s="10">
        <f>CHOOSE(CONTROL!$C$42, 34.6376, 34.6376) * CHOOSE(CONTROL!$C$21, $C$9, 100%, $E$9)</f>
        <v>34.637599999999999</v>
      </c>
      <c r="M914" s="10">
        <f>CHOOSE(CONTROL!$C$42, 33.5545, 33.5545) * CHOOSE(CONTROL!$C$21, $C$9, 100%, $E$9)</f>
        <v>33.554499999999997</v>
      </c>
      <c r="N914" s="10">
        <f>CHOOSE(CONTROL!$C$42, 33.5731, 33.5731) * CHOOSE(CONTROL!$C$21, $C$9, 100%, $E$9)</f>
        <v>33.573099999999997</v>
      </c>
      <c r="O914" s="10">
        <f>CHOOSE(CONTROL!$C$42, 33.6428, 33.6428) * CHOOSE(CONTROL!$C$21, $C$9, 100%, $E$9)</f>
        <v>33.642800000000001</v>
      </c>
      <c r="P914" s="10">
        <f>CHOOSE(CONTROL!$C$42, 33.588, 33.588) * CHOOSE(CONTROL!$C$21, $C$9, 100%, $E$9)</f>
        <v>33.588000000000001</v>
      </c>
      <c r="Q914" s="10">
        <f>CHOOSE(CONTROL!$C$42, 34.2381, 34.2381) * CHOOSE(CONTROL!$C$21, $C$9, 100%, $E$9)</f>
        <v>34.238100000000003</v>
      </c>
      <c r="R914" s="10">
        <f>CHOOSE(CONTROL!$C$42, 34.9107, 34.9107) * CHOOSE(CONTROL!$C$21, $C$9, 100%, $E$9)</f>
        <v>34.910699999999999</v>
      </c>
      <c r="S914" s="10">
        <f>CHOOSE(CONTROL!$C$42, 32.927, 32.927) * CHOOSE(CONTROL!$C$21, $C$9, 100%, $E$9)</f>
        <v>32.927</v>
      </c>
      <c r="T91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14" s="38">
        <f>(1000*CHOOSE(CONTROL!$C$42, 695, 695)*CHOOSE(CONTROL!$C$42, 0.5599, 0.5599)*CHOOSE(CONTROL!$C$42, 28, 28))/1000000</f>
        <v>10.895653999999999</v>
      </c>
      <c r="V914" s="38">
        <f>(1000*CHOOSE(CONTROL!$C$42, 500, 500)*CHOOSE(CONTROL!$C$42, 0.275, 0.275)*CHOOSE(CONTROL!$C$42, 28, 28))/1000000</f>
        <v>3.85</v>
      </c>
      <c r="W914" s="38">
        <f>(1000*CHOOSE(CONTROL!$C$42, 0.1146, 0.1146)*CHOOSE(CONTROL!$C$42, 121.5, 121.5)*CHOOSE(CONTROL!$C$42, 28, 28))/1000000</f>
        <v>0.38986920000000003</v>
      </c>
      <c r="X914" s="38">
        <f>(28*0.1790888*100000/1000000)+(28*0.2374*100000/1000000)</f>
        <v>1.16616864</v>
      </c>
      <c r="Y914" s="38">
        <f>(1000*600*CHOOSE(CONTROL!$C$42, 1.0585, 1.0585)*CHOOSE(CONTROL!$C$42, 28, 28))/1000000</f>
        <v>17.782800000000002</v>
      </c>
      <c r="Z914" s="38"/>
      <c r="AA914" s="10"/>
      <c r="AB914" s="39"/>
      <c r="AC914" s="33">
        <f>(B914*122.58+C914*297.941+D914*89.177+E914*40.302+F914*40+G914*160+H914*0+I914*100+J914*300)/(122.58+297.941+89.177+40.302+0+40+160+100+300)</f>
        <v>33.987740708347829</v>
      </c>
      <c r="AD914" s="27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33.600411510791361</v>
      </c>
    </row>
    <row r="915" spans="1:30" ht="15.75" x14ac:dyDescent="0.25">
      <c r="A915" s="13">
        <v>69123</v>
      </c>
      <c r="B915" s="10">
        <f>CHOOSE(CONTROL!$C$42, 33.0224, 33.0224) * CHOOSE(CONTROL!$C$21, $C$9, 100%, $E$9)</f>
        <v>33.022399999999998</v>
      </c>
      <c r="C915" s="10">
        <f>CHOOSE(CONTROL!$C$42, 33.0275, 33.0275) * CHOOSE(CONTROL!$C$21, $C$9, 100%, $E$9)</f>
        <v>33.027500000000003</v>
      </c>
      <c r="D915" s="10">
        <f>CHOOSE(CONTROL!$C$42, 33.0625, 33.0625) * CHOOSE(CONTROL!$C$21, $C$9, 100%, $E$9)</f>
        <v>33.0625</v>
      </c>
      <c r="E915" s="10">
        <f>CHOOSE(CONTROL!$C$42, 33.0963, 33.0963) * CHOOSE(CONTROL!$C$21, $C$9, 100%, $E$9)</f>
        <v>33.096299999999999</v>
      </c>
      <c r="F915" s="10">
        <f>CHOOSE(CONTROL!$C$42, 33.0018, 33.0018)*CHOOSE(CONTROL!$C$21, $C$9, 100%, $E$9)</f>
        <v>33.001800000000003</v>
      </c>
      <c r="G915" s="10">
        <f>CHOOSE(CONTROL!$C$42, 33.0202, 33.0202)*CHOOSE(CONTROL!$C$21, $C$9, 100%, $E$9)</f>
        <v>33.020200000000003</v>
      </c>
      <c r="H915" s="10">
        <f>CHOOSE(CONTROL!$C$42, 33.0852, 33.0852) * CHOOSE(CONTROL!$C$21, $C$9, 100%, $E$9)</f>
        <v>33.0852</v>
      </c>
      <c r="I915" s="10">
        <f>CHOOSE(CONTROL!$C$42, 33.0296, 33.0296)* CHOOSE(CONTROL!$C$21, $C$9, 100%, $E$9)</f>
        <v>33.029600000000002</v>
      </c>
      <c r="J915" s="10">
        <f>CHOOSE(CONTROL!$C$42, 32.9944, 32.9944)* CHOOSE(CONTROL!$C$21, $C$9, 100%, $E$9)</f>
        <v>32.994399999999999</v>
      </c>
      <c r="K915" s="10">
        <f>CHOOSE(CONTROL!$C$42, 32.1708, 32.1708) * CHOOSE(CONTROL!$C$21, $C$9, 100%, $E$9)</f>
        <v>32.1708</v>
      </c>
      <c r="L915" s="10">
        <f>CHOOSE(CONTROL!$C$42, 33.6722, 33.6722) * CHOOSE(CONTROL!$C$21, $C$9, 100%, $E$9)</f>
        <v>33.672199999999997</v>
      </c>
      <c r="M915" s="10">
        <f>CHOOSE(CONTROL!$C$42, 32.6003, 32.6003) * CHOOSE(CONTROL!$C$21, $C$9, 100%, $E$9)</f>
        <v>32.600299999999997</v>
      </c>
      <c r="N915" s="10">
        <f>CHOOSE(CONTROL!$C$42, 32.6184, 32.6184) * CHOOSE(CONTROL!$C$21, $C$9, 100%, $E$9)</f>
        <v>32.618400000000001</v>
      </c>
      <c r="O915" s="10">
        <f>CHOOSE(CONTROL!$C$42, 32.6899, 32.6899) * CHOOSE(CONTROL!$C$21, $C$9, 100%, $E$9)</f>
        <v>32.689900000000002</v>
      </c>
      <c r="P915" s="10">
        <f>CHOOSE(CONTROL!$C$42, 32.6351, 32.6351) * CHOOSE(CONTROL!$C$21, $C$9, 100%, $E$9)</f>
        <v>32.635100000000001</v>
      </c>
      <c r="Q915" s="10">
        <f>CHOOSE(CONTROL!$C$42, 33.2852, 33.2852) * CHOOSE(CONTROL!$C$21, $C$9, 100%, $E$9)</f>
        <v>33.285200000000003</v>
      </c>
      <c r="R915" s="10">
        <f>CHOOSE(CONTROL!$C$42, 33.9554, 33.9554) * CHOOSE(CONTROL!$C$21, $C$9, 100%, $E$9)</f>
        <v>33.955399999999997</v>
      </c>
      <c r="S915" s="10">
        <f>CHOOSE(CONTROL!$C$42, 31.9922, 31.9922) * CHOOSE(CONTROL!$C$21, $C$9, 100%, $E$9)</f>
        <v>31.9922</v>
      </c>
      <c r="T91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38">
        <f>(1000*CHOOSE(CONTROL!$C$42, 695, 695)*CHOOSE(CONTROL!$C$42, 0.5599, 0.5599)*CHOOSE(CONTROL!$C$42, 31, 31))/1000000</f>
        <v>12.063045499999998</v>
      </c>
      <c r="V915" s="38">
        <f>(1000*CHOOSE(CONTROL!$C$42, 500, 500)*CHOOSE(CONTROL!$C$42, 0.275, 0.275)*CHOOSE(CONTROL!$C$42, 31, 31))/1000000</f>
        <v>4.2625000000000002</v>
      </c>
      <c r="W915" s="38">
        <f>(1000*CHOOSE(CONTROL!$C$42, 0.1146, 0.1146)*CHOOSE(CONTROL!$C$42, 121.5, 121.5)*CHOOSE(CONTROL!$C$42, 31, 31))/1000000</f>
        <v>0.43164089999999994</v>
      </c>
      <c r="X915" s="38">
        <f>(31*0.1790888*100000/1000000)+(31*0.2374*100000/1000000)</f>
        <v>1.2911152800000001</v>
      </c>
      <c r="Y915" s="38">
        <f>(1000*600*CHOOSE(CONTROL!$C$42, 1.0585, 1.0585)*CHOOSE(CONTROL!$C$42, 31, 31))/1000000</f>
        <v>19.688099999999999</v>
      </c>
      <c r="Z915" s="38"/>
      <c r="AA915" s="10"/>
      <c r="AB915" s="39"/>
      <c r="AC915" s="33">
        <f>(B915*122.58+C915*297.941+D915*89.177+E915*40.302+F915*40+G915*160+H915*0+I915*100+J915*300)/(122.58+297.941+89.177+40.302+0+40+160+100+300)</f>
        <v>33.021719838782609</v>
      </c>
      <c r="AD915" s="27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32.646958992805757</v>
      </c>
    </row>
    <row r="916" spans="1:30" ht="15.75" x14ac:dyDescent="0.25">
      <c r="A916" s="13">
        <v>69153</v>
      </c>
      <c r="B916" s="10">
        <f>CHOOSE(CONTROL!$C$42, 32.9242, 32.9242) * CHOOSE(CONTROL!$C$21, $C$9, 100%, $E$9)</f>
        <v>32.924199999999999</v>
      </c>
      <c r="C916" s="10">
        <f>CHOOSE(CONTROL!$C$42, 32.9288, 32.9288) * CHOOSE(CONTROL!$C$21, $C$9, 100%, $E$9)</f>
        <v>32.928800000000003</v>
      </c>
      <c r="D916" s="10">
        <f>CHOOSE(CONTROL!$C$42, 33.107, 33.107) * CHOOSE(CONTROL!$C$21, $C$9, 100%, $E$9)</f>
        <v>33.106999999999999</v>
      </c>
      <c r="E916" s="10">
        <f>CHOOSE(CONTROL!$C$42, 33.1388, 33.1388) * CHOOSE(CONTROL!$C$21, $C$9, 100%, $E$9)</f>
        <v>33.138800000000003</v>
      </c>
      <c r="F916" s="10">
        <f>CHOOSE(CONTROL!$C$42, 32.8677, 32.8677)*CHOOSE(CONTROL!$C$21, $C$9, 100%, $E$9)</f>
        <v>32.867699999999999</v>
      </c>
      <c r="G916" s="10">
        <f>CHOOSE(CONTROL!$C$42, 32.8843, 32.8843)*CHOOSE(CONTROL!$C$21, $C$9, 100%, $E$9)</f>
        <v>32.884300000000003</v>
      </c>
      <c r="H916" s="10">
        <f>CHOOSE(CONTROL!$C$42, 33.1283, 33.1283) * CHOOSE(CONTROL!$C$21, $C$9, 100%, $E$9)</f>
        <v>33.128300000000003</v>
      </c>
      <c r="I916" s="10">
        <f>CHOOSE(CONTROL!$C$42, 32.9002, 32.9002)* CHOOSE(CONTROL!$C$21, $C$9, 100%, $E$9)</f>
        <v>32.900199999999998</v>
      </c>
      <c r="J916" s="10">
        <f>CHOOSE(CONTROL!$C$42, 32.8603, 32.8603)* CHOOSE(CONTROL!$C$21, $C$9, 100%, $E$9)</f>
        <v>32.860300000000002</v>
      </c>
      <c r="K916" s="10">
        <f>CHOOSE(CONTROL!$C$42, 32.0307, 32.0307) * CHOOSE(CONTROL!$C$21, $C$9, 100%, $E$9)</f>
        <v>32.030700000000003</v>
      </c>
      <c r="L916" s="10">
        <f>CHOOSE(CONTROL!$C$42, 33.7153, 33.7153) * CHOOSE(CONTROL!$C$21, $C$9, 100%, $E$9)</f>
        <v>33.715299999999999</v>
      </c>
      <c r="M916" s="10">
        <f>CHOOSE(CONTROL!$C$42, 32.4679, 32.4679) * CHOOSE(CONTROL!$C$21, $C$9, 100%, $E$9)</f>
        <v>32.4679</v>
      </c>
      <c r="N916" s="10">
        <f>CHOOSE(CONTROL!$C$42, 32.4843, 32.4843) * CHOOSE(CONTROL!$C$21, $C$9, 100%, $E$9)</f>
        <v>32.484299999999998</v>
      </c>
      <c r="O916" s="10">
        <f>CHOOSE(CONTROL!$C$42, 32.7324, 32.7324) * CHOOSE(CONTROL!$C$21, $C$9, 100%, $E$9)</f>
        <v>32.732399999999998</v>
      </c>
      <c r="P916" s="10">
        <f>CHOOSE(CONTROL!$C$42, 32.5074, 32.5074) * CHOOSE(CONTROL!$C$21, $C$9, 100%, $E$9)</f>
        <v>32.507399999999997</v>
      </c>
      <c r="Q916" s="10">
        <f>CHOOSE(CONTROL!$C$42, 33.3277, 33.3277) * CHOOSE(CONTROL!$C$21, $C$9, 100%, $E$9)</f>
        <v>33.3277</v>
      </c>
      <c r="R916" s="10">
        <f>CHOOSE(CONTROL!$C$42, 33.9981, 33.9981) * CHOOSE(CONTROL!$C$21, $C$9, 100%, $E$9)</f>
        <v>33.998100000000001</v>
      </c>
      <c r="S916" s="10">
        <f>CHOOSE(CONTROL!$C$42, 31.8965, 31.8965) * CHOOSE(CONTROL!$C$21, $C$9, 100%, $E$9)</f>
        <v>31.8965</v>
      </c>
      <c r="T91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38">
        <f>(1000*CHOOSE(CONTROL!$C$42, 695, 695)*CHOOSE(CONTROL!$C$42, 0.5599, 0.5599)*CHOOSE(CONTROL!$C$42, 30, 30))/1000000</f>
        <v>11.673914999999997</v>
      </c>
      <c r="V916" s="38">
        <f>(1000*CHOOSE(CONTROL!$C$42, 500, 500)*CHOOSE(CONTROL!$C$42, 0.275, 0.275)*CHOOSE(CONTROL!$C$42, 30, 30))/1000000</f>
        <v>4.125</v>
      </c>
      <c r="W916" s="38">
        <f>(1000*CHOOSE(CONTROL!$C$42, 0.1146, 0.1146)*CHOOSE(CONTROL!$C$42, 121.5, 121.5)*CHOOSE(CONTROL!$C$42, 30, 30))/1000000</f>
        <v>0.417717</v>
      </c>
      <c r="X916" s="38">
        <f>(30*0.1790888*245000/1000000)+(30*0.2374*100000/1000000)</f>
        <v>2.0285026799999999</v>
      </c>
      <c r="Y916" s="38">
        <f>(1000*600*CHOOSE(CONTROL!$C$42, 1.0585, 1.0585)*CHOOSE(CONTROL!$C$42, 30, 30))/1000000</f>
        <v>19.053000000000001</v>
      </c>
      <c r="Z916" s="38"/>
      <c r="AA916" s="10"/>
      <c r="AB916" s="39"/>
      <c r="AC916" s="33">
        <f>(B916*141.293+C916*267.993+D916*115.016+E916*89.698+F916*40+G916*185+H916*0+I916*100+J916*300)/(141.293+267.993+115.016+89.698+0+40+185+100+300)</f>
        <v>32.932509429701369</v>
      </c>
      <c r="AD916" s="27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32.594408633093529</v>
      </c>
    </row>
    <row r="917" spans="1:30" ht="15.75" x14ac:dyDescent="0.25">
      <c r="A917" s="13">
        <v>69184</v>
      </c>
      <c r="B917" s="10">
        <f>CHOOSE(CONTROL!$C$42, 33.2167, 33.2167) * CHOOSE(CONTROL!$C$21, $C$9, 100%, $E$9)</f>
        <v>33.216700000000003</v>
      </c>
      <c r="C917" s="10">
        <f>CHOOSE(CONTROL!$C$42, 33.2247, 33.2247) * CHOOSE(CONTROL!$C$21, $C$9, 100%, $E$9)</f>
        <v>33.224699999999999</v>
      </c>
      <c r="D917" s="10">
        <f>CHOOSE(CONTROL!$C$42, 33.3998, 33.3998) * CHOOSE(CONTROL!$C$21, $C$9, 100%, $E$9)</f>
        <v>33.399799999999999</v>
      </c>
      <c r="E917" s="10">
        <f>CHOOSE(CONTROL!$C$42, 33.4311, 33.4311) * CHOOSE(CONTROL!$C$21, $C$9, 100%, $E$9)</f>
        <v>33.431100000000001</v>
      </c>
      <c r="F917" s="10">
        <f>CHOOSE(CONTROL!$C$42, 33.1584, 33.1584)*CHOOSE(CONTROL!$C$21, $C$9, 100%, $E$9)</f>
        <v>33.1584</v>
      </c>
      <c r="G917" s="10">
        <f>CHOOSE(CONTROL!$C$42, 33.1753, 33.1753)*CHOOSE(CONTROL!$C$21, $C$9, 100%, $E$9)</f>
        <v>33.1753</v>
      </c>
      <c r="H917" s="10">
        <f>CHOOSE(CONTROL!$C$42, 33.4194, 33.4194) * CHOOSE(CONTROL!$C$21, $C$9, 100%, $E$9)</f>
        <v>33.419400000000003</v>
      </c>
      <c r="I917" s="10">
        <f>CHOOSE(CONTROL!$C$42, 33.1914, 33.1914)* CHOOSE(CONTROL!$C$21, $C$9, 100%, $E$9)</f>
        <v>33.191400000000002</v>
      </c>
      <c r="J917" s="10">
        <f>CHOOSE(CONTROL!$C$42, 33.151, 33.151)* CHOOSE(CONTROL!$C$21, $C$9, 100%, $E$9)</f>
        <v>33.151000000000003</v>
      </c>
      <c r="K917" s="10">
        <f>CHOOSE(CONTROL!$C$42, 32.3119, 32.3119) * CHOOSE(CONTROL!$C$21, $C$9, 100%, $E$9)</f>
        <v>32.311900000000001</v>
      </c>
      <c r="L917" s="10">
        <f>CHOOSE(CONTROL!$C$42, 34.0064, 34.0064) * CHOOSE(CONTROL!$C$21, $C$9, 100%, $E$9)</f>
        <v>34.006399999999999</v>
      </c>
      <c r="M917" s="10">
        <f>CHOOSE(CONTROL!$C$42, 32.7549, 32.7549) * CHOOSE(CONTROL!$C$21, $C$9, 100%, $E$9)</f>
        <v>32.754899999999999</v>
      </c>
      <c r="N917" s="10">
        <f>CHOOSE(CONTROL!$C$42, 32.7716, 32.7716) * CHOOSE(CONTROL!$C$21, $C$9, 100%, $E$9)</f>
        <v>32.771599999999999</v>
      </c>
      <c r="O917" s="10">
        <f>CHOOSE(CONTROL!$C$42, 33.0198, 33.0198) * CHOOSE(CONTROL!$C$21, $C$9, 100%, $E$9)</f>
        <v>33.019799999999996</v>
      </c>
      <c r="P917" s="10">
        <f>CHOOSE(CONTROL!$C$42, 32.7948, 32.7948) * CHOOSE(CONTROL!$C$21, $C$9, 100%, $E$9)</f>
        <v>32.794800000000002</v>
      </c>
      <c r="Q917" s="10">
        <f>CHOOSE(CONTROL!$C$42, 33.6151, 33.6151) * CHOOSE(CONTROL!$C$21, $C$9, 100%, $E$9)</f>
        <v>33.615099999999998</v>
      </c>
      <c r="R917" s="10">
        <f>CHOOSE(CONTROL!$C$42, 34.2861, 34.2861) * CHOOSE(CONTROL!$C$21, $C$9, 100%, $E$9)</f>
        <v>34.286099999999998</v>
      </c>
      <c r="S917" s="10">
        <f>CHOOSE(CONTROL!$C$42, 32.1783, 32.1783) * CHOOSE(CONTROL!$C$21, $C$9, 100%, $E$9)</f>
        <v>32.1783</v>
      </c>
      <c r="T91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38">
        <f>(1000*CHOOSE(CONTROL!$C$42, 695, 695)*CHOOSE(CONTROL!$C$42, 0.5599, 0.5599)*CHOOSE(CONTROL!$C$42, 31, 31))/1000000</f>
        <v>12.063045499999998</v>
      </c>
      <c r="V917" s="38">
        <f>(1000*CHOOSE(CONTROL!$C$42, 500, 500)*CHOOSE(CONTROL!$C$42, 0.275, 0.275)*CHOOSE(CONTROL!$C$42, 31, 31))/1000000</f>
        <v>4.2625000000000002</v>
      </c>
      <c r="W917" s="38">
        <f>(1000*CHOOSE(CONTROL!$C$42, 0.1146, 0.1146)*CHOOSE(CONTROL!$C$42, 121.5, 121.5)*CHOOSE(CONTROL!$C$42, 31, 31))/1000000</f>
        <v>0.43164089999999994</v>
      </c>
      <c r="X917" s="38">
        <f>(31*0.1790888*245000/1000000)+(31*0.2374*100000/1000000)</f>
        <v>2.0961194359999999</v>
      </c>
      <c r="Y917" s="38">
        <f>(1000*600*CHOOSE(CONTROL!$C$42, 1.0585, 1.0585)*CHOOSE(CONTROL!$C$42, 31, 31))/1000000</f>
        <v>19.688099999999999</v>
      </c>
      <c r="Z917" s="38"/>
      <c r="AA917" s="10"/>
      <c r="AB917" s="39"/>
      <c r="AC917" s="33">
        <f>(B917*194.205+C917*267.466+D917*133.845+E917*53.484+F917*40+G917*185+H917*0+I917*100+J917*300)/(194.205+267.466+133.845+53.484+0+40+185+100+300)</f>
        <v>33.221317517346939</v>
      </c>
      <c r="AD917" s="27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32.881664748201437</v>
      </c>
    </row>
    <row r="918" spans="1:30" ht="15.75" x14ac:dyDescent="0.25">
      <c r="A918" s="13">
        <v>69214</v>
      </c>
      <c r="B918" s="10">
        <f>CHOOSE(CONTROL!$C$42, 34.1594, 34.1594) * CHOOSE(CONTROL!$C$21, $C$9, 100%, $E$9)</f>
        <v>34.159399999999998</v>
      </c>
      <c r="C918" s="10">
        <f>CHOOSE(CONTROL!$C$42, 34.1674, 34.1674) * CHOOSE(CONTROL!$C$21, $C$9, 100%, $E$9)</f>
        <v>34.167400000000001</v>
      </c>
      <c r="D918" s="10">
        <f>CHOOSE(CONTROL!$C$42, 34.3425, 34.3425) * CHOOSE(CONTROL!$C$21, $C$9, 100%, $E$9)</f>
        <v>34.342500000000001</v>
      </c>
      <c r="E918" s="10">
        <f>CHOOSE(CONTROL!$C$42, 34.3737, 34.3737) * CHOOSE(CONTROL!$C$21, $C$9, 100%, $E$9)</f>
        <v>34.373699999999999</v>
      </c>
      <c r="F918" s="10">
        <f>CHOOSE(CONTROL!$C$42, 34.1012, 34.1012)*CHOOSE(CONTROL!$C$21, $C$9, 100%, $E$9)</f>
        <v>34.101199999999999</v>
      </c>
      <c r="G918" s="10">
        <f>CHOOSE(CONTROL!$C$42, 34.1182, 34.1182)*CHOOSE(CONTROL!$C$21, $C$9, 100%, $E$9)</f>
        <v>34.118200000000002</v>
      </c>
      <c r="H918" s="10">
        <f>CHOOSE(CONTROL!$C$42, 34.362, 34.362) * CHOOSE(CONTROL!$C$21, $C$9, 100%, $E$9)</f>
        <v>34.362000000000002</v>
      </c>
      <c r="I918" s="10">
        <f>CHOOSE(CONTROL!$C$42, 34.134, 34.134)* CHOOSE(CONTROL!$C$21, $C$9, 100%, $E$9)</f>
        <v>34.134</v>
      </c>
      <c r="J918" s="10">
        <f>CHOOSE(CONTROL!$C$42, 34.0938, 34.0938)* CHOOSE(CONTROL!$C$21, $C$9, 100%, $E$9)</f>
        <v>34.093800000000002</v>
      </c>
      <c r="K918" s="10">
        <f>CHOOSE(CONTROL!$C$42, 33.2255, 33.2255) * CHOOSE(CONTROL!$C$21, $C$9, 100%, $E$9)</f>
        <v>33.225499999999997</v>
      </c>
      <c r="L918" s="10">
        <f>CHOOSE(CONTROL!$C$42, 34.949, 34.949) * CHOOSE(CONTROL!$C$21, $C$9, 100%, $E$9)</f>
        <v>34.948999999999998</v>
      </c>
      <c r="M918" s="10">
        <f>CHOOSE(CONTROL!$C$42, 33.6855, 33.6855) * CHOOSE(CONTROL!$C$21, $C$9, 100%, $E$9)</f>
        <v>33.685499999999998</v>
      </c>
      <c r="N918" s="10">
        <f>CHOOSE(CONTROL!$C$42, 33.7022, 33.7022) * CHOOSE(CONTROL!$C$21, $C$9, 100%, $E$9)</f>
        <v>33.702199999999998</v>
      </c>
      <c r="O918" s="10">
        <f>CHOOSE(CONTROL!$C$42, 33.9502, 33.9502) * CHOOSE(CONTROL!$C$21, $C$9, 100%, $E$9)</f>
        <v>33.950200000000002</v>
      </c>
      <c r="P918" s="10">
        <f>CHOOSE(CONTROL!$C$42, 33.7252, 33.7252) * CHOOSE(CONTROL!$C$21, $C$9, 100%, $E$9)</f>
        <v>33.725200000000001</v>
      </c>
      <c r="Q918" s="10">
        <f>CHOOSE(CONTROL!$C$42, 34.5455, 34.5455) * CHOOSE(CONTROL!$C$21, $C$9, 100%, $E$9)</f>
        <v>34.545499999999997</v>
      </c>
      <c r="R918" s="10">
        <f>CHOOSE(CONTROL!$C$42, 35.2189, 35.2189) * CHOOSE(CONTROL!$C$21, $C$9, 100%, $E$9)</f>
        <v>35.218899999999998</v>
      </c>
      <c r="S918" s="10">
        <f>CHOOSE(CONTROL!$C$42, 33.0911, 33.0911) * CHOOSE(CONTROL!$C$21, $C$9, 100%, $E$9)</f>
        <v>33.091099999999997</v>
      </c>
      <c r="T91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38">
        <f>(1000*CHOOSE(CONTROL!$C$42, 695, 695)*CHOOSE(CONTROL!$C$42, 0.5599, 0.5599)*CHOOSE(CONTROL!$C$42, 30, 30))/1000000</f>
        <v>11.673914999999997</v>
      </c>
      <c r="V918" s="38">
        <f>(1000*CHOOSE(CONTROL!$C$42, 500, 500)*CHOOSE(CONTROL!$C$42, 0.275, 0.275)*CHOOSE(CONTROL!$C$42, 30, 30))/1000000</f>
        <v>4.125</v>
      </c>
      <c r="W918" s="38">
        <f>(1000*CHOOSE(CONTROL!$C$42, 0.1146, 0.1146)*CHOOSE(CONTROL!$C$42, 121.5, 121.5)*CHOOSE(CONTROL!$C$42, 30, 30))/1000000</f>
        <v>0.417717</v>
      </c>
      <c r="X918" s="38">
        <f>(30*0.1790888*245000/1000000)+(30*0.2374*100000/1000000)</f>
        <v>2.0285026799999999</v>
      </c>
      <c r="Y918" s="38">
        <f>(1000*600*CHOOSE(CONTROL!$C$42, 1.0585, 1.0585)*CHOOSE(CONTROL!$C$42, 30, 30))/1000000</f>
        <v>19.053000000000001</v>
      </c>
      <c r="Z918" s="38"/>
      <c r="AA918" s="10"/>
      <c r="AB918" s="39"/>
      <c r="AC918" s="33">
        <f>(B918*194.205+C918*267.466+D918*133.845+E918*53.484+F918*40+G918*185+H918*0+I918*100+J918*300)/(194.205+267.466+133.845+53.484+0+40+185+100+300)</f>
        <v>34.164061199921505</v>
      </c>
      <c r="AD918" s="27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33.812145323741014</v>
      </c>
    </row>
    <row r="919" spans="1:30" ht="15.75" x14ac:dyDescent="0.25">
      <c r="A919" s="13">
        <v>69245</v>
      </c>
      <c r="B919" s="10">
        <f>CHOOSE(CONTROL!$C$42, 33.5037, 33.5037) * CHOOSE(CONTROL!$C$21, $C$9, 100%, $E$9)</f>
        <v>33.503700000000002</v>
      </c>
      <c r="C919" s="10">
        <f>CHOOSE(CONTROL!$C$42, 33.5117, 33.5117) * CHOOSE(CONTROL!$C$21, $C$9, 100%, $E$9)</f>
        <v>33.511699999999998</v>
      </c>
      <c r="D919" s="10">
        <f>CHOOSE(CONTROL!$C$42, 33.6869, 33.6869) * CHOOSE(CONTROL!$C$21, $C$9, 100%, $E$9)</f>
        <v>33.686900000000001</v>
      </c>
      <c r="E919" s="10">
        <f>CHOOSE(CONTROL!$C$42, 33.7181, 33.7181) * CHOOSE(CONTROL!$C$21, $C$9, 100%, $E$9)</f>
        <v>33.7181</v>
      </c>
      <c r="F919" s="10">
        <f>CHOOSE(CONTROL!$C$42, 33.446, 33.446)*CHOOSE(CONTROL!$C$21, $C$9, 100%, $E$9)</f>
        <v>33.445999999999998</v>
      </c>
      <c r="G919" s="10">
        <f>CHOOSE(CONTROL!$C$42, 33.463, 33.463)*CHOOSE(CONTROL!$C$21, $C$9, 100%, $E$9)</f>
        <v>33.463000000000001</v>
      </c>
      <c r="H919" s="10">
        <f>CHOOSE(CONTROL!$C$42, 33.7064, 33.7064) * CHOOSE(CONTROL!$C$21, $C$9, 100%, $E$9)</f>
        <v>33.706400000000002</v>
      </c>
      <c r="I919" s="10">
        <f>CHOOSE(CONTROL!$C$42, 33.4784, 33.4784)* CHOOSE(CONTROL!$C$21, $C$9, 100%, $E$9)</f>
        <v>33.478400000000001</v>
      </c>
      <c r="J919" s="10">
        <f>CHOOSE(CONTROL!$C$42, 33.4386, 33.4386)* CHOOSE(CONTROL!$C$21, $C$9, 100%, $E$9)</f>
        <v>33.438600000000001</v>
      </c>
      <c r="K919" s="10">
        <f>CHOOSE(CONTROL!$C$42, 32.5911, 32.5911) * CHOOSE(CONTROL!$C$21, $C$9, 100%, $E$9)</f>
        <v>32.591099999999997</v>
      </c>
      <c r="L919" s="10">
        <f>CHOOSE(CONTROL!$C$42, 34.2934, 34.2934) * CHOOSE(CONTROL!$C$21, $C$9, 100%, $E$9)</f>
        <v>34.293399999999998</v>
      </c>
      <c r="M919" s="10">
        <f>CHOOSE(CONTROL!$C$42, 33.0387, 33.0387) * CHOOSE(CONTROL!$C$21, $C$9, 100%, $E$9)</f>
        <v>33.038699999999999</v>
      </c>
      <c r="N919" s="10">
        <f>CHOOSE(CONTROL!$C$42, 33.0555, 33.0555) * CHOOSE(CONTROL!$C$21, $C$9, 100%, $E$9)</f>
        <v>33.055500000000002</v>
      </c>
      <c r="O919" s="10">
        <f>CHOOSE(CONTROL!$C$42, 33.3031, 33.3031) * CHOOSE(CONTROL!$C$21, $C$9, 100%, $E$9)</f>
        <v>33.303100000000001</v>
      </c>
      <c r="P919" s="10">
        <f>CHOOSE(CONTROL!$C$42, 33.0781, 33.0781) * CHOOSE(CONTROL!$C$21, $C$9, 100%, $E$9)</f>
        <v>33.078099999999999</v>
      </c>
      <c r="Q919" s="10">
        <f>CHOOSE(CONTROL!$C$42, 33.8984, 33.8984) * CHOOSE(CONTROL!$C$21, $C$9, 100%, $E$9)</f>
        <v>33.898400000000002</v>
      </c>
      <c r="R919" s="10">
        <f>CHOOSE(CONTROL!$C$42, 34.5702, 34.5702) * CHOOSE(CONTROL!$C$21, $C$9, 100%, $E$9)</f>
        <v>34.5702</v>
      </c>
      <c r="S919" s="10">
        <f>CHOOSE(CONTROL!$C$42, 32.4563, 32.4563) * CHOOSE(CONTROL!$C$21, $C$9, 100%, $E$9)</f>
        <v>32.456299999999999</v>
      </c>
      <c r="T91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38">
        <f>(1000*CHOOSE(CONTROL!$C$42, 695, 695)*CHOOSE(CONTROL!$C$42, 0.5599, 0.5599)*CHOOSE(CONTROL!$C$42, 31, 31))/1000000</f>
        <v>12.063045499999998</v>
      </c>
      <c r="V919" s="38">
        <f>(1000*CHOOSE(CONTROL!$C$42, 500, 500)*CHOOSE(CONTROL!$C$42, 0.275, 0.275)*CHOOSE(CONTROL!$C$42, 31, 31))/1000000</f>
        <v>4.2625000000000002</v>
      </c>
      <c r="W919" s="38">
        <f>(1000*CHOOSE(CONTROL!$C$42, 0.1146, 0.1146)*CHOOSE(CONTROL!$C$42, 121.5, 121.5)*CHOOSE(CONTROL!$C$42, 31, 31))/1000000</f>
        <v>0.43164089999999994</v>
      </c>
      <c r="X919" s="38">
        <f>(31*0.1790888*245000/1000000)+(31*0.2374*100000/1000000)</f>
        <v>2.0961194359999999</v>
      </c>
      <c r="Y919" s="38">
        <f>(1000*600*CHOOSE(CONTROL!$C$42, 1.0585, 1.0585)*CHOOSE(CONTROL!$C$42, 31, 31))/1000000</f>
        <v>19.688099999999999</v>
      </c>
      <c r="Z919" s="38"/>
      <c r="AA919" s="10"/>
      <c r="AB919" s="39"/>
      <c r="AC919" s="33">
        <f>(B919*194.205+C919*267.466+D919*133.845+E919*53.484+F919*40+G919*185+H919*0+I919*100+J919*300)/(194.205+267.466+133.845+53.484+0+40+185+100+300)</f>
        <v>33.508589797174253</v>
      </c>
      <c r="AD919" s="27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33.165171942446044</v>
      </c>
    </row>
    <row r="920" spans="1:30" ht="15.75" x14ac:dyDescent="0.25">
      <c r="A920" s="13">
        <v>69276</v>
      </c>
      <c r="B920" s="10">
        <f>CHOOSE(CONTROL!$C$42, 31.8481, 31.8481) * CHOOSE(CONTROL!$C$21, $C$9, 100%, $E$9)</f>
        <v>31.848099999999999</v>
      </c>
      <c r="C920" s="10">
        <f>CHOOSE(CONTROL!$C$42, 31.8561, 31.8561) * CHOOSE(CONTROL!$C$21, $C$9, 100%, $E$9)</f>
        <v>31.856100000000001</v>
      </c>
      <c r="D920" s="10">
        <f>CHOOSE(CONTROL!$C$42, 32.0313, 32.0313) * CHOOSE(CONTROL!$C$21, $C$9, 100%, $E$9)</f>
        <v>32.031300000000002</v>
      </c>
      <c r="E920" s="10">
        <f>CHOOSE(CONTROL!$C$42, 32.0625, 32.0625) * CHOOSE(CONTROL!$C$21, $C$9, 100%, $E$9)</f>
        <v>32.0625</v>
      </c>
      <c r="F920" s="10">
        <f>CHOOSE(CONTROL!$C$42, 31.7902, 31.7902)*CHOOSE(CONTROL!$C$21, $C$9, 100%, $E$9)</f>
        <v>31.790199999999999</v>
      </c>
      <c r="G920" s="10">
        <f>CHOOSE(CONTROL!$C$42, 31.8072, 31.8072)*CHOOSE(CONTROL!$C$21, $C$9, 100%, $E$9)</f>
        <v>31.807200000000002</v>
      </c>
      <c r="H920" s="10">
        <f>CHOOSE(CONTROL!$C$42, 32.0508, 32.0508) * CHOOSE(CONTROL!$C$21, $C$9, 100%, $E$9)</f>
        <v>32.050800000000002</v>
      </c>
      <c r="I920" s="10">
        <f>CHOOSE(CONTROL!$C$42, 31.8228, 31.8228)* CHOOSE(CONTROL!$C$21, $C$9, 100%, $E$9)</f>
        <v>31.822800000000001</v>
      </c>
      <c r="J920" s="10">
        <f>CHOOSE(CONTROL!$C$42, 31.7828, 31.7828)* CHOOSE(CONTROL!$C$21, $C$9, 100%, $E$9)</f>
        <v>31.782800000000002</v>
      </c>
      <c r="K920" s="10">
        <f>CHOOSE(CONTROL!$C$42, 30.9869, 30.9869) * CHOOSE(CONTROL!$C$21, $C$9, 100%, $E$9)</f>
        <v>30.986899999999999</v>
      </c>
      <c r="L920" s="10">
        <f>CHOOSE(CONTROL!$C$42, 32.6378, 32.6378) * CHOOSE(CONTROL!$C$21, $C$9, 100%, $E$9)</f>
        <v>32.637799999999999</v>
      </c>
      <c r="M920" s="10">
        <f>CHOOSE(CONTROL!$C$42, 31.4044, 31.4044) * CHOOSE(CONTROL!$C$21, $C$9, 100%, $E$9)</f>
        <v>31.404399999999999</v>
      </c>
      <c r="N920" s="10">
        <f>CHOOSE(CONTROL!$C$42, 31.4212, 31.4212) * CHOOSE(CONTROL!$C$21, $C$9, 100%, $E$9)</f>
        <v>31.421199999999999</v>
      </c>
      <c r="O920" s="10">
        <f>CHOOSE(CONTROL!$C$42, 31.6689, 31.6689) * CHOOSE(CONTROL!$C$21, $C$9, 100%, $E$9)</f>
        <v>31.668900000000001</v>
      </c>
      <c r="P920" s="10">
        <f>CHOOSE(CONTROL!$C$42, 31.4439, 31.4439) * CHOOSE(CONTROL!$C$21, $C$9, 100%, $E$9)</f>
        <v>31.443899999999999</v>
      </c>
      <c r="Q920" s="10">
        <f>CHOOSE(CONTROL!$C$42, 32.2642, 32.2642) * CHOOSE(CONTROL!$C$21, $C$9, 100%, $E$9)</f>
        <v>32.264200000000002</v>
      </c>
      <c r="R920" s="10">
        <f>CHOOSE(CONTROL!$C$42, 32.9319, 32.9319) * CHOOSE(CONTROL!$C$21, $C$9, 100%, $E$9)</f>
        <v>32.931899999999999</v>
      </c>
      <c r="S920" s="10">
        <f>CHOOSE(CONTROL!$C$42, 30.8531, 30.8531) * CHOOSE(CONTROL!$C$21, $C$9, 100%, $E$9)</f>
        <v>30.853100000000001</v>
      </c>
      <c r="T92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38">
        <f>(1000*CHOOSE(CONTROL!$C$42, 695, 695)*CHOOSE(CONTROL!$C$42, 0.5599, 0.5599)*CHOOSE(CONTROL!$C$42, 31, 31))/1000000</f>
        <v>12.063045499999998</v>
      </c>
      <c r="V920" s="38">
        <f>(1000*CHOOSE(CONTROL!$C$42, 500, 500)*CHOOSE(CONTROL!$C$42, 0.275, 0.275)*CHOOSE(CONTROL!$C$42, 31, 31))/1000000</f>
        <v>4.2625000000000002</v>
      </c>
      <c r="W920" s="38">
        <f>(1000*CHOOSE(CONTROL!$C$42, 0.1146, 0.1146)*CHOOSE(CONTROL!$C$42, 121.5, 121.5)*CHOOSE(CONTROL!$C$42, 31, 31))/1000000</f>
        <v>0.43164089999999994</v>
      </c>
      <c r="X920" s="38">
        <f>(31*0.1790888*245000/1000000)+(31*0.2374*100000/1000000)</f>
        <v>2.0961194359999999</v>
      </c>
      <c r="Y920" s="38">
        <f>(1000*600*CHOOSE(CONTROL!$C$42, 1.0585, 1.0585)*CHOOSE(CONTROL!$C$42, 31, 31))/1000000</f>
        <v>19.688099999999999</v>
      </c>
      <c r="Z920" s="38"/>
      <c r="AA920" s="10"/>
      <c r="AB920" s="39"/>
      <c r="AC920" s="33">
        <f>(B920*194.205+C920*267.466+D920*133.845+E920*53.484+F920*40+G920*185+H920*0+I920*100+J920*300)/(194.205+267.466+133.845+53.484+0+40+185+100+300)</f>
        <v>31.852907379591841</v>
      </c>
      <c r="AD920" s="27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31.530931654676255</v>
      </c>
    </row>
    <row r="921" spans="1:30" ht="15.75" x14ac:dyDescent="0.25">
      <c r="A921" s="13">
        <v>69306</v>
      </c>
      <c r="B921" s="10">
        <f>CHOOSE(CONTROL!$C$42, 29.8253, 29.8253) * CHOOSE(CONTROL!$C$21, $C$9, 100%, $E$9)</f>
        <v>29.825299999999999</v>
      </c>
      <c r="C921" s="10">
        <f>CHOOSE(CONTROL!$C$42, 29.8333, 29.8333) * CHOOSE(CONTROL!$C$21, $C$9, 100%, $E$9)</f>
        <v>29.833300000000001</v>
      </c>
      <c r="D921" s="10">
        <f>CHOOSE(CONTROL!$C$42, 30.0084, 30.0084) * CHOOSE(CONTROL!$C$21, $C$9, 100%, $E$9)</f>
        <v>30.008400000000002</v>
      </c>
      <c r="E921" s="10">
        <f>CHOOSE(CONTROL!$C$42, 30.0396, 30.0396) * CHOOSE(CONTROL!$C$21, $C$9, 100%, $E$9)</f>
        <v>30.0396</v>
      </c>
      <c r="F921" s="10">
        <f>CHOOSE(CONTROL!$C$42, 29.7671, 29.7671)*CHOOSE(CONTROL!$C$21, $C$9, 100%, $E$9)</f>
        <v>29.767099999999999</v>
      </c>
      <c r="G921" s="10">
        <f>CHOOSE(CONTROL!$C$42, 29.784, 29.784)*CHOOSE(CONTROL!$C$21, $C$9, 100%, $E$9)</f>
        <v>29.783999999999999</v>
      </c>
      <c r="H921" s="10">
        <f>CHOOSE(CONTROL!$C$42, 30.0279, 30.0279) * CHOOSE(CONTROL!$C$21, $C$9, 100%, $E$9)</f>
        <v>30.027899999999999</v>
      </c>
      <c r="I921" s="10">
        <f>CHOOSE(CONTROL!$C$42, 29.7999, 29.7999)* CHOOSE(CONTROL!$C$21, $C$9, 100%, $E$9)</f>
        <v>29.799900000000001</v>
      </c>
      <c r="J921" s="10">
        <f>CHOOSE(CONTROL!$C$42, 29.7597, 29.7597)* CHOOSE(CONTROL!$C$21, $C$9, 100%, $E$9)</f>
        <v>29.759699999999999</v>
      </c>
      <c r="K921" s="10">
        <f>CHOOSE(CONTROL!$C$42, 29.0265, 29.0265) * CHOOSE(CONTROL!$C$21, $C$9, 100%, $E$9)</f>
        <v>29.026499999999999</v>
      </c>
      <c r="L921" s="10">
        <f>CHOOSE(CONTROL!$C$42, 30.6149, 30.6149) * CHOOSE(CONTROL!$C$21, $C$9, 100%, $E$9)</f>
        <v>30.614899999999999</v>
      </c>
      <c r="M921" s="10">
        <f>CHOOSE(CONTROL!$C$42, 29.4075, 29.4075) * CHOOSE(CONTROL!$C$21, $C$9, 100%, $E$9)</f>
        <v>29.407499999999999</v>
      </c>
      <c r="N921" s="10">
        <f>CHOOSE(CONTROL!$C$42, 29.4242, 29.4242) * CHOOSE(CONTROL!$C$21, $C$9, 100%, $E$9)</f>
        <v>29.424199999999999</v>
      </c>
      <c r="O921" s="10">
        <f>CHOOSE(CONTROL!$C$42, 29.6723, 29.6723) * CHOOSE(CONTROL!$C$21, $C$9, 100%, $E$9)</f>
        <v>29.6723</v>
      </c>
      <c r="P921" s="10">
        <f>CHOOSE(CONTROL!$C$42, 29.4472, 29.4472) * CHOOSE(CONTROL!$C$21, $C$9, 100%, $E$9)</f>
        <v>29.447199999999999</v>
      </c>
      <c r="Q921" s="10">
        <f>CHOOSE(CONTROL!$C$42, 30.2676, 30.2676) * CHOOSE(CONTROL!$C$21, $C$9, 100%, $E$9)</f>
        <v>30.267600000000002</v>
      </c>
      <c r="R921" s="10">
        <f>CHOOSE(CONTROL!$C$42, 30.9302, 30.9302) * CHOOSE(CONTROL!$C$21, $C$9, 100%, $E$9)</f>
        <v>30.930199999999999</v>
      </c>
      <c r="S921" s="10">
        <f>CHOOSE(CONTROL!$C$42, 28.8944, 28.8944) * CHOOSE(CONTROL!$C$21, $C$9, 100%, $E$9)</f>
        <v>28.894400000000001</v>
      </c>
      <c r="T92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38">
        <f>(1000*CHOOSE(CONTROL!$C$42, 695, 695)*CHOOSE(CONTROL!$C$42, 0.5599, 0.5599)*CHOOSE(CONTROL!$C$42, 30, 30))/1000000</f>
        <v>11.673914999999997</v>
      </c>
      <c r="V921" s="38">
        <f>(1000*CHOOSE(CONTROL!$C$42, 500, 500)*CHOOSE(CONTROL!$C$42, 0.275, 0.275)*CHOOSE(CONTROL!$C$42, 30, 30))/1000000</f>
        <v>4.125</v>
      </c>
      <c r="W921" s="38">
        <f>(1000*CHOOSE(CONTROL!$C$42, 0.1146, 0.1146)*CHOOSE(CONTROL!$C$42, 121.5, 121.5)*CHOOSE(CONTROL!$C$42, 30, 30))/1000000</f>
        <v>0.417717</v>
      </c>
      <c r="X921" s="38">
        <f>(30*0.1790888*245000/1000000)+(30*0.2374*100000/1000000)</f>
        <v>2.0285026799999999</v>
      </c>
      <c r="Y921" s="38">
        <f>(1000*600*CHOOSE(CONTROL!$C$42, 1.0585, 1.0585)*CHOOSE(CONTROL!$C$42, 30, 30))/1000000</f>
        <v>19.053000000000001</v>
      </c>
      <c r="Z921" s="38"/>
      <c r="AA921" s="10"/>
      <c r="AB921" s="39"/>
      <c r="AC921" s="33">
        <f>(B921*194.205+C921*267.466+D921*133.845+E921*53.484+F921*40+G921*185+H921*0+I921*100+J921*300)/(194.205+267.466+133.845+53.484+0+40+185+100+300)</f>
        <v>29.829946678728419</v>
      </c>
      <c r="AD921" s="27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29.534190647482017</v>
      </c>
    </row>
    <row r="922" spans="1:30" ht="15.75" x14ac:dyDescent="0.25">
      <c r="A922" s="13">
        <v>69337</v>
      </c>
      <c r="B922" s="10">
        <f>CHOOSE(CONTROL!$C$42, 29.2173, 29.2173) * CHOOSE(CONTROL!$C$21, $C$9, 100%, $E$9)</f>
        <v>29.217300000000002</v>
      </c>
      <c r="C922" s="10">
        <f>CHOOSE(CONTROL!$C$42, 29.2227, 29.2227) * CHOOSE(CONTROL!$C$21, $C$9, 100%, $E$9)</f>
        <v>29.2227</v>
      </c>
      <c r="D922" s="10">
        <f>CHOOSE(CONTROL!$C$42, 29.4026, 29.4026) * CHOOSE(CONTROL!$C$21, $C$9, 100%, $E$9)</f>
        <v>29.4026</v>
      </c>
      <c r="E922" s="10">
        <f>CHOOSE(CONTROL!$C$42, 29.4316, 29.4316) * CHOOSE(CONTROL!$C$21, $C$9, 100%, $E$9)</f>
        <v>29.4316</v>
      </c>
      <c r="F922" s="10">
        <f>CHOOSE(CONTROL!$C$42, 29.1611, 29.1611)*CHOOSE(CONTROL!$C$21, $C$9, 100%, $E$9)</f>
        <v>29.161100000000001</v>
      </c>
      <c r="G922" s="10">
        <f>CHOOSE(CONTROL!$C$42, 29.1777, 29.1777)*CHOOSE(CONTROL!$C$21, $C$9, 100%, $E$9)</f>
        <v>29.177700000000002</v>
      </c>
      <c r="H922" s="10">
        <f>CHOOSE(CONTROL!$C$42, 29.4217, 29.4217) * CHOOSE(CONTROL!$C$21, $C$9, 100%, $E$9)</f>
        <v>29.421700000000001</v>
      </c>
      <c r="I922" s="10">
        <f>CHOOSE(CONTROL!$C$42, 29.1937, 29.1937)* CHOOSE(CONTROL!$C$21, $C$9, 100%, $E$9)</f>
        <v>29.1937</v>
      </c>
      <c r="J922" s="10">
        <f>CHOOSE(CONTROL!$C$42, 29.1537, 29.1537)* CHOOSE(CONTROL!$C$21, $C$9, 100%, $E$9)</f>
        <v>29.153700000000001</v>
      </c>
      <c r="K922" s="10">
        <f>CHOOSE(CONTROL!$C$42, 28.4398, 28.4398) * CHOOSE(CONTROL!$C$21, $C$9, 100%, $E$9)</f>
        <v>28.439800000000002</v>
      </c>
      <c r="L922" s="10">
        <f>CHOOSE(CONTROL!$C$42, 30.0087, 30.0087) * CHOOSE(CONTROL!$C$21, $C$9, 100%, $E$9)</f>
        <v>30.008700000000001</v>
      </c>
      <c r="M922" s="10">
        <f>CHOOSE(CONTROL!$C$42, 28.8093, 28.8093) * CHOOSE(CONTROL!$C$21, $C$9, 100%, $E$9)</f>
        <v>28.8093</v>
      </c>
      <c r="N922" s="10">
        <f>CHOOSE(CONTROL!$C$42, 28.8257, 28.8257) * CHOOSE(CONTROL!$C$21, $C$9, 100%, $E$9)</f>
        <v>28.825700000000001</v>
      </c>
      <c r="O922" s="10">
        <f>CHOOSE(CONTROL!$C$42, 29.0739, 29.0739) * CHOOSE(CONTROL!$C$21, $C$9, 100%, $E$9)</f>
        <v>29.073899999999998</v>
      </c>
      <c r="P922" s="10">
        <f>CHOOSE(CONTROL!$C$42, 28.8488, 28.8488) * CHOOSE(CONTROL!$C$21, $C$9, 100%, $E$9)</f>
        <v>28.848800000000001</v>
      </c>
      <c r="Q922" s="10">
        <f>CHOOSE(CONTROL!$C$42, 29.6692, 29.6692) * CHOOSE(CONTROL!$C$21, $C$9, 100%, $E$9)</f>
        <v>29.6692</v>
      </c>
      <c r="R922" s="10">
        <f>CHOOSE(CONTROL!$C$42, 30.3303, 30.3303) * CHOOSE(CONTROL!$C$21, $C$9, 100%, $E$9)</f>
        <v>30.330300000000001</v>
      </c>
      <c r="S922" s="10">
        <f>CHOOSE(CONTROL!$C$42, 28.3074, 28.3074) * CHOOSE(CONTROL!$C$21, $C$9, 100%, $E$9)</f>
        <v>28.307400000000001</v>
      </c>
      <c r="T92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38">
        <f>(1000*CHOOSE(CONTROL!$C$42, 695, 695)*CHOOSE(CONTROL!$C$42, 0.5599, 0.5599)*CHOOSE(CONTROL!$C$42, 31, 31))/1000000</f>
        <v>12.063045499999998</v>
      </c>
      <c r="V922" s="38">
        <f>(1000*CHOOSE(CONTROL!$C$42, 500, 500)*CHOOSE(CONTROL!$C$42, 0.275, 0.275)*CHOOSE(CONTROL!$C$42, 31, 31))/1000000</f>
        <v>4.2625000000000002</v>
      </c>
      <c r="W922" s="38">
        <f>(1000*CHOOSE(CONTROL!$C$42, 0.1146, 0.1146)*CHOOSE(CONTROL!$C$42, 121.5, 121.5)*CHOOSE(CONTROL!$C$42, 31, 31))/1000000</f>
        <v>0.43164089999999994</v>
      </c>
      <c r="X922" s="38">
        <f>(31*0.1790888*245000/1000000)+(31*0.2374*100000/1000000)</f>
        <v>2.0961194359999999</v>
      </c>
      <c r="Y922" s="38">
        <f>(1000*600*CHOOSE(CONTROL!$C$42, 1.0585, 1.0585)*CHOOSE(CONTROL!$C$42, 31, 31))/1000000</f>
        <v>19.688099999999999</v>
      </c>
      <c r="Z922" s="38"/>
      <c r="AA922" s="10"/>
      <c r="AB922" s="39"/>
      <c r="AC922" s="33">
        <f>(B922*131.881+C922*277.167+D922*79.08+E922*125.872+F922*40+G922*185+H922*0+I922*100+J922*300)/(131.881+277.167+79.08+125.872+0+40+185+100+300)</f>
        <v>29.22707449184826</v>
      </c>
      <c r="AD922" s="27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28.935853956834539</v>
      </c>
    </row>
    <row r="923" spans="1:30" ht="15.75" x14ac:dyDescent="0.25">
      <c r="A923" s="13">
        <v>69367</v>
      </c>
      <c r="B923" s="10">
        <f>CHOOSE(CONTROL!$C$42, 29.987, 29.987) * CHOOSE(CONTROL!$C$21, $C$9, 100%, $E$9)</f>
        <v>29.986999999999998</v>
      </c>
      <c r="C923" s="10">
        <f>CHOOSE(CONTROL!$C$42, 29.9921, 29.9921) * CHOOSE(CONTROL!$C$21, $C$9, 100%, $E$9)</f>
        <v>29.992100000000001</v>
      </c>
      <c r="D923" s="10">
        <f>CHOOSE(CONTROL!$C$42, 30.0168, 30.0168) * CHOOSE(CONTROL!$C$21, $C$9, 100%, $E$9)</f>
        <v>30.0168</v>
      </c>
      <c r="E923" s="10">
        <f>CHOOSE(CONTROL!$C$42, 30.0506, 30.0506) * CHOOSE(CONTROL!$C$21, $C$9, 100%, $E$9)</f>
        <v>30.050599999999999</v>
      </c>
      <c r="F923" s="10">
        <f>CHOOSE(CONTROL!$C$42, 29.9527, 29.9527)*CHOOSE(CONTROL!$C$21, $C$9, 100%, $E$9)</f>
        <v>29.9527</v>
      </c>
      <c r="G923" s="10">
        <f>CHOOSE(CONTROL!$C$42, 29.9695, 29.9695)*CHOOSE(CONTROL!$C$21, $C$9, 100%, $E$9)</f>
        <v>29.9695</v>
      </c>
      <c r="H923" s="10">
        <f>CHOOSE(CONTROL!$C$42, 30.0395, 30.0395) * CHOOSE(CONTROL!$C$21, $C$9, 100%, $E$9)</f>
        <v>30.0395</v>
      </c>
      <c r="I923" s="10">
        <f>CHOOSE(CONTROL!$C$42, 29.9865, 29.9865)* CHOOSE(CONTROL!$C$21, $C$9, 100%, $E$9)</f>
        <v>29.986499999999999</v>
      </c>
      <c r="J923" s="10">
        <f>CHOOSE(CONTROL!$C$42, 29.9453, 29.9453)* CHOOSE(CONTROL!$C$21, $C$9, 100%, $E$9)</f>
        <v>29.9453</v>
      </c>
      <c r="K923" s="10">
        <f>CHOOSE(CONTROL!$C$42, 29.2097, 29.2097) * CHOOSE(CONTROL!$C$21, $C$9, 100%, $E$9)</f>
        <v>29.209700000000002</v>
      </c>
      <c r="L923" s="10">
        <f>CHOOSE(CONTROL!$C$42, 30.6265, 30.6265) * CHOOSE(CONTROL!$C$21, $C$9, 100%, $E$9)</f>
        <v>30.6265</v>
      </c>
      <c r="M923" s="10">
        <f>CHOOSE(CONTROL!$C$42, 29.5907, 29.5907) * CHOOSE(CONTROL!$C$21, $C$9, 100%, $E$9)</f>
        <v>29.590699999999998</v>
      </c>
      <c r="N923" s="10">
        <f>CHOOSE(CONTROL!$C$42, 29.6073, 29.6073) * CHOOSE(CONTROL!$C$21, $C$9, 100%, $E$9)</f>
        <v>29.607299999999999</v>
      </c>
      <c r="O923" s="10">
        <f>CHOOSE(CONTROL!$C$42, 29.6837, 29.6837) * CHOOSE(CONTROL!$C$21, $C$9, 100%, $E$9)</f>
        <v>29.683700000000002</v>
      </c>
      <c r="P923" s="10">
        <f>CHOOSE(CONTROL!$C$42, 29.6314, 29.6314) * CHOOSE(CONTROL!$C$21, $C$9, 100%, $E$9)</f>
        <v>29.631399999999999</v>
      </c>
      <c r="Q923" s="10">
        <f>CHOOSE(CONTROL!$C$42, 30.279, 30.279) * CHOOSE(CONTROL!$C$21, $C$9, 100%, $E$9)</f>
        <v>30.279</v>
      </c>
      <c r="R923" s="10">
        <f>CHOOSE(CONTROL!$C$42, 30.9417, 30.9417) * CHOOSE(CONTROL!$C$21, $C$9, 100%, $E$9)</f>
        <v>30.941700000000001</v>
      </c>
      <c r="S923" s="10">
        <f>CHOOSE(CONTROL!$C$42, 29.0531, 29.0531) * CHOOSE(CONTROL!$C$21, $C$9, 100%, $E$9)</f>
        <v>29.053100000000001</v>
      </c>
      <c r="T92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38">
        <f>(1000*CHOOSE(CONTROL!$C$42, 695, 695)*CHOOSE(CONTROL!$C$42, 0.5599, 0.5599)*CHOOSE(CONTROL!$C$42, 30, 30))/1000000</f>
        <v>11.673914999999997</v>
      </c>
      <c r="V923" s="38">
        <f>(1000*CHOOSE(CONTROL!$C$42, 500, 500)*CHOOSE(CONTROL!$C$42, 0.275, 0.275)*CHOOSE(CONTROL!$C$42, 30, 30))/1000000</f>
        <v>4.125</v>
      </c>
      <c r="W923" s="38">
        <f>(1000*CHOOSE(CONTROL!$C$42, 0.1146, 0.1146)*CHOOSE(CONTROL!$C$42, 121.5, 121.5)*CHOOSE(CONTROL!$C$42, 30, 30))/1000000</f>
        <v>0.417717</v>
      </c>
      <c r="X923" s="38">
        <f>(30*0.1790888*100000/1000000)+(30*0.2374*100000/1000000)</f>
        <v>1.2494664</v>
      </c>
      <c r="Y923" s="38">
        <f>(1000*600*CHOOSE(CONTROL!$C$42, 1.0585, 1.0585)*CHOOSE(CONTROL!$C$42, 30, 30))/1000000</f>
        <v>19.053000000000001</v>
      </c>
      <c r="Z923" s="38"/>
      <c r="AA923" s="10"/>
      <c r="AB923" s="39"/>
      <c r="AC923" s="33">
        <f>(B923*122.58+C923*297.941+D923*89.177+E923*40.302+F923*40+G923*160+H923*0+I923*100+J923*300)/(122.58+297.941+89.177+40.302+0+40+160+100+300)</f>
        <v>29.978311461652172</v>
      </c>
      <c r="AD923" s="27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29.639662589928054</v>
      </c>
    </row>
    <row r="924" spans="1:30" ht="15.75" x14ac:dyDescent="0.25">
      <c r="A924" s="13">
        <v>69398</v>
      </c>
      <c r="B924" s="10">
        <f>CHOOSE(CONTROL!$C$42, 32.0327, 32.0327) * CHOOSE(CONTROL!$C$21, $C$9, 100%, $E$9)</f>
        <v>32.032699999999998</v>
      </c>
      <c r="C924" s="10">
        <f>CHOOSE(CONTROL!$C$42, 32.0378, 32.0378) * CHOOSE(CONTROL!$C$21, $C$9, 100%, $E$9)</f>
        <v>32.037799999999997</v>
      </c>
      <c r="D924" s="10">
        <f>CHOOSE(CONTROL!$C$42, 32.0625, 32.0625) * CHOOSE(CONTROL!$C$21, $C$9, 100%, $E$9)</f>
        <v>32.0625</v>
      </c>
      <c r="E924" s="10">
        <f>CHOOSE(CONTROL!$C$42, 32.0963, 32.0963) * CHOOSE(CONTROL!$C$21, $C$9, 100%, $E$9)</f>
        <v>32.096299999999999</v>
      </c>
      <c r="F924" s="10">
        <f>CHOOSE(CONTROL!$C$42, 32.0001, 32.0001)*CHOOSE(CONTROL!$C$21, $C$9, 100%, $E$9)</f>
        <v>32.000100000000003</v>
      </c>
      <c r="G924" s="10">
        <f>CHOOSE(CONTROL!$C$42, 32.0174, 32.0174)*CHOOSE(CONTROL!$C$21, $C$9, 100%, $E$9)</f>
        <v>32.017400000000002</v>
      </c>
      <c r="H924" s="10">
        <f>CHOOSE(CONTROL!$C$42, 32.0851, 32.0851) * CHOOSE(CONTROL!$C$21, $C$9, 100%, $E$9)</f>
        <v>32.085099999999997</v>
      </c>
      <c r="I924" s="10">
        <f>CHOOSE(CONTROL!$C$42, 32.0322, 32.0322)* CHOOSE(CONTROL!$C$21, $C$9, 100%, $E$9)</f>
        <v>32.032200000000003</v>
      </c>
      <c r="J924" s="10">
        <f>CHOOSE(CONTROL!$C$42, 31.9927, 31.9927)* CHOOSE(CONTROL!$C$21, $C$9, 100%, $E$9)</f>
        <v>31.992699999999999</v>
      </c>
      <c r="K924" s="10">
        <f>CHOOSE(CONTROL!$C$42, 31.1953, 31.1953) * CHOOSE(CONTROL!$C$21, $C$9, 100%, $E$9)</f>
        <v>31.1953</v>
      </c>
      <c r="L924" s="10">
        <f>CHOOSE(CONTROL!$C$42, 32.6721, 32.6721) * CHOOSE(CONTROL!$C$21, $C$9, 100%, $E$9)</f>
        <v>32.6721</v>
      </c>
      <c r="M924" s="10">
        <f>CHOOSE(CONTROL!$C$42, 31.6116, 31.6116) * CHOOSE(CONTROL!$C$21, $C$9, 100%, $E$9)</f>
        <v>31.611599999999999</v>
      </c>
      <c r="N924" s="10">
        <f>CHOOSE(CONTROL!$C$42, 31.6286, 31.6286) * CHOOSE(CONTROL!$C$21, $C$9, 100%, $E$9)</f>
        <v>31.628599999999999</v>
      </c>
      <c r="O924" s="10">
        <f>CHOOSE(CONTROL!$C$42, 31.7028, 31.7028) * CHOOSE(CONTROL!$C$21, $C$9, 100%, $E$9)</f>
        <v>31.7028</v>
      </c>
      <c r="P924" s="10">
        <f>CHOOSE(CONTROL!$C$42, 31.6506, 31.6506) * CHOOSE(CONTROL!$C$21, $C$9, 100%, $E$9)</f>
        <v>31.650600000000001</v>
      </c>
      <c r="Q924" s="10">
        <f>CHOOSE(CONTROL!$C$42, 32.2981, 32.2981) * CHOOSE(CONTROL!$C$21, $C$9, 100%, $E$9)</f>
        <v>32.298099999999998</v>
      </c>
      <c r="R924" s="10">
        <f>CHOOSE(CONTROL!$C$42, 32.9659, 32.9659) * CHOOSE(CONTROL!$C$21, $C$9, 100%, $E$9)</f>
        <v>32.965899999999998</v>
      </c>
      <c r="S924" s="10">
        <f>CHOOSE(CONTROL!$C$42, 31.0339, 31.0339) * CHOOSE(CONTROL!$C$21, $C$9, 100%, $E$9)</f>
        <v>31.033899999999999</v>
      </c>
      <c r="T92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38">
        <f>(1000*CHOOSE(CONTROL!$C$42, 695, 695)*CHOOSE(CONTROL!$C$42, 0.5599, 0.5599)*CHOOSE(CONTROL!$C$42, 31, 31))/1000000</f>
        <v>12.063045499999998</v>
      </c>
      <c r="V924" s="38">
        <f>(1000*CHOOSE(CONTROL!$C$42, 500, 500)*CHOOSE(CONTROL!$C$42, 0.275, 0.275)*CHOOSE(CONTROL!$C$42, 31, 31))/1000000</f>
        <v>4.2625000000000002</v>
      </c>
      <c r="W924" s="38">
        <f>(1000*CHOOSE(CONTROL!$C$42, 0.1146, 0.1146)*CHOOSE(CONTROL!$C$42, 121.5, 121.5)*CHOOSE(CONTROL!$C$42, 31, 31))/1000000</f>
        <v>0.43164089999999994</v>
      </c>
      <c r="X924" s="38">
        <f>(31*0.1790888*100000/1000000)+(31*0.2374*100000/1000000)</f>
        <v>1.2911152800000001</v>
      </c>
      <c r="Y924" s="38">
        <f>(1000*600*CHOOSE(CONTROL!$C$42, 1.0585, 1.0585)*CHOOSE(CONTROL!$C$42, 31, 31))/1000000</f>
        <v>19.688099999999999</v>
      </c>
      <c r="Z924" s="38"/>
      <c r="AA924" s="10"/>
      <c r="AB924" s="39"/>
      <c r="AC924" s="33">
        <f>(B924*122.58+C924*297.941+D924*89.177+E924*40.302+F924*40+G924*160+H924*0+I924*100+J924*300)/(122.58+297.941+89.177+40.302+0+40+160+100+300)</f>
        <v>32.024820157304347</v>
      </c>
      <c r="AD924" s="27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31.659525179856114</v>
      </c>
    </row>
    <row r="925" spans="1:30" ht="15.75" x14ac:dyDescent="0.25">
      <c r="A925" s="13">
        <v>69429</v>
      </c>
      <c r="B925" s="10">
        <f>CHOOSE(CONTROL!$C$42, 34.1958, 34.1958) * CHOOSE(CONTROL!$C$21, $C$9, 100%, $E$9)</f>
        <v>34.195799999999998</v>
      </c>
      <c r="C925" s="10">
        <f>CHOOSE(CONTROL!$C$42, 34.2009, 34.2009) * CHOOSE(CONTROL!$C$21, $C$9, 100%, $E$9)</f>
        <v>34.200899999999997</v>
      </c>
      <c r="D925" s="10">
        <f>CHOOSE(CONTROL!$C$42, 34.2359, 34.2359) * CHOOSE(CONTROL!$C$21, $C$9, 100%, $E$9)</f>
        <v>34.235900000000001</v>
      </c>
      <c r="E925" s="10">
        <f>CHOOSE(CONTROL!$C$42, 34.2697, 34.2697) * CHOOSE(CONTROL!$C$21, $C$9, 100%, $E$9)</f>
        <v>34.2697</v>
      </c>
      <c r="F925" s="10">
        <f>CHOOSE(CONTROL!$C$42, 34.1771, 34.1771)*CHOOSE(CONTROL!$C$21, $C$9, 100%, $E$9)</f>
        <v>34.177100000000003</v>
      </c>
      <c r="G925" s="10">
        <f>CHOOSE(CONTROL!$C$42, 34.196, 34.196)*CHOOSE(CONTROL!$C$21, $C$9, 100%, $E$9)</f>
        <v>34.195999999999998</v>
      </c>
      <c r="H925" s="10">
        <f>CHOOSE(CONTROL!$C$42, 34.2586, 34.2586) * CHOOSE(CONTROL!$C$21, $C$9, 100%, $E$9)</f>
        <v>34.258600000000001</v>
      </c>
      <c r="I925" s="10">
        <f>CHOOSE(CONTROL!$C$42, 34.203, 34.203)* CHOOSE(CONTROL!$C$21, $C$9, 100%, $E$9)</f>
        <v>34.203000000000003</v>
      </c>
      <c r="J925" s="10">
        <f>CHOOSE(CONTROL!$C$42, 34.1697, 34.1697)* CHOOSE(CONTROL!$C$21, $C$9, 100%, $E$9)</f>
        <v>34.169699999999999</v>
      </c>
      <c r="K925" s="10">
        <f>CHOOSE(CONTROL!$C$42, 33.3117, 33.3117) * CHOOSE(CONTROL!$C$21, $C$9, 100%, $E$9)</f>
        <v>33.311700000000002</v>
      </c>
      <c r="L925" s="10">
        <f>CHOOSE(CONTROL!$C$42, 34.8456, 34.8456) * CHOOSE(CONTROL!$C$21, $C$9, 100%, $E$9)</f>
        <v>34.845599999999997</v>
      </c>
      <c r="M925" s="10">
        <f>CHOOSE(CONTROL!$C$42, 33.7604, 33.7604) * CHOOSE(CONTROL!$C$21, $C$9, 100%, $E$9)</f>
        <v>33.760399999999997</v>
      </c>
      <c r="N925" s="10">
        <f>CHOOSE(CONTROL!$C$42, 33.779, 33.779) * CHOOSE(CONTROL!$C$21, $C$9, 100%, $E$9)</f>
        <v>33.779000000000003</v>
      </c>
      <c r="O925" s="10">
        <f>CHOOSE(CONTROL!$C$42, 33.8481, 33.8481) * CHOOSE(CONTROL!$C$21, $C$9, 100%, $E$9)</f>
        <v>33.848100000000002</v>
      </c>
      <c r="P925" s="10">
        <f>CHOOSE(CONTROL!$C$42, 33.7934, 33.7934) * CHOOSE(CONTROL!$C$21, $C$9, 100%, $E$9)</f>
        <v>33.793399999999998</v>
      </c>
      <c r="Q925" s="10">
        <f>CHOOSE(CONTROL!$C$42, 34.4434, 34.4434) * CHOOSE(CONTROL!$C$21, $C$9, 100%, $E$9)</f>
        <v>34.443399999999997</v>
      </c>
      <c r="R925" s="10">
        <f>CHOOSE(CONTROL!$C$42, 35.1166, 35.1166) * CHOOSE(CONTROL!$C$21, $C$9, 100%, $E$9)</f>
        <v>35.116599999999998</v>
      </c>
      <c r="S925" s="10">
        <f>CHOOSE(CONTROL!$C$42, 33.1285, 33.1285) * CHOOSE(CONTROL!$C$21, $C$9, 100%, $E$9)</f>
        <v>33.128500000000003</v>
      </c>
      <c r="T92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38">
        <f>(1000*CHOOSE(CONTROL!$C$42, 695, 695)*CHOOSE(CONTROL!$C$42, 0.5599, 0.5599)*CHOOSE(CONTROL!$C$42, 31, 31))/1000000</f>
        <v>12.063045499999998</v>
      </c>
      <c r="V925" s="38">
        <f>(1000*CHOOSE(CONTROL!$C$42, 500, 500)*CHOOSE(CONTROL!$C$42, 0.275, 0.275)*CHOOSE(CONTROL!$C$42, 31, 31))/1000000</f>
        <v>4.2625000000000002</v>
      </c>
      <c r="W925" s="38">
        <f>(1000*CHOOSE(CONTROL!$C$42, 0.1146, 0.1146)*CHOOSE(CONTROL!$C$42, 121.5, 121.5)*CHOOSE(CONTROL!$C$42, 31, 31))/1000000</f>
        <v>0.43164089999999994</v>
      </c>
      <c r="X925" s="38">
        <f>(31*0.1790888*100000/1000000)+(31*0.2374*100000/1000000)</f>
        <v>1.2911152800000001</v>
      </c>
      <c r="Y925" s="38">
        <f>(1000*600*CHOOSE(CONTROL!$C$42, 1.0585, 1.0585)*CHOOSE(CONTROL!$C$42, 31, 31))/1000000</f>
        <v>19.688099999999999</v>
      </c>
      <c r="Z925" s="38"/>
      <c r="AA925" s="10"/>
      <c r="AB925" s="39"/>
      <c r="AC925" s="33">
        <f>(B925*122.58+C925*297.941+D925*89.177+E925*40.302+F925*40+G925*160+H925*0+I925*100+J925*300)/(122.58+297.941+89.177+40.302+0+40+160+100+300)</f>
        <v>34.196015490956519</v>
      </c>
      <c r="AD925" s="27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33.805967625899278</v>
      </c>
    </row>
    <row r="926" spans="1:30" ht="15.75" x14ac:dyDescent="0.25">
      <c r="A926" s="13">
        <v>69457</v>
      </c>
      <c r="B926" s="10">
        <f>CHOOSE(CONTROL!$C$42, 34.8048, 34.8048) * CHOOSE(CONTROL!$C$21, $C$9, 100%, $E$9)</f>
        <v>34.8048</v>
      </c>
      <c r="C926" s="10">
        <f>CHOOSE(CONTROL!$C$42, 34.8099, 34.8099) * CHOOSE(CONTROL!$C$21, $C$9, 100%, $E$9)</f>
        <v>34.809899999999999</v>
      </c>
      <c r="D926" s="10">
        <f>CHOOSE(CONTROL!$C$42, 34.8449, 34.8449) * CHOOSE(CONTROL!$C$21, $C$9, 100%, $E$9)</f>
        <v>34.844900000000003</v>
      </c>
      <c r="E926" s="10">
        <f>CHOOSE(CONTROL!$C$42, 34.8787, 34.8787) * CHOOSE(CONTROL!$C$21, $C$9, 100%, $E$9)</f>
        <v>34.878700000000002</v>
      </c>
      <c r="F926" s="10">
        <f>CHOOSE(CONTROL!$C$42, 34.7856, 34.7856)*CHOOSE(CONTROL!$C$21, $C$9, 100%, $E$9)</f>
        <v>34.785600000000002</v>
      </c>
      <c r="G926" s="10">
        <f>CHOOSE(CONTROL!$C$42, 34.8043, 34.8043)*CHOOSE(CONTROL!$C$21, $C$9, 100%, $E$9)</f>
        <v>34.804299999999998</v>
      </c>
      <c r="H926" s="10">
        <f>CHOOSE(CONTROL!$C$42, 34.8676, 34.8676) * CHOOSE(CONTROL!$C$21, $C$9, 100%, $E$9)</f>
        <v>34.867600000000003</v>
      </c>
      <c r="I926" s="10">
        <f>CHOOSE(CONTROL!$C$42, 34.8121, 34.8121)* CHOOSE(CONTROL!$C$21, $C$9, 100%, $E$9)</f>
        <v>34.812100000000001</v>
      </c>
      <c r="J926" s="10">
        <f>CHOOSE(CONTROL!$C$42, 34.7782, 34.7782)* CHOOSE(CONTROL!$C$21, $C$9, 100%, $E$9)</f>
        <v>34.778199999999998</v>
      </c>
      <c r="K926" s="10">
        <f>CHOOSE(CONTROL!$C$42, 33.9006, 33.9006) * CHOOSE(CONTROL!$C$21, $C$9, 100%, $E$9)</f>
        <v>33.900599999999997</v>
      </c>
      <c r="L926" s="10">
        <f>CHOOSE(CONTROL!$C$42, 35.4546, 35.4546) * CHOOSE(CONTROL!$C$21, $C$9, 100%, $E$9)</f>
        <v>35.454599999999999</v>
      </c>
      <c r="M926" s="10">
        <f>CHOOSE(CONTROL!$C$42, 34.361, 34.361) * CHOOSE(CONTROL!$C$21, $C$9, 100%, $E$9)</f>
        <v>34.360999999999997</v>
      </c>
      <c r="N926" s="10">
        <f>CHOOSE(CONTROL!$C$42, 34.3795, 34.3795) * CHOOSE(CONTROL!$C$21, $C$9, 100%, $E$9)</f>
        <v>34.3795</v>
      </c>
      <c r="O926" s="10">
        <f>CHOOSE(CONTROL!$C$42, 34.4493, 34.4493) * CHOOSE(CONTROL!$C$21, $C$9, 100%, $E$9)</f>
        <v>34.449300000000001</v>
      </c>
      <c r="P926" s="10">
        <f>CHOOSE(CONTROL!$C$42, 34.3945, 34.3945) * CHOOSE(CONTROL!$C$21, $C$9, 100%, $E$9)</f>
        <v>34.394500000000001</v>
      </c>
      <c r="Q926" s="10">
        <f>CHOOSE(CONTROL!$C$42, 35.0446, 35.0446) * CHOOSE(CONTROL!$C$21, $C$9, 100%, $E$9)</f>
        <v>35.044600000000003</v>
      </c>
      <c r="R926" s="10">
        <f>CHOOSE(CONTROL!$C$42, 35.7192, 35.7192) * CHOOSE(CONTROL!$C$21, $C$9, 100%, $E$9)</f>
        <v>35.719200000000001</v>
      </c>
      <c r="S926" s="10">
        <f>CHOOSE(CONTROL!$C$42, 33.7182, 33.7182) * CHOOSE(CONTROL!$C$21, $C$9, 100%, $E$9)</f>
        <v>33.718200000000003</v>
      </c>
      <c r="T92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38">
        <f>(1000*CHOOSE(CONTROL!$C$42, 695, 695)*CHOOSE(CONTROL!$C$42, 0.5599, 0.5599)*CHOOSE(CONTROL!$C$42, 28, 28))/1000000</f>
        <v>10.895653999999999</v>
      </c>
      <c r="V926" s="38">
        <f>(1000*CHOOSE(CONTROL!$C$42, 500, 500)*CHOOSE(CONTROL!$C$42, 0.275, 0.275)*CHOOSE(CONTROL!$C$42, 28, 28))/1000000</f>
        <v>3.85</v>
      </c>
      <c r="W926" s="38">
        <f>(1000*CHOOSE(CONTROL!$C$42, 0.1146, 0.1146)*CHOOSE(CONTROL!$C$42, 121.5, 121.5)*CHOOSE(CONTROL!$C$42, 28, 28))/1000000</f>
        <v>0.38986920000000003</v>
      </c>
      <c r="X926" s="38">
        <f>(28*0.1790888*100000/1000000)+(28*0.2374*100000/1000000)</f>
        <v>1.16616864</v>
      </c>
      <c r="Y926" s="38">
        <f>(1000*600*CHOOSE(CONTROL!$C$42, 1.0585, 1.0585)*CHOOSE(CONTROL!$C$42, 28, 28))/1000000</f>
        <v>17.782800000000002</v>
      </c>
      <c r="Z926" s="38"/>
      <c r="AA926" s="10"/>
      <c r="AB926" s="39"/>
      <c r="AC926" s="33">
        <f>(B926*122.58+C926*297.941+D926*89.177+E926*40.302+F926*40+G926*160+H926*0+I926*100+J926*300)/(122.58+297.941+89.177+40.302+0+40+160+100+300)</f>
        <v>34.804778969217388</v>
      </c>
      <c r="AD926" s="27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34.406905755395684</v>
      </c>
    </row>
    <row r="927" spans="1:30" ht="15.75" x14ac:dyDescent="0.25">
      <c r="A927" s="13">
        <v>69488</v>
      </c>
      <c r="B927" s="10">
        <f>CHOOSE(CONTROL!$C$42, 33.8162, 33.8162) * CHOOSE(CONTROL!$C$21, $C$9, 100%, $E$9)</f>
        <v>33.816200000000002</v>
      </c>
      <c r="C927" s="10">
        <f>CHOOSE(CONTROL!$C$42, 33.8213, 33.8213) * CHOOSE(CONTROL!$C$21, $C$9, 100%, $E$9)</f>
        <v>33.821300000000001</v>
      </c>
      <c r="D927" s="10">
        <f>CHOOSE(CONTROL!$C$42, 33.8563, 33.8563) * CHOOSE(CONTROL!$C$21, $C$9, 100%, $E$9)</f>
        <v>33.856299999999997</v>
      </c>
      <c r="E927" s="10">
        <f>CHOOSE(CONTROL!$C$42, 33.8901, 33.8901) * CHOOSE(CONTROL!$C$21, $C$9, 100%, $E$9)</f>
        <v>33.890099999999997</v>
      </c>
      <c r="F927" s="10">
        <f>CHOOSE(CONTROL!$C$42, 33.7956, 33.7956)*CHOOSE(CONTROL!$C$21, $C$9, 100%, $E$9)</f>
        <v>33.7956</v>
      </c>
      <c r="G927" s="10">
        <f>CHOOSE(CONTROL!$C$42, 33.814, 33.814)*CHOOSE(CONTROL!$C$21, $C$9, 100%, $E$9)</f>
        <v>33.814</v>
      </c>
      <c r="H927" s="10">
        <f>CHOOSE(CONTROL!$C$42, 33.879, 33.879) * CHOOSE(CONTROL!$C$21, $C$9, 100%, $E$9)</f>
        <v>33.878999999999998</v>
      </c>
      <c r="I927" s="10">
        <f>CHOOSE(CONTROL!$C$42, 33.8235, 33.8235)* CHOOSE(CONTROL!$C$21, $C$9, 100%, $E$9)</f>
        <v>33.823500000000003</v>
      </c>
      <c r="J927" s="10">
        <f>CHOOSE(CONTROL!$C$42, 33.7882, 33.7882)* CHOOSE(CONTROL!$C$21, $C$9, 100%, $E$9)</f>
        <v>33.788200000000003</v>
      </c>
      <c r="K927" s="10">
        <f>CHOOSE(CONTROL!$C$42, 32.9398, 32.9398) * CHOOSE(CONTROL!$C$21, $C$9, 100%, $E$9)</f>
        <v>32.939799999999998</v>
      </c>
      <c r="L927" s="10">
        <f>CHOOSE(CONTROL!$C$42, 34.466, 34.466) * CHOOSE(CONTROL!$C$21, $C$9, 100%, $E$9)</f>
        <v>34.466000000000001</v>
      </c>
      <c r="M927" s="10">
        <f>CHOOSE(CONTROL!$C$42, 33.3838, 33.3838) * CHOOSE(CONTROL!$C$21, $C$9, 100%, $E$9)</f>
        <v>33.383800000000001</v>
      </c>
      <c r="N927" s="10">
        <f>CHOOSE(CONTROL!$C$42, 33.402, 33.402) * CHOOSE(CONTROL!$C$21, $C$9, 100%, $E$9)</f>
        <v>33.402000000000001</v>
      </c>
      <c r="O927" s="10">
        <f>CHOOSE(CONTROL!$C$42, 33.4735, 33.4735) * CHOOSE(CONTROL!$C$21, $C$9, 100%, $E$9)</f>
        <v>33.473500000000001</v>
      </c>
      <c r="P927" s="10">
        <f>CHOOSE(CONTROL!$C$42, 33.4187, 33.4187) * CHOOSE(CONTROL!$C$21, $C$9, 100%, $E$9)</f>
        <v>33.418700000000001</v>
      </c>
      <c r="Q927" s="10">
        <f>CHOOSE(CONTROL!$C$42, 34.0688, 34.0688) * CHOOSE(CONTROL!$C$21, $C$9, 100%, $E$9)</f>
        <v>34.068800000000003</v>
      </c>
      <c r="R927" s="10">
        <f>CHOOSE(CONTROL!$C$42, 34.741, 34.741) * CHOOSE(CONTROL!$C$21, $C$9, 100%, $E$9)</f>
        <v>34.741</v>
      </c>
      <c r="S927" s="10">
        <f>CHOOSE(CONTROL!$C$42, 32.7609, 32.7609) * CHOOSE(CONTROL!$C$21, $C$9, 100%, $E$9)</f>
        <v>32.760899999999999</v>
      </c>
      <c r="T92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38">
        <f>(1000*CHOOSE(CONTROL!$C$42, 695, 695)*CHOOSE(CONTROL!$C$42, 0.5599, 0.5599)*CHOOSE(CONTROL!$C$42, 31, 31))/1000000</f>
        <v>12.063045499999998</v>
      </c>
      <c r="V927" s="38">
        <f>(1000*CHOOSE(CONTROL!$C$42, 500, 500)*CHOOSE(CONTROL!$C$42, 0.275, 0.275)*CHOOSE(CONTROL!$C$42, 31, 31))/1000000</f>
        <v>4.2625000000000002</v>
      </c>
      <c r="W927" s="38">
        <f>(1000*CHOOSE(CONTROL!$C$42, 0.1146, 0.1146)*CHOOSE(CONTROL!$C$42, 121.5, 121.5)*CHOOSE(CONTROL!$C$42, 31, 31))/1000000</f>
        <v>0.43164089999999994</v>
      </c>
      <c r="X927" s="38">
        <f>(31*0.1790888*100000/1000000)+(31*0.2374*100000/1000000)</f>
        <v>1.2911152800000001</v>
      </c>
      <c r="Y927" s="38">
        <f>(1000*600*CHOOSE(CONTROL!$C$42, 1.0585, 1.0585)*CHOOSE(CONTROL!$C$42, 31, 31))/1000000</f>
        <v>19.688099999999999</v>
      </c>
      <c r="Z927" s="38"/>
      <c r="AA927" s="10"/>
      <c r="AB927" s="39"/>
      <c r="AC927" s="33">
        <f>(B927*122.58+C927*297.941+D927*89.177+E927*40.302+F927*40+G927*160+H927*0+I927*100+J927*300)/(122.58+297.941+89.177+40.302+0+40+160+100+300)</f>
        <v>33.815528534434783</v>
      </c>
      <c r="AD927" s="27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33.430524460431656</v>
      </c>
    </row>
    <row r="928" spans="1:30" ht="15.75" x14ac:dyDescent="0.25">
      <c r="A928" s="13">
        <v>69518</v>
      </c>
      <c r="B928" s="10">
        <f>CHOOSE(CONTROL!$C$42, 33.7157, 33.7157) * CHOOSE(CONTROL!$C$21, $C$9, 100%, $E$9)</f>
        <v>33.715699999999998</v>
      </c>
      <c r="C928" s="10">
        <f>CHOOSE(CONTROL!$C$42, 33.7202, 33.7202) * CHOOSE(CONTROL!$C$21, $C$9, 100%, $E$9)</f>
        <v>33.720199999999998</v>
      </c>
      <c r="D928" s="10">
        <f>CHOOSE(CONTROL!$C$42, 33.8984, 33.8984) * CHOOSE(CONTROL!$C$21, $C$9, 100%, $E$9)</f>
        <v>33.898400000000002</v>
      </c>
      <c r="E928" s="10">
        <f>CHOOSE(CONTROL!$C$42, 33.9303, 33.9303) * CHOOSE(CONTROL!$C$21, $C$9, 100%, $E$9)</f>
        <v>33.930300000000003</v>
      </c>
      <c r="F928" s="10">
        <f>CHOOSE(CONTROL!$C$42, 33.6591, 33.6591)*CHOOSE(CONTROL!$C$21, $C$9, 100%, $E$9)</f>
        <v>33.659100000000002</v>
      </c>
      <c r="G928" s="10">
        <f>CHOOSE(CONTROL!$C$42, 33.6757, 33.6757)*CHOOSE(CONTROL!$C$21, $C$9, 100%, $E$9)</f>
        <v>33.675699999999999</v>
      </c>
      <c r="H928" s="10">
        <f>CHOOSE(CONTROL!$C$42, 33.9197, 33.9197) * CHOOSE(CONTROL!$C$21, $C$9, 100%, $E$9)</f>
        <v>33.919699999999999</v>
      </c>
      <c r="I928" s="10">
        <f>CHOOSE(CONTROL!$C$42, 33.6917, 33.6917)* CHOOSE(CONTROL!$C$21, $C$9, 100%, $E$9)</f>
        <v>33.691699999999997</v>
      </c>
      <c r="J928" s="10">
        <f>CHOOSE(CONTROL!$C$42, 33.6517, 33.6517)* CHOOSE(CONTROL!$C$21, $C$9, 100%, $E$9)</f>
        <v>33.651699999999998</v>
      </c>
      <c r="K928" s="10">
        <f>CHOOSE(CONTROL!$C$42, 32.7975, 32.7975) * CHOOSE(CONTROL!$C$21, $C$9, 100%, $E$9)</f>
        <v>32.797499999999999</v>
      </c>
      <c r="L928" s="10">
        <f>CHOOSE(CONTROL!$C$42, 34.5067, 34.5067) * CHOOSE(CONTROL!$C$21, $C$9, 100%, $E$9)</f>
        <v>34.506700000000002</v>
      </c>
      <c r="M928" s="10">
        <f>CHOOSE(CONTROL!$C$42, 33.2491, 33.2491) * CHOOSE(CONTROL!$C$21, $C$9, 100%, $E$9)</f>
        <v>33.249099999999999</v>
      </c>
      <c r="N928" s="10">
        <f>CHOOSE(CONTROL!$C$42, 33.2655, 33.2655) * CHOOSE(CONTROL!$C$21, $C$9, 100%, $E$9)</f>
        <v>33.265500000000003</v>
      </c>
      <c r="O928" s="10">
        <f>CHOOSE(CONTROL!$C$42, 33.5137, 33.5137) * CHOOSE(CONTROL!$C$21, $C$9, 100%, $E$9)</f>
        <v>33.5137</v>
      </c>
      <c r="P928" s="10">
        <f>CHOOSE(CONTROL!$C$42, 33.2886, 33.2886) * CHOOSE(CONTROL!$C$21, $C$9, 100%, $E$9)</f>
        <v>33.288600000000002</v>
      </c>
      <c r="Q928" s="10">
        <f>CHOOSE(CONTROL!$C$42, 34.109, 34.109) * CHOOSE(CONTROL!$C$21, $C$9, 100%, $E$9)</f>
        <v>34.109000000000002</v>
      </c>
      <c r="R928" s="10">
        <f>CHOOSE(CONTROL!$C$42, 34.7812, 34.7812) * CHOOSE(CONTROL!$C$21, $C$9, 100%, $E$9)</f>
        <v>34.781199999999998</v>
      </c>
      <c r="S928" s="10">
        <f>CHOOSE(CONTROL!$C$42, 32.6628, 32.6628) * CHOOSE(CONTROL!$C$21, $C$9, 100%, $E$9)</f>
        <v>32.662799999999997</v>
      </c>
      <c r="T92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38">
        <f>(1000*CHOOSE(CONTROL!$C$42, 695, 695)*CHOOSE(CONTROL!$C$42, 0.5599, 0.5599)*CHOOSE(CONTROL!$C$42, 30, 30))/1000000</f>
        <v>11.673914999999997</v>
      </c>
      <c r="V928" s="38">
        <f>(1000*CHOOSE(CONTROL!$C$42, 500, 500)*CHOOSE(CONTROL!$C$42, 0.275, 0.275)*CHOOSE(CONTROL!$C$42, 30, 30))/1000000</f>
        <v>4.125</v>
      </c>
      <c r="W928" s="38">
        <f>(1000*CHOOSE(CONTROL!$C$42, 0.1146, 0.1146)*CHOOSE(CONTROL!$C$42, 121.5, 121.5)*CHOOSE(CONTROL!$C$42, 30, 30))/1000000</f>
        <v>0.417717</v>
      </c>
      <c r="X928" s="38">
        <f>(30*0.1790888*245000/1000000)+(30*0.2374*100000/1000000)</f>
        <v>2.0285026799999999</v>
      </c>
      <c r="Y928" s="38">
        <f>(1000*600*CHOOSE(CONTROL!$C$42, 1.0585, 1.0585)*CHOOSE(CONTROL!$C$42, 30, 30))/1000000</f>
        <v>19.053000000000001</v>
      </c>
      <c r="Z928" s="38"/>
      <c r="AA928" s="10"/>
      <c r="AB928" s="39"/>
      <c r="AC928" s="33">
        <f>(B928*141.293+C928*267.993+D928*115.016+E928*89.698+F928*40+G928*185+H928*0+I928*100+J928*300)/(141.293+267.993+115.016+89.698+0+40+185+100+300)</f>
        <v>33.723936144067792</v>
      </c>
      <c r="AD928" s="27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33.375653956834533</v>
      </c>
    </row>
    <row r="929" spans="1:30" ht="15.75" x14ac:dyDescent="0.25">
      <c r="A929" s="13">
        <v>69549</v>
      </c>
      <c r="B929" s="10">
        <f>CHOOSE(CONTROL!$C$42, 34.0152, 34.0152) * CHOOSE(CONTROL!$C$21, $C$9, 100%, $E$9)</f>
        <v>34.0152</v>
      </c>
      <c r="C929" s="10">
        <f>CHOOSE(CONTROL!$C$42, 34.0232, 34.0232) * CHOOSE(CONTROL!$C$21, $C$9, 100%, $E$9)</f>
        <v>34.023200000000003</v>
      </c>
      <c r="D929" s="10">
        <f>CHOOSE(CONTROL!$C$42, 34.1983, 34.1983) * CHOOSE(CONTROL!$C$21, $C$9, 100%, $E$9)</f>
        <v>34.198300000000003</v>
      </c>
      <c r="E929" s="10">
        <f>CHOOSE(CONTROL!$C$42, 34.2295, 34.2295) * CHOOSE(CONTROL!$C$21, $C$9, 100%, $E$9)</f>
        <v>34.229500000000002</v>
      </c>
      <c r="F929" s="10">
        <f>CHOOSE(CONTROL!$C$42, 33.9569, 33.9569)*CHOOSE(CONTROL!$C$21, $C$9, 100%, $E$9)</f>
        <v>33.956899999999997</v>
      </c>
      <c r="G929" s="10">
        <f>CHOOSE(CONTROL!$C$42, 33.9737, 33.9737)*CHOOSE(CONTROL!$C$21, $C$9, 100%, $E$9)</f>
        <v>33.973700000000001</v>
      </c>
      <c r="H929" s="10">
        <f>CHOOSE(CONTROL!$C$42, 34.2178, 34.2178) * CHOOSE(CONTROL!$C$21, $C$9, 100%, $E$9)</f>
        <v>34.217799999999997</v>
      </c>
      <c r="I929" s="10">
        <f>CHOOSE(CONTROL!$C$42, 33.9898, 33.9898)* CHOOSE(CONTROL!$C$21, $C$9, 100%, $E$9)</f>
        <v>33.989800000000002</v>
      </c>
      <c r="J929" s="10">
        <f>CHOOSE(CONTROL!$C$42, 33.9495, 33.9495)* CHOOSE(CONTROL!$C$21, $C$9, 100%, $E$9)</f>
        <v>33.9495</v>
      </c>
      <c r="K929" s="10">
        <f>CHOOSE(CONTROL!$C$42, 33.0854, 33.0854) * CHOOSE(CONTROL!$C$21, $C$9, 100%, $E$9)</f>
        <v>33.0854</v>
      </c>
      <c r="L929" s="10">
        <f>CHOOSE(CONTROL!$C$42, 34.8048, 34.8048) * CHOOSE(CONTROL!$C$21, $C$9, 100%, $E$9)</f>
        <v>34.8048</v>
      </c>
      <c r="M929" s="10">
        <f>CHOOSE(CONTROL!$C$42, 33.543, 33.543) * CHOOSE(CONTROL!$C$21, $C$9, 100%, $E$9)</f>
        <v>33.542999999999999</v>
      </c>
      <c r="N929" s="10">
        <f>CHOOSE(CONTROL!$C$42, 33.5597, 33.5597) * CHOOSE(CONTROL!$C$21, $C$9, 100%, $E$9)</f>
        <v>33.559699999999999</v>
      </c>
      <c r="O929" s="10">
        <f>CHOOSE(CONTROL!$C$42, 33.8079, 33.8079) * CHOOSE(CONTROL!$C$21, $C$9, 100%, $E$9)</f>
        <v>33.807899999999997</v>
      </c>
      <c r="P929" s="10">
        <f>CHOOSE(CONTROL!$C$42, 33.5829, 33.5829) * CHOOSE(CONTROL!$C$21, $C$9, 100%, $E$9)</f>
        <v>33.582900000000002</v>
      </c>
      <c r="Q929" s="10">
        <f>CHOOSE(CONTROL!$C$42, 34.4032, 34.4032) * CHOOSE(CONTROL!$C$21, $C$9, 100%, $E$9)</f>
        <v>34.403199999999998</v>
      </c>
      <c r="R929" s="10">
        <f>CHOOSE(CONTROL!$C$42, 35.0762, 35.0762) * CHOOSE(CONTROL!$C$21, $C$9, 100%, $E$9)</f>
        <v>35.0762</v>
      </c>
      <c r="S929" s="10">
        <f>CHOOSE(CONTROL!$C$42, 32.9515, 32.9515) * CHOOSE(CONTROL!$C$21, $C$9, 100%, $E$9)</f>
        <v>32.951500000000003</v>
      </c>
      <c r="T92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38">
        <f>(1000*CHOOSE(CONTROL!$C$42, 695, 695)*CHOOSE(CONTROL!$C$42, 0.5599, 0.5599)*CHOOSE(CONTROL!$C$42, 31, 31))/1000000</f>
        <v>12.063045499999998</v>
      </c>
      <c r="V929" s="38">
        <f>(1000*CHOOSE(CONTROL!$C$42, 500, 500)*CHOOSE(CONTROL!$C$42, 0.275, 0.275)*CHOOSE(CONTROL!$C$42, 31, 31))/1000000</f>
        <v>4.2625000000000002</v>
      </c>
      <c r="W929" s="38">
        <f>(1000*CHOOSE(CONTROL!$C$42, 0.1146, 0.1146)*CHOOSE(CONTROL!$C$42, 121.5, 121.5)*CHOOSE(CONTROL!$C$42, 31, 31))/1000000</f>
        <v>0.43164089999999994</v>
      </c>
      <c r="X929" s="38">
        <f>(31*0.1790888*245000/1000000)+(31*0.2374*100000/1000000)</f>
        <v>2.0961194359999999</v>
      </c>
      <c r="Y929" s="38">
        <f>(1000*600*CHOOSE(CONTROL!$C$42, 1.0585, 1.0585)*CHOOSE(CONTROL!$C$42, 31, 31))/1000000</f>
        <v>19.688099999999999</v>
      </c>
      <c r="Z929" s="38"/>
      <c r="AA929" s="10"/>
      <c r="AB929" s="39"/>
      <c r="AC929" s="33">
        <f>(B929*194.205+C929*267.466+D929*133.845+E929*53.484+F929*40+G929*185+H929*0+I929*100+J929*300)/(194.205+267.466+133.845+53.484+0+40+185+100+300)</f>
        <v>34.019790948744117</v>
      </c>
      <c r="AD929" s="27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33.669764748201437</v>
      </c>
    </row>
    <row r="930" spans="1:30" ht="15.75" x14ac:dyDescent="0.25">
      <c r="A930" s="13">
        <v>69579</v>
      </c>
      <c r="B930" s="10">
        <f>CHOOSE(CONTROL!$C$42, 34.9805, 34.9805) * CHOOSE(CONTROL!$C$21, $C$9, 100%, $E$9)</f>
        <v>34.980499999999999</v>
      </c>
      <c r="C930" s="10">
        <f>CHOOSE(CONTROL!$C$42, 34.9885, 34.9885) * CHOOSE(CONTROL!$C$21, $C$9, 100%, $E$9)</f>
        <v>34.988500000000002</v>
      </c>
      <c r="D930" s="10">
        <f>CHOOSE(CONTROL!$C$42, 35.1636, 35.1636) * CHOOSE(CONTROL!$C$21, $C$9, 100%, $E$9)</f>
        <v>35.163600000000002</v>
      </c>
      <c r="E930" s="10">
        <f>CHOOSE(CONTROL!$C$42, 35.1948, 35.1948) * CHOOSE(CONTROL!$C$21, $C$9, 100%, $E$9)</f>
        <v>35.194800000000001</v>
      </c>
      <c r="F930" s="10">
        <f>CHOOSE(CONTROL!$C$42, 34.9223, 34.9223)*CHOOSE(CONTROL!$C$21, $C$9, 100%, $E$9)</f>
        <v>34.9223</v>
      </c>
      <c r="G930" s="10">
        <f>CHOOSE(CONTROL!$C$42, 34.9393, 34.9393)*CHOOSE(CONTROL!$C$21, $C$9, 100%, $E$9)</f>
        <v>34.939300000000003</v>
      </c>
      <c r="H930" s="10">
        <f>CHOOSE(CONTROL!$C$42, 35.1831, 35.1831) * CHOOSE(CONTROL!$C$21, $C$9, 100%, $E$9)</f>
        <v>35.183100000000003</v>
      </c>
      <c r="I930" s="10">
        <f>CHOOSE(CONTROL!$C$42, 34.9551, 34.9551)* CHOOSE(CONTROL!$C$21, $C$9, 100%, $E$9)</f>
        <v>34.955100000000002</v>
      </c>
      <c r="J930" s="10">
        <f>CHOOSE(CONTROL!$C$42, 34.9149, 34.9149)* CHOOSE(CONTROL!$C$21, $C$9, 100%, $E$9)</f>
        <v>34.914900000000003</v>
      </c>
      <c r="K930" s="10">
        <f>CHOOSE(CONTROL!$C$42, 34.021, 34.021) * CHOOSE(CONTROL!$C$21, $C$9, 100%, $E$9)</f>
        <v>34.021000000000001</v>
      </c>
      <c r="L930" s="10">
        <f>CHOOSE(CONTROL!$C$42, 35.7701, 35.7701) * CHOOSE(CONTROL!$C$21, $C$9, 100%, $E$9)</f>
        <v>35.770099999999999</v>
      </c>
      <c r="M930" s="10">
        <f>CHOOSE(CONTROL!$C$42, 34.496, 34.496) * CHOOSE(CONTROL!$C$21, $C$9, 100%, $E$9)</f>
        <v>34.496000000000002</v>
      </c>
      <c r="N930" s="10">
        <f>CHOOSE(CONTROL!$C$42, 34.5127, 34.5127) * CHOOSE(CONTROL!$C$21, $C$9, 100%, $E$9)</f>
        <v>34.512700000000002</v>
      </c>
      <c r="O930" s="10">
        <f>CHOOSE(CONTROL!$C$42, 34.7607, 34.7607) * CHOOSE(CONTROL!$C$21, $C$9, 100%, $E$9)</f>
        <v>34.7607</v>
      </c>
      <c r="P930" s="10">
        <f>CHOOSE(CONTROL!$C$42, 34.5357, 34.5357) * CHOOSE(CONTROL!$C$21, $C$9, 100%, $E$9)</f>
        <v>34.535699999999999</v>
      </c>
      <c r="Q930" s="10">
        <f>CHOOSE(CONTROL!$C$42, 35.356, 35.356) * CHOOSE(CONTROL!$C$21, $C$9, 100%, $E$9)</f>
        <v>35.356000000000002</v>
      </c>
      <c r="R930" s="10">
        <f>CHOOSE(CONTROL!$C$42, 36.0314, 36.0314) * CHOOSE(CONTROL!$C$21, $C$9, 100%, $E$9)</f>
        <v>36.031399999999998</v>
      </c>
      <c r="S930" s="10">
        <f>CHOOSE(CONTROL!$C$42, 33.8862, 33.8862) * CHOOSE(CONTROL!$C$21, $C$9, 100%, $E$9)</f>
        <v>33.886200000000002</v>
      </c>
      <c r="T93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38">
        <f>(1000*CHOOSE(CONTROL!$C$42, 695, 695)*CHOOSE(CONTROL!$C$42, 0.5599, 0.5599)*CHOOSE(CONTROL!$C$42, 30, 30))/1000000</f>
        <v>11.673914999999997</v>
      </c>
      <c r="V930" s="38">
        <f>(1000*CHOOSE(CONTROL!$C$42, 500, 500)*CHOOSE(CONTROL!$C$42, 0.275, 0.275)*CHOOSE(CONTROL!$C$42, 30, 30))/1000000</f>
        <v>4.125</v>
      </c>
      <c r="W930" s="38">
        <f>(1000*CHOOSE(CONTROL!$C$42, 0.1146, 0.1146)*CHOOSE(CONTROL!$C$42, 121.5, 121.5)*CHOOSE(CONTROL!$C$42, 30, 30))/1000000</f>
        <v>0.417717</v>
      </c>
      <c r="X930" s="38">
        <f>(30*0.1790888*245000/1000000)+(30*0.2374*100000/1000000)</f>
        <v>2.0285026799999999</v>
      </c>
      <c r="Y930" s="38">
        <f>(1000*600*CHOOSE(CONTROL!$C$42, 1.0585, 1.0585)*CHOOSE(CONTROL!$C$42, 30, 30))/1000000</f>
        <v>19.053000000000001</v>
      </c>
      <c r="Z930" s="38"/>
      <c r="AA930" s="10"/>
      <c r="AB930" s="39"/>
      <c r="AC930" s="33">
        <f>(B930*194.205+C930*267.466+D930*133.845+E930*53.484+F930*40+G930*185+H930*0+I930*100+J930*300)/(194.205+267.466+133.845+53.484+0+40+185+100+300)</f>
        <v>34.985161199921514</v>
      </c>
      <c r="AD930" s="27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34.622645323741004</v>
      </c>
    </row>
    <row r="931" spans="1:30" ht="15.75" x14ac:dyDescent="0.25">
      <c r="A931" s="13">
        <v>69610</v>
      </c>
      <c r="B931" s="10">
        <f>CHOOSE(CONTROL!$C$42, 34.3091, 34.3091) * CHOOSE(CONTROL!$C$21, $C$9, 100%, $E$9)</f>
        <v>34.309100000000001</v>
      </c>
      <c r="C931" s="10">
        <f>CHOOSE(CONTROL!$C$42, 34.3171, 34.3171) * CHOOSE(CONTROL!$C$21, $C$9, 100%, $E$9)</f>
        <v>34.317100000000003</v>
      </c>
      <c r="D931" s="10">
        <f>CHOOSE(CONTROL!$C$42, 34.4922, 34.4922) * CHOOSE(CONTROL!$C$21, $C$9, 100%, $E$9)</f>
        <v>34.492199999999997</v>
      </c>
      <c r="E931" s="10">
        <f>CHOOSE(CONTROL!$C$42, 34.5234, 34.5234) * CHOOSE(CONTROL!$C$21, $C$9, 100%, $E$9)</f>
        <v>34.523400000000002</v>
      </c>
      <c r="F931" s="10">
        <f>CHOOSE(CONTROL!$C$42, 34.2513, 34.2513)*CHOOSE(CONTROL!$C$21, $C$9, 100%, $E$9)</f>
        <v>34.251300000000001</v>
      </c>
      <c r="G931" s="10">
        <f>CHOOSE(CONTROL!$C$42, 34.2683, 34.2683)*CHOOSE(CONTROL!$C$21, $C$9, 100%, $E$9)</f>
        <v>34.268300000000004</v>
      </c>
      <c r="H931" s="10">
        <f>CHOOSE(CONTROL!$C$42, 34.5118, 34.5118) * CHOOSE(CONTROL!$C$21, $C$9, 100%, $E$9)</f>
        <v>34.511800000000001</v>
      </c>
      <c r="I931" s="10">
        <f>CHOOSE(CONTROL!$C$42, 34.2837, 34.2837)* CHOOSE(CONTROL!$C$21, $C$9, 100%, $E$9)</f>
        <v>34.283700000000003</v>
      </c>
      <c r="J931" s="10">
        <f>CHOOSE(CONTROL!$C$42, 34.2439, 34.2439)* CHOOSE(CONTROL!$C$21, $C$9, 100%, $E$9)</f>
        <v>34.243899999999996</v>
      </c>
      <c r="K931" s="10">
        <f>CHOOSE(CONTROL!$C$42, 33.3713, 33.3713) * CHOOSE(CONTROL!$C$21, $C$9, 100%, $E$9)</f>
        <v>33.371299999999998</v>
      </c>
      <c r="L931" s="10">
        <f>CHOOSE(CONTROL!$C$42, 35.0988, 35.0988) * CHOOSE(CONTROL!$C$21, $C$9, 100%, $E$9)</f>
        <v>35.098799999999997</v>
      </c>
      <c r="M931" s="10">
        <f>CHOOSE(CONTROL!$C$42, 33.8336, 33.8336) * CHOOSE(CONTROL!$C$21, $C$9, 100%, $E$9)</f>
        <v>33.833599999999997</v>
      </c>
      <c r="N931" s="10">
        <f>CHOOSE(CONTROL!$C$42, 33.8505, 33.8505) * CHOOSE(CONTROL!$C$21, $C$9, 100%, $E$9)</f>
        <v>33.850499999999997</v>
      </c>
      <c r="O931" s="10">
        <f>CHOOSE(CONTROL!$C$42, 34.098, 34.098) * CHOOSE(CONTROL!$C$21, $C$9, 100%, $E$9)</f>
        <v>34.097999999999999</v>
      </c>
      <c r="P931" s="10">
        <f>CHOOSE(CONTROL!$C$42, 33.873, 33.873) * CHOOSE(CONTROL!$C$21, $C$9, 100%, $E$9)</f>
        <v>33.872999999999998</v>
      </c>
      <c r="Q931" s="10">
        <f>CHOOSE(CONTROL!$C$42, 34.6933, 34.6933) * CHOOSE(CONTROL!$C$21, $C$9, 100%, $E$9)</f>
        <v>34.693300000000001</v>
      </c>
      <c r="R931" s="10">
        <f>CHOOSE(CONTROL!$C$42, 35.3671, 35.3671) * CHOOSE(CONTROL!$C$21, $C$9, 100%, $E$9)</f>
        <v>35.367100000000001</v>
      </c>
      <c r="S931" s="10">
        <f>CHOOSE(CONTROL!$C$42, 33.2361, 33.2361) * CHOOSE(CONTROL!$C$21, $C$9, 100%, $E$9)</f>
        <v>33.2361</v>
      </c>
      <c r="T93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38">
        <f>(1000*CHOOSE(CONTROL!$C$42, 695, 695)*CHOOSE(CONTROL!$C$42, 0.5599, 0.5599)*CHOOSE(CONTROL!$C$42, 31, 31))/1000000</f>
        <v>12.063045499999998</v>
      </c>
      <c r="V931" s="38">
        <f>(1000*CHOOSE(CONTROL!$C$42, 500, 500)*CHOOSE(CONTROL!$C$42, 0.275, 0.275)*CHOOSE(CONTROL!$C$42, 31, 31))/1000000</f>
        <v>4.2625000000000002</v>
      </c>
      <c r="W931" s="38">
        <f>(1000*CHOOSE(CONTROL!$C$42, 0.1146, 0.1146)*CHOOSE(CONTROL!$C$42, 121.5, 121.5)*CHOOSE(CONTROL!$C$42, 31, 31))/1000000</f>
        <v>0.43164089999999994</v>
      </c>
      <c r="X931" s="38">
        <f>(31*0.1790888*245000/1000000)+(31*0.2374*100000/1000000)</f>
        <v>2.0961194359999999</v>
      </c>
      <c r="Y931" s="38">
        <f>(1000*600*CHOOSE(CONTROL!$C$42, 1.0585, 1.0585)*CHOOSE(CONTROL!$C$42, 31, 31))/1000000</f>
        <v>19.688099999999999</v>
      </c>
      <c r="Z931" s="38"/>
      <c r="AA931" s="10"/>
      <c r="AB931" s="39"/>
      <c r="AC931" s="33">
        <f>(B931*194.205+C931*267.466+D931*133.845+E931*53.484+F931*40+G931*185+H931*0+I931*100+J931*300)/(194.205+267.466+133.845+53.484+0+40+185+100+300)</f>
        <v>34.313926035086347</v>
      </c>
      <c r="AD931" s="27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33.960077697841726</v>
      </c>
    </row>
    <row r="932" spans="1:30" ht="15.75" x14ac:dyDescent="0.25">
      <c r="A932" s="13">
        <v>69641</v>
      </c>
      <c r="B932" s="10">
        <f>CHOOSE(CONTROL!$C$42, 32.6137, 32.6137) * CHOOSE(CONTROL!$C$21, $C$9, 100%, $E$9)</f>
        <v>32.613700000000001</v>
      </c>
      <c r="C932" s="10">
        <f>CHOOSE(CONTROL!$C$42, 32.6217, 32.6217) * CHOOSE(CONTROL!$C$21, $C$9, 100%, $E$9)</f>
        <v>32.621699999999997</v>
      </c>
      <c r="D932" s="10">
        <f>CHOOSE(CONTROL!$C$42, 32.7968, 32.7968) * CHOOSE(CONTROL!$C$21, $C$9, 100%, $E$9)</f>
        <v>32.796799999999998</v>
      </c>
      <c r="E932" s="10">
        <f>CHOOSE(CONTROL!$C$42, 32.828, 32.828) * CHOOSE(CONTROL!$C$21, $C$9, 100%, $E$9)</f>
        <v>32.828000000000003</v>
      </c>
      <c r="F932" s="10">
        <f>CHOOSE(CONTROL!$C$42, 32.5558, 32.5558)*CHOOSE(CONTROL!$C$21, $C$9, 100%, $E$9)</f>
        <v>32.555799999999998</v>
      </c>
      <c r="G932" s="10">
        <f>CHOOSE(CONTROL!$C$42, 32.5728, 32.5728)*CHOOSE(CONTROL!$C$21, $C$9, 100%, $E$9)</f>
        <v>32.572800000000001</v>
      </c>
      <c r="H932" s="10">
        <f>CHOOSE(CONTROL!$C$42, 32.8164, 32.8164) * CHOOSE(CONTROL!$C$21, $C$9, 100%, $E$9)</f>
        <v>32.816400000000002</v>
      </c>
      <c r="I932" s="10">
        <f>CHOOSE(CONTROL!$C$42, 32.5883, 32.5883)* CHOOSE(CONTROL!$C$21, $C$9, 100%, $E$9)</f>
        <v>32.588299999999997</v>
      </c>
      <c r="J932" s="10">
        <f>CHOOSE(CONTROL!$C$42, 32.5484, 32.5484)* CHOOSE(CONTROL!$C$21, $C$9, 100%, $E$9)</f>
        <v>32.548400000000001</v>
      </c>
      <c r="K932" s="10">
        <f>CHOOSE(CONTROL!$C$42, 31.7286, 31.7286) * CHOOSE(CONTROL!$C$21, $C$9, 100%, $E$9)</f>
        <v>31.7286</v>
      </c>
      <c r="L932" s="10">
        <f>CHOOSE(CONTROL!$C$42, 33.4034, 33.4034) * CHOOSE(CONTROL!$C$21, $C$9, 100%, $E$9)</f>
        <v>33.403399999999998</v>
      </c>
      <c r="M932" s="10">
        <f>CHOOSE(CONTROL!$C$42, 32.1601, 32.1601) * CHOOSE(CONTROL!$C$21, $C$9, 100%, $E$9)</f>
        <v>32.1601</v>
      </c>
      <c r="N932" s="10">
        <f>CHOOSE(CONTROL!$C$42, 32.1769, 32.1769) * CHOOSE(CONTROL!$C$21, $C$9, 100%, $E$9)</f>
        <v>32.176900000000003</v>
      </c>
      <c r="O932" s="10">
        <f>CHOOSE(CONTROL!$C$42, 32.4246, 32.4246) * CHOOSE(CONTROL!$C$21, $C$9, 100%, $E$9)</f>
        <v>32.424599999999998</v>
      </c>
      <c r="P932" s="10">
        <f>CHOOSE(CONTROL!$C$42, 32.1996, 32.1996) * CHOOSE(CONTROL!$C$21, $C$9, 100%, $E$9)</f>
        <v>32.199599999999997</v>
      </c>
      <c r="Q932" s="10">
        <f>CHOOSE(CONTROL!$C$42, 33.0199, 33.0199) * CHOOSE(CONTROL!$C$21, $C$9, 100%, $E$9)</f>
        <v>33.0199</v>
      </c>
      <c r="R932" s="10">
        <f>CHOOSE(CONTROL!$C$42, 33.6894, 33.6894) * CHOOSE(CONTROL!$C$21, $C$9, 100%, $E$9)</f>
        <v>33.689399999999999</v>
      </c>
      <c r="S932" s="10">
        <f>CHOOSE(CONTROL!$C$42, 31.5944, 31.5944) * CHOOSE(CONTROL!$C$21, $C$9, 100%, $E$9)</f>
        <v>31.5944</v>
      </c>
      <c r="T93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38">
        <f>(1000*CHOOSE(CONTROL!$C$42, 695, 695)*CHOOSE(CONTROL!$C$42, 0.5599, 0.5599)*CHOOSE(CONTROL!$C$42, 31, 31))/1000000</f>
        <v>12.063045499999998</v>
      </c>
      <c r="V932" s="38">
        <f>(1000*CHOOSE(CONTROL!$C$42, 500, 500)*CHOOSE(CONTROL!$C$42, 0.275, 0.275)*CHOOSE(CONTROL!$C$42, 31, 31))/1000000</f>
        <v>4.2625000000000002</v>
      </c>
      <c r="W932" s="38">
        <f>(1000*CHOOSE(CONTROL!$C$42, 0.1146, 0.1146)*CHOOSE(CONTROL!$C$42, 121.5, 121.5)*CHOOSE(CONTROL!$C$42, 31, 31))/1000000</f>
        <v>0.43164089999999994</v>
      </c>
      <c r="X932" s="38">
        <f>(31*0.1790888*245000/1000000)+(31*0.2374*100000/1000000)</f>
        <v>2.0961194359999999</v>
      </c>
      <c r="Y932" s="38">
        <f>(1000*600*CHOOSE(CONTROL!$C$42, 1.0585, 1.0585)*CHOOSE(CONTROL!$C$42, 31, 31))/1000000</f>
        <v>19.688099999999999</v>
      </c>
      <c r="Z932" s="38"/>
      <c r="AA932" s="10"/>
      <c r="AB932" s="39"/>
      <c r="AC932" s="33">
        <f>(B932*194.205+C932*267.466+D932*133.845+E932*53.484+F932*40+G932*185+H932*0+I932*100+J932*300)/(194.205+267.466+133.845+53.484+0+40+185+100+300)</f>
        <v>32.618484826295131</v>
      </c>
      <c r="AD932" s="27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32.286631654676256</v>
      </c>
    </row>
    <row r="933" spans="1:30" ht="15.75" x14ac:dyDescent="0.25">
      <c r="A933" s="13">
        <v>69671</v>
      </c>
      <c r="B933" s="10">
        <f>CHOOSE(CONTROL!$C$42, 30.5422, 30.5422) * CHOOSE(CONTROL!$C$21, $C$9, 100%, $E$9)</f>
        <v>30.542200000000001</v>
      </c>
      <c r="C933" s="10">
        <f>CHOOSE(CONTROL!$C$42, 30.5502, 30.5502) * CHOOSE(CONTROL!$C$21, $C$9, 100%, $E$9)</f>
        <v>30.5502</v>
      </c>
      <c r="D933" s="10">
        <f>CHOOSE(CONTROL!$C$42, 30.7254, 30.7254) * CHOOSE(CONTROL!$C$21, $C$9, 100%, $E$9)</f>
        <v>30.7254</v>
      </c>
      <c r="E933" s="10">
        <f>CHOOSE(CONTROL!$C$42, 30.7566, 30.7566) * CHOOSE(CONTROL!$C$21, $C$9, 100%, $E$9)</f>
        <v>30.756599999999999</v>
      </c>
      <c r="F933" s="10">
        <f>CHOOSE(CONTROL!$C$42, 30.484, 30.484)*CHOOSE(CONTROL!$C$21, $C$9, 100%, $E$9)</f>
        <v>30.484000000000002</v>
      </c>
      <c r="G933" s="10">
        <f>CHOOSE(CONTROL!$C$42, 30.501, 30.501)*CHOOSE(CONTROL!$C$21, $C$9, 100%, $E$9)</f>
        <v>30.501000000000001</v>
      </c>
      <c r="H933" s="10">
        <f>CHOOSE(CONTROL!$C$42, 30.7449, 30.7449) * CHOOSE(CONTROL!$C$21, $C$9, 100%, $E$9)</f>
        <v>30.744900000000001</v>
      </c>
      <c r="I933" s="10">
        <f>CHOOSE(CONTROL!$C$42, 30.5169, 30.5169)* CHOOSE(CONTROL!$C$21, $C$9, 100%, $E$9)</f>
        <v>30.5169</v>
      </c>
      <c r="J933" s="10">
        <f>CHOOSE(CONTROL!$C$42, 30.4766, 30.4766)* CHOOSE(CONTROL!$C$21, $C$9, 100%, $E$9)</f>
        <v>30.476600000000001</v>
      </c>
      <c r="K933" s="10">
        <f>CHOOSE(CONTROL!$C$42, 29.7211, 29.7211) * CHOOSE(CONTROL!$C$21, $C$9, 100%, $E$9)</f>
        <v>29.7211</v>
      </c>
      <c r="L933" s="10">
        <f>CHOOSE(CONTROL!$C$42, 31.3319, 31.3319) * CHOOSE(CONTROL!$C$21, $C$9, 100%, $E$9)</f>
        <v>31.331900000000001</v>
      </c>
      <c r="M933" s="10">
        <f>CHOOSE(CONTROL!$C$42, 30.1151, 30.1151) * CHOOSE(CONTROL!$C$21, $C$9, 100%, $E$9)</f>
        <v>30.115100000000002</v>
      </c>
      <c r="N933" s="10">
        <f>CHOOSE(CONTROL!$C$42, 30.1318, 30.1318) * CHOOSE(CONTROL!$C$21, $C$9, 100%, $E$9)</f>
        <v>30.131799999999998</v>
      </c>
      <c r="O933" s="10">
        <f>CHOOSE(CONTROL!$C$42, 30.3799, 30.3799) * CHOOSE(CONTROL!$C$21, $C$9, 100%, $E$9)</f>
        <v>30.379899999999999</v>
      </c>
      <c r="P933" s="10">
        <f>CHOOSE(CONTROL!$C$42, 30.1549, 30.1549) * CHOOSE(CONTROL!$C$21, $C$9, 100%, $E$9)</f>
        <v>30.154900000000001</v>
      </c>
      <c r="Q933" s="10">
        <f>CHOOSE(CONTROL!$C$42, 30.9752, 30.9752) * CHOOSE(CONTROL!$C$21, $C$9, 100%, $E$9)</f>
        <v>30.975200000000001</v>
      </c>
      <c r="R933" s="10">
        <f>CHOOSE(CONTROL!$C$42, 31.6397, 31.6397) * CHOOSE(CONTROL!$C$21, $C$9, 100%, $E$9)</f>
        <v>31.639700000000001</v>
      </c>
      <c r="S933" s="10">
        <f>CHOOSE(CONTROL!$C$42, 29.5886, 29.5886) * CHOOSE(CONTROL!$C$21, $C$9, 100%, $E$9)</f>
        <v>29.5886</v>
      </c>
      <c r="T93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38">
        <f>(1000*CHOOSE(CONTROL!$C$42, 695, 695)*CHOOSE(CONTROL!$C$42, 0.5599, 0.5599)*CHOOSE(CONTROL!$C$42, 30, 30))/1000000</f>
        <v>11.673914999999997</v>
      </c>
      <c r="V933" s="38">
        <f>(1000*CHOOSE(CONTROL!$C$42, 500, 500)*CHOOSE(CONTROL!$C$42, 0.275, 0.275)*CHOOSE(CONTROL!$C$42, 30, 30))/1000000</f>
        <v>4.125</v>
      </c>
      <c r="W933" s="38">
        <f>(1000*CHOOSE(CONTROL!$C$42, 0.1146, 0.1146)*CHOOSE(CONTROL!$C$42, 121.5, 121.5)*CHOOSE(CONTROL!$C$42, 30, 30))/1000000</f>
        <v>0.417717</v>
      </c>
      <c r="X933" s="38">
        <f>(30*0.1790888*245000/1000000)+(30*0.2374*100000/1000000)</f>
        <v>2.0285026799999999</v>
      </c>
      <c r="Y933" s="38">
        <f>(1000*600*CHOOSE(CONTROL!$C$42, 1.0585, 1.0585)*CHOOSE(CONTROL!$C$42, 30, 30))/1000000</f>
        <v>19.053000000000001</v>
      </c>
      <c r="Z933" s="38"/>
      <c r="AA933" s="10"/>
      <c r="AB933" s="39"/>
      <c r="AC933" s="33">
        <f>(B933*194.205+C933*267.466+D933*133.845+E933*53.484+F933*40+G933*185+H933*0+I933*100+J933*300)/(194.205+267.466+133.845+53.484+0+40+185+100+300)</f>
        <v>30.546883753218214</v>
      </c>
      <c r="AD933" s="27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30.241805035971225</v>
      </c>
    </row>
    <row r="934" spans="1:30" ht="15.75" x14ac:dyDescent="0.25">
      <c r="A934" s="13">
        <v>69702</v>
      </c>
      <c r="B934" s="10">
        <f>CHOOSE(CONTROL!$C$42, 29.9197, 29.9197) * CHOOSE(CONTROL!$C$21, $C$9, 100%, $E$9)</f>
        <v>29.919699999999999</v>
      </c>
      <c r="C934" s="10">
        <f>CHOOSE(CONTROL!$C$42, 29.9251, 29.9251) * CHOOSE(CONTROL!$C$21, $C$9, 100%, $E$9)</f>
        <v>29.9251</v>
      </c>
      <c r="D934" s="10">
        <f>CHOOSE(CONTROL!$C$42, 30.105, 30.105) * CHOOSE(CONTROL!$C$21, $C$9, 100%, $E$9)</f>
        <v>30.105</v>
      </c>
      <c r="E934" s="10">
        <f>CHOOSE(CONTROL!$C$42, 30.134, 30.134) * CHOOSE(CONTROL!$C$21, $C$9, 100%, $E$9)</f>
        <v>30.134</v>
      </c>
      <c r="F934" s="10">
        <f>CHOOSE(CONTROL!$C$42, 29.8635, 29.8635)*CHOOSE(CONTROL!$C$21, $C$9, 100%, $E$9)</f>
        <v>29.863499999999998</v>
      </c>
      <c r="G934" s="10">
        <f>CHOOSE(CONTROL!$C$42, 29.8801, 29.8801)*CHOOSE(CONTROL!$C$21, $C$9, 100%, $E$9)</f>
        <v>29.880099999999999</v>
      </c>
      <c r="H934" s="10">
        <f>CHOOSE(CONTROL!$C$42, 30.1241, 30.1241) * CHOOSE(CONTROL!$C$21, $C$9, 100%, $E$9)</f>
        <v>30.124099999999999</v>
      </c>
      <c r="I934" s="10">
        <f>CHOOSE(CONTROL!$C$42, 29.8961, 29.8961)* CHOOSE(CONTROL!$C$21, $C$9, 100%, $E$9)</f>
        <v>29.896100000000001</v>
      </c>
      <c r="J934" s="10">
        <f>CHOOSE(CONTROL!$C$42, 29.8561, 29.8561)* CHOOSE(CONTROL!$C$21, $C$9, 100%, $E$9)</f>
        <v>29.856100000000001</v>
      </c>
      <c r="K934" s="10">
        <f>CHOOSE(CONTROL!$C$42, 29.1203, 29.1203) * CHOOSE(CONTROL!$C$21, $C$9, 100%, $E$9)</f>
        <v>29.1203</v>
      </c>
      <c r="L934" s="10">
        <f>CHOOSE(CONTROL!$C$42, 30.7111, 30.7111) * CHOOSE(CONTROL!$C$21, $C$9, 100%, $E$9)</f>
        <v>30.711099999999998</v>
      </c>
      <c r="M934" s="10">
        <f>CHOOSE(CONTROL!$C$42, 29.5026, 29.5026) * CHOOSE(CONTROL!$C$21, $C$9, 100%, $E$9)</f>
        <v>29.502600000000001</v>
      </c>
      <c r="N934" s="10">
        <f>CHOOSE(CONTROL!$C$42, 29.519, 29.519) * CHOOSE(CONTROL!$C$21, $C$9, 100%, $E$9)</f>
        <v>29.518999999999998</v>
      </c>
      <c r="O934" s="10">
        <f>CHOOSE(CONTROL!$C$42, 29.7672, 29.7672) * CHOOSE(CONTROL!$C$21, $C$9, 100%, $E$9)</f>
        <v>29.767199999999999</v>
      </c>
      <c r="P934" s="10">
        <f>CHOOSE(CONTROL!$C$42, 29.5422, 29.5422) * CHOOSE(CONTROL!$C$21, $C$9, 100%, $E$9)</f>
        <v>29.542200000000001</v>
      </c>
      <c r="Q934" s="10">
        <f>CHOOSE(CONTROL!$C$42, 30.3625, 30.3625) * CHOOSE(CONTROL!$C$21, $C$9, 100%, $E$9)</f>
        <v>30.362500000000001</v>
      </c>
      <c r="R934" s="10">
        <f>CHOOSE(CONTROL!$C$42, 31.0254, 31.0254) * CHOOSE(CONTROL!$C$21, $C$9, 100%, $E$9)</f>
        <v>31.025400000000001</v>
      </c>
      <c r="S934" s="10">
        <f>CHOOSE(CONTROL!$C$42, 28.9875, 28.9875) * CHOOSE(CONTROL!$C$21, $C$9, 100%, $E$9)</f>
        <v>28.987500000000001</v>
      </c>
      <c r="T93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38">
        <f>(1000*CHOOSE(CONTROL!$C$42, 695, 695)*CHOOSE(CONTROL!$C$42, 0.5599, 0.5599)*CHOOSE(CONTROL!$C$42, 31, 31))/1000000</f>
        <v>12.063045499999998</v>
      </c>
      <c r="V934" s="38">
        <f>(1000*CHOOSE(CONTROL!$C$42, 500, 500)*CHOOSE(CONTROL!$C$42, 0.275, 0.275)*CHOOSE(CONTROL!$C$42, 31, 31))/1000000</f>
        <v>4.2625000000000002</v>
      </c>
      <c r="W934" s="38">
        <f>(1000*CHOOSE(CONTROL!$C$42, 0.1146, 0.1146)*CHOOSE(CONTROL!$C$42, 121.5, 121.5)*CHOOSE(CONTROL!$C$42, 31, 31))/1000000</f>
        <v>0.43164089999999994</v>
      </c>
      <c r="X934" s="38">
        <f>(31*0.1790888*245000/1000000)+(31*0.2374*100000/1000000)</f>
        <v>2.0961194359999999</v>
      </c>
      <c r="Y934" s="38">
        <f>(1000*600*CHOOSE(CONTROL!$C$42, 1.0585, 1.0585)*CHOOSE(CONTROL!$C$42, 31, 31))/1000000</f>
        <v>19.688099999999999</v>
      </c>
      <c r="Z934" s="38"/>
      <c r="AA934" s="10"/>
      <c r="AB934" s="39"/>
      <c r="AC934" s="33">
        <f>(B934*131.881+C934*277.167+D934*79.08+E934*125.872+F934*40+G934*185+H934*0+I934*100+J934*300)/(131.881+277.167+79.08+125.872+0+40+185+100+300)</f>
        <v>29.929474491848268</v>
      </c>
      <c r="AD934" s="27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29.629168345323741</v>
      </c>
    </row>
    <row r="935" spans="1:30" ht="15.75" x14ac:dyDescent="0.25">
      <c r="A935" s="13">
        <v>69732</v>
      </c>
      <c r="B935" s="10">
        <f>CHOOSE(CONTROL!$C$42, 30.708, 30.708) * CHOOSE(CONTROL!$C$21, $C$9, 100%, $E$9)</f>
        <v>30.707999999999998</v>
      </c>
      <c r="C935" s="10">
        <f>CHOOSE(CONTROL!$C$42, 30.7131, 30.7131) * CHOOSE(CONTROL!$C$21, $C$9, 100%, $E$9)</f>
        <v>30.713100000000001</v>
      </c>
      <c r="D935" s="10">
        <f>CHOOSE(CONTROL!$C$42, 30.7377, 30.7377) * CHOOSE(CONTROL!$C$21, $C$9, 100%, $E$9)</f>
        <v>30.7377</v>
      </c>
      <c r="E935" s="10">
        <f>CHOOSE(CONTROL!$C$42, 30.7715, 30.7715) * CHOOSE(CONTROL!$C$21, $C$9, 100%, $E$9)</f>
        <v>30.7715</v>
      </c>
      <c r="F935" s="10">
        <f>CHOOSE(CONTROL!$C$42, 30.6736, 30.6736)*CHOOSE(CONTROL!$C$21, $C$9, 100%, $E$9)</f>
        <v>30.6736</v>
      </c>
      <c r="G935" s="10">
        <f>CHOOSE(CONTROL!$C$42, 30.6904, 30.6904)*CHOOSE(CONTROL!$C$21, $C$9, 100%, $E$9)</f>
        <v>30.6904</v>
      </c>
      <c r="H935" s="10">
        <f>CHOOSE(CONTROL!$C$42, 30.7604, 30.7604) * CHOOSE(CONTROL!$C$21, $C$9, 100%, $E$9)</f>
        <v>30.760400000000001</v>
      </c>
      <c r="I935" s="10">
        <f>CHOOSE(CONTROL!$C$42, 30.7075, 30.7075)* CHOOSE(CONTROL!$C$21, $C$9, 100%, $E$9)</f>
        <v>30.7075</v>
      </c>
      <c r="J935" s="10">
        <f>CHOOSE(CONTROL!$C$42, 30.6662, 30.6662)* CHOOSE(CONTROL!$C$21, $C$9, 100%, $E$9)</f>
        <v>30.6662</v>
      </c>
      <c r="K935" s="10">
        <f>CHOOSE(CONTROL!$C$42, 29.9081, 29.9081) * CHOOSE(CONTROL!$C$21, $C$9, 100%, $E$9)</f>
        <v>29.908100000000001</v>
      </c>
      <c r="L935" s="10">
        <f>CHOOSE(CONTROL!$C$42, 31.3474, 31.3474) * CHOOSE(CONTROL!$C$21, $C$9, 100%, $E$9)</f>
        <v>31.3474</v>
      </c>
      <c r="M935" s="10">
        <f>CHOOSE(CONTROL!$C$42, 30.3022, 30.3022) * CHOOSE(CONTROL!$C$21, $C$9, 100%, $E$9)</f>
        <v>30.302199999999999</v>
      </c>
      <c r="N935" s="10">
        <f>CHOOSE(CONTROL!$C$42, 30.3188, 30.3188) * CHOOSE(CONTROL!$C$21, $C$9, 100%, $E$9)</f>
        <v>30.3188</v>
      </c>
      <c r="O935" s="10">
        <f>CHOOSE(CONTROL!$C$42, 30.3953, 30.3953) * CHOOSE(CONTROL!$C$21, $C$9, 100%, $E$9)</f>
        <v>30.395299999999999</v>
      </c>
      <c r="P935" s="10">
        <f>CHOOSE(CONTROL!$C$42, 30.343, 30.343) * CHOOSE(CONTROL!$C$21, $C$9, 100%, $E$9)</f>
        <v>30.343</v>
      </c>
      <c r="Q935" s="10">
        <f>CHOOSE(CONTROL!$C$42, 30.9906, 30.9906) * CHOOSE(CONTROL!$C$21, $C$9, 100%, $E$9)</f>
        <v>30.990600000000001</v>
      </c>
      <c r="R935" s="10">
        <f>CHOOSE(CONTROL!$C$42, 31.655, 31.655) * CHOOSE(CONTROL!$C$21, $C$9, 100%, $E$9)</f>
        <v>31.655000000000001</v>
      </c>
      <c r="S935" s="10">
        <f>CHOOSE(CONTROL!$C$42, 29.7512, 29.7512) * CHOOSE(CONTROL!$C$21, $C$9, 100%, $E$9)</f>
        <v>29.751200000000001</v>
      </c>
      <c r="T93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38">
        <f>(1000*CHOOSE(CONTROL!$C$42, 695, 695)*CHOOSE(CONTROL!$C$42, 0.5599, 0.5599)*CHOOSE(CONTROL!$C$42, 30, 30))/1000000</f>
        <v>11.673914999999997</v>
      </c>
      <c r="V935" s="38">
        <f>(1000*CHOOSE(CONTROL!$C$42, 500, 500)*CHOOSE(CONTROL!$C$42, 0.275, 0.275)*CHOOSE(CONTROL!$C$42, 30, 30))/1000000</f>
        <v>4.125</v>
      </c>
      <c r="W935" s="38">
        <f>(1000*CHOOSE(CONTROL!$C$42, 0.1146, 0.1146)*CHOOSE(CONTROL!$C$42, 121.5, 121.5)*CHOOSE(CONTROL!$C$42, 30, 30))/1000000</f>
        <v>0.417717</v>
      </c>
      <c r="X935" s="38">
        <f>(30*0.1790888*100000/1000000)+(30*0.2374*100000/1000000)</f>
        <v>1.2494664</v>
      </c>
      <c r="Y935" s="38">
        <f>(1000*600*CHOOSE(CONTROL!$C$42, 1.0585, 1.0585)*CHOOSE(CONTROL!$C$42, 30, 30))/1000000</f>
        <v>19.053000000000001</v>
      </c>
      <c r="Z935" s="38"/>
      <c r="AA935" s="10"/>
      <c r="AB935" s="39"/>
      <c r="AC935" s="33">
        <f>(B935*122.58+C935*297.941+D935*89.177+E935*40.302+F935*40+G935*160+H935*0+I935*100+J935*300)/(122.58+297.941+89.177+40.302+0+40+160+100+300)</f>
        <v>30.69925672434783</v>
      </c>
      <c r="AD935" s="27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30.351222302158273</v>
      </c>
    </row>
    <row r="936" spans="1:30" ht="15.75" x14ac:dyDescent="0.25">
      <c r="A936" s="13">
        <v>69763</v>
      </c>
      <c r="B936" s="10">
        <f>CHOOSE(CONTROL!$C$42, 32.8027, 32.8027) * CHOOSE(CONTROL!$C$21, $C$9, 100%, $E$9)</f>
        <v>32.802700000000002</v>
      </c>
      <c r="C936" s="10">
        <f>CHOOSE(CONTROL!$C$42, 32.8078, 32.8078) * CHOOSE(CONTROL!$C$21, $C$9, 100%, $E$9)</f>
        <v>32.8078</v>
      </c>
      <c r="D936" s="10">
        <f>CHOOSE(CONTROL!$C$42, 32.8325, 32.8325) * CHOOSE(CONTROL!$C$21, $C$9, 100%, $E$9)</f>
        <v>32.832500000000003</v>
      </c>
      <c r="E936" s="10">
        <f>CHOOSE(CONTROL!$C$42, 32.8663, 32.8663) * CHOOSE(CONTROL!$C$21, $C$9, 100%, $E$9)</f>
        <v>32.866300000000003</v>
      </c>
      <c r="F936" s="10">
        <f>CHOOSE(CONTROL!$C$42, 32.7701, 32.7701)*CHOOSE(CONTROL!$C$21, $C$9, 100%, $E$9)</f>
        <v>32.770099999999999</v>
      </c>
      <c r="G936" s="10">
        <f>CHOOSE(CONTROL!$C$42, 32.7874, 32.7874)*CHOOSE(CONTROL!$C$21, $C$9, 100%, $E$9)</f>
        <v>32.787399999999998</v>
      </c>
      <c r="H936" s="10">
        <f>CHOOSE(CONTROL!$C$42, 32.8552, 32.8552) * CHOOSE(CONTROL!$C$21, $C$9, 100%, $E$9)</f>
        <v>32.855200000000004</v>
      </c>
      <c r="I936" s="10">
        <f>CHOOSE(CONTROL!$C$42, 32.8022, 32.8022)* CHOOSE(CONTROL!$C$21, $C$9, 100%, $E$9)</f>
        <v>32.802199999999999</v>
      </c>
      <c r="J936" s="10">
        <f>CHOOSE(CONTROL!$C$42, 32.7627, 32.7627)* CHOOSE(CONTROL!$C$21, $C$9, 100%, $E$9)</f>
        <v>32.762700000000002</v>
      </c>
      <c r="K936" s="10">
        <f>CHOOSE(CONTROL!$C$42, 31.9413, 31.9413) * CHOOSE(CONTROL!$C$21, $C$9, 100%, $E$9)</f>
        <v>31.941299999999998</v>
      </c>
      <c r="L936" s="10">
        <f>CHOOSE(CONTROL!$C$42, 33.4422, 33.4422) * CHOOSE(CONTROL!$C$21, $C$9, 100%, $E$9)</f>
        <v>33.4422</v>
      </c>
      <c r="M936" s="10">
        <f>CHOOSE(CONTROL!$C$42, 32.3717, 32.3717) * CHOOSE(CONTROL!$C$21, $C$9, 100%, $E$9)</f>
        <v>32.371699999999997</v>
      </c>
      <c r="N936" s="10">
        <f>CHOOSE(CONTROL!$C$42, 32.3887, 32.3887) * CHOOSE(CONTROL!$C$21, $C$9, 100%, $E$9)</f>
        <v>32.3887</v>
      </c>
      <c r="O936" s="10">
        <f>CHOOSE(CONTROL!$C$42, 32.4629, 32.4629) * CHOOSE(CONTROL!$C$21, $C$9, 100%, $E$9)</f>
        <v>32.462899999999998</v>
      </c>
      <c r="P936" s="10">
        <f>CHOOSE(CONTROL!$C$42, 32.4107, 32.4107) * CHOOSE(CONTROL!$C$21, $C$9, 100%, $E$9)</f>
        <v>32.410699999999999</v>
      </c>
      <c r="Q936" s="10">
        <f>CHOOSE(CONTROL!$C$42, 33.0582, 33.0582) * CHOOSE(CONTROL!$C$21, $C$9, 100%, $E$9)</f>
        <v>33.058199999999999</v>
      </c>
      <c r="R936" s="10">
        <f>CHOOSE(CONTROL!$C$42, 33.7279, 33.7279) * CHOOSE(CONTROL!$C$21, $C$9, 100%, $E$9)</f>
        <v>33.727899999999998</v>
      </c>
      <c r="S936" s="10">
        <f>CHOOSE(CONTROL!$C$42, 31.7795, 31.7795) * CHOOSE(CONTROL!$C$21, $C$9, 100%, $E$9)</f>
        <v>31.779499999999999</v>
      </c>
      <c r="T93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38">
        <f>(1000*CHOOSE(CONTROL!$C$42, 695, 695)*CHOOSE(CONTROL!$C$42, 0.5599, 0.5599)*CHOOSE(CONTROL!$C$42, 31, 31))/1000000</f>
        <v>12.063045499999998</v>
      </c>
      <c r="V936" s="38">
        <f>(1000*CHOOSE(CONTROL!$C$42, 500, 500)*CHOOSE(CONTROL!$C$42, 0.275, 0.275)*CHOOSE(CONTROL!$C$42, 31, 31))/1000000</f>
        <v>4.2625000000000002</v>
      </c>
      <c r="W936" s="38">
        <f>(1000*CHOOSE(CONTROL!$C$42, 0.1146, 0.1146)*CHOOSE(CONTROL!$C$42, 121.5, 121.5)*CHOOSE(CONTROL!$C$42, 31, 31))/1000000</f>
        <v>0.43164089999999994</v>
      </c>
      <c r="X936" s="38">
        <f>(31*0.1790888*100000/1000000)+(31*0.2374*100000/1000000)</f>
        <v>1.2911152800000001</v>
      </c>
      <c r="Y936" s="38">
        <f>(1000*600*CHOOSE(CONTROL!$C$42, 1.0585, 1.0585)*CHOOSE(CONTROL!$C$42, 31, 31))/1000000</f>
        <v>19.688099999999999</v>
      </c>
      <c r="Z936" s="38"/>
      <c r="AA936" s="10"/>
      <c r="AB936" s="39"/>
      <c r="AC936" s="33">
        <f>(B936*122.58+C936*297.941+D936*89.177+E936*40.302+F936*40+G936*160+H936*0+I936*100+J936*300)/(122.58+297.941+89.177+40.302+0+40+160+100+300)</f>
        <v>32.794820157304351</v>
      </c>
      <c r="AD936" s="27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32.419625179856112</v>
      </c>
    </row>
    <row r="937" spans="1:30" ht="15.75" x14ac:dyDescent="0.25">
      <c r="A937" s="13">
        <v>69794</v>
      </c>
      <c r="B937" s="10">
        <f>CHOOSE(CONTROL!$C$42, 35.0178, 35.0178) * CHOOSE(CONTROL!$C$21, $C$9, 100%, $E$9)</f>
        <v>35.017800000000001</v>
      </c>
      <c r="C937" s="10">
        <f>CHOOSE(CONTROL!$C$42, 35.0229, 35.0229) * CHOOSE(CONTROL!$C$21, $C$9, 100%, $E$9)</f>
        <v>35.0229</v>
      </c>
      <c r="D937" s="10">
        <f>CHOOSE(CONTROL!$C$42, 35.0579, 35.0579) * CHOOSE(CONTROL!$C$21, $C$9, 100%, $E$9)</f>
        <v>35.057899999999997</v>
      </c>
      <c r="E937" s="10">
        <f>CHOOSE(CONTROL!$C$42, 35.0918, 35.0918) * CHOOSE(CONTROL!$C$21, $C$9, 100%, $E$9)</f>
        <v>35.091799999999999</v>
      </c>
      <c r="F937" s="10">
        <f>CHOOSE(CONTROL!$C$42, 34.9991, 34.9991)*CHOOSE(CONTROL!$C$21, $C$9, 100%, $E$9)</f>
        <v>34.999099999999999</v>
      </c>
      <c r="G937" s="10">
        <f>CHOOSE(CONTROL!$C$42, 35.018, 35.018)*CHOOSE(CONTROL!$C$21, $C$9, 100%, $E$9)</f>
        <v>35.018000000000001</v>
      </c>
      <c r="H937" s="10">
        <f>CHOOSE(CONTROL!$C$42, 35.0806, 35.0806) * CHOOSE(CONTROL!$C$21, $C$9, 100%, $E$9)</f>
        <v>35.080599999999997</v>
      </c>
      <c r="I937" s="10">
        <f>CHOOSE(CONTROL!$C$42, 35.0251, 35.0251)* CHOOSE(CONTROL!$C$21, $C$9, 100%, $E$9)</f>
        <v>35.025100000000002</v>
      </c>
      <c r="J937" s="10">
        <f>CHOOSE(CONTROL!$C$42, 34.9917, 34.9917)* CHOOSE(CONTROL!$C$21, $C$9, 100%, $E$9)</f>
        <v>34.991700000000002</v>
      </c>
      <c r="K937" s="10">
        <f>CHOOSE(CONTROL!$C$42, 34.1081, 34.1081) * CHOOSE(CONTROL!$C$21, $C$9, 100%, $E$9)</f>
        <v>34.1081</v>
      </c>
      <c r="L937" s="10">
        <f>CHOOSE(CONTROL!$C$42, 35.6676, 35.6676) * CHOOSE(CONTROL!$C$21, $C$9, 100%, $E$9)</f>
        <v>35.6676</v>
      </c>
      <c r="M937" s="10">
        <f>CHOOSE(CONTROL!$C$42, 34.5718, 34.5718) * CHOOSE(CONTROL!$C$21, $C$9, 100%, $E$9)</f>
        <v>34.571800000000003</v>
      </c>
      <c r="N937" s="10">
        <f>CHOOSE(CONTROL!$C$42, 34.5904, 34.5904) * CHOOSE(CONTROL!$C$21, $C$9, 100%, $E$9)</f>
        <v>34.590400000000002</v>
      </c>
      <c r="O937" s="10">
        <f>CHOOSE(CONTROL!$C$42, 34.6595, 34.6595) * CHOOSE(CONTROL!$C$21, $C$9, 100%, $E$9)</f>
        <v>34.659500000000001</v>
      </c>
      <c r="P937" s="10">
        <f>CHOOSE(CONTROL!$C$42, 34.6047, 34.6047) * CHOOSE(CONTROL!$C$21, $C$9, 100%, $E$9)</f>
        <v>34.604700000000001</v>
      </c>
      <c r="Q937" s="10">
        <f>CHOOSE(CONTROL!$C$42, 35.2548, 35.2548) * CHOOSE(CONTROL!$C$21, $C$9, 100%, $E$9)</f>
        <v>35.254800000000003</v>
      </c>
      <c r="R937" s="10">
        <f>CHOOSE(CONTROL!$C$42, 35.93, 35.93) * CHOOSE(CONTROL!$C$21, $C$9, 100%, $E$9)</f>
        <v>35.93</v>
      </c>
      <c r="S937" s="10">
        <f>CHOOSE(CONTROL!$C$42, 33.9244, 33.9244) * CHOOSE(CONTROL!$C$21, $C$9, 100%, $E$9)</f>
        <v>33.924399999999999</v>
      </c>
      <c r="T93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38">
        <f>(1000*CHOOSE(CONTROL!$C$42, 695, 695)*CHOOSE(CONTROL!$C$42, 0.5599, 0.5599)*CHOOSE(CONTROL!$C$42, 31, 31))/1000000</f>
        <v>12.063045499999998</v>
      </c>
      <c r="V937" s="38">
        <f>(1000*CHOOSE(CONTROL!$C$42, 500, 500)*CHOOSE(CONTROL!$C$42, 0.275, 0.275)*CHOOSE(CONTROL!$C$42, 31, 31))/1000000</f>
        <v>4.2625000000000002</v>
      </c>
      <c r="W937" s="38">
        <f>(1000*CHOOSE(CONTROL!$C$42, 0.1146, 0.1146)*CHOOSE(CONTROL!$C$42, 121.5, 121.5)*CHOOSE(CONTROL!$C$42, 31, 31))/1000000</f>
        <v>0.43164089999999994</v>
      </c>
      <c r="X937" s="38">
        <f>(31*0.1790888*100000/1000000)+(31*0.2374*100000/1000000)</f>
        <v>1.2911152800000001</v>
      </c>
      <c r="Y937" s="38">
        <f>(1000*600*CHOOSE(CONTROL!$C$42, 1.0585, 1.0585)*CHOOSE(CONTROL!$C$42, 31, 31))/1000000</f>
        <v>19.688099999999999</v>
      </c>
      <c r="Z937" s="38"/>
      <c r="AA937" s="10"/>
      <c r="AB937" s="39"/>
      <c r="AC937" s="33">
        <f>(B937*122.58+C937*297.941+D937*89.177+E937*40.302+F937*40+G937*160+H937*0+I937*100+J937*300)/(122.58+297.941+89.177+40.302+0+40+160+100+300)</f>
        <v>35.018027691130435</v>
      </c>
      <c r="AD937" s="27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34.617353237410072</v>
      </c>
    </row>
    <row r="938" spans="1:30" ht="15.75" x14ac:dyDescent="0.25">
      <c r="A938" s="13">
        <v>69822</v>
      </c>
      <c r="B938" s="10">
        <f>CHOOSE(CONTROL!$C$42, 35.6415, 35.6415) * CHOOSE(CONTROL!$C$21, $C$9, 100%, $E$9)</f>
        <v>35.641500000000001</v>
      </c>
      <c r="C938" s="10">
        <f>CHOOSE(CONTROL!$C$42, 35.6466, 35.6466) * CHOOSE(CONTROL!$C$21, $C$9, 100%, $E$9)</f>
        <v>35.646599999999999</v>
      </c>
      <c r="D938" s="10">
        <f>CHOOSE(CONTROL!$C$42, 35.6816, 35.6816) * CHOOSE(CONTROL!$C$21, $C$9, 100%, $E$9)</f>
        <v>35.681600000000003</v>
      </c>
      <c r="E938" s="10">
        <f>CHOOSE(CONTROL!$C$42, 35.7154, 35.7154) * CHOOSE(CONTROL!$C$21, $C$9, 100%, $E$9)</f>
        <v>35.715400000000002</v>
      </c>
      <c r="F938" s="10">
        <f>CHOOSE(CONTROL!$C$42, 35.6222, 35.6222)*CHOOSE(CONTROL!$C$21, $C$9, 100%, $E$9)</f>
        <v>35.622199999999999</v>
      </c>
      <c r="G938" s="10">
        <f>CHOOSE(CONTROL!$C$42, 35.641, 35.641)*CHOOSE(CONTROL!$C$21, $C$9, 100%, $E$9)</f>
        <v>35.640999999999998</v>
      </c>
      <c r="H938" s="10">
        <f>CHOOSE(CONTROL!$C$42, 35.7043, 35.7043) * CHOOSE(CONTROL!$C$21, $C$9, 100%, $E$9)</f>
        <v>35.704300000000003</v>
      </c>
      <c r="I938" s="10">
        <f>CHOOSE(CONTROL!$C$42, 35.6487, 35.6487)* CHOOSE(CONTROL!$C$21, $C$9, 100%, $E$9)</f>
        <v>35.648699999999998</v>
      </c>
      <c r="J938" s="10">
        <f>CHOOSE(CONTROL!$C$42, 35.6148, 35.6148)* CHOOSE(CONTROL!$C$21, $C$9, 100%, $E$9)</f>
        <v>35.614800000000002</v>
      </c>
      <c r="K938" s="10">
        <f>CHOOSE(CONTROL!$C$42, 34.7111, 34.7111) * CHOOSE(CONTROL!$C$21, $C$9, 100%, $E$9)</f>
        <v>34.711100000000002</v>
      </c>
      <c r="L938" s="10">
        <f>CHOOSE(CONTROL!$C$42, 36.2913, 36.2913) * CHOOSE(CONTROL!$C$21, $C$9, 100%, $E$9)</f>
        <v>36.2913</v>
      </c>
      <c r="M938" s="10">
        <f>CHOOSE(CONTROL!$C$42, 35.1868, 35.1868) * CHOOSE(CONTROL!$C$21, $C$9, 100%, $E$9)</f>
        <v>35.186799999999998</v>
      </c>
      <c r="N938" s="10">
        <f>CHOOSE(CONTROL!$C$42, 35.2053, 35.2053) * CHOOSE(CONTROL!$C$21, $C$9, 100%, $E$9)</f>
        <v>35.205300000000001</v>
      </c>
      <c r="O938" s="10">
        <f>CHOOSE(CONTROL!$C$42, 35.2751, 35.2751) * CHOOSE(CONTROL!$C$21, $C$9, 100%, $E$9)</f>
        <v>35.275100000000002</v>
      </c>
      <c r="P938" s="10">
        <f>CHOOSE(CONTROL!$C$42, 35.2203, 35.2203) * CHOOSE(CONTROL!$C$21, $C$9, 100%, $E$9)</f>
        <v>35.220300000000002</v>
      </c>
      <c r="Q938" s="10">
        <f>CHOOSE(CONTROL!$C$42, 35.8704, 35.8704) * CHOOSE(CONTROL!$C$21, $C$9, 100%, $E$9)</f>
        <v>35.870399999999997</v>
      </c>
      <c r="R938" s="10">
        <f>CHOOSE(CONTROL!$C$42, 36.5471, 36.5471) * CHOOSE(CONTROL!$C$21, $C$9, 100%, $E$9)</f>
        <v>36.5471</v>
      </c>
      <c r="S938" s="10">
        <f>CHOOSE(CONTROL!$C$42, 34.5283, 34.5283) * CHOOSE(CONTROL!$C$21, $C$9, 100%, $E$9)</f>
        <v>34.528300000000002</v>
      </c>
      <c r="T938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38">
        <f>(1000*CHOOSE(CONTROL!$C$42, 695, 695)*CHOOSE(CONTROL!$C$42, 0.5599, 0.5599)*CHOOSE(CONTROL!$C$42, 28, 28))/1000000</f>
        <v>10.895653999999999</v>
      </c>
      <c r="V938" s="38">
        <f>(1000*CHOOSE(CONTROL!$C$42, 500, 500)*CHOOSE(CONTROL!$C$42, 0.275, 0.275)*CHOOSE(CONTROL!$C$42, 28, 28))/1000000</f>
        <v>3.85</v>
      </c>
      <c r="W938" s="38">
        <f>(1000*CHOOSE(CONTROL!$C$42, 0.1146, 0.1146)*CHOOSE(CONTROL!$C$42, 121.5, 121.5)*CHOOSE(CONTROL!$C$42, 28, 28))/1000000</f>
        <v>0.38986920000000003</v>
      </c>
      <c r="X938" s="38">
        <f>(28*0.1790888*100000/1000000)+(28*0.2374*100000/1000000)</f>
        <v>1.16616864</v>
      </c>
      <c r="Y938" s="38">
        <f>(1000*600*CHOOSE(CONTROL!$C$42, 1.0585, 1.0585)*CHOOSE(CONTROL!$C$42, 28, 28))/1000000</f>
        <v>17.782800000000002</v>
      </c>
      <c r="Z938" s="38"/>
      <c r="AA938" s="10"/>
      <c r="AB938" s="39"/>
      <c r="AC938" s="33">
        <f>(B938*122.58+C938*297.941+D938*89.177+E938*40.302+F938*40+G938*160+H938*0+I938*100+J938*300)/(122.58+297.941+89.177+40.302+0+40+160+100+300)</f>
        <v>35.641440708347822</v>
      </c>
      <c r="AD938" s="27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35.232705755395678</v>
      </c>
    </row>
    <row r="939" spans="1:30" ht="15.75" x14ac:dyDescent="0.25">
      <c r="A939" s="13">
        <v>69853</v>
      </c>
      <c r="B939" s="10">
        <f>CHOOSE(CONTROL!$C$42, 34.6291, 34.6291) * CHOOSE(CONTROL!$C$21, $C$9, 100%, $E$9)</f>
        <v>34.629100000000001</v>
      </c>
      <c r="C939" s="10">
        <f>CHOOSE(CONTROL!$C$42, 34.6342, 34.6342) * CHOOSE(CONTROL!$C$21, $C$9, 100%, $E$9)</f>
        <v>34.6342</v>
      </c>
      <c r="D939" s="10">
        <f>CHOOSE(CONTROL!$C$42, 34.6693, 34.6693) * CHOOSE(CONTROL!$C$21, $C$9, 100%, $E$9)</f>
        <v>34.6693</v>
      </c>
      <c r="E939" s="10">
        <f>CHOOSE(CONTROL!$C$42, 34.7031, 34.7031) * CHOOSE(CONTROL!$C$21, $C$9, 100%, $E$9)</f>
        <v>34.703099999999999</v>
      </c>
      <c r="F939" s="10">
        <f>CHOOSE(CONTROL!$C$42, 34.6085, 34.6085)*CHOOSE(CONTROL!$C$21, $C$9, 100%, $E$9)</f>
        <v>34.608499999999999</v>
      </c>
      <c r="G939" s="10">
        <f>CHOOSE(CONTROL!$C$42, 34.6269, 34.6269)*CHOOSE(CONTROL!$C$21, $C$9, 100%, $E$9)</f>
        <v>34.626899999999999</v>
      </c>
      <c r="H939" s="10">
        <f>CHOOSE(CONTROL!$C$42, 34.6919, 34.6919) * CHOOSE(CONTROL!$C$21, $C$9, 100%, $E$9)</f>
        <v>34.691899999999997</v>
      </c>
      <c r="I939" s="10">
        <f>CHOOSE(CONTROL!$C$42, 34.6364, 34.6364)* CHOOSE(CONTROL!$C$21, $C$9, 100%, $E$9)</f>
        <v>34.636400000000002</v>
      </c>
      <c r="J939" s="10">
        <f>CHOOSE(CONTROL!$C$42, 34.6011, 34.6011)* CHOOSE(CONTROL!$C$21, $C$9, 100%, $E$9)</f>
        <v>34.601100000000002</v>
      </c>
      <c r="K939" s="10">
        <f>CHOOSE(CONTROL!$C$42, 33.7274, 33.7274) * CHOOSE(CONTROL!$C$21, $C$9, 100%, $E$9)</f>
        <v>33.727400000000003</v>
      </c>
      <c r="L939" s="10">
        <f>CHOOSE(CONTROL!$C$42, 35.2789, 35.2789) * CHOOSE(CONTROL!$C$21, $C$9, 100%, $E$9)</f>
        <v>35.2789</v>
      </c>
      <c r="M939" s="10">
        <f>CHOOSE(CONTROL!$C$42, 34.1862, 34.1862) * CHOOSE(CONTROL!$C$21, $C$9, 100%, $E$9)</f>
        <v>34.186199999999999</v>
      </c>
      <c r="N939" s="10">
        <f>CHOOSE(CONTROL!$C$42, 34.2044, 34.2044) * CHOOSE(CONTROL!$C$21, $C$9, 100%, $E$9)</f>
        <v>34.2044</v>
      </c>
      <c r="O939" s="10">
        <f>CHOOSE(CONTROL!$C$42, 34.2759, 34.2759) * CHOOSE(CONTROL!$C$21, $C$9, 100%, $E$9)</f>
        <v>34.2759</v>
      </c>
      <c r="P939" s="10">
        <f>CHOOSE(CONTROL!$C$42, 34.2211, 34.2211) * CHOOSE(CONTROL!$C$21, $C$9, 100%, $E$9)</f>
        <v>34.2211</v>
      </c>
      <c r="Q939" s="10">
        <f>CHOOSE(CONTROL!$C$42, 34.8712, 34.8712) * CHOOSE(CONTROL!$C$21, $C$9, 100%, $E$9)</f>
        <v>34.871200000000002</v>
      </c>
      <c r="R939" s="10">
        <f>CHOOSE(CONTROL!$C$42, 35.5453, 35.5453) * CHOOSE(CONTROL!$C$21, $C$9, 100%, $E$9)</f>
        <v>35.545299999999997</v>
      </c>
      <c r="S939" s="10">
        <f>CHOOSE(CONTROL!$C$42, 33.5481, 33.5481) * CHOOSE(CONTROL!$C$21, $C$9, 100%, $E$9)</f>
        <v>33.548099999999998</v>
      </c>
      <c r="T93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38">
        <f>(1000*CHOOSE(CONTROL!$C$42, 695, 695)*CHOOSE(CONTROL!$C$42, 0.5599, 0.5599)*CHOOSE(CONTROL!$C$42, 31, 31))/1000000</f>
        <v>12.063045499999998</v>
      </c>
      <c r="V939" s="38">
        <f>(1000*CHOOSE(CONTROL!$C$42, 500, 500)*CHOOSE(CONTROL!$C$42, 0.275, 0.275)*CHOOSE(CONTROL!$C$42, 31, 31))/1000000</f>
        <v>4.2625000000000002</v>
      </c>
      <c r="W939" s="38">
        <f>(1000*CHOOSE(CONTROL!$C$42, 0.1146, 0.1146)*CHOOSE(CONTROL!$C$42, 121.5, 121.5)*CHOOSE(CONTROL!$C$42, 31, 31))/1000000</f>
        <v>0.43164089999999994</v>
      </c>
      <c r="X939" s="38">
        <f>(31*0.1790888*100000/1000000)+(31*0.2374*100000/1000000)</f>
        <v>1.2911152800000001</v>
      </c>
      <c r="Y939" s="38">
        <f>(1000*600*CHOOSE(CONTROL!$C$42, 1.0585, 1.0585)*CHOOSE(CONTROL!$C$42, 31, 31))/1000000</f>
        <v>19.688099999999999</v>
      </c>
      <c r="Z939" s="38"/>
      <c r="AA939" s="10"/>
      <c r="AB939" s="39"/>
      <c r="AC939" s="33">
        <f>(B939*122.58+C939*297.941+D939*89.177+E939*40.302+F939*40+G939*160+H939*0+I939*100+J939*300)/(122.58+297.941+89.177+40.302+0+40+160+100+300)</f>
        <v>34.628439793478265</v>
      </c>
      <c r="AD939" s="27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34.232924460431654</v>
      </c>
    </row>
    <row r="940" spans="1:30" ht="15.75" x14ac:dyDescent="0.25">
      <c r="A940" s="13">
        <v>69883</v>
      </c>
      <c r="B940" s="10">
        <f>CHOOSE(CONTROL!$C$42, 34.5262, 34.5262) * CHOOSE(CONTROL!$C$21, $C$9, 100%, $E$9)</f>
        <v>34.526200000000003</v>
      </c>
      <c r="C940" s="10">
        <f>CHOOSE(CONTROL!$C$42, 34.5307, 34.5307) * CHOOSE(CONTROL!$C$21, $C$9, 100%, $E$9)</f>
        <v>34.530700000000003</v>
      </c>
      <c r="D940" s="10">
        <f>CHOOSE(CONTROL!$C$42, 34.7089, 34.7089) * CHOOSE(CONTROL!$C$21, $C$9, 100%, $E$9)</f>
        <v>34.7089</v>
      </c>
      <c r="E940" s="10">
        <f>CHOOSE(CONTROL!$C$42, 34.7407, 34.7407) * CHOOSE(CONTROL!$C$21, $C$9, 100%, $E$9)</f>
        <v>34.740699999999997</v>
      </c>
      <c r="F940" s="10">
        <f>CHOOSE(CONTROL!$C$42, 34.4696, 34.4696)*CHOOSE(CONTROL!$C$21, $C$9, 100%, $E$9)</f>
        <v>34.4696</v>
      </c>
      <c r="G940" s="10">
        <f>CHOOSE(CONTROL!$C$42, 34.4862, 34.4862)*CHOOSE(CONTROL!$C$21, $C$9, 100%, $E$9)</f>
        <v>34.486199999999997</v>
      </c>
      <c r="H940" s="10">
        <f>CHOOSE(CONTROL!$C$42, 34.7302, 34.7302) * CHOOSE(CONTROL!$C$21, $C$9, 100%, $E$9)</f>
        <v>34.730200000000004</v>
      </c>
      <c r="I940" s="10">
        <f>CHOOSE(CONTROL!$C$42, 34.5022, 34.5022)* CHOOSE(CONTROL!$C$21, $C$9, 100%, $E$9)</f>
        <v>34.502200000000002</v>
      </c>
      <c r="J940" s="10">
        <f>CHOOSE(CONTROL!$C$42, 34.4622, 34.4622)* CHOOSE(CONTROL!$C$21, $C$9, 100%, $E$9)</f>
        <v>34.462200000000003</v>
      </c>
      <c r="K940" s="10">
        <f>CHOOSE(CONTROL!$C$42, 33.5827, 33.5827) * CHOOSE(CONTROL!$C$21, $C$9, 100%, $E$9)</f>
        <v>33.582700000000003</v>
      </c>
      <c r="L940" s="10">
        <f>CHOOSE(CONTROL!$C$42, 35.3172, 35.3172) * CHOOSE(CONTROL!$C$21, $C$9, 100%, $E$9)</f>
        <v>35.3172</v>
      </c>
      <c r="M940" s="10">
        <f>CHOOSE(CONTROL!$C$42, 34.0491, 34.0491) * CHOOSE(CONTROL!$C$21, $C$9, 100%, $E$9)</f>
        <v>34.049100000000003</v>
      </c>
      <c r="N940" s="10">
        <f>CHOOSE(CONTROL!$C$42, 34.0655, 34.0655) * CHOOSE(CONTROL!$C$21, $C$9, 100%, $E$9)</f>
        <v>34.0655</v>
      </c>
      <c r="O940" s="10">
        <f>CHOOSE(CONTROL!$C$42, 34.3136, 34.3136) * CHOOSE(CONTROL!$C$21, $C$9, 100%, $E$9)</f>
        <v>34.313600000000001</v>
      </c>
      <c r="P940" s="10">
        <f>CHOOSE(CONTROL!$C$42, 34.0886, 34.0886) * CHOOSE(CONTROL!$C$21, $C$9, 100%, $E$9)</f>
        <v>34.0886</v>
      </c>
      <c r="Q940" s="10">
        <f>CHOOSE(CONTROL!$C$42, 34.9089, 34.9089) * CHOOSE(CONTROL!$C$21, $C$9, 100%, $E$9)</f>
        <v>34.908900000000003</v>
      </c>
      <c r="R940" s="10">
        <f>CHOOSE(CONTROL!$C$42, 35.5832, 35.5832) * CHOOSE(CONTROL!$C$21, $C$9, 100%, $E$9)</f>
        <v>35.583199999999998</v>
      </c>
      <c r="S940" s="10">
        <f>CHOOSE(CONTROL!$C$42, 33.4476, 33.4476) * CHOOSE(CONTROL!$C$21, $C$9, 100%, $E$9)</f>
        <v>33.447600000000001</v>
      </c>
      <c r="T94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38">
        <f>(1000*CHOOSE(CONTROL!$C$42, 695, 695)*CHOOSE(CONTROL!$C$42, 0.5599, 0.5599)*CHOOSE(CONTROL!$C$42, 30, 30))/1000000</f>
        <v>11.673914999999997</v>
      </c>
      <c r="V940" s="38">
        <f>(1000*CHOOSE(CONTROL!$C$42, 500, 500)*CHOOSE(CONTROL!$C$42, 0.275, 0.275)*CHOOSE(CONTROL!$C$42, 30, 30))/1000000</f>
        <v>4.125</v>
      </c>
      <c r="W940" s="38">
        <f>(1000*CHOOSE(CONTROL!$C$42, 0.1146, 0.1146)*CHOOSE(CONTROL!$C$42, 121.5, 121.5)*CHOOSE(CONTROL!$C$42, 30, 30))/1000000</f>
        <v>0.417717</v>
      </c>
      <c r="X940" s="38">
        <f>(30*0.1790888*245000/1000000)+(30*0.2374*100000/1000000)</f>
        <v>2.0285026799999999</v>
      </c>
      <c r="Y940" s="38">
        <f>(1000*600*CHOOSE(CONTROL!$C$42, 1.0585, 1.0585)*CHOOSE(CONTROL!$C$42, 30, 30))/1000000</f>
        <v>19.053000000000001</v>
      </c>
      <c r="Z940" s="38"/>
      <c r="AA940" s="10"/>
      <c r="AB940" s="39"/>
      <c r="AC940" s="33">
        <f>(B940*141.293+C940*267.993+D940*115.016+E940*89.698+F940*40+G940*185+H940*0+I940*100+J940*300)/(141.293+267.993+115.016+89.698+0+40+185+100+300)</f>
        <v>34.534428904519771</v>
      </c>
      <c r="AD940" s="27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34.175608633093532</v>
      </c>
    </row>
    <row r="941" spans="1:30" ht="15.75" x14ac:dyDescent="0.25">
      <c r="A941" s="13">
        <v>69914</v>
      </c>
      <c r="B941" s="10">
        <f>CHOOSE(CONTROL!$C$42, 34.8328, 34.8328) * CHOOSE(CONTROL!$C$21, $C$9, 100%, $E$9)</f>
        <v>34.832799999999999</v>
      </c>
      <c r="C941" s="10">
        <f>CHOOSE(CONTROL!$C$42, 34.8408, 34.8408) * CHOOSE(CONTROL!$C$21, $C$9, 100%, $E$9)</f>
        <v>34.840800000000002</v>
      </c>
      <c r="D941" s="10">
        <f>CHOOSE(CONTROL!$C$42, 35.0159, 35.0159) * CHOOSE(CONTROL!$C$21, $C$9, 100%, $E$9)</f>
        <v>35.015900000000002</v>
      </c>
      <c r="E941" s="10">
        <f>CHOOSE(CONTROL!$C$42, 35.0471, 35.0471) * CHOOSE(CONTROL!$C$21, $C$9, 100%, $E$9)</f>
        <v>35.0471</v>
      </c>
      <c r="F941" s="10">
        <f>CHOOSE(CONTROL!$C$42, 34.7745, 34.7745)*CHOOSE(CONTROL!$C$21, $C$9, 100%, $E$9)</f>
        <v>34.774500000000003</v>
      </c>
      <c r="G941" s="10">
        <f>CHOOSE(CONTROL!$C$42, 34.7914, 34.7914)*CHOOSE(CONTROL!$C$21, $C$9, 100%, $E$9)</f>
        <v>34.791400000000003</v>
      </c>
      <c r="H941" s="10">
        <f>CHOOSE(CONTROL!$C$42, 35.0355, 35.0355) * CHOOSE(CONTROL!$C$21, $C$9, 100%, $E$9)</f>
        <v>35.035499999999999</v>
      </c>
      <c r="I941" s="10">
        <f>CHOOSE(CONTROL!$C$42, 34.8074, 34.8074)* CHOOSE(CONTROL!$C$21, $C$9, 100%, $E$9)</f>
        <v>34.807400000000001</v>
      </c>
      <c r="J941" s="10">
        <f>CHOOSE(CONTROL!$C$42, 34.7671, 34.7671)* CHOOSE(CONTROL!$C$21, $C$9, 100%, $E$9)</f>
        <v>34.767099999999999</v>
      </c>
      <c r="K941" s="10">
        <f>CHOOSE(CONTROL!$C$42, 33.8775, 33.8775) * CHOOSE(CONTROL!$C$21, $C$9, 100%, $E$9)</f>
        <v>33.877499999999998</v>
      </c>
      <c r="L941" s="10">
        <f>CHOOSE(CONTROL!$C$42, 35.6225, 35.6225) * CHOOSE(CONTROL!$C$21, $C$9, 100%, $E$9)</f>
        <v>35.622500000000002</v>
      </c>
      <c r="M941" s="10">
        <f>CHOOSE(CONTROL!$C$42, 34.35, 34.35) * CHOOSE(CONTROL!$C$21, $C$9, 100%, $E$9)</f>
        <v>34.35</v>
      </c>
      <c r="N941" s="10">
        <f>CHOOSE(CONTROL!$C$42, 34.3667, 34.3667) * CHOOSE(CONTROL!$C$21, $C$9, 100%, $E$9)</f>
        <v>34.366700000000002</v>
      </c>
      <c r="O941" s="10">
        <f>CHOOSE(CONTROL!$C$42, 34.615, 34.615) * CHOOSE(CONTROL!$C$21, $C$9, 100%, $E$9)</f>
        <v>34.615000000000002</v>
      </c>
      <c r="P941" s="10">
        <f>CHOOSE(CONTROL!$C$42, 34.3899, 34.3899) * CHOOSE(CONTROL!$C$21, $C$9, 100%, $E$9)</f>
        <v>34.389899999999997</v>
      </c>
      <c r="Q941" s="10">
        <f>CHOOSE(CONTROL!$C$42, 35.2103, 35.2103) * CHOOSE(CONTROL!$C$21, $C$9, 100%, $E$9)</f>
        <v>35.210299999999997</v>
      </c>
      <c r="R941" s="10">
        <f>CHOOSE(CONTROL!$C$42, 35.8853, 35.8853) * CHOOSE(CONTROL!$C$21, $C$9, 100%, $E$9)</f>
        <v>35.885300000000001</v>
      </c>
      <c r="S941" s="10">
        <f>CHOOSE(CONTROL!$C$42, 33.7432, 33.7432) * CHOOSE(CONTROL!$C$21, $C$9, 100%, $E$9)</f>
        <v>33.743200000000002</v>
      </c>
      <c r="T94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38">
        <f>(1000*CHOOSE(CONTROL!$C$42, 695, 695)*CHOOSE(CONTROL!$C$42, 0.5599, 0.5599)*CHOOSE(CONTROL!$C$42, 31, 31))/1000000</f>
        <v>12.063045499999998</v>
      </c>
      <c r="V941" s="38">
        <f>(1000*CHOOSE(CONTROL!$C$42, 500, 500)*CHOOSE(CONTROL!$C$42, 0.275, 0.275)*CHOOSE(CONTROL!$C$42, 31, 31))/1000000</f>
        <v>4.2625000000000002</v>
      </c>
      <c r="W941" s="38">
        <f>(1000*CHOOSE(CONTROL!$C$42, 0.1146, 0.1146)*CHOOSE(CONTROL!$C$42, 121.5, 121.5)*CHOOSE(CONTROL!$C$42, 31, 31))/1000000</f>
        <v>0.43164089999999994</v>
      </c>
      <c r="X941" s="38">
        <f>(31*0.1790888*245000/1000000)+(31*0.2374*100000/1000000)</f>
        <v>2.0961194359999999</v>
      </c>
      <c r="Y941" s="38">
        <f>(1000*600*CHOOSE(CONTROL!$C$42, 1.0585, 1.0585)*CHOOSE(CONTROL!$C$42, 31, 31))/1000000</f>
        <v>19.688099999999999</v>
      </c>
      <c r="Z941" s="38"/>
      <c r="AA941" s="10"/>
      <c r="AB941" s="39"/>
      <c r="AC941" s="33">
        <f>(B941*194.205+C941*267.466+D941*133.845+E941*53.484+F941*40+G941*185+H941*0+I941*100+J941*300)/(194.205+267.466+133.845+53.484+0+40+185+100+300)</f>
        <v>34.83740546993721</v>
      </c>
      <c r="AD941" s="27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34.476810071942445</v>
      </c>
    </row>
    <row r="942" spans="1:30" ht="15.75" x14ac:dyDescent="0.25">
      <c r="A942" s="13">
        <v>69944</v>
      </c>
      <c r="B942" s="10">
        <f>CHOOSE(CONTROL!$C$42, 35.8213, 35.8213) * CHOOSE(CONTROL!$C$21, $C$9, 100%, $E$9)</f>
        <v>35.821300000000001</v>
      </c>
      <c r="C942" s="10">
        <f>CHOOSE(CONTROL!$C$42, 35.8293, 35.8293) * CHOOSE(CONTROL!$C$21, $C$9, 100%, $E$9)</f>
        <v>35.829300000000003</v>
      </c>
      <c r="D942" s="10">
        <f>CHOOSE(CONTROL!$C$42, 36.0044, 36.0044) * CHOOSE(CONTROL!$C$21, $C$9, 100%, $E$9)</f>
        <v>36.004399999999997</v>
      </c>
      <c r="E942" s="10">
        <f>CHOOSE(CONTROL!$C$42, 36.0356, 36.0356) * CHOOSE(CONTROL!$C$21, $C$9, 100%, $E$9)</f>
        <v>36.035600000000002</v>
      </c>
      <c r="F942" s="10">
        <f>CHOOSE(CONTROL!$C$42, 35.7632, 35.7632)*CHOOSE(CONTROL!$C$21, $C$9, 100%, $E$9)</f>
        <v>35.763199999999998</v>
      </c>
      <c r="G942" s="10">
        <f>CHOOSE(CONTROL!$C$42, 35.7801, 35.7801)*CHOOSE(CONTROL!$C$21, $C$9, 100%, $E$9)</f>
        <v>35.780099999999997</v>
      </c>
      <c r="H942" s="10">
        <f>CHOOSE(CONTROL!$C$42, 36.0239, 36.0239) * CHOOSE(CONTROL!$C$21, $C$9, 100%, $E$9)</f>
        <v>36.023899999999998</v>
      </c>
      <c r="I942" s="10">
        <f>CHOOSE(CONTROL!$C$42, 35.7959, 35.7959)* CHOOSE(CONTROL!$C$21, $C$9, 100%, $E$9)</f>
        <v>35.795900000000003</v>
      </c>
      <c r="J942" s="10">
        <f>CHOOSE(CONTROL!$C$42, 35.7558, 35.7558)* CHOOSE(CONTROL!$C$21, $C$9, 100%, $E$9)</f>
        <v>35.755800000000001</v>
      </c>
      <c r="K942" s="10">
        <f>CHOOSE(CONTROL!$C$42, 34.8355, 34.8355) * CHOOSE(CONTROL!$C$21, $C$9, 100%, $E$9)</f>
        <v>34.835500000000003</v>
      </c>
      <c r="L942" s="10">
        <f>CHOOSE(CONTROL!$C$42, 36.6109, 36.6109) * CHOOSE(CONTROL!$C$21, $C$9, 100%, $E$9)</f>
        <v>36.610900000000001</v>
      </c>
      <c r="M942" s="10">
        <f>CHOOSE(CONTROL!$C$42, 35.3259, 35.3259) * CHOOSE(CONTROL!$C$21, $C$9, 100%, $E$9)</f>
        <v>35.325899999999997</v>
      </c>
      <c r="N942" s="10">
        <f>CHOOSE(CONTROL!$C$42, 35.3426, 35.3426) * CHOOSE(CONTROL!$C$21, $C$9, 100%, $E$9)</f>
        <v>35.342599999999997</v>
      </c>
      <c r="O942" s="10">
        <f>CHOOSE(CONTROL!$C$42, 35.5906, 35.5906) * CHOOSE(CONTROL!$C$21, $C$9, 100%, $E$9)</f>
        <v>35.590600000000002</v>
      </c>
      <c r="P942" s="10">
        <f>CHOOSE(CONTROL!$C$42, 35.3656, 35.3656) * CHOOSE(CONTROL!$C$21, $C$9, 100%, $E$9)</f>
        <v>35.365600000000001</v>
      </c>
      <c r="Q942" s="10">
        <f>CHOOSE(CONTROL!$C$42, 36.1859, 36.1859) * CHOOSE(CONTROL!$C$21, $C$9, 100%, $E$9)</f>
        <v>36.185899999999997</v>
      </c>
      <c r="R942" s="10">
        <f>CHOOSE(CONTROL!$C$42, 36.8634, 36.8634) * CHOOSE(CONTROL!$C$21, $C$9, 100%, $E$9)</f>
        <v>36.863399999999999</v>
      </c>
      <c r="S942" s="10">
        <f>CHOOSE(CONTROL!$C$42, 34.7003, 34.7003) * CHOOSE(CONTROL!$C$21, $C$9, 100%, $E$9)</f>
        <v>34.700299999999999</v>
      </c>
      <c r="T94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38">
        <f>(1000*CHOOSE(CONTROL!$C$42, 695, 695)*CHOOSE(CONTROL!$C$42, 0.5599, 0.5599)*CHOOSE(CONTROL!$C$42, 30, 30))/1000000</f>
        <v>11.673914999999997</v>
      </c>
      <c r="V942" s="38">
        <f>(1000*CHOOSE(CONTROL!$C$42, 500, 500)*CHOOSE(CONTROL!$C$42, 0.275, 0.275)*CHOOSE(CONTROL!$C$42, 30, 30))/1000000</f>
        <v>4.125</v>
      </c>
      <c r="W942" s="38">
        <f>(1000*CHOOSE(CONTROL!$C$42, 0.1146, 0.1146)*CHOOSE(CONTROL!$C$42, 121.5, 121.5)*CHOOSE(CONTROL!$C$42, 30, 30))/1000000</f>
        <v>0.417717</v>
      </c>
      <c r="X942" s="38">
        <f>(30*0.1790888*245000/1000000)+(30*0.2374*100000/1000000)</f>
        <v>2.0285026799999999</v>
      </c>
      <c r="Y942" s="38">
        <f>(1000*600*CHOOSE(CONTROL!$C$42, 1.0585, 1.0585)*CHOOSE(CONTROL!$C$42, 30, 30))/1000000</f>
        <v>19.053000000000001</v>
      </c>
      <c r="Z942" s="38"/>
      <c r="AA942" s="10"/>
      <c r="AB942" s="39"/>
      <c r="AC942" s="33">
        <f>(B942*194.205+C942*267.466+D942*133.845+E942*53.484+F942*40+G942*185+H942*0+I942*100+J942*300)/(194.205+267.466+133.845+53.484+0+40+185+100+300)</f>
        <v>35.825987887519616</v>
      </c>
      <c r="AD942" s="27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35.452545323741006</v>
      </c>
    </row>
    <row r="943" spans="1:30" ht="15.75" x14ac:dyDescent="0.25">
      <c r="A943" s="13">
        <v>69975</v>
      </c>
      <c r="B943" s="10">
        <f>CHOOSE(CONTROL!$C$42, 35.1338, 35.1338) * CHOOSE(CONTROL!$C$21, $C$9, 100%, $E$9)</f>
        <v>35.133800000000001</v>
      </c>
      <c r="C943" s="10">
        <f>CHOOSE(CONTROL!$C$42, 35.1418, 35.1418) * CHOOSE(CONTROL!$C$21, $C$9, 100%, $E$9)</f>
        <v>35.141800000000003</v>
      </c>
      <c r="D943" s="10">
        <f>CHOOSE(CONTROL!$C$42, 35.3169, 35.3169) * CHOOSE(CONTROL!$C$21, $C$9, 100%, $E$9)</f>
        <v>35.316899999999997</v>
      </c>
      <c r="E943" s="10">
        <f>CHOOSE(CONTROL!$C$42, 35.3481, 35.3481) * CHOOSE(CONTROL!$C$21, $C$9, 100%, $E$9)</f>
        <v>35.348100000000002</v>
      </c>
      <c r="F943" s="10">
        <f>CHOOSE(CONTROL!$C$42, 35.076, 35.076)*CHOOSE(CONTROL!$C$21, $C$9, 100%, $E$9)</f>
        <v>35.076000000000001</v>
      </c>
      <c r="G943" s="10">
        <f>CHOOSE(CONTROL!$C$42, 35.093, 35.093)*CHOOSE(CONTROL!$C$21, $C$9, 100%, $E$9)</f>
        <v>35.093000000000004</v>
      </c>
      <c r="H943" s="10">
        <f>CHOOSE(CONTROL!$C$42, 35.3365, 35.3365) * CHOOSE(CONTROL!$C$21, $C$9, 100%, $E$9)</f>
        <v>35.336500000000001</v>
      </c>
      <c r="I943" s="10">
        <f>CHOOSE(CONTROL!$C$42, 35.1084, 35.1084)* CHOOSE(CONTROL!$C$21, $C$9, 100%, $E$9)</f>
        <v>35.108400000000003</v>
      </c>
      <c r="J943" s="10">
        <f>CHOOSE(CONTROL!$C$42, 35.0686, 35.0686)* CHOOSE(CONTROL!$C$21, $C$9, 100%, $E$9)</f>
        <v>35.068600000000004</v>
      </c>
      <c r="K943" s="10">
        <f>CHOOSE(CONTROL!$C$42, 34.1703, 34.1703) * CHOOSE(CONTROL!$C$21, $C$9, 100%, $E$9)</f>
        <v>34.170299999999997</v>
      </c>
      <c r="L943" s="10">
        <f>CHOOSE(CONTROL!$C$42, 35.9235, 35.9235) * CHOOSE(CONTROL!$C$21, $C$9, 100%, $E$9)</f>
        <v>35.923499999999997</v>
      </c>
      <c r="M943" s="10">
        <f>CHOOSE(CONTROL!$C$42, 34.6477, 34.6477) * CHOOSE(CONTROL!$C$21, $C$9, 100%, $E$9)</f>
        <v>34.6477</v>
      </c>
      <c r="N943" s="10">
        <f>CHOOSE(CONTROL!$C$42, 34.6645, 34.6645) * CHOOSE(CONTROL!$C$21, $C$9, 100%, $E$9)</f>
        <v>34.664499999999997</v>
      </c>
      <c r="O943" s="10">
        <f>CHOOSE(CONTROL!$C$42, 34.912, 34.912) * CHOOSE(CONTROL!$C$21, $C$9, 100%, $E$9)</f>
        <v>34.911999999999999</v>
      </c>
      <c r="P943" s="10">
        <f>CHOOSE(CONTROL!$C$42, 34.687, 34.687) * CHOOSE(CONTROL!$C$21, $C$9, 100%, $E$9)</f>
        <v>34.686999999999998</v>
      </c>
      <c r="Q943" s="10">
        <f>CHOOSE(CONTROL!$C$42, 35.5073, 35.5073) * CHOOSE(CONTROL!$C$21, $C$9, 100%, $E$9)</f>
        <v>35.507300000000001</v>
      </c>
      <c r="R943" s="10">
        <f>CHOOSE(CONTROL!$C$42, 36.1831, 36.1831) * CHOOSE(CONTROL!$C$21, $C$9, 100%, $E$9)</f>
        <v>36.183100000000003</v>
      </c>
      <c r="S943" s="10">
        <f>CHOOSE(CONTROL!$C$42, 34.0346, 34.0346) * CHOOSE(CONTROL!$C$21, $C$9, 100%, $E$9)</f>
        <v>34.034599999999998</v>
      </c>
      <c r="T94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38">
        <f>(1000*CHOOSE(CONTROL!$C$42, 695, 695)*CHOOSE(CONTROL!$C$42, 0.5599, 0.5599)*CHOOSE(CONTROL!$C$42, 31, 31))/1000000</f>
        <v>12.063045499999998</v>
      </c>
      <c r="V943" s="38">
        <f>(1000*CHOOSE(CONTROL!$C$42, 500, 500)*CHOOSE(CONTROL!$C$42, 0.275, 0.275)*CHOOSE(CONTROL!$C$42, 31, 31))/1000000</f>
        <v>4.2625000000000002</v>
      </c>
      <c r="W943" s="38">
        <f>(1000*CHOOSE(CONTROL!$C$42, 0.1146, 0.1146)*CHOOSE(CONTROL!$C$42, 121.5, 121.5)*CHOOSE(CONTROL!$C$42, 31, 31))/1000000</f>
        <v>0.43164089999999994</v>
      </c>
      <c r="X943" s="38">
        <f>(31*0.1790888*245000/1000000)+(31*0.2374*100000/1000000)</f>
        <v>2.0961194359999999</v>
      </c>
      <c r="Y943" s="38">
        <f>(1000*600*CHOOSE(CONTROL!$C$42, 1.0585, 1.0585)*CHOOSE(CONTROL!$C$42, 31, 31))/1000000</f>
        <v>19.688099999999999</v>
      </c>
      <c r="Z943" s="38"/>
      <c r="AA943" s="10"/>
      <c r="AB943" s="39"/>
      <c r="AC943" s="33">
        <f>(B943*194.205+C943*267.466+D943*133.845+E943*53.484+F943*40+G943*185+H943*0+I943*100+J943*300)/(194.205+267.466+133.845+53.484+0+40+185+100+300)</f>
        <v>35.138626035086347</v>
      </c>
      <c r="AD943" s="27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34.774112230215827</v>
      </c>
    </row>
    <row r="944" spans="1:30" ht="15.75" x14ac:dyDescent="0.25">
      <c r="A944" s="13">
        <v>70006</v>
      </c>
      <c r="B944" s="10">
        <f>CHOOSE(CONTROL!$C$42, 33.3977, 33.3977) * CHOOSE(CONTROL!$C$21, $C$9, 100%, $E$9)</f>
        <v>33.3977</v>
      </c>
      <c r="C944" s="10">
        <f>CHOOSE(CONTROL!$C$42, 33.4057, 33.4057) * CHOOSE(CONTROL!$C$21, $C$9, 100%, $E$9)</f>
        <v>33.405700000000003</v>
      </c>
      <c r="D944" s="10">
        <f>CHOOSE(CONTROL!$C$42, 33.5808, 33.5808) * CHOOSE(CONTROL!$C$21, $C$9, 100%, $E$9)</f>
        <v>33.580800000000004</v>
      </c>
      <c r="E944" s="10">
        <f>CHOOSE(CONTROL!$C$42, 33.612, 33.612) * CHOOSE(CONTROL!$C$21, $C$9, 100%, $E$9)</f>
        <v>33.612000000000002</v>
      </c>
      <c r="F944" s="10">
        <f>CHOOSE(CONTROL!$C$42, 33.3398, 33.3398)*CHOOSE(CONTROL!$C$21, $C$9, 100%, $E$9)</f>
        <v>33.339799999999997</v>
      </c>
      <c r="G944" s="10">
        <f>CHOOSE(CONTROL!$C$42, 33.3568, 33.3568)*CHOOSE(CONTROL!$C$21, $C$9, 100%, $E$9)</f>
        <v>33.3568</v>
      </c>
      <c r="H944" s="10">
        <f>CHOOSE(CONTROL!$C$42, 33.6003, 33.6003) * CHOOSE(CONTROL!$C$21, $C$9, 100%, $E$9)</f>
        <v>33.600299999999997</v>
      </c>
      <c r="I944" s="10">
        <f>CHOOSE(CONTROL!$C$42, 33.3723, 33.3723)* CHOOSE(CONTROL!$C$21, $C$9, 100%, $E$9)</f>
        <v>33.372300000000003</v>
      </c>
      <c r="J944" s="10">
        <f>CHOOSE(CONTROL!$C$42, 33.3324, 33.3324)* CHOOSE(CONTROL!$C$21, $C$9, 100%, $E$9)</f>
        <v>33.3324</v>
      </c>
      <c r="K944" s="10">
        <f>CHOOSE(CONTROL!$C$42, 32.4881, 32.4881) * CHOOSE(CONTROL!$C$21, $C$9, 100%, $E$9)</f>
        <v>32.488100000000003</v>
      </c>
      <c r="L944" s="10">
        <f>CHOOSE(CONTROL!$C$42, 34.1873, 34.1873) * CHOOSE(CONTROL!$C$21, $C$9, 100%, $E$9)</f>
        <v>34.1873</v>
      </c>
      <c r="M944" s="10">
        <f>CHOOSE(CONTROL!$C$42, 32.9339, 32.9339) * CHOOSE(CONTROL!$C$21, $C$9, 100%, $E$9)</f>
        <v>32.933900000000001</v>
      </c>
      <c r="N944" s="10">
        <f>CHOOSE(CONTROL!$C$42, 32.9507, 32.9507) * CHOOSE(CONTROL!$C$21, $C$9, 100%, $E$9)</f>
        <v>32.950699999999998</v>
      </c>
      <c r="O944" s="10">
        <f>CHOOSE(CONTROL!$C$42, 33.1984, 33.1984) * CHOOSE(CONTROL!$C$21, $C$9, 100%, $E$9)</f>
        <v>33.198399999999999</v>
      </c>
      <c r="P944" s="10">
        <f>CHOOSE(CONTROL!$C$42, 32.9734, 32.9734) * CHOOSE(CONTROL!$C$21, $C$9, 100%, $E$9)</f>
        <v>32.973399999999998</v>
      </c>
      <c r="Q944" s="10">
        <f>CHOOSE(CONTROL!$C$42, 33.7937, 33.7937) * CHOOSE(CONTROL!$C$21, $C$9, 100%, $E$9)</f>
        <v>33.793700000000001</v>
      </c>
      <c r="R944" s="10">
        <f>CHOOSE(CONTROL!$C$42, 34.4652, 34.4652) * CHOOSE(CONTROL!$C$21, $C$9, 100%, $E$9)</f>
        <v>34.465200000000003</v>
      </c>
      <c r="S944" s="10">
        <f>CHOOSE(CONTROL!$C$42, 32.3535, 32.3535) * CHOOSE(CONTROL!$C$21, $C$9, 100%, $E$9)</f>
        <v>32.353499999999997</v>
      </c>
      <c r="T94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38">
        <f>(1000*CHOOSE(CONTROL!$C$42, 695, 695)*CHOOSE(CONTROL!$C$42, 0.5599, 0.5599)*CHOOSE(CONTROL!$C$42, 31, 31))/1000000</f>
        <v>12.063045499999998</v>
      </c>
      <c r="V944" s="38">
        <f>(1000*CHOOSE(CONTROL!$C$42, 500, 500)*CHOOSE(CONTROL!$C$42, 0.275, 0.275)*CHOOSE(CONTROL!$C$42, 31, 31))/1000000</f>
        <v>4.2625000000000002</v>
      </c>
      <c r="W944" s="38">
        <f>(1000*CHOOSE(CONTROL!$C$42, 0.1146, 0.1146)*CHOOSE(CONTROL!$C$42, 121.5, 121.5)*CHOOSE(CONTROL!$C$42, 31, 31))/1000000</f>
        <v>0.43164089999999994</v>
      </c>
      <c r="X944" s="38">
        <f>(31*0.1790888*245000/1000000)+(31*0.2374*100000/1000000)</f>
        <v>2.0961194359999999</v>
      </c>
      <c r="Y944" s="38">
        <f>(1000*600*CHOOSE(CONTROL!$C$42, 1.0585, 1.0585)*CHOOSE(CONTROL!$C$42, 31, 31))/1000000</f>
        <v>19.688099999999999</v>
      </c>
      <c r="Z944" s="38"/>
      <c r="AA944" s="10"/>
      <c r="AB944" s="39"/>
      <c r="AC944" s="33">
        <f>(B944*194.205+C944*267.466+D944*133.845+E944*53.484+F944*40+G944*185+H944*0+I944*100+J944*300)/(194.205+267.466+133.845+53.484+0+40+185+100+300)</f>
        <v>33.402484826295129</v>
      </c>
      <c r="AD944" s="27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33.060431654676258</v>
      </c>
    </row>
    <row r="945" spans="1:30" ht="15.75" x14ac:dyDescent="0.25">
      <c r="A945" s="13">
        <v>70036</v>
      </c>
      <c r="B945" s="10">
        <f>CHOOSE(CONTROL!$C$42, 31.2764, 31.2764) * CHOOSE(CONTROL!$C$21, $C$9, 100%, $E$9)</f>
        <v>31.276399999999999</v>
      </c>
      <c r="C945" s="10">
        <f>CHOOSE(CONTROL!$C$42, 31.2844, 31.2844) * CHOOSE(CONTROL!$C$21, $C$9, 100%, $E$9)</f>
        <v>31.284400000000002</v>
      </c>
      <c r="D945" s="10">
        <f>CHOOSE(CONTROL!$C$42, 31.4595, 31.4595) * CHOOSE(CONTROL!$C$21, $C$9, 100%, $E$9)</f>
        <v>31.459499999999998</v>
      </c>
      <c r="E945" s="10">
        <f>CHOOSE(CONTROL!$C$42, 31.4908, 31.4908) * CHOOSE(CONTROL!$C$21, $C$9, 100%, $E$9)</f>
        <v>31.4908</v>
      </c>
      <c r="F945" s="10">
        <f>CHOOSE(CONTROL!$C$42, 31.2182, 31.2182)*CHOOSE(CONTROL!$C$21, $C$9, 100%, $E$9)</f>
        <v>31.2182</v>
      </c>
      <c r="G945" s="10">
        <f>CHOOSE(CONTROL!$C$42, 31.2351, 31.2351)*CHOOSE(CONTROL!$C$21, $C$9, 100%, $E$9)</f>
        <v>31.235099999999999</v>
      </c>
      <c r="H945" s="10">
        <f>CHOOSE(CONTROL!$C$42, 31.4791, 31.4791) * CHOOSE(CONTROL!$C$21, $C$9, 100%, $E$9)</f>
        <v>31.479099999999999</v>
      </c>
      <c r="I945" s="10">
        <f>CHOOSE(CONTROL!$C$42, 31.2511, 31.2511)* CHOOSE(CONTROL!$C$21, $C$9, 100%, $E$9)</f>
        <v>31.251100000000001</v>
      </c>
      <c r="J945" s="10">
        <f>CHOOSE(CONTROL!$C$42, 31.2108, 31.2108)* CHOOSE(CONTROL!$C$21, $C$9, 100%, $E$9)</f>
        <v>31.210799999999999</v>
      </c>
      <c r="K945" s="10">
        <f>CHOOSE(CONTROL!$C$42, 30.4324, 30.4324) * CHOOSE(CONTROL!$C$21, $C$9, 100%, $E$9)</f>
        <v>30.432400000000001</v>
      </c>
      <c r="L945" s="10">
        <f>CHOOSE(CONTROL!$C$42, 32.0661, 32.0661) * CHOOSE(CONTROL!$C$21, $C$9, 100%, $E$9)</f>
        <v>32.066099999999999</v>
      </c>
      <c r="M945" s="10">
        <f>CHOOSE(CONTROL!$C$42, 30.8398, 30.8398) * CHOOSE(CONTROL!$C$21, $C$9, 100%, $E$9)</f>
        <v>30.8398</v>
      </c>
      <c r="N945" s="10">
        <f>CHOOSE(CONTROL!$C$42, 30.8565, 30.8565) * CHOOSE(CONTROL!$C$21, $C$9, 100%, $E$9)</f>
        <v>30.8565</v>
      </c>
      <c r="O945" s="10">
        <f>CHOOSE(CONTROL!$C$42, 31.1046, 31.1046) * CHOOSE(CONTROL!$C$21, $C$9, 100%, $E$9)</f>
        <v>31.104600000000001</v>
      </c>
      <c r="P945" s="10">
        <f>CHOOSE(CONTROL!$C$42, 30.8796, 30.8796) * CHOOSE(CONTROL!$C$21, $C$9, 100%, $E$9)</f>
        <v>30.8796</v>
      </c>
      <c r="Q945" s="10">
        <f>CHOOSE(CONTROL!$C$42, 31.6999, 31.6999) * CHOOSE(CONTROL!$C$21, $C$9, 100%, $E$9)</f>
        <v>31.6999</v>
      </c>
      <c r="R945" s="10">
        <f>CHOOSE(CONTROL!$C$42, 32.3662, 32.3662) * CHOOSE(CONTROL!$C$21, $C$9, 100%, $E$9)</f>
        <v>32.366199999999999</v>
      </c>
      <c r="S945" s="10">
        <f>CHOOSE(CONTROL!$C$42, 30.2996, 30.2996) * CHOOSE(CONTROL!$C$21, $C$9, 100%, $E$9)</f>
        <v>30.299600000000002</v>
      </c>
      <c r="T94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38">
        <f>(1000*CHOOSE(CONTROL!$C$42, 695, 695)*CHOOSE(CONTROL!$C$42, 0.5599, 0.5599)*CHOOSE(CONTROL!$C$42, 30, 30))/1000000</f>
        <v>11.673914999999997</v>
      </c>
      <c r="V945" s="38">
        <f>(1000*CHOOSE(CONTROL!$C$42, 500, 500)*CHOOSE(CONTROL!$C$42, 0.275, 0.275)*CHOOSE(CONTROL!$C$42, 30, 30))/1000000</f>
        <v>4.125</v>
      </c>
      <c r="W945" s="38">
        <f>(1000*CHOOSE(CONTROL!$C$42, 0.1146, 0.1146)*CHOOSE(CONTROL!$C$42, 121.5, 121.5)*CHOOSE(CONTROL!$C$42, 30, 30))/1000000</f>
        <v>0.417717</v>
      </c>
      <c r="X945" s="38">
        <f>(30*0.1790888*245000/1000000)+(30*0.2374*100000/1000000)</f>
        <v>2.0285026799999999</v>
      </c>
      <c r="Y945" s="38">
        <f>(1000*600*CHOOSE(CONTROL!$C$42, 1.0585, 1.0585)*CHOOSE(CONTROL!$C$42, 30, 30))/1000000</f>
        <v>19.053000000000001</v>
      </c>
      <c r="Z945" s="38"/>
      <c r="AA945" s="10"/>
      <c r="AB945" s="39"/>
      <c r="AC945" s="33">
        <f>(B945*194.205+C945*267.466+D945*133.845+E945*53.484+F945*40+G945*185+H945*0+I945*100+J945*300)/(194.205+267.466+133.845+53.484+0+40+185+100+300)</f>
        <v>31.281058726138149</v>
      </c>
      <c r="AD945" s="27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30.96650503597122</v>
      </c>
    </row>
    <row r="946" spans="1:30" ht="15.75" x14ac:dyDescent="0.25">
      <c r="A946" s="13">
        <v>70067</v>
      </c>
      <c r="B946" s="10">
        <f>CHOOSE(CONTROL!$C$42, 30.639, 30.639) * CHOOSE(CONTROL!$C$21, $C$9, 100%, $E$9)</f>
        <v>30.638999999999999</v>
      </c>
      <c r="C946" s="10">
        <f>CHOOSE(CONTROL!$C$42, 30.6443, 30.6443) * CHOOSE(CONTROL!$C$21, $C$9, 100%, $E$9)</f>
        <v>30.644300000000001</v>
      </c>
      <c r="D946" s="10">
        <f>CHOOSE(CONTROL!$C$42, 30.8243, 30.8243) * CHOOSE(CONTROL!$C$21, $C$9, 100%, $E$9)</f>
        <v>30.824300000000001</v>
      </c>
      <c r="E946" s="10">
        <f>CHOOSE(CONTROL!$C$42, 30.8533, 30.8533) * CHOOSE(CONTROL!$C$21, $C$9, 100%, $E$9)</f>
        <v>30.853300000000001</v>
      </c>
      <c r="F946" s="10">
        <f>CHOOSE(CONTROL!$C$42, 30.5828, 30.5828)*CHOOSE(CONTROL!$C$21, $C$9, 100%, $E$9)</f>
        <v>30.582799999999999</v>
      </c>
      <c r="G946" s="10">
        <f>CHOOSE(CONTROL!$C$42, 30.5994, 30.5994)*CHOOSE(CONTROL!$C$21, $C$9, 100%, $E$9)</f>
        <v>30.599399999999999</v>
      </c>
      <c r="H946" s="10">
        <f>CHOOSE(CONTROL!$C$42, 30.8434, 30.8434) * CHOOSE(CONTROL!$C$21, $C$9, 100%, $E$9)</f>
        <v>30.843399999999999</v>
      </c>
      <c r="I946" s="10">
        <f>CHOOSE(CONTROL!$C$42, 30.6154, 30.6154)* CHOOSE(CONTROL!$C$21, $C$9, 100%, $E$9)</f>
        <v>30.615400000000001</v>
      </c>
      <c r="J946" s="10">
        <f>CHOOSE(CONTROL!$C$42, 30.5754, 30.5754)* CHOOSE(CONTROL!$C$21, $C$9, 100%, $E$9)</f>
        <v>30.575399999999998</v>
      </c>
      <c r="K946" s="10">
        <f>CHOOSE(CONTROL!$C$42, 29.8171, 29.8171) * CHOOSE(CONTROL!$C$21, $C$9, 100%, $E$9)</f>
        <v>29.8171</v>
      </c>
      <c r="L946" s="10">
        <f>CHOOSE(CONTROL!$C$42, 31.4304, 31.4304) * CHOOSE(CONTROL!$C$21, $C$9, 100%, $E$9)</f>
        <v>31.430399999999999</v>
      </c>
      <c r="M946" s="10">
        <f>CHOOSE(CONTROL!$C$42, 30.2126, 30.2126) * CHOOSE(CONTROL!$C$21, $C$9, 100%, $E$9)</f>
        <v>30.212599999999998</v>
      </c>
      <c r="N946" s="10">
        <f>CHOOSE(CONTROL!$C$42, 30.229, 30.229) * CHOOSE(CONTROL!$C$21, $C$9, 100%, $E$9)</f>
        <v>30.228999999999999</v>
      </c>
      <c r="O946" s="10">
        <f>CHOOSE(CONTROL!$C$42, 30.4771, 30.4771) * CHOOSE(CONTROL!$C$21, $C$9, 100%, $E$9)</f>
        <v>30.4771</v>
      </c>
      <c r="P946" s="10">
        <f>CHOOSE(CONTROL!$C$42, 30.2521, 30.2521) * CHOOSE(CONTROL!$C$21, $C$9, 100%, $E$9)</f>
        <v>30.252099999999999</v>
      </c>
      <c r="Q946" s="10">
        <f>CHOOSE(CONTROL!$C$42, 31.0724, 31.0724) * CHOOSE(CONTROL!$C$21, $C$9, 100%, $E$9)</f>
        <v>31.072399999999998</v>
      </c>
      <c r="R946" s="10">
        <f>CHOOSE(CONTROL!$C$42, 31.7371, 31.7371) * CHOOSE(CONTROL!$C$21, $C$9, 100%, $E$9)</f>
        <v>31.737100000000002</v>
      </c>
      <c r="S946" s="10">
        <f>CHOOSE(CONTROL!$C$42, 29.684, 29.684) * CHOOSE(CONTROL!$C$21, $C$9, 100%, $E$9)</f>
        <v>29.684000000000001</v>
      </c>
      <c r="T94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38">
        <f>(1000*CHOOSE(CONTROL!$C$42, 695, 695)*CHOOSE(CONTROL!$C$42, 0.5599, 0.5599)*CHOOSE(CONTROL!$C$42, 31, 31))/1000000</f>
        <v>12.063045499999998</v>
      </c>
      <c r="V946" s="38">
        <f>(1000*CHOOSE(CONTROL!$C$42, 500, 500)*CHOOSE(CONTROL!$C$42, 0.275, 0.275)*CHOOSE(CONTROL!$C$42, 31, 31))/1000000</f>
        <v>4.2625000000000002</v>
      </c>
      <c r="W946" s="38">
        <f>(1000*CHOOSE(CONTROL!$C$42, 0.1146, 0.1146)*CHOOSE(CONTROL!$C$42, 121.5, 121.5)*CHOOSE(CONTROL!$C$42, 31, 31))/1000000</f>
        <v>0.43164089999999994</v>
      </c>
      <c r="X946" s="38">
        <f>(31*0.1790888*245000/1000000)+(31*0.2374*100000/1000000)</f>
        <v>2.0961194359999999</v>
      </c>
      <c r="Y946" s="38">
        <f>(1000*600*CHOOSE(CONTROL!$C$42, 1.0585, 1.0585)*CHOOSE(CONTROL!$C$42, 31, 31))/1000000</f>
        <v>19.688099999999999</v>
      </c>
      <c r="Z946" s="38"/>
      <c r="AA946" s="10"/>
      <c r="AB946" s="39"/>
      <c r="AC946" s="33">
        <f>(B946*131.881+C946*277.167+D946*79.08+E946*125.872+F946*40+G946*185+H946*0+I946*100+J946*300)/(131.881+277.167+79.08+125.872+0+40+185+100+300)</f>
        <v>30.648752121630345</v>
      </c>
      <c r="AD946" s="27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30.339108633093524</v>
      </c>
    </row>
    <row r="947" spans="1:30" ht="15.75" x14ac:dyDescent="0.25">
      <c r="A947" s="13">
        <v>70097</v>
      </c>
      <c r="B947" s="10">
        <f>CHOOSE(CONTROL!$C$42, 31.4462, 31.4462) * CHOOSE(CONTROL!$C$21, $C$9, 100%, $E$9)</f>
        <v>31.446200000000001</v>
      </c>
      <c r="C947" s="10">
        <f>CHOOSE(CONTROL!$C$42, 31.4513, 31.4513) * CHOOSE(CONTROL!$C$21, $C$9, 100%, $E$9)</f>
        <v>31.4513</v>
      </c>
      <c r="D947" s="10">
        <f>CHOOSE(CONTROL!$C$42, 31.476, 31.476) * CHOOSE(CONTROL!$C$21, $C$9, 100%, $E$9)</f>
        <v>31.475999999999999</v>
      </c>
      <c r="E947" s="10">
        <f>CHOOSE(CONTROL!$C$42, 31.5098, 31.5098) * CHOOSE(CONTROL!$C$21, $C$9, 100%, $E$9)</f>
        <v>31.509799999999998</v>
      </c>
      <c r="F947" s="10">
        <f>CHOOSE(CONTROL!$C$42, 31.4118, 31.4118)*CHOOSE(CONTROL!$C$21, $C$9, 100%, $E$9)</f>
        <v>31.411799999999999</v>
      </c>
      <c r="G947" s="10">
        <f>CHOOSE(CONTROL!$C$42, 31.4286, 31.4286)*CHOOSE(CONTROL!$C$21, $C$9, 100%, $E$9)</f>
        <v>31.428599999999999</v>
      </c>
      <c r="H947" s="10">
        <f>CHOOSE(CONTROL!$C$42, 31.4986, 31.4986) * CHOOSE(CONTROL!$C$21, $C$9, 100%, $E$9)</f>
        <v>31.4986</v>
      </c>
      <c r="I947" s="10">
        <f>CHOOSE(CONTROL!$C$42, 31.4457, 31.4457)* CHOOSE(CONTROL!$C$21, $C$9, 100%, $E$9)</f>
        <v>31.445699999999999</v>
      </c>
      <c r="J947" s="10">
        <f>CHOOSE(CONTROL!$C$42, 31.4044, 31.4044)* CHOOSE(CONTROL!$C$21, $C$9, 100%, $E$9)</f>
        <v>31.404399999999999</v>
      </c>
      <c r="K947" s="10">
        <f>CHOOSE(CONTROL!$C$42, 30.6233, 30.6233) * CHOOSE(CONTROL!$C$21, $C$9, 100%, $E$9)</f>
        <v>30.6233</v>
      </c>
      <c r="L947" s="10">
        <f>CHOOSE(CONTROL!$C$42, 32.0856, 32.0856) * CHOOSE(CONTROL!$C$21, $C$9, 100%, $E$9)</f>
        <v>32.085599999999999</v>
      </c>
      <c r="M947" s="10">
        <f>CHOOSE(CONTROL!$C$42, 31.0309, 31.0309) * CHOOSE(CONTROL!$C$21, $C$9, 100%, $E$9)</f>
        <v>31.030899999999999</v>
      </c>
      <c r="N947" s="10">
        <f>CHOOSE(CONTROL!$C$42, 31.0475, 31.0475) * CHOOSE(CONTROL!$C$21, $C$9, 100%, $E$9)</f>
        <v>31.047499999999999</v>
      </c>
      <c r="O947" s="10">
        <f>CHOOSE(CONTROL!$C$42, 31.1239, 31.1239) * CHOOSE(CONTROL!$C$21, $C$9, 100%, $E$9)</f>
        <v>31.123899999999999</v>
      </c>
      <c r="P947" s="10">
        <f>CHOOSE(CONTROL!$C$42, 31.0717, 31.0717) * CHOOSE(CONTROL!$C$21, $C$9, 100%, $E$9)</f>
        <v>31.0717</v>
      </c>
      <c r="Q947" s="10">
        <f>CHOOSE(CONTROL!$C$42, 31.7192, 31.7192) * CHOOSE(CONTROL!$C$21, $C$9, 100%, $E$9)</f>
        <v>31.719200000000001</v>
      </c>
      <c r="R947" s="10">
        <f>CHOOSE(CONTROL!$C$42, 32.3855, 32.3855) * CHOOSE(CONTROL!$C$21, $C$9, 100%, $E$9)</f>
        <v>32.3855</v>
      </c>
      <c r="S947" s="10">
        <f>CHOOSE(CONTROL!$C$42, 30.466, 30.466) * CHOOSE(CONTROL!$C$21, $C$9, 100%, $E$9)</f>
        <v>30.466000000000001</v>
      </c>
      <c r="T94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38">
        <f>(1000*CHOOSE(CONTROL!$C$42, 695, 695)*CHOOSE(CONTROL!$C$42, 0.5599, 0.5599)*CHOOSE(CONTROL!$C$42, 30, 30))/1000000</f>
        <v>11.673914999999997</v>
      </c>
      <c r="V947" s="38">
        <f>(1000*CHOOSE(CONTROL!$C$42, 500, 500)*CHOOSE(CONTROL!$C$42, 0.275, 0.275)*CHOOSE(CONTROL!$C$42, 30, 30))/1000000</f>
        <v>4.125</v>
      </c>
      <c r="W947" s="38">
        <f>(1000*CHOOSE(CONTROL!$C$42, 0.1146, 0.1146)*CHOOSE(CONTROL!$C$42, 121.5, 121.5)*CHOOSE(CONTROL!$C$42, 30, 30))/1000000</f>
        <v>0.417717</v>
      </c>
      <c r="X947" s="38">
        <f>(30*0.1790888*100000/1000000)+(30*0.2374*100000/1000000)</f>
        <v>1.2494664</v>
      </c>
      <c r="Y947" s="38">
        <f>(1000*600*CHOOSE(CONTROL!$C$42, 1.0585, 1.0585)*CHOOSE(CONTROL!$C$42, 30, 30))/1000000</f>
        <v>19.053000000000001</v>
      </c>
      <c r="Z947" s="38"/>
      <c r="AA947" s="10"/>
      <c r="AB947" s="39"/>
      <c r="AC947" s="33">
        <f>(B947*122.58+C947*297.941+D947*89.177+E947*40.302+F947*40+G947*160+H947*0+I947*100+J947*300)/(122.58+297.941+89.177+40.302+0+40+160+100+300)</f>
        <v>31.437467983391304</v>
      </c>
      <c r="AD947" s="27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31.079876978417264</v>
      </c>
    </row>
    <row r="948" spans="1:30" ht="15.75" x14ac:dyDescent="0.25">
      <c r="A948" s="13">
        <v>70128</v>
      </c>
      <c r="B948" s="10">
        <f>CHOOSE(CONTROL!$C$42, 33.5913, 33.5913) * CHOOSE(CONTROL!$C$21, $C$9, 100%, $E$9)</f>
        <v>33.591299999999997</v>
      </c>
      <c r="C948" s="10">
        <f>CHOOSE(CONTROL!$C$42, 33.5964, 33.5964) * CHOOSE(CONTROL!$C$21, $C$9, 100%, $E$9)</f>
        <v>33.596400000000003</v>
      </c>
      <c r="D948" s="10">
        <f>CHOOSE(CONTROL!$C$42, 33.6211, 33.6211) * CHOOSE(CONTROL!$C$21, $C$9, 100%, $E$9)</f>
        <v>33.621099999999998</v>
      </c>
      <c r="E948" s="10">
        <f>CHOOSE(CONTROL!$C$42, 33.6549, 33.6549) * CHOOSE(CONTROL!$C$21, $C$9, 100%, $E$9)</f>
        <v>33.654899999999998</v>
      </c>
      <c r="F948" s="10">
        <f>CHOOSE(CONTROL!$C$42, 33.5587, 33.5587)*CHOOSE(CONTROL!$C$21, $C$9, 100%, $E$9)</f>
        <v>33.558700000000002</v>
      </c>
      <c r="G948" s="10">
        <f>CHOOSE(CONTROL!$C$42, 33.576, 33.576)*CHOOSE(CONTROL!$C$21, $C$9, 100%, $E$9)</f>
        <v>33.576000000000001</v>
      </c>
      <c r="H948" s="10">
        <f>CHOOSE(CONTROL!$C$42, 33.6438, 33.6438) * CHOOSE(CONTROL!$C$21, $C$9, 100%, $E$9)</f>
        <v>33.643799999999999</v>
      </c>
      <c r="I948" s="10">
        <f>CHOOSE(CONTROL!$C$42, 33.5908, 33.5908)* CHOOSE(CONTROL!$C$21, $C$9, 100%, $E$9)</f>
        <v>33.590800000000002</v>
      </c>
      <c r="J948" s="10">
        <f>CHOOSE(CONTROL!$C$42, 33.5513, 33.5513)* CHOOSE(CONTROL!$C$21, $C$9, 100%, $E$9)</f>
        <v>33.551299999999998</v>
      </c>
      <c r="K948" s="10">
        <f>CHOOSE(CONTROL!$C$42, 32.7053, 32.7053) * CHOOSE(CONTROL!$C$21, $C$9, 100%, $E$9)</f>
        <v>32.705300000000001</v>
      </c>
      <c r="L948" s="10">
        <f>CHOOSE(CONTROL!$C$42, 34.2308, 34.2308) * CHOOSE(CONTROL!$C$21, $C$9, 100%, $E$9)</f>
        <v>34.230800000000002</v>
      </c>
      <c r="M948" s="10">
        <f>CHOOSE(CONTROL!$C$42, 33.15, 33.15) * CHOOSE(CONTROL!$C$21, $C$9, 100%, $E$9)</f>
        <v>33.15</v>
      </c>
      <c r="N948" s="10">
        <f>CHOOSE(CONTROL!$C$42, 33.1671, 33.1671) * CHOOSE(CONTROL!$C$21, $C$9, 100%, $E$9)</f>
        <v>33.167099999999998</v>
      </c>
      <c r="O948" s="10">
        <f>CHOOSE(CONTROL!$C$42, 33.2413, 33.2413) * CHOOSE(CONTROL!$C$21, $C$9, 100%, $E$9)</f>
        <v>33.241300000000003</v>
      </c>
      <c r="P948" s="10">
        <f>CHOOSE(CONTROL!$C$42, 33.189, 33.189) * CHOOSE(CONTROL!$C$21, $C$9, 100%, $E$9)</f>
        <v>33.189</v>
      </c>
      <c r="Q948" s="10">
        <f>CHOOSE(CONTROL!$C$42, 33.8366, 33.8366) * CHOOSE(CONTROL!$C$21, $C$9, 100%, $E$9)</f>
        <v>33.836599999999997</v>
      </c>
      <c r="R948" s="10">
        <f>CHOOSE(CONTROL!$C$42, 34.5081, 34.5081) * CHOOSE(CONTROL!$C$21, $C$9, 100%, $E$9)</f>
        <v>34.508099999999999</v>
      </c>
      <c r="S948" s="10">
        <f>CHOOSE(CONTROL!$C$42, 32.5431, 32.5431) * CHOOSE(CONTROL!$C$21, $C$9, 100%, $E$9)</f>
        <v>32.543100000000003</v>
      </c>
      <c r="T94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38">
        <f>(1000*CHOOSE(CONTROL!$C$42, 695, 695)*CHOOSE(CONTROL!$C$42, 0.5599, 0.5599)*CHOOSE(CONTROL!$C$42, 31, 31))/1000000</f>
        <v>12.063045499999998</v>
      </c>
      <c r="V948" s="38">
        <f>(1000*CHOOSE(CONTROL!$C$42, 500, 500)*CHOOSE(CONTROL!$C$42, 0.275, 0.275)*CHOOSE(CONTROL!$C$42, 31, 31))/1000000</f>
        <v>4.2625000000000002</v>
      </c>
      <c r="W948" s="38">
        <f>(1000*CHOOSE(CONTROL!$C$42, 0.1146, 0.1146)*CHOOSE(CONTROL!$C$42, 121.5, 121.5)*CHOOSE(CONTROL!$C$42, 31, 31))/1000000</f>
        <v>0.43164089999999994</v>
      </c>
      <c r="X948" s="38">
        <f>(31*0.1790888*100000/1000000)+(31*0.2374*100000/1000000)</f>
        <v>1.2911152800000001</v>
      </c>
      <c r="Y948" s="38">
        <f>(1000*600*CHOOSE(CONTROL!$C$42, 1.0585, 1.0585)*CHOOSE(CONTROL!$C$42, 31, 31))/1000000</f>
        <v>19.688099999999999</v>
      </c>
      <c r="Z948" s="38"/>
      <c r="AA948" s="10"/>
      <c r="AB948" s="39"/>
      <c r="AC948" s="33">
        <f>(B948*122.58+C948*297.941+D948*89.177+E948*40.302+F948*40+G948*160+H948*0+I948*100+J948*300)/(122.58+297.941+89.177+40.302+0+40+160+100+300)</f>
        <v>33.583420157304346</v>
      </c>
      <c r="AD948" s="27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33.19797625899281</v>
      </c>
    </row>
    <row r="949" spans="1:30" ht="15.75" x14ac:dyDescent="0.25">
      <c r="A949" s="13">
        <v>70159</v>
      </c>
      <c r="B949" s="10">
        <f>CHOOSE(CONTROL!$C$42, 35.8596, 35.8596) * CHOOSE(CONTROL!$C$21, $C$9, 100%, $E$9)</f>
        <v>35.8596</v>
      </c>
      <c r="C949" s="10">
        <f>CHOOSE(CONTROL!$C$42, 35.8647, 35.8647) * CHOOSE(CONTROL!$C$21, $C$9, 100%, $E$9)</f>
        <v>35.864699999999999</v>
      </c>
      <c r="D949" s="10">
        <f>CHOOSE(CONTROL!$C$42, 35.8997, 35.8997) * CHOOSE(CONTROL!$C$21, $C$9, 100%, $E$9)</f>
        <v>35.899700000000003</v>
      </c>
      <c r="E949" s="10">
        <f>CHOOSE(CONTROL!$C$42, 35.9335, 35.9335) * CHOOSE(CONTROL!$C$21, $C$9, 100%, $E$9)</f>
        <v>35.933500000000002</v>
      </c>
      <c r="F949" s="10">
        <f>CHOOSE(CONTROL!$C$42, 35.8409, 35.8409)*CHOOSE(CONTROL!$C$21, $C$9, 100%, $E$9)</f>
        <v>35.840899999999998</v>
      </c>
      <c r="G949" s="10">
        <f>CHOOSE(CONTROL!$C$42, 35.8598, 35.8598)*CHOOSE(CONTROL!$C$21, $C$9, 100%, $E$9)</f>
        <v>35.8598</v>
      </c>
      <c r="H949" s="10">
        <f>CHOOSE(CONTROL!$C$42, 35.9224, 35.9224) * CHOOSE(CONTROL!$C$21, $C$9, 100%, $E$9)</f>
        <v>35.922400000000003</v>
      </c>
      <c r="I949" s="10">
        <f>CHOOSE(CONTROL!$C$42, 35.8669, 35.8669)* CHOOSE(CONTROL!$C$21, $C$9, 100%, $E$9)</f>
        <v>35.866900000000001</v>
      </c>
      <c r="J949" s="10">
        <f>CHOOSE(CONTROL!$C$42, 35.8335, 35.8335)* CHOOSE(CONTROL!$C$21, $C$9, 100%, $E$9)</f>
        <v>35.833500000000001</v>
      </c>
      <c r="K949" s="10">
        <f>CHOOSE(CONTROL!$C$42, 34.9236, 34.9236) * CHOOSE(CONTROL!$C$21, $C$9, 100%, $E$9)</f>
        <v>34.9236</v>
      </c>
      <c r="L949" s="10">
        <f>CHOOSE(CONTROL!$C$42, 36.5094, 36.5094) * CHOOSE(CONTROL!$C$21, $C$9, 100%, $E$9)</f>
        <v>36.509399999999999</v>
      </c>
      <c r="M949" s="10">
        <f>CHOOSE(CONTROL!$C$42, 35.4027, 35.4027) * CHOOSE(CONTROL!$C$21, $C$9, 100%, $E$9)</f>
        <v>35.402700000000003</v>
      </c>
      <c r="N949" s="10">
        <f>CHOOSE(CONTROL!$C$42, 35.4213, 35.4213) * CHOOSE(CONTROL!$C$21, $C$9, 100%, $E$9)</f>
        <v>35.421300000000002</v>
      </c>
      <c r="O949" s="10">
        <f>CHOOSE(CONTROL!$C$42, 35.4904, 35.4904) * CHOOSE(CONTROL!$C$21, $C$9, 100%, $E$9)</f>
        <v>35.490400000000001</v>
      </c>
      <c r="P949" s="10">
        <f>CHOOSE(CONTROL!$C$42, 35.4356, 35.4356) * CHOOSE(CONTROL!$C$21, $C$9, 100%, $E$9)</f>
        <v>35.435600000000001</v>
      </c>
      <c r="Q949" s="10">
        <f>CHOOSE(CONTROL!$C$42, 36.0857, 36.0857) * CHOOSE(CONTROL!$C$21, $C$9, 100%, $E$9)</f>
        <v>36.085700000000003</v>
      </c>
      <c r="R949" s="10">
        <f>CHOOSE(CONTROL!$C$42, 36.7629, 36.7629) * CHOOSE(CONTROL!$C$21, $C$9, 100%, $E$9)</f>
        <v>36.762900000000002</v>
      </c>
      <c r="S949" s="10">
        <f>CHOOSE(CONTROL!$C$42, 34.7395, 34.7395) * CHOOSE(CONTROL!$C$21, $C$9, 100%, $E$9)</f>
        <v>34.7395</v>
      </c>
      <c r="T94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38">
        <f>(1000*CHOOSE(CONTROL!$C$42, 695, 695)*CHOOSE(CONTROL!$C$42, 0.5599, 0.5599)*CHOOSE(CONTROL!$C$42, 31, 31))/1000000</f>
        <v>12.063045499999998</v>
      </c>
      <c r="V949" s="38">
        <f>(1000*CHOOSE(CONTROL!$C$42, 500, 500)*CHOOSE(CONTROL!$C$42, 0.275, 0.275)*CHOOSE(CONTROL!$C$42, 31, 31))/1000000</f>
        <v>4.2625000000000002</v>
      </c>
      <c r="W949" s="38">
        <f>(1000*CHOOSE(CONTROL!$C$42, 0.1146, 0.1146)*CHOOSE(CONTROL!$C$42, 121.5, 121.5)*CHOOSE(CONTROL!$C$42, 31, 31))/1000000</f>
        <v>0.43164089999999994</v>
      </c>
      <c r="X949" s="38">
        <f>(31*0.1790888*100000/1000000)+(31*0.2374*100000/1000000)</f>
        <v>1.2911152800000001</v>
      </c>
      <c r="Y949" s="38">
        <f>(1000*600*CHOOSE(CONTROL!$C$42, 1.0585, 1.0585)*CHOOSE(CONTROL!$C$42, 31, 31))/1000000</f>
        <v>19.688099999999999</v>
      </c>
      <c r="Z949" s="38"/>
      <c r="AA949" s="10"/>
      <c r="AB949" s="39"/>
      <c r="AC949" s="33">
        <f>(B949*122.58+C949*297.941+D949*89.177+E949*40.302+F949*40+G949*160+H949*0+I949*100+J949*300)/(122.58+297.941+89.177+40.302+0+40+160+100+300)</f>
        <v>35.859824186608691</v>
      </c>
      <c r="AD949" s="27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35.448253237410078</v>
      </c>
    </row>
    <row r="950" spans="1:30" ht="15.75" x14ac:dyDescent="0.25">
      <c r="A950" s="13">
        <v>70188</v>
      </c>
      <c r="B950" s="10">
        <f>CHOOSE(CONTROL!$C$42, 36.4983, 36.4983) * CHOOSE(CONTROL!$C$21, $C$9, 100%, $E$9)</f>
        <v>36.4983</v>
      </c>
      <c r="C950" s="10">
        <f>CHOOSE(CONTROL!$C$42, 36.5034, 36.5034) * CHOOSE(CONTROL!$C$21, $C$9, 100%, $E$9)</f>
        <v>36.503399999999999</v>
      </c>
      <c r="D950" s="10">
        <f>CHOOSE(CONTROL!$C$42, 36.5384, 36.5384) * CHOOSE(CONTROL!$C$21, $C$9, 100%, $E$9)</f>
        <v>36.538400000000003</v>
      </c>
      <c r="E950" s="10">
        <f>CHOOSE(CONTROL!$C$42, 36.5722, 36.5722) * CHOOSE(CONTROL!$C$21, $C$9, 100%, $E$9)</f>
        <v>36.572200000000002</v>
      </c>
      <c r="F950" s="10">
        <f>CHOOSE(CONTROL!$C$42, 36.479, 36.479)*CHOOSE(CONTROL!$C$21, $C$9, 100%, $E$9)</f>
        <v>36.478999999999999</v>
      </c>
      <c r="G950" s="10">
        <f>CHOOSE(CONTROL!$C$42, 36.4978, 36.4978)*CHOOSE(CONTROL!$C$21, $C$9, 100%, $E$9)</f>
        <v>36.497799999999998</v>
      </c>
      <c r="H950" s="10">
        <f>CHOOSE(CONTROL!$C$42, 36.5611, 36.5611) * CHOOSE(CONTROL!$C$21, $C$9, 100%, $E$9)</f>
        <v>36.561100000000003</v>
      </c>
      <c r="I950" s="10">
        <f>CHOOSE(CONTROL!$C$42, 36.5055, 36.5055)* CHOOSE(CONTROL!$C$21, $C$9, 100%, $E$9)</f>
        <v>36.505499999999998</v>
      </c>
      <c r="J950" s="10">
        <f>CHOOSE(CONTROL!$C$42, 36.4716, 36.4716)* CHOOSE(CONTROL!$C$21, $C$9, 100%, $E$9)</f>
        <v>36.471600000000002</v>
      </c>
      <c r="K950" s="10">
        <f>CHOOSE(CONTROL!$C$42, 35.5412, 35.5412) * CHOOSE(CONTROL!$C$21, $C$9, 100%, $E$9)</f>
        <v>35.541200000000003</v>
      </c>
      <c r="L950" s="10">
        <f>CHOOSE(CONTROL!$C$42, 37.1481, 37.1481) * CHOOSE(CONTROL!$C$21, $C$9, 100%, $E$9)</f>
        <v>37.148099999999999</v>
      </c>
      <c r="M950" s="10">
        <f>CHOOSE(CONTROL!$C$42, 36.0325, 36.0325) * CHOOSE(CONTROL!$C$21, $C$9, 100%, $E$9)</f>
        <v>36.032499999999999</v>
      </c>
      <c r="N950" s="10">
        <f>CHOOSE(CONTROL!$C$42, 36.051, 36.051) * CHOOSE(CONTROL!$C$21, $C$9, 100%, $E$9)</f>
        <v>36.051000000000002</v>
      </c>
      <c r="O950" s="10">
        <f>CHOOSE(CONTROL!$C$42, 36.1208, 36.1208) * CHOOSE(CONTROL!$C$21, $C$9, 100%, $E$9)</f>
        <v>36.120800000000003</v>
      </c>
      <c r="P950" s="10">
        <f>CHOOSE(CONTROL!$C$42, 36.066, 36.066) * CHOOSE(CONTROL!$C$21, $C$9, 100%, $E$9)</f>
        <v>36.066000000000003</v>
      </c>
      <c r="Q950" s="10">
        <f>CHOOSE(CONTROL!$C$42, 36.7161, 36.7161) * CHOOSE(CONTROL!$C$21, $C$9, 100%, $E$9)</f>
        <v>36.716099999999997</v>
      </c>
      <c r="R950" s="10">
        <f>CHOOSE(CONTROL!$C$42, 37.3949, 37.3949) * CHOOSE(CONTROL!$C$21, $C$9, 100%, $E$9)</f>
        <v>37.3949</v>
      </c>
      <c r="S950" s="10">
        <f>CHOOSE(CONTROL!$C$42, 35.3579, 35.3579) * CHOOSE(CONTROL!$C$21, $C$9, 100%, $E$9)</f>
        <v>35.357900000000001</v>
      </c>
      <c r="T950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50" s="38">
        <f>(1000*CHOOSE(CONTROL!$C$42, 695, 695)*CHOOSE(CONTROL!$C$42, 0.5599, 0.5599)*CHOOSE(CONTROL!$C$42, 29, 29))/1000000</f>
        <v>11.284784499999999</v>
      </c>
      <c r="V950" s="38">
        <f>(1000*CHOOSE(CONTROL!$C$42, 500, 500)*CHOOSE(CONTROL!$C$42, 0.275, 0.275)*CHOOSE(CONTROL!$C$42, 29, 29))/1000000</f>
        <v>3.9874999999999998</v>
      </c>
      <c r="W950" s="38">
        <f>(1000*CHOOSE(CONTROL!$C$42, 0.1146, 0.1146)*CHOOSE(CONTROL!$C$42, 121.5, 121.5)*CHOOSE(CONTROL!$C$42, 29, 29))/1000000</f>
        <v>0.40379309999999996</v>
      </c>
      <c r="X950" s="38">
        <f>(29*0.1790888*100000/1000000)+(29*0.2374*100000/1000000)</f>
        <v>1.2078175199999999</v>
      </c>
      <c r="Y950" s="38">
        <f>(1000*600*CHOOSE(CONTROL!$C$42, 1.0585, 1.0585)*CHOOSE(CONTROL!$C$42, 29, 29))/1000000</f>
        <v>18.417899999999999</v>
      </c>
      <c r="Z950" s="38"/>
      <c r="AA950" s="10"/>
      <c r="AB950" s="39"/>
      <c r="AC950" s="33">
        <f>(B950*122.58+C950*297.941+D950*89.177+E950*40.302+F950*40+G950*160+H950*0+I950*100+J950*300)/(122.58+297.941+89.177+40.302+0+40+160+100+300)</f>
        <v>36.498240708347822</v>
      </c>
      <c r="AD950" s="27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36.078405755395679</v>
      </c>
    </row>
    <row r="951" spans="1:30" ht="15.75" x14ac:dyDescent="0.25">
      <c r="A951" s="13">
        <v>70219</v>
      </c>
      <c r="B951" s="10">
        <f>CHOOSE(CONTROL!$C$42, 35.4616, 35.4616) * CHOOSE(CONTROL!$C$21, $C$9, 100%, $E$9)</f>
        <v>35.461599999999997</v>
      </c>
      <c r="C951" s="10">
        <f>CHOOSE(CONTROL!$C$42, 35.4667, 35.4667) * CHOOSE(CONTROL!$C$21, $C$9, 100%, $E$9)</f>
        <v>35.466700000000003</v>
      </c>
      <c r="D951" s="10">
        <f>CHOOSE(CONTROL!$C$42, 35.5017, 35.5017) * CHOOSE(CONTROL!$C$21, $C$9, 100%, $E$9)</f>
        <v>35.5017</v>
      </c>
      <c r="E951" s="10">
        <f>CHOOSE(CONTROL!$C$42, 35.5355, 35.5355) * CHOOSE(CONTROL!$C$21, $C$9, 100%, $E$9)</f>
        <v>35.535499999999999</v>
      </c>
      <c r="F951" s="10">
        <f>CHOOSE(CONTROL!$C$42, 35.441, 35.441)*CHOOSE(CONTROL!$C$21, $C$9, 100%, $E$9)</f>
        <v>35.441000000000003</v>
      </c>
      <c r="G951" s="10">
        <f>CHOOSE(CONTROL!$C$42, 35.4593, 35.4593)*CHOOSE(CONTROL!$C$21, $C$9, 100%, $E$9)</f>
        <v>35.459299999999999</v>
      </c>
      <c r="H951" s="10">
        <f>CHOOSE(CONTROL!$C$42, 35.5244, 35.5244) * CHOOSE(CONTROL!$C$21, $C$9, 100%, $E$9)</f>
        <v>35.5244</v>
      </c>
      <c r="I951" s="10">
        <f>CHOOSE(CONTROL!$C$42, 35.4688, 35.4688)* CHOOSE(CONTROL!$C$21, $C$9, 100%, $E$9)</f>
        <v>35.468800000000002</v>
      </c>
      <c r="J951" s="10">
        <f>CHOOSE(CONTROL!$C$42, 35.4336, 35.4336)* CHOOSE(CONTROL!$C$21, $C$9, 100%, $E$9)</f>
        <v>35.433599999999998</v>
      </c>
      <c r="K951" s="10">
        <f>CHOOSE(CONTROL!$C$42, 34.5338, 34.5338) * CHOOSE(CONTROL!$C$21, $C$9, 100%, $E$9)</f>
        <v>34.533799999999999</v>
      </c>
      <c r="L951" s="10">
        <f>CHOOSE(CONTROL!$C$42, 36.1114, 36.1114) * CHOOSE(CONTROL!$C$21, $C$9, 100%, $E$9)</f>
        <v>36.111400000000003</v>
      </c>
      <c r="M951" s="10">
        <f>CHOOSE(CONTROL!$C$42, 35.0079, 35.0079) * CHOOSE(CONTROL!$C$21, $C$9, 100%, $E$9)</f>
        <v>35.007899999999999</v>
      </c>
      <c r="N951" s="10">
        <f>CHOOSE(CONTROL!$C$42, 35.026, 35.026) * CHOOSE(CONTROL!$C$21, $C$9, 100%, $E$9)</f>
        <v>35.026000000000003</v>
      </c>
      <c r="O951" s="10">
        <f>CHOOSE(CONTROL!$C$42, 35.0975, 35.0975) * CHOOSE(CONTROL!$C$21, $C$9, 100%, $E$9)</f>
        <v>35.097499999999997</v>
      </c>
      <c r="P951" s="10">
        <f>CHOOSE(CONTROL!$C$42, 35.0428, 35.0428) * CHOOSE(CONTROL!$C$21, $C$9, 100%, $E$9)</f>
        <v>35.0428</v>
      </c>
      <c r="Q951" s="10">
        <f>CHOOSE(CONTROL!$C$42, 35.6928, 35.6928) * CHOOSE(CONTROL!$C$21, $C$9, 100%, $E$9)</f>
        <v>35.692799999999998</v>
      </c>
      <c r="R951" s="10">
        <f>CHOOSE(CONTROL!$C$42, 36.3691, 36.3691) * CHOOSE(CONTROL!$C$21, $C$9, 100%, $E$9)</f>
        <v>36.369100000000003</v>
      </c>
      <c r="S951" s="10">
        <f>CHOOSE(CONTROL!$C$42, 34.3541, 34.3541) * CHOOSE(CONTROL!$C$21, $C$9, 100%, $E$9)</f>
        <v>34.354100000000003</v>
      </c>
      <c r="T95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38">
        <f>(1000*CHOOSE(CONTROL!$C$42, 695, 695)*CHOOSE(CONTROL!$C$42, 0.5599, 0.5599)*CHOOSE(CONTROL!$C$42, 31, 31))/1000000</f>
        <v>12.063045499999998</v>
      </c>
      <c r="V951" s="38">
        <f>(1000*CHOOSE(CONTROL!$C$42, 500, 500)*CHOOSE(CONTROL!$C$42, 0.275, 0.275)*CHOOSE(CONTROL!$C$42, 31, 31))/1000000</f>
        <v>4.2625000000000002</v>
      </c>
      <c r="W951" s="38">
        <f>(1000*CHOOSE(CONTROL!$C$42, 0.1146, 0.1146)*CHOOSE(CONTROL!$C$42, 121.5, 121.5)*CHOOSE(CONTROL!$C$42, 31, 31))/1000000</f>
        <v>0.43164089999999994</v>
      </c>
      <c r="X951" s="38">
        <f>(31*0.1790888*100000/1000000)+(31*0.2374*100000/1000000)</f>
        <v>1.2911152800000001</v>
      </c>
      <c r="Y951" s="38">
        <f>(1000*600*CHOOSE(CONTROL!$C$42, 1.0585, 1.0585)*CHOOSE(CONTROL!$C$42, 31, 31))/1000000</f>
        <v>19.688099999999999</v>
      </c>
      <c r="Z951" s="38"/>
      <c r="AA951" s="10"/>
      <c r="AB951" s="39"/>
      <c r="AC951" s="33">
        <f>(B951*122.58+C951*297.941+D951*89.177+E951*40.302+F951*40+G951*160+H951*0+I951*100+J951*300)/(122.58+297.941+89.177+40.302+0+40+160+100+300)</f>
        <v>35.460905925739134</v>
      </c>
      <c r="AD951" s="27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35.054573381294965</v>
      </c>
    </row>
    <row r="952" spans="1:30" ht="15.75" x14ac:dyDescent="0.25">
      <c r="A952" s="13">
        <v>70249</v>
      </c>
      <c r="B952" s="10">
        <f>CHOOSE(CONTROL!$C$42, 35.3561, 35.3561) * CHOOSE(CONTROL!$C$21, $C$9, 100%, $E$9)</f>
        <v>35.356099999999998</v>
      </c>
      <c r="C952" s="10">
        <f>CHOOSE(CONTROL!$C$42, 35.3607, 35.3607) * CHOOSE(CONTROL!$C$21, $C$9, 100%, $E$9)</f>
        <v>35.360700000000001</v>
      </c>
      <c r="D952" s="10">
        <f>CHOOSE(CONTROL!$C$42, 35.5389, 35.5389) * CHOOSE(CONTROL!$C$21, $C$9, 100%, $E$9)</f>
        <v>35.538899999999998</v>
      </c>
      <c r="E952" s="10">
        <f>CHOOSE(CONTROL!$C$42, 35.5707, 35.5707) * CHOOSE(CONTROL!$C$21, $C$9, 100%, $E$9)</f>
        <v>35.570700000000002</v>
      </c>
      <c r="F952" s="10">
        <f>CHOOSE(CONTROL!$C$42, 35.2996, 35.2996)*CHOOSE(CONTROL!$C$21, $C$9, 100%, $E$9)</f>
        <v>35.299599999999998</v>
      </c>
      <c r="G952" s="10">
        <f>CHOOSE(CONTROL!$C$42, 35.3162, 35.3162)*CHOOSE(CONTROL!$C$21, $C$9, 100%, $E$9)</f>
        <v>35.316200000000002</v>
      </c>
      <c r="H952" s="10">
        <f>CHOOSE(CONTROL!$C$42, 35.5602, 35.5602) * CHOOSE(CONTROL!$C$21, $C$9, 100%, $E$9)</f>
        <v>35.560200000000002</v>
      </c>
      <c r="I952" s="10">
        <f>CHOOSE(CONTROL!$C$42, 35.3321, 35.3321)* CHOOSE(CONTROL!$C$21, $C$9, 100%, $E$9)</f>
        <v>35.332099999999997</v>
      </c>
      <c r="J952" s="10">
        <f>CHOOSE(CONTROL!$C$42, 35.2922, 35.2922)* CHOOSE(CONTROL!$C$21, $C$9, 100%, $E$9)</f>
        <v>35.292200000000001</v>
      </c>
      <c r="K952" s="10">
        <f>CHOOSE(CONTROL!$C$42, 34.3867, 34.3867) * CHOOSE(CONTROL!$C$21, $C$9, 100%, $E$9)</f>
        <v>34.386699999999998</v>
      </c>
      <c r="L952" s="10">
        <f>CHOOSE(CONTROL!$C$42, 36.1472, 36.1472) * CHOOSE(CONTROL!$C$21, $C$9, 100%, $E$9)</f>
        <v>36.147199999999998</v>
      </c>
      <c r="M952" s="10">
        <f>CHOOSE(CONTROL!$C$42, 34.8683, 34.8683) * CHOOSE(CONTROL!$C$21, $C$9, 100%, $E$9)</f>
        <v>34.868299999999998</v>
      </c>
      <c r="N952" s="10">
        <f>CHOOSE(CONTROL!$C$42, 34.8847, 34.8847) * CHOOSE(CONTROL!$C$21, $C$9, 100%, $E$9)</f>
        <v>34.884700000000002</v>
      </c>
      <c r="O952" s="10">
        <f>CHOOSE(CONTROL!$C$42, 35.1328, 35.1328) * CHOOSE(CONTROL!$C$21, $C$9, 100%, $E$9)</f>
        <v>35.132800000000003</v>
      </c>
      <c r="P952" s="10">
        <f>CHOOSE(CONTROL!$C$42, 34.9078, 34.9078) * CHOOSE(CONTROL!$C$21, $C$9, 100%, $E$9)</f>
        <v>34.907800000000002</v>
      </c>
      <c r="Q952" s="10">
        <f>CHOOSE(CONTROL!$C$42, 35.7281, 35.7281) * CHOOSE(CONTROL!$C$21, $C$9, 100%, $E$9)</f>
        <v>35.728099999999998</v>
      </c>
      <c r="R952" s="10">
        <f>CHOOSE(CONTROL!$C$42, 36.4045, 36.4045) * CHOOSE(CONTROL!$C$21, $C$9, 100%, $E$9)</f>
        <v>36.404499999999999</v>
      </c>
      <c r="S952" s="10">
        <f>CHOOSE(CONTROL!$C$42, 34.2513, 34.2513) * CHOOSE(CONTROL!$C$21, $C$9, 100%, $E$9)</f>
        <v>34.251300000000001</v>
      </c>
      <c r="T95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38">
        <f>(1000*CHOOSE(CONTROL!$C$42, 695, 695)*CHOOSE(CONTROL!$C$42, 0.5599, 0.5599)*CHOOSE(CONTROL!$C$42, 30, 30))/1000000</f>
        <v>11.673914999999997</v>
      </c>
      <c r="V952" s="38">
        <f>(1000*CHOOSE(CONTROL!$C$42, 500, 500)*CHOOSE(CONTROL!$C$42, 0.275, 0.275)*CHOOSE(CONTROL!$C$42, 30, 30))/1000000</f>
        <v>4.125</v>
      </c>
      <c r="W952" s="38">
        <f>(1000*CHOOSE(CONTROL!$C$42, 0.1146, 0.1146)*CHOOSE(CONTROL!$C$42, 121.5, 121.5)*CHOOSE(CONTROL!$C$42, 30, 30))/1000000</f>
        <v>0.417717</v>
      </c>
      <c r="X952" s="38">
        <f>(30*0.1790888*245000/1000000)+(30*0.2374*100000/1000000)</f>
        <v>2.0285026799999999</v>
      </c>
      <c r="Y952" s="38">
        <f>(1000*600*CHOOSE(CONTROL!$C$42, 1.0585, 1.0585)*CHOOSE(CONTROL!$C$42, 30, 30))/1000000</f>
        <v>19.053000000000001</v>
      </c>
      <c r="Z952" s="38"/>
      <c r="AA952" s="10"/>
      <c r="AB952" s="39"/>
      <c r="AC952" s="33">
        <f>(B952*141.293+C952*267.993+D952*115.016+E952*89.698+F952*40+G952*185+H952*0+I952*100+J952*300)/(141.293+267.993+115.016+89.698+0+40+185+100+300)</f>
        <v>35.364409429701375</v>
      </c>
      <c r="AD952" s="27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34.994808633093527</v>
      </c>
    </row>
    <row r="953" spans="1:30" ht="15.75" x14ac:dyDescent="0.25">
      <c r="A953" s="13">
        <v>70280</v>
      </c>
      <c r="B953" s="10">
        <f>CHOOSE(CONTROL!$C$42, 35.6701, 35.6701) * CHOOSE(CONTROL!$C$21, $C$9, 100%, $E$9)</f>
        <v>35.670099999999998</v>
      </c>
      <c r="C953" s="10">
        <f>CHOOSE(CONTROL!$C$42, 35.6781, 35.6781) * CHOOSE(CONTROL!$C$21, $C$9, 100%, $E$9)</f>
        <v>35.678100000000001</v>
      </c>
      <c r="D953" s="10">
        <f>CHOOSE(CONTROL!$C$42, 35.8532, 35.8532) * CHOOSE(CONTROL!$C$21, $C$9, 100%, $E$9)</f>
        <v>35.853200000000001</v>
      </c>
      <c r="E953" s="10">
        <f>CHOOSE(CONTROL!$C$42, 35.8844, 35.8844) * CHOOSE(CONTROL!$C$21, $C$9, 100%, $E$9)</f>
        <v>35.884399999999999</v>
      </c>
      <c r="F953" s="10">
        <f>CHOOSE(CONTROL!$C$42, 35.6118, 35.6118)*CHOOSE(CONTROL!$C$21, $C$9, 100%, $E$9)</f>
        <v>35.611800000000002</v>
      </c>
      <c r="G953" s="10">
        <f>CHOOSE(CONTROL!$C$42, 35.6287, 35.6287)*CHOOSE(CONTROL!$C$21, $C$9, 100%, $E$9)</f>
        <v>35.628700000000002</v>
      </c>
      <c r="H953" s="10">
        <f>CHOOSE(CONTROL!$C$42, 35.8727, 35.8727) * CHOOSE(CONTROL!$C$21, $C$9, 100%, $E$9)</f>
        <v>35.872700000000002</v>
      </c>
      <c r="I953" s="10">
        <f>CHOOSE(CONTROL!$C$42, 35.6447, 35.6447)* CHOOSE(CONTROL!$C$21, $C$9, 100%, $E$9)</f>
        <v>35.6447</v>
      </c>
      <c r="J953" s="10">
        <f>CHOOSE(CONTROL!$C$42, 35.6044, 35.6044)* CHOOSE(CONTROL!$C$21, $C$9, 100%, $E$9)</f>
        <v>35.604399999999998</v>
      </c>
      <c r="K953" s="10">
        <f>CHOOSE(CONTROL!$C$42, 34.6887, 34.6887) * CHOOSE(CONTROL!$C$21, $C$9, 100%, $E$9)</f>
        <v>34.688699999999997</v>
      </c>
      <c r="L953" s="10">
        <f>CHOOSE(CONTROL!$C$42, 36.4597, 36.4597) * CHOOSE(CONTROL!$C$21, $C$9, 100%, $E$9)</f>
        <v>36.459699999999998</v>
      </c>
      <c r="M953" s="10">
        <f>CHOOSE(CONTROL!$C$42, 35.1765, 35.1765) * CHOOSE(CONTROL!$C$21, $C$9, 100%, $E$9)</f>
        <v>35.176499999999997</v>
      </c>
      <c r="N953" s="10">
        <f>CHOOSE(CONTROL!$C$42, 35.1932, 35.1932) * CHOOSE(CONTROL!$C$21, $C$9, 100%, $E$9)</f>
        <v>35.193199999999997</v>
      </c>
      <c r="O953" s="10">
        <f>CHOOSE(CONTROL!$C$42, 35.4414, 35.4414) * CHOOSE(CONTROL!$C$21, $C$9, 100%, $E$9)</f>
        <v>35.441400000000002</v>
      </c>
      <c r="P953" s="10">
        <f>CHOOSE(CONTROL!$C$42, 35.2164, 35.2164) * CHOOSE(CONTROL!$C$21, $C$9, 100%, $E$9)</f>
        <v>35.2164</v>
      </c>
      <c r="Q953" s="10">
        <f>CHOOSE(CONTROL!$C$42, 36.0367, 36.0367) * CHOOSE(CONTROL!$C$21, $C$9, 100%, $E$9)</f>
        <v>36.036700000000003</v>
      </c>
      <c r="R953" s="10">
        <f>CHOOSE(CONTROL!$C$42, 36.7138, 36.7138) * CHOOSE(CONTROL!$C$21, $C$9, 100%, $E$9)</f>
        <v>36.713799999999999</v>
      </c>
      <c r="S953" s="10">
        <f>CHOOSE(CONTROL!$C$42, 34.5539, 34.5539) * CHOOSE(CONTROL!$C$21, $C$9, 100%, $E$9)</f>
        <v>34.553899999999999</v>
      </c>
      <c r="T95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38">
        <f>(1000*CHOOSE(CONTROL!$C$42, 695, 695)*CHOOSE(CONTROL!$C$42, 0.5599, 0.5599)*CHOOSE(CONTROL!$C$42, 31, 31))/1000000</f>
        <v>12.063045499999998</v>
      </c>
      <c r="V953" s="38">
        <f>(1000*CHOOSE(CONTROL!$C$42, 500, 500)*CHOOSE(CONTROL!$C$42, 0.275, 0.275)*CHOOSE(CONTROL!$C$42, 31, 31))/1000000</f>
        <v>4.2625000000000002</v>
      </c>
      <c r="W953" s="38">
        <f>(1000*CHOOSE(CONTROL!$C$42, 0.1146, 0.1146)*CHOOSE(CONTROL!$C$42, 121.5, 121.5)*CHOOSE(CONTROL!$C$42, 31, 31))/1000000</f>
        <v>0.43164089999999994</v>
      </c>
      <c r="X953" s="38">
        <f>(31*0.1790888*245000/1000000)+(31*0.2374*100000/1000000)</f>
        <v>2.0961194359999999</v>
      </c>
      <c r="Y953" s="38">
        <f>(1000*600*CHOOSE(CONTROL!$C$42, 1.0585, 1.0585)*CHOOSE(CONTROL!$C$42, 31, 31))/1000000</f>
        <v>19.688099999999999</v>
      </c>
      <c r="Z953" s="38"/>
      <c r="AA953" s="10"/>
      <c r="AB953" s="39"/>
      <c r="AC953" s="33">
        <f>(B953*194.205+C953*267.466+D953*133.845+E953*53.484+F953*40+G953*185+H953*0+I953*100+J953*300)/(194.205+267.466+133.845+53.484+0+40+185+100+300)</f>
        <v>35.674705469937209</v>
      </c>
      <c r="AD953" s="27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35.303264748201443</v>
      </c>
    </row>
    <row r="954" spans="1:30" ht="15.75" x14ac:dyDescent="0.25">
      <c r="A954" s="13">
        <v>70310</v>
      </c>
      <c r="B954" s="10">
        <f>CHOOSE(CONTROL!$C$42, 36.6823, 36.6823) * CHOOSE(CONTROL!$C$21, $C$9, 100%, $E$9)</f>
        <v>36.682299999999998</v>
      </c>
      <c r="C954" s="10">
        <f>CHOOSE(CONTROL!$C$42, 36.6903, 36.6903) * CHOOSE(CONTROL!$C$21, $C$9, 100%, $E$9)</f>
        <v>36.690300000000001</v>
      </c>
      <c r="D954" s="10">
        <f>CHOOSE(CONTROL!$C$42, 36.8654, 36.8654) * CHOOSE(CONTROL!$C$21, $C$9, 100%, $E$9)</f>
        <v>36.865400000000001</v>
      </c>
      <c r="E954" s="10">
        <f>CHOOSE(CONTROL!$C$42, 36.8966, 36.8966) * CHOOSE(CONTROL!$C$21, $C$9, 100%, $E$9)</f>
        <v>36.896599999999999</v>
      </c>
      <c r="F954" s="10">
        <f>CHOOSE(CONTROL!$C$42, 36.6242, 36.6242)*CHOOSE(CONTROL!$C$21, $C$9, 100%, $E$9)</f>
        <v>36.624200000000002</v>
      </c>
      <c r="G954" s="10">
        <f>CHOOSE(CONTROL!$C$42, 36.6411, 36.6411)*CHOOSE(CONTROL!$C$21, $C$9, 100%, $E$9)</f>
        <v>36.641100000000002</v>
      </c>
      <c r="H954" s="10">
        <f>CHOOSE(CONTROL!$C$42, 36.885, 36.885) * CHOOSE(CONTROL!$C$21, $C$9, 100%, $E$9)</f>
        <v>36.884999999999998</v>
      </c>
      <c r="I954" s="10">
        <f>CHOOSE(CONTROL!$C$42, 36.657, 36.657)* CHOOSE(CONTROL!$C$21, $C$9, 100%, $E$9)</f>
        <v>36.656999999999996</v>
      </c>
      <c r="J954" s="10">
        <f>CHOOSE(CONTROL!$C$42, 36.6168, 36.6168)* CHOOSE(CONTROL!$C$21, $C$9, 100%, $E$9)</f>
        <v>36.616799999999998</v>
      </c>
      <c r="K954" s="10">
        <f>CHOOSE(CONTROL!$C$42, 35.6697, 35.6697) * CHOOSE(CONTROL!$C$21, $C$9, 100%, $E$9)</f>
        <v>35.669699999999999</v>
      </c>
      <c r="L954" s="10">
        <f>CHOOSE(CONTROL!$C$42, 37.472, 37.472) * CHOOSE(CONTROL!$C$21, $C$9, 100%, $E$9)</f>
        <v>37.472000000000001</v>
      </c>
      <c r="M954" s="10">
        <f>CHOOSE(CONTROL!$C$42, 36.1758, 36.1758) * CHOOSE(CONTROL!$C$21, $C$9, 100%, $E$9)</f>
        <v>36.175800000000002</v>
      </c>
      <c r="N954" s="10">
        <f>CHOOSE(CONTROL!$C$42, 36.1925, 36.1925) * CHOOSE(CONTROL!$C$21, $C$9, 100%, $E$9)</f>
        <v>36.192500000000003</v>
      </c>
      <c r="O954" s="10">
        <f>CHOOSE(CONTROL!$C$42, 36.4405, 36.4405) * CHOOSE(CONTROL!$C$21, $C$9, 100%, $E$9)</f>
        <v>36.4405</v>
      </c>
      <c r="P954" s="10">
        <f>CHOOSE(CONTROL!$C$42, 36.2155, 36.2155) * CHOOSE(CONTROL!$C$21, $C$9, 100%, $E$9)</f>
        <v>36.215499999999999</v>
      </c>
      <c r="Q954" s="10">
        <f>CHOOSE(CONTROL!$C$42, 37.0358, 37.0358) * CHOOSE(CONTROL!$C$21, $C$9, 100%, $E$9)</f>
        <v>37.035800000000002</v>
      </c>
      <c r="R954" s="10">
        <f>CHOOSE(CONTROL!$C$42, 37.7154, 37.7154) * CHOOSE(CONTROL!$C$21, $C$9, 100%, $E$9)</f>
        <v>37.715400000000002</v>
      </c>
      <c r="S954" s="10">
        <f>CHOOSE(CONTROL!$C$42, 35.5341, 35.5341) * CHOOSE(CONTROL!$C$21, $C$9, 100%, $E$9)</f>
        <v>35.534100000000002</v>
      </c>
      <c r="T95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38">
        <f>(1000*CHOOSE(CONTROL!$C$42, 695, 695)*CHOOSE(CONTROL!$C$42, 0.5599, 0.5599)*CHOOSE(CONTROL!$C$42, 30, 30))/1000000</f>
        <v>11.673914999999997</v>
      </c>
      <c r="V954" s="38">
        <f>(1000*CHOOSE(CONTROL!$C$42, 500, 500)*CHOOSE(CONTROL!$C$42, 0.275, 0.275)*CHOOSE(CONTROL!$C$42, 30, 30))/1000000</f>
        <v>4.125</v>
      </c>
      <c r="W954" s="38">
        <f>(1000*CHOOSE(CONTROL!$C$42, 0.1146, 0.1146)*CHOOSE(CONTROL!$C$42, 121.5, 121.5)*CHOOSE(CONTROL!$C$42, 30, 30))/1000000</f>
        <v>0.417717</v>
      </c>
      <c r="X954" s="38">
        <f>(30*0.1790888*245000/1000000)+(30*0.2374*100000/1000000)</f>
        <v>2.0285026799999999</v>
      </c>
      <c r="Y954" s="38">
        <f>(1000*600*CHOOSE(CONTROL!$C$42, 1.0585, 1.0585)*CHOOSE(CONTROL!$C$42, 30, 30))/1000000</f>
        <v>19.053000000000001</v>
      </c>
      <c r="Z954" s="38"/>
      <c r="AA954" s="10"/>
      <c r="AB954" s="39"/>
      <c r="AC954" s="33">
        <f>(B954*194.205+C954*267.466+D954*133.845+E954*53.484+F954*40+G954*185+H954*0+I954*100+J954*300)/(194.205+267.466+133.845+53.484+0+40+185+100+300)</f>
        <v>36.686995736813188</v>
      </c>
      <c r="AD954" s="27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36.302445323741004</v>
      </c>
    </row>
    <row r="955" spans="1:30" ht="15.75" x14ac:dyDescent="0.25">
      <c r="A955" s="13">
        <v>70341</v>
      </c>
      <c r="B955" s="10">
        <f>CHOOSE(CONTROL!$C$42, 35.9783, 35.9783) * CHOOSE(CONTROL!$C$21, $C$9, 100%, $E$9)</f>
        <v>35.978299999999997</v>
      </c>
      <c r="C955" s="10">
        <f>CHOOSE(CONTROL!$C$42, 35.9863, 35.9863) * CHOOSE(CONTROL!$C$21, $C$9, 100%, $E$9)</f>
        <v>35.9863</v>
      </c>
      <c r="D955" s="10">
        <f>CHOOSE(CONTROL!$C$42, 36.1614, 36.1614) * CHOOSE(CONTROL!$C$21, $C$9, 100%, $E$9)</f>
        <v>36.1614</v>
      </c>
      <c r="E955" s="10">
        <f>CHOOSE(CONTROL!$C$42, 36.1926, 36.1926) * CHOOSE(CONTROL!$C$21, $C$9, 100%, $E$9)</f>
        <v>36.192599999999999</v>
      </c>
      <c r="F955" s="10">
        <f>CHOOSE(CONTROL!$C$42, 35.9205, 35.9205)*CHOOSE(CONTROL!$C$21, $C$9, 100%, $E$9)</f>
        <v>35.920499999999997</v>
      </c>
      <c r="G955" s="10">
        <f>CHOOSE(CONTROL!$C$42, 35.9375, 35.9375)*CHOOSE(CONTROL!$C$21, $C$9, 100%, $E$9)</f>
        <v>35.9375</v>
      </c>
      <c r="H955" s="10">
        <f>CHOOSE(CONTROL!$C$42, 36.181, 36.181) * CHOOSE(CONTROL!$C$21, $C$9, 100%, $E$9)</f>
        <v>36.180999999999997</v>
      </c>
      <c r="I955" s="10">
        <f>CHOOSE(CONTROL!$C$42, 35.9529, 35.9529)* CHOOSE(CONTROL!$C$21, $C$9, 100%, $E$9)</f>
        <v>35.9529</v>
      </c>
      <c r="J955" s="10">
        <f>CHOOSE(CONTROL!$C$42, 35.9131, 35.9131)* CHOOSE(CONTROL!$C$21, $C$9, 100%, $E$9)</f>
        <v>35.9131</v>
      </c>
      <c r="K955" s="10">
        <f>CHOOSE(CONTROL!$C$42, 34.9884, 34.9884) * CHOOSE(CONTROL!$C$21, $C$9, 100%, $E$9)</f>
        <v>34.988399999999999</v>
      </c>
      <c r="L955" s="10">
        <f>CHOOSE(CONTROL!$C$42, 36.768, 36.768) * CHOOSE(CONTROL!$C$21, $C$9, 100%, $E$9)</f>
        <v>36.768000000000001</v>
      </c>
      <c r="M955" s="10">
        <f>CHOOSE(CONTROL!$C$42, 35.4812, 35.4812) * CHOOSE(CONTROL!$C$21, $C$9, 100%, $E$9)</f>
        <v>35.481200000000001</v>
      </c>
      <c r="N955" s="10">
        <f>CHOOSE(CONTROL!$C$42, 35.498, 35.498) * CHOOSE(CONTROL!$C$21, $C$9, 100%, $E$9)</f>
        <v>35.497999999999998</v>
      </c>
      <c r="O955" s="10">
        <f>CHOOSE(CONTROL!$C$42, 35.7456, 35.7456) * CHOOSE(CONTROL!$C$21, $C$9, 100%, $E$9)</f>
        <v>35.745600000000003</v>
      </c>
      <c r="P955" s="10">
        <f>CHOOSE(CONTROL!$C$42, 35.5206, 35.5206) * CHOOSE(CONTROL!$C$21, $C$9, 100%, $E$9)</f>
        <v>35.520600000000002</v>
      </c>
      <c r="Q955" s="10">
        <f>CHOOSE(CONTROL!$C$42, 36.3409, 36.3409) * CHOOSE(CONTROL!$C$21, $C$9, 100%, $E$9)</f>
        <v>36.340899999999998</v>
      </c>
      <c r="R955" s="10">
        <f>CHOOSE(CONTROL!$C$42, 37.0188, 37.0188) * CHOOSE(CONTROL!$C$21, $C$9, 100%, $E$9)</f>
        <v>37.018799999999999</v>
      </c>
      <c r="S955" s="10">
        <f>CHOOSE(CONTROL!$C$42, 34.8524, 34.8524) * CHOOSE(CONTROL!$C$21, $C$9, 100%, $E$9)</f>
        <v>34.852400000000003</v>
      </c>
      <c r="T95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38">
        <f>(1000*CHOOSE(CONTROL!$C$42, 695, 695)*CHOOSE(CONTROL!$C$42, 0.5599, 0.5599)*CHOOSE(CONTROL!$C$42, 31, 31))/1000000</f>
        <v>12.063045499999998</v>
      </c>
      <c r="V955" s="38">
        <f>(1000*CHOOSE(CONTROL!$C$42, 500, 500)*CHOOSE(CONTROL!$C$42, 0.275, 0.275)*CHOOSE(CONTROL!$C$42, 31, 31))/1000000</f>
        <v>4.2625000000000002</v>
      </c>
      <c r="W955" s="38">
        <f>(1000*CHOOSE(CONTROL!$C$42, 0.1146, 0.1146)*CHOOSE(CONTROL!$C$42, 121.5, 121.5)*CHOOSE(CONTROL!$C$42, 31, 31))/1000000</f>
        <v>0.43164089999999994</v>
      </c>
      <c r="X955" s="38">
        <f>(31*0.1790888*245000/1000000)+(31*0.2374*100000/1000000)</f>
        <v>2.0961194359999999</v>
      </c>
      <c r="Y955" s="38">
        <f>(1000*600*CHOOSE(CONTROL!$C$42, 1.0585, 1.0585)*CHOOSE(CONTROL!$C$42, 31, 31))/1000000</f>
        <v>19.688099999999999</v>
      </c>
      <c r="Z955" s="38"/>
      <c r="AA955" s="10"/>
      <c r="AB955" s="39"/>
      <c r="AC955" s="33">
        <f>(B955*194.205+C955*267.466+D955*133.845+E955*53.484+F955*40+G955*185+H955*0+I955*100+J955*300)/(194.205+267.466+133.845+53.484+0+40+185+100+300)</f>
        <v>35.983126035086343</v>
      </c>
      <c r="AD955" s="27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35.607671942446053</v>
      </c>
    </row>
    <row r="956" spans="1:30" ht="15.75" x14ac:dyDescent="0.25">
      <c r="A956" s="13">
        <v>70372</v>
      </c>
      <c r="B956" s="10">
        <f>CHOOSE(CONTROL!$C$42, 34.2004, 34.2004) * CHOOSE(CONTROL!$C$21, $C$9, 100%, $E$9)</f>
        <v>34.200400000000002</v>
      </c>
      <c r="C956" s="10">
        <f>CHOOSE(CONTROL!$C$42, 34.2084, 34.2084) * CHOOSE(CONTROL!$C$21, $C$9, 100%, $E$9)</f>
        <v>34.208399999999997</v>
      </c>
      <c r="D956" s="10">
        <f>CHOOSE(CONTROL!$C$42, 34.3836, 34.3836) * CHOOSE(CONTROL!$C$21, $C$9, 100%, $E$9)</f>
        <v>34.383600000000001</v>
      </c>
      <c r="E956" s="10">
        <f>CHOOSE(CONTROL!$C$42, 34.4148, 34.4148) * CHOOSE(CONTROL!$C$21, $C$9, 100%, $E$9)</f>
        <v>34.4148</v>
      </c>
      <c r="F956" s="10">
        <f>CHOOSE(CONTROL!$C$42, 34.1426, 34.1426)*CHOOSE(CONTROL!$C$21, $C$9, 100%, $E$9)</f>
        <v>34.142600000000002</v>
      </c>
      <c r="G956" s="10">
        <f>CHOOSE(CONTROL!$C$42, 34.1596, 34.1596)*CHOOSE(CONTROL!$C$21, $C$9, 100%, $E$9)</f>
        <v>34.159599999999998</v>
      </c>
      <c r="H956" s="10">
        <f>CHOOSE(CONTROL!$C$42, 34.4031, 34.4031) * CHOOSE(CONTROL!$C$21, $C$9, 100%, $E$9)</f>
        <v>34.403100000000002</v>
      </c>
      <c r="I956" s="10">
        <f>CHOOSE(CONTROL!$C$42, 34.1751, 34.1751)* CHOOSE(CONTROL!$C$21, $C$9, 100%, $E$9)</f>
        <v>34.1751</v>
      </c>
      <c r="J956" s="10">
        <f>CHOOSE(CONTROL!$C$42, 34.1352, 34.1352)* CHOOSE(CONTROL!$C$21, $C$9, 100%, $E$9)</f>
        <v>34.135199999999998</v>
      </c>
      <c r="K956" s="10">
        <f>CHOOSE(CONTROL!$C$42, 33.2658, 33.2658) * CHOOSE(CONTROL!$C$21, $C$9, 100%, $E$9)</f>
        <v>33.265799999999999</v>
      </c>
      <c r="L956" s="10">
        <f>CHOOSE(CONTROL!$C$42, 34.9901, 34.9901) * CHOOSE(CONTROL!$C$21, $C$9, 100%, $E$9)</f>
        <v>34.990099999999998</v>
      </c>
      <c r="M956" s="10">
        <f>CHOOSE(CONTROL!$C$42, 33.7263, 33.7263) * CHOOSE(CONTROL!$C$21, $C$9, 100%, $E$9)</f>
        <v>33.726300000000002</v>
      </c>
      <c r="N956" s="10">
        <f>CHOOSE(CONTROL!$C$42, 33.7431, 33.7431) * CHOOSE(CONTROL!$C$21, $C$9, 100%, $E$9)</f>
        <v>33.743099999999998</v>
      </c>
      <c r="O956" s="10">
        <f>CHOOSE(CONTROL!$C$42, 33.9908, 33.9908) * CHOOSE(CONTROL!$C$21, $C$9, 100%, $E$9)</f>
        <v>33.9908</v>
      </c>
      <c r="P956" s="10">
        <f>CHOOSE(CONTROL!$C$42, 33.7658, 33.7658) * CHOOSE(CONTROL!$C$21, $C$9, 100%, $E$9)</f>
        <v>33.765799999999999</v>
      </c>
      <c r="Q956" s="10">
        <f>CHOOSE(CONTROL!$C$42, 34.5861, 34.5861) * CHOOSE(CONTROL!$C$21, $C$9, 100%, $E$9)</f>
        <v>34.586100000000002</v>
      </c>
      <c r="R956" s="10">
        <f>CHOOSE(CONTROL!$C$42, 35.2596, 35.2596) * CHOOSE(CONTROL!$C$21, $C$9, 100%, $E$9)</f>
        <v>35.259599999999999</v>
      </c>
      <c r="S956" s="10">
        <f>CHOOSE(CONTROL!$C$42, 33.1309, 33.1309) * CHOOSE(CONTROL!$C$21, $C$9, 100%, $E$9)</f>
        <v>33.130899999999997</v>
      </c>
      <c r="T95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38">
        <f>(1000*CHOOSE(CONTROL!$C$42, 695, 695)*CHOOSE(CONTROL!$C$42, 0.5599, 0.5599)*CHOOSE(CONTROL!$C$42, 31, 31))/1000000</f>
        <v>12.063045499999998</v>
      </c>
      <c r="V956" s="38">
        <f>(1000*CHOOSE(CONTROL!$C$42, 500, 500)*CHOOSE(CONTROL!$C$42, 0.275, 0.275)*CHOOSE(CONTROL!$C$42, 31, 31))/1000000</f>
        <v>4.2625000000000002</v>
      </c>
      <c r="W956" s="38">
        <f>(1000*CHOOSE(CONTROL!$C$42, 0.1146, 0.1146)*CHOOSE(CONTROL!$C$42, 121.5, 121.5)*CHOOSE(CONTROL!$C$42, 31, 31))/1000000</f>
        <v>0.43164089999999994</v>
      </c>
      <c r="X956" s="38">
        <f>(31*0.1790888*245000/1000000)+(31*0.2374*100000/1000000)</f>
        <v>2.0961194359999999</v>
      </c>
      <c r="Y956" s="38">
        <f>(1000*600*CHOOSE(CONTROL!$C$42, 1.0585, 1.0585)*CHOOSE(CONTROL!$C$42, 31, 31))/1000000</f>
        <v>19.688099999999999</v>
      </c>
      <c r="Z956" s="38"/>
      <c r="AA956" s="10"/>
      <c r="AB956" s="39"/>
      <c r="AC956" s="33">
        <f>(B956*194.205+C956*267.466+D956*133.845+E956*53.484+F956*40+G956*185+H956*0+I956*100+J956*300)/(194.205+267.466+133.845+53.484+0+40+185+100+300)</f>
        <v>34.20524858838305</v>
      </c>
      <c r="AD956" s="27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33.852831654676258</v>
      </c>
    </row>
    <row r="957" spans="1:30" ht="15.75" x14ac:dyDescent="0.25">
      <c r="A957" s="13">
        <v>70402</v>
      </c>
      <c r="B957" s="10">
        <f>CHOOSE(CONTROL!$C$42, 32.0283, 32.0283) * CHOOSE(CONTROL!$C$21, $C$9, 100%, $E$9)</f>
        <v>32.028300000000002</v>
      </c>
      <c r="C957" s="10">
        <f>CHOOSE(CONTROL!$C$42, 32.0362, 32.0362) * CHOOSE(CONTROL!$C$21, $C$9, 100%, $E$9)</f>
        <v>32.036200000000001</v>
      </c>
      <c r="D957" s="10">
        <f>CHOOSE(CONTROL!$C$42, 32.2114, 32.2114) * CHOOSE(CONTROL!$C$21, $C$9, 100%, $E$9)</f>
        <v>32.211399999999998</v>
      </c>
      <c r="E957" s="10">
        <f>CHOOSE(CONTROL!$C$42, 32.2426, 32.2426) * CHOOSE(CONTROL!$C$21, $C$9, 100%, $E$9)</f>
        <v>32.242600000000003</v>
      </c>
      <c r="F957" s="10">
        <f>CHOOSE(CONTROL!$C$42, 31.97, 31.97)*CHOOSE(CONTROL!$C$21, $C$9, 100%, $E$9)</f>
        <v>31.97</v>
      </c>
      <c r="G957" s="10">
        <f>CHOOSE(CONTROL!$C$42, 31.987, 31.987)*CHOOSE(CONTROL!$C$21, $C$9, 100%, $E$9)</f>
        <v>31.986999999999998</v>
      </c>
      <c r="H957" s="10">
        <f>CHOOSE(CONTROL!$C$42, 32.2309, 32.2309) * CHOOSE(CONTROL!$C$21, $C$9, 100%, $E$9)</f>
        <v>32.230899999999998</v>
      </c>
      <c r="I957" s="10">
        <f>CHOOSE(CONTROL!$C$42, 32.0029, 32.0029)* CHOOSE(CONTROL!$C$21, $C$9, 100%, $E$9)</f>
        <v>32.002899999999997</v>
      </c>
      <c r="J957" s="10">
        <f>CHOOSE(CONTROL!$C$42, 31.9626, 31.9626)* CHOOSE(CONTROL!$C$21, $C$9, 100%, $E$9)</f>
        <v>31.962599999999998</v>
      </c>
      <c r="K957" s="10">
        <f>CHOOSE(CONTROL!$C$42, 31.1607, 31.1607) * CHOOSE(CONTROL!$C$21, $C$9, 100%, $E$9)</f>
        <v>31.160699999999999</v>
      </c>
      <c r="L957" s="10">
        <f>CHOOSE(CONTROL!$C$42, 32.8179, 32.8179) * CHOOSE(CONTROL!$C$21, $C$9, 100%, $E$9)</f>
        <v>32.817900000000002</v>
      </c>
      <c r="M957" s="10">
        <f>CHOOSE(CONTROL!$C$42, 31.5819, 31.5819) * CHOOSE(CONTROL!$C$21, $C$9, 100%, $E$9)</f>
        <v>31.581900000000001</v>
      </c>
      <c r="N957" s="10">
        <f>CHOOSE(CONTROL!$C$42, 31.5986, 31.5986) * CHOOSE(CONTROL!$C$21, $C$9, 100%, $E$9)</f>
        <v>31.598600000000001</v>
      </c>
      <c r="O957" s="10">
        <f>CHOOSE(CONTROL!$C$42, 31.8467, 31.8467) * CHOOSE(CONTROL!$C$21, $C$9, 100%, $E$9)</f>
        <v>31.846699999999998</v>
      </c>
      <c r="P957" s="10">
        <f>CHOOSE(CONTROL!$C$42, 31.6217, 31.6217) * CHOOSE(CONTROL!$C$21, $C$9, 100%, $E$9)</f>
        <v>31.621700000000001</v>
      </c>
      <c r="Q957" s="10">
        <f>CHOOSE(CONTROL!$C$42, 32.442, 32.442) * CHOOSE(CONTROL!$C$21, $C$9, 100%, $E$9)</f>
        <v>32.442</v>
      </c>
      <c r="R957" s="10">
        <f>CHOOSE(CONTROL!$C$42, 33.1101, 33.1101) * CHOOSE(CONTROL!$C$21, $C$9, 100%, $E$9)</f>
        <v>33.110100000000003</v>
      </c>
      <c r="S957" s="10">
        <f>CHOOSE(CONTROL!$C$42, 31.0276, 31.0276) * CHOOSE(CONTROL!$C$21, $C$9, 100%, $E$9)</f>
        <v>31.0276</v>
      </c>
      <c r="T95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38">
        <f>(1000*CHOOSE(CONTROL!$C$42, 695, 695)*CHOOSE(CONTROL!$C$42, 0.5599, 0.5599)*CHOOSE(CONTROL!$C$42, 30, 30))/1000000</f>
        <v>11.673914999999997</v>
      </c>
      <c r="V957" s="38">
        <f>(1000*CHOOSE(CONTROL!$C$42, 500, 500)*CHOOSE(CONTROL!$C$42, 0.275, 0.275)*CHOOSE(CONTROL!$C$42, 30, 30))/1000000</f>
        <v>4.125</v>
      </c>
      <c r="W957" s="38">
        <f>(1000*CHOOSE(CONTROL!$C$42, 0.1146, 0.1146)*CHOOSE(CONTROL!$C$42, 121.5, 121.5)*CHOOSE(CONTROL!$C$42, 30, 30))/1000000</f>
        <v>0.417717</v>
      </c>
      <c r="X957" s="38">
        <f>(30*0.1790888*245000/1000000)+(30*0.2374*100000/1000000)</f>
        <v>2.0285026799999999</v>
      </c>
      <c r="Y957" s="38">
        <f>(1000*600*CHOOSE(CONTROL!$C$42, 1.0585, 1.0585)*CHOOSE(CONTROL!$C$42, 30, 30))/1000000</f>
        <v>19.053000000000001</v>
      </c>
      <c r="Z957" s="38"/>
      <c r="AA957" s="10"/>
      <c r="AB957" s="39"/>
      <c r="AC957" s="33">
        <f>(B957*194.205+C957*267.466+D957*133.845+E957*53.484+F957*40+G957*185+H957*0+I957*100+J957*300)/(194.205+267.466+133.845+53.484+0+40+185+100+300)</f>
        <v>32.032898996938776</v>
      </c>
      <c r="AD957" s="27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31.708605035971221</v>
      </c>
    </row>
    <row r="958" spans="1:30" ht="15.75" x14ac:dyDescent="0.25">
      <c r="A958" s="13">
        <v>70433</v>
      </c>
      <c r="B958" s="10">
        <f>CHOOSE(CONTROL!$C$42, 31.3755, 31.3755) * CHOOSE(CONTROL!$C$21, $C$9, 100%, $E$9)</f>
        <v>31.375499999999999</v>
      </c>
      <c r="C958" s="10">
        <f>CHOOSE(CONTROL!$C$42, 31.3809, 31.3809) * CHOOSE(CONTROL!$C$21, $C$9, 100%, $E$9)</f>
        <v>31.3809</v>
      </c>
      <c r="D958" s="10">
        <f>CHOOSE(CONTROL!$C$42, 31.5609, 31.5609) * CHOOSE(CONTROL!$C$21, $C$9, 100%, $E$9)</f>
        <v>31.5609</v>
      </c>
      <c r="E958" s="10">
        <f>CHOOSE(CONTROL!$C$42, 31.5898, 31.5898) * CHOOSE(CONTROL!$C$21, $C$9, 100%, $E$9)</f>
        <v>31.5898</v>
      </c>
      <c r="F958" s="10">
        <f>CHOOSE(CONTROL!$C$42, 31.3193, 31.3193)*CHOOSE(CONTROL!$C$21, $C$9, 100%, $E$9)</f>
        <v>31.319299999999998</v>
      </c>
      <c r="G958" s="10">
        <f>CHOOSE(CONTROL!$C$42, 31.3359, 31.3359)*CHOOSE(CONTROL!$C$21, $C$9, 100%, $E$9)</f>
        <v>31.335899999999999</v>
      </c>
      <c r="H958" s="10">
        <f>CHOOSE(CONTROL!$C$42, 31.5799, 31.5799) * CHOOSE(CONTROL!$C$21, $C$9, 100%, $E$9)</f>
        <v>31.579899999999999</v>
      </c>
      <c r="I958" s="10">
        <f>CHOOSE(CONTROL!$C$42, 31.3519, 31.3519)* CHOOSE(CONTROL!$C$21, $C$9, 100%, $E$9)</f>
        <v>31.351900000000001</v>
      </c>
      <c r="J958" s="10">
        <f>CHOOSE(CONTROL!$C$42, 31.3119, 31.3119)* CHOOSE(CONTROL!$C$21, $C$9, 100%, $E$9)</f>
        <v>31.311900000000001</v>
      </c>
      <c r="K958" s="10">
        <f>CHOOSE(CONTROL!$C$42, 30.5307, 30.5307) * CHOOSE(CONTROL!$C$21, $C$9, 100%, $E$9)</f>
        <v>30.5307</v>
      </c>
      <c r="L958" s="10">
        <f>CHOOSE(CONTROL!$C$42, 32.1669, 32.1669) * CHOOSE(CONTROL!$C$21, $C$9, 100%, $E$9)</f>
        <v>32.166899999999998</v>
      </c>
      <c r="M958" s="10">
        <f>CHOOSE(CONTROL!$C$42, 30.9396, 30.9396) * CHOOSE(CONTROL!$C$21, $C$9, 100%, $E$9)</f>
        <v>30.939599999999999</v>
      </c>
      <c r="N958" s="10">
        <f>CHOOSE(CONTROL!$C$42, 30.956, 30.956) * CHOOSE(CONTROL!$C$21, $C$9, 100%, $E$9)</f>
        <v>30.956</v>
      </c>
      <c r="O958" s="10">
        <f>CHOOSE(CONTROL!$C$42, 31.2042, 31.2042) * CHOOSE(CONTROL!$C$21, $C$9, 100%, $E$9)</f>
        <v>31.2042</v>
      </c>
      <c r="P958" s="10">
        <f>CHOOSE(CONTROL!$C$42, 30.9791, 30.9791) * CHOOSE(CONTROL!$C$21, $C$9, 100%, $E$9)</f>
        <v>30.979099999999999</v>
      </c>
      <c r="Q958" s="10">
        <f>CHOOSE(CONTROL!$C$42, 31.7995, 31.7995) * CHOOSE(CONTROL!$C$21, $C$9, 100%, $E$9)</f>
        <v>31.799499999999998</v>
      </c>
      <c r="R958" s="10">
        <f>CHOOSE(CONTROL!$C$42, 32.466, 32.466) * CHOOSE(CONTROL!$C$21, $C$9, 100%, $E$9)</f>
        <v>32.466000000000001</v>
      </c>
      <c r="S958" s="10">
        <f>CHOOSE(CONTROL!$C$42, 30.3972, 30.3972) * CHOOSE(CONTROL!$C$21, $C$9, 100%, $E$9)</f>
        <v>30.397200000000002</v>
      </c>
      <c r="T95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38">
        <f>(1000*CHOOSE(CONTROL!$C$42, 695, 695)*CHOOSE(CONTROL!$C$42, 0.5599, 0.5599)*CHOOSE(CONTROL!$C$42, 31, 31))/1000000</f>
        <v>12.063045499999998</v>
      </c>
      <c r="V958" s="38">
        <f>(1000*CHOOSE(CONTROL!$C$42, 500, 500)*CHOOSE(CONTROL!$C$42, 0.275, 0.275)*CHOOSE(CONTROL!$C$42, 31, 31))/1000000</f>
        <v>4.2625000000000002</v>
      </c>
      <c r="W958" s="38">
        <f>(1000*CHOOSE(CONTROL!$C$42, 0.1146, 0.1146)*CHOOSE(CONTROL!$C$42, 121.5, 121.5)*CHOOSE(CONTROL!$C$42, 31, 31))/1000000</f>
        <v>0.43164089999999994</v>
      </c>
      <c r="X958" s="38">
        <f>(31*0.1790888*245000/1000000)+(31*0.2374*100000/1000000)</f>
        <v>2.0961194359999999</v>
      </c>
      <c r="Y958" s="38">
        <f>(1000*600*CHOOSE(CONTROL!$C$42, 1.0585, 1.0585)*CHOOSE(CONTROL!$C$42, 31, 31))/1000000</f>
        <v>19.688099999999999</v>
      </c>
      <c r="Z958" s="38"/>
      <c r="AA958" s="10"/>
      <c r="AB958" s="39"/>
      <c r="AC958" s="33">
        <f>(B958*131.881+C958*277.167+D958*79.08+E958*125.872+F958*40+G958*185+H958*0+I958*100+J958*300)/(131.881+277.167+79.08+125.872+0+40+185+100+300)</f>
        <v>31.385280874414846</v>
      </c>
      <c r="AD958" s="27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31.066153956834537</v>
      </c>
    </row>
    <row r="959" spans="1:30" ht="15.75" x14ac:dyDescent="0.25">
      <c r="A959" s="13">
        <v>70463</v>
      </c>
      <c r="B959" s="10">
        <f>CHOOSE(CONTROL!$C$42, 32.2021, 32.2021) * CHOOSE(CONTROL!$C$21, $C$9, 100%, $E$9)</f>
        <v>32.202100000000002</v>
      </c>
      <c r="C959" s="10">
        <f>CHOOSE(CONTROL!$C$42, 32.2072, 32.2072) * CHOOSE(CONTROL!$C$21, $C$9, 100%, $E$9)</f>
        <v>32.2072</v>
      </c>
      <c r="D959" s="10">
        <f>CHOOSE(CONTROL!$C$42, 32.2319, 32.2319) * CHOOSE(CONTROL!$C$21, $C$9, 100%, $E$9)</f>
        <v>32.231900000000003</v>
      </c>
      <c r="E959" s="10">
        <f>CHOOSE(CONTROL!$C$42, 32.2657, 32.2657) * CHOOSE(CONTROL!$C$21, $C$9, 100%, $E$9)</f>
        <v>32.265700000000002</v>
      </c>
      <c r="F959" s="10">
        <f>CHOOSE(CONTROL!$C$42, 32.1678, 32.1678)*CHOOSE(CONTROL!$C$21, $C$9, 100%, $E$9)</f>
        <v>32.1678</v>
      </c>
      <c r="G959" s="10">
        <f>CHOOSE(CONTROL!$C$42, 32.1846, 32.1846)*CHOOSE(CONTROL!$C$21, $C$9, 100%, $E$9)</f>
        <v>32.184600000000003</v>
      </c>
      <c r="H959" s="10">
        <f>CHOOSE(CONTROL!$C$42, 32.2546, 32.2546) * CHOOSE(CONTROL!$C$21, $C$9, 100%, $E$9)</f>
        <v>32.254600000000003</v>
      </c>
      <c r="I959" s="10">
        <f>CHOOSE(CONTROL!$C$42, 32.2016, 32.2016)* CHOOSE(CONTROL!$C$21, $C$9, 100%, $E$9)</f>
        <v>32.201599999999999</v>
      </c>
      <c r="J959" s="10">
        <f>CHOOSE(CONTROL!$C$42, 32.1604, 32.1604)* CHOOSE(CONTROL!$C$21, $C$9, 100%, $E$9)</f>
        <v>32.160400000000003</v>
      </c>
      <c r="K959" s="10">
        <f>CHOOSE(CONTROL!$C$42, 31.3557, 31.3557) * CHOOSE(CONTROL!$C$21, $C$9, 100%, $E$9)</f>
        <v>31.355699999999999</v>
      </c>
      <c r="L959" s="10">
        <f>CHOOSE(CONTROL!$C$42, 32.8416, 32.8416) * CHOOSE(CONTROL!$C$21, $C$9, 100%, $E$9)</f>
        <v>32.8416</v>
      </c>
      <c r="M959" s="10">
        <f>CHOOSE(CONTROL!$C$42, 31.7771, 31.7771) * CHOOSE(CONTROL!$C$21, $C$9, 100%, $E$9)</f>
        <v>31.777100000000001</v>
      </c>
      <c r="N959" s="10">
        <f>CHOOSE(CONTROL!$C$42, 31.7937, 31.7937) * CHOOSE(CONTROL!$C$21, $C$9, 100%, $E$9)</f>
        <v>31.793700000000001</v>
      </c>
      <c r="O959" s="10">
        <f>CHOOSE(CONTROL!$C$42, 31.8701, 31.8701) * CHOOSE(CONTROL!$C$21, $C$9, 100%, $E$9)</f>
        <v>31.870100000000001</v>
      </c>
      <c r="P959" s="10">
        <f>CHOOSE(CONTROL!$C$42, 31.8179, 31.8179) * CHOOSE(CONTROL!$C$21, $C$9, 100%, $E$9)</f>
        <v>31.817900000000002</v>
      </c>
      <c r="Q959" s="10">
        <f>CHOOSE(CONTROL!$C$42, 32.4654, 32.4654) * CHOOSE(CONTROL!$C$21, $C$9, 100%, $E$9)</f>
        <v>32.465400000000002</v>
      </c>
      <c r="R959" s="10">
        <f>CHOOSE(CONTROL!$C$42, 33.1336, 33.1336) * CHOOSE(CONTROL!$C$21, $C$9, 100%, $E$9)</f>
        <v>33.133600000000001</v>
      </c>
      <c r="S959" s="10">
        <f>CHOOSE(CONTROL!$C$42, 31.198, 31.198) * CHOOSE(CONTROL!$C$21, $C$9, 100%, $E$9)</f>
        <v>31.198</v>
      </c>
      <c r="T95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38">
        <f>(1000*CHOOSE(CONTROL!$C$42, 695, 695)*CHOOSE(CONTROL!$C$42, 0.5599, 0.5599)*CHOOSE(CONTROL!$C$42, 30, 30))/1000000</f>
        <v>11.673914999999997</v>
      </c>
      <c r="V959" s="38">
        <f>(1000*CHOOSE(CONTROL!$C$42, 500, 500)*CHOOSE(CONTROL!$C$42, 0.275, 0.275)*CHOOSE(CONTROL!$C$42, 30, 30))/1000000</f>
        <v>4.125</v>
      </c>
      <c r="W959" s="38">
        <f>(1000*CHOOSE(CONTROL!$C$42, 0.1146, 0.1146)*CHOOSE(CONTROL!$C$42, 121.5, 121.5)*CHOOSE(CONTROL!$C$42, 30, 30))/1000000</f>
        <v>0.417717</v>
      </c>
      <c r="X959" s="38">
        <f>(30*0.1790888*100000/1000000)+(30*0.2374*100000/1000000)</f>
        <v>1.2494664</v>
      </c>
      <c r="Y959" s="38">
        <f>(1000*600*CHOOSE(CONTROL!$C$42, 1.0585, 1.0585)*CHOOSE(CONTROL!$C$42, 30, 30))/1000000</f>
        <v>19.053000000000001</v>
      </c>
      <c r="Z959" s="38"/>
      <c r="AA959" s="10"/>
      <c r="AB959" s="39"/>
      <c r="AC959" s="33">
        <f>(B959*122.58+C959*297.941+D959*89.177+E959*40.302+F959*40+G959*160+H959*0+I959*100+J959*300)/(122.58+297.941+89.177+40.302+0+40+160+100+300)</f>
        <v>32.193411461652168</v>
      </c>
      <c r="AD959" s="27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31.826076978417269</v>
      </c>
    </row>
    <row r="960" spans="1:30" ht="15.75" x14ac:dyDescent="0.25">
      <c r="A960" s="13">
        <v>70494</v>
      </c>
      <c r="B960" s="10">
        <f>CHOOSE(CONTROL!$C$42, 34.3988, 34.3988) * CHOOSE(CONTROL!$C$21, $C$9, 100%, $E$9)</f>
        <v>34.398800000000001</v>
      </c>
      <c r="C960" s="10">
        <f>CHOOSE(CONTROL!$C$42, 34.4039, 34.4039) * CHOOSE(CONTROL!$C$21, $C$9, 100%, $E$9)</f>
        <v>34.4039</v>
      </c>
      <c r="D960" s="10">
        <f>CHOOSE(CONTROL!$C$42, 34.4286, 34.4286) * CHOOSE(CONTROL!$C$21, $C$9, 100%, $E$9)</f>
        <v>34.428600000000003</v>
      </c>
      <c r="E960" s="10">
        <f>CHOOSE(CONTROL!$C$42, 34.4624, 34.4624) * CHOOSE(CONTROL!$C$21, $C$9, 100%, $E$9)</f>
        <v>34.462400000000002</v>
      </c>
      <c r="F960" s="10">
        <f>CHOOSE(CONTROL!$C$42, 34.3662, 34.3662)*CHOOSE(CONTROL!$C$21, $C$9, 100%, $E$9)</f>
        <v>34.366199999999999</v>
      </c>
      <c r="G960" s="10">
        <f>CHOOSE(CONTROL!$C$42, 34.3835, 34.3835)*CHOOSE(CONTROL!$C$21, $C$9, 100%, $E$9)</f>
        <v>34.383499999999998</v>
      </c>
      <c r="H960" s="10">
        <f>CHOOSE(CONTROL!$C$42, 34.4513, 34.4513) * CHOOSE(CONTROL!$C$21, $C$9, 100%, $E$9)</f>
        <v>34.451300000000003</v>
      </c>
      <c r="I960" s="10">
        <f>CHOOSE(CONTROL!$C$42, 34.3983, 34.3983)* CHOOSE(CONTROL!$C$21, $C$9, 100%, $E$9)</f>
        <v>34.398299999999999</v>
      </c>
      <c r="J960" s="10">
        <f>CHOOSE(CONTROL!$C$42, 34.3588, 34.3588)* CHOOSE(CONTROL!$C$21, $C$9, 100%, $E$9)</f>
        <v>34.358800000000002</v>
      </c>
      <c r="K960" s="10">
        <f>CHOOSE(CONTROL!$C$42, 33.4876, 33.4876) * CHOOSE(CONTROL!$C$21, $C$9, 100%, $E$9)</f>
        <v>33.4876</v>
      </c>
      <c r="L960" s="10">
        <f>CHOOSE(CONTROL!$C$42, 35.0383, 35.0383) * CHOOSE(CONTROL!$C$21, $C$9, 100%, $E$9)</f>
        <v>35.0383</v>
      </c>
      <c r="M960" s="10">
        <f>CHOOSE(CONTROL!$C$42, 33.9471, 33.9471) * CHOOSE(CONTROL!$C$21, $C$9, 100%, $E$9)</f>
        <v>33.947099999999999</v>
      </c>
      <c r="N960" s="10">
        <f>CHOOSE(CONTROL!$C$42, 33.9641, 33.9641) * CHOOSE(CONTROL!$C$21, $C$9, 100%, $E$9)</f>
        <v>33.964100000000002</v>
      </c>
      <c r="O960" s="10">
        <f>CHOOSE(CONTROL!$C$42, 34.0383, 34.0383) * CHOOSE(CONTROL!$C$21, $C$9, 100%, $E$9)</f>
        <v>34.0383</v>
      </c>
      <c r="P960" s="10">
        <f>CHOOSE(CONTROL!$C$42, 33.9861, 33.9861) * CHOOSE(CONTROL!$C$21, $C$9, 100%, $E$9)</f>
        <v>33.9861</v>
      </c>
      <c r="Q960" s="10">
        <f>CHOOSE(CONTROL!$C$42, 34.6336, 34.6336) * CHOOSE(CONTROL!$C$21, $C$9, 100%, $E$9)</f>
        <v>34.633600000000001</v>
      </c>
      <c r="R960" s="10">
        <f>CHOOSE(CONTROL!$C$42, 35.3072, 35.3072) * CHOOSE(CONTROL!$C$21, $C$9, 100%, $E$9)</f>
        <v>35.307200000000002</v>
      </c>
      <c r="S960" s="10">
        <f>CHOOSE(CONTROL!$C$42, 33.325, 33.325) * CHOOSE(CONTROL!$C$21, $C$9, 100%, $E$9)</f>
        <v>33.325000000000003</v>
      </c>
      <c r="T96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38">
        <f>(1000*CHOOSE(CONTROL!$C$42, 695, 695)*CHOOSE(CONTROL!$C$42, 0.5599, 0.5599)*CHOOSE(CONTROL!$C$42, 31, 31))/1000000</f>
        <v>12.063045499999998</v>
      </c>
      <c r="V960" s="38">
        <f>(1000*CHOOSE(CONTROL!$C$42, 500, 500)*CHOOSE(CONTROL!$C$42, 0.275, 0.275)*CHOOSE(CONTROL!$C$42, 31, 31))/1000000</f>
        <v>4.2625000000000002</v>
      </c>
      <c r="W960" s="38">
        <f>(1000*CHOOSE(CONTROL!$C$42, 0.1146, 0.1146)*CHOOSE(CONTROL!$C$42, 121.5, 121.5)*CHOOSE(CONTROL!$C$42, 31, 31))/1000000</f>
        <v>0.43164089999999994</v>
      </c>
      <c r="X960" s="38">
        <f>(31*0.1790888*100000/1000000)+(31*0.2374*100000/1000000)</f>
        <v>1.2911152800000001</v>
      </c>
      <c r="Y960" s="38">
        <f>(1000*600*CHOOSE(CONTROL!$C$42, 1.0585, 1.0585)*CHOOSE(CONTROL!$C$42, 31, 31))/1000000</f>
        <v>19.688099999999999</v>
      </c>
      <c r="Z960" s="38"/>
      <c r="AA960" s="10"/>
      <c r="AB960" s="39"/>
      <c r="AC960" s="33">
        <f>(B960*122.58+C960*297.941+D960*89.177+E960*40.302+F960*40+G960*160+H960*0+I960*100+J960*300)/(122.58+297.941+89.177+40.302+0+40+160+100+300)</f>
        <v>34.39092015730435</v>
      </c>
      <c r="AD960" s="27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33.995025179856121</v>
      </c>
    </row>
    <row r="961" spans="1:30" ht="15.75" x14ac:dyDescent="0.25">
      <c r="A961" s="13">
        <v>70525</v>
      </c>
      <c r="B961" s="10">
        <f>CHOOSE(CONTROL!$C$42, 36.7216, 36.7216) * CHOOSE(CONTROL!$C$21, $C$9, 100%, $E$9)</f>
        <v>36.721600000000002</v>
      </c>
      <c r="C961" s="10">
        <f>CHOOSE(CONTROL!$C$42, 36.7267, 36.7267) * CHOOSE(CONTROL!$C$21, $C$9, 100%, $E$9)</f>
        <v>36.726700000000001</v>
      </c>
      <c r="D961" s="10">
        <f>CHOOSE(CONTROL!$C$42, 36.7617, 36.7617) * CHOOSE(CONTROL!$C$21, $C$9, 100%, $E$9)</f>
        <v>36.761699999999998</v>
      </c>
      <c r="E961" s="10">
        <f>CHOOSE(CONTROL!$C$42, 36.7955, 36.7955) * CHOOSE(CONTROL!$C$21, $C$9, 100%, $E$9)</f>
        <v>36.795499999999997</v>
      </c>
      <c r="F961" s="10">
        <f>CHOOSE(CONTROL!$C$42, 36.7029, 36.7029)*CHOOSE(CONTROL!$C$21, $C$9, 100%, $E$9)</f>
        <v>36.7029</v>
      </c>
      <c r="G961" s="10">
        <f>CHOOSE(CONTROL!$C$42, 36.7218, 36.7218)*CHOOSE(CONTROL!$C$21, $C$9, 100%, $E$9)</f>
        <v>36.721800000000002</v>
      </c>
      <c r="H961" s="10">
        <f>CHOOSE(CONTROL!$C$42, 36.7844, 36.7844) * CHOOSE(CONTROL!$C$21, $C$9, 100%, $E$9)</f>
        <v>36.784399999999998</v>
      </c>
      <c r="I961" s="10">
        <f>CHOOSE(CONTROL!$C$42, 36.7289, 36.7289)* CHOOSE(CONTROL!$C$21, $C$9, 100%, $E$9)</f>
        <v>36.728900000000003</v>
      </c>
      <c r="J961" s="10">
        <f>CHOOSE(CONTROL!$C$42, 36.6955, 36.6955)* CHOOSE(CONTROL!$C$21, $C$9, 100%, $E$9)</f>
        <v>36.695500000000003</v>
      </c>
      <c r="K961" s="10">
        <f>CHOOSE(CONTROL!$C$42, 35.7587, 35.7587) * CHOOSE(CONTROL!$C$21, $C$9, 100%, $E$9)</f>
        <v>35.758699999999997</v>
      </c>
      <c r="L961" s="10">
        <f>CHOOSE(CONTROL!$C$42, 37.3714, 37.3714) * CHOOSE(CONTROL!$C$21, $C$9, 100%, $E$9)</f>
        <v>37.371400000000001</v>
      </c>
      <c r="M961" s="10">
        <f>CHOOSE(CONTROL!$C$42, 36.2535, 36.2535) * CHOOSE(CONTROL!$C$21, $C$9, 100%, $E$9)</f>
        <v>36.253500000000003</v>
      </c>
      <c r="N961" s="10">
        <f>CHOOSE(CONTROL!$C$42, 36.2722, 36.2722) * CHOOSE(CONTROL!$C$21, $C$9, 100%, $E$9)</f>
        <v>36.272199999999998</v>
      </c>
      <c r="O961" s="10">
        <f>CHOOSE(CONTROL!$C$42, 36.3413, 36.3413) * CHOOSE(CONTROL!$C$21, $C$9, 100%, $E$9)</f>
        <v>36.341299999999997</v>
      </c>
      <c r="P961" s="10">
        <f>CHOOSE(CONTROL!$C$42, 36.2865, 36.2865) * CHOOSE(CONTROL!$C$21, $C$9, 100%, $E$9)</f>
        <v>36.286499999999997</v>
      </c>
      <c r="Q961" s="10">
        <f>CHOOSE(CONTROL!$C$42, 36.9366, 36.9366) * CHOOSE(CONTROL!$C$21, $C$9, 100%, $E$9)</f>
        <v>36.936599999999999</v>
      </c>
      <c r="R961" s="10">
        <f>CHOOSE(CONTROL!$C$42, 37.6159, 37.6159) * CHOOSE(CONTROL!$C$21, $C$9, 100%, $E$9)</f>
        <v>37.615900000000003</v>
      </c>
      <c r="S961" s="10">
        <f>CHOOSE(CONTROL!$C$42, 35.5742, 35.5742) * CHOOSE(CONTROL!$C$21, $C$9, 100%, $E$9)</f>
        <v>35.574199999999998</v>
      </c>
      <c r="T96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38">
        <f>(1000*CHOOSE(CONTROL!$C$42, 695, 695)*CHOOSE(CONTROL!$C$42, 0.5599, 0.5599)*CHOOSE(CONTROL!$C$42, 31, 31))/1000000</f>
        <v>12.063045499999998</v>
      </c>
      <c r="V961" s="38">
        <f>(1000*CHOOSE(CONTROL!$C$42, 500, 500)*CHOOSE(CONTROL!$C$42, 0.275, 0.275)*CHOOSE(CONTROL!$C$42, 31, 31))/1000000</f>
        <v>4.2625000000000002</v>
      </c>
      <c r="W961" s="38">
        <f>(1000*CHOOSE(CONTROL!$C$42, 0.1146, 0.1146)*CHOOSE(CONTROL!$C$42, 121.5, 121.5)*CHOOSE(CONTROL!$C$42, 31, 31))/1000000</f>
        <v>0.43164089999999994</v>
      </c>
      <c r="X961" s="38">
        <f>(31*0.1790888*100000/1000000)+(31*0.2374*100000/1000000)</f>
        <v>1.2911152800000001</v>
      </c>
      <c r="Y961" s="38">
        <f>(1000*600*CHOOSE(CONTROL!$C$42, 1.0585, 1.0585)*CHOOSE(CONTROL!$C$42, 31, 31))/1000000</f>
        <v>19.688099999999999</v>
      </c>
      <c r="Z961" s="38"/>
      <c r="AA961" s="10"/>
      <c r="AB961" s="39"/>
      <c r="AC961" s="33">
        <f>(B961*122.58+C961*297.941+D961*89.177+E961*40.302+F961*40+G961*160+H961*0+I961*100+J961*300)/(122.58+297.941+89.177+40.302+0+40+160+100+300)</f>
        <v>36.721824186608693</v>
      </c>
      <c r="AD961" s="27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36.299118705035966</v>
      </c>
    </row>
    <row r="962" spans="1:30" ht="15.75" x14ac:dyDescent="0.25">
      <c r="A962" s="13">
        <v>70553</v>
      </c>
      <c r="B962" s="10">
        <f>CHOOSE(CONTROL!$C$42, 37.3756, 37.3756) * CHOOSE(CONTROL!$C$21, $C$9, 100%, $E$9)</f>
        <v>37.375599999999999</v>
      </c>
      <c r="C962" s="10">
        <f>CHOOSE(CONTROL!$C$42, 37.3807, 37.3807) * CHOOSE(CONTROL!$C$21, $C$9, 100%, $E$9)</f>
        <v>37.380699999999997</v>
      </c>
      <c r="D962" s="10">
        <f>CHOOSE(CONTROL!$C$42, 37.4157, 37.4157) * CHOOSE(CONTROL!$C$21, $C$9, 100%, $E$9)</f>
        <v>37.415700000000001</v>
      </c>
      <c r="E962" s="10">
        <f>CHOOSE(CONTROL!$C$42, 37.4495, 37.4495) * CHOOSE(CONTROL!$C$21, $C$9, 100%, $E$9)</f>
        <v>37.4495</v>
      </c>
      <c r="F962" s="10">
        <f>CHOOSE(CONTROL!$C$42, 37.3564, 37.3564)*CHOOSE(CONTROL!$C$21, $C$9, 100%, $E$9)</f>
        <v>37.356400000000001</v>
      </c>
      <c r="G962" s="10">
        <f>CHOOSE(CONTROL!$C$42, 37.3751, 37.3751)*CHOOSE(CONTROL!$C$21, $C$9, 100%, $E$9)</f>
        <v>37.375100000000003</v>
      </c>
      <c r="H962" s="10">
        <f>CHOOSE(CONTROL!$C$42, 37.4384, 37.4384) * CHOOSE(CONTROL!$C$21, $C$9, 100%, $E$9)</f>
        <v>37.438400000000001</v>
      </c>
      <c r="I962" s="10">
        <f>CHOOSE(CONTROL!$C$42, 37.3829, 37.3829)* CHOOSE(CONTROL!$C$21, $C$9, 100%, $E$9)</f>
        <v>37.382899999999999</v>
      </c>
      <c r="J962" s="10">
        <f>CHOOSE(CONTROL!$C$42, 37.349, 37.349)* CHOOSE(CONTROL!$C$21, $C$9, 100%, $E$9)</f>
        <v>37.348999999999997</v>
      </c>
      <c r="K962" s="10">
        <f>CHOOSE(CONTROL!$C$42, 36.3911, 36.3911) * CHOOSE(CONTROL!$C$21, $C$9, 100%, $E$9)</f>
        <v>36.391100000000002</v>
      </c>
      <c r="L962" s="10">
        <f>CHOOSE(CONTROL!$C$42, 38.0254, 38.0254) * CHOOSE(CONTROL!$C$21, $C$9, 100%, $E$9)</f>
        <v>38.025399999999998</v>
      </c>
      <c r="M962" s="10">
        <f>CHOOSE(CONTROL!$C$42, 36.8985, 36.8985) * CHOOSE(CONTROL!$C$21, $C$9, 100%, $E$9)</f>
        <v>36.898499999999999</v>
      </c>
      <c r="N962" s="10">
        <f>CHOOSE(CONTROL!$C$42, 36.917, 36.917) * CHOOSE(CONTROL!$C$21, $C$9, 100%, $E$9)</f>
        <v>36.917000000000002</v>
      </c>
      <c r="O962" s="10">
        <f>CHOOSE(CONTROL!$C$42, 36.9868, 36.9868) * CHOOSE(CONTROL!$C$21, $C$9, 100%, $E$9)</f>
        <v>36.986800000000002</v>
      </c>
      <c r="P962" s="10">
        <f>CHOOSE(CONTROL!$C$42, 36.932, 36.932) * CHOOSE(CONTROL!$C$21, $C$9, 100%, $E$9)</f>
        <v>36.932000000000002</v>
      </c>
      <c r="Q962" s="10">
        <f>CHOOSE(CONTROL!$C$42, 37.5821, 37.5821) * CHOOSE(CONTROL!$C$21, $C$9, 100%, $E$9)</f>
        <v>37.582099999999997</v>
      </c>
      <c r="R962" s="10">
        <f>CHOOSE(CONTROL!$C$42, 38.263, 38.263) * CHOOSE(CONTROL!$C$21, $C$9, 100%, $E$9)</f>
        <v>38.262999999999998</v>
      </c>
      <c r="S962" s="10">
        <f>CHOOSE(CONTROL!$C$42, 36.2075, 36.2075) * CHOOSE(CONTROL!$C$21, $C$9, 100%, $E$9)</f>
        <v>36.207500000000003</v>
      </c>
      <c r="T96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62" s="38">
        <f>(1000*CHOOSE(CONTROL!$C$42, 695, 695)*CHOOSE(CONTROL!$C$42, 0.5599, 0.5599)*CHOOSE(CONTROL!$C$42, 28, 28))/1000000</f>
        <v>10.895653999999999</v>
      </c>
      <c r="V962" s="38">
        <f>(1000*CHOOSE(CONTROL!$C$42, 500, 500)*CHOOSE(CONTROL!$C$42, 0.275, 0.275)*CHOOSE(CONTROL!$C$42, 28, 28))/1000000</f>
        <v>3.85</v>
      </c>
      <c r="W962" s="38">
        <f>(1000*CHOOSE(CONTROL!$C$42, 0.1146, 0.1146)*CHOOSE(CONTROL!$C$42, 121.5, 121.5)*CHOOSE(CONTROL!$C$42, 28, 28))/1000000</f>
        <v>0.38986920000000003</v>
      </c>
      <c r="X962" s="38">
        <f>(28*0.1790888*100000/1000000)+(28*0.2374*100000/1000000)</f>
        <v>1.16616864</v>
      </c>
      <c r="Y962" s="38">
        <f>(1000*600*CHOOSE(CONTROL!$C$42, 1.0585, 1.0585)*CHOOSE(CONTROL!$C$42, 28, 28))/1000000</f>
        <v>17.782800000000002</v>
      </c>
      <c r="Z962" s="38"/>
      <c r="AA962" s="10"/>
      <c r="AB962" s="39"/>
      <c r="AC962" s="33">
        <f>(B962*122.58+C962*297.941+D962*89.177+E962*40.302+F962*40+G962*160+H962*0+I962*100+J962*300)/(122.58+297.941+89.177+40.302+0+40+160+100+300)</f>
        <v>37.375578969217386</v>
      </c>
      <c r="AD962" s="27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36.944405755395685</v>
      </c>
    </row>
    <row r="963" spans="1:30" ht="15.75" x14ac:dyDescent="0.25">
      <c r="A963" s="13">
        <v>70584</v>
      </c>
      <c r="B963" s="10">
        <f>CHOOSE(CONTROL!$C$42, 36.314, 36.314) * CHOOSE(CONTROL!$C$21, $C$9, 100%, $E$9)</f>
        <v>36.314</v>
      </c>
      <c r="C963" s="10">
        <f>CHOOSE(CONTROL!$C$42, 36.3191, 36.3191) * CHOOSE(CONTROL!$C$21, $C$9, 100%, $E$9)</f>
        <v>36.319099999999999</v>
      </c>
      <c r="D963" s="10">
        <f>CHOOSE(CONTROL!$C$42, 36.3541, 36.3541) * CHOOSE(CONTROL!$C$21, $C$9, 100%, $E$9)</f>
        <v>36.354100000000003</v>
      </c>
      <c r="E963" s="10">
        <f>CHOOSE(CONTROL!$C$42, 36.3879, 36.3879) * CHOOSE(CONTROL!$C$21, $C$9, 100%, $E$9)</f>
        <v>36.387900000000002</v>
      </c>
      <c r="F963" s="10">
        <f>CHOOSE(CONTROL!$C$42, 36.2934, 36.2934)*CHOOSE(CONTROL!$C$21, $C$9, 100%, $E$9)</f>
        <v>36.293399999999998</v>
      </c>
      <c r="G963" s="10">
        <f>CHOOSE(CONTROL!$C$42, 36.3118, 36.3118)*CHOOSE(CONTROL!$C$21, $C$9, 100%, $E$9)</f>
        <v>36.311799999999998</v>
      </c>
      <c r="H963" s="10">
        <f>CHOOSE(CONTROL!$C$42, 36.3768, 36.3768) * CHOOSE(CONTROL!$C$21, $C$9, 100%, $E$9)</f>
        <v>36.376800000000003</v>
      </c>
      <c r="I963" s="10">
        <f>CHOOSE(CONTROL!$C$42, 36.3213, 36.3213)* CHOOSE(CONTROL!$C$21, $C$9, 100%, $E$9)</f>
        <v>36.321300000000001</v>
      </c>
      <c r="J963" s="10">
        <f>CHOOSE(CONTROL!$C$42, 36.286, 36.286)* CHOOSE(CONTROL!$C$21, $C$9, 100%, $E$9)</f>
        <v>36.286000000000001</v>
      </c>
      <c r="K963" s="10">
        <f>CHOOSE(CONTROL!$C$42, 35.3597, 35.3597) * CHOOSE(CONTROL!$C$21, $C$9, 100%, $E$9)</f>
        <v>35.359699999999997</v>
      </c>
      <c r="L963" s="10">
        <f>CHOOSE(CONTROL!$C$42, 36.9638, 36.9638) * CHOOSE(CONTROL!$C$21, $C$9, 100%, $E$9)</f>
        <v>36.963799999999999</v>
      </c>
      <c r="M963" s="10">
        <f>CHOOSE(CONTROL!$C$42, 35.8493, 35.8493) * CHOOSE(CONTROL!$C$21, $C$9, 100%, $E$9)</f>
        <v>35.849299999999999</v>
      </c>
      <c r="N963" s="10">
        <f>CHOOSE(CONTROL!$C$42, 35.8674, 35.8674) * CHOOSE(CONTROL!$C$21, $C$9, 100%, $E$9)</f>
        <v>35.867400000000004</v>
      </c>
      <c r="O963" s="10">
        <f>CHOOSE(CONTROL!$C$42, 35.9389, 35.9389) * CHOOSE(CONTROL!$C$21, $C$9, 100%, $E$9)</f>
        <v>35.938899999999997</v>
      </c>
      <c r="P963" s="10">
        <f>CHOOSE(CONTROL!$C$42, 35.8842, 35.8842) * CHOOSE(CONTROL!$C$21, $C$9, 100%, $E$9)</f>
        <v>35.8842</v>
      </c>
      <c r="Q963" s="10">
        <f>CHOOSE(CONTROL!$C$42, 36.5342, 36.5342) * CHOOSE(CONTROL!$C$21, $C$9, 100%, $E$9)</f>
        <v>36.534199999999998</v>
      </c>
      <c r="R963" s="10">
        <f>CHOOSE(CONTROL!$C$42, 37.2126, 37.2126) * CHOOSE(CONTROL!$C$21, $C$9, 100%, $E$9)</f>
        <v>37.212600000000002</v>
      </c>
      <c r="S963" s="10">
        <f>CHOOSE(CONTROL!$C$42, 35.1795, 35.1795) * CHOOSE(CONTROL!$C$21, $C$9, 100%, $E$9)</f>
        <v>35.179499999999997</v>
      </c>
      <c r="T96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38">
        <f>(1000*CHOOSE(CONTROL!$C$42, 695, 695)*CHOOSE(CONTROL!$C$42, 0.5599, 0.5599)*CHOOSE(CONTROL!$C$42, 31, 31))/1000000</f>
        <v>12.063045499999998</v>
      </c>
      <c r="V963" s="38">
        <f>(1000*CHOOSE(CONTROL!$C$42, 500, 500)*CHOOSE(CONTROL!$C$42, 0.275, 0.275)*CHOOSE(CONTROL!$C$42, 31, 31))/1000000</f>
        <v>4.2625000000000002</v>
      </c>
      <c r="W963" s="38">
        <f>(1000*CHOOSE(CONTROL!$C$42, 0.1146, 0.1146)*CHOOSE(CONTROL!$C$42, 121.5, 121.5)*CHOOSE(CONTROL!$C$42, 31, 31))/1000000</f>
        <v>0.43164089999999994</v>
      </c>
      <c r="X963" s="38">
        <f>(31*0.1790888*100000/1000000)+(31*0.2374*100000/1000000)</f>
        <v>1.2911152800000001</v>
      </c>
      <c r="Y963" s="38">
        <f>(1000*600*CHOOSE(CONTROL!$C$42, 1.0585, 1.0585)*CHOOSE(CONTROL!$C$42, 31, 31))/1000000</f>
        <v>19.688099999999999</v>
      </c>
      <c r="Z963" s="38"/>
      <c r="AA963" s="10"/>
      <c r="AB963" s="39"/>
      <c r="AC963" s="33">
        <f>(B963*122.58+C963*297.941+D963*89.177+E963*40.302+F963*40+G963*160+H963*0+I963*100+J963*300)/(122.58+297.941+89.177+40.302+0+40+160+100+300)</f>
        <v>36.313328534434781</v>
      </c>
      <c r="AD963" s="27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35.895973381294958</v>
      </c>
    </row>
    <row r="964" spans="1:30" ht="15.75" x14ac:dyDescent="0.25">
      <c r="A964" s="13">
        <v>70614</v>
      </c>
      <c r="B964" s="10">
        <f>CHOOSE(CONTROL!$C$42, 36.206, 36.206) * CHOOSE(CONTROL!$C$21, $C$9, 100%, $E$9)</f>
        <v>36.206000000000003</v>
      </c>
      <c r="C964" s="10">
        <f>CHOOSE(CONTROL!$C$42, 36.2105, 36.2105) * CHOOSE(CONTROL!$C$21, $C$9, 100%, $E$9)</f>
        <v>36.210500000000003</v>
      </c>
      <c r="D964" s="10">
        <f>CHOOSE(CONTROL!$C$42, 36.3887, 36.3887) * CHOOSE(CONTROL!$C$21, $C$9, 100%, $E$9)</f>
        <v>36.3887</v>
      </c>
      <c r="E964" s="10">
        <f>CHOOSE(CONTROL!$C$42, 36.4206, 36.4206) * CHOOSE(CONTROL!$C$21, $C$9, 100%, $E$9)</f>
        <v>36.4206</v>
      </c>
      <c r="F964" s="10">
        <f>CHOOSE(CONTROL!$C$42, 36.1495, 36.1495)*CHOOSE(CONTROL!$C$21, $C$9, 100%, $E$9)</f>
        <v>36.149500000000003</v>
      </c>
      <c r="G964" s="10">
        <f>CHOOSE(CONTROL!$C$42, 36.1661, 36.1661)*CHOOSE(CONTROL!$C$21, $C$9, 100%, $E$9)</f>
        <v>36.1661</v>
      </c>
      <c r="H964" s="10">
        <f>CHOOSE(CONTROL!$C$42, 36.41, 36.41) * CHOOSE(CONTROL!$C$21, $C$9, 100%, $E$9)</f>
        <v>36.409999999999997</v>
      </c>
      <c r="I964" s="10">
        <f>CHOOSE(CONTROL!$C$42, 36.182, 36.182)* CHOOSE(CONTROL!$C$21, $C$9, 100%, $E$9)</f>
        <v>36.182000000000002</v>
      </c>
      <c r="J964" s="10">
        <f>CHOOSE(CONTROL!$C$42, 36.1421, 36.1421)* CHOOSE(CONTROL!$C$21, $C$9, 100%, $E$9)</f>
        <v>36.142099999999999</v>
      </c>
      <c r="K964" s="10">
        <f>CHOOSE(CONTROL!$C$42, 35.2101, 35.2101) * CHOOSE(CONTROL!$C$21, $C$9, 100%, $E$9)</f>
        <v>35.210099999999997</v>
      </c>
      <c r="L964" s="10">
        <f>CHOOSE(CONTROL!$C$42, 36.997, 36.997) * CHOOSE(CONTROL!$C$21, $C$9, 100%, $E$9)</f>
        <v>36.997</v>
      </c>
      <c r="M964" s="10">
        <f>CHOOSE(CONTROL!$C$42, 35.7072, 35.7072) * CHOOSE(CONTROL!$C$21, $C$9, 100%, $E$9)</f>
        <v>35.7072</v>
      </c>
      <c r="N964" s="10">
        <f>CHOOSE(CONTROL!$C$42, 35.7236, 35.7236) * CHOOSE(CONTROL!$C$21, $C$9, 100%, $E$9)</f>
        <v>35.723599999999998</v>
      </c>
      <c r="O964" s="10">
        <f>CHOOSE(CONTROL!$C$42, 35.9717, 35.9717) * CHOOSE(CONTROL!$C$21, $C$9, 100%, $E$9)</f>
        <v>35.971699999999998</v>
      </c>
      <c r="P964" s="10">
        <f>CHOOSE(CONTROL!$C$42, 35.7467, 35.7467) * CHOOSE(CONTROL!$C$21, $C$9, 100%, $E$9)</f>
        <v>35.746699999999997</v>
      </c>
      <c r="Q964" s="10">
        <f>CHOOSE(CONTROL!$C$42, 36.567, 36.567) * CHOOSE(CONTROL!$C$21, $C$9, 100%, $E$9)</f>
        <v>36.567</v>
      </c>
      <c r="R964" s="10">
        <f>CHOOSE(CONTROL!$C$42, 37.2455, 37.2455) * CHOOSE(CONTROL!$C$21, $C$9, 100%, $E$9)</f>
        <v>37.2455</v>
      </c>
      <c r="S964" s="10">
        <f>CHOOSE(CONTROL!$C$42, 35.0742, 35.0742) * CHOOSE(CONTROL!$C$21, $C$9, 100%, $E$9)</f>
        <v>35.074199999999998</v>
      </c>
      <c r="T96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38">
        <f>(1000*CHOOSE(CONTROL!$C$42, 695, 695)*CHOOSE(CONTROL!$C$42, 0.5599, 0.5599)*CHOOSE(CONTROL!$C$42, 30, 30))/1000000</f>
        <v>11.673914999999997</v>
      </c>
      <c r="V964" s="38">
        <f>(1000*CHOOSE(CONTROL!$C$42, 500, 500)*CHOOSE(CONTROL!$C$42, 0.275, 0.275)*CHOOSE(CONTROL!$C$42, 30, 30))/1000000</f>
        <v>4.125</v>
      </c>
      <c r="W964" s="38">
        <f>(1000*CHOOSE(CONTROL!$C$42, 0.1146, 0.1146)*CHOOSE(CONTROL!$C$42, 121.5, 121.5)*CHOOSE(CONTROL!$C$42, 30, 30))/1000000</f>
        <v>0.417717</v>
      </c>
      <c r="X964" s="38">
        <f>(30*0.1790888*245000/1000000)+(30*0.2374*100000/1000000)</f>
        <v>2.0285026799999999</v>
      </c>
      <c r="Y964" s="38">
        <f>(1000*600*CHOOSE(CONTROL!$C$42, 1.0585, 1.0585)*CHOOSE(CONTROL!$C$42, 30, 30))/1000000</f>
        <v>19.053000000000001</v>
      </c>
      <c r="Z964" s="38"/>
      <c r="AA964" s="10"/>
      <c r="AB964" s="39"/>
      <c r="AC964" s="33">
        <f>(B964*141.293+C964*267.993+D964*115.016+E964*89.698+F964*40+G964*185+H964*0+I964*100+J964*300)/(141.293+267.993+115.016+89.698+0+40+185+100+300)</f>
        <v>36.21427851694915</v>
      </c>
      <c r="AD964" s="27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35.833708633093522</v>
      </c>
    </row>
    <row r="965" spans="1:30" ht="15.75" x14ac:dyDescent="0.25">
      <c r="A965" s="13">
        <v>70645</v>
      </c>
      <c r="B965" s="10">
        <f>CHOOSE(CONTROL!$C$42, 36.5275, 36.5275) * CHOOSE(CONTROL!$C$21, $C$9, 100%, $E$9)</f>
        <v>36.527500000000003</v>
      </c>
      <c r="C965" s="10">
        <f>CHOOSE(CONTROL!$C$42, 36.5355, 36.5355) * CHOOSE(CONTROL!$C$21, $C$9, 100%, $E$9)</f>
        <v>36.535499999999999</v>
      </c>
      <c r="D965" s="10">
        <f>CHOOSE(CONTROL!$C$42, 36.7106, 36.7106) * CHOOSE(CONTROL!$C$21, $C$9, 100%, $E$9)</f>
        <v>36.710599999999999</v>
      </c>
      <c r="E965" s="10">
        <f>CHOOSE(CONTROL!$C$42, 36.7418, 36.7418) * CHOOSE(CONTROL!$C$21, $C$9, 100%, $E$9)</f>
        <v>36.741799999999998</v>
      </c>
      <c r="F965" s="10">
        <f>CHOOSE(CONTROL!$C$42, 36.4692, 36.4692)*CHOOSE(CONTROL!$C$21, $C$9, 100%, $E$9)</f>
        <v>36.469200000000001</v>
      </c>
      <c r="G965" s="10">
        <f>CHOOSE(CONTROL!$C$42, 36.486, 36.486)*CHOOSE(CONTROL!$C$21, $C$9, 100%, $E$9)</f>
        <v>36.485999999999997</v>
      </c>
      <c r="H965" s="10">
        <f>CHOOSE(CONTROL!$C$42, 36.7301, 36.7301) * CHOOSE(CONTROL!$C$21, $C$9, 100%, $E$9)</f>
        <v>36.7301</v>
      </c>
      <c r="I965" s="10">
        <f>CHOOSE(CONTROL!$C$42, 36.5021, 36.5021)* CHOOSE(CONTROL!$C$21, $C$9, 100%, $E$9)</f>
        <v>36.502099999999999</v>
      </c>
      <c r="J965" s="10">
        <f>CHOOSE(CONTROL!$C$42, 36.4618, 36.4618)* CHOOSE(CONTROL!$C$21, $C$9, 100%, $E$9)</f>
        <v>36.461799999999997</v>
      </c>
      <c r="K965" s="10">
        <f>CHOOSE(CONTROL!$C$42, 35.5193, 35.5193) * CHOOSE(CONTROL!$C$21, $C$9, 100%, $E$9)</f>
        <v>35.519300000000001</v>
      </c>
      <c r="L965" s="10">
        <f>CHOOSE(CONTROL!$C$42, 37.3171, 37.3171) * CHOOSE(CONTROL!$C$21, $C$9, 100%, $E$9)</f>
        <v>37.317100000000003</v>
      </c>
      <c r="M965" s="10">
        <f>CHOOSE(CONTROL!$C$42, 36.0228, 36.0228) * CHOOSE(CONTROL!$C$21, $C$9, 100%, $E$9)</f>
        <v>36.022799999999997</v>
      </c>
      <c r="N965" s="10">
        <f>CHOOSE(CONTROL!$C$42, 36.0395, 36.0395) * CHOOSE(CONTROL!$C$21, $C$9, 100%, $E$9)</f>
        <v>36.039499999999997</v>
      </c>
      <c r="O965" s="10">
        <f>CHOOSE(CONTROL!$C$42, 36.2877, 36.2877) * CHOOSE(CONTROL!$C$21, $C$9, 100%, $E$9)</f>
        <v>36.287700000000001</v>
      </c>
      <c r="P965" s="10">
        <f>CHOOSE(CONTROL!$C$42, 36.0627, 36.0627) * CHOOSE(CONTROL!$C$21, $C$9, 100%, $E$9)</f>
        <v>36.0627</v>
      </c>
      <c r="Q965" s="10">
        <f>CHOOSE(CONTROL!$C$42, 36.883, 36.883) * CHOOSE(CONTROL!$C$21, $C$9, 100%, $E$9)</f>
        <v>36.883000000000003</v>
      </c>
      <c r="R965" s="10">
        <f>CHOOSE(CONTROL!$C$42, 37.5622, 37.5622) * CHOOSE(CONTROL!$C$21, $C$9, 100%, $E$9)</f>
        <v>37.562199999999997</v>
      </c>
      <c r="S965" s="10">
        <f>CHOOSE(CONTROL!$C$42, 35.3841, 35.3841) * CHOOSE(CONTROL!$C$21, $C$9, 100%, $E$9)</f>
        <v>35.384099999999997</v>
      </c>
      <c r="T96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38">
        <f>(1000*CHOOSE(CONTROL!$C$42, 695, 695)*CHOOSE(CONTROL!$C$42, 0.5599, 0.5599)*CHOOSE(CONTROL!$C$42, 31, 31))/1000000</f>
        <v>12.063045499999998</v>
      </c>
      <c r="V965" s="38">
        <f>(1000*CHOOSE(CONTROL!$C$42, 500, 500)*CHOOSE(CONTROL!$C$42, 0.275, 0.275)*CHOOSE(CONTROL!$C$42, 31, 31))/1000000</f>
        <v>4.2625000000000002</v>
      </c>
      <c r="W965" s="38">
        <f>(1000*CHOOSE(CONTROL!$C$42, 0.1146, 0.1146)*CHOOSE(CONTROL!$C$42, 121.5, 121.5)*CHOOSE(CONTROL!$C$42, 31, 31))/1000000</f>
        <v>0.43164089999999994</v>
      </c>
      <c r="X965" s="38">
        <f>(31*0.1790888*245000/1000000)+(31*0.2374*100000/1000000)</f>
        <v>2.0961194359999999</v>
      </c>
      <c r="Y965" s="38">
        <f>(1000*600*CHOOSE(CONTROL!$C$42, 1.0585, 1.0585)*CHOOSE(CONTROL!$C$42, 31, 31))/1000000</f>
        <v>19.688099999999999</v>
      </c>
      <c r="Z965" s="38"/>
      <c r="AA965" s="10"/>
      <c r="AB965" s="39"/>
      <c r="AC965" s="33">
        <f>(B965*194.205+C965*267.466+D965*133.845+E965*53.484+F965*40+G965*185+H965*0+I965*100+J965*300)/(194.205+267.466+133.845+53.484+0+40+185+100+300)</f>
        <v>36.532090948744113</v>
      </c>
      <c r="AD965" s="27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36.149564748201435</v>
      </c>
    </row>
    <row r="966" spans="1:30" ht="15.75" x14ac:dyDescent="0.25">
      <c r="A966" s="13">
        <v>70675</v>
      </c>
      <c r="B966" s="10">
        <f>CHOOSE(CONTROL!$C$42, 37.564, 37.564) * CHOOSE(CONTROL!$C$21, $C$9, 100%, $E$9)</f>
        <v>37.564</v>
      </c>
      <c r="C966" s="10">
        <f>CHOOSE(CONTROL!$C$42, 37.572, 37.572) * CHOOSE(CONTROL!$C$21, $C$9, 100%, $E$9)</f>
        <v>37.572000000000003</v>
      </c>
      <c r="D966" s="10">
        <f>CHOOSE(CONTROL!$C$42, 37.7471, 37.7471) * CHOOSE(CONTROL!$C$21, $C$9, 100%, $E$9)</f>
        <v>37.747100000000003</v>
      </c>
      <c r="E966" s="10">
        <f>CHOOSE(CONTROL!$C$42, 37.7784, 37.7784) * CHOOSE(CONTROL!$C$21, $C$9, 100%, $E$9)</f>
        <v>37.778399999999998</v>
      </c>
      <c r="F966" s="10">
        <f>CHOOSE(CONTROL!$C$42, 37.5059, 37.5059)*CHOOSE(CONTROL!$C$21, $C$9, 100%, $E$9)</f>
        <v>37.505899999999997</v>
      </c>
      <c r="G966" s="10">
        <f>CHOOSE(CONTROL!$C$42, 37.5228, 37.5228)*CHOOSE(CONTROL!$C$21, $C$9, 100%, $E$9)</f>
        <v>37.522799999999997</v>
      </c>
      <c r="H966" s="10">
        <f>CHOOSE(CONTROL!$C$42, 37.7667, 37.7667) * CHOOSE(CONTROL!$C$21, $C$9, 100%, $E$9)</f>
        <v>37.7667</v>
      </c>
      <c r="I966" s="10">
        <f>CHOOSE(CONTROL!$C$42, 37.5387, 37.5387)* CHOOSE(CONTROL!$C$21, $C$9, 100%, $E$9)</f>
        <v>37.538699999999999</v>
      </c>
      <c r="J966" s="10">
        <f>CHOOSE(CONTROL!$C$42, 37.4985, 37.4985)* CHOOSE(CONTROL!$C$21, $C$9, 100%, $E$9)</f>
        <v>37.4985</v>
      </c>
      <c r="K966" s="10">
        <f>CHOOSE(CONTROL!$C$42, 36.5239, 36.5239) * CHOOSE(CONTROL!$C$21, $C$9, 100%, $E$9)</f>
        <v>36.523899999999998</v>
      </c>
      <c r="L966" s="10">
        <f>CHOOSE(CONTROL!$C$42, 38.3537, 38.3537) * CHOOSE(CONTROL!$C$21, $C$9, 100%, $E$9)</f>
        <v>38.353700000000003</v>
      </c>
      <c r="M966" s="10">
        <f>CHOOSE(CONTROL!$C$42, 37.0461, 37.0461) * CHOOSE(CONTROL!$C$21, $C$9, 100%, $E$9)</f>
        <v>37.046100000000003</v>
      </c>
      <c r="N966" s="10">
        <f>CHOOSE(CONTROL!$C$42, 37.0628, 37.0628) * CHOOSE(CONTROL!$C$21, $C$9, 100%, $E$9)</f>
        <v>37.062800000000003</v>
      </c>
      <c r="O966" s="10">
        <f>CHOOSE(CONTROL!$C$42, 37.3108, 37.3108) * CHOOSE(CONTROL!$C$21, $C$9, 100%, $E$9)</f>
        <v>37.3108</v>
      </c>
      <c r="P966" s="10">
        <f>CHOOSE(CONTROL!$C$42, 37.0858, 37.0858) * CHOOSE(CONTROL!$C$21, $C$9, 100%, $E$9)</f>
        <v>37.085799999999999</v>
      </c>
      <c r="Q966" s="10">
        <f>CHOOSE(CONTROL!$C$42, 37.9061, 37.9061) * CHOOSE(CONTROL!$C$21, $C$9, 100%, $E$9)</f>
        <v>37.906100000000002</v>
      </c>
      <c r="R966" s="10">
        <f>CHOOSE(CONTROL!$C$42, 38.5879, 38.5879) * CHOOSE(CONTROL!$C$21, $C$9, 100%, $E$9)</f>
        <v>38.587899999999998</v>
      </c>
      <c r="S966" s="10">
        <f>CHOOSE(CONTROL!$C$42, 36.3878, 36.3878) * CHOOSE(CONTROL!$C$21, $C$9, 100%, $E$9)</f>
        <v>36.387799999999999</v>
      </c>
      <c r="T96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38">
        <f>(1000*CHOOSE(CONTROL!$C$42, 695, 695)*CHOOSE(CONTROL!$C$42, 0.5599, 0.5599)*CHOOSE(CONTROL!$C$42, 30, 30))/1000000</f>
        <v>11.673914999999997</v>
      </c>
      <c r="V966" s="38">
        <f>(1000*CHOOSE(CONTROL!$C$42, 500, 500)*CHOOSE(CONTROL!$C$42, 0.275, 0.275)*CHOOSE(CONTROL!$C$42, 30, 30))/1000000</f>
        <v>4.125</v>
      </c>
      <c r="W966" s="38">
        <f>(1000*CHOOSE(CONTROL!$C$42, 0.1146, 0.1146)*CHOOSE(CONTROL!$C$42, 121.5, 121.5)*CHOOSE(CONTROL!$C$42, 30, 30))/1000000</f>
        <v>0.417717</v>
      </c>
      <c r="X966" s="38">
        <f>(30*0.1790888*245000/1000000)+(30*0.2374*100000/1000000)</f>
        <v>2.0285026799999999</v>
      </c>
      <c r="Y966" s="38">
        <f>(1000*600*CHOOSE(CONTROL!$C$42, 1.0585, 1.0585)*CHOOSE(CONTROL!$C$42, 30, 30))/1000000</f>
        <v>19.053000000000001</v>
      </c>
      <c r="Z966" s="38"/>
      <c r="AA966" s="10"/>
      <c r="AB966" s="39"/>
      <c r="AC966" s="33">
        <f>(B966*194.205+C966*267.466+D966*133.845+E966*53.484+F966*40+G966*185+H966*0+I966*100+J966*300)/(194.205+267.466+133.845+53.484+0+40+185+100+300)</f>
        <v>37.568699934929363</v>
      </c>
      <c r="AD966" s="27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37.172745323741012</v>
      </c>
    </row>
    <row r="967" spans="1:30" ht="15.75" x14ac:dyDescent="0.25">
      <c r="A967" s="13">
        <v>70706</v>
      </c>
      <c r="B967" s="10">
        <f>CHOOSE(CONTROL!$C$42, 36.8431, 36.8431) * CHOOSE(CONTROL!$C$21, $C$9, 100%, $E$9)</f>
        <v>36.8431</v>
      </c>
      <c r="C967" s="10">
        <f>CHOOSE(CONTROL!$C$42, 36.8511, 36.8511) * CHOOSE(CONTROL!$C$21, $C$9, 100%, $E$9)</f>
        <v>36.851100000000002</v>
      </c>
      <c r="D967" s="10">
        <f>CHOOSE(CONTROL!$C$42, 37.0262, 37.0262) * CHOOSE(CONTROL!$C$21, $C$9, 100%, $E$9)</f>
        <v>37.026200000000003</v>
      </c>
      <c r="E967" s="10">
        <f>CHOOSE(CONTROL!$C$42, 37.0574, 37.0574) * CHOOSE(CONTROL!$C$21, $C$9, 100%, $E$9)</f>
        <v>37.057400000000001</v>
      </c>
      <c r="F967" s="10">
        <f>CHOOSE(CONTROL!$C$42, 36.7853, 36.7853)*CHOOSE(CONTROL!$C$21, $C$9, 100%, $E$9)</f>
        <v>36.785299999999999</v>
      </c>
      <c r="G967" s="10">
        <f>CHOOSE(CONTROL!$C$42, 36.8023, 36.8023)*CHOOSE(CONTROL!$C$21, $C$9, 100%, $E$9)</f>
        <v>36.802300000000002</v>
      </c>
      <c r="H967" s="10">
        <f>CHOOSE(CONTROL!$C$42, 37.0458, 37.0458) * CHOOSE(CONTROL!$C$21, $C$9, 100%, $E$9)</f>
        <v>37.0458</v>
      </c>
      <c r="I967" s="10">
        <f>CHOOSE(CONTROL!$C$42, 36.8177, 36.8177)* CHOOSE(CONTROL!$C$21, $C$9, 100%, $E$9)</f>
        <v>36.817700000000002</v>
      </c>
      <c r="J967" s="10">
        <f>CHOOSE(CONTROL!$C$42, 36.7779, 36.7779)* CHOOSE(CONTROL!$C$21, $C$9, 100%, $E$9)</f>
        <v>36.777900000000002</v>
      </c>
      <c r="K967" s="10">
        <f>CHOOSE(CONTROL!$C$42, 35.8262, 35.8262) * CHOOSE(CONTROL!$C$21, $C$9, 100%, $E$9)</f>
        <v>35.8262</v>
      </c>
      <c r="L967" s="10">
        <f>CHOOSE(CONTROL!$C$42, 37.6328, 37.6328) * CHOOSE(CONTROL!$C$21, $C$9, 100%, $E$9)</f>
        <v>37.632800000000003</v>
      </c>
      <c r="M967" s="10">
        <f>CHOOSE(CONTROL!$C$42, 36.3348, 36.3348) * CHOOSE(CONTROL!$C$21, $C$9, 100%, $E$9)</f>
        <v>36.334800000000001</v>
      </c>
      <c r="N967" s="10">
        <f>CHOOSE(CONTROL!$C$42, 36.3517, 36.3517) * CHOOSE(CONTROL!$C$21, $C$9, 100%, $E$9)</f>
        <v>36.351700000000001</v>
      </c>
      <c r="O967" s="10">
        <f>CHOOSE(CONTROL!$C$42, 36.5992, 36.5992) * CHOOSE(CONTROL!$C$21, $C$9, 100%, $E$9)</f>
        <v>36.599200000000003</v>
      </c>
      <c r="P967" s="10">
        <f>CHOOSE(CONTROL!$C$42, 36.3742, 36.3742) * CHOOSE(CONTROL!$C$21, $C$9, 100%, $E$9)</f>
        <v>36.374200000000002</v>
      </c>
      <c r="Q967" s="10">
        <f>CHOOSE(CONTROL!$C$42, 37.1945, 37.1945) * CHOOSE(CONTROL!$C$21, $C$9, 100%, $E$9)</f>
        <v>37.194499999999998</v>
      </c>
      <c r="R967" s="10">
        <f>CHOOSE(CONTROL!$C$42, 37.8745, 37.8745) * CHOOSE(CONTROL!$C$21, $C$9, 100%, $E$9)</f>
        <v>37.874499999999998</v>
      </c>
      <c r="S967" s="10">
        <f>CHOOSE(CONTROL!$C$42, 35.6898, 35.6898) * CHOOSE(CONTROL!$C$21, $C$9, 100%, $E$9)</f>
        <v>35.689799999999998</v>
      </c>
      <c r="T96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38">
        <f>(1000*CHOOSE(CONTROL!$C$42, 695, 695)*CHOOSE(CONTROL!$C$42, 0.5599, 0.5599)*CHOOSE(CONTROL!$C$42, 31, 31))/1000000</f>
        <v>12.063045499999998</v>
      </c>
      <c r="V967" s="38">
        <f>(1000*CHOOSE(CONTROL!$C$42, 500, 500)*CHOOSE(CONTROL!$C$42, 0.275, 0.275)*CHOOSE(CONTROL!$C$42, 31, 31))/1000000</f>
        <v>4.2625000000000002</v>
      </c>
      <c r="W967" s="38">
        <f>(1000*CHOOSE(CONTROL!$C$42, 0.1146, 0.1146)*CHOOSE(CONTROL!$C$42, 121.5, 121.5)*CHOOSE(CONTROL!$C$42, 31, 31))/1000000</f>
        <v>0.43164089999999994</v>
      </c>
      <c r="X967" s="38">
        <f>(31*0.1790888*245000/1000000)+(31*0.2374*100000/1000000)</f>
        <v>2.0961194359999999</v>
      </c>
      <c r="Y967" s="38">
        <f>(1000*600*CHOOSE(CONTROL!$C$42, 1.0585, 1.0585)*CHOOSE(CONTROL!$C$42, 31, 31))/1000000</f>
        <v>19.688099999999999</v>
      </c>
      <c r="Z967" s="38"/>
      <c r="AA967" s="10"/>
      <c r="AB967" s="39"/>
      <c r="AC967" s="33">
        <f>(B967*194.205+C967*267.466+D967*133.845+E967*53.484+F967*40+G967*185+H967*0+I967*100+J967*300)/(194.205+267.466+133.845+53.484+0+40+185+100+300)</f>
        <v>36.847926035086346</v>
      </c>
      <c r="AD967" s="27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36.46127769784173</v>
      </c>
    </row>
    <row r="968" spans="1:30" ht="15.75" x14ac:dyDescent="0.25">
      <c r="A968" s="13">
        <v>70737</v>
      </c>
      <c r="B968" s="10">
        <f>CHOOSE(CONTROL!$C$42, 35.0225, 35.0225) * CHOOSE(CONTROL!$C$21, $C$9, 100%, $E$9)</f>
        <v>35.022500000000001</v>
      </c>
      <c r="C968" s="10">
        <f>CHOOSE(CONTROL!$C$42, 35.0305, 35.0305) * CHOOSE(CONTROL!$C$21, $C$9, 100%, $E$9)</f>
        <v>35.030500000000004</v>
      </c>
      <c r="D968" s="10">
        <f>CHOOSE(CONTROL!$C$42, 35.2057, 35.2057) * CHOOSE(CONTROL!$C$21, $C$9, 100%, $E$9)</f>
        <v>35.2057</v>
      </c>
      <c r="E968" s="10">
        <f>CHOOSE(CONTROL!$C$42, 35.2369, 35.2369) * CHOOSE(CONTROL!$C$21, $C$9, 100%, $E$9)</f>
        <v>35.236899999999999</v>
      </c>
      <c r="F968" s="10">
        <f>CHOOSE(CONTROL!$C$42, 34.9646, 34.9646)*CHOOSE(CONTROL!$C$21, $C$9, 100%, $E$9)</f>
        <v>34.964599999999997</v>
      </c>
      <c r="G968" s="10">
        <f>CHOOSE(CONTROL!$C$42, 34.9816, 34.9816)*CHOOSE(CONTROL!$C$21, $C$9, 100%, $E$9)</f>
        <v>34.9816</v>
      </c>
      <c r="H968" s="10">
        <f>CHOOSE(CONTROL!$C$42, 35.2252, 35.2252) * CHOOSE(CONTROL!$C$21, $C$9, 100%, $E$9)</f>
        <v>35.225200000000001</v>
      </c>
      <c r="I968" s="10">
        <f>CHOOSE(CONTROL!$C$42, 34.9972, 34.9972)* CHOOSE(CONTROL!$C$21, $C$9, 100%, $E$9)</f>
        <v>34.997199999999999</v>
      </c>
      <c r="J968" s="10">
        <f>CHOOSE(CONTROL!$C$42, 34.9572, 34.9572)* CHOOSE(CONTROL!$C$21, $C$9, 100%, $E$9)</f>
        <v>34.9572</v>
      </c>
      <c r="K968" s="10">
        <f>CHOOSE(CONTROL!$C$42, 34.0623, 34.0623) * CHOOSE(CONTROL!$C$21, $C$9, 100%, $E$9)</f>
        <v>34.0623</v>
      </c>
      <c r="L968" s="10">
        <f>CHOOSE(CONTROL!$C$42, 35.8122, 35.8122) * CHOOSE(CONTROL!$C$21, $C$9, 100%, $E$9)</f>
        <v>35.812199999999997</v>
      </c>
      <c r="M968" s="10">
        <f>CHOOSE(CONTROL!$C$42, 34.5377, 34.5377) * CHOOSE(CONTROL!$C$21, $C$9, 100%, $E$9)</f>
        <v>34.537700000000001</v>
      </c>
      <c r="N968" s="10">
        <f>CHOOSE(CONTROL!$C$42, 34.5545, 34.5545) * CHOOSE(CONTROL!$C$21, $C$9, 100%, $E$9)</f>
        <v>34.554499999999997</v>
      </c>
      <c r="O968" s="10">
        <f>CHOOSE(CONTROL!$C$42, 34.8022, 34.8022) * CHOOSE(CONTROL!$C$21, $C$9, 100%, $E$9)</f>
        <v>34.802199999999999</v>
      </c>
      <c r="P968" s="10">
        <f>CHOOSE(CONTROL!$C$42, 34.5772, 34.5772) * CHOOSE(CONTROL!$C$21, $C$9, 100%, $E$9)</f>
        <v>34.577199999999998</v>
      </c>
      <c r="Q968" s="10">
        <f>CHOOSE(CONTROL!$C$42, 35.3975, 35.3975) * CHOOSE(CONTROL!$C$21, $C$9, 100%, $E$9)</f>
        <v>35.397500000000001</v>
      </c>
      <c r="R968" s="10">
        <f>CHOOSE(CONTROL!$C$42, 36.073, 36.073) * CHOOSE(CONTROL!$C$21, $C$9, 100%, $E$9)</f>
        <v>36.073</v>
      </c>
      <c r="S968" s="10">
        <f>CHOOSE(CONTROL!$C$42, 33.9269, 33.9269) * CHOOSE(CONTROL!$C$21, $C$9, 100%, $E$9)</f>
        <v>33.926900000000003</v>
      </c>
      <c r="T96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38">
        <f>(1000*CHOOSE(CONTROL!$C$42, 695, 695)*CHOOSE(CONTROL!$C$42, 0.5599, 0.5599)*CHOOSE(CONTROL!$C$42, 31, 31))/1000000</f>
        <v>12.063045499999998</v>
      </c>
      <c r="V968" s="38">
        <f>(1000*CHOOSE(CONTROL!$C$42, 500, 500)*CHOOSE(CONTROL!$C$42, 0.275, 0.275)*CHOOSE(CONTROL!$C$42, 31, 31))/1000000</f>
        <v>4.2625000000000002</v>
      </c>
      <c r="W968" s="38">
        <f>(1000*CHOOSE(CONTROL!$C$42, 0.1146, 0.1146)*CHOOSE(CONTROL!$C$42, 121.5, 121.5)*CHOOSE(CONTROL!$C$42, 31, 31))/1000000</f>
        <v>0.43164089999999994</v>
      </c>
      <c r="X968" s="38">
        <f>(31*0.1790888*245000/1000000)+(31*0.2374*100000/1000000)</f>
        <v>2.0961194359999999</v>
      </c>
      <c r="Y968" s="38">
        <f>(1000*600*CHOOSE(CONTROL!$C$42, 1.0585, 1.0585)*CHOOSE(CONTROL!$C$42, 31, 31))/1000000</f>
        <v>19.688099999999999</v>
      </c>
      <c r="Z968" s="38"/>
      <c r="AA968" s="10"/>
      <c r="AB968" s="39"/>
      <c r="AC968" s="33">
        <f>(B968*194.205+C968*267.466+D968*133.845+E968*53.484+F968*40+G968*185+H968*0+I968*100+J968*300)/(194.205+267.466+133.845+53.484+0+40+185+100+300)</f>
        <v>35.027307379591839</v>
      </c>
      <c r="AD968" s="27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34.664231654676264</v>
      </c>
    </row>
    <row r="969" spans="1:30" ht="15.75" x14ac:dyDescent="0.25">
      <c r="A969" s="13">
        <v>70767</v>
      </c>
      <c r="B969" s="10">
        <f>CHOOSE(CONTROL!$C$42, 32.7981, 32.7981) * CHOOSE(CONTROL!$C$21, $C$9, 100%, $E$9)</f>
        <v>32.798099999999998</v>
      </c>
      <c r="C969" s="10">
        <f>CHOOSE(CONTROL!$C$42, 32.8061, 32.8061) * CHOOSE(CONTROL!$C$21, $C$9, 100%, $E$9)</f>
        <v>32.806100000000001</v>
      </c>
      <c r="D969" s="10">
        <f>CHOOSE(CONTROL!$C$42, 32.9813, 32.9813) * CHOOSE(CONTROL!$C$21, $C$9, 100%, $E$9)</f>
        <v>32.981299999999997</v>
      </c>
      <c r="E969" s="10">
        <f>CHOOSE(CONTROL!$C$42, 33.0125, 33.0125) * CHOOSE(CONTROL!$C$21, $C$9, 100%, $E$9)</f>
        <v>33.012500000000003</v>
      </c>
      <c r="F969" s="10">
        <f>CHOOSE(CONTROL!$C$42, 32.7399, 32.7399)*CHOOSE(CONTROL!$C$21, $C$9, 100%, $E$9)</f>
        <v>32.739899999999999</v>
      </c>
      <c r="G969" s="10">
        <f>CHOOSE(CONTROL!$C$42, 32.7569, 32.7569)*CHOOSE(CONTROL!$C$21, $C$9, 100%, $E$9)</f>
        <v>32.756900000000002</v>
      </c>
      <c r="H969" s="10">
        <f>CHOOSE(CONTROL!$C$42, 33.0008, 33.0008) * CHOOSE(CONTROL!$C$21, $C$9, 100%, $E$9)</f>
        <v>33.000799999999998</v>
      </c>
      <c r="I969" s="10">
        <f>CHOOSE(CONTROL!$C$42, 32.7728, 32.7728)* CHOOSE(CONTROL!$C$21, $C$9, 100%, $E$9)</f>
        <v>32.772799999999997</v>
      </c>
      <c r="J969" s="10">
        <f>CHOOSE(CONTROL!$C$42, 32.7325, 32.7325)* CHOOSE(CONTROL!$C$21, $C$9, 100%, $E$9)</f>
        <v>32.732500000000002</v>
      </c>
      <c r="K969" s="10">
        <f>CHOOSE(CONTROL!$C$42, 31.9066, 31.9066) * CHOOSE(CONTROL!$C$21, $C$9, 100%, $E$9)</f>
        <v>31.906600000000001</v>
      </c>
      <c r="L969" s="10">
        <f>CHOOSE(CONTROL!$C$42, 33.5878, 33.5878) * CHOOSE(CONTROL!$C$21, $C$9, 100%, $E$9)</f>
        <v>33.587800000000001</v>
      </c>
      <c r="M969" s="10">
        <f>CHOOSE(CONTROL!$C$42, 32.3418, 32.3418) * CHOOSE(CONTROL!$C$21, $C$9, 100%, $E$9)</f>
        <v>32.341799999999999</v>
      </c>
      <c r="N969" s="10">
        <f>CHOOSE(CONTROL!$C$42, 32.3585, 32.3585) * CHOOSE(CONTROL!$C$21, $C$9, 100%, $E$9)</f>
        <v>32.358499999999999</v>
      </c>
      <c r="O969" s="10">
        <f>CHOOSE(CONTROL!$C$42, 32.6066, 32.6066) * CHOOSE(CONTROL!$C$21, $C$9, 100%, $E$9)</f>
        <v>32.6066</v>
      </c>
      <c r="P969" s="10">
        <f>CHOOSE(CONTROL!$C$42, 32.3816, 32.3816) * CHOOSE(CONTROL!$C$21, $C$9, 100%, $E$9)</f>
        <v>32.381599999999999</v>
      </c>
      <c r="Q969" s="10">
        <f>CHOOSE(CONTROL!$C$42, 33.2019, 33.2019) * CHOOSE(CONTROL!$C$21, $C$9, 100%, $E$9)</f>
        <v>33.201900000000002</v>
      </c>
      <c r="R969" s="10">
        <f>CHOOSE(CONTROL!$C$42, 33.8719, 33.8719) * CHOOSE(CONTROL!$C$21, $C$9, 100%, $E$9)</f>
        <v>33.871899999999997</v>
      </c>
      <c r="S969" s="10">
        <f>CHOOSE(CONTROL!$C$42, 31.773, 31.773) * CHOOSE(CONTROL!$C$21, $C$9, 100%, $E$9)</f>
        <v>31.773</v>
      </c>
      <c r="T96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38">
        <f>(1000*CHOOSE(CONTROL!$C$42, 695, 695)*CHOOSE(CONTROL!$C$42, 0.5599, 0.5599)*CHOOSE(CONTROL!$C$42, 30, 30))/1000000</f>
        <v>11.673914999999997</v>
      </c>
      <c r="V969" s="38">
        <f>(1000*CHOOSE(CONTROL!$C$42, 500, 500)*CHOOSE(CONTROL!$C$42, 0.275, 0.275)*CHOOSE(CONTROL!$C$42, 30, 30))/1000000</f>
        <v>4.125</v>
      </c>
      <c r="W969" s="38">
        <f>(1000*CHOOSE(CONTROL!$C$42, 0.1146, 0.1146)*CHOOSE(CONTROL!$C$42, 121.5, 121.5)*CHOOSE(CONTROL!$C$42, 30, 30))/1000000</f>
        <v>0.417717</v>
      </c>
      <c r="X969" s="38">
        <f>(30*0.1790888*245000/1000000)+(30*0.2374*100000/1000000)</f>
        <v>2.0285026799999999</v>
      </c>
      <c r="Y969" s="38">
        <f>(1000*600*CHOOSE(CONTROL!$C$42, 1.0585, 1.0585)*CHOOSE(CONTROL!$C$42, 30, 30))/1000000</f>
        <v>19.053000000000001</v>
      </c>
      <c r="Z969" s="38"/>
      <c r="AA969" s="10"/>
      <c r="AB969" s="39"/>
      <c r="AC969" s="33">
        <f>(B969*194.205+C969*267.466+D969*133.845+E969*53.484+F969*40+G969*185+H969*0+I969*100+J969*300)/(194.205+267.466+133.845+53.484+0+40+185+100+300)</f>
        <v>32.802783753218208</v>
      </c>
      <c r="AD969" s="27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32.468505035971226</v>
      </c>
    </row>
    <row r="970" spans="1:30" ht="15.75" x14ac:dyDescent="0.25">
      <c r="A970" s="13">
        <v>70798</v>
      </c>
      <c r="B970" s="10">
        <f>CHOOSE(CONTROL!$C$42, 32.1298, 32.1298) * CHOOSE(CONTROL!$C$21, $C$9, 100%, $E$9)</f>
        <v>32.129800000000003</v>
      </c>
      <c r="C970" s="10">
        <f>CHOOSE(CONTROL!$C$42, 32.1352, 32.1352) * CHOOSE(CONTROL!$C$21, $C$9, 100%, $E$9)</f>
        <v>32.135199999999998</v>
      </c>
      <c r="D970" s="10">
        <f>CHOOSE(CONTROL!$C$42, 32.3151, 32.3151) * CHOOSE(CONTROL!$C$21, $C$9, 100%, $E$9)</f>
        <v>32.315100000000001</v>
      </c>
      <c r="E970" s="10">
        <f>CHOOSE(CONTROL!$C$42, 32.3441, 32.3441) * CHOOSE(CONTROL!$C$21, $C$9, 100%, $E$9)</f>
        <v>32.344099999999997</v>
      </c>
      <c r="F970" s="10">
        <f>CHOOSE(CONTROL!$C$42, 32.0736, 32.0736)*CHOOSE(CONTROL!$C$21, $C$9, 100%, $E$9)</f>
        <v>32.073599999999999</v>
      </c>
      <c r="G970" s="10">
        <f>CHOOSE(CONTROL!$C$42, 32.0902, 32.0902)*CHOOSE(CONTROL!$C$21, $C$9, 100%, $E$9)</f>
        <v>32.090200000000003</v>
      </c>
      <c r="H970" s="10">
        <f>CHOOSE(CONTROL!$C$42, 32.3342, 32.3342) * CHOOSE(CONTROL!$C$21, $C$9, 100%, $E$9)</f>
        <v>32.334200000000003</v>
      </c>
      <c r="I970" s="10">
        <f>CHOOSE(CONTROL!$C$42, 32.1062, 32.1062)* CHOOSE(CONTROL!$C$21, $C$9, 100%, $E$9)</f>
        <v>32.106200000000001</v>
      </c>
      <c r="J970" s="10">
        <f>CHOOSE(CONTROL!$C$42, 32.0662, 32.0662)* CHOOSE(CONTROL!$C$21, $C$9, 100%, $E$9)</f>
        <v>32.066200000000002</v>
      </c>
      <c r="K970" s="10">
        <f>CHOOSE(CONTROL!$C$42, 31.2614, 31.2614) * CHOOSE(CONTROL!$C$21, $C$9, 100%, $E$9)</f>
        <v>31.261399999999998</v>
      </c>
      <c r="L970" s="10">
        <f>CHOOSE(CONTROL!$C$42, 32.9212, 32.9212) * CHOOSE(CONTROL!$C$21, $C$9, 100%, $E$9)</f>
        <v>32.921199999999999</v>
      </c>
      <c r="M970" s="10">
        <f>CHOOSE(CONTROL!$C$42, 31.6841, 31.6841) * CHOOSE(CONTROL!$C$21, $C$9, 100%, $E$9)</f>
        <v>31.684100000000001</v>
      </c>
      <c r="N970" s="10">
        <f>CHOOSE(CONTROL!$C$42, 31.7005, 31.7005) * CHOOSE(CONTROL!$C$21, $C$9, 100%, $E$9)</f>
        <v>31.700500000000002</v>
      </c>
      <c r="O970" s="10">
        <f>CHOOSE(CONTROL!$C$42, 31.9487, 31.9487) * CHOOSE(CONTROL!$C$21, $C$9, 100%, $E$9)</f>
        <v>31.948699999999999</v>
      </c>
      <c r="P970" s="10">
        <f>CHOOSE(CONTROL!$C$42, 31.7236, 31.7236) * CHOOSE(CONTROL!$C$21, $C$9, 100%, $E$9)</f>
        <v>31.723600000000001</v>
      </c>
      <c r="Q970" s="10">
        <f>CHOOSE(CONTROL!$C$42, 32.544, 32.544) * CHOOSE(CONTROL!$C$21, $C$9, 100%, $E$9)</f>
        <v>32.543999999999997</v>
      </c>
      <c r="R970" s="10">
        <f>CHOOSE(CONTROL!$C$42, 33.2123, 33.2123) * CHOOSE(CONTROL!$C$21, $C$9, 100%, $E$9)</f>
        <v>33.212299999999999</v>
      </c>
      <c r="S970" s="10">
        <f>CHOOSE(CONTROL!$C$42, 31.1276, 31.1276) * CHOOSE(CONTROL!$C$21, $C$9, 100%, $E$9)</f>
        <v>31.127600000000001</v>
      </c>
      <c r="T97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38">
        <f>(1000*CHOOSE(CONTROL!$C$42, 695, 695)*CHOOSE(CONTROL!$C$42, 0.5599, 0.5599)*CHOOSE(CONTROL!$C$42, 31, 31))/1000000</f>
        <v>12.063045499999998</v>
      </c>
      <c r="V970" s="38">
        <f>(1000*CHOOSE(CONTROL!$C$42, 500, 500)*CHOOSE(CONTROL!$C$42, 0.275, 0.275)*CHOOSE(CONTROL!$C$42, 31, 31))/1000000</f>
        <v>4.2625000000000002</v>
      </c>
      <c r="W970" s="38">
        <f>(1000*CHOOSE(CONTROL!$C$42, 0.1146, 0.1146)*CHOOSE(CONTROL!$C$42, 121.5, 121.5)*CHOOSE(CONTROL!$C$42, 31, 31))/1000000</f>
        <v>0.43164089999999994</v>
      </c>
      <c r="X970" s="38">
        <f>(31*0.1790888*245000/1000000)+(31*0.2374*100000/1000000)</f>
        <v>2.0961194359999999</v>
      </c>
      <c r="Y970" s="38">
        <f>(1000*600*CHOOSE(CONTROL!$C$42, 1.0585, 1.0585)*CHOOSE(CONTROL!$C$42, 31, 31))/1000000</f>
        <v>19.688099999999999</v>
      </c>
      <c r="Z970" s="38"/>
      <c r="AA970" s="10"/>
      <c r="AB970" s="39"/>
      <c r="AC970" s="33">
        <f>(B970*131.881+C970*277.167+D970*79.08+E970*125.872+F970*40+G970*185+H970*0+I970*100+J970*300)/(131.881+277.167+79.08+125.872+0+40+185+100+300)</f>
        <v>32.139574491848265</v>
      </c>
      <c r="AD970" s="27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31.810653956834532</v>
      </c>
    </row>
    <row r="971" spans="1:30" ht="15.75" x14ac:dyDescent="0.25">
      <c r="A971" s="13">
        <v>70828</v>
      </c>
      <c r="B971" s="10">
        <f>CHOOSE(CONTROL!$C$42, 32.9763, 32.9763) * CHOOSE(CONTROL!$C$21, $C$9, 100%, $E$9)</f>
        <v>32.976300000000002</v>
      </c>
      <c r="C971" s="10">
        <f>CHOOSE(CONTROL!$C$42, 32.9814, 32.9814) * CHOOSE(CONTROL!$C$21, $C$9, 100%, $E$9)</f>
        <v>32.981400000000001</v>
      </c>
      <c r="D971" s="10">
        <f>CHOOSE(CONTROL!$C$42, 33.0061, 33.0061) * CHOOSE(CONTROL!$C$21, $C$9, 100%, $E$9)</f>
        <v>33.006100000000004</v>
      </c>
      <c r="E971" s="10">
        <f>CHOOSE(CONTROL!$C$42, 33.0399, 33.0399) * CHOOSE(CONTROL!$C$21, $C$9, 100%, $E$9)</f>
        <v>33.039900000000003</v>
      </c>
      <c r="F971" s="10">
        <f>CHOOSE(CONTROL!$C$42, 32.9419, 32.9419)*CHOOSE(CONTROL!$C$21, $C$9, 100%, $E$9)</f>
        <v>32.941899999999997</v>
      </c>
      <c r="G971" s="10">
        <f>CHOOSE(CONTROL!$C$42, 32.9587, 32.9587)*CHOOSE(CONTROL!$C$21, $C$9, 100%, $E$9)</f>
        <v>32.9587</v>
      </c>
      <c r="H971" s="10">
        <f>CHOOSE(CONTROL!$C$42, 33.0287, 33.0287) * CHOOSE(CONTROL!$C$21, $C$9, 100%, $E$9)</f>
        <v>33.028700000000001</v>
      </c>
      <c r="I971" s="10">
        <f>CHOOSE(CONTROL!$C$42, 32.9758, 32.9758)* CHOOSE(CONTROL!$C$21, $C$9, 100%, $E$9)</f>
        <v>32.9758</v>
      </c>
      <c r="J971" s="10">
        <f>CHOOSE(CONTROL!$C$42, 32.9345, 32.9345)* CHOOSE(CONTROL!$C$21, $C$9, 100%, $E$9)</f>
        <v>32.9345</v>
      </c>
      <c r="K971" s="10">
        <f>CHOOSE(CONTROL!$C$42, 32.1056, 32.1056) * CHOOSE(CONTROL!$C$21, $C$9, 100%, $E$9)</f>
        <v>32.105600000000003</v>
      </c>
      <c r="L971" s="10">
        <f>CHOOSE(CONTROL!$C$42, 33.6157, 33.6157) * CHOOSE(CONTROL!$C$21, $C$9, 100%, $E$9)</f>
        <v>33.615699999999997</v>
      </c>
      <c r="M971" s="10">
        <f>CHOOSE(CONTROL!$C$42, 32.5412, 32.5412) * CHOOSE(CONTROL!$C$21, $C$9, 100%, $E$9)</f>
        <v>32.541200000000003</v>
      </c>
      <c r="N971" s="10">
        <f>CHOOSE(CONTROL!$C$42, 32.5578, 32.5578) * CHOOSE(CONTROL!$C$21, $C$9, 100%, $E$9)</f>
        <v>32.5578</v>
      </c>
      <c r="O971" s="10">
        <f>CHOOSE(CONTROL!$C$42, 32.6342, 32.6342) * CHOOSE(CONTROL!$C$21, $C$9, 100%, $E$9)</f>
        <v>32.6342</v>
      </c>
      <c r="P971" s="10">
        <f>CHOOSE(CONTROL!$C$42, 32.582, 32.582) * CHOOSE(CONTROL!$C$21, $C$9, 100%, $E$9)</f>
        <v>32.582000000000001</v>
      </c>
      <c r="Q971" s="10">
        <f>CHOOSE(CONTROL!$C$42, 33.2295, 33.2295) * CHOOSE(CONTROL!$C$21, $C$9, 100%, $E$9)</f>
        <v>33.229500000000002</v>
      </c>
      <c r="R971" s="10">
        <f>CHOOSE(CONTROL!$C$42, 33.8996, 33.8996) * CHOOSE(CONTROL!$C$21, $C$9, 100%, $E$9)</f>
        <v>33.8996</v>
      </c>
      <c r="S971" s="10">
        <f>CHOOSE(CONTROL!$C$42, 31.9476, 31.9476) * CHOOSE(CONTROL!$C$21, $C$9, 100%, $E$9)</f>
        <v>31.947600000000001</v>
      </c>
      <c r="T97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38">
        <f>(1000*CHOOSE(CONTROL!$C$42, 695, 695)*CHOOSE(CONTROL!$C$42, 0.5599, 0.5599)*CHOOSE(CONTROL!$C$42, 30, 30))/1000000</f>
        <v>11.673914999999997</v>
      </c>
      <c r="V971" s="38">
        <f>(1000*CHOOSE(CONTROL!$C$42, 500, 500)*CHOOSE(CONTROL!$C$42, 0.275, 0.275)*CHOOSE(CONTROL!$C$42, 30, 30))/1000000</f>
        <v>4.125</v>
      </c>
      <c r="W971" s="38">
        <f>(1000*CHOOSE(CONTROL!$C$42, 0.1146, 0.1146)*CHOOSE(CONTROL!$C$42, 121.5, 121.5)*CHOOSE(CONTROL!$C$42, 30, 30))/1000000</f>
        <v>0.417717</v>
      </c>
      <c r="X971" s="38">
        <f>(30*0.1790888*100000/1000000)+(30*0.2374*100000/1000000)</f>
        <v>1.2494664</v>
      </c>
      <c r="Y971" s="38">
        <f>(1000*600*CHOOSE(CONTROL!$C$42, 1.0585, 1.0585)*CHOOSE(CONTROL!$C$42, 30, 30))/1000000</f>
        <v>19.053000000000001</v>
      </c>
      <c r="Z971" s="38"/>
      <c r="AA971" s="10"/>
      <c r="AB971" s="39"/>
      <c r="AC971" s="33">
        <f>(B971*122.58+C971*297.941+D971*89.177+E971*40.302+F971*40+G971*160+H971*0+I971*100+J971*300)/(122.58+297.941+89.177+40.302+0+40+160+100+300)</f>
        <v>32.967567983391298</v>
      </c>
      <c r="AD971" s="27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32.590176978417261</v>
      </c>
    </row>
    <row r="972" spans="1:30" ht="15.75" x14ac:dyDescent="0.25">
      <c r="A972" s="13">
        <v>70859</v>
      </c>
      <c r="B972" s="10">
        <f>CHOOSE(CONTROL!$C$42, 35.2257, 35.2257) * CHOOSE(CONTROL!$C$21, $C$9, 100%, $E$9)</f>
        <v>35.225700000000003</v>
      </c>
      <c r="C972" s="10">
        <f>CHOOSE(CONTROL!$C$42, 35.2308, 35.2308) * CHOOSE(CONTROL!$C$21, $C$9, 100%, $E$9)</f>
        <v>35.230800000000002</v>
      </c>
      <c r="D972" s="10">
        <f>CHOOSE(CONTROL!$C$42, 35.2555, 35.2555) * CHOOSE(CONTROL!$C$21, $C$9, 100%, $E$9)</f>
        <v>35.255499999999998</v>
      </c>
      <c r="E972" s="10">
        <f>CHOOSE(CONTROL!$C$42, 35.2893, 35.2893) * CHOOSE(CONTROL!$C$21, $C$9, 100%, $E$9)</f>
        <v>35.289299999999997</v>
      </c>
      <c r="F972" s="10">
        <f>CHOOSE(CONTROL!$C$42, 35.1931, 35.1931)*CHOOSE(CONTROL!$C$21, $C$9, 100%, $E$9)</f>
        <v>35.193100000000001</v>
      </c>
      <c r="G972" s="10">
        <f>CHOOSE(CONTROL!$C$42, 35.2104, 35.2104)*CHOOSE(CONTROL!$C$21, $C$9, 100%, $E$9)</f>
        <v>35.2104</v>
      </c>
      <c r="H972" s="10">
        <f>CHOOSE(CONTROL!$C$42, 35.2782, 35.2782) * CHOOSE(CONTROL!$C$21, $C$9, 100%, $E$9)</f>
        <v>35.278199999999998</v>
      </c>
      <c r="I972" s="10">
        <f>CHOOSE(CONTROL!$C$42, 35.2252, 35.2252)* CHOOSE(CONTROL!$C$21, $C$9, 100%, $E$9)</f>
        <v>35.225200000000001</v>
      </c>
      <c r="J972" s="10">
        <f>CHOOSE(CONTROL!$C$42, 35.1857, 35.1857)* CHOOSE(CONTROL!$C$21, $C$9, 100%, $E$9)</f>
        <v>35.185699999999997</v>
      </c>
      <c r="K972" s="10">
        <f>CHOOSE(CONTROL!$C$42, 34.2887, 34.2887) * CHOOSE(CONTROL!$C$21, $C$9, 100%, $E$9)</f>
        <v>34.288699999999999</v>
      </c>
      <c r="L972" s="10">
        <f>CHOOSE(CONTROL!$C$42, 35.8652, 35.8652) * CHOOSE(CONTROL!$C$21, $C$9, 100%, $E$9)</f>
        <v>35.865200000000002</v>
      </c>
      <c r="M972" s="10">
        <f>CHOOSE(CONTROL!$C$42, 34.7633, 34.7633) * CHOOSE(CONTROL!$C$21, $C$9, 100%, $E$9)</f>
        <v>34.763300000000001</v>
      </c>
      <c r="N972" s="10">
        <f>CHOOSE(CONTROL!$C$42, 34.7803, 34.7803) * CHOOSE(CONTROL!$C$21, $C$9, 100%, $E$9)</f>
        <v>34.780299999999997</v>
      </c>
      <c r="O972" s="10">
        <f>CHOOSE(CONTROL!$C$42, 34.8545, 34.8545) * CHOOSE(CONTROL!$C$21, $C$9, 100%, $E$9)</f>
        <v>34.854500000000002</v>
      </c>
      <c r="P972" s="10">
        <f>CHOOSE(CONTROL!$C$42, 34.8023, 34.8023) * CHOOSE(CONTROL!$C$21, $C$9, 100%, $E$9)</f>
        <v>34.802300000000002</v>
      </c>
      <c r="Q972" s="10">
        <f>CHOOSE(CONTROL!$C$42, 35.4498, 35.4498) * CHOOSE(CONTROL!$C$21, $C$9, 100%, $E$9)</f>
        <v>35.449800000000003</v>
      </c>
      <c r="R972" s="10">
        <f>CHOOSE(CONTROL!$C$42, 36.1254, 36.1254) * CHOOSE(CONTROL!$C$21, $C$9, 100%, $E$9)</f>
        <v>36.125399999999999</v>
      </c>
      <c r="S972" s="10">
        <f>CHOOSE(CONTROL!$C$42, 34.1257, 34.1257) * CHOOSE(CONTROL!$C$21, $C$9, 100%, $E$9)</f>
        <v>34.125700000000002</v>
      </c>
      <c r="T97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38">
        <f>(1000*CHOOSE(CONTROL!$C$42, 695, 695)*CHOOSE(CONTROL!$C$42, 0.5599, 0.5599)*CHOOSE(CONTROL!$C$42, 31, 31))/1000000</f>
        <v>12.063045499999998</v>
      </c>
      <c r="V972" s="38">
        <f>(1000*CHOOSE(CONTROL!$C$42, 500, 500)*CHOOSE(CONTROL!$C$42, 0.275, 0.275)*CHOOSE(CONTROL!$C$42, 31, 31))/1000000</f>
        <v>4.2625000000000002</v>
      </c>
      <c r="W972" s="38">
        <f>(1000*CHOOSE(CONTROL!$C$42, 0.1146, 0.1146)*CHOOSE(CONTROL!$C$42, 121.5, 121.5)*CHOOSE(CONTROL!$C$42, 31, 31))/1000000</f>
        <v>0.43164089999999994</v>
      </c>
      <c r="X972" s="38">
        <f>(31*0.1790888*100000/1000000)+(31*0.2374*100000/1000000)</f>
        <v>1.2911152800000001</v>
      </c>
      <c r="Y972" s="38">
        <f>(1000*600*CHOOSE(CONTROL!$C$42, 1.0585, 1.0585)*CHOOSE(CONTROL!$C$42, 31, 31))/1000000</f>
        <v>19.688099999999999</v>
      </c>
      <c r="Z972" s="38"/>
      <c r="AA972" s="10"/>
      <c r="AB972" s="39"/>
      <c r="AC972" s="33">
        <f>(B972*122.58+C972*297.941+D972*89.177+E972*40.302+F972*40+G972*160+H972*0+I972*100+J972*300)/(122.58+297.941+89.177+40.302+0+40+160+100+300)</f>
        <v>35.217820157304352</v>
      </c>
      <c r="AD972" s="27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34.811225179856116</v>
      </c>
    </row>
    <row r="973" spans="1:30" ht="15.75" x14ac:dyDescent="0.25">
      <c r="A973" s="13">
        <v>70890</v>
      </c>
      <c r="B973" s="10">
        <f>CHOOSE(CONTROL!$C$42, 37.6043, 37.6043) * CHOOSE(CONTROL!$C$21, $C$9, 100%, $E$9)</f>
        <v>37.604300000000002</v>
      </c>
      <c r="C973" s="10">
        <f>CHOOSE(CONTROL!$C$42, 37.6094, 37.6094) * CHOOSE(CONTROL!$C$21, $C$9, 100%, $E$9)</f>
        <v>37.609400000000001</v>
      </c>
      <c r="D973" s="10">
        <f>CHOOSE(CONTROL!$C$42, 37.6445, 37.6445) * CHOOSE(CONTROL!$C$21, $C$9, 100%, $E$9)</f>
        <v>37.644500000000001</v>
      </c>
      <c r="E973" s="10">
        <f>CHOOSE(CONTROL!$C$42, 37.6783, 37.6783) * CHOOSE(CONTROL!$C$21, $C$9, 100%, $E$9)</f>
        <v>37.6783</v>
      </c>
      <c r="F973" s="10">
        <f>CHOOSE(CONTROL!$C$42, 37.5856, 37.5856)*CHOOSE(CONTROL!$C$21, $C$9, 100%, $E$9)</f>
        <v>37.585599999999999</v>
      </c>
      <c r="G973" s="10">
        <f>CHOOSE(CONTROL!$C$42, 37.6045, 37.6045)*CHOOSE(CONTROL!$C$21, $C$9, 100%, $E$9)</f>
        <v>37.604500000000002</v>
      </c>
      <c r="H973" s="10">
        <f>CHOOSE(CONTROL!$C$42, 37.6671, 37.6671) * CHOOSE(CONTROL!$C$21, $C$9, 100%, $E$9)</f>
        <v>37.667099999999998</v>
      </c>
      <c r="I973" s="10">
        <f>CHOOSE(CONTROL!$C$42, 37.6116, 37.6116)* CHOOSE(CONTROL!$C$21, $C$9, 100%, $E$9)</f>
        <v>37.611600000000003</v>
      </c>
      <c r="J973" s="10">
        <f>CHOOSE(CONTROL!$C$42, 37.5782, 37.5782)* CHOOSE(CONTROL!$C$21, $C$9, 100%, $E$9)</f>
        <v>37.578200000000002</v>
      </c>
      <c r="K973" s="10">
        <f>CHOOSE(CONTROL!$C$42, 36.6139, 36.6139) * CHOOSE(CONTROL!$C$21, $C$9, 100%, $E$9)</f>
        <v>36.613900000000001</v>
      </c>
      <c r="L973" s="10">
        <f>CHOOSE(CONTROL!$C$42, 38.2541, 38.2541) * CHOOSE(CONTROL!$C$21, $C$9, 100%, $E$9)</f>
        <v>38.254100000000001</v>
      </c>
      <c r="M973" s="10">
        <f>CHOOSE(CONTROL!$C$42, 37.1248, 37.1248) * CHOOSE(CONTROL!$C$21, $C$9, 100%, $E$9)</f>
        <v>37.1248</v>
      </c>
      <c r="N973" s="10">
        <f>CHOOSE(CONTROL!$C$42, 37.1434, 37.1434) * CHOOSE(CONTROL!$C$21, $C$9, 100%, $E$9)</f>
        <v>37.1434</v>
      </c>
      <c r="O973" s="10">
        <f>CHOOSE(CONTROL!$C$42, 37.2126, 37.2126) * CHOOSE(CONTROL!$C$21, $C$9, 100%, $E$9)</f>
        <v>37.212600000000002</v>
      </c>
      <c r="P973" s="10">
        <f>CHOOSE(CONTROL!$C$42, 37.1578, 37.1578) * CHOOSE(CONTROL!$C$21, $C$9, 100%, $E$9)</f>
        <v>37.157800000000002</v>
      </c>
      <c r="Q973" s="10">
        <f>CHOOSE(CONTROL!$C$42, 37.8079, 37.8079) * CHOOSE(CONTROL!$C$21, $C$9, 100%, $E$9)</f>
        <v>37.807899999999997</v>
      </c>
      <c r="R973" s="10">
        <f>CHOOSE(CONTROL!$C$42, 38.4894, 38.4894) * CHOOSE(CONTROL!$C$21, $C$9, 100%, $E$9)</f>
        <v>38.489400000000003</v>
      </c>
      <c r="S973" s="10">
        <f>CHOOSE(CONTROL!$C$42, 36.4289, 36.4289) * CHOOSE(CONTROL!$C$21, $C$9, 100%, $E$9)</f>
        <v>36.428899999999999</v>
      </c>
      <c r="T97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38">
        <f>(1000*CHOOSE(CONTROL!$C$42, 695, 695)*CHOOSE(CONTROL!$C$42, 0.5599, 0.5599)*CHOOSE(CONTROL!$C$42, 31, 31))/1000000</f>
        <v>12.063045499999998</v>
      </c>
      <c r="V973" s="38">
        <f>(1000*CHOOSE(CONTROL!$C$42, 500, 500)*CHOOSE(CONTROL!$C$42, 0.275, 0.275)*CHOOSE(CONTROL!$C$42, 31, 31))/1000000</f>
        <v>4.2625000000000002</v>
      </c>
      <c r="W973" s="38">
        <f>(1000*CHOOSE(CONTROL!$C$42, 0.1146, 0.1146)*CHOOSE(CONTROL!$C$42, 121.5, 121.5)*CHOOSE(CONTROL!$C$42, 31, 31))/1000000</f>
        <v>0.43164089999999994</v>
      </c>
      <c r="X973" s="38">
        <f>(31*0.1790888*100000/1000000)+(31*0.2374*100000/1000000)</f>
        <v>1.2911152800000001</v>
      </c>
      <c r="Y973" s="38">
        <f>(1000*600*CHOOSE(CONTROL!$C$42, 1.0585, 1.0585)*CHOOSE(CONTROL!$C$42, 31, 31))/1000000</f>
        <v>19.688099999999999</v>
      </c>
      <c r="Z973" s="38"/>
      <c r="AA973" s="10"/>
      <c r="AB973" s="39"/>
      <c r="AC973" s="33">
        <f>(B973*122.58+C973*297.941+D973*89.177+E973*40.302+F973*40+G973*160+H973*0+I973*100+J973*300)/(122.58+297.941+89.177+40.302+0+40+160+100+300)</f>
        <v>37.604535445652168</v>
      </c>
      <c r="AD973" s="27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37.170412949640287</v>
      </c>
    </row>
    <row r="974" spans="1:30" ht="15.75" x14ac:dyDescent="0.25">
      <c r="A974" s="13">
        <v>70918</v>
      </c>
      <c r="B974" s="10">
        <f>CHOOSE(CONTROL!$C$42, 38.2741, 38.2741) * CHOOSE(CONTROL!$C$21, $C$9, 100%, $E$9)</f>
        <v>38.274099999999997</v>
      </c>
      <c r="C974" s="10">
        <f>CHOOSE(CONTROL!$C$42, 38.2792, 38.2792) * CHOOSE(CONTROL!$C$21, $C$9, 100%, $E$9)</f>
        <v>38.279200000000003</v>
      </c>
      <c r="D974" s="10">
        <f>CHOOSE(CONTROL!$C$42, 38.3142, 38.3142) * CHOOSE(CONTROL!$C$21, $C$9, 100%, $E$9)</f>
        <v>38.3142</v>
      </c>
      <c r="E974" s="10">
        <f>CHOOSE(CONTROL!$C$42, 38.348, 38.348) * CHOOSE(CONTROL!$C$21, $C$9, 100%, $E$9)</f>
        <v>38.347999999999999</v>
      </c>
      <c r="F974" s="10">
        <f>CHOOSE(CONTROL!$C$42, 38.2548, 38.2548)*CHOOSE(CONTROL!$C$21, $C$9, 100%, $E$9)</f>
        <v>38.254800000000003</v>
      </c>
      <c r="G974" s="10">
        <f>CHOOSE(CONTROL!$C$42, 38.2736, 38.2736)*CHOOSE(CONTROL!$C$21, $C$9, 100%, $E$9)</f>
        <v>38.273600000000002</v>
      </c>
      <c r="H974" s="10">
        <f>CHOOSE(CONTROL!$C$42, 38.3368, 38.3368) * CHOOSE(CONTROL!$C$21, $C$9, 100%, $E$9)</f>
        <v>38.336799999999997</v>
      </c>
      <c r="I974" s="10">
        <f>CHOOSE(CONTROL!$C$42, 38.2813, 38.2813)* CHOOSE(CONTROL!$C$21, $C$9, 100%, $E$9)</f>
        <v>38.281300000000002</v>
      </c>
      <c r="J974" s="10">
        <f>CHOOSE(CONTROL!$C$42, 38.2474, 38.2474)* CHOOSE(CONTROL!$C$21, $C$9, 100%, $E$9)</f>
        <v>38.247399999999999</v>
      </c>
      <c r="K974" s="10">
        <f>CHOOSE(CONTROL!$C$42, 37.2615, 37.2615) * CHOOSE(CONTROL!$C$21, $C$9, 100%, $E$9)</f>
        <v>37.261499999999998</v>
      </c>
      <c r="L974" s="10">
        <f>CHOOSE(CONTROL!$C$42, 38.9238, 38.9238) * CHOOSE(CONTROL!$C$21, $C$9, 100%, $E$9)</f>
        <v>38.9238</v>
      </c>
      <c r="M974" s="10">
        <f>CHOOSE(CONTROL!$C$42, 37.7853, 37.7853) * CHOOSE(CONTROL!$C$21, $C$9, 100%, $E$9)</f>
        <v>37.785299999999999</v>
      </c>
      <c r="N974" s="10">
        <f>CHOOSE(CONTROL!$C$42, 37.8038, 37.8038) * CHOOSE(CONTROL!$C$21, $C$9, 100%, $E$9)</f>
        <v>37.803800000000003</v>
      </c>
      <c r="O974" s="10">
        <f>CHOOSE(CONTROL!$C$42, 37.8736, 37.8736) * CHOOSE(CONTROL!$C$21, $C$9, 100%, $E$9)</f>
        <v>37.873600000000003</v>
      </c>
      <c r="P974" s="10">
        <f>CHOOSE(CONTROL!$C$42, 37.8188, 37.8188) * CHOOSE(CONTROL!$C$21, $C$9, 100%, $E$9)</f>
        <v>37.818800000000003</v>
      </c>
      <c r="Q974" s="10">
        <f>CHOOSE(CONTROL!$C$42, 38.4689, 38.4689) * CHOOSE(CONTROL!$C$21, $C$9, 100%, $E$9)</f>
        <v>38.468899999999998</v>
      </c>
      <c r="R974" s="10">
        <f>CHOOSE(CONTROL!$C$42, 39.1521, 39.1521) * CHOOSE(CONTROL!$C$21, $C$9, 100%, $E$9)</f>
        <v>39.152099999999997</v>
      </c>
      <c r="S974" s="10">
        <f>CHOOSE(CONTROL!$C$42, 37.0774, 37.0774) * CHOOSE(CONTROL!$C$21, $C$9, 100%, $E$9)</f>
        <v>37.077399999999997</v>
      </c>
      <c r="T97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38">
        <f>(1000*CHOOSE(CONTROL!$C$42, 695, 695)*CHOOSE(CONTROL!$C$42, 0.5599, 0.5599)*CHOOSE(CONTROL!$C$42, 28, 28))/1000000</f>
        <v>10.895653999999999</v>
      </c>
      <c r="V974" s="38">
        <f>(1000*CHOOSE(CONTROL!$C$42, 500, 500)*CHOOSE(CONTROL!$C$42, 0.275, 0.275)*CHOOSE(CONTROL!$C$42, 28, 28))/1000000</f>
        <v>3.85</v>
      </c>
      <c r="W974" s="38">
        <f>(1000*CHOOSE(CONTROL!$C$42, 0.1146, 0.1146)*CHOOSE(CONTROL!$C$42, 121.5, 121.5)*CHOOSE(CONTROL!$C$42, 28, 28))/1000000</f>
        <v>0.38986920000000003</v>
      </c>
      <c r="X974" s="38">
        <f>(28*0.1790888*100000/1000000)+(28*0.2374*100000/1000000)</f>
        <v>1.16616864</v>
      </c>
      <c r="Y974" s="38">
        <f>(1000*600*CHOOSE(CONTROL!$C$42, 1.0585, 1.0585)*CHOOSE(CONTROL!$C$42, 28, 28))/1000000</f>
        <v>17.782800000000002</v>
      </c>
      <c r="Z974" s="38"/>
      <c r="AA974" s="10"/>
      <c r="AB974" s="39"/>
      <c r="AC974" s="33">
        <f>(B974*122.58+C974*297.941+D974*89.177+E974*40.302+F974*40+G974*160+H974*0+I974*100+J974*300)/(122.58+297.941+89.177+40.302+0+40+160+100+300)</f>
        <v>38.274040708347826</v>
      </c>
      <c r="AD974" s="27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37.831205755395686</v>
      </c>
    </row>
    <row r="975" spans="1:30" ht="15.75" x14ac:dyDescent="0.25">
      <c r="A975" s="13">
        <v>70949</v>
      </c>
      <c r="B975" s="10">
        <f>CHOOSE(CONTROL!$C$42, 37.187, 37.187) * CHOOSE(CONTROL!$C$21, $C$9, 100%, $E$9)</f>
        <v>37.186999999999998</v>
      </c>
      <c r="C975" s="10">
        <f>CHOOSE(CONTROL!$C$42, 37.1921, 37.1921) * CHOOSE(CONTROL!$C$21, $C$9, 100%, $E$9)</f>
        <v>37.192100000000003</v>
      </c>
      <c r="D975" s="10">
        <f>CHOOSE(CONTROL!$C$42, 37.2271, 37.2271) * CHOOSE(CONTROL!$C$21, $C$9, 100%, $E$9)</f>
        <v>37.2271</v>
      </c>
      <c r="E975" s="10">
        <f>CHOOSE(CONTROL!$C$42, 37.2609, 37.2609) * CHOOSE(CONTROL!$C$21, $C$9, 100%, $E$9)</f>
        <v>37.260899999999999</v>
      </c>
      <c r="F975" s="10">
        <f>CHOOSE(CONTROL!$C$42, 37.1663, 37.1663)*CHOOSE(CONTROL!$C$21, $C$9, 100%, $E$9)</f>
        <v>37.1663</v>
      </c>
      <c r="G975" s="10">
        <f>CHOOSE(CONTROL!$C$42, 37.1847, 37.1847)*CHOOSE(CONTROL!$C$21, $C$9, 100%, $E$9)</f>
        <v>37.184699999999999</v>
      </c>
      <c r="H975" s="10">
        <f>CHOOSE(CONTROL!$C$42, 37.2498, 37.2498) * CHOOSE(CONTROL!$C$21, $C$9, 100%, $E$9)</f>
        <v>37.2498</v>
      </c>
      <c r="I975" s="10">
        <f>CHOOSE(CONTROL!$C$42, 37.1942, 37.1942)* CHOOSE(CONTROL!$C$21, $C$9, 100%, $E$9)</f>
        <v>37.194200000000002</v>
      </c>
      <c r="J975" s="10">
        <f>CHOOSE(CONTROL!$C$42, 37.1589, 37.1589)* CHOOSE(CONTROL!$C$21, $C$9, 100%, $E$9)</f>
        <v>37.158900000000003</v>
      </c>
      <c r="K975" s="10">
        <f>CHOOSE(CONTROL!$C$42, 36.2054, 36.2054) * CHOOSE(CONTROL!$C$21, $C$9, 100%, $E$9)</f>
        <v>36.205399999999997</v>
      </c>
      <c r="L975" s="10">
        <f>CHOOSE(CONTROL!$C$42, 37.8368, 37.8368) * CHOOSE(CONTROL!$C$21, $C$9, 100%, $E$9)</f>
        <v>37.836799999999997</v>
      </c>
      <c r="M975" s="10">
        <f>CHOOSE(CONTROL!$C$42, 36.7109, 36.7109) * CHOOSE(CONTROL!$C$21, $C$9, 100%, $E$9)</f>
        <v>36.710900000000002</v>
      </c>
      <c r="N975" s="10">
        <f>CHOOSE(CONTROL!$C$42, 36.7291, 36.7291) * CHOOSE(CONTROL!$C$21, $C$9, 100%, $E$9)</f>
        <v>36.729100000000003</v>
      </c>
      <c r="O975" s="10">
        <f>CHOOSE(CONTROL!$C$42, 36.8006, 36.8006) * CHOOSE(CONTROL!$C$21, $C$9, 100%, $E$9)</f>
        <v>36.800600000000003</v>
      </c>
      <c r="P975" s="10">
        <f>CHOOSE(CONTROL!$C$42, 36.7458, 36.7458) * CHOOSE(CONTROL!$C$21, $C$9, 100%, $E$9)</f>
        <v>36.745800000000003</v>
      </c>
      <c r="Q975" s="10">
        <f>CHOOSE(CONTROL!$C$42, 37.3959, 37.3959) * CHOOSE(CONTROL!$C$21, $C$9, 100%, $E$9)</f>
        <v>37.395899999999997</v>
      </c>
      <c r="R975" s="10">
        <f>CHOOSE(CONTROL!$C$42, 38.0764, 38.0764) * CHOOSE(CONTROL!$C$21, $C$9, 100%, $E$9)</f>
        <v>38.0764</v>
      </c>
      <c r="S975" s="10">
        <f>CHOOSE(CONTROL!$C$42, 36.0248, 36.0248) * CHOOSE(CONTROL!$C$21, $C$9, 100%, $E$9)</f>
        <v>36.024799999999999</v>
      </c>
      <c r="T97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38">
        <f>(1000*CHOOSE(CONTROL!$C$42, 695, 695)*CHOOSE(CONTROL!$C$42, 0.5599, 0.5599)*CHOOSE(CONTROL!$C$42, 31, 31))/1000000</f>
        <v>12.063045499999998</v>
      </c>
      <c r="V975" s="38">
        <f>(1000*CHOOSE(CONTROL!$C$42, 500, 500)*CHOOSE(CONTROL!$C$42, 0.275, 0.275)*CHOOSE(CONTROL!$C$42, 31, 31))/1000000</f>
        <v>4.2625000000000002</v>
      </c>
      <c r="W975" s="38">
        <f>(1000*CHOOSE(CONTROL!$C$42, 0.1146, 0.1146)*CHOOSE(CONTROL!$C$42, 121.5, 121.5)*CHOOSE(CONTROL!$C$42, 31, 31))/1000000</f>
        <v>0.43164089999999994</v>
      </c>
      <c r="X975" s="38">
        <f>(31*0.1790888*100000/1000000)+(31*0.2374*100000/1000000)</f>
        <v>1.2911152800000001</v>
      </c>
      <c r="Y975" s="38">
        <f>(1000*600*CHOOSE(CONTROL!$C$42, 1.0585, 1.0585)*CHOOSE(CONTROL!$C$42, 31, 31))/1000000</f>
        <v>19.688099999999999</v>
      </c>
      <c r="Z975" s="38"/>
      <c r="AA975" s="10"/>
      <c r="AB975" s="39"/>
      <c r="AC975" s="33">
        <f>(B975*122.58+C975*297.941+D975*89.177+E975*40.302+F975*40+G975*160+H975*0+I975*100+J975*300)/(122.58+297.941+89.177+40.302+0+40+160+100+300)</f>
        <v>37.186276360521738</v>
      </c>
      <c r="AD975" s="27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36.757624460431657</v>
      </c>
    </row>
    <row r="976" spans="1:30" ht="15.75" x14ac:dyDescent="0.25">
      <c r="A976" s="13">
        <v>70979</v>
      </c>
      <c r="B976" s="10">
        <f>CHOOSE(CONTROL!$C$42, 37.0763, 37.0763) * CHOOSE(CONTROL!$C$21, $C$9, 100%, $E$9)</f>
        <v>37.076300000000003</v>
      </c>
      <c r="C976" s="10">
        <f>CHOOSE(CONTROL!$C$42, 37.0809, 37.0809) * CHOOSE(CONTROL!$C$21, $C$9, 100%, $E$9)</f>
        <v>37.0809</v>
      </c>
      <c r="D976" s="10">
        <f>CHOOSE(CONTROL!$C$42, 37.2591, 37.2591) * CHOOSE(CONTROL!$C$21, $C$9, 100%, $E$9)</f>
        <v>37.259099999999997</v>
      </c>
      <c r="E976" s="10">
        <f>CHOOSE(CONTROL!$C$42, 37.2909, 37.2909) * CHOOSE(CONTROL!$C$21, $C$9, 100%, $E$9)</f>
        <v>37.290900000000001</v>
      </c>
      <c r="F976" s="10">
        <f>CHOOSE(CONTROL!$C$42, 37.0198, 37.0198)*CHOOSE(CONTROL!$C$21, $C$9, 100%, $E$9)</f>
        <v>37.019799999999996</v>
      </c>
      <c r="G976" s="10">
        <f>CHOOSE(CONTROL!$C$42, 37.0364, 37.0364)*CHOOSE(CONTROL!$C$21, $C$9, 100%, $E$9)</f>
        <v>37.0364</v>
      </c>
      <c r="H976" s="10">
        <f>CHOOSE(CONTROL!$C$42, 37.2804, 37.2804) * CHOOSE(CONTROL!$C$21, $C$9, 100%, $E$9)</f>
        <v>37.2804</v>
      </c>
      <c r="I976" s="10">
        <f>CHOOSE(CONTROL!$C$42, 37.0523, 37.0523)* CHOOSE(CONTROL!$C$21, $C$9, 100%, $E$9)</f>
        <v>37.052300000000002</v>
      </c>
      <c r="J976" s="10">
        <f>CHOOSE(CONTROL!$C$42, 37.0124, 37.0124)* CHOOSE(CONTROL!$C$21, $C$9, 100%, $E$9)</f>
        <v>37.0124</v>
      </c>
      <c r="K976" s="10">
        <f>CHOOSE(CONTROL!$C$42, 36.0532, 36.0532) * CHOOSE(CONTROL!$C$21, $C$9, 100%, $E$9)</f>
        <v>36.053199999999997</v>
      </c>
      <c r="L976" s="10">
        <f>CHOOSE(CONTROL!$C$42, 37.8674, 37.8674) * CHOOSE(CONTROL!$C$21, $C$9, 100%, $E$9)</f>
        <v>37.867400000000004</v>
      </c>
      <c r="M976" s="10">
        <f>CHOOSE(CONTROL!$C$42, 36.5663, 36.5663) * CHOOSE(CONTROL!$C$21, $C$9, 100%, $E$9)</f>
        <v>36.566299999999998</v>
      </c>
      <c r="N976" s="10">
        <f>CHOOSE(CONTROL!$C$42, 36.5827, 36.5827) * CHOOSE(CONTROL!$C$21, $C$9, 100%, $E$9)</f>
        <v>36.582700000000003</v>
      </c>
      <c r="O976" s="10">
        <f>CHOOSE(CONTROL!$C$42, 36.8308, 36.8308) * CHOOSE(CONTROL!$C$21, $C$9, 100%, $E$9)</f>
        <v>36.830800000000004</v>
      </c>
      <c r="P976" s="10">
        <f>CHOOSE(CONTROL!$C$42, 36.6058, 36.6058) * CHOOSE(CONTROL!$C$21, $C$9, 100%, $E$9)</f>
        <v>36.605800000000002</v>
      </c>
      <c r="Q976" s="10">
        <f>CHOOSE(CONTROL!$C$42, 37.4261, 37.4261) * CHOOSE(CONTROL!$C$21, $C$9, 100%, $E$9)</f>
        <v>37.426099999999998</v>
      </c>
      <c r="R976" s="10">
        <f>CHOOSE(CONTROL!$C$42, 38.1066, 38.1066) * CHOOSE(CONTROL!$C$21, $C$9, 100%, $E$9)</f>
        <v>38.1066</v>
      </c>
      <c r="S976" s="10">
        <f>CHOOSE(CONTROL!$C$42, 35.9169, 35.9169) * CHOOSE(CONTROL!$C$21, $C$9, 100%, $E$9)</f>
        <v>35.916899999999998</v>
      </c>
      <c r="T97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38">
        <f>(1000*CHOOSE(CONTROL!$C$42, 695, 695)*CHOOSE(CONTROL!$C$42, 0.5599, 0.5599)*CHOOSE(CONTROL!$C$42, 30, 30))/1000000</f>
        <v>11.673914999999997</v>
      </c>
      <c r="V976" s="38">
        <f>(1000*CHOOSE(CONTROL!$C$42, 500, 500)*CHOOSE(CONTROL!$C$42, 0.275, 0.275)*CHOOSE(CONTROL!$C$42, 30, 30))/1000000</f>
        <v>4.125</v>
      </c>
      <c r="W976" s="38">
        <f>(1000*CHOOSE(CONTROL!$C$42, 0.1146, 0.1146)*CHOOSE(CONTROL!$C$42, 121.5, 121.5)*CHOOSE(CONTROL!$C$42, 30, 30))/1000000</f>
        <v>0.417717</v>
      </c>
      <c r="X976" s="38">
        <f>(30*0.1790888*245000/1000000)+(30*0.2374*100000/1000000)</f>
        <v>2.0285026799999999</v>
      </c>
      <c r="Y976" s="38">
        <f>(1000*600*CHOOSE(CONTROL!$C$42, 1.0585, 1.0585)*CHOOSE(CONTROL!$C$42, 30, 30))/1000000</f>
        <v>19.053000000000001</v>
      </c>
      <c r="Z976" s="38"/>
      <c r="AA976" s="10"/>
      <c r="AB976" s="39"/>
      <c r="AC976" s="33">
        <f>(B976*141.293+C976*267.993+D976*115.016+E976*89.698+F976*40+G976*185+H976*0+I976*100+J976*300)/(141.293+267.993+115.016+89.698+0+40+185+100+300)</f>
        <v>37.084609429701374</v>
      </c>
      <c r="AD976" s="27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36.692808633093534</v>
      </c>
    </row>
    <row r="977" spans="1:30" ht="15.75" x14ac:dyDescent="0.25">
      <c r="A977" s="13">
        <v>71010</v>
      </c>
      <c r="B977" s="10">
        <f>CHOOSE(CONTROL!$C$42, 37.4055, 37.4055) * CHOOSE(CONTROL!$C$21, $C$9, 100%, $E$9)</f>
        <v>37.405500000000004</v>
      </c>
      <c r="C977" s="10">
        <f>CHOOSE(CONTROL!$C$42, 37.4135, 37.4135) * CHOOSE(CONTROL!$C$21, $C$9, 100%, $E$9)</f>
        <v>37.413499999999999</v>
      </c>
      <c r="D977" s="10">
        <f>CHOOSE(CONTROL!$C$42, 37.5886, 37.5886) * CHOOSE(CONTROL!$C$21, $C$9, 100%, $E$9)</f>
        <v>37.5886</v>
      </c>
      <c r="E977" s="10">
        <f>CHOOSE(CONTROL!$C$42, 37.6198, 37.6198) * CHOOSE(CONTROL!$C$21, $C$9, 100%, $E$9)</f>
        <v>37.619799999999998</v>
      </c>
      <c r="F977" s="10">
        <f>CHOOSE(CONTROL!$C$42, 37.3472, 37.3472)*CHOOSE(CONTROL!$C$21, $C$9, 100%, $E$9)</f>
        <v>37.347200000000001</v>
      </c>
      <c r="G977" s="10">
        <f>CHOOSE(CONTROL!$C$42, 37.364, 37.364)*CHOOSE(CONTROL!$C$21, $C$9, 100%, $E$9)</f>
        <v>37.363999999999997</v>
      </c>
      <c r="H977" s="10">
        <f>CHOOSE(CONTROL!$C$42, 37.6081, 37.6081) * CHOOSE(CONTROL!$C$21, $C$9, 100%, $E$9)</f>
        <v>37.6081</v>
      </c>
      <c r="I977" s="10">
        <f>CHOOSE(CONTROL!$C$42, 37.3801, 37.3801)* CHOOSE(CONTROL!$C$21, $C$9, 100%, $E$9)</f>
        <v>37.380099999999999</v>
      </c>
      <c r="J977" s="10">
        <f>CHOOSE(CONTROL!$C$42, 37.3398, 37.3398)* CHOOSE(CONTROL!$C$21, $C$9, 100%, $E$9)</f>
        <v>37.339799999999997</v>
      </c>
      <c r="K977" s="10">
        <f>CHOOSE(CONTROL!$C$42, 36.3699, 36.3699) * CHOOSE(CONTROL!$C$21, $C$9, 100%, $E$9)</f>
        <v>36.369900000000001</v>
      </c>
      <c r="L977" s="10">
        <f>CHOOSE(CONTROL!$C$42, 38.1951, 38.1951) * CHOOSE(CONTROL!$C$21, $C$9, 100%, $E$9)</f>
        <v>38.195099999999996</v>
      </c>
      <c r="M977" s="10">
        <f>CHOOSE(CONTROL!$C$42, 36.8894, 36.8894) * CHOOSE(CONTROL!$C$21, $C$9, 100%, $E$9)</f>
        <v>36.889400000000002</v>
      </c>
      <c r="N977" s="10">
        <f>CHOOSE(CONTROL!$C$42, 36.9061, 36.9061) * CHOOSE(CONTROL!$C$21, $C$9, 100%, $E$9)</f>
        <v>36.906100000000002</v>
      </c>
      <c r="O977" s="10">
        <f>CHOOSE(CONTROL!$C$42, 37.1543, 37.1543) * CHOOSE(CONTROL!$C$21, $C$9, 100%, $E$9)</f>
        <v>37.154299999999999</v>
      </c>
      <c r="P977" s="10">
        <f>CHOOSE(CONTROL!$C$42, 36.9293, 36.9293) * CHOOSE(CONTROL!$C$21, $C$9, 100%, $E$9)</f>
        <v>36.929299999999998</v>
      </c>
      <c r="Q977" s="10">
        <f>CHOOSE(CONTROL!$C$42, 37.7496, 37.7496) * CHOOSE(CONTROL!$C$21, $C$9, 100%, $E$9)</f>
        <v>37.749600000000001</v>
      </c>
      <c r="R977" s="10">
        <f>CHOOSE(CONTROL!$C$42, 38.431, 38.431) * CHOOSE(CONTROL!$C$21, $C$9, 100%, $E$9)</f>
        <v>38.430999999999997</v>
      </c>
      <c r="S977" s="10">
        <f>CHOOSE(CONTROL!$C$42, 36.2343, 36.2343) * CHOOSE(CONTROL!$C$21, $C$9, 100%, $E$9)</f>
        <v>36.234299999999998</v>
      </c>
      <c r="T97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38">
        <f>(1000*CHOOSE(CONTROL!$C$42, 695, 695)*CHOOSE(CONTROL!$C$42, 0.5599, 0.5599)*CHOOSE(CONTROL!$C$42, 31, 31))/1000000</f>
        <v>12.063045499999998</v>
      </c>
      <c r="V977" s="38">
        <f>(1000*CHOOSE(CONTROL!$C$42, 500, 500)*CHOOSE(CONTROL!$C$42, 0.275, 0.275)*CHOOSE(CONTROL!$C$42, 31, 31))/1000000</f>
        <v>4.2625000000000002</v>
      </c>
      <c r="W977" s="38">
        <f>(1000*CHOOSE(CONTROL!$C$42, 0.1146, 0.1146)*CHOOSE(CONTROL!$C$42, 121.5, 121.5)*CHOOSE(CONTROL!$C$42, 31, 31))/1000000</f>
        <v>0.43164089999999994</v>
      </c>
      <c r="X977" s="38">
        <f>(31*0.1790888*245000/1000000)+(31*0.2374*100000/1000000)</f>
        <v>2.0961194359999999</v>
      </c>
      <c r="Y977" s="38">
        <f>(1000*600*CHOOSE(CONTROL!$C$42, 1.0585, 1.0585)*CHOOSE(CONTROL!$C$42, 31, 31))/1000000</f>
        <v>19.688099999999999</v>
      </c>
      <c r="Z977" s="38"/>
      <c r="AA977" s="10"/>
      <c r="AB977" s="39"/>
      <c r="AC977" s="33">
        <f>(B977*194.205+C977*267.466+D977*133.845+E977*53.484+F977*40+G977*185+H977*0+I977*100+J977*300)/(194.205+267.466+133.845+53.484+0+40+185+100+300)</f>
        <v>37.410090948744113</v>
      </c>
      <c r="AD977" s="27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37.01616474820144</v>
      </c>
    </row>
    <row r="978" spans="1:30" ht="15.75" x14ac:dyDescent="0.25">
      <c r="A978" s="13">
        <v>71040</v>
      </c>
      <c r="B978" s="10">
        <f>CHOOSE(CONTROL!$C$42, 38.4669, 38.4669) * CHOOSE(CONTROL!$C$21, $C$9, 100%, $E$9)</f>
        <v>38.466900000000003</v>
      </c>
      <c r="C978" s="10">
        <f>CHOOSE(CONTROL!$C$42, 38.4749, 38.4749) * CHOOSE(CONTROL!$C$21, $C$9, 100%, $E$9)</f>
        <v>38.474899999999998</v>
      </c>
      <c r="D978" s="10">
        <f>CHOOSE(CONTROL!$C$42, 38.65, 38.65) * CHOOSE(CONTROL!$C$21, $C$9, 100%, $E$9)</f>
        <v>38.65</v>
      </c>
      <c r="E978" s="10">
        <f>CHOOSE(CONTROL!$C$42, 38.6813, 38.6813) * CHOOSE(CONTROL!$C$21, $C$9, 100%, $E$9)</f>
        <v>38.6813</v>
      </c>
      <c r="F978" s="10">
        <f>CHOOSE(CONTROL!$C$42, 38.4088, 38.4088)*CHOOSE(CONTROL!$C$21, $C$9, 100%, $E$9)</f>
        <v>38.408799999999999</v>
      </c>
      <c r="G978" s="10">
        <f>CHOOSE(CONTROL!$C$42, 38.4257, 38.4257)*CHOOSE(CONTROL!$C$21, $C$9, 100%, $E$9)</f>
        <v>38.425699999999999</v>
      </c>
      <c r="H978" s="10">
        <f>CHOOSE(CONTROL!$C$42, 38.6696, 38.6696) * CHOOSE(CONTROL!$C$21, $C$9, 100%, $E$9)</f>
        <v>38.669600000000003</v>
      </c>
      <c r="I978" s="10">
        <f>CHOOSE(CONTROL!$C$42, 38.4416, 38.4416)* CHOOSE(CONTROL!$C$21, $C$9, 100%, $E$9)</f>
        <v>38.441600000000001</v>
      </c>
      <c r="J978" s="10">
        <f>CHOOSE(CONTROL!$C$42, 38.4014, 38.4014)* CHOOSE(CONTROL!$C$21, $C$9, 100%, $E$9)</f>
        <v>38.401400000000002</v>
      </c>
      <c r="K978" s="10">
        <f>CHOOSE(CONTROL!$C$42, 37.3986, 37.3986) * CHOOSE(CONTROL!$C$21, $C$9, 100%, $E$9)</f>
        <v>37.398600000000002</v>
      </c>
      <c r="L978" s="10">
        <f>CHOOSE(CONTROL!$C$42, 39.2566, 39.2566) * CHOOSE(CONTROL!$C$21, $C$9, 100%, $E$9)</f>
        <v>39.256599999999999</v>
      </c>
      <c r="M978" s="10">
        <f>CHOOSE(CONTROL!$C$42, 37.9373, 37.9373) * CHOOSE(CONTROL!$C$21, $C$9, 100%, $E$9)</f>
        <v>37.9373</v>
      </c>
      <c r="N978" s="10">
        <f>CHOOSE(CONTROL!$C$42, 37.954, 37.954) * CHOOSE(CONTROL!$C$21, $C$9, 100%, $E$9)</f>
        <v>37.954000000000001</v>
      </c>
      <c r="O978" s="10">
        <f>CHOOSE(CONTROL!$C$42, 38.202, 38.202) * CHOOSE(CONTROL!$C$21, $C$9, 100%, $E$9)</f>
        <v>38.201999999999998</v>
      </c>
      <c r="P978" s="10">
        <f>CHOOSE(CONTROL!$C$42, 37.977, 37.977) * CHOOSE(CONTROL!$C$21, $C$9, 100%, $E$9)</f>
        <v>37.976999999999997</v>
      </c>
      <c r="Q978" s="10">
        <f>CHOOSE(CONTROL!$C$42, 38.7973, 38.7973) * CHOOSE(CONTROL!$C$21, $C$9, 100%, $E$9)</f>
        <v>38.7973</v>
      </c>
      <c r="R978" s="10">
        <f>CHOOSE(CONTROL!$C$42, 39.4813, 39.4813) * CHOOSE(CONTROL!$C$21, $C$9, 100%, $E$9)</f>
        <v>39.481299999999997</v>
      </c>
      <c r="S978" s="10">
        <f>CHOOSE(CONTROL!$C$42, 37.2621, 37.2621) * CHOOSE(CONTROL!$C$21, $C$9, 100%, $E$9)</f>
        <v>37.262099999999997</v>
      </c>
      <c r="T97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38">
        <f>(1000*CHOOSE(CONTROL!$C$42, 695, 695)*CHOOSE(CONTROL!$C$42, 0.5599, 0.5599)*CHOOSE(CONTROL!$C$42, 30, 30))/1000000</f>
        <v>11.673914999999997</v>
      </c>
      <c r="V978" s="38">
        <f>(1000*CHOOSE(CONTROL!$C$42, 500, 500)*CHOOSE(CONTROL!$C$42, 0.275, 0.275)*CHOOSE(CONTROL!$C$42, 30, 30))/1000000</f>
        <v>4.125</v>
      </c>
      <c r="W978" s="38">
        <f>(1000*CHOOSE(CONTROL!$C$42, 0.1146, 0.1146)*CHOOSE(CONTROL!$C$42, 121.5, 121.5)*CHOOSE(CONTROL!$C$42, 30, 30))/1000000</f>
        <v>0.417717</v>
      </c>
      <c r="X978" s="38">
        <f>(30*0.1790888*245000/1000000)+(30*0.2374*100000/1000000)</f>
        <v>2.0285026799999999</v>
      </c>
      <c r="Y978" s="38">
        <f>(1000*600*CHOOSE(CONTROL!$C$42, 1.0585, 1.0585)*CHOOSE(CONTROL!$C$42, 30, 30))/1000000</f>
        <v>19.053000000000001</v>
      </c>
      <c r="Z978" s="38"/>
      <c r="AA978" s="10"/>
      <c r="AB978" s="39"/>
      <c r="AC978" s="33">
        <f>(B978*194.205+C978*267.466+D978*133.845+E978*53.484+F978*40+G978*185+H978*0+I978*100+J978*300)/(194.205+267.466+133.845+53.484+0+40+185+100+300)</f>
        <v>38.471599934929358</v>
      </c>
      <c r="AD978" s="27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38.063945323741002</v>
      </c>
    </row>
    <row r="979" spans="1:30" ht="15.75" x14ac:dyDescent="0.25">
      <c r="A979" s="13">
        <v>71071</v>
      </c>
      <c r="B979" s="10">
        <f>CHOOSE(CONTROL!$C$42, 37.7287, 37.7287) * CHOOSE(CONTROL!$C$21, $C$9, 100%, $E$9)</f>
        <v>37.728700000000003</v>
      </c>
      <c r="C979" s="10">
        <f>CHOOSE(CONTROL!$C$42, 37.7367, 37.7367) * CHOOSE(CONTROL!$C$21, $C$9, 100%, $E$9)</f>
        <v>37.736699999999999</v>
      </c>
      <c r="D979" s="10">
        <f>CHOOSE(CONTROL!$C$42, 37.9118, 37.9118) * CHOOSE(CONTROL!$C$21, $C$9, 100%, $E$9)</f>
        <v>37.911799999999999</v>
      </c>
      <c r="E979" s="10">
        <f>CHOOSE(CONTROL!$C$42, 37.943, 37.943) * CHOOSE(CONTROL!$C$21, $C$9, 100%, $E$9)</f>
        <v>37.942999999999998</v>
      </c>
      <c r="F979" s="10">
        <f>CHOOSE(CONTROL!$C$42, 37.6709, 37.6709)*CHOOSE(CONTROL!$C$21, $C$9, 100%, $E$9)</f>
        <v>37.670900000000003</v>
      </c>
      <c r="G979" s="10">
        <f>CHOOSE(CONTROL!$C$42, 37.6879, 37.6879)*CHOOSE(CONTROL!$C$21, $C$9, 100%, $E$9)</f>
        <v>37.687899999999999</v>
      </c>
      <c r="H979" s="10">
        <f>CHOOSE(CONTROL!$C$42, 37.9313, 37.9313) * CHOOSE(CONTROL!$C$21, $C$9, 100%, $E$9)</f>
        <v>37.9313</v>
      </c>
      <c r="I979" s="10">
        <f>CHOOSE(CONTROL!$C$42, 37.7033, 37.7033)* CHOOSE(CONTROL!$C$21, $C$9, 100%, $E$9)</f>
        <v>37.703299999999999</v>
      </c>
      <c r="J979" s="10">
        <f>CHOOSE(CONTROL!$C$42, 37.6635, 37.6635)* CHOOSE(CONTROL!$C$21, $C$9, 100%, $E$9)</f>
        <v>37.663499999999999</v>
      </c>
      <c r="K979" s="10">
        <f>CHOOSE(CONTROL!$C$42, 36.6842, 36.6842) * CHOOSE(CONTROL!$C$21, $C$9, 100%, $E$9)</f>
        <v>36.684199999999997</v>
      </c>
      <c r="L979" s="10">
        <f>CHOOSE(CONTROL!$C$42, 38.5183, 38.5183) * CHOOSE(CONTROL!$C$21, $C$9, 100%, $E$9)</f>
        <v>38.518300000000004</v>
      </c>
      <c r="M979" s="10">
        <f>CHOOSE(CONTROL!$C$42, 37.209, 37.209) * CHOOSE(CONTROL!$C$21, $C$9, 100%, $E$9)</f>
        <v>37.209000000000003</v>
      </c>
      <c r="N979" s="10">
        <f>CHOOSE(CONTROL!$C$42, 37.2258, 37.2258) * CHOOSE(CONTROL!$C$21, $C$9, 100%, $E$9)</f>
        <v>37.2258</v>
      </c>
      <c r="O979" s="10">
        <f>CHOOSE(CONTROL!$C$42, 37.4733, 37.4733) * CHOOSE(CONTROL!$C$21, $C$9, 100%, $E$9)</f>
        <v>37.473300000000002</v>
      </c>
      <c r="P979" s="10">
        <f>CHOOSE(CONTROL!$C$42, 37.2483, 37.2483) * CHOOSE(CONTROL!$C$21, $C$9, 100%, $E$9)</f>
        <v>37.2483</v>
      </c>
      <c r="Q979" s="10">
        <f>CHOOSE(CONTROL!$C$42, 38.0686, 38.0686) * CHOOSE(CONTROL!$C$21, $C$9, 100%, $E$9)</f>
        <v>38.068600000000004</v>
      </c>
      <c r="R979" s="10">
        <f>CHOOSE(CONTROL!$C$42, 38.7508, 38.7508) * CHOOSE(CONTROL!$C$21, $C$9, 100%, $E$9)</f>
        <v>38.750799999999998</v>
      </c>
      <c r="S979" s="10">
        <f>CHOOSE(CONTROL!$C$42, 36.5473, 36.5473) * CHOOSE(CONTROL!$C$21, $C$9, 100%, $E$9)</f>
        <v>36.5473</v>
      </c>
      <c r="T97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38">
        <f>(1000*CHOOSE(CONTROL!$C$42, 695, 695)*CHOOSE(CONTROL!$C$42, 0.5599, 0.5599)*CHOOSE(CONTROL!$C$42, 31, 31))/1000000</f>
        <v>12.063045499999998</v>
      </c>
      <c r="V979" s="38">
        <f>(1000*CHOOSE(CONTROL!$C$42, 500, 500)*CHOOSE(CONTROL!$C$42, 0.275, 0.275)*CHOOSE(CONTROL!$C$42, 31, 31))/1000000</f>
        <v>4.2625000000000002</v>
      </c>
      <c r="W979" s="38">
        <f>(1000*CHOOSE(CONTROL!$C$42, 0.1146, 0.1146)*CHOOSE(CONTROL!$C$42, 121.5, 121.5)*CHOOSE(CONTROL!$C$42, 31, 31))/1000000</f>
        <v>0.43164089999999994</v>
      </c>
      <c r="X979" s="38">
        <f>(31*0.1790888*245000/1000000)+(31*0.2374*100000/1000000)</f>
        <v>2.0961194359999999</v>
      </c>
      <c r="Y979" s="38">
        <f>(1000*600*CHOOSE(CONTROL!$C$42, 1.0585, 1.0585)*CHOOSE(CONTROL!$C$42, 31, 31))/1000000</f>
        <v>19.688099999999999</v>
      </c>
      <c r="Z979" s="38"/>
      <c r="AA979" s="10"/>
      <c r="AB979" s="39"/>
      <c r="AC979" s="33">
        <f>(B979*194.205+C979*267.466+D979*133.845+E979*53.484+F979*40+G979*185+H979*0+I979*100+J979*300)/(194.205+267.466+133.845+53.484+0+40+185+100+300)</f>
        <v>37.733526035086349</v>
      </c>
      <c r="AD979" s="27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37.335412230215823</v>
      </c>
    </row>
    <row r="980" spans="1:30" ht="15.75" x14ac:dyDescent="0.25">
      <c r="A980" s="13">
        <v>71102</v>
      </c>
      <c r="B980" s="10">
        <f>CHOOSE(CONTROL!$C$42, 35.8644, 35.8644) * CHOOSE(CONTROL!$C$21, $C$9, 100%, $E$9)</f>
        <v>35.864400000000003</v>
      </c>
      <c r="C980" s="10">
        <f>CHOOSE(CONTROL!$C$42, 35.8724, 35.8724) * CHOOSE(CONTROL!$C$21, $C$9, 100%, $E$9)</f>
        <v>35.872399999999999</v>
      </c>
      <c r="D980" s="10">
        <f>CHOOSE(CONTROL!$C$42, 36.0475, 36.0475) * CHOOSE(CONTROL!$C$21, $C$9, 100%, $E$9)</f>
        <v>36.047499999999999</v>
      </c>
      <c r="E980" s="10">
        <f>CHOOSE(CONTROL!$C$42, 36.0787, 36.0787) * CHOOSE(CONTROL!$C$21, $C$9, 100%, $E$9)</f>
        <v>36.078699999999998</v>
      </c>
      <c r="F980" s="10">
        <f>CHOOSE(CONTROL!$C$42, 35.8065, 35.8065)*CHOOSE(CONTROL!$C$21, $C$9, 100%, $E$9)</f>
        <v>35.8065</v>
      </c>
      <c r="G980" s="10">
        <f>CHOOSE(CONTROL!$C$42, 35.8235, 35.8235)*CHOOSE(CONTROL!$C$21, $C$9, 100%, $E$9)</f>
        <v>35.823500000000003</v>
      </c>
      <c r="H980" s="10">
        <f>CHOOSE(CONTROL!$C$42, 36.067, 36.067) * CHOOSE(CONTROL!$C$21, $C$9, 100%, $E$9)</f>
        <v>36.067</v>
      </c>
      <c r="I980" s="10">
        <f>CHOOSE(CONTROL!$C$42, 35.839, 35.839)* CHOOSE(CONTROL!$C$21, $C$9, 100%, $E$9)</f>
        <v>35.838999999999999</v>
      </c>
      <c r="J980" s="10">
        <f>CHOOSE(CONTROL!$C$42, 35.7991, 35.7991)* CHOOSE(CONTROL!$C$21, $C$9, 100%, $E$9)</f>
        <v>35.799100000000003</v>
      </c>
      <c r="K980" s="10">
        <f>CHOOSE(CONTROL!$C$42, 34.8778, 34.8778) * CHOOSE(CONTROL!$C$21, $C$9, 100%, $E$9)</f>
        <v>34.877800000000001</v>
      </c>
      <c r="L980" s="10">
        <f>CHOOSE(CONTROL!$C$42, 36.654, 36.654) * CHOOSE(CONTROL!$C$21, $C$9, 100%, $E$9)</f>
        <v>36.654000000000003</v>
      </c>
      <c r="M980" s="10">
        <f>CHOOSE(CONTROL!$C$42, 35.3687, 35.3687) * CHOOSE(CONTROL!$C$21, $C$9, 100%, $E$9)</f>
        <v>35.368699999999997</v>
      </c>
      <c r="N980" s="10">
        <f>CHOOSE(CONTROL!$C$42, 35.3855, 35.3855) * CHOOSE(CONTROL!$C$21, $C$9, 100%, $E$9)</f>
        <v>35.3855</v>
      </c>
      <c r="O980" s="10">
        <f>CHOOSE(CONTROL!$C$42, 35.6332, 35.6332) * CHOOSE(CONTROL!$C$21, $C$9, 100%, $E$9)</f>
        <v>35.633200000000002</v>
      </c>
      <c r="P980" s="10">
        <f>CHOOSE(CONTROL!$C$42, 35.4081, 35.4081) * CHOOSE(CONTROL!$C$21, $C$9, 100%, $E$9)</f>
        <v>35.408099999999997</v>
      </c>
      <c r="Q980" s="10">
        <f>CHOOSE(CONTROL!$C$42, 36.2285, 36.2285) * CHOOSE(CONTROL!$C$21, $C$9, 100%, $E$9)</f>
        <v>36.228499999999997</v>
      </c>
      <c r="R980" s="10">
        <f>CHOOSE(CONTROL!$C$42, 36.906, 36.906) * CHOOSE(CONTROL!$C$21, $C$9, 100%, $E$9)</f>
        <v>36.905999999999999</v>
      </c>
      <c r="S980" s="10">
        <f>CHOOSE(CONTROL!$C$42, 34.7421, 34.7421) * CHOOSE(CONTROL!$C$21, $C$9, 100%, $E$9)</f>
        <v>34.742100000000001</v>
      </c>
      <c r="T98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38">
        <f>(1000*CHOOSE(CONTROL!$C$42, 695, 695)*CHOOSE(CONTROL!$C$42, 0.5599, 0.5599)*CHOOSE(CONTROL!$C$42, 31, 31))/1000000</f>
        <v>12.063045499999998</v>
      </c>
      <c r="V980" s="38">
        <f>(1000*CHOOSE(CONTROL!$C$42, 500, 500)*CHOOSE(CONTROL!$C$42, 0.275, 0.275)*CHOOSE(CONTROL!$C$42, 31, 31))/1000000</f>
        <v>4.2625000000000002</v>
      </c>
      <c r="W980" s="38">
        <f>(1000*CHOOSE(CONTROL!$C$42, 0.1146, 0.1146)*CHOOSE(CONTROL!$C$42, 121.5, 121.5)*CHOOSE(CONTROL!$C$42, 31, 31))/1000000</f>
        <v>0.43164089999999994</v>
      </c>
      <c r="X980" s="38">
        <f>(31*0.1790888*245000/1000000)+(31*0.2374*100000/1000000)</f>
        <v>2.0961194359999999</v>
      </c>
      <c r="Y980" s="38">
        <f>(1000*600*CHOOSE(CONTROL!$C$42, 1.0585, 1.0585)*CHOOSE(CONTROL!$C$42, 31, 31))/1000000</f>
        <v>19.688099999999999</v>
      </c>
      <c r="Z980" s="38"/>
      <c r="AA980" s="10"/>
      <c r="AB980" s="39"/>
      <c r="AC980" s="33">
        <f>(B980*194.205+C980*267.466+D980*133.845+E980*53.484+F980*40+G980*185+H980*0+I980*100+J980*300)/(194.205+267.466+133.845+53.484+0+40+185+100+300)</f>
        <v>35.86918482629514</v>
      </c>
      <c r="AD980" s="27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35.495217266187055</v>
      </c>
    </row>
    <row r="981" spans="1:30" ht="15.75" x14ac:dyDescent="0.25">
      <c r="A981" s="13">
        <v>71132</v>
      </c>
      <c r="B981" s="10">
        <f>CHOOSE(CONTROL!$C$42, 33.5865, 33.5865) * CHOOSE(CONTROL!$C$21, $C$9, 100%, $E$9)</f>
        <v>33.586500000000001</v>
      </c>
      <c r="C981" s="10">
        <f>CHOOSE(CONTROL!$C$42, 33.5945, 33.5945) * CHOOSE(CONTROL!$C$21, $C$9, 100%, $E$9)</f>
        <v>33.594499999999996</v>
      </c>
      <c r="D981" s="10">
        <f>CHOOSE(CONTROL!$C$42, 33.7696, 33.7696) * CHOOSE(CONTROL!$C$21, $C$9, 100%, $E$9)</f>
        <v>33.769599999999997</v>
      </c>
      <c r="E981" s="10">
        <f>CHOOSE(CONTROL!$C$42, 33.8009, 33.8009) * CHOOSE(CONTROL!$C$21, $C$9, 100%, $E$9)</f>
        <v>33.800899999999999</v>
      </c>
      <c r="F981" s="10">
        <f>CHOOSE(CONTROL!$C$42, 33.5283, 33.5283)*CHOOSE(CONTROL!$C$21, $C$9, 100%, $E$9)</f>
        <v>33.528300000000002</v>
      </c>
      <c r="G981" s="10">
        <f>CHOOSE(CONTROL!$C$42, 33.5452, 33.5452)*CHOOSE(CONTROL!$C$21, $C$9, 100%, $E$9)</f>
        <v>33.545200000000001</v>
      </c>
      <c r="H981" s="10">
        <f>CHOOSE(CONTROL!$C$42, 33.7892, 33.7892) * CHOOSE(CONTROL!$C$21, $C$9, 100%, $E$9)</f>
        <v>33.789200000000001</v>
      </c>
      <c r="I981" s="10">
        <f>CHOOSE(CONTROL!$C$42, 33.5612, 33.5612)* CHOOSE(CONTROL!$C$21, $C$9, 100%, $E$9)</f>
        <v>33.561199999999999</v>
      </c>
      <c r="J981" s="10">
        <f>CHOOSE(CONTROL!$C$42, 33.5209, 33.5209)* CHOOSE(CONTROL!$C$21, $C$9, 100%, $E$9)</f>
        <v>33.520899999999997</v>
      </c>
      <c r="K981" s="10">
        <f>CHOOSE(CONTROL!$C$42, 32.6704, 32.6704) * CHOOSE(CONTROL!$C$21, $C$9, 100%, $E$9)</f>
        <v>32.670400000000001</v>
      </c>
      <c r="L981" s="10">
        <f>CHOOSE(CONTROL!$C$42, 34.3762, 34.3762) * CHOOSE(CONTROL!$C$21, $C$9, 100%, $E$9)</f>
        <v>34.376199999999997</v>
      </c>
      <c r="M981" s="10">
        <f>CHOOSE(CONTROL!$C$42, 33.12, 33.12) * CHOOSE(CONTROL!$C$21, $C$9, 100%, $E$9)</f>
        <v>33.119999999999997</v>
      </c>
      <c r="N981" s="10">
        <f>CHOOSE(CONTROL!$C$42, 33.1367, 33.1367) * CHOOSE(CONTROL!$C$21, $C$9, 100%, $E$9)</f>
        <v>33.136699999999998</v>
      </c>
      <c r="O981" s="10">
        <f>CHOOSE(CONTROL!$C$42, 33.3848, 33.3848) * CHOOSE(CONTROL!$C$21, $C$9, 100%, $E$9)</f>
        <v>33.384799999999998</v>
      </c>
      <c r="P981" s="10">
        <f>CHOOSE(CONTROL!$C$42, 33.1598, 33.1598) * CHOOSE(CONTROL!$C$21, $C$9, 100%, $E$9)</f>
        <v>33.159799999999997</v>
      </c>
      <c r="Q981" s="10">
        <f>CHOOSE(CONTROL!$C$42, 33.9801, 33.9801) * CHOOSE(CONTROL!$C$21, $C$9, 100%, $E$9)</f>
        <v>33.9801</v>
      </c>
      <c r="R981" s="10">
        <f>CHOOSE(CONTROL!$C$42, 34.6521, 34.6521) * CHOOSE(CONTROL!$C$21, $C$9, 100%, $E$9)</f>
        <v>34.652099999999997</v>
      </c>
      <c r="S981" s="10">
        <f>CHOOSE(CONTROL!$C$42, 32.5364, 32.5364) * CHOOSE(CONTROL!$C$21, $C$9, 100%, $E$9)</f>
        <v>32.5364</v>
      </c>
      <c r="T98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38">
        <f>(1000*CHOOSE(CONTROL!$C$42, 695, 695)*CHOOSE(CONTROL!$C$42, 0.5599, 0.5599)*CHOOSE(CONTROL!$C$42, 30, 30))/1000000</f>
        <v>11.673914999999997</v>
      </c>
      <c r="V981" s="38">
        <f>(1000*CHOOSE(CONTROL!$C$42, 500, 500)*CHOOSE(CONTROL!$C$42, 0.275, 0.275)*CHOOSE(CONTROL!$C$42, 30, 30))/1000000</f>
        <v>4.125</v>
      </c>
      <c r="W981" s="38">
        <f>(1000*CHOOSE(CONTROL!$C$42, 0.1146, 0.1146)*CHOOSE(CONTROL!$C$42, 121.5, 121.5)*CHOOSE(CONTROL!$C$42, 30, 30))/1000000</f>
        <v>0.417717</v>
      </c>
      <c r="X981" s="38">
        <f>(30*0.1790888*245000/1000000)+(30*0.2374*100000/1000000)</f>
        <v>2.0285026799999999</v>
      </c>
      <c r="Y981" s="38">
        <f>(1000*600*CHOOSE(CONTROL!$C$42, 1.0585, 1.0585)*CHOOSE(CONTROL!$C$42, 30, 30))/1000000</f>
        <v>19.053000000000001</v>
      </c>
      <c r="Z981" s="38"/>
      <c r="AA981" s="10"/>
      <c r="AB981" s="39"/>
      <c r="AC981" s="33">
        <f>(B981*194.205+C981*267.466+D981*133.845+E981*53.484+F981*40+G981*185+H981*0+I981*100+J981*300)/(194.205+267.466+133.845+53.484+0+40+185+100+300)</f>
        <v>33.591158726138147</v>
      </c>
      <c r="AD981" s="27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33.246705035971225</v>
      </c>
    </row>
    <row r="982" spans="1:30" ht="15.75" x14ac:dyDescent="0.25">
      <c r="A982" s="13">
        <v>71163</v>
      </c>
      <c r="B982" s="10">
        <f>CHOOSE(CONTROL!$C$42, 32.9022, 32.9022) * CHOOSE(CONTROL!$C$21, $C$9, 100%, $E$9)</f>
        <v>32.902200000000001</v>
      </c>
      <c r="C982" s="10">
        <f>CHOOSE(CONTROL!$C$42, 32.9075, 32.9075) * CHOOSE(CONTROL!$C$21, $C$9, 100%, $E$9)</f>
        <v>32.907499999999999</v>
      </c>
      <c r="D982" s="10">
        <f>CHOOSE(CONTROL!$C$42, 33.0875, 33.0875) * CHOOSE(CONTROL!$C$21, $C$9, 100%, $E$9)</f>
        <v>33.087499999999999</v>
      </c>
      <c r="E982" s="10">
        <f>CHOOSE(CONTROL!$C$42, 33.1165, 33.1165) * CHOOSE(CONTROL!$C$21, $C$9, 100%, $E$9)</f>
        <v>33.116500000000002</v>
      </c>
      <c r="F982" s="10">
        <f>CHOOSE(CONTROL!$C$42, 32.846, 32.846)*CHOOSE(CONTROL!$C$21, $C$9, 100%, $E$9)</f>
        <v>32.845999999999997</v>
      </c>
      <c r="G982" s="10">
        <f>CHOOSE(CONTROL!$C$42, 32.8626, 32.8626)*CHOOSE(CONTROL!$C$21, $C$9, 100%, $E$9)</f>
        <v>32.8626</v>
      </c>
      <c r="H982" s="10">
        <f>CHOOSE(CONTROL!$C$42, 33.1066, 33.1066) * CHOOSE(CONTROL!$C$21, $C$9, 100%, $E$9)</f>
        <v>33.1066</v>
      </c>
      <c r="I982" s="10">
        <f>CHOOSE(CONTROL!$C$42, 32.8786, 32.8786)* CHOOSE(CONTROL!$C$21, $C$9, 100%, $E$9)</f>
        <v>32.878599999999999</v>
      </c>
      <c r="J982" s="10">
        <f>CHOOSE(CONTROL!$C$42, 32.8386, 32.8386)* CHOOSE(CONTROL!$C$21, $C$9, 100%, $E$9)</f>
        <v>32.8386</v>
      </c>
      <c r="K982" s="10">
        <f>CHOOSE(CONTROL!$C$42, 32.0097, 32.0097) * CHOOSE(CONTROL!$C$21, $C$9, 100%, $E$9)</f>
        <v>32.009700000000002</v>
      </c>
      <c r="L982" s="10">
        <f>CHOOSE(CONTROL!$C$42, 33.6936, 33.6936) * CHOOSE(CONTROL!$C$21, $C$9, 100%, $E$9)</f>
        <v>33.693600000000004</v>
      </c>
      <c r="M982" s="10">
        <f>CHOOSE(CONTROL!$C$42, 32.4465, 32.4465) * CHOOSE(CONTROL!$C$21, $C$9, 100%, $E$9)</f>
        <v>32.4465</v>
      </c>
      <c r="N982" s="10">
        <f>CHOOSE(CONTROL!$C$42, 32.4629, 32.4629) * CHOOSE(CONTROL!$C$21, $C$9, 100%, $E$9)</f>
        <v>32.462899999999998</v>
      </c>
      <c r="O982" s="10">
        <f>CHOOSE(CONTROL!$C$42, 32.711, 32.711) * CHOOSE(CONTROL!$C$21, $C$9, 100%, $E$9)</f>
        <v>32.710999999999999</v>
      </c>
      <c r="P982" s="10">
        <f>CHOOSE(CONTROL!$C$42, 32.486, 32.486) * CHOOSE(CONTROL!$C$21, $C$9, 100%, $E$9)</f>
        <v>32.485999999999997</v>
      </c>
      <c r="Q982" s="10">
        <f>CHOOSE(CONTROL!$C$42, 33.3063, 33.3063) * CHOOSE(CONTROL!$C$21, $C$9, 100%, $E$9)</f>
        <v>33.3063</v>
      </c>
      <c r="R982" s="10">
        <f>CHOOSE(CONTROL!$C$42, 33.9766, 33.9766) * CHOOSE(CONTROL!$C$21, $C$9, 100%, $E$9)</f>
        <v>33.976599999999998</v>
      </c>
      <c r="S982" s="10">
        <f>CHOOSE(CONTROL!$C$42, 31.8755, 31.8755) * CHOOSE(CONTROL!$C$21, $C$9, 100%, $E$9)</f>
        <v>31.875499999999999</v>
      </c>
      <c r="T98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38">
        <f>(1000*CHOOSE(CONTROL!$C$42, 695, 695)*CHOOSE(CONTROL!$C$42, 0.5599, 0.5599)*CHOOSE(CONTROL!$C$42, 31, 31))/1000000</f>
        <v>12.063045499999998</v>
      </c>
      <c r="V982" s="38">
        <f>(1000*CHOOSE(CONTROL!$C$42, 500, 500)*CHOOSE(CONTROL!$C$42, 0.275, 0.275)*CHOOSE(CONTROL!$C$42, 31, 31))/1000000</f>
        <v>4.2625000000000002</v>
      </c>
      <c r="W982" s="38">
        <f>(1000*CHOOSE(CONTROL!$C$42, 0.1146, 0.1146)*CHOOSE(CONTROL!$C$42, 121.5, 121.5)*CHOOSE(CONTROL!$C$42, 31, 31))/1000000</f>
        <v>0.43164089999999994</v>
      </c>
      <c r="X982" s="38">
        <f>(31*0.1790888*245000/1000000)+(31*0.2374*100000/1000000)</f>
        <v>2.0961194359999999</v>
      </c>
      <c r="Y982" s="38">
        <f>(1000*600*CHOOSE(CONTROL!$C$42, 1.0585, 1.0585)*CHOOSE(CONTROL!$C$42, 31, 31))/1000000</f>
        <v>19.688099999999999</v>
      </c>
      <c r="Z982" s="38"/>
      <c r="AA982" s="10"/>
      <c r="AB982" s="39"/>
      <c r="AC982" s="33">
        <f>(B982*131.881+C982*277.167+D982*79.08+E982*125.872+F982*40+G982*185+H982*0+I982*100+J982*300)/(131.881+277.167+79.08+125.872+0+40+185+100+300)</f>
        <v>32.911952121630343</v>
      </c>
      <c r="AD982" s="27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32.573008633093522</v>
      </c>
    </row>
    <row r="983" spans="1:30" ht="15.75" x14ac:dyDescent="0.25">
      <c r="A983" s="13">
        <v>71193</v>
      </c>
      <c r="B983" s="10">
        <f>CHOOSE(CONTROL!$C$42, 33.769, 33.769) * CHOOSE(CONTROL!$C$21, $C$9, 100%, $E$9)</f>
        <v>33.768999999999998</v>
      </c>
      <c r="C983" s="10">
        <f>CHOOSE(CONTROL!$C$42, 33.7741, 33.7741) * CHOOSE(CONTROL!$C$21, $C$9, 100%, $E$9)</f>
        <v>33.774099999999997</v>
      </c>
      <c r="D983" s="10">
        <f>CHOOSE(CONTROL!$C$42, 33.7988, 33.7988) * CHOOSE(CONTROL!$C$21, $C$9, 100%, $E$9)</f>
        <v>33.7988</v>
      </c>
      <c r="E983" s="10">
        <f>CHOOSE(CONTROL!$C$42, 33.8326, 33.8326) * CHOOSE(CONTROL!$C$21, $C$9, 100%, $E$9)</f>
        <v>33.832599999999999</v>
      </c>
      <c r="F983" s="10">
        <f>CHOOSE(CONTROL!$C$42, 33.7346, 33.7346)*CHOOSE(CONTROL!$C$21, $C$9, 100%, $E$9)</f>
        <v>33.7346</v>
      </c>
      <c r="G983" s="10">
        <f>CHOOSE(CONTROL!$C$42, 33.7515, 33.7515)*CHOOSE(CONTROL!$C$21, $C$9, 100%, $E$9)</f>
        <v>33.7515</v>
      </c>
      <c r="H983" s="10">
        <f>CHOOSE(CONTROL!$C$42, 33.8215, 33.8215) * CHOOSE(CONTROL!$C$21, $C$9, 100%, $E$9)</f>
        <v>33.8215</v>
      </c>
      <c r="I983" s="10">
        <f>CHOOSE(CONTROL!$C$42, 33.7685, 33.7685)* CHOOSE(CONTROL!$C$21, $C$9, 100%, $E$9)</f>
        <v>33.768500000000003</v>
      </c>
      <c r="J983" s="10">
        <f>CHOOSE(CONTROL!$C$42, 33.7272, 33.7272)* CHOOSE(CONTROL!$C$21, $C$9, 100%, $E$9)</f>
        <v>33.727200000000003</v>
      </c>
      <c r="K983" s="10">
        <f>CHOOSE(CONTROL!$C$42, 32.8736, 32.8736) * CHOOSE(CONTROL!$C$21, $C$9, 100%, $E$9)</f>
        <v>32.873600000000003</v>
      </c>
      <c r="L983" s="10">
        <f>CHOOSE(CONTROL!$C$42, 34.4085, 34.4085) * CHOOSE(CONTROL!$C$21, $C$9, 100%, $E$9)</f>
        <v>34.408499999999997</v>
      </c>
      <c r="M983" s="10">
        <f>CHOOSE(CONTROL!$C$42, 33.3237, 33.3237) * CHOOSE(CONTROL!$C$21, $C$9, 100%, $E$9)</f>
        <v>33.323700000000002</v>
      </c>
      <c r="N983" s="10">
        <f>CHOOSE(CONTROL!$C$42, 33.3403, 33.3403) * CHOOSE(CONTROL!$C$21, $C$9, 100%, $E$9)</f>
        <v>33.340299999999999</v>
      </c>
      <c r="O983" s="10">
        <f>CHOOSE(CONTROL!$C$42, 33.4167, 33.4167) * CHOOSE(CONTROL!$C$21, $C$9, 100%, $E$9)</f>
        <v>33.416699999999999</v>
      </c>
      <c r="P983" s="10">
        <f>CHOOSE(CONTROL!$C$42, 33.3644, 33.3644) * CHOOSE(CONTROL!$C$21, $C$9, 100%, $E$9)</f>
        <v>33.364400000000003</v>
      </c>
      <c r="Q983" s="10">
        <f>CHOOSE(CONTROL!$C$42, 34.012, 34.012) * CHOOSE(CONTROL!$C$21, $C$9, 100%, $E$9)</f>
        <v>34.012</v>
      </c>
      <c r="R983" s="10">
        <f>CHOOSE(CONTROL!$C$42, 34.684, 34.684) * CHOOSE(CONTROL!$C$21, $C$9, 100%, $E$9)</f>
        <v>34.683999999999997</v>
      </c>
      <c r="S983" s="10">
        <f>CHOOSE(CONTROL!$C$42, 32.7152, 32.7152) * CHOOSE(CONTROL!$C$21, $C$9, 100%, $E$9)</f>
        <v>32.715200000000003</v>
      </c>
      <c r="T98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38">
        <f>(1000*CHOOSE(CONTROL!$C$42, 695, 695)*CHOOSE(CONTROL!$C$42, 0.5599, 0.5599)*CHOOSE(CONTROL!$C$42, 30, 30))/1000000</f>
        <v>11.673914999999997</v>
      </c>
      <c r="V983" s="38">
        <f>(1000*CHOOSE(CONTROL!$C$42, 500, 500)*CHOOSE(CONTROL!$C$42, 0.275, 0.275)*CHOOSE(CONTROL!$C$42, 30, 30))/1000000</f>
        <v>4.125</v>
      </c>
      <c r="W983" s="38">
        <f>(1000*CHOOSE(CONTROL!$C$42, 0.1146, 0.1146)*CHOOSE(CONTROL!$C$42, 121.5, 121.5)*CHOOSE(CONTROL!$C$42, 30, 30))/1000000</f>
        <v>0.417717</v>
      </c>
      <c r="X983" s="38">
        <f>(30*0.1790888*100000/1000000)+(30*0.2374*100000/1000000)</f>
        <v>1.2494664</v>
      </c>
      <c r="Y983" s="38">
        <f>(1000*600*CHOOSE(CONTROL!$C$42, 1.0585, 1.0585)*CHOOSE(CONTROL!$C$42, 30, 30))/1000000</f>
        <v>19.053000000000001</v>
      </c>
      <c r="Z983" s="38"/>
      <c r="AA983" s="10"/>
      <c r="AB983" s="39"/>
      <c r="AC983" s="33">
        <f>(B983*122.58+C983*297.941+D983*89.177+E983*40.302+F983*40+G983*160+H983*0+I983*100+J983*300)/(122.58+297.941+89.177+40.302+0+40+160+100+300)</f>
        <v>33.760281896434776</v>
      </c>
      <c r="AD983" s="27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33.372662589928062</v>
      </c>
    </row>
    <row r="984" spans="1:30" ht="15.75" x14ac:dyDescent="0.25">
      <c r="A984" s="13">
        <v>71224</v>
      </c>
      <c r="B984" s="10">
        <f>CHOOSE(CONTROL!$C$42, 36.0725, 36.0725) * CHOOSE(CONTROL!$C$21, $C$9, 100%, $E$9)</f>
        <v>36.072499999999998</v>
      </c>
      <c r="C984" s="10">
        <f>CHOOSE(CONTROL!$C$42, 36.0776, 36.0776) * CHOOSE(CONTROL!$C$21, $C$9, 100%, $E$9)</f>
        <v>36.077599999999997</v>
      </c>
      <c r="D984" s="10">
        <f>CHOOSE(CONTROL!$C$42, 36.1023, 36.1023) * CHOOSE(CONTROL!$C$21, $C$9, 100%, $E$9)</f>
        <v>36.1023</v>
      </c>
      <c r="E984" s="10">
        <f>CHOOSE(CONTROL!$C$42, 36.1361, 36.1361) * CHOOSE(CONTROL!$C$21, $C$9, 100%, $E$9)</f>
        <v>36.136099999999999</v>
      </c>
      <c r="F984" s="10">
        <f>CHOOSE(CONTROL!$C$42, 36.0399, 36.0399)*CHOOSE(CONTROL!$C$21, $C$9, 100%, $E$9)</f>
        <v>36.039900000000003</v>
      </c>
      <c r="G984" s="10">
        <f>CHOOSE(CONTROL!$C$42, 36.0572, 36.0572)*CHOOSE(CONTROL!$C$21, $C$9, 100%, $E$9)</f>
        <v>36.057200000000002</v>
      </c>
      <c r="H984" s="10">
        <f>CHOOSE(CONTROL!$C$42, 36.1249, 36.1249) * CHOOSE(CONTROL!$C$21, $C$9, 100%, $E$9)</f>
        <v>36.124899999999997</v>
      </c>
      <c r="I984" s="10">
        <f>CHOOSE(CONTROL!$C$42, 36.072, 36.072)* CHOOSE(CONTROL!$C$21, $C$9, 100%, $E$9)</f>
        <v>36.072000000000003</v>
      </c>
      <c r="J984" s="10">
        <f>CHOOSE(CONTROL!$C$42, 36.0325, 36.0325)* CHOOSE(CONTROL!$C$21, $C$9, 100%, $E$9)</f>
        <v>36.032499999999999</v>
      </c>
      <c r="K984" s="10">
        <f>CHOOSE(CONTROL!$C$42, 35.109, 35.109) * CHOOSE(CONTROL!$C$21, $C$9, 100%, $E$9)</f>
        <v>35.109000000000002</v>
      </c>
      <c r="L984" s="10">
        <f>CHOOSE(CONTROL!$C$42, 36.7119, 36.7119) * CHOOSE(CONTROL!$C$21, $C$9, 100%, $E$9)</f>
        <v>36.7119</v>
      </c>
      <c r="M984" s="10">
        <f>CHOOSE(CONTROL!$C$42, 35.5991, 35.5991) * CHOOSE(CONTROL!$C$21, $C$9, 100%, $E$9)</f>
        <v>35.5991</v>
      </c>
      <c r="N984" s="10">
        <f>CHOOSE(CONTROL!$C$42, 35.6161, 35.6161) * CHOOSE(CONTROL!$C$21, $C$9, 100%, $E$9)</f>
        <v>35.616100000000003</v>
      </c>
      <c r="O984" s="10">
        <f>CHOOSE(CONTROL!$C$42, 35.6903, 35.6903) * CHOOSE(CONTROL!$C$21, $C$9, 100%, $E$9)</f>
        <v>35.690300000000001</v>
      </c>
      <c r="P984" s="10">
        <f>CHOOSE(CONTROL!$C$42, 35.6381, 35.6381) * CHOOSE(CONTROL!$C$21, $C$9, 100%, $E$9)</f>
        <v>35.638100000000001</v>
      </c>
      <c r="Q984" s="10">
        <f>CHOOSE(CONTROL!$C$42, 36.2856, 36.2856) * CHOOSE(CONTROL!$C$21, $C$9, 100%, $E$9)</f>
        <v>36.285600000000002</v>
      </c>
      <c r="R984" s="10">
        <f>CHOOSE(CONTROL!$C$42, 36.9633, 36.9633) * CHOOSE(CONTROL!$C$21, $C$9, 100%, $E$9)</f>
        <v>36.963299999999997</v>
      </c>
      <c r="S984" s="10">
        <f>CHOOSE(CONTROL!$C$42, 34.9456, 34.9456) * CHOOSE(CONTROL!$C$21, $C$9, 100%, $E$9)</f>
        <v>34.945599999999999</v>
      </c>
      <c r="T98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38">
        <f>(1000*CHOOSE(CONTROL!$C$42, 695, 695)*CHOOSE(CONTROL!$C$42, 0.5599, 0.5599)*CHOOSE(CONTROL!$C$42, 31, 31))/1000000</f>
        <v>12.063045499999998</v>
      </c>
      <c r="V984" s="38">
        <f>(1000*CHOOSE(CONTROL!$C$42, 500, 500)*CHOOSE(CONTROL!$C$42, 0.275, 0.275)*CHOOSE(CONTROL!$C$42, 31, 31))/1000000</f>
        <v>4.2625000000000002</v>
      </c>
      <c r="W984" s="38">
        <f>(1000*CHOOSE(CONTROL!$C$42, 0.1146, 0.1146)*CHOOSE(CONTROL!$C$42, 121.5, 121.5)*CHOOSE(CONTROL!$C$42, 31, 31))/1000000</f>
        <v>0.43164089999999994</v>
      </c>
      <c r="X984" s="38">
        <f>(31*0.1790888*100000/1000000)+(31*0.2374*100000/1000000)</f>
        <v>1.2911152800000001</v>
      </c>
      <c r="Y984" s="38">
        <f>(1000*600*CHOOSE(CONTROL!$C$42, 1.0585, 1.0585)*CHOOSE(CONTROL!$C$42, 31, 31))/1000000</f>
        <v>19.688099999999999</v>
      </c>
      <c r="Z984" s="38"/>
      <c r="AA984" s="10"/>
      <c r="AB984" s="39"/>
      <c r="AC984" s="33">
        <f>(B984*122.58+C984*297.941+D984*89.177+E984*40.302+F984*40+G984*160+H984*0+I984*100+J984*300)/(122.58+297.941+89.177+40.302+0+40+160+100+300)</f>
        <v>36.064620157304354</v>
      </c>
      <c r="AD984" s="27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35.647025179856115</v>
      </c>
    </row>
    <row r="985" spans="1:30" ht="15.75" x14ac:dyDescent="0.25">
      <c r="A985" s="13">
        <v>71255</v>
      </c>
      <c r="B985" s="10">
        <f>CHOOSE(CONTROL!$C$42, 38.5083, 38.5083) * CHOOSE(CONTROL!$C$21, $C$9, 100%, $E$9)</f>
        <v>38.508299999999998</v>
      </c>
      <c r="C985" s="10">
        <f>CHOOSE(CONTROL!$C$42, 38.5134, 38.5134) * CHOOSE(CONTROL!$C$21, $C$9, 100%, $E$9)</f>
        <v>38.513399999999997</v>
      </c>
      <c r="D985" s="10">
        <f>CHOOSE(CONTROL!$C$42, 38.5484, 38.5484) * CHOOSE(CONTROL!$C$21, $C$9, 100%, $E$9)</f>
        <v>38.548400000000001</v>
      </c>
      <c r="E985" s="10">
        <f>CHOOSE(CONTROL!$C$42, 38.5822, 38.5822) * CHOOSE(CONTROL!$C$21, $C$9, 100%, $E$9)</f>
        <v>38.5822</v>
      </c>
      <c r="F985" s="10">
        <f>CHOOSE(CONTROL!$C$42, 38.4896, 38.4896)*CHOOSE(CONTROL!$C$21, $C$9, 100%, $E$9)</f>
        <v>38.489600000000003</v>
      </c>
      <c r="G985" s="10">
        <f>CHOOSE(CONTROL!$C$42, 38.5085, 38.5085)*CHOOSE(CONTROL!$C$21, $C$9, 100%, $E$9)</f>
        <v>38.508499999999998</v>
      </c>
      <c r="H985" s="10">
        <f>CHOOSE(CONTROL!$C$42, 38.5711, 38.5711) * CHOOSE(CONTROL!$C$21, $C$9, 100%, $E$9)</f>
        <v>38.571100000000001</v>
      </c>
      <c r="I985" s="10">
        <f>CHOOSE(CONTROL!$C$42, 38.5155, 38.5155)* CHOOSE(CONTROL!$C$21, $C$9, 100%, $E$9)</f>
        <v>38.515500000000003</v>
      </c>
      <c r="J985" s="10">
        <f>CHOOSE(CONTROL!$C$42, 38.4822, 38.4822)* CHOOSE(CONTROL!$C$21, $C$9, 100%, $E$9)</f>
        <v>38.482199999999999</v>
      </c>
      <c r="K985" s="10">
        <f>CHOOSE(CONTROL!$C$42, 37.4896, 37.4896) * CHOOSE(CONTROL!$C$21, $C$9, 100%, $E$9)</f>
        <v>37.489600000000003</v>
      </c>
      <c r="L985" s="10">
        <f>CHOOSE(CONTROL!$C$42, 39.1581, 39.1581) * CHOOSE(CONTROL!$C$21, $C$9, 100%, $E$9)</f>
        <v>39.158099999999997</v>
      </c>
      <c r="M985" s="10">
        <f>CHOOSE(CONTROL!$C$42, 38.017, 38.017) * CHOOSE(CONTROL!$C$21, $C$9, 100%, $E$9)</f>
        <v>38.017000000000003</v>
      </c>
      <c r="N985" s="10">
        <f>CHOOSE(CONTROL!$C$42, 38.0357, 38.0357) * CHOOSE(CONTROL!$C$21, $C$9, 100%, $E$9)</f>
        <v>38.035699999999999</v>
      </c>
      <c r="O985" s="10">
        <f>CHOOSE(CONTROL!$C$42, 38.1048, 38.1048) * CHOOSE(CONTROL!$C$21, $C$9, 100%, $E$9)</f>
        <v>38.104799999999997</v>
      </c>
      <c r="P985" s="10">
        <f>CHOOSE(CONTROL!$C$42, 38.05, 38.05) * CHOOSE(CONTROL!$C$21, $C$9, 100%, $E$9)</f>
        <v>38.049999999999997</v>
      </c>
      <c r="Q985" s="10">
        <f>CHOOSE(CONTROL!$C$42, 38.7001, 38.7001) * CHOOSE(CONTROL!$C$21, $C$9, 100%, $E$9)</f>
        <v>38.700099999999999</v>
      </c>
      <c r="R985" s="10">
        <f>CHOOSE(CONTROL!$C$42, 39.3838, 39.3838) * CHOOSE(CONTROL!$C$21, $C$9, 100%, $E$9)</f>
        <v>39.383800000000001</v>
      </c>
      <c r="S985" s="10">
        <f>CHOOSE(CONTROL!$C$42, 37.3042, 37.3042) * CHOOSE(CONTROL!$C$21, $C$9, 100%, $E$9)</f>
        <v>37.304200000000002</v>
      </c>
      <c r="T98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38">
        <f>(1000*CHOOSE(CONTROL!$C$42, 695, 695)*CHOOSE(CONTROL!$C$42, 0.5599, 0.5599)*CHOOSE(CONTROL!$C$42, 31, 31))/1000000</f>
        <v>12.063045499999998</v>
      </c>
      <c r="V985" s="38">
        <f>(1000*CHOOSE(CONTROL!$C$42, 500, 500)*CHOOSE(CONTROL!$C$42, 0.275, 0.275)*CHOOSE(CONTROL!$C$42, 31, 31))/1000000</f>
        <v>4.2625000000000002</v>
      </c>
      <c r="W985" s="38">
        <f>(1000*CHOOSE(CONTROL!$C$42, 0.1146, 0.1146)*CHOOSE(CONTROL!$C$42, 121.5, 121.5)*CHOOSE(CONTROL!$C$42, 31, 31))/1000000</f>
        <v>0.43164089999999994</v>
      </c>
      <c r="X985" s="38">
        <f>(31*0.1790888*100000/1000000)+(31*0.2374*100000/1000000)</f>
        <v>1.2911152800000001</v>
      </c>
      <c r="Y985" s="38">
        <f>(1000*600*CHOOSE(CONTROL!$C$42, 1.0585, 1.0585)*CHOOSE(CONTROL!$C$42, 31, 31))/1000000</f>
        <v>19.688099999999999</v>
      </c>
      <c r="Z985" s="38"/>
      <c r="AA985" s="10"/>
      <c r="AB985" s="39"/>
      <c r="AC985" s="33">
        <f>(B985*122.58+C985*297.941+D985*89.177+E985*40.302+F985*40+G985*160+H985*0+I985*100+J985*300)/(122.58+297.941+89.177+40.302+0+40+160+100+300)</f>
        <v>38.508515490956519</v>
      </c>
      <c r="AD985" s="27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38.062618705035966</v>
      </c>
    </row>
    <row r="986" spans="1:30" ht="15.75" x14ac:dyDescent="0.25">
      <c r="A986" s="13">
        <v>71283</v>
      </c>
      <c r="B986" s="10">
        <f>CHOOSE(CONTROL!$C$42, 39.1941, 39.1941) * CHOOSE(CONTROL!$C$21, $C$9, 100%, $E$9)</f>
        <v>39.194099999999999</v>
      </c>
      <c r="C986" s="10">
        <f>CHOOSE(CONTROL!$C$42, 39.1992, 39.1992) * CHOOSE(CONTROL!$C$21, $C$9, 100%, $E$9)</f>
        <v>39.199199999999998</v>
      </c>
      <c r="D986" s="10">
        <f>CHOOSE(CONTROL!$C$42, 39.2342, 39.2342) * CHOOSE(CONTROL!$C$21, $C$9, 100%, $E$9)</f>
        <v>39.234200000000001</v>
      </c>
      <c r="E986" s="10">
        <f>CHOOSE(CONTROL!$C$42, 39.268, 39.268) * CHOOSE(CONTROL!$C$21, $C$9, 100%, $E$9)</f>
        <v>39.268000000000001</v>
      </c>
      <c r="F986" s="10">
        <f>CHOOSE(CONTROL!$C$42, 39.1748, 39.1748)*CHOOSE(CONTROL!$C$21, $C$9, 100%, $E$9)</f>
        <v>39.174799999999998</v>
      </c>
      <c r="G986" s="10">
        <f>CHOOSE(CONTROL!$C$42, 39.1936, 39.1936)*CHOOSE(CONTROL!$C$21, $C$9, 100%, $E$9)</f>
        <v>39.193600000000004</v>
      </c>
      <c r="H986" s="10">
        <f>CHOOSE(CONTROL!$C$42, 39.2569, 39.2569) * CHOOSE(CONTROL!$C$21, $C$9, 100%, $E$9)</f>
        <v>39.256900000000002</v>
      </c>
      <c r="I986" s="10">
        <f>CHOOSE(CONTROL!$C$42, 39.2013, 39.2013)* CHOOSE(CONTROL!$C$21, $C$9, 100%, $E$9)</f>
        <v>39.201300000000003</v>
      </c>
      <c r="J986" s="10">
        <f>CHOOSE(CONTROL!$C$42, 39.1674, 39.1674)* CHOOSE(CONTROL!$C$21, $C$9, 100%, $E$9)</f>
        <v>39.167400000000001</v>
      </c>
      <c r="K986" s="10">
        <f>CHOOSE(CONTROL!$C$42, 38.1528, 38.1528) * CHOOSE(CONTROL!$C$21, $C$9, 100%, $E$9)</f>
        <v>38.152799999999999</v>
      </c>
      <c r="L986" s="10">
        <f>CHOOSE(CONTROL!$C$42, 39.8439, 39.8439) * CHOOSE(CONTROL!$C$21, $C$9, 100%, $E$9)</f>
        <v>39.843899999999998</v>
      </c>
      <c r="M986" s="10">
        <f>CHOOSE(CONTROL!$C$42, 38.6934, 38.6934) * CHOOSE(CONTROL!$C$21, $C$9, 100%, $E$9)</f>
        <v>38.693399999999997</v>
      </c>
      <c r="N986" s="10">
        <f>CHOOSE(CONTROL!$C$42, 38.7119, 38.7119) * CHOOSE(CONTROL!$C$21, $C$9, 100%, $E$9)</f>
        <v>38.7119</v>
      </c>
      <c r="O986" s="10">
        <f>CHOOSE(CONTROL!$C$42, 38.7817, 38.7817) * CHOOSE(CONTROL!$C$21, $C$9, 100%, $E$9)</f>
        <v>38.781700000000001</v>
      </c>
      <c r="P986" s="10">
        <f>CHOOSE(CONTROL!$C$42, 38.7269, 38.7269) * CHOOSE(CONTROL!$C$21, $C$9, 100%, $E$9)</f>
        <v>38.726900000000001</v>
      </c>
      <c r="Q986" s="10">
        <f>CHOOSE(CONTROL!$C$42, 39.377, 39.377) * CHOOSE(CONTROL!$C$21, $C$9, 100%, $E$9)</f>
        <v>39.377000000000002</v>
      </c>
      <c r="R986" s="10">
        <f>CHOOSE(CONTROL!$C$42, 40.0624, 40.0624) * CHOOSE(CONTROL!$C$21, $C$9, 100%, $E$9)</f>
        <v>40.062399999999997</v>
      </c>
      <c r="S986" s="10">
        <f>CHOOSE(CONTROL!$C$42, 37.9683, 37.9683) * CHOOSE(CONTROL!$C$21, $C$9, 100%, $E$9)</f>
        <v>37.968299999999999</v>
      </c>
      <c r="T986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38">
        <f>(1000*CHOOSE(CONTROL!$C$42, 695, 695)*CHOOSE(CONTROL!$C$42, 0.5599, 0.5599)*CHOOSE(CONTROL!$C$42, 28, 28))/1000000</f>
        <v>10.895653999999999</v>
      </c>
      <c r="V986" s="38">
        <f>(1000*CHOOSE(CONTROL!$C$42, 500, 500)*CHOOSE(CONTROL!$C$42, 0.275, 0.275)*CHOOSE(CONTROL!$C$42, 28, 28))/1000000</f>
        <v>3.85</v>
      </c>
      <c r="W986" s="38">
        <f>(1000*CHOOSE(CONTROL!$C$42, 0.1146, 0.1146)*CHOOSE(CONTROL!$C$42, 121.5, 121.5)*CHOOSE(CONTROL!$C$42, 28, 28))/1000000</f>
        <v>0.38986920000000003</v>
      </c>
      <c r="X986" s="38">
        <f>(28*0.1790888*100000/1000000)+(28*0.2374*100000/1000000)</f>
        <v>1.16616864</v>
      </c>
      <c r="Y986" s="38">
        <f>(1000*600*CHOOSE(CONTROL!$C$42, 1.0585, 1.0585)*CHOOSE(CONTROL!$C$42, 28, 28))/1000000</f>
        <v>17.782800000000002</v>
      </c>
      <c r="Z986" s="38"/>
      <c r="AA986" s="10"/>
      <c r="AB986" s="39"/>
      <c r="AC986" s="33">
        <f>(B986*122.58+C986*297.941+D986*89.177+E986*40.302+F986*40+G986*160+H986*0+I986*100+J986*300)/(122.58+297.941+89.177+40.302+0+40+160+100+300)</f>
        <v>39.194040708347821</v>
      </c>
      <c r="AD986" s="27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38.739305755395684</v>
      </c>
    </row>
    <row r="987" spans="1:30" ht="15.75" x14ac:dyDescent="0.25">
      <c r="A987" s="13">
        <v>71314</v>
      </c>
      <c r="B987" s="10">
        <f>CHOOSE(CONTROL!$C$42, 38.0809, 38.0809) * CHOOSE(CONTROL!$C$21, $C$9, 100%, $E$9)</f>
        <v>38.0809</v>
      </c>
      <c r="C987" s="10">
        <f>CHOOSE(CONTROL!$C$42, 38.086, 38.086) * CHOOSE(CONTROL!$C$21, $C$9, 100%, $E$9)</f>
        <v>38.085999999999999</v>
      </c>
      <c r="D987" s="10">
        <f>CHOOSE(CONTROL!$C$42, 38.121, 38.121) * CHOOSE(CONTROL!$C$21, $C$9, 100%, $E$9)</f>
        <v>38.121000000000002</v>
      </c>
      <c r="E987" s="10">
        <f>CHOOSE(CONTROL!$C$42, 38.1548, 38.1548) * CHOOSE(CONTROL!$C$21, $C$9, 100%, $E$9)</f>
        <v>38.154800000000002</v>
      </c>
      <c r="F987" s="10">
        <f>CHOOSE(CONTROL!$C$42, 38.0602, 38.0602)*CHOOSE(CONTROL!$C$21, $C$9, 100%, $E$9)</f>
        <v>38.060200000000002</v>
      </c>
      <c r="G987" s="10">
        <f>CHOOSE(CONTROL!$C$42, 38.0786, 38.0786)*CHOOSE(CONTROL!$C$21, $C$9, 100%, $E$9)</f>
        <v>38.078600000000002</v>
      </c>
      <c r="H987" s="10">
        <f>CHOOSE(CONTROL!$C$42, 38.1437, 38.1437) * CHOOSE(CONTROL!$C$21, $C$9, 100%, $E$9)</f>
        <v>38.143700000000003</v>
      </c>
      <c r="I987" s="10">
        <f>CHOOSE(CONTROL!$C$42, 38.0881, 38.0881)* CHOOSE(CONTROL!$C$21, $C$9, 100%, $E$9)</f>
        <v>38.088099999999997</v>
      </c>
      <c r="J987" s="10">
        <f>CHOOSE(CONTROL!$C$42, 38.0528, 38.0528)* CHOOSE(CONTROL!$C$21, $C$9, 100%, $E$9)</f>
        <v>38.052799999999998</v>
      </c>
      <c r="K987" s="10">
        <f>CHOOSE(CONTROL!$C$42, 37.0713, 37.0713) * CHOOSE(CONTROL!$C$21, $C$9, 100%, $E$9)</f>
        <v>37.071300000000001</v>
      </c>
      <c r="L987" s="10">
        <f>CHOOSE(CONTROL!$C$42, 38.7307, 38.7307) * CHOOSE(CONTROL!$C$21, $C$9, 100%, $E$9)</f>
        <v>38.730699999999999</v>
      </c>
      <c r="M987" s="10">
        <f>CHOOSE(CONTROL!$C$42, 37.5933, 37.5933) * CHOOSE(CONTROL!$C$21, $C$9, 100%, $E$9)</f>
        <v>37.593299999999999</v>
      </c>
      <c r="N987" s="10">
        <f>CHOOSE(CONTROL!$C$42, 37.6114, 37.6114) * CHOOSE(CONTROL!$C$21, $C$9, 100%, $E$9)</f>
        <v>37.611400000000003</v>
      </c>
      <c r="O987" s="10">
        <f>CHOOSE(CONTROL!$C$42, 37.6829, 37.6829) * CHOOSE(CONTROL!$C$21, $C$9, 100%, $E$9)</f>
        <v>37.682899999999997</v>
      </c>
      <c r="P987" s="10">
        <f>CHOOSE(CONTROL!$C$42, 37.6281, 37.6281) * CHOOSE(CONTROL!$C$21, $C$9, 100%, $E$9)</f>
        <v>37.628100000000003</v>
      </c>
      <c r="Q987" s="10">
        <f>CHOOSE(CONTROL!$C$42, 38.2782, 38.2782) * CHOOSE(CONTROL!$C$21, $C$9, 100%, $E$9)</f>
        <v>38.278199999999998</v>
      </c>
      <c r="R987" s="10">
        <f>CHOOSE(CONTROL!$C$42, 38.9609, 38.9609) * CHOOSE(CONTROL!$C$21, $C$9, 100%, $E$9)</f>
        <v>38.960900000000002</v>
      </c>
      <c r="S987" s="10">
        <f>CHOOSE(CONTROL!$C$42, 36.8904, 36.8904) * CHOOSE(CONTROL!$C$21, $C$9, 100%, $E$9)</f>
        <v>36.8904</v>
      </c>
      <c r="T98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38">
        <f>(1000*CHOOSE(CONTROL!$C$42, 695, 695)*CHOOSE(CONTROL!$C$42, 0.5599, 0.5599)*CHOOSE(CONTROL!$C$42, 31, 31))/1000000</f>
        <v>12.063045499999998</v>
      </c>
      <c r="V987" s="38">
        <f>(1000*CHOOSE(CONTROL!$C$42, 500, 500)*CHOOSE(CONTROL!$C$42, 0.275, 0.275)*CHOOSE(CONTROL!$C$42, 31, 31))/1000000</f>
        <v>4.2625000000000002</v>
      </c>
      <c r="W987" s="38">
        <f>(1000*CHOOSE(CONTROL!$C$42, 0.1146, 0.1146)*CHOOSE(CONTROL!$C$42, 121.5, 121.5)*CHOOSE(CONTROL!$C$42, 31, 31))/1000000</f>
        <v>0.43164089999999994</v>
      </c>
      <c r="X987" s="38">
        <f>(31*0.1790888*100000/1000000)+(31*0.2374*100000/1000000)</f>
        <v>1.2911152800000001</v>
      </c>
      <c r="Y987" s="38">
        <f>(1000*600*CHOOSE(CONTROL!$C$42, 1.0585, 1.0585)*CHOOSE(CONTROL!$C$42, 31, 31))/1000000</f>
        <v>19.688099999999999</v>
      </c>
      <c r="Z987" s="38"/>
      <c r="AA987" s="10"/>
      <c r="AB987" s="39"/>
      <c r="AC987" s="33">
        <f>(B987*122.58+C987*297.941+D987*89.177+E987*40.302+F987*40+G987*160+H987*0+I987*100+J987*300)/(122.58+297.941+89.177+40.302+0+40+160+100+300)</f>
        <v>38.080176360521733</v>
      </c>
      <c r="AD987" s="27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37.639958992805752</v>
      </c>
    </row>
    <row r="988" spans="1:30" ht="15.75" x14ac:dyDescent="0.25">
      <c r="A988" s="13">
        <v>71344</v>
      </c>
      <c r="B988" s="10">
        <f>CHOOSE(CONTROL!$C$42, 37.9676, 37.9676) * CHOOSE(CONTROL!$C$21, $C$9, 100%, $E$9)</f>
        <v>37.967599999999997</v>
      </c>
      <c r="C988" s="10">
        <f>CHOOSE(CONTROL!$C$42, 37.9721, 37.9721) * CHOOSE(CONTROL!$C$21, $C$9, 100%, $E$9)</f>
        <v>37.972099999999998</v>
      </c>
      <c r="D988" s="10">
        <f>CHOOSE(CONTROL!$C$42, 38.1503, 38.1503) * CHOOSE(CONTROL!$C$21, $C$9, 100%, $E$9)</f>
        <v>38.150300000000001</v>
      </c>
      <c r="E988" s="10">
        <f>CHOOSE(CONTROL!$C$42, 38.1821, 38.1821) * CHOOSE(CONTROL!$C$21, $C$9, 100%, $E$9)</f>
        <v>38.182099999999998</v>
      </c>
      <c r="F988" s="10">
        <f>CHOOSE(CONTROL!$C$42, 37.911, 37.911)*CHOOSE(CONTROL!$C$21, $C$9, 100%, $E$9)</f>
        <v>37.911000000000001</v>
      </c>
      <c r="G988" s="10">
        <f>CHOOSE(CONTROL!$C$42, 37.9276, 37.9276)*CHOOSE(CONTROL!$C$21, $C$9, 100%, $E$9)</f>
        <v>37.927599999999998</v>
      </c>
      <c r="H988" s="10">
        <f>CHOOSE(CONTROL!$C$42, 38.1716, 38.1716) * CHOOSE(CONTROL!$C$21, $C$9, 100%, $E$9)</f>
        <v>38.171599999999998</v>
      </c>
      <c r="I988" s="10">
        <f>CHOOSE(CONTROL!$C$42, 37.9436, 37.9436)* CHOOSE(CONTROL!$C$21, $C$9, 100%, $E$9)</f>
        <v>37.943600000000004</v>
      </c>
      <c r="J988" s="10">
        <f>CHOOSE(CONTROL!$C$42, 37.9036, 37.9036)* CHOOSE(CONTROL!$C$21, $C$9, 100%, $E$9)</f>
        <v>37.903599999999997</v>
      </c>
      <c r="K988" s="10">
        <f>CHOOSE(CONTROL!$C$42, 36.9166, 36.9166) * CHOOSE(CONTROL!$C$21, $C$9, 100%, $E$9)</f>
        <v>36.916600000000003</v>
      </c>
      <c r="L988" s="10">
        <f>CHOOSE(CONTROL!$C$42, 38.7586, 38.7586) * CHOOSE(CONTROL!$C$21, $C$9, 100%, $E$9)</f>
        <v>38.758600000000001</v>
      </c>
      <c r="M988" s="10">
        <f>CHOOSE(CONTROL!$C$42, 37.446, 37.446) * CHOOSE(CONTROL!$C$21, $C$9, 100%, $E$9)</f>
        <v>37.445999999999998</v>
      </c>
      <c r="N988" s="10">
        <f>CHOOSE(CONTROL!$C$42, 37.4623, 37.4623) * CHOOSE(CONTROL!$C$21, $C$9, 100%, $E$9)</f>
        <v>37.462299999999999</v>
      </c>
      <c r="O988" s="10">
        <f>CHOOSE(CONTROL!$C$42, 37.7105, 37.7105) * CHOOSE(CONTROL!$C$21, $C$9, 100%, $E$9)</f>
        <v>37.710500000000003</v>
      </c>
      <c r="P988" s="10">
        <f>CHOOSE(CONTROL!$C$42, 37.4855, 37.4855) * CHOOSE(CONTROL!$C$21, $C$9, 100%, $E$9)</f>
        <v>37.485500000000002</v>
      </c>
      <c r="Q988" s="10">
        <f>CHOOSE(CONTROL!$C$42, 38.3058, 38.3058) * CHOOSE(CONTROL!$C$21, $C$9, 100%, $E$9)</f>
        <v>38.305799999999998</v>
      </c>
      <c r="R988" s="10">
        <f>CHOOSE(CONTROL!$C$42, 38.9885, 38.9885) * CHOOSE(CONTROL!$C$21, $C$9, 100%, $E$9)</f>
        <v>38.988500000000002</v>
      </c>
      <c r="S988" s="10">
        <f>CHOOSE(CONTROL!$C$42, 36.7799, 36.7799) * CHOOSE(CONTROL!$C$21, $C$9, 100%, $E$9)</f>
        <v>36.779899999999998</v>
      </c>
      <c r="T98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38">
        <f>(1000*CHOOSE(CONTROL!$C$42, 695, 695)*CHOOSE(CONTROL!$C$42, 0.5599, 0.5599)*CHOOSE(CONTROL!$C$42, 30, 30))/1000000</f>
        <v>11.673914999999997</v>
      </c>
      <c r="V988" s="38">
        <f>(1000*CHOOSE(CONTROL!$C$42, 500, 500)*CHOOSE(CONTROL!$C$42, 0.275, 0.275)*CHOOSE(CONTROL!$C$42, 30, 30))/1000000</f>
        <v>4.125</v>
      </c>
      <c r="W988" s="38">
        <f>(1000*CHOOSE(CONTROL!$C$42, 0.1146, 0.1146)*CHOOSE(CONTROL!$C$42, 121.5, 121.5)*CHOOSE(CONTROL!$C$42, 30, 30))/1000000</f>
        <v>0.417717</v>
      </c>
      <c r="X988" s="38">
        <f>(30*0.1790888*245000/1000000)+(30*0.2374*100000/1000000)</f>
        <v>2.0285026799999999</v>
      </c>
      <c r="Y988" s="38">
        <f>(1000*600*CHOOSE(CONTROL!$C$42, 1.0585, 1.0585)*CHOOSE(CONTROL!$C$42, 30, 30))/1000000</f>
        <v>19.053000000000001</v>
      </c>
      <c r="Z988" s="38"/>
      <c r="AA988" s="10"/>
      <c r="AB988" s="39"/>
      <c r="AC988" s="33">
        <f>(B988*141.293+C988*267.993+D988*115.016+E988*89.698+F988*40+G988*185+H988*0+I988*100+J988*300)/(141.293+267.993+115.016+89.698+0+40+185+100+300)</f>
        <v>37.975828904519773</v>
      </c>
      <c r="AD988" s="27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37.572502877697843</v>
      </c>
    </row>
    <row r="989" spans="1:30" ht="15.75" x14ac:dyDescent="0.25">
      <c r="A989" s="13">
        <v>71375</v>
      </c>
      <c r="B989" s="10">
        <f>CHOOSE(CONTROL!$C$42, 38.3046, 38.3046) * CHOOSE(CONTROL!$C$21, $C$9, 100%, $E$9)</f>
        <v>38.304600000000001</v>
      </c>
      <c r="C989" s="10">
        <f>CHOOSE(CONTROL!$C$42, 38.3126, 38.3126) * CHOOSE(CONTROL!$C$21, $C$9, 100%, $E$9)</f>
        <v>38.312600000000003</v>
      </c>
      <c r="D989" s="10">
        <f>CHOOSE(CONTROL!$C$42, 38.4877, 38.4877) * CHOOSE(CONTROL!$C$21, $C$9, 100%, $E$9)</f>
        <v>38.487699999999997</v>
      </c>
      <c r="E989" s="10">
        <f>CHOOSE(CONTROL!$C$42, 38.5189, 38.5189) * CHOOSE(CONTROL!$C$21, $C$9, 100%, $E$9)</f>
        <v>38.518900000000002</v>
      </c>
      <c r="F989" s="10">
        <f>CHOOSE(CONTROL!$C$42, 38.2462, 38.2462)*CHOOSE(CONTROL!$C$21, $C$9, 100%, $E$9)</f>
        <v>38.246200000000002</v>
      </c>
      <c r="G989" s="10">
        <f>CHOOSE(CONTROL!$C$42, 38.2631, 38.2631)*CHOOSE(CONTROL!$C$21, $C$9, 100%, $E$9)</f>
        <v>38.263100000000001</v>
      </c>
      <c r="H989" s="10">
        <f>CHOOSE(CONTROL!$C$42, 38.5072, 38.5072) * CHOOSE(CONTROL!$C$21, $C$9, 100%, $E$9)</f>
        <v>38.507199999999997</v>
      </c>
      <c r="I989" s="10">
        <f>CHOOSE(CONTROL!$C$42, 38.2792, 38.2792)* CHOOSE(CONTROL!$C$21, $C$9, 100%, $E$9)</f>
        <v>38.279200000000003</v>
      </c>
      <c r="J989" s="10">
        <f>CHOOSE(CONTROL!$C$42, 38.2388, 38.2388)* CHOOSE(CONTROL!$C$21, $C$9, 100%, $E$9)</f>
        <v>38.238799999999998</v>
      </c>
      <c r="K989" s="10">
        <f>CHOOSE(CONTROL!$C$42, 37.2409, 37.2409) * CHOOSE(CONTROL!$C$21, $C$9, 100%, $E$9)</f>
        <v>37.240900000000003</v>
      </c>
      <c r="L989" s="10">
        <f>CHOOSE(CONTROL!$C$42, 39.0942, 39.0942) * CHOOSE(CONTROL!$C$21, $C$9, 100%, $E$9)</f>
        <v>39.094200000000001</v>
      </c>
      <c r="M989" s="10">
        <f>CHOOSE(CONTROL!$C$42, 37.7769, 37.7769) * CHOOSE(CONTROL!$C$21, $C$9, 100%, $E$9)</f>
        <v>37.776899999999998</v>
      </c>
      <c r="N989" s="10">
        <f>CHOOSE(CONTROL!$C$42, 37.7935, 37.7935) * CHOOSE(CONTROL!$C$21, $C$9, 100%, $E$9)</f>
        <v>37.793500000000002</v>
      </c>
      <c r="O989" s="10">
        <f>CHOOSE(CONTROL!$C$42, 38.0418, 38.0418) * CHOOSE(CONTROL!$C$21, $C$9, 100%, $E$9)</f>
        <v>38.041800000000002</v>
      </c>
      <c r="P989" s="10">
        <f>CHOOSE(CONTROL!$C$42, 37.8167, 37.8167) * CHOOSE(CONTROL!$C$21, $C$9, 100%, $E$9)</f>
        <v>37.816699999999997</v>
      </c>
      <c r="Q989" s="10">
        <f>CHOOSE(CONTROL!$C$42, 38.6371, 38.6371) * CHOOSE(CONTROL!$C$21, $C$9, 100%, $E$9)</f>
        <v>38.637099999999997</v>
      </c>
      <c r="R989" s="10">
        <f>CHOOSE(CONTROL!$C$42, 39.3207, 39.3207) * CHOOSE(CONTROL!$C$21, $C$9, 100%, $E$9)</f>
        <v>39.320700000000002</v>
      </c>
      <c r="S989" s="10">
        <f>CHOOSE(CONTROL!$C$42, 37.1049, 37.1049) * CHOOSE(CONTROL!$C$21, $C$9, 100%, $E$9)</f>
        <v>37.104900000000001</v>
      </c>
      <c r="T98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38">
        <f>(1000*CHOOSE(CONTROL!$C$42, 695, 695)*CHOOSE(CONTROL!$C$42, 0.5599, 0.5599)*CHOOSE(CONTROL!$C$42, 31, 31))/1000000</f>
        <v>12.063045499999998</v>
      </c>
      <c r="V989" s="38">
        <f>(1000*CHOOSE(CONTROL!$C$42, 500, 500)*CHOOSE(CONTROL!$C$42, 0.275, 0.275)*CHOOSE(CONTROL!$C$42, 31, 31))/1000000</f>
        <v>4.2625000000000002</v>
      </c>
      <c r="W989" s="38">
        <f>(1000*CHOOSE(CONTROL!$C$42, 0.1146, 0.1146)*CHOOSE(CONTROL!$C$42, 121.5, 121.5)*CHOOSE(CONTROL!$C$42, 31, 31))/1000000</f>
        <v>0.43164089999999994</v>
      </c>
      <c r="X989" s="38">
        <f>(31*0.1790888*245000/1000000)+(31*0.2374*100000/1000000)</f>
        <v>2.0961194359999999</v>
      </c>
      <c r="Y989" s="38">
        <f>(1000*600*CHOOSE(CONTROL!$C$42, 1.0585, 1.0585)*CHOOSE(CONTROL!$C$42, 31, 31))/1000000</f>
        <v>19.688099999999999</v>
      </c>
      <c r="Z989" s="38"/>
      <c r="AA989" s="10"/>
      <c r="AB989" s="39"/>
      <c r="AC989" s="33">
        <f>(B989*194.205+C989*267.466+D989*133.845+E989*53.484+F989*40+G989*185+H989*0+I989*100+J989*300)/(194.205+267.466+133.845+53.484+0+40+185+100+300)</f>
        <v>38.309164261145995</v>
      </c>
      <c r="AD989" s="27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37.903644604316547</v>
      </c>
    </row>
    <row r="990" spans="1:30" ht="15.75" x14ac:dyDescent="0.25">
      <c r="A990" s="13">
        <v>71405</v>
      </c>
      <c r="B990" s="10">
        <f>CHOOSE(CONTROL!$C$42, 39.3915, 39.3915) * CHOOSE(CONTROL!$C$21, $C$9, 100%, $E$9)</f>
        <v>39.391500000000001</v>
      </c>
      <c r="C990" s="10">
        <f>CHOOSE(CONTROL!$C$42, 39.3995, 39.3995) * CHOOSE(CONTROL!$C$21, $C$9, 100%, $E$9)</f>
        <v>39.399500000000003</v>
      </c>
      <c r="D990" s="10">
        <f>CHOOSE(CONTROL!$C$42, 39.5746, 39.5746) * CHOOSE(CONTROL!$C$21, $C$9, 100%, $E$9)</f>
        <v>39.574599999999997</v>
      </c>
      <c r="E990" s="10">
        <f>CHOOSE(CONTROL!$C$42, 39.6059, 39.6059) * CHOOSE(CONTROL!$C$21, $C$9, 100%, $E$9)</f>
        <v>39.605899999999998</v>
      </c>
      <c r="F990" s="10">
        <f>CHOOSE(CONTROL!$C$42, 39.3334, 39.3334)*CHOOSE(CONTROL!$C$21, $C$9, 100%, $E$9)</f>
        <v>39.333399999999997</v>
      </c>
      <c r="G990" s="10">
        <f>CHOOSE(CONTROL!$C$42, 39.3503, 39.3503)*CHOOSE(CONTROL!$C$21, $C$9, 100%, $E$9)</f>
        <v>39.350299999999997</v>
      </c>
      <c r="H990" s="10">
        <f>CHOOSE(CONTROL!$C$42, 39.5942, 39.5942) * CHOOSE(CONTROL!$C$21, $C$9, 100%, $E$9)</f>
        <v>39.594200000000001</v>
      </c>
      <c r="I990" s="10">
        <f>CHOOSE(CONTROL!$C$42, 39.3662, 39.3662)* CHOOSE(CONTROL!$C$21, $C$9, 100%, $E$9)</f>
        <v>39.366199999999999</v>
      </c>
      <c r="J990" s="10">
        <f>CHOOSE(CONTROL!$C$42, 39.326, 39.326)* CHOOSE(CONTROL!$C$21, $C$9, 100%, $E$9)</f>
        <v>39.326000000000001</v>
      </c>
      <c r="K990" s="10">
        <f>CHOOSE(CONTROL!$C$42, 38.2943, 38.2943) * CHOOSE(CONTROL!$C$21, $C$9, 100%, $E$9)</f>
        <v>38.2943</v>
      </c>
      <c r="L990" s="10">
        <f>CHOOSE(CONTROL!$C$42, 40.1812, 40.1812) * CHOOSE(CONTROL!$C$21, $C$9, 100%, $E$9)</f>
        <v>40.181199999999997</v>
      </c>
      <c r="M990" s="10">
        <f>CHOOSE(CONTROL!$C$42, 38.8499, 38.8499) * CHOOSE(CONTROL!$C$21, $C$9, 100%, $E$9)</f>
        <v>38.849899999999998</v>
      </c>
      <c r="N990" s="10">
        <f>CHOOSE(CONTROL!$C$42, 38.8667, 38.8667) * CHOOSE(CONTROL!$C$21, $C$9, 100%, $E$9)</f>
        <v>38.866700000000002</v>
      </c>
      <c r="O990" s="10">
        <f>CHOOSE(CONTROL!$C$42, 39.1147, 39.1147) * CHOOSE(CONTROL!$C$21, $C$9, 100%, $E$9)</f>
        <v>39.114699999999999</v>
      </c>
      <c r="P990" s="10">
        <f>CHOOSE(CONTROL!$C$42, 38.8896, 38.8896) * CHOOSE(CONTROL!$C$21, $C$9, 100%, $E$9)</f>
        <v>38.889600000000002</v>
      </c>
      <c r="Q990" s="10">
        <f>CHOOSE(CONTROL!$C$42, 39.71, 39.71) * CHOOSE(CONTROL!$C$21, $C$9, 100%, $E$9)</f>
        <v>39.71</v>
      </c>
      <c r="R990" s="10">
        <f>CHOOSE(CONTROL!$C$42, 40.3962, 40.3962) * CHOOSE(CONTROL!$C$21, $C$9, 100%, $E$9)</f>
        <v>40.3962</v>
      </c>
      <c r="S990" s="10">
        <f>CHOOSE(CONTROL!$C$42, 38.1574, 38.1574) * CHOOSE(CONTROL!$C$21, $C$9, 100%, $E$9)</f>
        <v>38.157400000000003</v>
      </c>
      <c r="T99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38">
        <f>(1000*CHOOSE(CONTROL!$C$42, 695, 695)*CHOOSE(CONTROL!$C$42, 0.5599, 0.5599)*CHOOSE(CONTROL!$C$42, 30, 30))/1000000</f>
        <v>11.673914999999997</v>
      </c>
      <c r="V990" s="38">
        <f>(1000*CHOOSE(CONTROL!$C$42, 500, 500)*CHOOSE(CONTROL!$C$42, 0.275, 0.275)*CHOOSE(CONTROL!$C$42, 30, 30))/1000000</f>
        <v>4.125</v>
      </c>
      <c r="W990" s="38">
        <f>(1000*CHOOSE(CONTROL!$C$42, 0.1146, 0.1146)*CHOOSE(CONTROL!$C$42, 121.5, 121.5)*CHOOSE(CONTROL!$C$42, 30, 30))/1000000</f>
        <v>0.417717</v>
      </c>
      <c r="X990" s="38">
        <f>(30*0.1790888*245000/1000000)+(30*0.2374*100000/1000000)</f>
        <v>2.0285026799999999</v>
      </c>
      <c r="Y990" s="38">
        <f>(1000*600*CHOOSE(CONTROL!$C$42, 1.0585, 1.0585)*CHOOSE(CONTROL!$C$42, 30, 30))/1000000</f>
        <v>19.053000000000001</v>
      </c>
      <c r="Z990" s="38"/>
      <c r="AA990" s="10"/>
      <c r="AB990" s="39"/>
      <c r="AC990" s="33">
        <f>(B990*194.205+C990*267.466+D990*133.845+E990*53.484+F990*40+G990*185+H990*0+I990*100+J990*300)/(194.205+267.466+133.845+53.484+0+40+185+100+300)</f>
        <v>39.396199934929363</v>
      </c>
      <c r="AD990" s="27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38.976596402877696</v>
      </c>
    </row>
    <row r="991" spans="1:30" ht="15.75" x14ac:dyDescent="0.25">
      <c r="A991" s="13">
        <v>71436</v>
      </c>
      <c r="B991" s="10">
        <f>CHOOSE(CONTROL!$C$42, 38.6355, 38.6355) * CHOOSE(CONTROL!$C$21, $C$9, 100%, $E$9)</f>
        <v>38.6355</v>
      </c>
      <c r="C991" s="10">
        <f>CHOOSE(CONTROL!$C$42, 38.6435, 38.6435) * CHOOSE(CONTROL!$C$21, $C$9, 100%, $E$9)</f>
        <v>38.643500000000003</v>
      </c>
      <c r="D991" s="10">
        <f>CHOOSE(CONTROL!$C$42, 38.8187, 38.8187) * CHOOSE(CONTROL!$C$21, $C$9, 100%, $E$9)</f>
        <v>38.8187</v>
      </c>
      <c r="E991" s="10">
        <f>CHOOSE(CONTROL!$C$42, 38.8499, 38.8499) * CHOOSE(CONTROL!$C$21, $C$9, 100%, $E$9)</f>
        <v>38.849899999999998</v>
      </c>
      <c r="F991" s="10">
        <f>CHOOSE(CONTROL!$C$42, 38.5777, 38.5777)*CHOOSE(CONTROL!$C$21, $C$9, 100%, $E$9)</f>
        <v>38.5777</v>
      </c>
      <c r="G991" s="10">
        <f>CHOOSE(CONTROL!$C$42, 38.5948, 38.5948)*CHOOSE(CONTROL!$C$21, $C$9, 100%, $E$9)</f>
        <v>38.594799999999999</v>
      </c>
      <c r="H991" s="10">
        <f>CHOOSE(CONTROL!$C$42, 38.8382, 38.8382) * CHOOSE(CONTROL!$C$21, $C$9, 100%, $E$9)</f>
        <v>38.838200000000001</v>
      </c>
      <c r="I991" s="10">
        <f>CHOOSE(CONTROL!$C$42, 38.6102, 38.6102)* CHOOSE(CONTROL!$C$21, $C$9, 100%, $E$9)</f>
        <v>38.610199999999999</v>
      </c>
      <c r="J991" s="10">
        <f>CHOOSE(CONTROL!$C$42, 38.5703, 38.5703)* CHOOSE(CONTROL!$C$21, $C$9, 100%, $E$9)</f>
        <v>38.570300000000003</v>
      </c>
      <c r="K991" s="10">
        <f>CHOOSE(CONTROL!$C$42, 37.5627, 37.5627) * CHOOSE(CONTROL!$C$21, $C$9, 100%, $E$9)</f>
        <v>37.5627</v>
      </c>
      <c r="L991" s="10">
        <f>CHOOSE(CONTROL!$C$42, 39.4252, 39.4252) * CHOOSE(CONTROL!$C$21, $C$9, 100%, $E$9)</f>
        <v>39.425199999999997</v>
      </c>
      <c r="M991" s="10">
        <f>CHOOSE(CONTROL!$C$42, 38.1041, 38.1041) * CHOOSE(CONTROL!$C$21, $C$9, 100%, $E$9)</f>
        <v>38.104100000000003</v>
      </c>
      <c r="N991" s="10">
        <f>CHOOSE(CONTROL!$C$42, 38.1209, 38.1209) * CHOOSE(CONTROL!$C$21, $C$9, 100%, $E$9)</f>
        <v>38.120899999999999</v>
      </c>
      <c r="O991" s="10">
        <f>CHOOSE(CONTROL!$C$42, 38.3685, 38.3685) * CHOOSE(CONTROL!$C$21, $C$9, 100%, $E$9)</f>
        <v>38.368499999999997</v>
      </c>
      <c r="P991" s="10">
        <f>CHOOSE(CONTROL!$C$42, 38.1434, 38.1434) * CHOOSE(CONTROL!$C$21, $C$9, 100%, $E$9)</f>
        <v>38.1434</v>
      </c>
      <c r="Q991" s="10">
        <f>CHOOSE(CONTROL!$C$42, 38.9638, 38.9638) * CHOOSE(CONTROL!$C$21, $C$9, 100%, $E$9)</f>
        <v>38.963799999999999</v>
      </c>
      <c r="R991" s="10">
        <f>CHOOSE(CONTROL!$C$42, 39.6482, 39.6482) * CHOOSE(CONTROL!$C$21, $C$9, 100%, $E$9)</f>
        <v>39.648200000000003</v>
      </c>
      <c r="S991" s="10">
        <f>CHOOSE(CONTROL!$C$42, 37.4254, 37.4254) * CHOOSE(CONTROL!$C$21, $C$9, 100%, $E$9)</f>
        <v>37.425400000000003</v>
      </c>
      <c r="T99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38">
        <f>(1000*CHOOSE(CONTROL!$C$42, 695, 695)*CHOOSE(CONTROL!$C$42, 0.5599, 0.5599)*CHOOSE(CONTROL!$C$42, 31, 31))/1000000</f>
        <v>12.063045499999998</v>
      </c>
      <c r="V991" s="38">
        <f>(1000*CHOOSE(CONTROL!$C$42, 500, 500)*CHOOSE(CONTROL!$C$42, 0.275, 0.275)*CHOOSE(CONTROL!$C$42, 31, 31))/1000000</f>
        <v>4.2625000000000002</v>
      </c>
      <c r="W991" s="38">
        <f>(1000*CHOOSE(CONTROL!$C$42, 0.1146, 0.1146)*CHOOSE(CONTROL!$C$42, 121.5, 121.5)*CHOOSE(CONTROL!$C$42, 31, 31))/1000000</f>
        <v>0.43164089999999994</v>
      </c>
      <c r="X991" s="38">
        <f>(31*0.1790888*245000/1000000)+(31*0.2374*100000/1000000)</f>
        <v>2.0961194359999999</v>
      </c>
      <c r="Y991" s="38">
        <f>(1000*600*CHOOSE(CONTROL!$C$42, 1.0585, 1.0585)*CHOOSE(CONTROL!$C$42, 31, 31))/1000000</f>
        <v>19.688099999999999</v>
      </c>
      <c r="Z991" s="38"/>
      <c r="AA991" s="10"/>
      <c r="AB991" s="39"/>
      <c r="AC991" s="33">
        <f>(B991*194.205+C991*267.466+D991*133.845+E991*53.484+F991*40+G991*185+H991*0+I991*100+J991*300)/(194.205+267.466+133.845+53.484+0+40+185+100+300)</f>
        <v>38.640363109576136</v>
      </c>
      <c r="AD991" s="27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38.230557553956835</v>
      </c>
    </row>
    <row r="992" spans="1:30" ht="15.75" x14ac:dyDescent="0.25">
      <c r="A992" s="13">
        <v>71467</v>
      </c>
      <c r="B992" s="10">
        <f>CHOOSE(CONTROL!$C$42, 36.7264, 36.7264) * CHOOSE(CONTROL!$C$21, $C$9, 100%, $E$9)</f>
        <v>36.726399999999998</v>
      </c>
      <c r="C992" s="10">
        <f>CHOOSE(CONTROL!$C$42, 36.7344, 36.7344) * CHOOSE(CONTROL!$C$21, $C$9, 100%, $E$9)</f>
        <v>36.734400000000001</v>
      </c>
      <c r="D992" s="10">
        <f>CHOOSE(CONTROL!$C$42, 36.9095, 36.9095) * CHOOSE(CONTROL!$C$21, $C$9, 100%, $E$9)</f>
        <v>36.909500000000001</v>
      </c>
      <c r="E992" s="10">
        <f>CHOOSE(CONTROL!$C$42, 36.9408, 36.9408) * CHOOSE(CONTROL!$C$21, $C$9, 100%, $E$9)</f>
        <v>36.940800000000003</v>
      </c>
      <c r="F992" s="10">
        <f>CHOOSE(CONTROL!$C$42, 36.6685, 36.6685)*CHOOSE(CONTROL!$C$21, $C$9, 100%, $E$9)</f>
        <v>36.668500000000002</v>
      </c>
      <c r="G992" s="10">
        <f>CHOOSE(CONTROL!$C$42, 36.6855, 36.6855)*CHOOSE(CONTROL!$C$21, $C$9, 100%, $E$9)</f>
        <v>36.685499999999998</v>
      </c>
      <c r="H992" s="10">
        <f>CHOOSE(CONTROL!$C$42, 36.9291, 36.9291) * CHOOSE(CONTROL!$C$21, $C$9, 100%, $E$9)</f>
        <v>36.929099999999998</v>
      </c>
      <c r="I992" s="10">
        <f>CHOOSE(CONTROL!$C$42, 36.7011, 36.7011)* CHOOSE(CONTROL!$C$21, $C$9, 100%, $E$9)</f>
        <v>36.701099999999997</v>
      </c>
      <c r="J992" s="10">
        <f>CHOOSE(CONTROL!$C$42, 36.6611, 36.6611)* CHOOSE(CONTROL!$C$21, $C$9, 100%, $E$9)</f>
        <v>36.661099999999998</v>
      </c>
      <c r="K992" s="10">
        <f>CHOOSE(CONTROL!$C$42, 35.713, 35.713) * CHOOSE(CONTROL!$C$21, $C$9, 100%, $E$9)</f>
        <v>35.713000000000001</v>
      </c>
      <c r="L992" s="10">
        <f>CHOOSE(CONTROL!$C$42, 37.5161, 37.5161) * CHOOSE(CONTROL!$C$21, $C$9, 100%, $E$9)</f>
        <v>37.516100000000002</v>
      </c>
      <c r="M992" s="10">
        <f>CHOOSE(CONTROL!$C$42, 36.2196, 36.2196) * CHOOSE(CONTROL!$C$21, $C$9, 100%, $E$9)</f>
        <v>36.2196</v>
      </c>
      <c r="N992" s="10">
        <f>CHOOSE(CONTROL!$C$42, 36.2364, 36.2364) * CHOOSE(CONTROL!$C$21, $C$9, 100%, $E$9)</f>
        <v>36.236400000000003</v>
      </c>
      <c r="O992" s="10">
        <f>CHOOSE(CONTROL!$C$42, 36.4841, 36.4841) * CHOOSE(CONTROL!$C$21, $C$9, 100%, $E$9)</f>
        <v>36.484099999999998</v>
      </c>
      <c r="P992" s="10">
        <f>CHOOSE(CONTROL!$C$42, 36.259, 36.259) * CHOOSE(CONTROL!$C$21, $C$9, 100%, $E$9)</f>
        <v>36.259</v>
      </c>
      <c r="Q992" s="10">
        <f>CHOOSE(CONTROL!$C$42, 37.0794, 37.0794) * CHOOSE(CONTROL!$C$21, $C$9, 100%, $E$9)</f>
        <v>37.0794</v>
      </c>
      <c r="R992" s="10">
        <f>CHOOSE(CONTROL!$C$42, 37.7591, 37.7591) * CHOOSE(CONTROL!$C$21, $C$9, 100%, $E$9)</f>
        <v>37.759099999999997</v>
      </c>
      <c r="S992" s="10">
        <f>CHOOSE(CONTROL!$C$42, 35.5768, 35.5768) * CHOOSE(CONTROL!$C$21, $C$9, 100%, $E$9)</f>
        <v>35.576799999999999</v>
      </c>
      <c r="T99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38">
        <f>(1000*CHOOSE(CONTROL!$C$42, 695, 695)*CHOOSE(CONTROL!$C$42, 0.5599, 0.5599)*CHOOSE(CONTROL!$C$42, 31, 31))/1000000</f>
        <v>12.063045499999998</v>
      </c>
      <c r="V992" s="38">
        <f>(1000*CHOOSE(CONTROL!$C$42, 500, 500)*CHOOSE(CONTROL!$C$42, 0.275, 0.275)*CHOOSE(CONTROL!$C$42, 31, 31))/1000000</f>
        <v>4.2625000000000002</v>
      </c>
      <c r="W992" s="38">
        <f>(1000*CHOOSE(CONTROL!$C$42, 0.1146, 0.1146)*CHOOSE(CONTROL!$C$42, 121.5, 121.5)*CHOOSE(CONTROL!$C$42, 31, 31))/1000000</f>
        <v>0.43164089999999994</v>
      </c>
      <c r="X992" s="38">
        <f>(31*0.1790888*245000/1000000)+(31*0.2374*100000/1000000)</f>
        <v>2.0961194359999999</v>
      </c>
      <c r="Y992" s="38">
        <f>(1000*600*CHOOSE(CONTROL!$C$42, 1.0585, 1.0585)*CHOOSE(CONTROL!$C$42, 31, 31))/1000000</f>
        <v>19.688099999999999</v>
      </c>
      <c r="Z992" s="38"/>
      <c r="AA992" s="10"/>
      <c r="AB992" s="39"/>
      <c r="AC992" s="33">
        <f>(B992*194.205+C992*267.466+D992*133.845+E992*53.484+F992*40+G992*185+H992*0+I992*100+J992*300)/(194.205+267.466+133.845+53.484+0+40+185+100+300)</f>
        <v>36.731196873704867</v>
      </c>
      <c r="AD992" s="27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36.346117266187051</v>
      </c>
    </row>
    <row r="993" spans="1:30" ht="15.75" x14ac:dyDescent="0.25">
      <c r="A993" s="13">
        <v>71497</v>
      </c>
      <c r="B993" s="10">
        <f>CHOOSE(CONTROL!$C$42, 34.3939, 34.3939) * CHOOSE(CONTROL!$C$21, $C$9, 100%, $E$9)</f>
        <v>34.393900000000002</v>
      </c>
      <c r="C993" s="10">
        <f>CHOOSE(CONTROL!$C$42, 34.4019, 34.4019) * CHOOSE(CONTROL!$C$21, $C$9, 100%, $E$9)</f>
        <v>34.401899999999998</v>
      </c>
      <c r="D993" s="10">
        <f>CHOOSE(CONTROL!$C$42, 34.577, 34.577) * CHOOSE(CONTROL!$C$21, $C$9, 100%, $E$9)</f>
        <v>34.576999999999998</v>
      </c>
      <c r="E993" s="10">
        <f>CHOOSE(CONTROL!$C$42, 34.6082, 34.6082) * CHOOSE(CONTROL!$C$21, $C$9, 100%, $E$9)</f>
        <v>34.608199999999997</v>
      </c>
      <c r="F993" s="10">
        <f>CHOOSE(CONTROL!$C$42, 34.3357, 34.3357)*CHOOSE(CONTROL!$C$21, $C$9, 100%, $E$9)</f>
        <v>34.335700000000003</v>
      </c>
      <c r="G993" s="10">
        <f>CHOOSE(CONTROL!$C$42, 34.3526, 34.3526)*CHOOSE(CONTROL!$C$21, $C$9, 100%, $E$9)</f>
        <v>34.352600000000002</v>
      </c>
      <c r="H993" s="10">
        <f>CHOOSE(CONTROL!$C$42, 34.5965, 34.5965) * CHOOSE(CONTROL!$C$21, $C$9, 100%, $E$9)</f>
        <v>34.596499999999999</v>
      </c>
      <c r="I993" s="10">
        <f>CHOOSE(CONTROL!$C$42, 34.3685, 34.3685)* CHOOSE(CONTROL!$C$21, $C$9, 100%, $E$9)</f>
        <v>34.368499999999997</v>
      </c>
      <c r="J993" s="10">
        <f>CHOOSE(CONTROL!$C$42, 34.3283, 34.3283)* CHOOSE(CONTROL!$C$21, $C$9, 100%, $E$9)</f>
        <v>34.328299999999999</v>
      </c>
      <c r="K993" s="10">
        <f>CHOOSE(CONTROL!$C$42, 33.4525, 33.4525) * CHOOSE(CONTROL!$C$21, $C$9, 100%, $E$9)</f>
        <v>33.452500000000001</v>
      </c>
      <c r="L993" s="10">
        <f>CHOOSE(CONTROL!$C$42, 35.1835, 35.1835) * CHOOSE(CONTROL!$C$21, $C$9, 100%, $E$9)</f>
        <v>35.183500000000002</v>
      </c>
      <c r="M993" s="10">
        <f>CHOOSE(CONTROL!$C$42, 33.9169, 33.9169) * CHOOSE(CONTROL!$C$21, $C$9, 100%, $E$9)</f>
        <v>33.916899999999998</v>
      </c>
      <c r="N993" s="10">
        <f>CHOOSE(CONTROL!$C$42, 33.9336, 33.9336) * CHOOSE(CONTROL!$C$21, $C$9, 100%, $E$9)</f>
        <v>33.933599999999998</v>
      </c>
      <c r="O993" s="10">
        <f>CHOOSE(CONTROL!$C$42, 34.1817, 34.1817) * CHOOSE(CONTROL!$C$21, $C$9, 100%, $E$9)</f>
        <v>34.181699999999999</v>
      </c>
      <c r="P993" s="10">
        <f>CHOOSE(CONTROL!$C$42, 33.9567, 33.9567) * CHOOSE(CONTROL!$C$21, $C$9, 100%, $E$9)</f>
        <v>33.956699999999998</v>
      </c>
      <c r="Q993" s="10">
        <f>CHOOSE(CONTROL!$C$42, 34.777, 34.777) * CHOOSE(CONTROL!$C$21, $C$9, 100%, $E$9)</f>
        <v>34.777000000000001</v>
      </c>
      <c r="R993" s="10">
        <f>CHOOSE(CONTROL!$C$42, 35.4509, 35.4509) * CHOOSE(CONTROL!$C$21, $C$9, 100%, $E$9)</f>
        <v>35.450899999999997</v>
      </c>
      <c r="S993" s="10">
        <f>CHOOSE(CONTROL!$C$42, 33.3182, 33.3182) * CHOOSE(CONTROL!$C$21, $C$9, 100%, $E$9)</f>
        <v>33.318199999999997</v>
      </c>
      <c r="T99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38">
        <f>(1000*CHOOSE(CONTROL!$C$42, 695, 695)*CHOOSE(CONTROL!$C$42, 0.5599, 0.5599)*CHOOSE(CONTROL!$C$42, 30, 30))/1000000</f>
        <v>11.673914999999997</v>
      </c>
      <c r="V993" s="38">
        <f>(1000*CHOOSE(CONTROL!$C$42, 500, 500)*CHOOSE(CONTROL!$C$42, 0.275, 0.275)*CHOOSE(CONTROL!$C$42, 30, 30))/1000000</f>
        <v>4.125</v>
      </c>
      <c r="W993" s="38">
        <f>(1000*CHOOSE(CONTROL!$C$42, 0.1146, 0.1146)*CHOOSE(CONTROL!$C$42, 121.5, 121.5)*CHOOSE(CONTROL!$C$42, 30, 30))/1000000</f>
        <v>0.417717</v>
      </c>
      <c r="X993" s="38">
        <f>(30*0.1790888*245000/1000000)+(30*0.2374*100000/1000000)</f>
        <v>2.0285026799999999</v>
      </c>
      <c r="Y993" s="38">
        <f>(1000*600*CHOOSE(CONTROL!$C$42, 1.0585, 1.0585)*CHOOSE(CONTROL!$C$42, 30, 30))/1000000</f>
        <v>19.053000000000001</v>
      </c>
      <c r="Z993" s="38"/>
      <c r="AA993" s="10"/>
      <c r="AB993" s="39"/>
      <c r="AC993" s="33">
        <f>(B993*194.205+C993*267.466+D993*133.845+E993*53.484+F993*40+G993*185+H993*0+I993*100+J993*300)/(194.205+267.466+133.845+53.484+0+40+185+100+300)</f>
        <v>34.398546678728408</v>
      </c>
      <c r="AD993" s="27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34.043605035971218</v>
      </c>
    </row>
    <row r="994" spans="1:30" ht="15.75" x14ac:dyDescent="0.25">
      <c r="A994" s="13">
        <v>71528</v>
      </c>
      <c r="B994" s="10">
        <f>CHOOSE(CONTROL!$C$42, 33.6931, 33.6931) * CHOOSE(CONTROL!$C$21, $C$9, 100%, $E$9)</f>
        <v>33.693100000000001</v>
      </c>
      <c r="C994" s="10">
        <f>CHOOSE(CONTROL!$C$42, 33.6985, 33.6985) * CHOOSE(CONTROL!$C$21, $C$9, 100%, $E$9)</f>
        <v>33.698500000000003</v>
      </c>
      <c r="D994" s="10">
        <f>CHOOSE(CONTROL!$C$42, 33.8785, 33.8785) * CHOOSE(CONTROL!$C$21, $C$9, 100%, $E$9)</f>
        <v>33.878500000000003</v>
      </c>
      <c r="E994" s="10">
        <f>CHOOSE(CONTROL!$C$42, 33.9074, 33.9074) * CHOOSE(CONTROL!$C$21, $C$9, 100%, $E$9)</f>
        <v>33.907400000000003</v>
      </c>
      <c r="F994" s="10">
        <f>CHOOSE(CONTROL!$C$42, 33.6369, 33.6369)*CHOOSE(CONTROL!$C$21, $C$9, 100%, $E$9)</f>
        <v>33.636899999999997</v>
      </c>
      <c r="G994" s="10">
        <f>CHOOSE(CONTROL!$C$42, 33.6535, 33.6535)*CHOOSE(CONTROL!$C$21, $C$9, 100%, $E$9)</f>
        <v>33.653500000000001</v>
      </c>
      <c r="H994" s="10">
        <f>CHOOSE(CONTROL!$C$42, 33.8975, 33.8975) * CHOOSE(CONTROL!$C$21, $C$9, 100%, $E$9)</f>
        <v>33.897500000000001</v>
      </c>
      <c r="I994" s="10">
        <f>CHOOSE(CONTROL!$C$42, 33.6695, 33.6695)* CHOOSE(CONTROL!$C$21, $C$9, 100%, $E$9)</f>
        <v>33.669499999999999</v>
      </c>
      <c r="J994" s="10">
        <f>CHOOSE(CONTROL!$C$42, 33.6295, 33.6295)* CHOOSE(CONTROL!$C$21, $C$9, 100%, $E$9)</f>
        <v>33.6295</v>
      </c>
      <c r="K994" s="10">
        <f>CHOOSE(CONTROL!$C$42, 32.7759, 32.7759) * CHOOSE(CONTROL!$C$21, $C$9, 100%, $E$9)</f>
        <v>32.7759</v>
      </c>
      <c r="L994" s="10">
        <f>CHOOSE(CONTROL!$C$42, 34.4845, 34.4845) * CHOOSE(CONTROL!$C$21, $C$9, 100%, $E$9)</f>
        <v>34.484499999999997</v>
      </c>
      <c r="M994" s="10">
        <f>CHOOSE(CONTROL!$C$42, 33.2272, 33.2272) * CHOOSE(CONTROL!$C$21, $C$9, 100%, $E$9)</f>
        <v>33.227200000000003</v>
      </c>
      <c r="N994" s="10">
        <f>CHOOSE(CONTROL!$C$42, 33.2436, 33.2436) * CHOOSE(CONTROL!$C$21, $C$9, 100%, $E$9)</f>
        <v>33.243600000000001</v>
      </c>
      <c r="O994" s="10">
        <f>CHOOSE(CONTROL!$C$42, 33.4917, 33.4917) * CHOOSE(CONTROL!$C$21, $C$9, 100%, $E$9)</f>
        <v>33.491700000000002</v>
      </c>
      <c r="P994" s="10">
        <f>CHOOSE(CONTROL!$C$42, 33.2667, 33.2667) * CHOOSE(CONTROL!$C$21, $C$9, 100%, $E$9)</f>
        <v>33.2667</v>
      </c>
      <c r="Q994" s="10">
        <f>CHOOSE(CONTROL!$C$42, 34.087, 34.087) * CHOOSE(CONTROL!$C$21, $C$9, 100%, $E$9)</f>
        <v>34.087000000000003</v>
      </c>
      <c r="R994" s="10">
        <f>CHOOSE(CONTROL!$C$42, 34.7593, 34.7593) * CHOOSE(CONTROL!$C$21, $C$9, 100%, $E$9)</f>
        <v>34.759300000000003</v>
      </c>
      <c r="S994" s="10">
        <f>CHOOSE(CONTROL!$C$42, 32.6413, 32.6413) * CHOOSE(CONTROL!$C$21, $C$9, 100%, $E$9)</f>
        <v>32.641300000000001</v>
      </c>
      <c r="T99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38">
        <f>(1000*CHOOSE(CONTROL!$C$42, 695, 695)*CHOOSE(CONTROL!$C$42, 0.5599, 0.5599)*CHOOSE(CONTROL!$C$42, 31, 31))/1000000</f>
        <v>12.063045499999998</v>
      </c>
      <c r="V994" s="38">
        <f>(1000*CHOOSE(CONTROL!$C$42, 500, 500)*CHOOSE(CONTROL!$C$42, 0.275, 0.275)*CHOOSE(CONTROL!$C$42, 31, 31))/1000000</f>
        <v>4.2625000000000002</v>
      </c>
      <c r="W994" s="38">
        <f>(1000*CHOOSE(CONTROL!$C$42, 0.1146, 0.1146)*CHOOSE(CONTROL!$C$42, 121.5, 121.5)*CHOOSE(CONTROL!$C$42, 31, 31))/1000000</f>
        <v>0.43164089999999994</v>
      </c>
      <c r="X994" s="38">
        <f>(31*0.1790888*245000/1000000)+(31*0.2374*100000/1000000)</f>
        <v>2.0961194359999999</v>
      </c>
      <c r="Y994" s="38">
        <f>(1000*600*CHOOSE(CONTROL!$C$42, 1.0585, 1.0585)*CHOOSE(CONTROL!$C$42, 31, 31))/1000000</f>
        <v>19.688099999999999</v>
      </c>
      <c r="Z994" s="38"/>
      <c r="AA994" s="10"/>
      <c r="AB994" s="39"/>
      <c r="AC994" s="33">
        <f>(B994*131.881+C994*277.167+D994*79.08+E994*125.872+F994*40+G994*185+H994*0+I994*100+J994*300)/(131.881+277.167+79.08+125.872+0+40+185+100+300)</f>
        <v>33.702880874414852</v>
      </c>
      <c r="AD994" s="27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33.353708633093525</v>
      </c>
    </row>
    <row r="995" spans="1:30" ht="15.75" x14ac:dyDescent="0.25">
      <c r="A995" s="13">
        <v>71558</v>
      </c>
      <c r="B995" s="10">
        <f>CHOOSE(CONTROL!$C$42, 34.5808, 34.5808) * CHOOSE(CONTROL!$C$21, $C$9, 100%, $E$9)</f>
        <v>34.580800000000004</v>
      </c>
      <c r="C995" s="10">
        <f>CHOOSE(CONTROL!$C$42, 34.5859, 34.5859) * CHOOSE(CONTROL!$C$21, $C$9, 100%, $E$9)</f>
        <v>34.585900000000002</v>
      </c>
      <c r="D995" s="10">
        <f>CHOOSE(CONTROL!$C$42, 34.6106, 34.6106) * CHOOSE(CONTROL!$C$21, $C$9, 100%, $E$9)</f>
        <v>34.610599999999998</v>
      </c>
      <c r="E995" s="10">
        <f>CHOOSE(CONTROL!$C$42, 34.6444, 34.6444) * CHOOSE(CONTROL!$C$21, $C$9, 100%, $E$9)</f>
        <v>34.644399999999997</v>
      </c>
      <c r="F995" s="10">
        <f>CHOOSE(CONTROL!$C$42, 34.5464, 34.5464)*CHOOSE(CONTROL!$C$21, $C$9, 100%, $E$9)</f>
        <v>34.546399999999998</v>
      </c>
      <c r="G995" s="10">
        <f>CHOOSE(CONTROL!$C$42, 34.5632, 34.5632)*CHOOSE(CONTROL!$C$21, $C$9, 100%, $E$9)</f>
        <v>34.563200000000002</v>
      </c>
      <c r="H995" s="10">
        <f>CHOOSE(CONTROL!$C$42, 34.6333, 34.6333) * CHOOSE(CONTROL!$C$21, $C$9, 100%, $E$9)</f>
        <v>34.633299999999998</v>
      </c>
      <c r="I995" s="10">
        <f>CHOOSE(CONTROL!$C$42, 34.5803, 34.5803)* CHOOSE(CONTROL!$C$21, $C$9, 100%, $E$9)</f>
        <v>34.580300000000001</v>
      </c>
      <c r="J995" s="10">
        <f>CHOOSE(CONTROL!$C$42, 34.539, 34.539)* CHOOSE(CONTROL!$C$21, $C$9, 100%, $E$9)</f>
        <v>34.539000000000001</v>
      </c>
      <c r="K995" s="10">
        <f>CHOOSE(CONTROL!$C$42, 33.66, 33.66) * CHOOSE(CONTROL!$C$21, $C$9, 100%, $E$9)</f>
        <v>33.659999999999997</v>
      </c>
      <c r="L995" s="10">
        <f>CHOOSE(CONTROL!$C$42, 35.2203, 35.2203) * CHOOSE(CONTROL!$C$21, $C$9, 100%, $E$9)</f>
        <v>35.220300000000002</v>
      </c>
      <c r="M995" s="10">
        <f>CHOOSE(CONTROL!$C$42, 34.1249, 34.1249) * CHOOSE(CONTROL!$C$21, $C$9, 100%, $E$9)</f>
        <v>34.124899999999997</v>
      </c>
      <c r="N995" s="10">
        <f>CHOOSE(CONTROL!$C$42, 34.1415, 34.1415) * CHOOSE(CONTROL!$C$21, $C$9, 100%, $E$9)</f>
        <v>34.141500000000001</v>
      </c>
      <c r="O995" s="10">
        <f>CHOOSE(CONTROL!$C$42, 34.2179, 34.2179) * CHOOSE(CONTROL!$C$21, $C$9, 100%, $E$9)</f>
        <v>34.2179</v>
      </c>
      <c r="P995" s="10">
        <f>CHOOSE(CONTROL!$C$42, 34.1657, 34.1657) * CHOOSE(CONTROL!$C$21, $C$9, 100%, $E$9)</f>
        <v>34.165700000000001</v>
      </c>
      <c r="Q995" s="10">
        <f>CHOOSE(CONTROL!$C$42, 34.8132, 34.8132) * CHOOSE(CONTROL!$C$21, $C$9, 100%, $E$9)</f>
        <v>34.813200000000002</v>
      </c>
      <c r="R995" s="10">
        <f>CHOOSE(CONTROL!$C$42, 35.4873, 35.4873) * CHOOSE(CONTROL!$C$21, $C$9, 100%, $E$9)</f>
        <v>35.487299999999998</v>
      </c>
      <c r="S995" s="10">
        <f>CHOOSE(CONTROL!$C$42, 33.5012, 33.5012) * CHOOSE(CONTROL!$C$21, $C$9, 100%, $E$9)</f>
        <v>33.501199999999997</v>
      </c>
      <c r="T99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38">
        <f>(1000*CHOOSE(CONTROL!$C$42, 695, 695)*CHOOSE(CONTROL!$C$42, 0.5599, 0.5599)*CHOOSE(CONTROL!$C$42, 30, 30))/1000000</f>
        <v>11.673914999999997</v>
      </c>
      <c r="V995" s="38">
        <f>(1000*CHOOSE(CONTROL!$C$42, 500, 500)*CHOOSE(CONTROL!$C$42, 0.275, 0.275)*CHOOSE(CONTROL!$C$42, 30, 30))/1000000</f>
        <v>4.125</v>
      </c>
      <c r="W995" s="38">
        <f>(1000*CHOOSE(CONTROL!$C$42, 0.1146, 0.1146)*CHOOSE(CONTROL!$C$42, 121.5, 121.5)*CHOOSE(CONTROL!$C$42, 30, 30))/1000000</f>
        <v>0.417717</v>
      </c>
      <c r="X995" s="38">
        <f>(30*0.1790888*100000/1000000)+(30*0.2374*100000/1000000)</f>
        <v>1.2494664</v>
      </c>
      <c r="Y995" s="38">
        <f>(1000*600*CHOOSE(CONTROL!$C$42, 1.0585, 1.0585)*CHOOSE(CONTROL!$C$42, 30, 30))/1000000</f>
        <v>19.053000000000001</v>
      </c>
      <c r="Z995" s="38"/>
      <c r="AA995" s="10"/>
      <c r="AB995" s="39"/>
      <c r="AC995" s="33">
        <f>(B995*122.58+C995*297.941+D995*89.177+E995*40.302+F995*40+G995*160+H995*0+I995*100+J995*300)/(122.58+297.941+89.177+40.302+0+40+160+100+300)</f>
        <v>34.572067983391307</v>
      </c>
      <c r="AD995" s="27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34.173876978417262</v>
      </c>
    </row>
    <row r="996" spans="1:30" ht="15.75" x14ac:dyDescent="0.25">
      <c r="A996" s="13">
        <v>71589</v>
      </c>
      <c r="B996" s="10">
        <f>CHOOSE(CONTROL!$C$42, 36.9396, 36.9396) * CHOOSE(CONTROL!$C$21, $C$9, 100%, $E$9)</f>
        <v>36.939599999999999</v>
      </c>
      <c r="C996" s="10">
        <f>CHOOSE(CONTROL!$C$42, 36.9447, 36.9447) * CHOOSE(CONTROL!$C$21, $C$9, 100%, $E$9)</f>
        <v>36.944699999999997</v>
      </c>
      <c r="D996" s="10">
        <f>CHOOSE(CONTROL!$C$42, 36.9694, 36.9694) * CHOOSE(CONTROL!$C$21, $C$9, 100%, $E$9)</f>
        <v>36.9694</v>
      </c>
      <c r="E996" s="10">
        <f>CHOOSE(CONTROL!$C$42, 37.0032, 37.0032) * CHOOSE(CONTROL!$C$21, $C$9, 100%, $E$9)</f>
        <v>37.0032</v>
      </c>
      <c r="F996" s="10">
        <f>CHOOSE(CONTROL!$C$42, 36.907, 36.907)*CHOOSE(CONTROL!$C$21, $C$9, 100%, $E$9)</f>
        <v>36.906999999999996</v>
      </c>
      <c r="G996" s="10">
        <f>CHOOSE(CONTROL!$C$42, 36.9243, 36.9243)*CHOOSE(CONTROL!$C$21, $C$9, 100%, $E$9)</f>
        <v>36.924300000000002</v>
      </c>
      <c r="H996" s="10">
        <f>CHOOSE(CONTROL!$C$42, 36.9921, 36.9921) * CHOOSE(CONTROL!$C$21, $C$9, 100%, $E$9)</f>
        <v>36.992100000000001</v>
      </c>
      <c r="I996" s="10">
        <f>CHOOSE(CONTROL!$C$42, 36.9391, 36.9391)* CHOOSE(CONTROL!$C$21, $C$9, 100%, $E$9)</f>
        <v>36.939100000000003</v>
      </c>
      <c r="J996" s="10">
        <f>CHOOSE(CONTROL!$C$42, 36.8996, 36.8996)* CHOOSE(CONTROL!$C$21, $C$9, 100%, $E$9)</f>
        <v>36.8996</v>
      </c>
      <c r="K996" s="10">
        <f>CHOOSE(CONTROL!$C$42, 35.9491, 35.9491) * CHOOSE(CONTROL!$C$21, $C$9, 100%, $E$9)</f>
        <v>35.949100000000001</v>
      </c>
      <c r="L996" s="10">
        <f>CHOOSE(CONTROL!$C$42, 37.5791, 37.5791) * CHOOSE(CONTROL!$C$21, $C$9, 100%, $E$9)</f>
        <v>37.579099999999997</v>
      </c>
      <c r="M996" s="10">
        <f>CHOOSE(CONTROL!$C$42, 36.455, 36.455) * CHOOSE(CONTROL!$C$21, $C$9, 100%, $E$9)</f>
        <v>36.454999999999998</v>
      </c>
      <c r="N996" s="10">
        <f>CHOOSE(CONTROL!$C$42, 36.472, 36.472) * CHOOSE(CONTROL!$C$21, $C$9, 100%, $E$9)</f>
        <v>36.472000000000001</v>
      </c>
      <c r="O996" s="10">
        <f>CHOOSE(CONTROL!$C$42, 36.5462, 36.5462) * CHOOSE(CONTROL!$C$21, $C$9, 100%, $E$9)</f>
        <v>36.546199999999999</v>
      </c>
      <c r="P996" s="10">
        <f>CHOOSE(CONTROL!$C$42, 36.494, 36.494) * CHOOSE(CONTROL!$C$21, $C$9, 100%, $E$9)</f>
        <v>36.494</v>
      </c>
      <c r="Q996" s="10">
        <f>CHOOSE(CONTROL!$C$42, 37.1415, 37.1415) * CHOOSE(CONTROL!$C$21, $C$9, 100%, $E$9)</f>
        <v>37.141500000000001</v>
      </c>
      <c r="R996" s="10">
        <f>CHOOSE(CONTROL!$C$42, 37.8214, 37.8214) * CHOOSE(CONTROL!$C$21, $C$9, 100%, $E$9)</f>
        <v>37.821399999999997</v>
      </c>
      <c r="S996" s="10">
        <f>CHOOSE(CONTROL!$C$42, 35.7853, 35.7853) * CHOOSE(CONTROL!$C$21, $C$9, 100%, $E$9)</f>
        <v>35.785299999999999</v>
      </c>
      <c r="T99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38">
        <f>(1000*CHOOSE(CONTROL!$C$42, 695, 695)*CHOOSE(CONTROL!$C$42, 0.5599, 0.5599)*CHOOSE(CONTROL!$C$42, 31, 31))/1000000</f>
        <v>12.063045499999998</v>
      </c>
      <c r="V996" s="38">
        <f>(1000*CHOOSE(CONTROL!$C$42, 500, 500)*CHOOSE(CONTROL!$C$42, 0.275, 0.275)*CHOOSE(CONTROL!$C$42, 31, 31))/1000000</f>
        <v>4.2625000000000002</v>
      </c>
      <c r="W996" s="38">
        <f>(1000*CHOOSE(CONTROL!$C$42, 0.1146, 0.1146)*CHOOSE(CONTROL!$C$42, 121.5, 121.5)*CHOOSE(CONTROL!$C$42, 31, 31))/1000000</f>
        <v>0.43164089999999994</v>
      </c>
      <c r="X996" s="38">
        <f>(31*0.1790888*100000/1000000)+(31*0.2374*100000/1000000)</f>
        <v>1.2911152800000001</v>
      </c>
      <c r="Y996" s="38">
        <f>(1000*600*CHOOSE(CONTROL!$C$42, 1.0585, 1.0585)*CHOOSE(CONTROL!$C$42, 31, 31))/1000000</f>
        <v>19.688099999999999</v>
      </c>
      <c r="Z996" s="38"/>
      <c r="AA996" s="10"/>
      <c r="AB996" s="39"/>
      <c r="AC996" s="33">
        <f>(B996*122.58+C996*297.941+D996*89.177+E996*40.302+F996*40+G996*160+H996*0+I996*100+J996*300)/(122.58+297.941+89.177+40.302+0+40+160+100+300)</f>
        <v>36.931720157304348</v>
      </c>
      <c r="AD996" s="27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36.502925179856113</v>
      </c>
    </row>
    <row r="997" spans="1:30" ht="15.75" x14ac:dyDescent="0.25">
      <c r="A997" s="13">
        <v>71620</v>
      </c>
      <c r="B997" s="10">
        <f>CHOOSE(CONTROL!$C$42, 39.4339, 39.4339) * CHOOSE(CONTROL!$C$21, $C$9, 100%, $E$9)</f>
        <v>39.433900000000001</v>
      </c>
      <c r="C997" s="10">
        <f>CHOOSE(CONTROL!$C$42, 39.439, 39.439) * CHOOSE(CONTROL!$C$21, $C$9, 100%, $E$9)</f>
        <v>39.439</v>
      </c>
      <c r="D997" s="10">
        <f>CHOOSE(CONTROL!$C$42, 39.474, 39.474) * CHOOSE(CONTROL!$C$21, $C$9, 100%, $E$9)</f>
        <v>39.473999999999997</v>
      </c>
      <c r="E997" s="10">
        <f>CHOOSE(CONTROL!$C$42, 39.5078, 39.5078) * CHOOSE(CONTROL!$C$21, $C$9, 100%, $E$9)</f>
        <v>39.507800000000003</v>
      </c>
      <c r="F997" s="10">
        <f>CHOOSE(CONTROL!$C$42, 39.4152, 39.4152)*CHOOSE(CONTROL!$C$21, $C$9, 100%, $E$9)</f>
        <v>39.415199999999999</v>
      </c>
      <c r="G997" s="10">
        <f>CHOOSE(CONTROL!$C$42, 39.4341, 39.4341)*CHOOSE(CONTROL!$C$21, $C$9, 100%, $E$9)</f>
        <v>39.434100000000001</v>
      </c>
      <c r="H997" s="10">
        <f>CHOOSE(CONTROL!$C$42, 39.4967, 39.4967) * CHOOSE(CONTROL!$C$21, $C$9, 100%, $E$9)</f>
        <v>39.496699999999997</v>
      </c>
      <c r="I997" s="10">
        <f>CHOOSE(CONTROL!$C$42, 39.4412, 39.4412)* CHOOSE(CONTROL!$C$21, $C$9, 100%, $E$9)</f>
        <v>39.441200000000002</v>
      </c>
      <c r="J997" s="10">
        <f>CHOOSE(CONTROL!$C$42, 39.4078, 39.4078)* CHOOSE(CONTROL!$C$21, $C$9, 100%, $E$9)</f>
        <v>39.407800000000002</v>
      </c>
      <c r="K997" s="10">
        <f>CHOOSE(CONTROL!$C$42, 38.3863, 38.3863) * CHOOSE(CONTROL!$C$21, $C$9, 100%, $E$9)</f>
        <v>38.386299999999999</v>
      </c>
      <c r="L997" s="10">
        <f>CHOOSE(CONTROL!$C$42, 40.0837, 40.0837) * CHOOSE(CONTROL!$C$21, $C$9, 100%, $E$9)</f>
        <v>40.0837</v>
      </c>
      <c r="M997" s="10">
        <f>CHOOSE(CONTROL!$C$42, 38.9307, 38.9307) * CHOOSE(CONTROL!$C$21, $C$9, 100%, $E$9)</f>
        <v>38.930700000000002</v>
      </c>
      <c r="N997" s="10">
        <f>CHOOSE(CONTROL!$C$42, 38.9493, 38.9493) * CHOOSE(CONTROL!$C$21, $C$9, 100%, $E$9)</f>
        <v>38.949300000000001</v>
      </c>
      <c r="O997" s="10">
        <f>CHOOSE(CONTROL!$C$42, 39.0185, 39.0185) * CHOOSE(CONTROL!$C$21, $C$9, 100%, $E$9)</f>
        <v>39.018500000000003</v>
      </c>
      <c r="P997" s="10">
        <f>CHOOSE(CONTROL!$C$42, 38.9637, 38.9637) * CHOOSE(CONTROL!$C$21, $C$9, 100%, $E$9)</f>
        <v>38.963700000000003</v>
      </c>
      <c r="Q997" s="10">
        <f>CHOOSE(CONTROL!$C$42, 39.6138, 39.6138) * CHOOSE(CONTROL!$C$21, $C$9, 100%, $E$9)</f>
        <v>39.613799999999998</v>
      </c>
      <c r="R997" s="10">
        <f>CHOOSE(CONTROL!$C$42, 40.2998, 40.2998) * CHOOSE(CONTROL!$C$21, $C$9, 100%, $E$9)</f>
        <v>40.299799999999998</v>
      </c>
      <c r="S997" s="10">
        <f>CHOOSE(CONTROL!$C$42, 38.2005, 38.2005) * CHOOSE(CONTROL!$C$21, $C$9, 100%, $E$9)</f>
        <v>38.200499999999998</v>
      </c>
      <c r="T997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38">
        <f>(1000*CHOOSE(CONTROL!$C$42, 695, 695)*CHOOSE(CONTROL!$C$42, 0.5599, 0.5599)*CHOOSE(CONTROL!$C$42, 31, 31))/1000000</f>
        <v>12.063045499999998</v>
      </c>
      <c r="V997" s="38">
        <f>(1000*CHOOSE(CONTROL!$C$42, 500, 500)*CHOOSE(CONTROL!$C$42, 0.275, 0.275)*CHOOSE(CONTROL!$C$42, 31, 31))/1000000</f>
        <v>4.2625000000000002</v>
      </c>
      <c r="W997" s="38">
        <f>(1000*CHOOSE(CONTROL!$C$42, 0.1146, 0.1146)*CHOOSE(CONTROL!$C$42, 121.5, 121.5)*CHOOSE(CONTROL!$C$42, 31, 31))/1000000</f>
        <v>0.43164089999999994</v>
      </c>
      <c r="X997" s="38">
        <f>(31*0.1790888*100000/1000000)+(31*0.2374*100000/1000000)</f>
        <v>1.2911152800000001</v>
      </c>
      <c r="Y997" s="38">
        <f>(1000*600*CHOOSE(CONTROL!$C$42, 1.0585, 1.0585)*CHOOSE(CONTROL!$C$42, 31, 31))/1000000</f>
        <v>19.688099999999999</v>
      </c>
      <c r="Z997" s="38"/>
      <c r="AA997" s="10"/>
      <c r="AB997" s="39"/>
      <c r="AC997" s="33">
        <f>(B997*122.58+C997*297.941+D997*89.177+E997*40.302+F997*40+G997*160+H997*0+I997*100+J997*300)/(122.58+297.941+89.177+40.302+0+40+160+100+300)</f>
        <v>39.434124186608699</v>
      </c>
      <c r="AD997" s="27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38.976312949640288</v>
      </c>
    </row>
    <row r="998" spans="1:30" ht="15.75" x14ac:dyDescent="0.25">
      <c r="A998" s="13">
        <v>71649</v>
      </c>
      <c r="B998" s="10">
        <f>CHOOSE(CONTROL!$C$42, 40.1362, 40.1362) * CHOOSE(CONTROL!$C$21, $C$9, 100%, $E$9)</f>
        <v>40.136200000000002</v>
      </c>
      <c r="C998" s="10">
        <f>CHOOSE(CONTROL!$C$42, 40.1413, 40.1413) * CHOOSE(CONTROL!$C$21, $C$9, 100%, $E$9)</f>
        <v>40.141300000000001</v>
      </c>
      <c r="D998" s="10">
        <f>CHOOSE(CONTROL!$C$42, 40.1763, 40.1763) * CHOOSE(CONTROL!$C$21, $C$9, 100%, $E$9)</f>
        <v>40.176299999999998</v>
      </c>
      <c r="E998" s="10">
        <f>CHOOSE(CONTROL!$C$42, 40.2101, 40.2101) * CHOOSE(CONTROL!$C$21, $C$9, 100%, $E$9)</f>
        <v>40.210099999999997</v>
      </c>
      <c r="F998" s="10">
        <f>CHOOSE(CONTROL!$C$42, 40.117, 40.117)*CHOOSE(CONTROL!$C$21, $C$9, 100%, $E$9)</f>
        <v>40.116999999999997</v>
      </c>
      <c r="G998" s="10">
        <f>CHOOSE(CONTROL!$C$42, 40.1357, 40.1357)*CHOOSE(CONTROL!$C$21, $C$9, 100%, $E$9)</f>
        <v>40.1357</v>
      </c>
      <c r="H998" s="10">
        <f>CHOOSE(CONTROL!$C$42, 40.199, 40.199) * CHOOSE(CONTROL!$C$21, $C$9, 100%, $E$9)</f>
        <v>40.198999999999998</v>
      </c>
      <c r="I998" s="10">
        <f>CHOOSE(CONTROL!$C$42, 40.1434, 40.1434)* CHOOSE(CONTROL!$C$21, $C$9, 100%, $E$9)</f>
        <v>40.1434</v>
      </c>
      <c r="J998" s="10">
        <f>CHOOSE(CONTROL!$C$42, 40.1096, 40.1096)* CHOOSE(CONTROL!$C$21, $C$9, 100%, $E$9)</f>
        <v>40.1096</v>
      </c>
      <c r="K998" s="10">
        <f>CHOOSE(CONTROL!$C$42, 39.0655, 39.0655) * CHOOSE(CONTROL!$C$21, $C$9, 100%, $E$9)</f>
        <v>39.0655</v>
      </c>
      <c r="L998" s="10">
        <f>CHOOSE(CONTROL!$C$42, 40.786, 40.786) * CHOOSE(CONTROL!$C$21, $C$9, 100%, $E$9)</f>
        <v>40.786000000000001</v>
      </c>
      <c r="M998" s="10">
        <f>CHOOSE(CONTROL!$C$42, 39.6234, 39.6234) * CHOOSE(CONTROL!$C$21, $C$9, 100%, $E$9)</f>
        <v>39.623399999999997</v>
      </c>
      <c r="N998" s="10">
        <f>CHOOSE(CONTROL!$C$42, 39.6419, 39.6419) * CHOOSE(CONTROL!$C$21, $C$9, 100%, $E$9)</f>
        <v>39.6419</v>
      </c>
      <c r="O998" s="10">
        <f>CHOOSE(CONTROL!$C$42, 39.7116, 39.7116) * CHOOSE(CONTROL!$C$21, $C$9, 100%, $E$9)</f>
        <v>39.711599999999997</v>
      </c>
      <c r="P998" s="10">
        <f>CHOOSE(CONTROL!$C$42, 39.6569, 39.6569) * CHOOSE(CONTROL!$C$21, $C$9, 100%, $E$9)</f>
        <v>39.6569</v>
      </c>
      <c r="Q998" s="10">
        <f>CHOOSE(CONTROL!$C$42, 40.3069, 40.3069) * CHOOSE(CONTROL!$C$21, $C$9, 100%, $E$9)</f>
        <v>40.306899999999999</v>
      </c>
      <c r="R998" s="10">
        <f>CHOOSE(CONTROL!$C$42, 40.9947, 40.9947) * CHOOSE(CONTROL!$C$21, $C$9, 100%, $E$9)</f>
        <v>40.994700000000002</v>
      </c>
      <c r="S998" s="10">
        <f>CHOOSE(CONTROL!$C$42, 38.8805, 38.8805) * CHOOSE(CONTROL!$C$21, $C$9, 100%, $E$9)</f>
        <v>38.880499999999998</v>
      </c>
      <c r="T998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98" s="38">
        <f>(1000*CHOOSE(CONTROL!$C$42, 695, 695)*CHOOSE(CONTROL!$C$42, 0.5599, 0.5599)*CHOOSE(CONTROL!$C$42, 29, 29))/1000000</f>
        <v>11.284784499999999</v>
      </c>
      <c r="V998" s="38">
        <f>(1000*CHOOSE(CONTROL!$C$42, 500, 500)*CHOOSE(CONTROL!$C$42, 0.275, 0.275)*CHOOSE(CONTROL!$C$42, 29, 29))/1000000</f>
        <v>3.9874999999999998</v>
      </c>
      <c r="W998" s="38">
        <f>(1000*CHOOSE(CONTROL!$C$42, 0.1146, 0.1146)*CHOOSE(CONTROL!$C$42, 121.5, 121.5)*CHOOSE(CONTROL!$C$42, 29, 29))/1000000</f>
        <v>0.40379309999999996</v>
      </c>
      <c r="X998" s="38">
        <f>(29*0.1790888*100000/1000000)+(29*0.2374*100000/1000000)</f>
        <v>1.2078175199999999</v>
      </c>
      <c r="Y998" s="38">
        <f>(1000*600*CHOOSE(CONTROL!$C$42, 1.0585, 1.0585)*CHOOSE(CONTROL!$C$42, 29, 29))/1000000</f>
        <v>18.417899999999999</v>
      </c>
      <c r="Z998" s="38"/>
      <c r="AA998" s="10"/>
      <c r="AB998" s="39"/>
      <c r="AC998" s="33">
        <f>(B998*122.58+C998*297.941+D998*89.177+E998*40.302+F998*40+G998*160+H998*0+I998*100+J998*300)/(122.58+297.941+89.177+40.302+0+40+160+100+300)</f>
        <v>40.13617027356522</v>
      </c>
      <c r="AD998" s="27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39.669260431654671</v>
      </c>
    </row>
    <row r="999" spans="1:30" ht="15.75" x14ac:dyDescent="0.25">
      <c r="A999" s="13">
        <v>71680</v>
      </c>
      <c r="B999" s="10">
        <f>CHOOSE(CONTROL!$C$42, 38.9962, 38.9962) * CHOOSE(CONTROL!$C$21, $C$9, 100%, $E$9)</f>
        <v>38.996200000000002</v>
      </c>
      <c r="C999" s="10">
        <f>CHOOSE(CONTROL!$C$42, 39.0013, 39.0013) * CHOOSE(CONTROL!$C$21, $C$9, 100%, $E$9)</f>
        <v>39.001300000000001</v>
      </c>
      <c r="D999" s="10">
        <f>CHOOSE(CONTROL!$C$42, 39.0364, 39.0364) * CHOOSE(CONTROL!$C$21, $C$9, 100%, $E$9)</f>
        <v>39.0364</v>
      </c>
      <c r="E999" s="10">
        <f>CHOOSE(CONTROL!$C$42, 39.0702, 39.0702) * CHOOSE(CONTROL!$C$21, $C$9, 100%, $E$9)</f>
        <v>39.0702</v>
      </c>
      <c r="F999" s="10">
        <f>CHOOSE(CONTROL!$C$42, 38.9756, 38.9756)*CHOOSE(CONTROL!$C$21, $C$9, 100%, $E$9)</f>
        <v>38.9756</v>
      </c>
      <c r="G999" s="10">
        <f>CHOOSE(CONTROL!$C$42, 38.994, 38.994)*CHOOSE(CONTROL!$C$21, $C$9, 100%, $E$9)</f>
        <v>38.994</v>
      </c>
      <c r="H999" s="10">
        <f>CHOOSE(CONTROL!$C$42, 39.059, 39.059) * CHOOSE(CONTROL!$C$21, $C$9, 100%, $E$9)</f>
        <v>39.058999999999997</v>
      </c>
      <c r="I999" s="10">
        <f>CHOOSE(CONTROL!$C$42, 39.0035, 39.0035)* CHOOSE(CONTROL!$C$21, $C$9, 100%, $E$9)</f>
        <v>39.003500000000003</v>
      </c>
      <c r="J999" s="10">
        <f>CHOOSE(CONTROL!$C$42, 38.9682, 38.9682)* CHOOSE(CONTROL!$C$21, $C$9, 100%, $E$9)</f>
        <v>38.968200000000003</v>
      </c>
      <c r="K999" s="10">
        <f>CHOOSE(CONTROL!$C$42, 37.9582, 37.9582) * CHOOSE(CONTROL!$C$21, $C$9, 100%, $E$9)</f>
        <v>37.958199999999998</v>
      </c>
      <c r="L999" s="10">
        <f>CHOOSE(CONTROL!$C$42, 39.646, 39.646) * CHOOSE(CONTROL!$C$21, $C$9, 100%, $E$9)</f>
        <v>39.646000000000001</v>
      </c>
      <c r="M999" s="10">
        <f>CHOOSE(CONTROL!$C$42, 38.4968, 38.4968) * CHOOSE(CONTROL!$C$21, $C$9, 100%, $E$9)</f>
        <v>38.4968</v>
      </c>
      <c r="N999" s="10">
        <f>CHOOSE(CONTROL!$C$42, 38.5149, 38.5149) * CHOOSE(CONTROL!$C$21, $C$9, 100%, $E$9)</f>
        <v>38.514899999999997</v>
      </c>
      <c r="O999" s="10">
        <f>CHOOSE(CONTROL!$C$42, 38.5864, 38.5864) * CHOOSE(CONTROL!$C$21, $C$9, 100%, $E$9)</f>
        <v>38.586399999999998</v>
      </c>
      <c r="P999" s="10">
        <f>CHOOSE(CONTROL!$C$42, 38.5317, 38.5317) * CHOOSE(CONTROL!$C$21, $C$9, 100%, $E$9)</f>
        <v>38.531700000000001</v>
      </c>
      <c r="Q999" s="10">
        <f>CHOOSE(CONTROL!$C$42, 39.1817, 39.1817) * CHOOSE(CONTROL!$C$21, $C$9, 100%, $E$9)</f>
        <v>39.181699999999999</v>
      </c>
      <c r="R999" s="10">
        <f>CHOOSE(CONTROL!$C$42, 39.8667, 39.8667) * CHOOSE(CONTROL!$C$21, $C$9, 100%, $E$9)</f>
        <v>39.866700000000002</v>
      </c>
      <c r="S999" s="10">
        <f>CHOOSE(CONTROL!$C$42, 37.7767, 37.7767) * CHOOSE(CONTROL!$C$21, $C$9, 100%, $E$9)</f>
        <v>37.776699999999998</v>
      </c>
      <c r="T999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38">
        <f>(1000*CHOOSE(CONTROL!$C$42, 695, 695)*CHOOSE(CONTROL!$C$42, 0.5599, 0.5599)*CHOOSE(CONTROL!$C$42, 31, 31))/1000000</f>
        <v>12.063045499999998</v>
      </c>
      <c r="V999" s="38">
        <f>(1000*CHOOSE(CONTROL!$C$42, 500, 500)*CHOOSE(CONTROL!$C$42, 0.275, 0.275)*CHOOSE(CONTROL!$C$42, 31, 31))/1000000</f>
        <v>4.2625000000000002</v>
      </c>
      <c r="W999" s="38">
        <f>(1000*CHOOSE(CONTROL!$C$42, 0.1146, 0.1146)*CHOOSE(CONTROL!$C$42, 121.5, 121.5)*CHOOSE(CONTROL!$C$42, 31, 31))/1000000</f>
        <v>0.43164089999999994</v>
      </c>
      <c r="X999" s="38">
        <f>(31*0.1790888*100000/1000000)+(31*0.2374*100000/1000000)</f>
        <v>1.2911152800000001</v>
      </c>
      <c r="Y999" s="38">
        <f>(1000*600*CHOOSE(CONTROL!$C$42, 1.0585, 1.0585)*CHOOSE(CONTROL!$C$42, 31, 31))/1000000</f>
        <v>19.688099999999999</v>
      </c>
      <c r="Z999" s="38"/>
      <c r="AA999" s="10"/>
      <c r="AB999" s="39"/>
      <c r="AC999" s="33">
        <f>(B999*122.58+C999*297.941+D999*89.177+E999*40.302+F999*40+G999*160+H999*0+I999*100+J999*300)/(122.58+297.941+89.177+40.302+0+40+160+100+300)</f>
        <v>38.995539793478265</v>
      </c>
      <c r="AD999" s="27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38.543473381294966</v>
      </c>
    </row>
    <row r="1000" spans="1:30" ht="15.75" x14ac:dyDescent="0.25">
      <c r="A1000" s="13">
        <v>71710</v>
      </c>
      <c r="B1000" s="10">
        <f>CHOOSE(CONTROL!$C$42, 38.8802, 38.8802) * CHOOSE(CONTROL!$C$21, $C$9, 100%, $E$9)</f>
        <v>38.880200000000002</v>
      </c>
      <c r="C1000" s="10">
        <f>CHOOSE(CONTROL!$C$42, 38.8847, 38.8847) * CHOOSE(CONTROL!$C$21, $C$9, 100%, $E$9)</f>
        <v>38.884700000000002</v>
      </c>
      <c r="D1000" s="10">
        <f>CHOOSE(CONTROL!$C$42, 39.0629, 39.0629) * CHOOSE(CONTROL!$C$21, $C$9, 100%, $E$9)</f>
        <v>39.062899999999999</v>
      </c>
      <c r="E1000" s="10">
        <f>CHOOSE(CONTROL!$C$42, 39.0948, 39.0948) * CHOOSE(CONTROL!$C$21, $C$9, 100%, $E$9)</f>
        <v>39.094799999999999</v>
      </c>
      <c r="F1000" s="10">
        <f>CHOOSE(CONTROL!$C$42, 38.8236, 38.8236)*CHOOSE(CONTROL!$C$21, $C$9, 100%, $E$9)</f>
        <v>38.823599999999999</v>
      </c>
      <c r="G1000" s="10">
        <f>CHOOSE(CONTROL!$C$42, 38.8402, 38.8402)*CHOOSE(CONTROL!$C$21, $C$9, 100%, $E$9)</f>
        <v>38.840200000000003</v>
      </c>
      <c r="H1000" s="10">
        <f>CHOOSE(CONTROL!$C$42, 39.0842, 39.0842) * CHOOSE(CONTROL!$C$21, $C$9, 100%, $E$9)</f>
        <v>39.084200000000003</v>
      </c>
      <c r="I1000" s="10">
        <f>CHOOSE(CONTROL!$C$42, 38.8562, 38.8562)* CHOOSE(CONTROL!$C$21, $C$9, 100%, $E$9)</f>
        <v>38.856200000000001</v>
      </c>
      <c r="J1000" s="10">
        <f>CHOOSE(CONTROL!$C$42, 38.8162, 38.8162)* CHOOSE(CONTROL!$C$21, $C$9, 100%, $E$9)</f>
        <v>38.816200000000002</v>
      </c>
      <c r="K1000" s="10">
        <f>CHOOSE(CONTROL!$C$42, 37.8008, 37.8008) * CHOOSE(CONTROL!$C$21, $C$9, 100%, $E$9)</f>
        <v>37.800800000000002</v>
      </c>
      <c r="L1000" s="10">
        <f>CHOOSE(CONTROL!$C$42, 39.6712, 39.6712) * CHOOSE(CONTROL!$C$21, $C$9, 100%, $E$9)</f>
        <v>39.671199999999999</v>
      </c>
      <c r="M1000" s="10">
        <f>CHOOSE(CONTROL!$C$42, 38.3468, 38.3468) * CHOOSE(CONTROL!$C$21, $C$9, 100%, $E$9)</f>
        <v>38.346800000000002</v>
      </c>
      <c r="N1000" s="10">
        <f>CHOOSE(CONTROL!$C$42, 38.3632, 38.3632) * CHOOSE(CONTROL!$C$21, $C$9, 100%, $E$9)</f>
        <v>38.363199999999999</v>
      </c>
      <c r="O1000" s="10">
        <f>CHOOSE(CONTROL!$C$42, 38.6113, 38.6113) * CHOOSE(CONTROL!$C$21, $C$9, 100%, $E$9)</f>
        <v>38.6113</v>
      </c>
      <c r="P1000" s="10">
        <f>CHOOSE(CONTROL!$C$42, 38.3863, 38.3863) * CHOOSE(CONTROL!$C$21, $C$9, 100%, $E$9)</f>
        <v>38.386299999999999</v>
      </c>
      <c r="Q1000" s="10">
        <f>CHOOSE(CONTROL!$C$42, 39.2066, 39.2066) * CHOOSE(CONTROL!$C$21, $C$9, 100%, $E$9)</f>
        <v>39.206600000000002</v>
      </c>
      <c r="R1000" s="10">
        <f>CHOOSE(CONTROL!$C$42, 39.8916, 39.8916) * CHOOSE(CONTROL!$C$21, $C$9, 100%, $E$9)</f>
        <v>39.891599999999997</v>
      </c>
      <c r="S1000" s="10">
        <f>CHOOSE(CONTROL!$C$42, 37.6636, 37.6636) * CHOOSE(CONTROL!$C$21, $C$9, 100%, $E$9)</f>
        <v>37.663600000000002</v>
      </c>
      <c r="T1000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38">
        <f>(1000*CHOOSE(CONTROL!$C$42, 695, 695)*CHOOSE(CONTROL!$C$42, 0.5599, 0.5599)*CHOOSE(CONTROL!$C$42, 30, 30))/1000000</f>
        <v>11.673914999999997</v>
      </c>
      <c r="V1000" s="38">
        <f>(1000*CHOOSE(CONTROL!$C$42, 500, 500)*CHOOSE(CONTROL!$C$42, 0.275, 0.275)*CHOOSE(CONTROL!$C$42, 30, 30))/1000000</f>
        <v>4.125</v>
      </c>
      <c r="W1000" s="38">
        <f>(1000*CHOOSE(CONTROL!$C$42, 0.1146, 0.1146)*CHOOSE(CONTROL!$C$42, 121.5, 121.5)*CHOOSE(CONTROL!$C$42, 30, 30))/1000000</f>
        <v>0.417717</v>
      </c>
      <c r="X1000" s="38">
        <f>(30*0.1790888*245000/1000000)+(30*0.2374*100000/1000000)</f>
        <v>2.0285026799999999</v>
      </c>
      <c r="Y1000" s="38">
        <f>(1000*600*CHOOSE(CONTROL!$C$42, 1.0585, 1.0585)*CHOOSE(CONTROL!$C$42, 30, 30))/1000000</f>
        <v>19.053000000000001</v>
      </c>
      <c r="Z1000" s="38"/>
      <c r="AA1000" s="10"/>
      <c r="AB1000" s="39"/>
      <c r="AC1000" s="33">
        <f>(B1000*141.293+C1000*267.993+D1000*115.016+E1000*89.698+F1000*40+G1000*185+H1000*0+I1000*100+J1000*300)/(141.293+267.993+115.016+89.698+0+40+185+100+300)</f>
        <v>38.888436144067796</v>
      </c>
      <c r="AD1000" s="27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38.473308633093524</v>
      </c>
    </row>
    <row r="1001" spans="1:30" ht="15.75" x14ac:dyDescent="0.25">
      <c r="A1001" s="13">
        <v>71741</v>
      </c>
      <c r="B1001" s="10">
        <f>CHOOSE(CONTROL!$C$42, 39.2253, 39.2253) * CHOOSE(CONTROL!$C$21, $C$9, 100%, $E$9)</f>
        <v>39.225299999999997</v>
      </c>
      <c r="C1001" s="10">
        <f>CHOOSE(CONTROL!$C$42, 39.2332, 39.2332) * CHOOSE(CONTROL!$C$21, $C$9, 100%, $E$9)</f>
        <v>39.233199999999997</v>
      </c>
      <c r="D1001" s="10">
        <f>CHOOSE(CONTROL!$C$42, 39.4084, 39.4084) * CHOOSE(CONTROL!$C$21, $C$9, 100%, $E$9)</f>
        <v>39.4084</v>
      </c>
      <c r="E1001" s="10">
        <f>CHOOSE(CONTROL!$C$42, 39.4396, 39.4396) * CHOOSE(CONTROL!$C$21, $C$9, 100%, $E$9)</f>
        <v>39.439599999999999</v>
      </c>
      <c r="F1001" s="10">
        <f>CHOOSE(CONTROL!$C$42, 39.1669, 39.1669)*CHOOSE(CONTROL!$C$21, $C$9, 100%, $E$9)</f>
        <v>39.166899999999998</v>
      </c>
      <c r="G1001" s="10">
        <f>CHOOSE(CONTROL!$C$42, 39.1838, 39.1838)*CHOOSE(CONTROL!$C$21, $C$9, 100%, $E$9)</f>
        <v>39.183799999999998</v>
      </c>
      <c r="H1001" s="10">
        <f>CHOOSE(CONTROL!$C$42, 39.4279, 39.4279) * CHOOSE(CONTROL!$C$21, $C$9, 100%, $E$9)</f>
        <v>39.427900000000001</v>
      </c>
      <c r="I1001" s="10">
        <f>CHOOSE(CONTROL!$C$42, 39.1999, 39.1999)* CHOOSE(CONTROL!$C$21, $C$9, 100%, $E$9)</f>
        <v>39.1999</v>
      </c>
      <c r="J1001" s="10">
        <f>CHOOSE(CONTROL!$C$42, 39.1595, 39.1595)* CHOOSE(CONTROL!$C$21, $C$9, 100%, $E$9)</f>
        <v>39.159500000000001</v>
      </c>
      <c r="K1001" s="10">
        <f>CHOOSE(CONTROL!$C$42, 38.1329, 38.1329) * CHOOSE(CONTROL!$C$21, $C$9, 100%, $E$9)</f>
        <v>38.132899999999999</v>
      </c>
      <c r="L1001" s="10">
        <f>CHOOSE(CONTROL!$C$42, 40.0149, 40.0149) * CHOOSE(CONTROL!$C$21, $C$9, 100%, $E$9)</f>
        <v>40.014899999999997</v>
      </c>
      <c r="M1001" s="10">
        <f>CHOOSE(CONTROL!$C$42, 38.6856, 38.6856) * CHOOSE(CONTROL!$C$21, $C$9, 100%, $E$9)</f>
        <v>38.685600000000001</v>
      </c>
      <c r="N1001" s="10">
        <f>CHOOSE(CONTROL!$C$42, 38.7023, 38.7023) * CHOOSE(CONTROL!$C$21, $C$9, 100%, $E$9)</f>
        <v>38.702300000000001</v>
      </c>
      <c r="O1001" s="10">
        <f>CHOOSE(CONTROL!$C$42, 38.9505, 38.9505) * CHOOSE(CONTROL!$C$21, $C$9, 100%, $E$9)</f>
        <v>38.950499999999998</v>
      </c>
      <c r="P1001" s="10">
        <f>CHOOSE(CONTROL!$C$42, 38.7255, 38.7255) * CHOOSE(CONTROL!$C$21, $C$9, 100%, $E$9)</f>
        <v>38.725499999999997</v>
      </c>
      <c r="Q1001" s="10">
        <f>CHOOSE(CONTROL!$C$42, 39.5458, 39.5458) * CHOOSE(CONTROL!$C$21, $C$9, 100%, $E$9)</f>
        <v>39.5458</v>
      </c>
      <c r="R1001" s="10">
        <f>CHOOSE(CONTROL!$C$42, 40.2317, 40.2317) * CHOOSE(CONTROL!$C$21, $C$9, 100%, $E$9)</f>
        <v>40.231699999999996</v>
      </c>
      <c r="S1001" s="10">
        <f>CHOOSE(CONTROL!$C$42, 37.9964, 37.9964) * CHOOSE(CONTROL!$C$21, $C$9, 100%, $E$9)</f>
        <v>37.996400000000001</v>
      </c>
      <c r="T1001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38">
        <f>(1000*CHOOSE(CONTROL!$C$42, 695, 695)*CHOOSE(CONTROL!$C$42, 0.5599, 0.5599)*CHOOSE(CONTROL!$C$42, 31, 31))/1000000</f>
        <v>12.063045499999998</v>
      </c>
      <c r="V1001" s="38">
        <f>(1000*CHOOSE(CONTROL!$C$42, 500, 500)*CHOOSE(CONTROL!$C$42, 0.275, 0.275)*CHOOSE(CONTROL!$C$42, 31, 31))/1000000</f>
        <v>4.2625000000000002</v>
      </c>
      <c r="W1001" s="38">
        <f>(1000*CHOOSE(CONTROL!$C$42, 0.1146, 0.1146)*CHOOSE(CONTROL!$C$42, 121.5, 121.5)*CHOOSE(CONTROL!$C$42, 31, 31))/1000000</f>
        <v>0.43164089999999994</v>
      </c>
      <c r="X1001" s="38">
        <f>(31*0.1790888*245000/1000000)+(31*0.2374*100000/1000000)</f>
        <v>2.0961194359999999</v>
      </c>
      <c r="Y1001" s="38">
        <f>(1000*600*CHOOSE(CONTROL!$C$42, 1.0585, 1.0585)*CHOOSE(CONTROL!$C$42, 31, 31))/1000000</f>
        <v>19.688099999999999</v>
      </c>
      <c r="Z1001" s="38"/>
      <c r="AA1001" s="10"/>
      <c r="AB1001" s="39"/>
      <c r="AC1001" s="33">
        <f>(B1001*194.205+C1001*267.466+D1001*133.845+E1001*53.484+F1001*40+G1001*185+H1001*0+I1001*100+J1001*300)/(194.205+267.466+133.845+53.484+0+40+185+100+300)</f>
        <v>39.229843266954468</v>
      </c>
      <c r="AD1001" s="27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38.812364748201439</v>
      </c>
    </row>
    <row r="1002" spans="1:30" ht="15.75" x14ac:dyDescent="0.25">
      <c r="A1002" s="13">
        <v>71771</v>
      </c>
      <c r="B1002" s="10">
        <f>CHOOSE(CONTROL!$C$42, 40.3383, 40.3383) * CHOOSE(CONTROL!$C$21, $C$9, 100%, $E$9)</f>
        <v>40.338299999999997</v>
      </c>
      <c r="C1002" s="10">
        <f>CHOOSE(CONTROL!$C$42, 40.3463, 40.3463) * CHOOSE(CONTROL!$C$21, $C$9, 100%, $E$9)</f>
        <v>40.346299999999999</v>
      </c>
      <c r="D1002" s="10">
        <f>CHOOSE(CONTROL!$C$42, 40.5214, 40.5214) * CHOOSE(CONTROL!$C$21, $C$9, 100%, $E$9)</f>
        <v>40.5214</v>
      </c>
      <c r="E1002" s="10">
        <f>CHOOSE(CONTROL!$C$42, 40.5527, 40.5527) * CHOOSE(CONTROL!$C$21, $C$9, 100%, $E$9)</f>
        <v>40.552700000000002</v>
      </c>
      <c r="F1002" s="10">
        <f>CHOOSE(CONTROL!$C$42, 40.2802, 40.2802)*CHOOSE(CONTROL!$C$21, $C$9, 100%, $E$9)</f>
        <v>40.280200000000001</v>
      </c>
      <c r="G1002" s="10">
        <f>CHOOSE(CONTROL!$C$42, 40.2971, 40.2971)*CHOOSE(CONTROL!$C$21, $C$9, 100%, $E$9)</f>
        <v>40.2971</v>
      </c>
      <c r="H1002" s="10">
        <f>CHOOSE(CONTROL!$C$42, 40.541, 40.541) * CHOOSE(CONTROL!$C$21, $C$9, 100%, $E$9)</f>
        <v>40.540999999999997</v>
      </c>
      <c r="I1002" s="10">
        <f>CHOOSE(CONTROL!$C$42, 40.313, 40.313)* CHOOSE(CONTROL!$C$21, $C$9, 100%, $E$9)</f>
        <v>40.313000000000002</v>
      </c>
      <c r="J1002" s="10">
        <f>CHOOSE(CONTROL!$C$42, 40.2728, 40.2728)* CHOOSE(CONTROL!$C$21, $C$9, 100%, $E$9)</f>
        <v>40.272799999999997</v>
      </c>
      <c r="K1002" s="10">
        <f>CHOOSE(CONTROL!$C$42, 39.2116, 39.2116) * CHOOSE(CONTROL!$C$21, $C$9, 100%, $E$9)</f>
        <v>39.211599999999997</v>
      </c>
      <c r="L1002" s="10">
        <f>CHOOSE(CONTROL!$C$42, 41.128, 41.128) * CHOOSE(CONTROL!$C$21, $C$9, 100%, $E$9)</f>
        <v>41.128</v>
      </c>
      <c r="M1002" s="10">
        <f>CHOOSE(CONTROL!$C$42, 39.7845, 39.7845) * CHOOSE(CONTROL!$C$21, $C$9, 100%, $E$9)</f>
        <v>39.784500000000001</v>
      </c>
      <c r="N1002" s="10">
        <f>CHOOSE(CONTROL!$C$42, 39.8012, 39.8012) * CHOOSE(CONTROL!$C$21, $C$9, 100%, $E$9)</f>
        <v>39.801200000000001</v>
      </c>
      <c r="O1002" s="10">
        <f>CHOOSE(CONTROL!$C$42, 40.0492, 40.0492) * CHOOSE(CONTROL!$C$21, $C$9, 100%, $E$9)</f>
        <v>40.049199999999999</v>
      </c>
      <c r="P1002" s="10">
        <f>CHOOSE(CONTROL!$C$42, 39.8242, 39.8242) * CHOOSE(CONTROL!$C$21, $C$9, 100%, $E$9)</f>
        <v>39.824199999999998</v>
      </c>
      <c r="Q1002" s="10">
        <f>CHOOSE(CONTROL!$C$42, 40.6445, 40.6445) * CHOOSE(CONTROL!$C$21, $C$9, 100%, $E$9)</f>
        <v>40.644500000000001</v>
      </c>
      <c r="R1002" s="10">
        <f>CHOOSE(CONTROL!$C$42, 41.3331, 41.3331) * CHOOSE(CONTROL!$C$21, $C$9, 100%, $E$9)</f>
        <v>41.333100000000002</v>
      </c>
      <c r="S1002" s="10">
        <f>CHOOSE(CONTROL!$C$42, 39.0742, 39.0742) * CHOOSE(CONTROL!$C$21, $C$9, 100%, $E$9)</f>
        <v>39.074199999999998</v>
      </c>
      <c r="T1002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38">
        <f>(1000*CHOOSE(CONTROL!$C$42, 695, 695)*CHOOSE(CONTROL!$C$42, 0.5599, 0.5599)*CHOOSE(CONTROL!$C$42, 30, 30))/1000000</f>
        <v>11.673914999999997</v>
      </c>
      <c r="V1002" s="38">
        <f>(1000*CHOOSE(CONTROL!$C$42, 500, 500)*CHOOSE(CONTROL!$C$42, 0.275, 0.275)*CHOOSE(CONTROL!$C$42, 30, 30))/1000000</f>
        <v>4.125</v>
      </c>
      <c r="W1002" s="38">
        <f>(1000*CHOOSE(CONTROL!$C$42, 0.1146, 0.1146)*CHOOSE(CONTROL!$C$42, 121.5, 121.5)*CHOOSE(CONTROL!$C$42, 30, 30))/1000000</f>
        <v>0.417717</v>
      </c>
      <c r="X1002" s="38">
        <f>(30*0.1790888*245000/1000000)+(30*0.2374*100000/1000000)</f>
        <v>2.0285026799999999</v>
      </c>
      <c r="Y1002" s="38">
        <f>(1000*600*CHOOSE(CONTROL!$C$42, 1.0585, 1.0585)*CHOOSE(CONTROL!$C$42, 30, 30))/1000000</f>
        <v>19.053000000000001</v>
      </c>
      <c r="Z1002" s="38"/>
      <c r="AA1002" s="10"/>
      <c r="AB1002" s="39"/>
      <c r="AC1002" s="33">
        <f>(B1002*194.205+C1002*267.466+D1002*133.845+E1002*53.484+F1002*40+G1002*185+H1002*0+I1002*100+J1002*300)/(194.205+267.466+133.845+53.484+0+40+185+100+300)</f>
        <v>40.342999934929352</v>
      </c>
      <c r="AD1002" s="27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39.911145323741003</v>
      </c>
    </row>
    <row r="1003" spans="1:30" ht="15.75" x14ac:dyDescent="0.25">
      <c r="A1003" s="13">
        <v>71802</v>
      </c>
      <c r="B1003" s="10">
        <f>CHOOSE(CONTROL!$C$42, 39.5642, 39.5642) * CHOOSE(CONTROL!$C$21, $C$9, 100%, $E$9)</f>
        <v>39.5642</v>
      </c>
      <c r="C1003" s="10">
        <f>CHOOSE(CONTROL!$C$42, 39.5722, 39.5722) * CHOOSE(CONTROL!$C$21, $C$9, 100%, $E$9)</f>
        <v>39.572200000000002</v>
      </c>
      <c r="D1003" s="10">
        <f>CHOOSE(CONTROL!$C$42, 39.7473, 39.7473) * CHOOSE(CONTROL!$C$21, $C$9, 100%, $E$9)</f>
        <v>39.747300000000003</v>
      </c>
      <c r="E1003" s="10">
        <f>CHOOSE(CONTROL!$C$42, 39.7785, 39.7785) * CHOOSE(CONTROL!$C$21, $C$9, 100%, $E$9)</f>
        <v>39.778500000000001</v>
      </c>
      <c r="F1003" s="10">
        <f>CHOOSE(CONTROL!$C$42, 39.5064, 39.5064)*CHOOSE(CONTROL!$C$21, $C$9, 100%, $E$9)</f>
        <v>39.506399999999999</v>
      </c>
      <c r="G1003" s="10">
        <f>CHOOSE(CONTROL!$C$42, 39.5234, 39.5234)*CHOOSE(CONTROL!$C$21, $C$9, 100%, $E$9)</f>
        <v>39.523400000000002</v>
      </c>
      <c r="H1003" s="10">
        <f>CHOOSE(CONTROL!$C$42, 39.7668, 39.7668) * CHOOSE(CONTROL!$C$21, $C$9, 100%, $E$9)</f>
        <v>39.766800000000003</v>
      </c>
      <c r="I1003" s="10">
        <f>CHOOSE(CONTROL!$C$42, 39.5388, 39.5388)* CHOOSE(CONTROL!$C$21, $C$9, 100%, $E$9)</f>
        <v>39.538800000000002</v>
      </c>
      <c r="J1003" s="10">
        <f>CHOOSE(CONTROL!$C$42, 39.499, 39.499)* CHOOSE(CONTROL!$C$21, $C$9, 100%, $E$9)</f>
        <v>39.499000000000002</v>
      </c>
      <c r="K1003" s="10">
        <f>CHOOSE(CONTROL!$C$42, 38.4624, 38.4624) * CHOOSE(CONTROL!$C$21, $C$9, 100%, $E$9)</f>
        <v>38.462400000000002</v>
      </c>
      <c r="L1003" s="10">
        <f>CHOOSE(CONTROL!$C$42, 40.3538, 40.3538) * CHOOSE(CONTROL!$C$21, $C$9, 100%, $E$9)</f>
        <v>40.3538</v>
      </c>
      <c r="M1003" s="10">
        <f>CHOOSE(CONTROL!$C$42, 39.0207, 39.0207) * CHOOSE(CONTROL!$C$21, $C$9, 100%, $E$9)</f>
        <v>39.020699999999998</v>
      </c>
      <c r="N1003" s="10">
        <f>CHOOSE(CONTROL!$C$42, 39.0375, 39.0375) * CHOOSE(CONTROL!$C$21, $C$9, 100%, $E$9)</f>
        <v>39.037500000000001</v>
      </c>
      <c r="O1003" s="10">
        <f>CHOOSE(CONTROL!$C$42, 39.2851, 39.2851) * CHOOSE(CONTROL!$C$21, $C$9, 100%, $E$9)</f>
        <v>39.2851</v>
      </c>
      <c r="P1003" s="10">
        <f>CHOOSE(CONTROL!$C$42, 39.0601, 39.0601) * CHOOSE(CONTROL!$C$21, $C$9, 100%, $E$9)</f>
        <v>39.060099999999998</v>
      </c>
      <c r="Q1003" s="10">
        <f>CHOOSE(CONTROL!$C$42, 39.8804, 39.8804) * CHOOSE(CONTROL!$C$21, $C$9, 100%, $E$9)</f>
        <v>39.880400000000002</v>
      </c>
      <c r="R1003" s="10">
        <f>CHOOSE(CONTROL!$C$42, 40.5671, 40.5671) * CHOOSE(CONTROL!$C$21, $C$9, 100%, $E$9)</f>
        <v>40.567100000000003</v>
      </c>
      <c r="S1003" s="10">
        <f>CHOOSE(CONTROL!$C$42, 38.3246, 38.3246) * CHOOSE(CONTROL!$C$21, $C$9, 100%, $E$9)</f>
        <v>38.324599999999997</v>
      </c>
      <c r="T1003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38">
        <f>(1000*CHOOSE(CONTROL!$C$42, 695, 695)*CHOOSE(CONTROL!$C$42, 0.5599, 0.5599)*CHOOSE(CONTROL!$C$42, 31, 31))/1000000</f>
        <v>12.063045499999998</v>
      </c>
      <c r="V1003" s="38">
        <f>(1000*CHOOSE(CONTROL!$C$42, 500, 500)*CHOOSE(CONTROL!$C$42, 0.275, 0.275)*CHOOSE(CONTROL!$C$42, 31, 31))/1000000</f>
        <v>4.2625000000000002</v>
      </c>
      <c r="W1003" s="38">
        <f>(1000*CHOOSE(CONTROL!$C$42, 0.1146, 0.1146)*CHOOSE(CONTROL!$C$42, 121.5, 121.5)*CHOOSE(CONTROL!$C$42, 31, 31))/1000000</f>
        <v>0.43164089999999994</v>
      </c>
      <c r="X1003" s="38">
        <f>(31*0.1790888*245000/1000000)+(31*0.2374*100000/1000000)</f>
        <v>2.0961194359999999</v>
      </c>
      <c r="Y1003" s="38">
        <f>(1000*600*CHOOSE(CONTROL!$C$42, 1.0585, 1.0585)*CHOOSE(CONTROL!$C$42, 31, 31))/1000000</f>
        <v>19.688099999999999</v>
      </c>
      <c r="Z1003" s="38"/>
      <c r="AA1003" s="10"/>
      <c r="AB1003" s="39"/>
      <c r="AC1003" s="33">
        <f>(B1003*194.205+C1003*267.466+D1003*133.845+E1003*53.484+F1003*40+G1003*185+H1003*0+I1003*100+J1003*300)/(194.205+267.466+133.845+53.484+0+40+185+100+300)</f>
        <v>39.569026035086345</v>
      </c>
      <c r="AD1003" s="27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39.147171942446043</v>
      </c>
    </row>
    <row r="1004" spans="1:30" ht="15.75" x14ac:dyDescent="0.25">
      <c r="A1004" s="13">
        <v>71833</v>
      </c>
      <c r="B1004" s="10">
        <f>CHOOSE(CONTROL!$C$42, 37.6092, 37.6092) * CHOOSE(CONTROL!$C$21, $C$9, 100%, $E$9)</f>
        <v>37.609200000000001</v>
      </c>
      <c r="C1004" s="10">
        <f>CHOOSE(CONTROL!$C$42, 37.6172, 37.6172) * CHOOSE(CONTROL!$C$21, $C$9, 100%, $E$9)</f>
        <v>37.617199999999997</v>
      </c>
      <c r="D1004" s="10">
        <f>CHOOSE(CONTROL!$C$42, 37.7923, 37.7923) * CHOOSE(CONTROL!$C$21, $C$9, 100%, $E$9)</f>
        <v>37.792299999999997</v>
      </c>
      <c r="E1004" s="10">
        <f>CHOOSE(CONTROL!$C$42, 37.8235, 37.8235) * CHOOSE(CONTROL!$C$21, $C$9, 100%, $E$9)</f>
        <v>37.823500000000003</v>
      </c>
      <c r="F1004" s="10">
        <f>CHOOSE(CONTROL!$C$42, 37.5513, 37.5513)*CHOOSE(CONTROL!$C$21, $C$9, 100%, $E$9)</f>
        <v>37.551299999999998</v>
      </c>
      <c r="G1004" s="10">
        <f>CHOOSE(CONTROL!$C$42, 37.5683, 37.5683)*CHOOSE(CONTROL!$C$21, $C$9, 100%, $E$9)</f>
        <v>37.568300000000001</v>
      </c>
      <c r="H1004" s="10">
        <f>CHOOSE(CONTROL!$C$42, 37.8119, 37.8119) * CHOOSE(CONTROL!$C$21, $C$9, 100%, $E$9)</f>
        <v>37.811900000000001</v>
      </c>
      <c r="I1004" s="10">
        <f>CHOOSE(CONTROL!$C$42, 37.5839, 37.5839)* CHOOSE(CONTROL!$C$21, $C$9, 100%, $E$9)</f>
        <v>37.5839</v>
      </c>
      <c r="J1004" s="10">
        <f>CHOOSE(CONTROL!$C$42, 37.5439, 37.5439)* CHOOSE(CONTROL!$C$21, $C$9, 100%, $E$9)</f>
        <v>37.543900000000001</v>
      </c>
      <c r="K1004" s="10">
        <f>CHOOSE(CONTROL!$C$42, 36.5682, 36.5682) * CHOOSE(CONTROL!$C$21, $C$9, 100%, $E$9)</f>
        <v>36.568199999999997</v>
      </c>
      <c r="L1004" s="10">
        <f>CHOOSE(CONTROL!$C$42, 38.3989, 38.3989) * CHOOSE(CONTROL!$C$21, $C$9, 100%, $E$9)</f>
        <v>38.398899999999998</v>
      </c>
      <c r="M1004" s="10">
        <f>CHOOSE(CONTROL!$C$42, 37.0909, 37.0909) * CHOOSE(CONTROL!$C$21, $C$9, 100%, $E$9)</f>
        <v>37.090899999999998</v>
      </c>
      <c r="N1004" s="10">
        <f>CHOOSE(CONTROL!$C$42, 37.1077, 37.1077) * CHOOSE(CONTROL!$C$21, $C$9, 100%, $E$9)</f>
        <v>37.107700000000001</v>
      </c>
      <c r="O1004" s="10">
        <f>CHOOSE(CONTROL!$C$42, 37.3554, 37.3554) * CHOOSE(CONTROL!$C$21, $C$9, 100%, $E$9)</f>
        <v>37.355400000000003</v>
      </c>
      <c r="P1004" s="10">
        <f>CHOOSE(CONTROL!$C$42, 37.1304, 37.1304) * CHOOSE(CONTROL!$C$21, $C$9, 100%, $E$9)</f>
        <v>37.130400000000002</v>
      </c>
      <c r="Q1004" s="10">
        <f>CHOOSE(CONTROL!$C$42, 37.9507, 37.9507) * CHOOSE(CONTROL!$C$21, $C$9, 100%, $E$9)</f>
        <v>37.950699999999998</v>
      </c>
      <c r="R1004" s="10">
        <f>CHOOSE(CONTROL!$C$42, 38.6326, 38.6326) * CHOOSE(CONTROL!$C$21, $C$9, 100%, $E$9)</f>
        <v>38.632599999999996</v>
      </c>
      <c r="S1004" s="10">
        <f>CHOOSE(CONTROL!$C$42, 36.4316, 36.4316) * CHOOSE(CONTROL!$C$21, $C$9, 100%, $E$9)</f>
        <v>36.431600000000003</v>
      </c>
      <c r="T1004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38">
        <f>(1000*CHOOSE(CONTROL!$C$42, 695, 695)*CHOOSE(CONTROL!$C$42, 0.5599, 0.5599)*CHOOSE(CONTROL!$C$42, 31, 31))/1000000</f>
        <v>12.063045499999998</v>
      </c>
      <c r="V1004" s="38">
        <f>(1000*CHOOSE(CONTROL!$C$42, 500, 500)*CHOOSE(CONTROL!$C$42, 0.275, 0.275)*CHOOSE(CONTROL!$C$42, 31, 31))/1000000</f>
        <v>4.2625000000000002</v>
      </c>
      <c r="W1004" s="38">
        <f>(1000*CHOOSE(CONTROL!$C$42, 0.1146, 0.1146)*CHOOSE(CONTROL!$C$42, 121.5, 121.5)*CHOOSE(CONTROL!$C$42, 31, 31))/1000000</f>
        <v>0.43164089999999994</v>
      </c>
      <c r="X1004" s="38">
        <f>(31*0.1790888*245000/1000000)+(31*0.2374*100000/1000000)</f>
        <v>2.0961194359999999</v>
      </c>
      <c r="Y1004" s="38">
        <f>(1000*600*CHOOSE(CONTROL!$C$42, 1.0585, 1.0585)*CHOOSE(CONTROL!$C$42, 31, 31))/1000000</f>
        <v>19.688099999999999</v>
      </c>
      <c r="Z1004" s="38"/>
      <c r="AA1004" s="10"/>
      <c r="AB1004" s="39"/>
      <c r="AC1004" s="33">
        <f>(B1004*194.205+C1004*267.466+D1004*133.845+E1004*53.484+F1004*40+G1004*185+H1004*0+I1004*100+J1004*300)/(194.205+267.466+133.845+53.484+0+40+185+100+300)</f>
        <v>37.61399267558869</v>
      </c>
      <c r="AD1004" s="27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37.217431654676261</v>
      </c>
    </row>
    <row r="1005" spans="1:30" ht="15.75" x14ac:dyDescent="0.25">
      <c r="A1005" s="13">
        <v>71863</v>
      </c>
      <c r="B1005" s="10">
        <f>CHOOSE(CONTROL!$C$42, 35.2206, 35.2206) * CHOOSE(CONTROL!$C$21, $C$9, 100%, $E$9)</f>
        <v>35.220599999999997</v>
      </c>
      <c r="C1005" s="10">
        <f>CHOOSE(CONTROL!$C$42, 35.2286, 35.2286) * CHOOSE(CONTROL!$C$21, $C$9, 100%, $E$9)</f>
        <v>35.2286</v>
      </c>
      <c r="D1005" s="10">
        <f>CHOOSE(CONTROL!$C$42, 35.4037, 35.4037) * CHOOSE(CONTROL!$C$21, $C$9, 100%, $E$9)</f>
        <v>35.403700000000001</v>
      </c>
      <c r="E1005" s="10">
        <f>CHOOSE(CONTROL!$C$42, 35.4349, 35.4349) * CHOOSE(CONTROL!$C$21, $C$9, 100%, $E$9)</f>
        <v>35.434899999999999</v>
      </c>
      <c r="F1005" s="10">
        <f>CHOOSE(CONTROL!$C$42, 35.1624, 35.1624)*CHOOSE(CONTROL!$C$21, $C$9, 100%, $E$9)</f>
        <v>35.162399999999998</v>
      </c>
      <c r="G1005" s="10">
        <f>CHOOSE(CONTROL!$C$42, 35.1793, 35.1793)*CHOOSE(CONTROL!$C$21, $C$9, 100%, $E$9)</f>
        <v>35.179299999999998</v>
      </c>
      <c r="H1005" s="10">
        <f>CHOOSE(CONTROL!$C$42, 35.4233, 35.4233) * CHOOSE(CONTROL!$C$21, $C$9, 100%, $E$9)</f>
        <v>35.423299999999998</v>
      </c>
      <c r="I1005" s="10">
        <f>CHOOSE(CONTROL!$C$42, 35.1952, 35.1952)* CHOOSE(CONTROL!$C$21, $C$9, 100%, $E$9)</f>
        <v>35.1952</v>
      </c>
      <c r="J1005" s="10">
        <f>CHOOSE(CONTROL!$C$42, 35.155, 35.155)* CHOOSE(CONTROL!$C$21, $C$9, 100%, $E$9)</f>
        <v>35.155000000000001</v>
      </c>
      <c r="K1005" s="10">
        <f>CHOOSE(CONTROL!$C$42, 34.2534, 34.2534) * CHOOSE(CONTROL!$C$21, $C$9, 100%, $E$9)</f>
        <v>34.253399999999999</v>
      </c>
      <c r="L1005" s="10">
        <f>CHOOSE(CONTROL!$C$42, 36.0103, 36.0103) * CHOOSE(CONTROL!$C$21, $C$9, 100%, $E$9)</f>
        <v>36.010300000000001</v>
      </c>
      <c r="M1005" s="10">
        <f>CHOOSE(CONTROL!$C$42, 34.7329, 34.7329) * CHOOSE(CONTROL!$C$21, $C$9, 100%, $E$9)</f>
        <v>34.732900000000001</v>
      </c>
      <c r="N1005" s="10">
        <f>CHOOSE(CONTROL!$C$42, 34.7496, 34.7496) * CHOOSE(CONTROL!$C$21, $C$9, 100%, $E$9)</f>
        <v>34.749600000000001</v>
      </c>
      <c r="O1005" s="10">
        <f>CHOOSE(CONTROL!$C$42, 34.9977, 34.9977) * CHOOSE(CONTROL!$C$21, $C$9, 100%, $E$9)</f>
        <v>34.997700000000002</v>
      </c>
      <c r="P1005" s="10">
        <f>CHOOSE(CONTROL!$C$42, 34.7727, 34.7727) * CHOOSE(CONTROL!$C$21, $C$9, 100%, $E$9)</f>
        <v>34.7727</v>
      </c>
      <c r="Q1005" s="10">
        <f>CHOOSE(CONTROL!$C$42, 35.593, 35.593) * CHOOSE(CONTROL!$C$21, $C$9, 100%, $E$9)</f>
        <v>35.593000000000004</v>
      </c>
      <c r="R1005" s="10">
        <f>CHOOSE(CONTROL!$C$42, 36.269, 36.269) * CHOOSE(CONTROL!$C$21, $C$9, 100%, $E$9)</f>
        <v>36.268999999999998</v>
      </c>
      <c r="S1005" s="10">
        <f>CHOOSE(CONTROL!$C$42, 34.1187, 34.1187) * CHOOSE(CONTROL!$C$21, $C$9, 100%, $E$9)</f>
        <v>34.118699999999997</v>
      </c>
      <c r="T1005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38">
        <f>(1000*CHOOSE(CONTROL!$C$42, 695, 695)*CHOOSE(CONTROL!$C$42, 0.5599, 0.5599)*CHOOSE(CONTROL!$C$42, 30, 30))/1000000</f>
        <v>11.673914999999997</v>
      </c>
      <c r="V1005" s="38">
        <f>(1000*CHOOSE(CONTROL!$C$42, 500, 500)*CHOOSE(CONTROL!$C$42, 0.275, 0.275)*CHOOSE(CONTROL!$C$42, 30, 30))/1000000</f>
        <v>4.125</v>
      </c>
      <c r="W1005" s="38">
        <f>(1000*CHOOSE(CONTROL!$C$42, 0.1146, 0.1146)*CHOOSE(CONTROL!$C$42, 121.5, 121.5)*CHOOSE(CONTROL!$C$42, 30, 30))/1000000</f>
        <v>0.417717</v>
      </c>
      <c r="X1005" s="38">
        <f>(30*0.1790888*245000/1000000)+(30*0.2374*100000/1000000)</f>
        <v>2.0285026799999999</v>
      </c>
      <c r="Y1005" s="38">
        <f>(1000*600*CHOOSE(CONTROL!$C$42, 1.0585, 1.0585)*CHOOSE(CONTROL!$C$42, 30, 30))/1000000</f>
        <v>19.053000000000001</v>
      </c>
      <c r="Z1005" s="38"/>
      <c r="AA1005" s="10"/>
      <c r="AB1005" s="39"/>
      <c r="AC1005" s="33">
        <f>(B1005*194.205+C1005*267.466+D1005*133.845+E1005*53.484+F1005*40+G1005*185+H1005*0+I1005*100+J1005*300)/(194.205+267.466+133.845+53.484+0+40+185+100+300)</f>
        <v>35.225246678728418</v>
      </c>
      <c r="AD1005" s="27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34.859605035971228</v>
      </c>
    </row>
    <row r="1006" spans="1:30" ht="15.75" x14ac:dyDescent="0.25">
      <c r="A1006" s="13">
        <v>71894</v>
      </c>
      <c r="B1006" s="10">
        <f>CHOOSE(CONTROL!$C$42, 34.5031, 34.5031) * CHOOSE(CONTROL!$C$21, $C$9, 100%, $E$9)</f>
        <v>34.503100000000003</v>
      </c>
      <c r="C1006" s="10">
        <f>CHOOSE(CONTROL!$C$42, 34.5084, 34.5084) * CHOOSE(CONTROL!$C$21, $C$9, 100%, $E$9)</f>
        <v>34.508400000000002</v>
      </c>
      <c r="D1006" s="10">
        <f>CHOOSE(CONTROL!$C$42, 34.6884, 34.6884) * CHOOSE(CONTROL!$C$21, $C$9, 100%, $E$9)</f>
        <v>34.688400000000001</v>
      </c>
      <c r="E1006" s="10">
        <f>CHOOSE(CONTROL!$C$42, 34.7173, 34.7173) * CHOOSE(CONTROL!$C$21, $C$9, 100%, $E$9)</f>
        <v>34.717300000000002</v>
      </c>
      <c r="F1006" s="10">
        <f>CHOOSE(CONTROL!$C$42, 34.4469, 34.4469)*CHOOSE(CONTROL!$C$21, $C$9, 100%, $E$9)</f>
        <v>34.446899999999999</v>
      </c>
      <c r="G1006" s="10">
        <f>CHOOSE(CONTROL!$C$42, 34.4635, 34.4635)*CHOOSE(CONTROL!$C$21, $C$9, 100%, $E$9)</f>
        <v>34.463500000000003</v>
      </c>
      <c r="H1006" s="10">
        <f>CHOOSE(CONTROL!$C$42, 34.7075, 34.7075) * CHOOSE(CONTROL!$C$21, $C$9, 100%, $E$9)</f>
        <v>34.707500000000003</v>
      </c>
      <c r="I1006" s="10">
        <f>CHOOSE(CONTROL!$C$42, 34.4794, 34.4794)* CHOOSE(CONTROL!$C$21, $C$9, 100%, $E$9)</f>
        <v>34.479399999999998</v>
      </c>
      <c r="J1006" s="10">
        <f>CHOOSE(CONTROL!$C$42, 34.4395, 34.4395)* CHOOSE(CONTROL!$C$21, $C$9, 100%, $E$9)</f>
        <v>34.439500000000002</v>
      </c>
      <c r="K1006" s="10">
        <f>CHOOSE(CONTROL!$C$42, 33.5606, 33.5606) * CHOOSE(CONTROL!$C$21, $C$9, 100%, $E$9)</f>
        <v>33.560600000000001</v>
      </c>
      <c r="L1006" s="10">
        <f>CHOOSE(CONTROL!$C$42, 35.2945, 35.2945) * CHOOSE(CONTROL!$C$21, $C$9, 100%, $E$9)</f>
        <v>35.294499999999999</v>
      </c>
      <c r="M1006" s="10">
        <f>CHOOSE(CONTROL!$C$42, 34.0267, 34.0267) * CHOOSE(CONTROL!$C$21, $C$9, 100%, $E$9)</f>
        <v>34.026699999999998</v>
      </c>
      <c r="N1006" s="10">
        <f>CHOOSE(CONTROL!$C$42, 34.043, 34.043) * CHOOSE(CONTROL!$C$21, $C$9, 100%, $E$9)</f>
        <v>34.042999999999999</v>
      </c>
      <c r="O1006" s="10">
        <f>CHOOSE(CONTROL!$C$42, 34.2912, 34.2912) * CHOOSE(CONTROL!$C$21, $C$9, 100%, $E$9)</f>
        <v>34.291200000000003</v>
      </c>
      <c r="P1006" s="10">
        <f>CHOOSE(CONTROL!$C$42, 34.0662, 34.0662) * CHOOSE(CONTROL!$C$21, $C$9, 100%, $E$9)</f>
        <v>34.066200000000002</v>
      </c>
      <c r="Q1006" s="10">
        <f>CHOOSE(CONTROL!$C$42, 34.8865, 34.8865) * CHOOSE(CONTROL!$C$21, $C$9, 100%, $E$9)</f>
        <v>34.886499999999998</v>
      </c>
      <c r="R1006" s="10">
        <f>CHOOSE(CONTROL!$C$42, 35.5607, 35.5607) * CHOOSE(CONTROL!$C$21, $C$9, 100%, $E$9)</f>
        <v>35.560699999999997</v>
      </c>
      <c r="S1006" s="10">
        <f>CHOOSE(CONTROL!$C$42, 33.4256, 33.4256) * CHOOSE(CONTROL!$C$21, $C$9, 100%, $E$9)</f>
        <v>33.425600000000003</v>
      </c>
      <c r="T1006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38">
        <f>(1000*CHOOSE(CONTROL!$C$42, 695, 695)*CHOOSE(CONTROL!$C$42, 0.5599, 0.5599)*CHOOSE(CONTROL!$C$42, 31, 31))/1000000</f>
        <v>12.063045499999998</v>
      </c>
      <c r="V1006" s="38">
        <f>(1000*CHOOSE(CONTROL!$C$42, 500, 500)*CHOOSE(CONTROL!$C$42, 0.275, 0.275)*CHOOSE(CONTROL!$C$42, 31, 31))/1000000</f>
        <v>4.2625000000000002</v>
      </c>
      <c r="W1006" s="38">
        <f>(1000*CHOOSE(CONTROL!$C$42, 0.1146, 0.1146)*CHOOSE(CONTROL!$C$42, 121.5, 121.5)*CHOOSE(CONTROL!$C$42, 31, 31))/1000000</f>
        <v>0.43164089999999994</v>
      </c>
      <c r="X1006" s="38">
        <f>(31*0.1790888*245000/1000000)+(31*0.2374*100000/1000000)</f>
        <v>2.0961194359999999</v>
      </c>
      <c r="Y1006" s="38">
        <f>(1000*600*CHOOSE(CONTROL!$C$42, 1.0585, 1.0585)*CHOOSE(CONTROL!$C$42, 31, 31))/1000000</f>
        <v>19.688099999999999</v>
      </c>
      <c r="Z1006" s="38"/>
      <c r="AA1006" s="10"/>
      <c r="AB1006" s="39"/>
      <c r="AC1006" s="33">
        <f>(B1006*131.881+C1006*277.167+D1006*79.08+E1006*125.872+F1006*40+G1006*185+H1006*0+I1006*100+J1006*300)/(131.881+277.167+79.08+125.872+0+40+185+100+300)</f>
        <v>34.512833891444714</v>
      </c>
      <c r="AD1006" s="27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34.153202877697836</v>
      </c>
    </row>
    <row r="1007" spans="1:30" ht="15.75" x14ac:dyDescent="0.25">
      <c r="A1007" s="13">
        <v>71924</v>
      </c>
      <c r="B1007" s="10">
        <f>CHOOSE(CONTROL!$C$42, 35.4121, 35.4121) * CHOOSE(CONTROL!$C$21, $C$9, 100%, $E$9)</f>
        <v>35.412100000000002</v>
      </c>
      <c r="C1007" s="10">
        <f>CHOOSE(CONTROL!$C$42, 35.4172, 35.4172) * CHOOSE(CONTROL!$C$21, $C$9, 100%, $E$9)</f>
        <v>35.417200000000001</v>
      </c>
      <c r="D1007" s="10">
        <f>CHOOSE(CONTROL!$C$42, 35.4419, 35.4419) * CHOOSE(CONTROL!$C$21, $C$9, 100%, $E$9)</f>
        <v>35.441899999999997</v>
      </c>
      <c r="E1007" s="10">
        <f>CHOOSE(CONTROL!$C$42, 35.4757, 35.4757) * CHOOSE(CONTROL!$C$21, $C$9, 100%, $E$9)</f>
        <v>35.475700000000003</v>
      </c>
      <c r="F1007" s="10">
        <f>CHOOSE(CONTROL!$C$42, 35.3777, 35.3777)*CHOOSE(CONTROL!$C$21, $C$9, 100%, $E$9)</f>
        <v>35.377699999999997</v>
      </c>
      <c r="G1007" s="10">
        <f>CHOOSE(CONTROL!$C$42, 35.3945, 35.3945)*CHOOSE(CONTROL!$C$21, $C$9, 100%, $E$9)</f>
        <v>35.394500000000001</v>
      </c>
      <c r="H1007" s="10">
        <f>CHOOSE(CONTROL!$C$42, 35.4645, 35.4645) * CHOOSE(CONTROL!$C$21, $C$9, 100%, $E$9)</f>
        <v>35.464500000000001</v>
      </c>
      <c r="I1007" s="10">
        <f>CHOOSE(CONTROL!$C$42, 35.4116, 35.4116)* CHOOSE(CONTROL!$C$21, $C$9, 100%, $E$9)</f>
        <v>35.4116</v>
      </c>
      <c r="J1007" s="10">
        <f>CHOOSE(CONTROL!$C$42, 35.3703, 35.3703)* CHOOSE(CONTROL!$C$21, $C$9, 100%, $E$9)</f>
        <v>35.3703</v>
      </c>
      <c r="K1007" s="10">
        <f>CHOOSE(CONTROL!$C$42, 34.4654, 34.4654) * CHOOSE(CONTROL!$C$21, $C$9, 100%, $E$9)</f>
        <v>34.465400000000002</v>
      </c>
      <c r="L1007" s="10">
        <f>CHOOSE(CONTROL!$C$42, 36.0515, 36.0515) * CHOOSE(CONTROL!$C$21, $C$9, 100%, $E$9)</f>
        <v>36.051499999999997</v>
      </c>
      <c r="M1007" s="10">
        <f>CHOOSE(CONTROL!$C$42, 34.9455, 34.9455) * CHOOSE(CONTROL!$C$21, $C$9, 100%, $E$9)</f>
        <v>34.945500000000003</v>
      </c>
      <c r="N1007" s="10">
        <f>CHOOSE(CONTROL!$C$42, 34.962, 34.962) * CHOOSE(CONTROL!$C$21, $C$9, 100%, $E$9)</f>
        <v>34.962000000000003</v>
      </c>
      <c r="O1007" s="10">
        <f>CHOOSE(CONTROL!$C$42, 35.0385, 35.0385) * CHOOSE(CONTROL!$C$21, $C$9, 100%, $E$9)</f>
        <v>35.038499999999999</v>
      </c>
      <c r="P1007" s="10">
        <f>CHOOSE(CONTROL!$C$42, 34.9862, 34.9862) * CHOOSE(CONTROL!$C$21, $C$9, 100%, $E$9)</f>
        <v>34.986199999999997</v>
      </c>
      <c r="Q1007" s="10">
        <f>CHOOSE(CONTROL!$C$42, 35.6338, 35.6338) * CHOOSE(CONTROL!$C$21, $C$9, 100%, $E$9)</f>
        <v>35.633800000000001</v>
      </c>
      <c r="R1007" s="10">
        <f>CHOOSE(CONTROL!$C$42, 36.3098, 36.3098) * CHOOSE(CONTROL!$C$21, $C$9, 100%, $E$9)</f>
        <v>36.309800000000003</v>
      </c>
      <c r="S1007" s="10">
        <f>CHOOSE(CONTROL!$C$42, 34.3062, 34.3062) * CHOOSE(CONTROL!$C$21, $C$9, 100%, $E$9)</f>
        <v>34.306199999999997</v>
      </c>
      <c r="T1007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38">
        <f>(1000*CHOOSE(CONTROL!$C$42, 695, 695)*CHOOSE(CONTROL!$C$42, 0.5599, 0.5599)*CHOOSE(CONTROL!$C$42, 30, 30))/1000000</f>
        <v>11.673914999999997</v>
      </c>
      <c r="V1007" s="38">
        <f>(1000*CHOOSE(CONTROL!$C$42, 500, 500)*CHOOSE(CONTROL!$C$42, 0.275, 0.275)*CHOOSE(CONTROL!$C$42, 30, 30))/1000000</f>
        <v>4.125</v>
      </c>
      <c r="W1007" s="38">
        <f>(1000*CHOOSE(CONTROL!$C$42, 0.1146, 0.1146)*CHOOSE(CONTROL!$C$42, 121.5, 121.5)*CHOOSE(CONTROL!$C$42, 30, 30))/1000000</f>
        <v>0.417717</v>
      </c>
      <c r="X1007" s="38">
        <f>(30*0.1790888*100000/1000000)+(30*0.2374*100000/1000000)</f>
        <v>1.2494664</v>
      </c>
      <c r="Y1007" s="38">
        <f>(1000*600*CHOOSE(CONTROL!$C$42, 1.0585, 1.0585)*CHOOSE(CONTROL!$C$42, 30, 30))/1000000</f>
        <v>19.053000000000001</v>
      </c>
      <c r="Z1007" s="38"/>
      <c r="AA1007" s="10"/>
      <c r="AB1007" s="39"/>
      <c r="AC1007" s="33">
        <f>(B1007*122.58+C1007*297.941+D1007*89.177+E1007*40.302+F1007*40+G1007*160+H1007*0+I1007*100+J1007*300)/(122.58+297.941+89.177+40.302+0+40+160+100+300)</f>
        <v>35.403367983391306</v>
      </c>
      <c r="AD1007" s="27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34.994456834532372</v>
      </c>
    </row>
    <row r="1008" spans="1:30" ht="15.75" x14ac:dyDescent="0.25">
      <c r="A1008" s="13">
        <v>71955</v>
      </c>
      <c r="B1008" s="10">
        <f>CHOOSE(CONTROL!$C$42, 37.8276, 37.8276) * CHOOSE(CONTROL!$C$21, $C$9, 100%, $E$9)</f>
        <v>37.827599999999997</v>
      </c>
      <c r="C1008" s="10">
        <f>CHOOSE(CONTROL!$C$42, 37.8327, 37.8327) * CHOOSE(CONTROL!$C$21, $C$9, 100%, $E$9)</f>
        <v>37.832700000000003</v>
      </c>
      <c r="D1008" s="10">
        <f>CHOOSE(CONTROL!$C$42, 37.8573, 37.8573) * CHOOSE(CONTROL!$C$21, $C$9, 100%, $E$9)</f>
        <v>37.857300000000002</v>
      </c>
      <c r="E1008" s="10">
        <f>CHOOSE(CONTROL!$C$42, 37.8912, 37.8912) * CHOOSE(CONTROL!$C$21, $C$9, 100%, $E$9)</f>
        <v>37.891199999999998</v>
      </c>
      <c r="F1008" s="10">
        <f>CHOOSE(CONTROL!$C$42, 37.795, 37.795)*CHOOSE(CONTROL!$C$21, $C$9, 100%, $E$9)</f>
        <v>37.795000000000002</v>
      </c>
      <c r="G1008" s="10">
        <f>CHOOSE(CONTROL!$C$42, 37.8123, 37.8123)*CHOOSE(CONTROL!$C$21, $C$9, 100%, $E$9)</f>
        <v>37.8123</v>
      </c>
      <c r="H1008" s="10">
        <f>CHOOSE(CONTROL!$C$42, 37.88, 37.88) * CHOOSE(CONTROL!$C$21, $C$9, 100%, $E$9)</f>
        <v>37.880000000000003</v>
      </c>
      <c r="I1008" s="10">
        <f>CHOOSE(CONTROL!$C$42, 37.8271, 37.8271)* CHOOSE(CONTROL!$C$21, $C$9, 100%, $E$9)</f>
        <v>37.827100000000002</v>
      </c>
      <c r="J1008" s="10">
        <f>CHOOSE(CONTROL!$C$42, 37.7876, 37.7876)* CHOOSE(CONTROL!$C$21, $C$9, 100%, $E$9)</f>
        <v>37.787599999999998</v>
      </c>
      <c r="K1008" s="10">
        <f>CHOOSE(CONTROL!$C$42, 36.8093, 36.8093) * CHOOSE(CONTROL!$C$21, $C$9, 100%, $E$9)</f>
        <v>36.8093</v>
      </c>
      <c r="L1008" s="10">
        <f>CHOOSE(CONTROL!$C$42, 38.467, 38.467) * CHOOSE(CONTROL!$C$21, $C$9, 100%, $E$9)</f>
        <v>38.466999999999999</v>
      </c>
      <c r="M1008" s="10">
        <f>CHOOSE(CONTROL!$C$42, 37.3314, 37.3314) * CHOOSE(CONTROL!$C$21, $C$9, 100%, $E$9)</f>
        <v>37.331400000000002</v>
      </c>
      <c r="N1008" s="10">
        <f>CHOOSE(CONTROL!$C$42, 37.3485, 37.3485) * CHOOSE(CONTROL!$C$21, $C$9, 100%, $E$9)</f>
        <v>37.348500000000001</v>
      </c>
      <c r="O1008" s="10">
        <f>CHOOSE(CONTROL!$C$42, 37.4227, 37.4227) * CHOOSE(CONTROL!$C$21, $C$9, 100%, $E$9)</f>
        <v>37.422699999999999</v>
      </c>
      <c r="P1008" s="10">
        <f>CHOOSE(CONTROL!$C$42, 37.3705, 37.3705) * CHOOSE(CONTROL!$C$21, $C$9, 100%, $E$9)</f>
        <v>37.3705</v>
      </c>
      <c r="Q1008" s="10">
        <f>CHOOSE(CONTROL!$C$42, 38.018, 38.018) * CHOOSE(CONTROL!$C$21, $C$9, 100%, $E$9)</f>
        <v>38.018000000000001</v>
      </c>
      <c r="R1008" s="10">
        <f>CHOOSE(CONTROL!$C$42, 38.7, 38.7) * CHOOSE(CONTROL!$C$21, $C$9, 100%, $E$9)</f>
        <v>38.700000000000003</v>
      </c>
      <c r="S1008" s="10">
        <f>CHOOSE(CONTROL!$C$42, 36.6451, 36.6451) * CHOOSE(CONTROL!$C$21, $C$9, 100%, $E$9)</f>
        <v>36.645099999999999</v>
      </c>
      <c r="T1008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38">
        <f>(1000*CHOOSE(CONTROL!$C$42, 695, 695)*CHOOSE(CONTROL!$C$42, 0.5599, 0.5599)*CHOOSE(CONTROL!$C$42, 31, 31))/1000000</f>
        <v>12.063045499999998</v>
      </c>
      <c r="V1008" s="38">
        <f>(1000*CHOOSE(CONTROL!$C$42, 500, 500)*CHOOSE(CONTROL!$C$42, 0.275, 0.275)*CHOOSE(CONTROL!$C$42, 31, 31))/1000000</f>
        <v>4.2625000000000002</v>
      </c>
      <c r="W1008" s="38">
        <f>(1000*CHOOSE(CONTROL!$C$42, 0.1146, 0.1146)*CHOOSE(CONTROL!$C$42, 121.5, 121.5)*CHOOSE(CONTROL!$C$42, 31, 31))/1000000</f>
        <v>0.43164089999999994</v>
      </c>
      <c r="X1008" s="38">
        <f>(31*0.1790888*100000/1000000)+(31*0.2374*100000/1000000)</f>
        <v>1.2911152800000001</v>
      </c>
      <c r="Y1008" s="38">
        <f>(1000*600*CHOOSE(CONTROL!$C$42, 1.0585, 1.0585)*CHOOSE(CONTROL!$C$42, 31, 31))/1000000</f>
        <v>19.688099999999999</v>
      </c>
      <c r="Z1008" s="38"/>
      <c r="AA1008" s="10"/>
      <c r="AB1008" s="39"/>
      <c r="AC1008" s="33">
        <f>(B1008*122.58+C1008*297.941+D1008*89.177+E1008*40.302+F1008*40+G1008*160+H1008*0+I1008*100+J1008*300)/(122.58+297.941+89.177+40.302+0+40+160+100+300)</f>
        <v>37.819712402782606</v>
      </c>
      <c r="AD1008" s="27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37.379390647482012</v>
      </c>
    </row>
    <row r="1009" spans="1:30" ht="15.75" x14ac:dyDescent="0.25">
      <c r="A1009" s="13">
        <v>71986</v>
      </c>
      <c r="B1009" s="10">
        <f>CHOOSE(CONTROL!$C$42, 40.3818, 40.3818) * CHOOSE(CONTROL!$C$21, $C$9, 100%, $E$9)</f>
        <v>40.381799999999998</v>
      </c>
      <c r="C1009" s="10">
        <f>CHOOSE(CONTROL!$C$42, 40.3869, 40.3869) * CHOOSE(CONTROL!$C$21, $C$9, 100%, $E$9)</f>
        <v>40.386899999999997</v>
      </c>
      <c r="D1009" s="10">
        <f>CHOOSE(CONTROL!$C$42, 40.4219, 40.4219) * CHOOSE(CONTROL!$C$21, $C$9, 100%, $E$9)</f>
        <v>40.421900000000001</v>
      </c>
      <c r="E1009" s="10">
        <f>CHOOSE(CONTROL!$C$42, 40.4557, 40.4557) * CHOOSE(CONTROL!$C$21, $C$9, 100%, $E$9)</f>
        <v>40.4557</v>
      </c>
      <c r="F1009" s="10">
        <f>CHOOSE(CONTROL!$C$42, 40.3631, 40.3631)*CHOOSE(CONTROL!$C$21, $C$9, 100%, $E$9)</f>
        <v>40.363100000000003</v>
      </c>
      <c r="G1009" s="10">
        <f>CHOOSE(CONTROL!$C$42, 40.382, 40.382)*CHOOSE(CONTROL!$C$21, $C$9, 100%, $E$9)</f>
        <v>40.381999999999998</v>
      </c>
      <c r="H1009" s="10">
        <f>CHOOSE(CONTROL!$C$42, 40.4446, 40.4446) * CHOOSE(CONTROL!$C$21, $C$9, 100%, $E$9)</f>
        <v>40.444600000000001</v>
      </c>
      <c r="I1009" s="10">
        <f>CHOOSE(CONTROL!$C$42, 40.3891, 40.3891)* CHOOSE(CONTROL!$C$21, $C$9, 100%, $E$9)</f>
        <v>40.389099999999999</v>
      </c>
      <c r="J1009" s="10">
        <f>CHOOSE(CONTROL!$C$42, 40.3557, 40.3557)* CHOOSE(CONTROL!$C$21, $C$9, 100%, $E$9)</f>
        <v>40.355699999999999</v>
      </c>
      <c r="K1009" s="10">
        <f>CHOOSE(CONTROL!$C$42, 39.3046, 39.3046) * CHOOSE(CONTROL!$C$21, $C$9, 100%, $E$9)</f>
        <v>39.304600000000001</v>
      </c>
      <c r="L1009" s="10">
        <f>CHOOSE(CONTROL!$C$42, 41.0316, 41.0316) * CHOOSE(CONTROL!$C$21, $C$9, 100%, $E$9)</f>
        <v>41.031599999999997</v>
      </c>
      <c r="M1009" s="10">
        <f>CHOOSE(CONTROL!$C$42, 39.8663, 39.8663) * CHOOSE(CONTROL!$C$21, $C$9, 100%, $E$9)</f>
        <v>39.866300000000003</v>
      </c>
      <c r="N1009" s="10">
        <f>CHOOSE(CONTROL!$C$42, 39.885, 39.885) * CHOOSE(CONTROL!$C$21, $C$9, 100%, $E$9)</f>
        <v>39.884999999999998</v>
      </c>
      <c r="O1009" s="10">
        <f>CHOOSE(CONTROL!$C$42, 39.9541, 39.9541) * CHOOSE(CONTROL!$C$21, $C$9, 100%, $E$9)</f>
        <v>39.954099999999997</v>
      </c>
      <c r="P1009" s="10">
        <f>CHOOSE(CONTROL!$C$42, 39.8993, 39.8993) * CHOOSE(CONTROL!$C$21, $C$9, 100%, $E$9)</f>
        <v>39.899299999999997</v>
      </c>
      <c r="Q1009" s="10">
        <f>CHOOSE(CONTROL!$C$42, 40.5494, 40.5494) * CHOOSE(CONTROL!$C$21, $C$9, 100%, $E$9)</f>
        <v>40.549399999999999</v>
      </c>
      <c r="R1009" s="10">
        <f>CHOOSE(CONTROL!$C$42, 41.2377, 41.2377) * CHOOSE(CONTROL!$C$21, $C$9, 100%, $E$9)</f>
        <v>41.237699999999997</v>
      </c>
      <c r="S1009" s="10">
        <f>CHOOSE(CONTROL!$C$42, 39.1184, 39.1184) * CHOOSE(CONTROL!$C$21, $C$9, 100%, $E$9)</f>
        <v>39.118400000000001</v>
      </c>
      <c r="T1009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38">
        <f>(1000*CHOOSE(CONTROL!$C$42, 695, 695)*CHOOSE(CONTROL!$C$42, 0.5599, 0.5599)*CHOOSE(CONTROL!$C$42, 31, 31))/1000000</f>
        <v>12.063045499999998</v>
      </c>
      <c r="V1009" s="38">
        <f>(1000*CHOOSE(CONTROL!$C$42, 500, 500)*CHOOSE(CONTROL!$C$42, 0.275, 0.275)*CHOOSE(CONTROL!$C$42, 31, 31))/1000000</f>
        <v>4.2625000000000002</v>
      </c>
      <c r="W1009" s="38">
        <f>(1000*CHOOSE(CONTROL!$C$42, 0.1146, 0.1146)*CHOOSE(CONTROL!$C$42, 121.5, 121.5)*CHOOSE(CONTROL!$C$42, 31, 31))/1000000</f>
        <v>0.43164089999999994</v>
      </c>
      <c r="X1009" s="38">
        <f>(31*0.1790888*100000/1000000)+(31*0.2374*100000/1000000)</f>
        <v>1.2911152800000001</v>
      </c>
      <c r="Y1009" s="38">
        <f>(1000*600*CHOOSE(CONTROL!$C$42, 1.0585, 1.0585)*CHOOSE(CONTROL!$C$42, 31, 31))/1000000</f>
        <v>19.688099999999999</v>
      </c>
      <c r="Z1009" s="38"/>
      <c r="AA1009" s="10"/>
      <c r="AB1009" s="39"/>
      <c r="AC1009" s="33">
        <f>(B1009*122.58+C1009*297.941+D1009*89.177+E1009*40.302+F1009*40+G1009*160+H1009*0+I1009*100+J1009*300)/(122.58+297.941+89.177+40.302+0+40+160+100+300)</f>
        <v>40.382024186608696</v>
      </c>
      <c r="AD1009" s="27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39.911918705035966</v>
      </c>
    </row>
    <row r="1010" spans="1:30" ht="15.75" x14ac:dyDescent="0.25">
      <c r="A1010" s="13">
        <v>72014</v>
      </c>
      <c r="B1010" s="10">
        <f>CHOOSE(CONTROL!$C$42, 41.101, 41.101) * CHOOSE(CONTROL!$C$21, $C$9, 100%, $E$9)</f>
        <v>41.100999999999999</v>
      </c>
      <c r="C1010" s="10">
        <f>CHOOSE(CONTROL!$C$42, 41.1061, 41.1061) * CHOOSE(CONTROL!$C$21, $C$9, 100%, $E$9)</f>
        <v>41.106099999999998</v>
      </c>
      <c r="D1010" s="10">
        <f>CHOOSE(CONTROL!$C$42, 41.1411, 41.1411) * CHOOSE(CONTROL!$C$21, $C$9, 100%, $E$9)</f>
        <v>41.141100000000002</v>
      </c>
      <c r="E1010" s="10">
        <f>CHOOSE(CONTROL!$C$42, 41.1749, 41.1749) * CHOOSE(CONTROL!$C$21, $C$9, 100%, $E$9)</f>
        <v>41.174900000000001</v>
      </c>
      <c r="F1010" s="10">
        <f>CHOOSE(CONTROL!$C$42, 41.0817, 41.0817)*CHOOSE(CONTROL!$C$21, $C$9, 100%, $E$9)</f>
        <v>41.081699999999998</v>
      </c>
      <c r="G1010" s="10">
        <f>CHOOSE(CONTROL!$C$42, 41.1005, 41.1005)*CHOOSE(CONTROL!$C$21, $C$9, 100%, $E$9)</f>
        <v>41.100499999999997</v>
      </c>
      <c r="H1010" s="10">
        <f>CHOOSE(CONTROL!$C$42, 41.1638, 41.1638) * CHOOSE(CONTROL!$C$21, $C$9, 100%, $E$9)</f>
        <v>41.163800000000002</v>
      </c>
      <c r="I1010" s="10">
        <f>CHOOSE(CONTROL!$C$42, 41.1082, 41.1082)* CHOOSE(CONTROL!$C$21, $C$9, 100%, $E$9)</f>
        <v>41.108199999999997</v>
      </c>
      <c r="J1010" s="10">
        <f>CHOOSE(CONTROL!$C$42, 41.0743, 41.0743)* CHOOSE(CONTROL!$C$21, $C$9, 100%, $E$9)</f>
        <v>41.074300000000001</v>
      </c>
      <c r="K1010" s="10">
        <f>CHOOSE(CONTROL!$C$42, 40.0002, 40.0002) * CHOOSE(CONTROL!$C$21, $C$9, 100%, $E$9)</f>
        <v>40.0002</v>
      </c>
      <c r="L1010" s="10">
        <f>CHOOSE(CONTROL!$C$42, 41.7508, 41.7508) * CHOOSE(CONTROL!$C$21, $C$9, 100%, $E$9)</f>
        <v>41.750799999999998</v>
      </c>
      <c r="M1010" s="10">
        <f>CHOOSE(CONTROL!$C$42, 40.5756, 40.5756) * CHOOSE(CONTROL!$C$21, $C$9, 100%, $E$9)</f>
        <v>40.575600000000001</v>
      </c>
      <c r="N1010" s="10">
        <f>CHOOSE(CONTROL!$C$42, 40.5941, 40.5941) * CHOOSE(CONTROL!$C$21, $C$9, 100%, $E$9)</f>
        <v>40.594099999999997</v>
      </c>
      <c r="O1010" s="10">
        <f>CHOOSE(CONTROL!$C$42, 40.6639, 40.6639) * CHOOSE(CONTROL!$C$21, $C$9, 100%, $E$9)</f>
        <v>40.663899999999998</v>
      </c>
      <c r="P1010" s="10">
        <f>CHOOSE(CONTROL!$C$42, 40.6091, 40.6091) * CHOOSE(CONTROL!$C$21, $C$9, 100%, $E$9)</f>
        <v>40.609099999999998</v>
      </c>
      <c r="Q1010" s="10">
        <f>CHOOSE(CONTROL!$C$42, 41.2592, 41.2592) * CHOOSE(CONTROL!$C$21, $C$9, 100%, $E$9)</f>
        <v>41.2592</v>
      </c>
      <c r="R1010" s="10">
        <f>CHOOSE(CONTROL!$C$42, 41.9494, 41.9494) * CHOOSE(CONTROL!$C$21, $C$9, 100%, $E$9)</f>
        <v>41.949399999999997</v>
      </c>
      <c r="S1010" s="10">
        <f>CHOOSE(CONTROL!$C$42, 39.8147, 39.8147) * CHOOSE(CONTROL!$C$21, $C$9, 100%, $E$9)</f>
        <v>39.814700000000002</v>
      </c>
      <c r="T1010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10" s="38">
        <f>(1000*CHOOSE(CONTROL!$C$42, 695, 695)*CHOOSE(CONTROL!$C$42, 0.5599, 0.5599)*CHOOSE(CONTROL!$C$42, 28, 28))/1000000</f>
        <v>10.895653999999999</v>
      </c>
      <c r="V1010" s="38">
        <f>(1000*CHOOSE(CONTROL!$C$42, 500, 500)*CHOOSE(CONTROL!$C$42, 0.275, 0.275)*CHOOSE(CONTROL!$C$42, 28, 28))/1000000</f>
        <v>3.85</v>
      </c>
      <c r="W1010" s="38">
        <f>(1000*CHOOSE(CONTROL!$C$42, 0.1146, 0.1146)*CHOOSE(CONTROL!$C$42, 121.5, 121.5)*CHOOSE(CONTROL!$C$42, 28, 28))/1000000</f>
        <v>0.38986920000000003</v>
      </c>
      <c r="X1010" s="38">
        <f>(28*0.1790888*100000/1000000)+(28*0.2374*100000/1000000)</f>
        <v>1.16616864</v>
      </c>
      <c r="Y1010" s="38">
        <f>(1000*600*CHOOSE(CONTROL!$C$42, 1.0585, 1.0585)*CHOOSE(CONTROL!$C$42, 28, 28))/1000000</f>
        <v>17.782800000000002</v>
      </c>
      <c r="Z1010" s="38"/>
      <c r="AA1010" s="10"/>
      <c r="AB1010" s="39"/>
      <c r="AC1010" s="33">
        <f>(B1010*122.58+C1010*297.941+D1010*89.177+E1010*40.302+F1010*40+G1010*160+H1010*0+I1010*100+J1010*300)/(122.58+297.941+89.177+40.302+0+40+160+100+300)</f>
        <v>41.100940708347828</v>
      </c>
      <c r="AD1010" s="27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40.621505755395681</v>
      </c>
    </row>
    <row r="1011" spans="1:30" ht="15.75" x14ac:dyDescent="0.25">
      <c r="A1011" s="13">
        <v>72045</v>
      </c>
      <c r="B1011" s="10">
        <f>CHOOSE(CONTROL!$C$42, 39.9336, 39.9336) * CHOOSE(CONTROL!$C$21, $C$9, 100%, $E$9)</f>
        <v>39.933599999999998</v>
      </c>
      <c r="C1011" s="10">
        <f>CHOOSE(CONTROL!$C$42, 39.9387, 39.9387) * CHOOSE(CONTROL!$C$21, $C$9, 100%, $E$9)</f>
        <v>39.938699999999997</v>
      </c>
      <c r="D1011" s="10">
        <f>CHOOSE(CONTROL!$C$42, 39.9737, 39.9737) * CHOOSE(CONTROL!$C$21, $C$9, 100%, $E$9)</f>
        <v>39.973700000000001</v>
      </c>
      <c r="E1011" s="10">
        <f>CHOOSE(CONTROL!$C$42, 40.0075, 40.0075) * CHOOSE(CONTROL!$C$21, $C$9, 100%, $E$9)</f>
        <v>40.0075</v>
      </c>
      <c r="F1011" s="10">
        <f>CHOOSE(CONTROL!$C$42, 39.913, 39.913)*CHOOSE(CONTROL!$C$21, $C$9, 100%, $E$9)</f>
        <v>39.912999999999997</v>
      </c>
      <c r="G1011" s="10">
        <f>CHOOSE(CONTROL!$C$42, 39.9314, 39.9314)*CHOOSE(CONTROL!$C$21, $C$9, 100%, $E$9)</f>
        <v>39.931399999999996</v>
      </c>
      <c r="H1011" s="10">
        <f>CHOOSE(CONTROL!$C$42, 39.9964, 39.9964) * CHOOSE(CONTROL!$C$21, $C$9, 100%, $E$9)</f>
        <v>39.996400000000001</v>
      </c>
      <c r="I1011" s="10">
        <f>CHOOSE(CONTROL!$C$42, 39.9409, 39.9409)* CHOOSE(CONTROL!$C$21, $C$9, 100%, $E$9)</f>
        <v>39.940899999999999</v>
      </c>
      <c r="J1011" s="10">
        <f>CHOOSE(CONTROL!$C$42, 39.9056, 39.9056)* CHOOSE(CONTROL!$C$21, $C$9, 100%, $E$9)</f>
        <v>39.9056</v>
      </c>
      <c r="K1011" s="10">
        <f>CHOOSE(CONTROL!$C$42, 38.8663, 38.8663) * CHOOSE(CONTROL!$C$21, $C$9, 100%, $E$9)</f>
        <v>38.866300000000003</v>
      </c>
      <c r="L1011" s="10">
        <f>CHOOSE(CONTROL!$C$42, 40.5834, 40.5834) * CHOOSE(CONTROL!$C$21, $C$9, 100%, $E$9)</f>
        <v>40.583399999999997</v>
      </c>
      <c r="M1011" s="10">
        <f>CHOOSE(CONTROL!$C$42, 39.422, 39.422) * CHOOSE(CONTROL!$C$21, $C$9, 100%, $E$9)</f>
        <v>39.421999999999997</v>
      </c>
      <c r="N1011" s="10">
        <f>CHOOSE(CONTROL!$C$42, 39.4402, 39.4402) * CHOOSE(CONTROL!$C$21, $C$9, 100%, $E$9)</f>
        <v>39.440199999999997</v>
      </c>
      <c r="O1011" s="10">
        <f>CHOOSE(CONTROL!$C$42, 39.5117, 39.5117) * CHOOSE(CONTROL!$C$21, $C$9, 100%, $E$9)</f>
        <v>39.511699999999998</v>
      </c>
      <c r="P1011" s="10">
        <f>CHOOSE(CONTROL!$C$42, 39.4569, 39.4569) * CHOOSE(CONTROL!$C$21, $C$9, 100%, $E$9)</f>
        <v>39.456899999999997</v>
      </c>
      <c r="Q1011" s="10">
        <f>CHOOSE(CONTROL!$C$42, 40.107, 40.107) * CHOOSE(CONTROL!$C$21, $C$9, 100%, $E$9)</f>
        <v>40.106999999999999</v>
      </c>
      <c r="R1011" s="10">
        <f>CHOOSE(CONTROL!$C$42, 40.7942, 40.7942) * CHOOSE(CONTROL!$C$21, $C$9, 100%, $E$9)</f>
        <v>40.794199999999996</v>
      </c>
      <c r="S1011" s="10">
        <f>CHOOSE(CONTROL!$C$42, 38.6844, 38.6844) * CHOOSE(CONTROL!$C$21, $C$9, 100%, $E$9)</f>
        <v>38.684399999999997</v>
      </c>
      <c r="T1011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38">
        <f>(1000*CHOOSE(CONTROL!$C$42, 695, 695)*CHOOSE(CONTROL!$C$42, 0.5599, 0.5599)*CHOOSE(CONTROL!$C$42, 31, 31))/1000000</f>
        <v>12.063045499999998</v>
      </c>
      <c r="V1011" s="38">
        <f>(1000*CHOOSE(CONTROL!$C$42, 500, 500)*CHOOSE(CONTROL!$C$42, 0.275, 0.275)*CHOOSE(CONTROL!$C$42, 31, 31))/1000000</f>
        <v>4.2625000000000002</v>
      </c>
      <c r="W1011" s="38">
        <f>(1000*CHOOSE(CONTROL!$C$42, 0.1146, 0.1146)*CHOOSE(CONTROL!$C$42, 121.5, 121.5)*CHOOSE(CONTROL!$C$42, 31, 31))/1000000</f>
        <v>0.43164089999999994</v>
      </c>
      <c r="X1011" s="38">
        <f>(31*0.1790888*100000/1000000)+(31*0.2374*100000/1000000)</f>
        <v>1.2911152800000001</v>
      </c>
      <c r="Y1011" s="38">
        <f>(1000*600*CHOOSE(CONTROL!$C$42, 1.0585, 1.0585)*CHOOSE(CONTROL!$C$42, 31, 31))/1000000</f>
        <v>19.688099999999999</v>
      </c>
      <c r="Z1011" s="38"/>
      <c r="AA1011" s="10"/>
      <c r="AB1011" s="39"/>
      <c r="AC1011" s="33">
        <f>(B1011*122.58+C1011*297.941+D1011*89.177+E1011*40.302+F1011*40+G1011*160+H1011*0+I1011*100+J1011*300)/(122.58+297.941+89.177+40.302+0+40+160+100+300)</f>
        <v>39.93292853443478</v>
      </c>
      <c r="AD1011" s="27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39.468724460431652</v>
      </c>
    </row>
    <row r="1012" spans="1:30" ht="15.75" x14ac:dyDescent="0.25">
      <c r="A1012" s="13">
        <v>72075</v>
      </c>
      <c r="B1012" s="10">
        <f>CHOOSE(CONTROL!$C$42, 39.8148, 39.8148) * CHOOSE(CONTROL!$C$21, $C$9, 100%, $E$9)</f>
        <v>39.814799999999998</v>
      </c>
      <c r="C1012" s="10">
        <f>CHOOSE(CONTROL!$C$42, 39.8193, 39.8193) * CHOOSE(CONTROL!$C$21, $C$9, 100%, $E$9)</f>
        <v>39.819299999999998</v>
      </c>
      <c r="D1012" s="10">
        <f>CHOOSE(CONTROL!$C$42, 39.9975, 39.9975) * CHOOSE(CONTROL!$C$21, $C$9, 100%, $E$9)</f>
        <v>39.997500000000002</v>
      </c>
      <c r="E1012" s="10">
        <f>CHOOSE(CONTROL!$C$42, 40.0293, 40.0293) * CHOOSE(CONTROL!$C$21, $C$9, 100%, $E$9)</f>
        <v>40.029299999999999</v>
      </c>
      <c r="F1012" s="10">
        <f>CHOOSE(CONTROL!$C$42, 39.7582, 39.7582)*CHOOSE(CONTROL!$C$21, $C$9, 100%, $E$9)</f>
        <v>39.758200000000002</v>
      </c>
      <c r="G1012" s="10">
        <f>CHOOSE(CONTROL!$C$42, 39.7748, 39.7748)*CHOOSE(CONTROL!$C$21, $C$9, 100%, $E$9)</f>
        <v>39.774799999999999</v>
      </c>
      <c r="H1012" s="10">
        <f>CHOOSE(CONTROL!$C$42, 40.0188, 40.0188) * CHOOSE(CONTROL!$C$21, $C$9, 100%, $E$9)</f>
        <v>40.018799999999999</v>
      </c>
      <c r="I1012" s="10">
        <f>CHOOSE(CONTROL!$C$42, 39.7908, 39.7908)* CHOOSE(CONTROL!$C$21, $C$9, 100%, $E$9)</f>
        <v>39.790799999999997</v>
      </c>
      <c r="J1012" s="10">
        <f>CHOOSE(CONTROL!$C$42, 39.7508, 39.7508)* CHOOSE(CONTROL!$C$21, $C$9, 100%, $E$9)</f>
        <v>39.750799999999998</v>
      </c>
      <c r="K1012" s="10">
        <f>CHOOSE(CONTROL!$C$42, 38.7062, 38.7062) * CHOOSE(CONTROL!$C$21, $C$9, 100%, $E$9)</f>
        <v>38.706200000000003</v>
      </c>
      <c r="L1012" s="10">
        <f>CHOOSE(CONTROL!$C$42, 40.6058, 40.6058) * CHOOSE(CONTROL!$C$21, $C$9, 100%, $E$9)</f>
        <v>40.605800000000002</v>
      </c>
      <c r="M1012" s="10">
        <f>CHOOSE(CONTROL!$C$42, 39.2693, 39.2693) * CHOOSE(CONTROL!$C$21, $C$9, 100%, $E$9)</f>
        <v>39.269300000000001</v>
      </c>
      <c r="N1012" s="10">
        <f>CHOOSE(CONTROL!$C$42, 39.2856, 39.2856) * CHOOSE(CONTROL!$C$21, $C$9, 100%, $E$9)</f>
        <v>39.285600000000002</v>
      </c>
      <c r="O1012" s="10">
        <f>CHOOSE(CONTROL!$C$42, 39.5338, 39.5338) * CHOOSE(CONTROL!$C$21, $C$9, 100%, $E$9)</f>
        <v>39.533799999999999</v>
      </c>
      <c r="P1012" s="10">
        <f>CHOOSE(CONTROL!$C$42, 39.3087, 39.3087) * CHOOSE(CONTROL!$C$21, $C$9, 100%, $E$9)</f>
        <v>39.308700000000002</v>
      </c>
      <c r="Q1012" s="10">
        <f>CHOOSE(CONTROL!$C$42, 40.1291, 40.1291) * CHOOSE(CONTROL!$C$21, $C$9, 100%, $E$9)</f>
        <v>40.129100000000001</v>
      </c>
      <c r="R1012" s="10">
        <f>CHOOSE(CONTROL!$C$42, 40.8164, 40.8164) * CHOOSE(CONTROL!$C$21, $C$9, 100%, $E$9)</f>
        <v>40.816400000000002</v>
      </c>
      <c r="S1012" s="10">
        <f>CHOOSE(CONTROL!$C$42, 38.5686, 38.5686) * CHOOSE(CONTROL!$C$21, $C$9, 100%, $E$9)</f>
        <v>38.568600000000004</v>
      </c>
      <c r="T1012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38">
        <f>(1000*CHOOSE(CONTROL!$C$42, 695, 695)*CHOOSE(CONTROL!$C$42, 0.5599, 0.5599)*CHOOSE(CONTROL!$C$42, 30, 30))/1000000</f>
        <v>11.673914999999997</v>
      </c>
      <c r="V1012" s="38">
        <f>(1000*CHOOSE(CONTROL!$C$42, 500, 500)*CHOOSE(CONTROL!$C$42, 0.275, 0.275)*CHOOSE(CONTROL!$C$42, 30, 30))/1000000</f>
        <v>4.125</v>
      </c>
      <c r="W1012" s="38">
        <f>(1000*CHOOSE(CONTROL!$C$42, 0.1146, 0.1146)*CHOOSE(CONTROL!$C$42, 121.5, 121.5)*CHOOSE(CONTROL!$C$42, 30, 30))/1000000</f>
        <v>0.417717</v>
      </c>
      <c r="X1012" s="38">
        <f>(30*0.1790888*245000/1000000)+(30*0.2374*100000/1000000)</f>
        <v>2.0285026799999999</v>
      </c>
      <c r="Y1012" s="38">
        <f>(1000*600*CHOOSE(CONTROL!$C$42, 1.0585, 1.0585)*CHOOSE(CONTROL!$C$42, 30, 30))/1000000</f>
        <v>19.053000000000001</v>
      </c>
      <c r="Z1012" s="38"/>
      <c r="AA1012" s="10"/>
      <c r="AB1012" s="39"/>
      <c r="AC1012" s="33">
        <f>(B1012*141.293+C1012*267.993+D1012*115.016+E1012*89.698+F1012*40+G1012*185+H1012*0+I1012*100+J1012*300)/(141.293+267.993+115.016+89.698+0+40+185+100+300)</f>
        <v>39.823028904519774</v>
      </c>
      <c r="AD1012" s="27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39.395788489208634</v>
      </c>
    </row>
    <row r="1013" spans="1:30" ht="15.75" x14ac:dyDescent="0.25">
      <c r="A1013" s="13">
        <v>72106</v>
      </c>
      <c r="B1013" s="10">
        <f>CHOOSE(CONTROL!$C$42, 40.1681, 40.1681) * CHOOSE(CONTROL!$C$21, $C$9, 100%, $E$9)</f>
        <v>40.168100000000003</v>
      </c>
      <c r="C1013" s="10">
        <f>CHOOSE(CONTROL!$C$42, 40.1761, 40.1761) * CHOOSE(CONTROL!$C$21, $C$9, 100%, $E$9)</f>
        <v>40.176099999999998</v>
      </c>
      <c r="D1013" s="10">
        <f>CHOOSE(CONTROL!$C$42, 40.3512, 40.3512) * CHOOSE(CONTROL!$C$21, $C$9, 100%, $E$9)</f>
        <v>40.351199999999999</v>
      </c>
      <c r="E1013" s="10">
        <f>CHOOSE(CONTROL!$C$42, 40.3824, 40.3824) * CHOOSE(CONTROL!$C$21, $C$9, 100%, $E$9)</f>
        <v>40.382399999999997</v>
      </c>
      <c r="F1013" s="10">
        <f>CHOOSE(CONTROL!$C$42, 40.1098, 40.1098)*CHOOSE(CONTROL!$C$21, $C$9, 100%, $E$9)</f>
        <v>40.1098</v>
      </c>
      <c r="G1013" s="10">
        <f>CHOOSE(CONTROL!$C$42, 40.1266, 40.1266)*CHOOSE(CONTROL!$C$21, $C$9, 100%, $E$9)</f>
        <v>40.126600000000003</v>
      </c>
      <c r="H1013" s="10">
        <f>CHOOSE(CONTROL!$C$42, 40.3707, 40.3707) * CHOOSE(CONTROL!$C$21, $C$9, 100%, $E$9)</f>
        <v>40.370699999999999</v>
      </c>
      <c r="I1013" s="10">
        <f>CHOOSE(CONTROL!$C$42, 40.1427, 40.1427)* CHOOSE(CONTROL!$C$21, $C$9, 100%, $E$9)</f>
        <v>40.142699999999998</v>
      </c>
      <c r="J1013" s="10">
        <f>CHOOSE(CONTROL!$C$42, 40.1024, 40.1024)* CHOOSE(CONTROL!$C$21, $C$9, 100%, $E$9)</f>
        <v>40.102400000000003</v>
      </c>
      <c r="K1013" s="10">
        <f>CHOOSE(CONTROL!$C$42, 39.0462, 39.0462) * CHOOSE(CONTROL!$C$21, $C$9, 100%, $E$9)</f>
        <v>39.046199999999999</v>
      </c>
      <c r="L1013" s="10">
        <f>CHOOSE(CONTROL!$C$42, 40.9577, 40.9577) * CHOOSE(CONTROL!$C$21, $C$9, 100%, $E$9)</f>
        <v>40.957700000000003</v>
      </c>
      <c r="M1013" s="10">
        <f>CHOOSE(CONTROL!$C$42, 39.6162, 39.6162) * CHOOSE(CONTROL!$C$21, $C$9, 100%, $E$9)</f>
        <v>39.616199999999999</v>
      </c>
      <c r="N1013" s="10">
        <f>CHOOSE(CONTROL!$C$42, 39.6329, 39.6329) * CHOOSE(CONTROL!$C$21, $C$9, 100%, $E$9)</f>
        <v>39.632899999999999</v>
      </c>
      <c r="O1013" s="10">
        <f>CHOOSE(CONTROL!$C$42, 39.8812, 39.8812) * CHOOSE(CONTROL!$C$21, $C$9, 100%, $E$9)</f>
        <v>39.8812</v>
      </c>
      <c r="P1013" s="10">
        <f>CHOOSE(CONTROL!$C$42, 39.6561, 39.6561) * CHOOSE(CONTROL!$C$21, $C$9, 100%, $E$9)</f>
        <v>39.656100000000002</v>
      </c>
      <c r="Q1013" s="10">
        <f>CHOOSE(CONTROL!$C$42, 40.4765, 40.4765) * CHOOSE(CONTROL!$C$21, $C$9, 100%, $E$9)</f>
        <v>40.476500000000001</v>
      </c>
      <c r="R1013" s="10">
        <f>CHOOSE(CONTROL!$C$42, 41.1646, 41.1646) * CHOOSE(CONTROL!$C$21, $C$9, 100%, $E$9)</f>
        <v>41.1646</v>
      </c>
      <c r="S1013" s="10">
        <f>CHOOSE(CONTROL!$C$42, 38.9093, 38.9093) * CHOOSE(CONTROL!$C$21, $C$9, 100%, $E$9)</f>
        <v>38.909300000000002</v>
      </c>
      <c r="T1013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38">
        <f>(1000*CHOOSE(CONTROL!$C$42, 695, 695)*CHOOSE(CONTROL!$C$42, 0.5599, 0.5599)*CHOOSE(CONTROL!$C$42, 31, 31))/1000000</f>
        <v>12.063045499999998</v>
      </c>
      <c r="V1013" s="38">
        <f>(1000*CHOOSE(CONTROL!$C$42, 500, 500)*CHOOSE(CONTROL!$C$42, 0.275, 0.275)*CHOOSE(CONTROL!$C$42, 31, 31))/1000000</f>
        <v>4.2625000000000002</v>
      </c>
      <c r="W1013" s="38">
        <f>(1000*CHOOSE(CONTROL!$C$42, 0.1146, 0.1146)*CHOOSE(CONTROL!$C$42, 121.5, 121.5)*CHOOSE(CONTROL!$C$42, 31, 31))/1000000</f>
        <v>0.43164089999999994</v>
      </c>
      <c r="X1013" s="38">
        <f>(31*0.1790888*245000/1000000)+(31*0.2374*100000/1000000)</f>
        <v>2.0961194359999999</v>
      </c>
      <c r="Y1013" s="38">
        <f>(1000*600*CHOOSE(CONTROL!$C$42, 1.0585, 1.0585)*CHOOSE(CONTROL!$C$42, 31, 31))/1000000</f>
        <v>19.688099999999999</v>
      </c>
      <c r="Z1013" s="38"/>
      <c r="AA1013" s="10"/>
      <c r="AB1013" s="39"/>
      <c r="AC1013" s="33">
        <f>(B1013*194.205+C1013*267.466+D1013*133.845+E1013*53.484+F1013*40+G1013*185+H1013*0+I1013*100+J1013*300)/(194.205+267.466+133.845+53.484+0+40+185+100+300)</f>
        <v>40.172690948744112</v>
      </c>
      <c r="AD1013" s="27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39.743010071942443</v>
      </c>
    </row>
    <row r="1014" spans="1:30" ht="15.75" x14ac:dyDescent="0.25">
      <c r="A1014" s="13">
        <v>72136</v>
      </c>
      <c r="B1014" s="10">
        <f>CHOOSE(CONTROL!$C$42, 41.3079, 41.3079) * CHOOSE(CONTROL!$C$21, $C$9, 100%, $E$9)</f>
        <v>41.307899999999997</v>
      </c>
      <c r="C1014" s="10">
        <f>CHOOSE(CONTROL!$C$42, 41.3159, 41.3159) * CHOOSE(CONTROL!$C$21, $C$9, 100%, $E$9)</f>
        <v>41.315899999999999</v>
      </c>
      <c r="D1014" s="10">
        <f>CHOOSE(CONTROL!$C$42, 41.491, 41.491) * CHOOSE(CONTROL!$C$21, $C$9, 100%, $E$9)</f>
        <v>41.491</v>
      </c>
      <c r="E1014" s="10">
        <f>CHOOSE(CONTROL!$C$42, 41.5222, 41.5222) * CHOOSE(CONTROL!$C$21, $C$9, 100%, $E$9)</f>
        <v>41.522199999999998</v>
      </c>
      <c r="F1014" s="10">
        <f>CHOOSE(CONTROL!$C$42, 41.2498, 41.2498)*CHOOSE(CONTROL!$C$21, $C$9, 100%, $E$9)</f>
        <v>41.2498</v>
      </c>
      <c r="G1014" s="10">
        <f>CHOOSE(CONTROL!$C$42, 41.2667, 41.2667)*CHOOSE(CONTROL!$C$21, $C$9, 100%, $E$9)</f>
        <v>41.2667</v>
      </c>
      <c r="H1014" s="10">
        <f>CHOOSE(CONTROL!$C$42, 41.5106, 41.5106) * CHOOSE(CONTROL!$C$21, $C$9, 100%, $E$9)</f>
        <v>41.510599999999997</v>
      </c>
      <c r="I1014" s="10">
        <f>CHOOSE(CONTROL!$C$42, 41.2825, 41.2825)* CHOOSE(CONTROL!$C$21, $C$9, 100%, $E$9)</f>
        <v>41.282499999999999</v>
      </c>
      <c r="J1014" s="10">
        <f>CHOOSE(CONTROL!$C$42, 41.2424, 41.2424)* CHOOSE(CONTROL!$C$21, $C$9, 100%, $E$9)</f>
        <v>41.242400000000004</v>
      </c>
      <c r="K1014" s="10">
        <f>CHOOSE(CONTROL!$C$42, 40.1509, 40.1509) * CHOOSE(CONTROL!$C$21, $C$9, 100%, $E$9)</f>
        <v>40.1509</v>
      </c>
      <c r="L1014" s="10">
        <f>CHOOSE(CONTROL!$C$42, 42.0976, 42.0976) * CHOOSE(CONTROL!$C$21, $C$9, 100%, $E$9)</f>
        <v>42.0976</v>
      </c>
      <c r="M1014" s="10">
        <f>CHOOSE(CONTROL!$C$42, 40.7415, 40.7415) * CHOOSE(CONTROL!$C$21, $C$9, 100%, $E$9)</f>
        <v>40.741500000000002</v>
      </c>
      <c r="N1014" s="10">
        <f>CHOOSE(CONTROL!$C$42, 40.7582, 40.7582) * CHOOSE(CONTROL!$C$21, $C$9, 100%, $E$9)</f>
        <v>40.758200000000002</v>
      </c>
      <c r="O1014" s="10">
        <f>CHOOSE(CONTROL!$C$42, 41.0062, 41.0062) * CHOOSE(CONTROL!$C$21, $C$9, 100%, $E$9)</f>
        <v>41.0062</v>
      </c>
      <c r="P1014" s="10">
        <f>CHOOSE(CONTROL!$C$42, 40.7812, 40.7812) * CHOOSE(CONTROL!$C$21, $C$9, 100%, $E$9)</f>
        <v>40.781199999999998</v>
      </c>
      <c r="Q1014" s="10">
        <f>CHOOSE(CONTROL!$C$42, 41.6015, 41.6015) * CHOOSE(CONTROL!$C$21, $C$9, 100%, $E$9)</f>
        <v>41.601500000000001</v>
      </c>
      <c r="R1014" s="10">
        <f>CHOOSE(CONTROL!$C$42, 42.2925, 42.2925) * CHOOSE(CONTROL!$C$21, $C$9, 100%, $E$9)</f>
        <v>42.292499999999997</v>
      </c>
      <c r="S1014" s="10">
        <f>CHOOSE(CONTROL!$C$42, 40.013, 40.013) * CHOOSE(CONTROL!$C$21, $C$9, 100%, $E$9)</f>
        <v>40.012999999999998</v>
      </c>
      <c r="T1014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38">
        <f>(1000*CHOOSE(CONTROL!$C$42, 695, 695)*CHOOSE(CONTROL!$C$42, 0.5599, 0.5599)*CHOOSE(CONTROL!$C$42, 30, 30))/1000000</f>
        <v>11.673914999999997</v>
      </c>
      <c r="V1014" s="38">
        <f>(1000*CHOOSE(CONTROL!$C$42, 500, 500)*CHOOSE(CONTROL!$C$42, 0.275, 0.275)*CHOOSE(CONTROL!$C$42, 30, 30))/1000000</f>
        <v>4.125</v>
      </c>
      <c r="W1014" s="38">
        <f>(1000*CHOOSE(CONTROL!$C$42, 0.1146, 0.1146)*CHOOSE(CONTROL!$C$42, 121.5, 121.5)*CHOOSE(CONTROL!$C$42, 30, 30))/1000000</f>
        <v>0.417717</v>
      </c>
      <c r="X1014" s="38">
        <f>(30*0.1790888*245000/1000000)+(30*0.2374*100000/1000000)</f>
        <v>2.0285026799999999</v>
      </c>
      <c r="Y1014" s="38">
        <f>(1000*600*CHOOSE(CONTROL!$C$42, 1.0585, 1.0585)*CHOOSE(CONTROL!$C$42, 30, 30))/1000000</f>
        <v>19.053000000000001</v>
      </c>
      <c r="Z1014" s="38"/>
      <c r="AA1014" s="10"/>
      <c r="AB1014" s="39"/>
      <c r="AC1014" s="33">
        <f>(B1014*194.205+C1014*267.466+D1014*133.845+E1014*53.484+F1014*40+G1014*185+H1014*0+I1014*100+J1014*300)/(194.205+267.466+133.845+53.484+0+40+185+100+300)</f>
        <v>41.312587887519626</v>
      </c>
      <c r="AD1014" s="27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40.868145323741011</v>
      </c>
    </row>
    <row r="1015" spans="1:30" ht="15.75" x14ac:dyDescent="0.25">
      <c r="A1015" s="13">
        <v>72167</v>
      </c>
      <c r="B1015" s="10">
        <f>CHOOSE(CONTROL!$C$42, 40.5151, 40.5151) * CHOOSE(CONTROL!$C$21, $C$9, 100%, $E$9)</f>
        <v>40.515099999999997</v>
      </c>
      <c r="C1015" s="10">
        <f>CHOOSE(CONTROL!$C$42, 40.5231, 40.5231) * CHOOSE(CONTROL!$C$21, $C$9, 100%, $E$9)</f>
        <v>40.523099999999999</v>
      </c>
      <c r="D1015" s="10">
        <f>CHOOSE(CONTROL!$C$42, 40.6983, 40.6983) * CHOOSE(CONTROL!$C$21, $C$9, 100%, $E$9)</f>
        <v>40.698300000000003</v>
      </c>
      <c r="E1015" s="10">
        <f>CHOOSE(CONTROL!$C$42, 40.7295, 40.7295) * CHOOSE(CONTROL!$C$21, $C$9, 100%, $E$9)</f>
        <v>40.729500000000002</v>
      </c>
      <c r="F1015" s="10">
        <f>CHOOSE(CONTROL!$C$42, 40.4574, 40.4574)*CHOOSE(CONTROL!$C$21, $C$9, 100%, $E$9)</f>
        <v>40.4574</v>
      </c>
      <c r="G1015" s="10">
        <f>CHOOSE(CONTROL!$C$42, 40.4744, 40.4744)*CHOOSE(CONTROL!$C$21, $C$9, 100%, $E$9)</f>
        <v>40.474400000000003</v>
      </c>
      <c r="H1015" s="10">
        <f>CHOOSE(CONTROL!$C$42, 40.7178, 40.7178) * CHOOSE(CONTROL!$C$21, $C$9, 100%, $E$9)</f>
        <v>40.717799999999997</v>
      </c>
      <c r="I1015" s="10">
        <f>CHOOSE(CONTROL!$C$42, 40.4898, 40.4898)* CHOOSE(CONTROL!$C$21, $C$9, 100%, $E$9)</f>
        <v>40.489800000000002</v>
      </c>
      <c r="J1015" s="10">
        <f>CHOOSE(CONTROL!$C$42, 40.45, 40.45)* CHOOSE(CONTROL!$C$21, $C$9, 100%, $E$9)</f>
        <v>40.450000000000003</v>
      </c>
      <c r="K1015" s="10">
        <f>CHOOSE(CONTROL!$C$42, 39.3836, 39.3836) * CHOOSE(CONTROL!$C$21, $C$9, 100%, $E$9)</f>
        <v>39.383600000000001</v>
      </c>
      <c r="L1015" s="10">
        <f>CHOOSE(CONTROL!$C$42, 41.3048, 41.3048) * CHOOSE(CONTROL!$C$21, $C$9, 100%, $E$9)</f>
        <v>41.3048</v>
      </c>
      <c r="M1015" s="10">
        <f>CHOOSE(CONTROL!$C$42, 39.9593, 39.9593) * CHOOSE(CONTROL!$C$21, $C$9, 100%, $E$9)</f>
        <v>39.959299999999999</v>
      </c>
      <c r="N1015" s="10">
        <f>CHOOSE(CONTROL!$C$42, 39.9762, 39.9762) * CHOOSE(CONTROL!$C$21, $C$9, 100%, $E$9)</f>
        <v>39.976199999999999</v>
      </c>
      <c r="O1015" s="10">
        <f>CHOOSE(CONTROL!$C$42, 40.2237, 40.2237) * CHOOSE(CONTROL!$C$21, $C$9, 100%, $E$9)</f>
        <v>40.223700000000001</v>
      </c>
      <c r="P1015" s="10">
        <f>CHOOSE(CONTROL!$C$42, 39.9987, 39.9987) * CHOOSE(CONTROL!$C$21, $C$9, 100%, $E$9)</f>
        <v>39.998699999999999</v>
      </c>
      <c r="Q1015" s="10">
        <f>CHOOSE(CONTROL!$C$42, 40.819, 40.819) * CHOOSE(CONTROL!$C$21, $C$9, 100%, $E$9)</f>
        <v>40.819000000000003</v>
      </c>
      <c r="R1015" s="10">
        <f>CHOOSE(CONTROL!$C$42, 41.5081, 41.5081) * CHOOSE(CONTROL!$C$21, $C$9, 100%, $E$9)</f>
        <v>41.508099999999999</v>
      </c>
      <c r="S1015" s="10">
        <f>CHOOSE(CONTROL!$C$42, 39.2454, 39.2454) * CHOOSE(CONTROL!$C$21, $C$9, 100%, $E$9)</f>
        <v>39.245399999999997</v>
      </c>
      <c r="T1015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38">
        <f>(1000*CHOOSE(CONTROL!$C$42, 695, 695)*CHOOSE(CONTROL!$C$42, 0.5599, 0.5599)*CHOOSE(CONTROL!$C$42, 31, 31))/1000000</f>
        <v>12.063045499999998</v>
      </c>
      <c r="V1015" s="38">
        <f>(1000*CHOOSE(CONTROL!$C$42, 500, 500)*CHOOSE(CONTROL!$C$42, 0.275, 0.275)*CHOOSE(CONTROL!$C$42, 31, 31))/1000000</f>
        <v>4.2625000000000002</v>
      </c>
      <c r="W1015" s="38">
        <f>(1000*CHOOSE(CONTROL!$C$42, 0.1146, 0.1146)*CHOOSE(CONTROL!$C$42, 121.5, 121.5)*CHOOSE(CONTROL!$C$42, 31, 31))/1000000</f>
        <v>0.43164089999999994</v>
      </c>
      <c r="X1015" s="38">
        <f>(31*0.1790888*245000/1000000)+(31*0.2374*100000/1000000)</f>
        <v>2.0961194359999999</v>
      </c>
      <c r="Y1015" s="38">
        <f>(1000*600*CHOOSE(CONTROL!$C$42, 1.0585, 1.0585)*CHOOSE(CONTROL!$C$42, 31, 31))/1000000</f>
        <v>19.688099999999999</v>
      </c>
      <c r="Z1015" s="38"/>
      <c r="AA1015" s="10"/>
      <c r="AB1015" s="39"/>
      <c r="AC1015" s="33">
        <f>(B1015*194.205+C1015*267.466+D1015*133.845+E1015*53.484+F1015*40+G1015*185+H1015*0+I1015*100+J1015*300)/(194.205+267.466+133.845+53.484+0+40+185+100+300)</f>
        <v>40.519989797174254</v>
      </c>
      <c r="AD1015" s="27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40.085777697841728</v>
      </c>
    </row>
    <row r="1016" spans="1:30" ht="15.75" x14ac:dyDescent="0.25">
      <c r="A1016" s="13">
        <v>72198</v>
      </c>
      <c r="B1016" s="10">
        <f>CHOOSE(CONTROL!$C$42, 38.5132, 38.5132) * CHOOSE(CONTROL!$C$21, $C$9, 100%, $E$9)</f>
        <v>38.513199999999998</v>
      </c>
      <c r="C1016" s="10">
        <f>CHOOSE(CONTROL!$C$42, 38.5212, 38.5212) * CHOOSE(CONTROL!$C$21, $C$9, 100%, $E$9)</f>
        <v>38.5212</v>
      </c>
      <c r="D1016" s="10">
        <f>CHOOSE(CONTROL!$C$42, 38.6963, 38.6963) * CHOOSE(CONTROL!$C$21, $C$9, 100%, $E$9)</f>
        <v>38.696300000000001</v>
      </c>
      <c r="E1016" s="10">
        <f>CHOOSE(CONTROL!$C$42, 38.7275, 38.7275) * CHOOSE(CONTROL!$C$21, $C$9, 100%, $E$9)</f>
        <v>38.727499999999999</v>
      </c>
      <c r="F1016" s="10">
        <f>CHOOSE(CONTROL!$C$42, 38.4553, 38.4553)*CHOOSE(CONTROL!$C$21, $C$9, 100%, $E$9)</f>
        <v>38.455300000000001</v>
      </c>
      <c r="G1016" s="10">
        <f>CHOOSE(CONTROL!$C$42, 38.4723, 38.4723)*CHOOSE(CONTROL!$C$21, $C$9, 100%, $E$9)</f>
        <v>38.472299999999997</v>
      </c>
      <c r="H1016" s="10">
        <f>CHOOSE(CONTROL!$C$42, 38.7159, 38.7159) * CHOOSE(CONTROL!$C$21, $C$9, 100%, $E$9)</f>
        <v>38.715899999999998</v>
      </c>
      <c r="I1016" s="10">
        <f>CHOOSE(CONTROL!$C$42, 38.4878, 38.4878)* CHOOSE(CONTROL!$C$21, $C$9, 100%, $E$9)</f>
        <v>38.4878</v>
      </c>
      <c r="J1016" s="10">
        <f>CHOOSE(CONTROL!$C$42, 38.4479, 38.4479)* CHOOSE(CONTROL!$C$21, $C$9, 100%, $E$9)</f>
        <v>38.447899999999997</v>
      </c>
      <c r="K1016" s="10">
        <f>CHOOSE(CONTROL!$C$42, 37.4439, 37.4439) * CHOOSE(CONTROL!$C$21, $C$9, 100%, $E$9)</f>
        <v>37.443899999999999</v>
      </c>
      <c r="L1016" s="10">
        <f>CHOOSE(CONTROL!$C$42, 39.3029, 39.3029) * CHOOSE(CONTROL!$C$21, $C$9, 100%, $E$9)</f>
        <v>39.302900000000001</v>
      </c>
      <c r="M1016" s="10">
        <f>CHOOSE(CONTROL!$C$42, 37.9832, 37.9832) * CHOOSE(CONTROL!$C$21, $C$9, 100%, $E$9)</f>
        <v>37.983199999999997</v>
      </c>
      <c r="N1016" s="10">
        <f>CHOOSE(CONTROL!$C$42, 38, 38) * CHOOSE(CONTROL!$C$21, $C$9, 100%, $E$9)</f>
        <v>38</v>
      </c>
      <c r="O1016" s="10">
        <f>CHOOSE(CONTROL!$C$42, 38.2477, 38.2477) * CHOOSE(CONTROL!$C$21, $C$9, 100%, $E$9)</f>
        <v>38.247700000000002</v>
      </c>
      <c r="P1016" s="10">
        <f>CHOOSE(CONTROL!$C$42, 38.0227, 38.0227) * CHOOSE(CONTROL!$C$21, $C$9, 100%, $E$9)</f>
        <v>38.0227</v>
      </c>
      <c r="Q1016" s="10">
        <f>CHOOSE(CONTROL!$C$42, 38.843, 38.843) * CHOOSE(CONTROL!$C$21, $C$9, 100%, $E$9)</f>
        <v>38.843000000000004</v>
      </c>
      <c r="R1016" s="10">
        <f>CHOOSE(CONTROL!$C$42, 39.5271, 39.5271) * CHOOSE(CONTROL!$C$21, $C$9, 100%, $E$9)</f>
        <v>39.527099999999997</v>
      </c>
      <c r="S1016" s="10">
        <f>CHOOSE(CONTROL!$C$42, 37.3069, 37.3069) * CHOOSE(CONTROL!$C$21, $C$9, 100%, $E$9)</f>
        <v>37.306899999999999</v>
      </c>
      <c r="T1016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38">
        <f>(1000*CHOOSE(CONTROL!$C$42, 695, 695)*CHOOSE(CONTROL!$C$42, 0.5599, 0.5599)*CHOOSE(CONTROL!$C$42, 31, 31))/1000000</f>
        <v>12.063045499999998</v>
      </c>
      <c r="V1016" s="38">
        <f>(1000*CHOOSE(CONTROL!$C$42, 500, 500)*CHOOSE(CONTROL!$C$42, 0.275, 0.275)*CHOOSE(CONTROL!$C$42, 31, 31))/1000000</f>
        <v>4.2625000000000002</v>
      </c>
      <c r="W1016" s="38">
        <f>(1000*CHOOSE(CONTROL!$C$42, 0.1146, 0.1146)*CHOOSE(CONTROL!$C$42, 121.5, 121.5)*CHOOSE(CONTROL!$C$42, 31, 31))/1000000</f>
        <v>0.43164089999999994</v>
      </c>
      <c r="X1016" s="38">
        <f>(31*0.1790888*245000/1000000)+(31*0.2374*100000/1000000)</f>
        <v>2.0961194359999999</v>
      </c>
      <c r="Y1016" s="38">
        <f>(1000*600*CHOOSE(CONTROL!$C$42, 1.0585, 1.0585)*CHOOSE(CONTROL!$C$42, 31, 31))/1000000</f>
        <v>19.688099999999999</v>
      </c>
      <c r="Z1016" s="38"/>
      <c r="AA1016" s="10"/>
      <c r="AB1016" s="39"/>
      <c r="AC1016" s="33">
        <f>(B1016*194.205+C1016*267.466+D1016*133.845+E1016*53.484+F1016*40+G1016*185+H1016*0+I1016*100+J1016*300)/(194.205+267.466+133.845+53.484+0+40+185+100+300)</f>
        <v>38.517984826295127</v>
      </c>
      <c r="AD1016" s="27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38.109731654676253</v>
      </c>
    </row>
    <row r="1017" spans="1:30" ht="15.75" x14ac:dyDescent="0.25">
      <c r="A1017" s="13">
        <v>72228</v>
      </c>
      <c r="B1017" s="10">
        <f>CHOOSE(CONTROL!$C$42, 36.0672, 36.0672) * CHOOSE(CONTROL!$C$21, $C$9, 100%, $E$9)</f>
        <v>36.0672</v>
      </c>
      <c r="C1017" s="10">
        <f>CHOOSE(CONTROL!$C$42, 36.0752, 36.0752) * CHOOSE(CONTROL!$C$21, $C$9, 100%, $E$9)</f>
        <v>36.075200000000002</v>
      </c>
      <c r="D1017" s="10">
        <f>CHOOSE(CONTROL!$C$42, 36.2503, 36.2503) * CHOOSE(CONTROL!$C$21, $C$9, 100%, $E$9)</f>
        <v>36.250300000000003</v>
      </c>
      <c r="E1017" s="10">
        <f>CHOOSE(CONTROL!$C$42, 36.2815, 36.2815) * CHOOSE(CONTROL!$C$21, $C$9, 100%, $E$9)</f>
        <v>36.281500000000001</v>
      </c>
      <c r="F1017" s="10">
        <f>CHOOSE(CONTROL!$C$42, 36.009, 36.009)*CHOOSE(CONTROL!$C$21, $C$9, 100%, $E$9)</f>
        <v>36.009</v>
      </c>
      <c r="G1017" s="10">
        <f>CHOOSE(CONTROL!$C$42, 36.0259, 36.0259)*CHOOSE(CONTROL!$C$21, $C$9, 100%, $E$9)</f>
        <v>36.0259</v>
      </c>
      <c r="H1017" s="10">
        <f>CHOOSE(CONTROL!$C$42, 36.2699, 36.2699) * CHOOSE(CONTROL!$C$21, $C$9, 100%, $E$9)</f>
        <v>36.2699</v>
      </c>
      <c r="I1017" s="10">
        <f>CHOOSE(CONTROL!$C$42, 36.0418, 36.0418)* CHOOSE(CONTROL!$C$21, $C$9, 100%, $E$9)</f>
        <v>36.041800000000002</v>
      </c>
      <c r="J1017" s="10">
        <f>CHOOSE(CONTROL!$C$42, 36.0016, 36.0016)* CHOOSE(CONTROL!$C$21, $C$9, 100%, $E$9)</f>
        <v>36.001600000000003</v>
      </c>
      <c r="K1017" s="10">
        <f>CHOOSE(CONTROL!$C$42, 35.0736, 35.0736) * CHOOSE(CONTROL!$C$21, $C$9, 100%, $E$9)</f>
        <v>35.073599999999999</v>
      </c>
      <c r="L1017" s="10">
        <f>CHOOSE(CONTROL!$C$42, 36.8569, 36.8569) * CHOOSE(CONTROL!$C$21, $C$9, 100%, $E$9)</f>
        <v>36.856900000000003</v>
      </c>
      <c r="M1017" s="10">
        <f>CHOOSE(CONTROL!$C$42, 35.5686, 35.5686) * CHOOSE(CONTROL!$C$21, $C$9, 100%, $E$9)</f>
        <v>35.568600000000004</v>
      </c>
      <c r="N1017" s="10">
        <f>CHOOSE(CONTROL!$C$42, 35.5853, 35.5853) * CHOOSE(CONTROL!$C$21, $C$9, 100%, $E$9)</f>
        <v>35.585299999999997</v>
      </c>
      <c r="O1017" s="10">
        <f>CHOOSE(CONTROL!$C$42, 35.8334, 35.8334) * CHOOSE(CONTROL!$C$21, $C$9, 100%, $E$9)</f>
        <v>35.833399999999997</v>
      </c>
      <c r="P1017" s="10">
        <f>CHOOSE(CONTROL!$C$42, 35.6083, 35.6083) * CHOOSE(CONTROL!$C$21, $C$9, 100%, $E$9)</f>
        <v>35.6083</v>
      </c>
      <c r="Q1017" s="10">
        <f>CHOOSE(CONTROL!$C$42, 36.4287, 36.4287) * CHOOSE(CONTROL!$C$21, $C$9, 100%, $E$9)</f>
        <v>36.428699999999999</v>
      </c>
      <c r="R1017" s="10">
        <f>CHOOSE(CONTROL!$C$42, 37.1067, 37.1067) * CHOOSE(CONTROL!$C$21, $C$9, 100%, $E$9)</f>
        <v>37.106699999999996</v>
      </c>
      <c r="S1017" s="10">
        <f>CHOOSE(CONTROL!$C$42, 34.9385, 34.9385) * CHOOSE(CONTROL!$C$21, $C$9, 100%, $E$9)</f>
        <v>34.938499999999998</v>
      </c>
      <c r="T1017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38">
        <f>(1000*CHOOSE(CONTROL!$C$42, 695, 695)*CHOOSE(CONTROL!$C$42, 0.5599, 0.5599)*CHOOSE(CONTROL!$C$42, 30, 30))/1000000</f>
        <v>11.673914999999997</v>
      </c>
      <c r="V1017" s="38">
        <f>(1000*CHOOSE(CONTROL!$C$42, 500, 500)*CHOOSE(CONTROL!$C$42, 0.275, 0.275)*CHOOSE(CONTROL!$C$42, 30, 30))/1000000</f>
        <v>4.125</v>
      </c>
      <c r="W1017" s="38">
        <f>(1000*CHOOSE(CONTROL!$C$42, 0.1146, 0.1146)*CHOOSE(CONTROL!$C$42, 121.5, 121.5)*CHOOSE(CONTROL!$C$42, 30, 30))/1000000</f>
        <v>0.417717</v>
      </c>
      <c r="X1017" s="38">
        <f>(30*0.1790888*245000/1000000)+(30*0.2374*100000/1000000)</f>
        <v>2.0285026799999999</v>
      </c>
      <c r="Y1017" s="38">
        <f>(1000*600*CHOOSE(CONTROL!$C$42, 1.0585, 1.0585)*CHOOSE(CONTROL!$C$42, 30, 30))/1000000</f>
        <v>19.053000000000001</v>
      </c>
      <c r="Z1017" s="38"/>
      <c r="AA1017" s="10"/>
      <c r="AB1017" s="39"/>
      <c r="AC1017" s="33">
        <f>(B1017*194.205+C1017*267.466+D1017*133.845+E1017*53.484+F1017*40+G1017*185+H1017*0+I1017*100+J1017*300)/(194.205+267.466+133.845+53.484+0+40+185+100+300)</f>
        <v>36.07184667872842</v>
      </c>
      <c r="AD1017" s="27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35.695290647482011</v>
      </c>
    </row>
    <row r="1018" spans="1:30" ht="15.75" x14ac:dyDescent="0.25">
      <c r="A1018" s="13">
        <v>72259</v>
      </c>
      <c r="B1018" s="10">
        <f>CHOOSE(CONTROL!$C$42, 35.3325, 35.3325) * CHOOSE(CONTROL!$C$21, $C$9, 100%, $E$9)</f>
        <v>35.332500000000003</v>
      </c>
      <c r="C1018" s="10">
        <f>CHOOSE(CONTROL!$C$42, 35.3378, 35.3378) * CHOOSE(CONTROL!$C$21, $C$9, 100%, $E$9)</f>
        <v>35.337800000000001</v>
      </c>
      <c r="D1018" s="10">
        <f>CHOOSE(CONTROL!$C$42, 35.5178, 35.5178) * CHOOSE(CONTROL!$C$21, $C$9, 100%, $E$9)</f>
        <v>35.517800000000001</v>
      </c>
      <c r="E1018" s="10">
        <f>CHOOSE(CONTROL!$C$42, 35.5467, 35.5467) * CHOOSE(CONTROL!$C$21, $C$9, 100%, $E$9)</f>
        <v>35.546700000000001</v>
      </c>
      <c r="F1018" s="10">
        <f>CHOOSE(CONTROL!$C$42, 35.2763, 35.2763)*CHOOSE(CONTROL!$C$21, $C$9, 100%, $E$9)</f>
        <v>35.276299999999999</v>
      </c>
      <c r="G1018" s="10">
        <f>CHOOSE(CONTROL!$C$42, 35.2929, 35.2929)*CHOOSE(CONTROL!$C$21, $C$9, 100%, $E$9)</f>
        <v>35.292900000000003</v>
      </c>
      <c r="H1018" s="10">
        <f>CHOOSE(CONTROL!$C$42, 35.5369, 35.5369) * CHOOSE(CONTROL!$C$21, $C$9, 100%, $E$9)</f>
        <v>35.536900000000003</v>
      </c>
      <c r="I1018" s="10">
        <f>CHOOSE(CONTROL!$C$42, 35.3088, 35.3088)* CHOOSE(CONTROL!$C$21, $C$9, 100%, $E$9)</f>
        <v>35.308799999999998</v>
      </c>
      <c r="J1018" s="10">
        <f>CHOOSE(CONTROL!$C$42, 35.2689, 35.2689)* CHOOSE(CONTROL!$C$21, $C$9, 100%, $E$9)</f>
        <v>35.268900000000002</v>
      </c>
      <c r="K1018" s="10">
        <f>CHOOSE(CONTROL!$C$42, 34.3641, 34.3641) * CHOOSE(CONTROL!$C$21, $C$9, 100%, $E$9)</f>
        <v>34.364100000000001</v>
      </c>
      <c r="L1018" s="10">
        <f>CHOOSE(CONTROL!$C$42, 36.1239, 36.1239) * CHOOSE(CONTROL!$C$21, $C$9, 100%, $E$9)</f>
        <v>36.123899999999999</v>
      </c>
      <c r="M1018" s="10">
        <f>CHOOSE(CONTROL!$C$42, 34.8453, 34.8453) * CHOOSE(CONTROL!$C$21, $C$9, 100%, $E$9)</f>
        <v>34.845300000000002</v>
      </c>
      <c r="N1018" s="10">
        <f>CHOOSE(CONTROL!$C$42, 34.8617, 34.8617) * CHOOSE(CONTROL!$C$21, $C$9, 100%, $E$9)</f>
        <v>34.861699999999999</v>
      </c>
      <c r="O1018" s="10">
        <f>CHOOSE(CONTROL!$C$42, 35.1099, 35.1099) * CHOOSE(CONTROL!$C$21, $C$9, 100%, $E$9)</f>
        <v>35.109900000000003</v>
      </c>
      <c r="P1018" s="10">
        <f>CHOOSE(CONTROL!$C$42, 34.8848, 34.8848) * CHOOSE(CONTROL!$C$21, $C$9, 100%, $E$9)</f>
        <v>34.884799999999998</v>
      </c>
      <c r="Q1018" s="10">
        <f>CHOOSE(CONTROL!$C$42, 35.7052, 35.7052) * CHOOSE(CONTROL!$C$21, $C$9, 100%, $E$9)</f>
        <v>35.705199999999998</v>
      </c>
      <c r="R1018" s="10">
        <f>CHOOSE(CONTROL!$C$42, 36.3814, 36.3814) * CHOOSE(CONTROL!$C$21, $C$9, 100%, $E$9)</f>
        <v>36.381399999999999</v>
      </c>
      <c r="S1018" s="10">
        <f>CHOOSE(CONTROL!$C$42, 34.2287, 34.2287) * CHOOSE(CONTROL!$C$21, $C$9, 100%, $E$9)</f>
        <v>34.228700000000003</v>
      </c>
      <c r="T1018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38">
        <f>(1000*CHOOSE(CONTROL!$C$42, 695, 695)*CHOOSE(CONTROL!$C$42, 0.5599, 0.5599)*CHOOSE(CONTROL!$C$42, 31, 31))/1000000</f>
        <v>12.063045499999998</v>
      </c>
      <c r="V1018" s="38">
        <f>(1000*CHOOSE(CONTROL!$C$42, 500, 500)*CHOOSE(CONTROL!$C$42, 0.275, 0.275)*CHOOSE(CONTROL!$C$42, 31, 31))/1000000</f>
        <v>4.2625000000000002</v>
      </c>
      <c r="W1018" s="38">
        <f>(1000*CHOOSE(CONTROL!$C$42, 0.1146, 0.1146)*CHOOSE(CONTROL!$C$42, 121.5, 121.5)*CHOOSE(CONTROL!$C$42, 31, 31))/1000000</f>
        <v>0.43164089999999994</v>
      </c>
      <c r="X1018" s="38">
        <f>(31*0.1790888*245000/1000000)+(31*0.2374*100000/1000000)</f>
        <v>2.0961194359999999</v>
      </c>
      <c r="Y1018" s="38">
        <f>(1000*600*CHOOSE(CONTROL!$C$42, 1.0585, 1.0585)*CHOOSE(CONTROL!$C$42, 31, 31))/1000000</f>
        <v>19.688099999999999</v>
      </c>
      <c r="Z1018" s="38"/>
      <c r="AA1018" s="10"/>
      <c r="AB1018" s="39"/>
      <c r="AC1018" s="33">
        <f>(B1018*131.881+C1018*277.167+D1018*79.08+E1018*125.872+F1018*40+G1018*185+H1018*0+I1018*100+J1018*300)/(131.881+277.167+79.08+125.872+0+40+185+100+300)</f>
        <v>35.342233891444714</v>
      </c>
      <c r="AD1018" s="27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34.971853956834529</v>
      </c>
    </row>
    <row r="1019" spans="1:30" ht="15.75" x14ac:dyDescent="0.25">
      <c r="A1019" s="13">
        <v>72289</v>
      </c>
      <c r="B1019" s="10">
        <f>CHOOSE(CONTROL!$C$42, 36.2633, 36.2633) * CHOOSE(CONTROL!$C$21, $C$9, 100%, $E$9)</f>
        <v>36.263300000000001</v>
      </c>
      <c r="C1019" s="10">
        <f>CHOOSE(CONTROL!$C$42, 36.2684, 36.2684) * CHOOSE(CONTROL!$C$21, $C$9, 100%, $E$9)</f>
        <v>36.2684</v>
      </c>
      <c r="D1019" s="10">
        <f>CHOOSE(CONTROL!$C$42, 36.2931, 36.2931) * CHOOSE(CONTROL!$C$21, $C$9, 100%, $E$9)</f>
        <v>36.293100000000003</v>
      </c>
      <c r="E1019" s="10">
        <f>CHOOSE(CONTROL!$C$42, 36.3269, 36.3269) * CHOOSE(CONTROL!$C$21, $C$9, 100%, $E$9)</f>
        <v>36.326900000000002</v>
      </c>
      <c r="F1019" s="10">
        <f>CHOOSE(CONTROL!$C$42, 36.229, 36.229)*CHOOSE(CONTROL!$C$21, $C$9, 100%, $E$9)</f>
        <v>36.228999999999999</v>
      </c>
      <c r="G1019" s="10">
        <f>CHOOSE(CONTROL!$C$42, 36.2458, 36.2458)*CHOOSE(CONTROL!$C$21, $C$9, 100%, $E$9)</f>
        <v>36.245800000000003</v>
      </c>
      <c r="H1019" s="10">
        <f>CHOOSE(CONTROL!$C$42, 36.3158, 36.3158) * CHOOSE(CONTROL!$C$21, $C$9, 100%, $E$9)</f>
        <v>36.315800000000003</v>
      </c>
      <c r="I1019" s="10">
        <f>CHOOSE(CONTROL!$C$42, 36.2628, 36.2628)* CHOOSE(CONTROL!$C$21, $C$9, 100%, $E$9)</f>
        <v>36.262799999999999</v>
      </c>
      <c r="J1019" s="10">
        <f>CHOOSE(CONTROL!$C$42, 36.2216, 36.2216)* CHOOSE(CONTROL!$C$21, $C$9, 100%, $E$9)</f>
        <v>36.221600000000002</v>
      </c>
      <c r="K1019" s="10">
        <f>CHOOSE(CONTROL!$C$42, 35.2901, 35.2901) * CHOOSE(CONTROL!$C$21, $C$9, 100%, $E$9)</f>
        <v>35.290100000000002</v>
      </c>
      <c r="L1019" s="10">
        <f>CHOOSE(CONTROL!$C$42, 36.9028, 36.9028) * CHOOSE(CONTROL!$C$21, $C$9, 100%, $E$9)</f>
        <v>36.902799999999999</v>
      </c>
      <c r="M1019" s="10">
        <f>CHOOSE(CONTROL!$C$42, 35.7857, 35.7857) * CHOOSE(CONTROL!$C$21, $C$9, 100%, $E$9)</f>
        <v>35.785699999999999</v>
      </c>
      <c r="N1019" s="10">
        <f>CHOOSE(CONTROL!$C$42, 35.8023, 35.8023) * CHOOSE(CONTROL!$C$21, $C$9, 100%, $E$9)</f>
        <v>35.802300000000002</v>
      </c>
      <c r="O1019" s="10">
        <f>CHOOSE(CONTROL!$C$42, 35.8787, 35.8787) * CHOOSE(CONTROL!$C$21, $C$9, 100%, $E$9)</f>
        <v>35.878700000000002</v>
      </c>
      <c r="P1019" s="10">
        <f>CHOOSE(CONTROL!$C$42, 35.8265, 35.8265) * CHOOSE(CONTROL!$C$21, $C$9, 100%, $E$9)</f>
        <v>35.826500000000003</v>
      </c>
      <c r="Q1019" s="10">
        <f>CHOOSE(CONTROL!$C$42, 36.474, 36.474) * CHOOSE(CONTROL!$C$21, $C$9, 100%, $E$9)</f>
        <v>36.473999999999997</v>
      </c>
      <c r="R1019" s="10">
        <f>CHOOSE(CONTROL!$C$42, 37.1522, 37.1522) * CHOOSE(CONTROL!$C$21, $C$9, 100%, $E$9)</f>
        <v>37.152200000000001</v>
      </c>
      <c r="S1019" s="10">
        <f>CHOOSE(CONTROL!$C$42, 35.1304, 35.1304) * CHOOSE(CONTROL!$C$21, $C$9, 100%, $E$9)</f>
        <v>35.130400000000002</v>
      </c>
      <c r="T1019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38">
        <f>(1000*CHOOSE(CONTROL!$C$42, 695, 695)*CHOOSE(CONTROL!$C$42, 0.5599, 0.5599)*CHOOSE(CONTROL!$C$42, 30, 30))/1000000</f>
        <v>11.673914999999997</v>
      </c>
      <c r="V1019" s="38">
        <f>(1000*CHOOSE(CONTROL!$C$42, 500, 500)*CHOOSE(CONTROL!$C$42, 0.275, 0.275)*CHOOSE(CONTROL!$C$42, 30, 30))/1000000</f>
        <v>4.125</v>
      </c>
      <c r="W1019" s="38">
        <f>(1000*CHOOSE(CONTROL!$C$42, 0.1146, 0.1146)*CHOOSE(CONTROL!$C$42, 121.5, 121.5)*CHOOSE(CONTROL!$C$42, 30, 30))/1000000</f>
        <v>0.417717</v>
      </c>
      <c r="X1019" s="38">
        <f>(30*0.1790888*100000/1000000)+(30*0.2374*100000/1000000)</f>
        <v>1.2494664</v>
      </c>
      <c r="Y1019" s="38">
        <f>(1000*600*CHOOSE(CONTROL!$C$42, 1.0585, 1.0585)*CHOOSE(CONTROL!$C$42, 30, 30))/1000000</f>
        <v>19.053000000000001</v>
      </c>
      <c r="Z1019" s="38"/>
      <c r="AA1019" s="10"/>
      <c r="AB1019" s="39"/>
      <c r="AC1019" s="33">
        <f>(B1019*122.58+C1019*297.941+D1019*89.177+E1019*40.302+F1019*40+G1019*160+H1019*0+I1019*100+J1019*300)/(122.58+297.941+89.177+40.302+0+40+160+100+300)</f>
        <v>36.254611461652175</v>
      </c>
      <c r="AD1019" s="27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35.834676978417264</v>
      </c>
    </row>
    <row r="1020" spans="1:30" ht="15.75" x14ac:dyDescent="0.25">
      <c r="A1020" s="13">
        <v>72320</v>
      </c>
      <c r="B1020" s="10">
        <f>CHOOSE(CONTROL!$C$42, 38.7369, 38.7369) * CHOOSE(CONTROL!$C$21, $C$9, 100%, $E$9)</f>
        <v>38.736899999999999</v>
      </c>
      <c r="C1020" s="10">
        <f>CHOOSE(CONTROL!$C$42, 38.742, 38.742) * CHOOSE(CONTROL!$C$21, $C$9, 100%, $E$9)</f>
        <v>38.741999999999997</v>
      </c>
      <c r="D1020" s="10">
        <f>CHOOSE(CONTROL!$C$42, 38.7666, 38.7666) * CHOOSE(CONTROL!$C$21, $C$9, 100%, $E$9)</f>
        <v>38.766599999999997</v>
      </c>
      <c r="E1020" s="10">
        <f>CHOOSE(CONTROL!$C$42, 38.8004, 38.8004) * CHOOSE(CONTROL!$C$21, $C$9, 100%, $E$9)</f>
        <v>38.800400000000003</v>
      </c>
      <c r="F1020" s="10">
        <f>CHOOSE(CONTROL!$C$42, 38.7043, 38.7043)*CHOOSE(CONTROL!$C$21, $C$9, 100%, $E$9)</f>
        <v>38.704300000000003</v>
      </c>
      <c r="G1020" s="10">
        <f>CHOOSE(CONTROL!$C$42, 38.7216, 38.7216)*CHOOSE(CONTROL!$C$21, $C$9, 100%, $E$9)</f>
        <v>38.721600000000002</v>
      </c>
      <c r="H1020" s="10">
        <f>CHOOSE(CONTROL!$C$42, 38.7893, 38.7893) * CHOOSE(CONTROL!$C$21, $C$9, 100%, $E$9)</f>
        <v>38.789299999999997</v>
      </c>
      <c r="I1020" s="10">
        <f>CHOOSE(CONTROL!$C$42, 38.7364, 38.7364)* CHOOSE(CONTROL!$C$21, $C$9, 100%, $E$9)</f>
        <v>38.736400000000003</v>
      </c>
      <c r="J1020" s="10">
        <f>CHOOSE(CONTROL!$C$42, 38.6969, 38.6969)* CHOOSE(CONTROL!$C$21, $C$9, 100%, $E$9)</f>
        <v>38.696899999999999</v>
      </c>
      <c r="K1020" s="10">
        <f>CHOOSE(CONTROL!$C$42, 37.6902, 37.6902) * CHOOSE(CONTROL!$C$21, $C$9, 100%, $E$9)</f>
        <v>37.690199999999997</v>
      </c>
      <c r="L1020" s="10">
        <f>CHOOSE(CONTROL!$C$42, 39.3763, 39.3763) * CHOOSE(CONTROL!$C$21, $C$9, 100%, $E$9)</f>
        <v>39.376300000000001</v>
      </c>
      <c r="M1020" s="10">
        <f>CHOOSE(CONTROL!$C$42, 38.229, 38.229) * CHOOSE(CONTROL!$C$21, $C$9, 100%, $E$9)</f>
        <v>38.228999999999999</v>
      </c>
      <c r="N1020" s="10">
        <f>CHOOSE(CONTROL!$C$42, 38.246, 38.246) * CHOOSE(CONTROL!$C$21, $C$9, 100%, $E$9)</f>
        <v>38.246000000000002</v>
      </c>
      <c r="O1020" s="10">
        <f>CHOOSE(CONTROL!$C$42, 38.3202, 38.3202) * CHOOSE(CONTROL!$C$21, $C$9, 100%, $E$9)</f>
        <v>38.3202</v>
      </c>
      <c r="P1020" s="10">
        <f>CHOOSE(CONTROL!$C$42, 38.268, 38.268) * CHOOSE(CONTROL!$C$21, $C$9, 100%, $E$9)</f>
        <v>38.268000000000001</v>
      </c>
      <c r="Q1020" s="10">
        <f>CHOOSE(CONTROL!$C$42, 38.9155, 38.9155) * CHOOSE(CONTROL!$C$21, $C$9, 100%, $E$9)</f>
        <v>38.915500000000002</v>
      </c>
      <c r="R1020" s="10">
        <f>CHOOSE(CONTROL!$C$42, 39.5998, 39.5998) * CHOOSE(CONTROL!$C$21, $C$9, 100%, $E$9)</f>
        <v>39.599800000000002</v>
      </c>
      <c r="S1020" s="10">
        <f>CHOOSE(CONTROL!$C$42, 37.5256, 37.5256) * CHOOSE(CONTROL!$C$21, $C$9, 100%, $E$9)</f>
        <v>37.525599999999997</v>
      </c>
      <c r="T1020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38">
        <f>(1000*CHOOSE(CONTROL!$C$42, 695, 695)*CHOOSE(CONTROL!$C$42, 0.5599, 0.5599)*CHOOSE(CONTROL!$C$42, 31, 31))/1000000</f>
        <v>12.063045499999998</v>
      </c>
      <c r="V1020" s="38">
        <f>(1000*CHOOSE(CONTROL!$C$42, 500, 500)*CHOOSE(CONTROL!$C$42, 0.275, 0.275)*CHOOSE(CONTROL!$C$42, 31, 31))/1000000</f>
        <v>4.2625000000000002</v>
      </c>
      <c r="W1020" s="38">
        <f>(1000*CHOOSE(CONTROL!$C$42, 0.1146, 0.1146)*CHOOSE(CONTROL!$C$42, 121.5, 121.5)*CHOOSE(CONTROL!$C$42, 31, 31))/1000000</f>
        <v>0.43164089999999994</v>
      </c>
      <c r="X1020" s="38">
        <f>(31*0.1790888*100000/1000000)+(31*0.2374*100000/1000000)</f>
        <v>1.2911152800000001</v>
      </c>
      <c r="Y1020" s="38">
        <f>(1000*600*CHOOSE(CONTROL!$C$42, 1.0585, 1.0585)*CHOOSE(CONTROL!$C$42, 31, 31))/1000000</f>
        <v>19.688099999999999</v>
      </c>
      <c r="Z1020" s="38"/>
      <c r="AA1020" s="10"/>
      <c r="AB1020" s="39"/>
      <c r="AC1020" s="33">
        <f>(B1020*122.58+C1020*297.941+D1020*89.177+E1020*40.302+F1020*40+G1020*160+H1020*0+I1020*100+J1020*300)/(122.58+297.941+89.177+40.302+0+40+160+100+300)</f>
        <v>38.729008898260865</v>
      </c>
      <c r="AD1020" s="27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38.276925179856114</v>
      </c>
    </row>
    <row r="1021" spans="1:30" ht="15.75" x14ac:dyDescent="0.25">
      <c r="A1021" s="13">
        <v>72351</v>
      </c>
      <c r="B1021" s="10">
        <f>CHOOSE(CONTROL!$C$42, 41.3525, 41.3525) * CHOOSE(CONTROL!$C$21, $C$9, 100%, $E$9)</f>
        <v>41.352499999999999</v>
      </c>
      <c r="C1021" s="10">
        <f>CHOOSE(CONTROL!$C$42, 41.3576, 41.3576) * CHOOSE(CONTROL!$C$21, $C$9, 100%, $E$9)</f>
        <v>41.357599999999998</v>
      </c>
      <c r="D1021" s="10">
        <f>CHOOSE(CONTROL!$C$42, 41.3926, 41.3926) * CHOOSE(CONTROL!$C$21, $C$9, 100%, $E$9)</f>
        <v>41.392600000000002</v>
      </c>
      <c r="E1021" s="10">
        <f>CHOOSE(CONTROL!$C$42, 41.4264, 41.4264) * CHOOSE(CONTROL!$C$21, $C$9, 100%, $E$9)</f>
        <v>41.426400000000001</v>
      </c>
      <c r="F1021" s="10">
        <f>CHOOSE(CONTROL!$C$42, 41.3338, 41.3338)*CHOOSE(CONTROL!$C$21, $C$9, 100%, $E$9)</f>
        <v>41.333799999999997</v>
      </c>
      <c r="G1021" s="10">
        <f>CHOOSE(CONTROL!$C$42, 41.3527, 41.3527)*CHOOSE(CONTROL!$C$21, $C$9, 100%, $E$9)</f>
        <v>41.352699999999999</v>
      </c>
      <c r="H1021" s="10">
        <f>CHOOSE(CONTROL!$C$42, 41.4153, 41.4153) * CHOOSE(CONTROL!$C$21, $C$9, 100%, $E$9)</f>
        <v>41.415300000000002</v>
      </c>
      <c r="I1021" s="10">
        <f>CHOOSE(CONTROL!$C$42, 41.3597, 41.3597)* CHOOSE(CONTROL!$C$21, $C$9, 100%, $E$9)</f>
        <v>41.359699999999997</v>
      </c>
      <c r="J1021" s="10">
        <f>CHOOSE(CONTROL!$C$42, 41.3264, 41.3264)* CHOOSE(CONTROL!$C$21, $C$9, 100%, $E$9)</f>
        <v>41.3264</v>
      </c>
      <c r="K1021" s="10">
        <f>CHOOSE(CONTROL!$C$42, 40.245, 40.245) * CHOOSE(CONTROL!$C$21, $C$9, 100%, $E$9)</f>
        <v>40.244999999999997</v>
      </c>
      <c r="L1021" s="10">
        <f>CHOOSE(CONTROL!$C$42, 42.0023, 42.0023) * CHOOSE(CONTROL!$C$21, $C$9, 100%, $E$9)</f>
        <v>42.002299999999998</v>
      </c>
      <c r="M1021" s="10">
        <f>CHOOSE(CONTROL!$C$42, 40.8244, 40.8244) * CHOOSE(CONTROL!$C$21, $C$9, 100%, $E$9)</f>
        <v>40.824399999999997</v>
      </c>
      <c r="N1021" s="10">
        <f>CHOOSE(CONTROL!$C$42, 40.8431, 40.8431) * CHOOSE(CONTROL!$C$21, $C$9, 100%, $E$9)</f>
        <v>40.8431</v>
      </c>
      <c r="O1021" s="10">
        <f>CHOOSE(CONTROL!$C$42, 40.9122, 40.9122) * CHOOSE(CONTROL!$C$21, $C$9, 100%, $E$9)</f>
        <v>40.912199999999999</v>
      </c>
      <c r="P1021" s="10">
        <f>CHOOSE(CONTROL!$C$42, 40.8574, 40.8574) * CHOOSE(CONTROL!$C$21, $C$9, 100%, $E$9)</f>
        <v>40.857399999999998</v>
      </c>
      <c r="Q1021" s="10">
        <f>CHOOSE(CONTROL!$C$42, 41.5075, 41.5075) * CHOOSE(CONTROL!$C$21, $C$9, 100%, $E$9)</f>
        <v>41.5075</v>
      </c>
      <c r="R1021" s="10">
        <f>CHOOSE(CONTROL!$C$42, 42.1982, 42.1982) * CHOOSE(CONTROL!$C$21, $C$9, 100%, $E$9)</f>
        <v>42.1982</v>
      </c>
      <c r="S1021" s="10">
        <f>CHOOSE(CONTROL!$C$42, 40.0583, 40.0583) * CHOOSE(CONTROL!$C$21, $C$9, 100%, $E$9)</f>
        <v>40.058300000000003</v>
      </c>
      <c r="T1021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38">
        <f>(1000*CHOOSE(CONTROL!$C$42, 695, 695)*CHOOSE(CONTROL!$C$42, 0.5599, 0.5599)*CHOOSE(CONTROL!$C$42, 31, 31))/1000000</f>
        <v>12.063045499999998</v>
      </c>
      <c r="V1021" s="38">
        <f>(1000*CHOOSE(CONTROL!$C$42, 500, 500)*CHOOSE(CONTROL!$C$42, 0.275, 0.275)*CHOOSE(CONTROL!$C$42, 31, 31))/1000000</f>
        <v>4.2625000000000002</v>
      </c>
      <c r="W1021" s="38">
        <f>(1000*CHOOSE(CONTROL!$C$42, 0.1146, 0.1146)*CHOOSE(CONTROL!$C$42, 121.5, 121.5)*CHOOSE(CONTROL!$C$42, 31, 31))/1000000</f>
        <v>0.43164089999999994</v>
      </c>
      <c r="X1021" s="38">
        <f>(31*0.1790888*100000/1000000)+(31*0.2374*100000/1000000)</f>
        <v>1.2911152800000001</v>
      </c>
      <c r="Y1021" s="38">
        <f>(1000*600*CHOOSE(CONTROL!$C$42, 1.0585, 1.0585)*CHOOSE(CONTROL!$C$42, 31, 31))/1000000</f>
        <v>19.688099999999999</v>
      </c>
      <c r="Z1021" s="38"/>
      <c r="AA1021" s="10"/>
      <c r="AB1021" s="39"/>
      <c r="AC1021" s="33">
        <f>(B1021*122.58+C1021*297.941+D1021*89.177+E1021*40.302+F1021*40+G1021*160+H1021*0+I1021*100+J1021*300)/(122.58+297.941+89.177+40.302+0+40+160+100+300)</f>
        <v>41.35271549095652</v>
      </c>
      <c r="AD1021" s="27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40.870018705035974</v>
      </c>
    </row>
    <row r="1022" spans="1:30" ht="15.75" x14ac:dyDescent="0.25">
      <c r="A1022" s="13">
        <v>72379</v>
      </c>
      <c r="B1022" s="10">
        <f>CHOOSE(CONTROL!$C$42, 42.0889, 42.0889) * CHOOSE(CONTROL!$C$21, $C$9, 100%, $E$9)</f>
        <v>42.088900000000002</v>
      </c>
      <c r="C1022" s="10">
        <f>CHOOSE(CONTROL!$C$42, 42.094, 42.094) * CHOOSE(CONTROL!$C$21, $C$9, 100%, $E$9)</f>
        <v>42.094000000000001</v>
      </c>
      <c r="D1022" s="10">
        <f>CHOOSE(CONTROL!$C$42, 42.129, 42.129) * CHOOSE(CONTROL!$C$21, $C$9, 100%, $E$9)</f>
        <v>42.128999999999998</v>
      </c>
      <c r="E1022" s="10">
        <f>CHOOSE(CONTROL!$C$42, 42.1628, 42.1628) * CHOOSE(CONTROL!$C$21, $C$9, 100%, $E$9)</f>
        <v>42.162799999999997</v>
      </c>
      <c r="F1022" s="10">
        <f>CHOOSE(CONTROL!$C$42, 42.0697, 42.0697)*CHOOSE(CONTROL!$C$21, $C$9, 100%, $E$9)</f>
        <v>42.069699999999997</v>
      </c>
      <c r="G1022" s="10">
        <f>CHOOSE(CONTROL!$C$42, 42.0884, 42.0884)*CHOOSE(CONTROL!$C$21, $C$9, 100%, $E$9)</f>
        <v>42.0884</v>
      </c>
      <c r="H1022" s="10">
        <f>CHOOSE(CONTROL!$C$42, 42.1517, 42.1517) * CHOOSE(CONTROL!$C$21, $C$9, 100%, $E$9)</f>
        <v>42.151699999999998</v>
      </c>
      <c r="I1022" s="10">
        <f>CHOOSE(CONTROL!$C$42, 42.0962, 42.0962)* CHOOSE(CONTROL!$C$21, $C$9, 100%, $E$9)</f>
        <v>42.096200000000003</v>
      </c>
      <c r="J1022" s="10">
        <f>CHOOSE(CONTROL!$C$42, 42.0623, 42.0623)* CHOOSE(CONTROL!$C$21, $C$9, 100%, $E$9)</f>
        <v>42.0623</v>
      </c>
      <c r="K1022" s="10">
        <f>CHOOSE(CONTROL!$C$42, 40.9573, 40.9573) * CHOOSE(CONTROL!$C$21, $C$9, 100%, $E$9)</f>
        <v>40.957299999999996</v>
      </c>
      <c r="L1022" s="10">
        <f>CHOOSE(CONTROL!$C$42, 42.7387, 42.7387) * CHOOSE(CONTROL!$C$21, $C$9, 100%, $E$9)</f>
        <v>42.738700000000001</v>
      </c>
      <c r="M1022" s="10">
        <f>CHOOSE(CONTROL!$C$42, 41.5508, 41.5508) * CHOOSE(CONTROL!$C$21, $C$9, 100%, $E$9)</f>
        <v>41.550800000000002</v>
      </c>
      <c r="N1022" s="10">
        <f>CHOOSE(CONTROL!$C$42, 41.5693, 41.5693) * CHOOSE(CONTROL!$C$21, $C$9, 100%, $E$9)</f>
        <v>41.569299999999998</v>
      </c>
      <c r="O1022" s="10">
        <f>CHOOSE(CONTROL!$C$42, 41.6391, 41.6391) * CHOOSE(CONTROL!$C$21, $C$9, 100%, $E$9)</f>
        <v>41.639099999999999</v>
      </c>
      <c r="P1022" s="10">
        <f>CHOOSE(CONTROL!$C$42, 41.5843, 41.5843) * CHOOSE(CONTROL!$C$21, $C$9, 100%, $E$9)</f>
        <v>41.584299999999999</v>
      </c>
      <c r="Q1022" s="10">
        <f>CHOOSE(CONTROL!$C$42, 42.2344, 42.2344) * CHOOSE(CONTROL!$C$21, $C$9, 100%, $E$9)</f>
        <v>42.234400000000001</v>
      </c>
      <c r="R1022" s="10">
        <f>CHOOSE(CONTROL!$C$42, 42.927, 42.927) * CHOOSE(CONTROL!$C$21, $C$9, 100%, $E$9)</f>
        <v>42.927</v>
      </c>
      <c r="S1022" s="10">
        <f>CHOOSE(CONTROL!$C$42, 40.7714, 40.7714) * CHOOSE(CONTROL!$C$21, $C$9, 100%, $E$9)</f>
        <v>40.7714</v>
      </c>
      <c r="T1022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38">
        <f>(1000*CHOOSE(CONTROL!$C$42, 695, 695)*CHOOSE(CONTROL!$C$42, 0.5599, 0.5599)*CHOOSE(CONTROL!$C$42, 28, 28))/1000000</f>
        <v>10.895653999999999</v>
      </c>
      <c r="V1022" s="38">
        <f>(1000*CHOOSE(CONTROL!$C$42, 500, 500)*CHOOSE(CONTROL!$C$42, 0.275, 0.275)*CHOOSE(CONTROL!$C$42, 28, 28))/1000000</f>
        <v>3.85</v>
      </c>
      <c r="W1022" s="38">
        <f>(1000*CHOOSE(CONTROL!$C$42, 0.1146, 0.1146)*CHOOSE(CONTROL!$C$42, 121.5, 121.5)*CHOOSE(CONTROL!$C$42, 28, 28))/1000000</f>
        <v>0.38986920000000003</v>
      </c>
      <c r="X1022" s="38">
        <f>(28*0.1790888*100000/1000000)+(28*0.2374*100000/1000000)</f>
        <v>1.16616864</v>
      </c>
      <c r="Y1022" s="38">
        <f>(1000*600*CHOOSE(CONTROL!$C$42, 1.0585, 1.0585)*CHOOSE(CONTROL!$C$42, 28, 28))/1000000</f>
        <v>17.782800000000002</v>
      </c>
      <c r="Z1022" s="38"/>
      <c r="AA1022" s="10"/>
      <c r="AB1022" s="39"/>
      <c r="AC1022" s="33">
        <f>(B1022*122.58+C1022*297.941+D1022*89.177+E1022*40.302+F1022*40+G1022*160+H1022*0+I1022*100+J1022*300)/(122.58+297.941+89.177+40.302+0+40+160+100+300)</f>
        <v>42.088878969217397</v>
      </c>
      <c r="AD1022" s="27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41.596705755395682</v>
      </c>
    </row>
    <row r="1023" spans="1:30" ht="15.75" x14ac:dyDescent="0.25">
      <c r="A1023" s="13">
        <v>72410</v>
      </c>
      <c r="B1023" s="10">
        <f>CHOOSE(CONTROL!$C$42, 40.8935, 40.8935) * CHOOSE(CONTROL!$C$21, $C$9, 100%, $E$9)</f>
        <v>40.893500000000003</v>
      </c>
      <c r="C1023" s="10">
        <f>CHOOSE(CONTROL!$C$42, 40.8986, 40.8986) * CHOOSE(CONTROL!$C$21, $C$9, 100%, $E$9)</f>
        <v>40.898600000000002</v>
      </c>
      <c r="D1023" s="10">
        <f>CHOOSE(CONTROL!$C$42, 40.9336, 40.9336) * CHOOSE(CONTROL!$C$21, $C$9, 100%, $E$9)</f>
        <v>40.933599999999998</v>
      </c>
      <c r="E1023" s="10">
        <f>CHOOSE(CONTROL!$C$42, 40.9674, 40.9674) * CHOOSE(CONTROL!$C$21, $C$9, 100%, $E$9)</f>
        <v>40.967399999999998</v>
      </c>
      <c r="F1023" s="10">
        <f>CHOOSE(CONTROL!$C$42, 40.8729, 40.8729)*CHOOSE(CONTROL!$C$21, $C$9, 100%, $E$9)</f>
        <v>40.872900000000001</v>
      </c>
      <c r="G1023" s="10">
        <f>CHOOSE(CONTROL!$C$42, 40.8913, 40.8913)*CHOOSE(CONTROL!$C$21, $C$9, 100%, $E$9)</f>
        <v>40.891300000000001</v>
      </c>
      <c r="H1023" s="10">
        <f>CHOOSE(CONTROL!$C$42, 40.9563, 40.9563) * CHOOSE(CONTROL!$C$21, $C$9, 100%, $E$9)</f>
        <v>40.956299999999999</v>
      </c>
      <c r="I1023" s="10">
        <f>CHOOSE(CONTROL!$C$42, 40.9008, 40.9008)* CHOOSE(CONTROL!$C$21, $C$9, 100%, $E$9)</f>
        <v>40.900799999999997</v>
      </c>
      <c r="J1023" s="10">
        <f>CHOOSE(CONTROL!$C$42, 40.8655, 40.8655)* CHOOSE(CONTROL!$C$21, $C$9, 100%, $E$9)</f>
        <v>40.865499999999997</v>
      </c>
      <c r="K1023" s="10">
        <f>CHOOSE(CONTROL!$C$42, 39.7962, 39.7962) * CHOOSE(CONTROL!$C$21, $C$9, 100%, $E$9)</f>
        <v>39.796199999999999</v>
      </c>
      <c r="L1023" s="10">
        <f>CHOOSE(CONTROL!$C$42, 41.5433, 41.5433) * CHOOSE(CONTROL!$C$21, $C$9, 100%, $E$9)</f>
        <v>41.543300000000002</v>
      </c>
      <c r="M1023" s="10">
        <f>CHOOSE(CONTROL!$C$42, 40.3695, 40.3695) * CHOOSE(CONTROL!$C$21, $C$9, 100%, $E$9)</f>
        <v>40.369500000000002</v>
      </c>
      <c r="N1023" s="10">
        <f>CHOOSE(CONTROL!$C$42, 40.3876, 40.3876) * CHOOSE(CONTROL!$C$21, $C$9, 100%, $E$9)</f>
        <v>40.387599999999999</v>
      </c>
      <c r="O1023" s="10">
        <f>CHOOSE(CONTROL!$C$42, 40.4591, 40.4591) * CHOOSE(CONTROL!$C$21, $C$9, 100%, $E$9)</f>
        <v>40.459099999999999</v>
      </c>
      <c r="P1023" s="10">
        <f>CHOOSE(CONTROL!$C$42, 40.4044, 40.4044) * CHOOSE(CONTROL!$C$21, $C$9, 100%, $E$9)</f>
        <v>40.404400000000003</v>
      </c>
      <c r="Q1023" s="10">
        <f>CHOOSE(CONTROL!$C$42, 41.0544, 41.0544) * CHOOSE(CONTROL!$C$21, $C$9, 100%, $E$9)</f>
        <v>41.054400000000001</v>
      </c>
      <c r="R1023" s="10">
        <f>CHOOSE(CONTROL!$C$42, 41.7441, 41.7441) * CHOOSE(CONTROL!$C$21, $C$9, 100%, $E$9)</f>
        <v>41.744100000000003</v>
      </c>
      <c r="S1023" s="10">
        <f>CHOOSE(CONTROL!$C$42, 39.6138, 39.6138) * CHOOSE(CONTROL!$C$21, $C$9, 100%, $E$9)</f>
        <v>39.613799999999998</v>
      </c>
      <c r="T1023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38">
        <f>(1000*CHOOSE(CONTROL!$C$42, 695, 695)*CHOOSE(CONTROL!$C$42, 0.5599, 0.5599)*CHOOSE(CONTROL!$C$42, 31, 31))/1000000</f>
        <v>12.063045499999998</v>
      </c>
      <c r="V1023" s="38">
        <f>(1000*CHOOSE(CONTROL!$C$42, 500, 500)*CHOOSE(CONTROL!$C$42, 0.275, 0.275)*CHOOSE(CONTROL!$C$42, 31, 31))/1000000</f>
        <v>4.2625000000000002</v>
      </c>
      <c r="W1023" s="38">
        <f>(1000*CHOOSE(CONTROL!$C$42, 0.1146, 0.1146)*CHOOSE(CONTROL!$C$42, 121.5, 121.5)*CHOOSE(CONTROL!$C$42, 31, 31))/1000000</f>
        <v>0.43164089999999994</v>
      </c>
      <c r="X1023" s="38">
        <f>(31*0.1790888*100000/1000000)+(31*0.2374*100000/1000000)</f>
        <v>1.2911152800000001</v>
      </c>
      <c r="Y1023" s="38">
        <f>(1000*600*CHOOSE(CONTROL!$C$42, 1.0585, 1.0585)*CHOOSE(CONTROL!$C$42, 31, 31))/1000000</f>
        <v>19.688099999999999</v>
      </c>
      <c r="Z1023" s="38"/>
      <c r="AA1023" s="10"/>
      <c r="AB1023" s="39"/>
      <c r="AC1023" s="33">
        <f>(B1023*122.58+C1023*297.941+D1023*89.177+E1023*40.302+F1023*40+G1023*160+H1023*0+I1023*100+J1023*300)/(122.58+297.941+89.177+40.302+0+40+160+100+300)</f>
        <v>40.892828534434784</v>
      </c>
      <c r="AD1023" s="27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40.416173381294961</v>
      </c>
    </row>
    <row r="1024" spans="1:30" ht="15.75" x14ac:dyDescent="0.25">
      <c r="A1024" s="13">
        <v>72440</v>
      </c>
      <c r="B1024" s="10">
        <f>CHOOSE(CONTROL!$C$42, 40.7718, 40.7718) * CHOOSE(CONTROL!$C$21, $C$9, 100%, $E$9)</f>
        <v>40.771799999999999</v>
      </c>
      <c r="C1024" s="10">
        <f>CHOOSE(CONTROL!$C$42, 40.7763, 40.7763) * CHOOSE(CONTROL!$C$21, $C$9, 100%, $E$9)</f>
        <v>40.776299999999999</v>
      </c>
      <c r="D1024" s="10">
        <f>CHOOSE(CONTROL!$C$42, 40.9545, 40.9545) * CHOOSE(CONTROL!$C$21, $C$9, 100%, $E$9)</f>
        <v>40.954500000000003</v>
      </c>
      <c r="E1024" s="10">
        <f>CHOOSE(CONTROL!$C$42, 40.9864, 40.9864) * CHOOSE(CONTROL!$C$21, $C$9, 100%, $E$9)</f>
        <v>40.986400000000003</v>
      </c>
      <c r="F1024" s="10">
        <f>CHOOSE(CONTROL!$C$42, 40.7152, 40.7152)*CHOOSE(CONTROL!$C$21, $C$9, 100%, $E$9)</f>
        <v>40.715200000000003</v>
      </c>
      <c r="G1024" s="10">
        <f>CHOOSE(CONTROL!$C$42, 40.7318, 40.7318)*CHOOSE(CONTROL!$C$21, $C$9, 100%, $E$9)</f>
        <v>40.7318</v>
      </c>
      <c r="H1024" s="10">
        <f>CHOOSE(CONTROL!$C$42, 40.9758, 40.9758) * CHOOSE(CONTROL!$C$21, $C$9, 100%, $E$9)</f>
        <v>40.9758</v>
      </c>
      <c r="I1024" s="10">
        <f>CHOOSE(CONTROL!$C$42, 40.7478, 40.7478)* CHOOSE(CONTROL!$C$21, $C$9, 100%, $E$9)</f>
        <v>40.747799999999998</v>
      </c>
      <c r="J1024" s="10">
        <f>CHOOSE(CONTROL!$C$42, 40.7078, 40.7078)* CHOOSE(CONTROL!$C$21, $C$9, 100%, $E$9)</f>
        <v>40.707799999999999</v>
      </c>
      <c r="K1024" s="10">
        <f>CHOOSE(CONTROL!$C$42, 39.6333, 39.6333) * CHOOSE(CONTROL!$C$21, $C$9, 100%, $E$9)</f>
        <v>39.633299999999998</v>
      </c>
      <c r="L1024" s="10">
        <f>CHOOSE(CONTROL!$C$42, 41.5628, 41.5628) * CHOOSE(CONTROL!$C$21, $C$9, 100%, $E$9)</f>
        <v>41.562800000000003</v>
      </c>
      <c r="M1024" s="10">
        <f>CHOOSE(CONTROL!$C$42, 40.2139, 40.2139) * CHOOSE(CONTROL!$C$21, $C$9, 100%, $E$9)</f>
        <v>40.213900000000002</v>
      </c>
      <c r="N1024" s="10">
        <f>CHOOSE(CONTROL!$C$42, 40.2303, 40.2303) * CHOOSE(CONTROL!$C$21, $C$9, 100%, $E$9)</f>
        <v>40.2303</v>
      </c>
      <c r="O1024" s="10">
        <f>CHOOSE(CONTROL!$C$42, 40.4784, 40.4784) * CHOOSE(CONTROL!$C$21, $C$9, 100%, $E$9)</f>
        <v>40.478400000000001</v>
      </c>
      <c r="P1024" s="10">
        <f>CHOOSE(CONTROL!$C$42, 40.2534, 40.2534) * CHOOSE(CONTROL!$C$21, $C$9, 100%, $E$9)</f>
        <v>40.253399999999999</v>
      </c>
      <c r="Q1024" s="10">
        <f>CHOOSE(CONTROL!$C$42, 41.0737, 41.0737) * CHOOSE(CONTROL!$C$21, $C$9, 100%, $E$9)</f>
        <v>41.073700000000002</v>
      </c>
      <c r="R1024" s="10">
        <f>CHOOSE(CONTROL!$C$42, 41.7634, 41.7634) * CHOOSE(CONTROL!$C$21, $C$9, 100%, $E$9)</f>
        <v>41.763399999999997</v>
      </c>
      <c r="S1024" s="10">
        <f>CHOOSE(CONTROL!$C$42, 39.4952, 39.4952) * CHOOSE(CONTROL!$C$21, $C$9, 100%, $E$9)</f>
        <v>39.495199999999997</v>
      </c>
      <c r="T1024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38">
        <f>(1000*CHOOSE(CONTROL!$C$42, 695, 695)*CHOOSE(CONTROL!$C$42, 0.5599, 0.5599)*CHOOSE(CONTROL!$C$42, 30, 30))/1000000</f>
        <v>11.673914999999997</v>
      </c>
      <c r="V1024" s="38">
        <f>(1000*CHOOSE(CONTROL!$C$42, 500, 500)*CHOOSE(CONTROL!$C$42, 0.275, 0.275)*CHOOSE(CONTROL!$C$42, 30, 30))/1000000</f>
        <v>4.125</v>
      </c>
      <c r="W1024" s="38">
        <f>(1000*CHOOSE(CONTROL!$C$42, 0.1146, 0.1146)*CHOOSE(CONTROL!$C$42, 121.5, 121.5)*CHOOSE(CONTROL!$C$42, 30, 30))/1000000</f>
        <v>0.417717</v>
      </c>
      <c r="X1024" s="38">
        <f>(30*0.1790888*245000/1000000)+(30*0.2374*100000/1000000)</f>
        <v>2.0285026799999999</v>
      </c>
      <c r="Y1024" s="38">
        <f>(1000*600*CHOOSE(CONTROL!$C$42, 1.0585, 1.0585)*CHOOSE(CONTROL!$C$42, 30, 30))/1000000</f>
        <v>19.053000000000001</v>
      </c>
      <c r="Z1024" s="38"/>
      <c r="AA1024" s="10"/>
      <c r="AB1024" s="39"/>
      <c r="AC1024" s="33">
        <f>(B1024*141.293+C1024*267.993+D1024*115.016+E1024*89.698+F1024*40+G1024*185+H1024*0+I1024*100+J1024*300)/(141.293+267.993+115.016+89.698+0+40+185+100+300)</f>
        <v>40.780036144067793</v>
      </c>
      <c r="AD1024" s="27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40.340408633093524</v>
      </c>
    </row>
    <row r="1025" spans="1:30" ht="15.75" x14ac:dyDescent="0.25">
      <c r="A1025" s="13">
        <v>72471</v>
      </c>
      <c r="B1025" s="10">
        <f>CHOOSE(CONTROL!$C$42, 41.1335, 41.1335) * CHOOSE(CONTROL!$C$21, $C$9, 100%, $E$9)</f>
        <v>41.133499999999998</v>
      </c>
      <c r="C1025" s="10">
        <f>CHOOSE(CONTROL!$C$42, 41.1415, 41.1415) * CHOOSE(CONTROL!$C$21, $C$9, 100%, $E$9)</f>
        <v>41.141500000000001</v>
      </c>
      <c r="D1025" s="10">
        <f>CHOOSE(CONTROL!$C$42, 41.3167, 41.3167) * CHOOSE(CONTROL!$C$21, $C$9, 100%, $E$9)</f>
        <v>41.316699999999997</v>
      </c>
      <c r="E1025" s="10">
        <f>CHOOSE(CONTROL!$C$42, 41.3479, 41.3479) * CHOOSE(CONTROL!$C$21, $C$9, 100%, $E$9)</f>
        <v>41.347900000000003</v>
      </c>
      <c r="F1025" s="10">
        <f>CHOOSE(CONTROL!$C$42, 41.0752, 41.0752)*CHOOSE(CONTROL!$C$21, $C$9, 100%, $E$9)</f>
        <v>41.075200000000002</v>
      </c>
      <c r="G1025" s="10">
        <f>CHOOSE(CONTROL!$C$42, 41.0921, 41.0921)*CHOOSE(CONTROL!$C$21, $C$9, 100%, $E$9)</f>
        <v>41.092100000000002</v>
      </c>
      <c r="H1025" s="10">
        <f>CHOOSE(CONTROL!$C$42, 41.3362, 41.3362) * CHOOSE(CONTROL!$C$21, $C$9, 100%, $E$9)</f>
        <v>41.336199999999998</v>
      </c>
      <c r="I1025" s="10">
        <f>CHOOSE(CONTROL!$C$42, 41.1082, 41.1082)* CHOOSE(CONTROL!$C$21, $C$9, 100%, $E$9)</f>
        <v>41.108199999999997</v>
      </c>
      <c r="J1025" s="10">
        <f>CHOOSE(CONTROL!$C$42, 41.0678, 41.0678)* CHOOSE(CONTROL!$C$21, $C$9, 100%, $E$9)</f>
        <v>41.067799999999998</v>
      </c>
      <c r="K1025" s="10">
        <f>CHOOSE(CONTROL!$C$42, 39.9816, 39.9816) * CHOOSE(CONTROL!$C$21, $C$9, 100%, $E$9)</f>
        <v>39.9816</v>
      </c>
      <c r="L1025" s="10">
        <f>CHOOSE(CONTROL!$C$42, 41.9232, 41.9232) * CHOOSE(CONTROL!$C$21, $C$9, 100%, $E$9)</f>
        <v>41.923200000000001</v>
      </c>
      <c r="M1025" s="10">
        <f>CHOOSE(CONTROL!$C$42, 40.5692, 40.5692) * CHOOSE(CONTROL!$C$21, $C$9, 100%, $E$9)</f>
        <v>40.569200000000002</v>
      </c>
      <c r="N1025" s="10">
        <f>CHOOSE(CONTROL!$C$42, 40.5859, 40.5859) * CHOOSE(CONTROL!$C$21, $C$9, 100%, $E$9)</f>
        <v>40.585900000000002</v>
      </c>
      <c r="O1025" s="10">
        <f>CHOOSE(CONTROL!$C$42, 40.8341, 40.8341) * CHOOSE(CONTROL!$C$21, $C$9, 100%, $E$9)</f>
        <v>40.834099999999999</v>
      </c>
      <c r="P1025" s="10">
        <f>CHOOSE(CONTROL!$C$42, 40.6091, 40.6091) * CHOOSE(CONTROL!$C$21, $C$9, 100%, $E$9)</f>
        <v>40.609099999999998</v>
      </c>
      <c r="Q1025" s="10">
        <f>CHOOSE(CONTROL!$C$42, 41.4294, 41.4294) * CHOOSE(CONTROL!$C$21, $C$9, 100%, $E$9)</f>
        <v>41.429400000000001</v>
      </c>
      <c r="R1025" s="10">
        <f>CHOOSE(CONTROL!$C$42, 42.12, 42.12) * CHOOSE(CONTROL!$C$21, $C$9, 100%, $E$9)</f>
        <v>42.12</v>
      </c>
      <c r="S1025" s="10">
        <f>CHOOSE(CONTROL!$C$42, 39.8442, 39.8442) * CHOOSE(CONTROL!$C$21, $C$9, 100%, $E$9)</f>
        <v>39.844200000000001</v>
      </c>
      <c r="T1025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38">
        <f>(1000*CHOOSE(CONTROL!$C$42, 695, 695)*CHOOSE(CONTROL!$C$42, 0.5599, 0.5599)*CHOOSE(CONTROL!$C$42, 31, 31))/1000000</f>
        <v>12.063045499999998</v>
      </c>
      <c r="V1025" s="38">
        <f>(1000*CHOOSE(CONTROL!$C$42, 500, 500)*CHOOSE(CONTROL!$C$42, 0.275, 0.275)*CHOOSE(CONTROL!$C$42, 31, 31))/1000000</f>
        <v>4.2625000000000002</v>
      </c>
      <c r="W1025" s="38">
        <f>(1000*CHOOSE(CONTROL!$C$42, 0.1146, 0.1146)*CHOOSE(CONTROL!$C$42, 121.5, 121.5)*CHOOSE(CONTROL!$C$42, 31, 31))/1000000</f>
        <v>0.43164089999999994</v>
      </c>
      <c r="X1025" s="38">
        <f>(31*0.1790888*245000/1000000)+(31*0.2374*100000/1000000)</f>
        <v>2.0961194359999999</v>
      </c>
      <c r="Y1025" s="38">
        <f>(1000*600*CHOOSE(CONTROL!$C$42, 1.0585, 1.0585)*CHOOSE(CONTROL!$C$42, 31, 31))/1000000</f>
        <v>19.688099999999999</v>
      </c>
      <c r="Z1025" s="38"/>
      <c r="AA1025" s="10"/>
      <c r="AB1025" s="39"/>
      <c r="AC1025" s="33">
        <f>(B1025*194.205+C1025*267.466+D1025*133.845+E1025*53.484+F1025*40+G1025*185+H1025*0+I1025*100+J1025*300)/(194.205+267.466+133.845+53.484+0+40+185+100+300)</f>
        <v>41.138128023233918</v>
      </c>
      <c r="AD1025" s="27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40.695964748201433</v>
      </c>
    </row>
    <row r="1026" spans="1:30" ht="15.75" x14ac:dyDescent="0.25">
      <c r="A1026" s="13">
        <v>72501</v>
      </c>
      <c r="B1026" s="10">
        <f>CHOOSE(CONTROL!$C$42, 42.3007, 42.3007) * CHOOSE(CONTROL!$C$21, $C$9, 100%, $E$9)</f>
        <v>42.300699999999999</v>
      </c>
      <c r="C1026" s="10">
        <f>CHOOSE(CONTROL!$C$42, 42.3087, 42.3087) * CHOOSE(CONTROL!$C$21, $C$9, 100%, $E$9)</f>
        <v>42.308700000000002</v>
      </c>
      <c r="D1026" s="10">
        <f>CHOOSE(CONTROL!$C$42, 42.4839, 42.4839) * CHOOSE(CONTROL!$C$21, $C$9, 100%, $E$9)</f>
        <v>42.483899999999998</v>
      </c>
      <c r="E1026" s="10">
        <f>CHOOSE(CONTROL!$C$42, 42.5151, 42.5151) * CHOOSE(CONTROL!$C$21, $C$9, 100%, $E$9)</f>
        <v>42.515099999999997</v>
      </c>
      <c r="F1026" s="10">
        <f>CHOOSE(CONTROL!$C$42, 42.2426, 42.2426)*CHOOSE(CONTROL!$C$21, $C$9, 100%, $E$9)</f>
        <v>42.242600000000003</v>
      </c>
      <c r="G1026" s="10">
        <f>CHOOSE(CONTROL!$C$42, 42.2596, 42.2596)*CHOOSE(CONTROL!$C$21, $C$9, 100%, $E$9)</f>
        <v>42.259599999999999</v>
      </c>
      <c r="H1026" s="10">
        <f>CHOOSE(CONTROL!$C$42, 42.5034, 42.5034) * CHOOSE(CONTROL!$C$21, $C$9, 100%, $E$9)</f>
        <v>42.503399999999999</v>
      </c>
      <c r="I1026" s="10">
        <f>CHOOSE(CONTROL!$C$42, 42.2754, 42.2754)* CHOOSE(CONTROL!$C$21, $C$9, 100%, $E$9)</f>
        <v>42.275399999999998</v>
      </c>
      <c r="J1026" s="10">
        <f>CHOOSE(CONTROL!$C$42, 42.2352, 42.2352)* CHOOSE(CONTROL!$C$21, $C$9, 100%, $E$9)</f>
        <v>42.235199999999999</v>
      </c>
      <c r="K1026" s="10">
        <f>CHOOSE(CONTROL!$C$42, 41.1128, 41.1128) * CHOOSE(CONTROL!$C$21, $C$9, 100%, $E$9)</f>
        <v>41.1128</v>
      </c>
      <c r="L1026" s="10">
        <f>CHOOSE(CONTROL!$C$42, 43.0904, 43.0904) * CHOOSE(CONTROL!$C$21, $C$9, 100%, $E$9)</f>
        <v>43.090400000000002</v>
      </c>
      <c r="M1026" s="10">
        <f>CHOOSE(CONTROL!$C$42, 41.7215, 41.7215) * CHOOSE(CONTROL!$C$21, $C$9, 100%, $E$9)</f>
        <v>41.721499999999999</v>
      </c>
      <c r="N1026" s="10">
        <f>CHOOSE(CONTROL!$C$42, 41.7382, 41.7382) * CHOOSE(CONTROL!$C$21, $C$9, 100%, $E$9)</f>
        <v>41.738199999999999</v>
      </c>
      <c r="O1026" s="10">
        <f>CHOOSE(CONTROL!$C$42, 41.9862, 41.9862) * CHOOSE(CONTROL!$C$21, $C$9, 100%, $E$9)</f>
        <v>41.986199999999997</v>
      </c>
      <c r="P1026" s="10">
        <f>CHOOSE(CONTROL!$C$42, 41.7612, 41.7612) * CHOOSE(CONTROL!$C$21, $C$9, 100%, $E$9)</f>
        <v>41.761200000000002</v>
      </c>
      <c r="Q1026" s="10">
        <f>CHOOSE(CONTROL!$C$42, 42.5815, 42.5815) * CHOOSE(CONTROL!$C$21, $C$9, 100%, $E$9)</f>
        <v>42.581499999999998</v>
      </c>
      <c r="R1026" s="10">
        <f>CHOOSE(CONTROL!$C$42, 43.275, 43.275) * CHOOSE(CONTROL!$C$21, $C$9, 100%, $E$9)</f>
        <v>43.274999999999999</v>
      </c>
      <c r="S1026" s="10">
        <f>CHOOSE(CONTROL!$C$42, 40.9744, 40.9744) * CHOOSE(CONTROL!$C$21, $C$9, 100%, $E$9)</f>
        <v>40.974400000000003</v>
      </c>
      <c r="T1026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38">
        <f>(1000*CHOOSE(CONTROL!$C$42, 695, 695)*CHOOSE(CONTROL!$C$42, 0.5599, 0.5599)*CHOOSE(CONTROL!$C$42, 30, 30))/1000000</f>
        <v>11.673914999999997</v>
      </c>
      <c r="V1026" s="38">
        <f>(1000*CHOOSE(CONTROL!$C$42, 500, 500)*CHOOSE(CONTROL!$C$42, 0.275, 0.275)*CHOOSE(CONTROL!$C$42, 30, 30))/1000000</f>
        <v>4.125</v>
      </c>
      <c r="W1026" s="38">
        <f>(1000*CHOOSE(CONTROL!$C$42, 0.1146, 0.1146)*CHOOSE(CONTROL!$C$42, 121.5, 121.5)*CHOOSE(CONTROL!$C$42, 30, 30))/1000000</f>
        <v>0.417717</v>
      </c>
      <c r="X1026" s="38">
        <f>(30*0.1790888*245000/1000000)+(30*0.2374*100000/1000000)</f>
        <v>2.0285026799999999</v>
      </c>
      <c r="Y1026" s="38">
        <f>(1000*600*CHOOSE(CONTROL!$C$42, 1.0585, 1.0585)*CHOOSE(CONTROL!$C$42, 30, 30))/1000000</f>
        <v>19.053000000000001</v>
      </c>
      <c r="Z1026" s="38"/>
      <c r="AA1026" s="10"/>
      <c r="AB1026" s="39"/>
      <c r="AC1026" s="33">
        <f>(B1026*194.205+C1026*267.466+D1026*133.845+E1026*53.484+F1026*40+G1026*185+H1026*0+I1026*100+J1026*300)/(194.205+267.466+133.845+53.484+0+40+185+100+300)</f>
        <v>42.305424962009418</v>
      </c>
      <c r="AD1026" s="27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41.848145323741008</v>
      </c>
    </row>
    <row r="1027" spans="1:30" ht="15.75" x14ac:dyDescent="0.25">
      <c r="A1027" s="13">
        <v>72532</v>
      </c>
      <c r="B1027" s="10">
        <f>CHOOSE(CONTROL!$C$42, 41.4889, 41.4889) * CHOOSE(CONTROL!$C$21, $C$9, 100%, $E$9)</f>
        <v>41.488900000000001</v>
      </c>
      <c r="C1027" s="10">
        <f>CHOOSE(CONTROL!$C$42, 41.4969, 41.4969) * CHOOSE(CONTROL!$C$21, $C$9, 100%, $E$9)</f>
        <v>41.496899999999997</v>
      </c>
      <c r="D1027" s="10">
        <f>CHOOSE(CONTROL!$C$42, 41.6721, 41.6721) * CHOOSE(CONTROL!$C$21, $C$9, 100%, $E$9)</f>
        <v>41.6721</v>
      </c>
      <c r="E1027" s="10">
        <f>CHOOSE(CONTROL!$C$42, 41.7033, 41.7033) * CHOOSE(CONTROL!$C$21, $C$9, 100%, $E$9)</f>
        <v>41.703299999999999</v>
      </c>
      <c r="F1027" s="10">
        <f>CHOOSE(CONTROL!$C$42, 41.4312, 41.4312)*CHOOSE(CONTROL!$C$21, $C$9, 100%, $E$9)</f>
        <v>41.431199999999997</v>
      </c>
      <c r="G1027" s="10">
        <f>CHOOSE(CONTROL!$C$42, 41.4482, 41.4482)*CHOOSE(CONTROL!$C$21, $C$9, 100%, $E$9)</f>
        <v>41.4482</v>
      </c>
      <c r="H1027" s="10">
        <f>CHOOSE(CONTROL!$C$42, 41.6916, 41.6916) * CHOOSE(CONTROL!$C$21, $C$9, 100%, $E$9)</f>
        <v>41.691600000000001</v>
      </c>
      <c r="I1027" s="10">
        <f>CHOOSE(CONTROL!$C$42, 41.4636, 41.4636)* CHOOSE(CONTROL!$C$21, $C$9, 100%, $E$9)</f>
        <v>41.4636</v>
      </c>
      <c r="J1027" s="10">
        <f>CHOOSE(CONTROL!$C$42, 41.4238, 41.4238)* CHOOSE(CONTROL!$C$21, $C$9, 100%, $E$9)</f>
        <v>41.4238</v>
      </c>
      <c r="K1027" s="10">
        <f>CHOOSE(CONTROL!$C$42, 40.327, 40.327) * CHOOSE(CONTROL!$C$21, $C$9, 100%, $E$9)</f>
        <v>40.326999999999998</v>
      </c>
      <c r="L1027" s="10">
        <f>CHOOSE(CONTROL!$C$42, 42.2786, 42.2786) * CHOOSE(CONTROL!$C$21, $C$9, 100%, $E$9)</f>
        <v>42.278599999999997</v>
      </c>
      <c r="M1027" s="10">
        <f>CHOOSE(CONTROL!$C$42, 40.9205, 40.9205) * CHOOSE(CONTROL!$C$21, $C$9, 100%, $E$9)</f>
        <v>40.920499999999997</v>
      </c>
      <c r="N1027" s="10">
        <f>CHOOSE(CONTROL!$C$42, 40.9374, 40.9374) * CHOOSE(CONTROL!$C$21, $C$9, 100%, $E$9)</f>
        <v>40.937399999999997</v>
      </c>
      <c r="O1027" s="10">
        <f>CHOOSE(CONTROL!$C$42, 41.1849, 41.1849) * CHOOSE(CONTROL!$C$21, $C$9, 100%, $E$9)</f>
        <v>41.184899999999999</v>
      </c>
      <c r="P1027" s="10">
        <f>CHOOSE(CONTROL!$C$42, 40.9599, 40.9599) * CHOOSE(CONTROL!$C$21, $C$9, 100%, $E$9)</f>
        <v>40.959899999999998</v>
      </c>
      <c r="Q1027" s="10">
        <f>CHOOSE(CONTROL!$C$42, 41.7802, 41.7802) * CHOOSE(CONTROL!$C$21, $C$9, 100%, $E$9)</f>
        <v>41.780200000000001</v>
      </c>
      <c r="R1027" s="10">
        <f>CHOOSE(CONTROL!$C$42, 42.4717, 42.4717) * CHOOSE(CONTROL!$C$21, $C$9, 100%, $E$9)</f>
        <v>42.471699999999998</v>
      </c>
      <c r="S1027" s="10">
        <f>CHOOSE(CONTROL!$C$42, 40.1883, 40.1883) * CHOOSE(CONTROL!$C$21, $C$9, 100%, $E$9)</f>
        <v>40.188299999999998</v>
      </c>
      <c r="T1027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38">
        <f>(1000*CHOOSE(CONTROL!$C$42, 695, 695)*CHOOSE(CONTROL!$C$42, 0.5599, 0.5599)*CHOOSE(CONTROL!$C$42, 31, 31))/1000000</f>
        <v>12.063045499999998</v>
      </c>
      <c r="V1027" s="38">
        <f>(1000*CHOOSE(CONTROL!$C$42, 500, 500)*CHOOSE(CONTROL!$C$42, 0.275, 0.275)*CHOOSE(CONTROL!$C$42, 31, 31))/1000000</f>
        <v>4.2625000000000002</v>
      </c>
      <c r="W1027" s="38">
        <f>(1000*CHOOSE(CONTROL!$C$42, 0.1146, 0.1146)*CHOOSE(CONTROL!$C$42, 121.5, 121.5)*CHOOSE(CONTROL!$C$42, 31, 31))/1000000</f>
        <v>0.43164089999999994</v>
      </c>
      <c r="X1027" s="38">
        <f>(31*0.1790888*245000/1000000)+(31*0.2374*100000/1000000)</f>
        <v>2.0961194359999999</v>
      </c>
      <c r="Y1027" s="38">
        <f>(1000*600*CHOOSE(CONTROL!$C$42, 1.0585, 1.0585)*CHOOSE(CONTROL!$C$42, 31, 31))/1000000</f>
        <v>19.688099999999999</v>
      </c>
      <c r="Z1027" s="38"/>
      <c r="AA1027" s="10"/>
      <c r="AB1027" s="39"/>
      <c r="AC1027" s="33">
        <f>(B1027*194.205+C1027*267.466+D1027*133.845+E1027*53.484+F1027*40+G1027*185+H1027*0+I1027*100+J1027*300)/(194.205+267.466+133.845+53.484+0+40+185+100+300)</f>
        <v>41.493789797174252</v>
      </c>
      <c r="AD1027" s="27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41.046977697841726</v>
      </c>
    </row>
    <row r="1028" spans="1:30" ht="15.75" x14ac:dyDescent="0.25">
      <c r="A1028" s="13">
        <v>72563</v>
      </c>
      <c r="B1028" s="10">
        <f>CHOOSE(CONTROL!$C$42, 39.4389, 39.4389) * CHOOSE(CONTROL!$C$21, $C$9, 100%, $E$9)</f>
        <v>39.438899999999997</v>
      </c>
      <c r="C1028" s="10">
        <f>CHOOSE(CONTROL!$C$42, 39.4469, 39.4469) * CHOOSE(CONTROL!$C$21, $C$9, 100%, $E$9)</f>
        <v>39.446899999999999</v>
      </c>
      <c r="D1028" s="10">
        <f>CHOOSE(CONTROL!$C$42, 39.622, 39.622) * CHOOSE(CONTROL!$C$21, $C$9, 100%, $E$9)</f>
        <v>39.622</v>
      </c>
      <c r="E1028" s="10">
        <f>CHOOSE(CONTROL!$C$42, 39.6532, 39.6532) * CHOOSE(CONTROL!$C$21, $C$9, 100%, $E$9)</f>
        <v>39.653199999999998</v>
      </c>
      <c r="F1028" s="10">
        <f>CHOOSE(CONTROL!$C$42, 39.381, 39.381)*CHOOSE(CONTROL!$C$21, $C$9, 100%, $E$9)</f>
        <v>39.381</v>
      </c>
      <c r="G1028" s="10">
        <f>CHOOSE(CONTROL!$C$42, 39.398, 39.398)*CHOOSE(CONTROL!$C$21, $C$9, 100%, $E$9)</f>
        <v>39.398000000000003</v>
      </c>
      <c r="H1028" s="10">
        <f>CHOOSE(CONTROL!$C$42, 39.6416, 39.6416) * CHOOSE(CONTROL!$C$21, $C$9, 100%, $E$9)</f>
        <v>39.641599999999997</v>
      </c>
      <c r="I1028" s="10">
        <f>CHOOSE(CONTROL!$C$42, 39.4135, 39.4135)* CHOOSE(CONTROL!$C$21, $C$9, 100%, $E$9)</f>
        <v>39.413499999999999</v>
      </c>
      <c r="J1028" s="10">
        <f>CHOOSE(CONTROL!$C$42, 39.3736, 39.3736)* CHOOSE(CONTROL!$C$21, $C$9, 100%, $E$9)</f>
        <v>39.373600000000003</v>
      </c>
      <c r="K1028" s="10">
        <f>CHOOSE(CONTROL!$C$42, 38.3408, 38.3408) * CHOOSE(CONTROL!$C$21, $C$9, 100%, $E$9)</f>
        <v>38.340800000000002</v>
      </c>
      <c r="L1028" s="10">
        <f>CHOOSE(CONTROL!$C$42, 40.2286, 40.2286) * CHOOSE(CONTROL!$C$21, $C$9, 100%, $E$9)</f>
        <v>40.2286</v>
      </c>
      <c r="M1028" s="10">
        <f>CHOOSE(CONTROL!$C$42, 38.8969, 38.8969) * CHOOSE(CONTROL!$C$21, $C$9, 100%, $E$9)</f>
        <v>38.896900000000002</v>
      </c>
      <c r="N1028" s="10">
        <f>CHOOSE(CONTROL!$C$42, 38.9137, 38.9137) * CHOOSE(CONTROL!$C$21, $C$9, 100%, $E$9)</f>
        <v>38.913699999999999</v>
      </c>
      <c r="O1028" s="10">
        <f>CHOOSE(CONTROL!$C$42, 39.1614, 39.1614) * CHOOSE(CONTROL!$C$21, $C$9, 100%, $E$9)</f>
        <v>39.1614</v>
      </c>
      <c r="P1028" s="10">
        <f>CHOOSE(CONTROL!$C$42, 38.9364, 38.9364) * CHOOSE(CONTROL!$C$21, $C$9, 100%, $E$9)</f>
        <v>38.936399999999999</v>
      </c>
      <c r="Q1028" s="10">
        <f>CHOOSE(CONTROL!$C$42, 39.7567, 39.7567) * CHOOSE(CONTROL!$C$21, $C$9, 100%, $E$9)</f>
        <v>39.756700000000002</v>
      </c>
      <c r="R1028" s="10">
        <f>CHOOSE(CONTROL!$C$42, 40.4431, 40.4431) * CHOOSE(CONTROL!$C$21, $C$9, 100%, $E$9)</f>
        <v>40.443100000000001</v>
      </c>
      <c r="S1028" s="10">
        <f>CHOOSE(CONTROL!$C$42, 38.2033, 38.2033) * CHOOSE(CONTROL!$C$21, $C$9, 100%, $E$9)</f>
        <v>38.203299999999999</v>
      </c>
      <c r="T1028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38">
        <f>(1000*CHOOSE(CONTROL!$C$42, 695, 695)*CHOOSE(CONTROL!$C$42, 0.5599, 0.5599)*CHOOSE(CONTROL!$C$42, 31, 31))/1000000</f>
        <v>12.063045499999998</v>
      </c>
      <c r="V1028" s="38">
        <f>(1000*CHOOSE(CONTROL!$C$42, 500, 500)*CHOOSE(CONTROL!$C$42, 0.275, 0.275)*CHOOSE(CONTROL!$C$42, 31, 31))/1000000</f>
        <v>4.2625000000000002</v>
      </c>
      <c r="W1028" s="38">
        <f>(1000*CHOOSE(CONTROL!$C$42, 0.1146, 0.1146)*CHOOSE(CONTROL!$C$42, 121.5, 121.5)*CHOOSE(CONTROL!$C$42, 31, 31))/1000000</f>
        <v>0.43164089999999994</v>
      </c>
      <c r="X1028" s="38">
        <f>(31*0.1790888*245000/1000000)+(31*0.2374*100000/1000000)</f>
        <v>2.0961194359999999</v>
      </c>
      <c r="Y1028" s="38">
        <f>(1000*600*CHOOSE(CONTROL!$C$42, 1.0585, 1.0585)*CHOOSE(CONTROL!$C$42, 31, 31))/1000000</f>
        <v>19.688099999999999</v>
      </c>
      <c r="Z1028" s="38"/>
      <c r="AA1028" s="10"/>
      <c r="AB1028" s="39"/>
      <c r="AC1028" s="33">
        <f>(B1028*194.205+C1028*267.466+D1028*133.845+E1028*53.484+F1028*40+G1028*185+H1028*0+I1028*100+J1028*300)/(194.205+267.466+133.845+53.484+0+40+185+100+300)</f>
        <v>39.44368482629514</v>
      </c>
      <c r="AD1028" s="27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39.023431654676266</v>
      </c>
    </row>
    <row r="1029" spans="1:30" ht="15.75" x14ac:dyDescent="0.25">
      <c r="A1029" s="13">
        <v>72593</v>
      </c>
      <c r="B1029" s="10">
        <f>CHOOSE(CONTROL!$C$42, 36.9341, 36.9341) * CHOOSE(CONTROL!$C$21, $C$9, 100%, $E$9)</f>
        <v>36.934100000000001</v>
      </c>
      <c r="C1029" s="10">
        <f>CHOOSE(CONTROL!$C$42, 36.9421, 36.9421) * CHOOSE(CONTROL!$C$21, $C$9, 100%, $E$9)</f>
        <v>36.942100000000003</v>
      </c>
      <c r="D1029" s="10">
        <f>CHOOSE(CONTROL!$C$42, 37.1172, 37.1172) * CHOOSE(CONTROL!$C$21, $C$9, 100%, $E$9)</f>
        <v>37.117199999999997</v>
      </c>
      <c r="E1029" s="10">
        <f>CHOOSE(CONTROL!$C$42, 37.1485, 37.1485) * CHOOSE(CONTROL!$C$21, $C$9, 100%, $E$9)</f>
        <v>37.148499999999999</v>
      </c>
      <c r="F1029" s="10">
        <f>CHOOSE(CONTROL!$C$42, 36.8759, 36.8759)*CHOOSE(CONTROL!$C$21, $C$9, 100%, $E$9)</f>
        <v>36.875900000000001</v>
      </c>
      <c r="G1029" s="10">
        <f>CHOOSE(CONTROL!$C$42, 36.8928, 36.8928)*CHOOSE(CONTROL!$C$21, $C$9, 100%, $E$9)</f>
        <v>36.892800000000001</v>
      </c>
      <c r="H1029" s="10">
        <f>CHOOSE(CONTROL!$C$42, 37.1368, 37.1368) * CHOOSE(CONTROL!$C$21, $C$9, 100%, $E$9)</f>
        <v>37.136800000000001</v>
      </c>
      <c r="I1029" s="10">
        <f>CHOOSE(CONTROL!$C$42, 36.9088, 36.9088)* CHOOSE(CONTROL!$C$21, $C$9, 100%, $E$9)</f>
        <v>36.908799999999999</v>
      </c>
      <c r="J1029" s="10">
        <f>CHOOSE(CONTROL!$C$42, 36.8685, 36.8685)* CHOOSE(CONTROL!$C$21, $C$9, 100%, $E$9)</f>
        <v>36.868499999999997</v>
      </c>
      <c r="K1029" s="10">
        <f>CHOOSE(CONTROL!$C$42, 35.9135, 35.9135) * CHOOSE(CONTROL!$C$21, $C$9, 100%, $E$9)</f>
        <v>35.913499999999999</v>
      </c>
      <c r="L1029" s="10">
        <f>CHOOSE(CONTROL!$C$42, 37.7238, 37.7238) * CHOOSE(CONTROL!$C$21, $C$9, 100%, $E$9)</f>
        <v>37.723799999999997</v>
      </c>
      <c r="M1029" s="10">
        <f>CHOOSE(CONTROL!$C$42, 36.4243, 36.4243) * CHOOSE(CONTROL!$C$21, $C$9, 100%, $E$9)</f>
        <v>36.424300000000002</v>
      </c>
      <c r="N1029" s="10">
        <f>CHOOSE(CONTROL!$C$42, 36.441, 36.441) * CHOOSE(CONTROL!$C$21, $C$9, 100%, $E$9)</f>
        <v>36.441000000000003</v>
      </c>
      <c r="O1029" s="10">
        <f>CHOOSE(CONTROL!$C$42, 36.6891, 36.6891) * CHOOSE(CONTROL!$C$21, $C$9, 100%, $E$9)</f>
        <v>36.689100000000003</v>
      </c>
      <c r="P1029" s="10">
        <f>CHOOSE(CONTROL!$C$42, 36.4641, 36.4641) * CHOOSE(CONTROL!$C$21, $C$9, 100%, $E$9)</f>
        <v>36.464100000000002</v>
      </c>
      <c r="Q1029" s="10">
        <f>CHOOSE(CONTROL!$C$42, 37.2844, 37.2844) * CHOOSE(CONTROL!$C$21, $C$9, 100%, $E$9)</f>
        <v>37.284399999999998</v>
      </c>
      <c r="R1029" s="10">
        <f>CHOOSE(CONTROL!$C$42, 37.9646, 37.9646) * CHOOSE(CONTROL!$C$21, $C$9, 100%, $E$9)</f>
        <v>37.964599999999997</v>
      </c>
      <c r="S1029" s="10">
        <f>CHOOSE(CONTROL!$C$42, 35.7779, 35.7779) * CHOOSE(CONTROL!$C$21, $C$9, 100%, $E$9)</f>
        <v>35.777900000000002</v>
      </c>
      <c r="T1029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38">
        <f>(1000*CHOOSE(CONTROL!$C$42, 695, 695)*CHOOSE(CONTROL!$C$42, 0.5599, 0.5599)*CHOOSE(CONTROL!$C$42, 30, 30))/1000000</f>
        <v>11.673914999999997</v>
      </c>
      <c r="V1029" s="38">
        <f>(1000*CHOOSE(CONTROL!$C$42, 500, 500)*CHOOSE(CONTROL!$C$42, 0.275, 0.275)*CHOOSE(CONTROL!$C$42, 30, 30))/1000000</f>
        <v>4.125</v>
      </c>
      <c r="W1029" s="38">
        <f>(1000*CHOOSE(CONTROL!$C$42, 0.1146, 0.1146)*CHOOSE(CONTROL!$C$42, 121.5, 121.5)*CHOOSE(CONTROL!$C$42, 30, 30))/1000000</f>
        <v>0.417717</v>
      </c>
      <c r="X1029" s="38">
        <f>(30*0.1790888*245000/1000000)+(30*0.2374*100000/1000000)</f>
        <v>2.0285026799999999</v>
      </c>
      <c r="Y1029" s="38">
        <f>(1000*600*CHOOSE(CONTROL!$C$42, 1.0585, 1.0585)*CHOOSE(CONTROL!$C$42, 30, 30))/1000000</f>
        <v>19.053000000000001</v>
      </c>
      <c r="Z1029" s="38"/>
      <c r="AA1029" s="10"/>
      <c r="AB1029" s="39"/>
      <c r="AC1029" s="33">
        <f>(B1029*194.205+C1029*267.466+D1029*133.845+E1029*53.484+F1029*40+G1029*185+H1029*0+I1029*100+J1029*300)/(194.205+267.466+133.845+53.484+0+40+185+100+300)</f>
        <v>36.938758726138147</v>
      </c>
      <c r="AD1029" s="27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36.55100503597123</v>
      </c>
    </row>
    <row r="1030" spans="1:30" ht="15.75" x14ac:dyDescent="0.25">
      <c r="A1030" s="13">
        <v>72624</v>
      </c>
      <c r="B1030" s="10">
        <f>CHOOSE(CONTROL!$C$42, 36.1818, 36.1818) * CHOOSE(CONTROL!$C$21, $C$9, 100%, $E$9)</f>
        <v>36.181800000000003</v>
      </c>
      <c r="C1030" s="10">
        <f>CHOOSE(CONTROL!$C$42, 36.1872, 36.1872) * CHOOSE(CONTROL!$C$21, $C$9, 100%, $E$9)</f>
        <v>36.187199999999997</v>
      </c>
      <c r="D1030" s="10">
        <f>CHOOSE(CONTROL!$C$42, 36.3671, 36.3671) * CHOOSE(CONTROL!$C$21, $C$9, 100%, $E$9)</f>
        <v>36.367100000000001</v>
      </c>
      <c r="E1030" s="10">
        <f>CHOOSE(CONTROL!$C$42, 36.3961, 36.3961) * CHOOSE(CONTROL!$C$21, $C$9, 100%, $E$9)</f>
        <v>36.396099999999997</v>
      </c>
      <c r="F1030" s="10">
        <f>CHOOSE(CONTROL!$C$42, 36.1256, 36.1256)*CHOOSE(CONTROL!$C$21, $C$9, 100%, $E$9)</f>
        <v>36.125599999999999</v>
      </c>
      <c r="G1030" s="10">
        <f>CHOOSE(CONTROL!$C$42, 36.1422, 36.1422)*CHOOSE(CONTROL!$C$21, $C$9, 100%, $E$9)</f>
        <v>36.142200000000003</v>
      </c>
      <c r="H1030" s="10">
        <f>CHOOSE(CONTROL!$C$42, 36.3862, 36.3862) * CHOOSE(CONTROL!$C$21, $C$9, 100%, $E$9)</f>
        <v>36.386200000000002</v>
      </c>
      <c r="I1030" s="10">
        <f>CHOOSE(CONTROL!$C$42, 36.1582, 36.1582)* CHOOSE(CONTROL!$C$21, $C$9, 100%, $E$9)</f>
        <v>36.158200000000001</v>
      </c>
      <c r="J1030" s="10">
        <f>CHOOSE(CONTROL!$C$42, 36.1182, 36.1182)* CHOOSE(CONTROL!$C$21, $C$9, 100%, $E$9)</f>
        <v>36.118200000000002</v>
      </c>
      <c r="K1030" s="10">
        <f>CHOOSE(CONTROL!$C$42, 35.1869, 35.1869) * CHOOSE(CONTROL!$C$21, $C$9, 100%, $E$9)</f>
        <v>35.186900000000001</v>
      </c>
      <c r="L1030" s="10">
        <f>CHOOSE(CONTROL!$C$42, 36.9732, 36.9732) * CHOOSE(CONTROL!$C$21, $C$9, 100%, $E$9)</f>
        <v>36.973199999999999</v>
      </c>
      <c r="M1030" s="10">
        <f>CHOOSE(CONTROL!$C$42, 35.6837, 35.6837) * CHOOSE(CONTROL!$C$21, $C$9, 100%, $E$9)</f>
        <v>35.683700000000002</v>
      </c>
      <c r="N1030" s="10">
        <f>CHOOSE(CONTROL!$C$42, 35.7, 35.7) * CHOOSE(CONTROL!$C$21, $C$9, 100%, $E$9)</f>
        <v>35.700000000000003</v>
      </c>
      <c r="O1030" s="10">
        <f>CHOOSE(CONTROL!$C$42, 35.9482, 35.9482) * CHOOSE(CONTROL!$C$21, $C$9, 100%, $E$9)</f>
        <v>35.9482</v>
      </c>
      <c r="P1030" s="10">
        <f>CHOOSE(CONTROL!$C$42, 35.7232, 35.7232) * CHOOSE(CONTROL!$C$21, $C$9, 100%, $E$9)</f>
        <v>35.723199999999999</v>
      </c>
      <c r="Q1030" s="10">
        <f>CHOOSE(CONTROL!$C$42, 36.5435, 36.5435) * CHOOSE(CONTROL!$C$21, $C$9, 100%, $E$9)</f>
        <v>36.543500000000002</v>
      </c>
      <c r="R1030" s="10">
        <f>CHOOSE(CONTROL!$C$42, 37.2219, 37.2219) * CHOOSE(CONTROL!$C$21, $C$9, 100%, $E$9)</f>
        <v>37.221899999999998</v>
      </c>
      <c r="S1030" s="10">
        <f>CHOOSE(CONTROL!$C$42, 35.0511, 35.0511) * CHOOSE(CONTROL!$C$21, $C$9, 100%, $E$9)</f>
        <v>35.051099999999998</v>
      </c>
      <c r="T1030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38">
        <f>(1000*CHOOSE(CONTROL!$C$42, 695, 695)*CHOOSE(CONTROL!$C$42, 0.5599, 0.5599)*CHOOSE(CONTROL!$C$42, 31, 31))/1000000</f>
        <v>12.063045499999998</v>
      </c>
      <c r="V1030" s="38">
        <f>(1000*CHOOSE(CONTROL!$C$42, 500, 500)*CHOOSE(CONTROL!$C$42, 0.275, 0.275)*CHOOSE(CONTROL!$C$42, 31, 31))/1000000</f>
        <v>4.2625000000000002</v>
      </c>
      <c r="W1030" s="38">
        <f>(1000*CHOOSE(CONTROL!$C$42, 0.1146, 0.1146)*CHOOSE(CONTROL!$C$42, 121.5, 121.5)*CHOOSE(CONTROL!$C$42, 31, 31))/1000000</f>
        <v>0.43164089999999994</v>
      </c>
      <c r="X1030" s="38">
        <f>(31*0.1790888*245000/1000000)+(31*0.2374*100000/1000000)</f>
        <v>2.0961194359999999</v>
      </c>
      <c r="Y1030" s="38">
        <f>(1000*600*CHOOSE(CONTROL!$C$42, 1.0585, 1.0585)*CHOOSE(CONTROL!$C$42, 31, 31))/1000000</f>
        <v>19.688099999999999</v>
      </c>
      <c r="Z1030" s="38"/>
      <c r="AA1030" s="10"/>
      <c r="AB1030" s="39"/>
      <c r="AC1030" s="33">
        <f>(B1030*131.881+C1030*277.167+D1030*79.08+E1030*125.872+F1030*40+G1030*185+H1030*0+I1030*100+J1030*300)/(131.881+277.167+79.08+125.872+0+40+185+100+300)</f>
        <v>36.191574491848264</v>
      </c>
      <c r="AD1030" s="27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35.81020287769784</v>
      </c>
    </row>
    <row r="1031" spans="1:30" ht="15.75" x14ac:dyDescent="0.25">
      <c r="A1031" s="13">
        <v>72654</v>
      </c>
      <c r="B1031" s="10">
        <f>CHOOSE(CONTROL!$C$42, 37.135, 37.135) * CHOOSE(CONTROL!$C$21, $C$9, 100%, $E$9)</f>
        <v>37.134999999999998</v>
      </c>
      <c r="C1031" s="10">
        <f>CHOOSE(CONTROL!$C$42, 37.1401, 37.1401) * CHOOSE(CONTROL!$C$21, $C$9, 100%, $E$9)</f>
        <v>37.140099999999997</v>
      </c>
      <c r="D1031" s="10">
        <f>CHOOSE(CONTROL!$C$42, 37.1648, 37.1648) * CHOOSE(CONTROL!$C$21, $C$9, 100%, $E$9)</f>
        <v>37.1648</v>
      </c>
      <c r="E1031" s="10">
        <f>CHOOSE(CONTROL!$C$42, 37.1986, 37.1986) * CHOOSE(CONTROL!$C$21, $C$9, 100%, $E$9)</f>
        <v>37.198599999999999</v>
      </c>
      <c r="F1031" s="10">
        <f>CHOOSE(CONTROL!$C$42, 37.1007, 37.1007)*CHOOSE(CONTROL!$C$21, $C$9, 100%, $E$9)</f>
        <v>37.100700000000003</v>
      </c>
      <c r="G1031" s="10">
        <f>CHOOSE(CONTROL!$C$42, 37.1175, 37.1175)*CHOOSE(CONTROL!$C$21, $C$9, 100%, $E$9)</f>
        <v>37.1175</v>
      </c>
      <c r="H1031" s="10">
        <f>CHOOSE(CONTROL!$C$42, 37.1875, 37.1875) * CHOOSE(CONTROL!$C$21, $C$9, 100%, $E$9)</f>
        <v>37.1875</v>
      </c>
      <c r="I1031" s="10">
        <f>CHOOSE(CONTROL!$C$42, 37.1345, 37.1345)* CHOOSE(CONTROL!$C$21, $C$9, 100%, $E$9)</f>
        <v>37.134500000000003</v>
      </c>
      <c r="J1031" s="10">
        <f>CHOOSE(CONTROL!$C$42, 37.0933, 37.0933)* CHOOSE(CONTROL!$C$21, $C$9, 100%, $E$9)</f>
        <v>37.093299999999999</v>
      </c>
      <c r="K1031" s="10">
        <f>CHOOSE(CONTROL!$C$42, 36.1346, 36.1346) * CHOOSE(CONTROL!$C$21, $C$9, 100%, $E$9)</f>
        <v>36.134599999999999</v>
      </c>
      <c r="L1031" s="10">
        <f>CHOOSE(CONTROL!$C$42, 37.7745, 37.7745) * CHOOSE(CONTROL!$C$21, $C$9, 100%, $E$9)</f>
        <v>37.774500000000003</v>
      </c>
      <c r="M1031" s="10">
        <f>CHOOSE(CONTROL!$C$42, 36.6461, 36.6461) * CHOOSE(CONTROL!$C$21, $C$9, 100%, $E$9)</f>
        <v>36.646099999999997</v>
      </c>
      <c r="N1031" s="10">
        <f>CHOOSE(CONTROL!$C$42, 36.6627, 36.6627) * CHOOSE(CONTROL!$C$21, $C$9, 100%, $E$9)</f>
        <v>36.662700000000001</v>
      </c>
      <c r="O1031" s="10">
        <f>CHOOSE(CONTROL!$C$42, 36.7391, 36.7391) * CHOOSE(CONTROL!$C$21, $C$9, 100%, $E$9)</f>
        <v>36.739100000000001</v>
      </c>
      <c r="P1031" s="10">
        <f>CHOOSE(CONTROL!$C$42, 36.6869, 36.6869) * CHOOSE(CONTROL!$C$21, $C$9, 100%, $E$9)</f>
        <v>36.686900000000001</v>
      </c>
      <c r="Q1031" s="10">
        <f>CHOOSE(CONTROL!$C$42, 37.3344, 37.3344) * CHOOSE(CONTROL!$C$21, $C$9, 100%, $E$9)</f>
        <v>37.334400000000002</v>
      </c>
      <c r="R1031" s="10">
        <f>CHOOSE(CONTROL!$C$42, 38.0148, 38.0148) * CHOOSE(CONTROL!$C$21, $C$9, 100%, $E$9)</f>
        <v>38.014800000000001</v>
      </c>
      <c r="S1031" s="10">
        <f>CHOOSE(CONTROL!$C$42, 35.9745, 35.9745) * CHOOSE(CONTROL!$C$21, $C$9, 100%, $E$9)</f>
        <v>35.974499999999999</v>
      </c>
      <c r="T1031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38">
        <f>(1000*CHOOSE(CONTROL!$C$42, 695, 695)*CHOOSE(CONTROL!$C$42, 0.5599, 0.5599)*CHOOSE(CONTROL!$C$42, 30, 30))/1000000</f>
        <v>11.673914999999997</v>
      </c>
      <c r="V1031" s="38">
        <f>(1000*CHOOSE(CONTROL!$C$42, 500, 500)*CHOOSE(CONTROL!$C$42, 0.275, 0.275)*CHOOSE(CONTROL!$C$42, 30, 30))/1000000</f>
        <v>4.125</v>
      </c>
      <c r="W1031" s="38">
        <f>(1000*CHOOSE(CONTROL!$C$42, 0.1146, 0.1146)*CHOOSE(CONTROL!$C$42, 121.5, 121.5)*CHOOSE(CONTROL!$C$42, 30, 30))/1000000</f>
        <v>0.417717</v>
      </c>
      <c r="X1031" s="38">
        <f>(30*0.1790888*100000/1000000)+(30*0.2374*100000/1000000)</f>
        <v>1.2494664</v>
      </c>
      <c r="Y1031" s="38">
        <f>(1000*600*CHOOSE(CONTROL!$C$42, 1.0585, 1.0585)*CHOOSE(CONTROL!$C$42, 30, 30))/1000000</f>
        <v>19.053000000000001</v>
      </c>
      <c r="Z1031" s="38"/>
      <c r="AA1031" s="10"/>
      <c r="AB1031" s="39"/>
      <c r="AC1031" s="33">
        <f>(B1031*122.58+C1031*297.941+D1031*89.177+E1031*40.302+F1031*40+G1031*160+H1031*0+I1031*100+J1031*300)/(122.58+297.941+89.177+40.302+0+40+160+100+300)</f>
        <v>37.126311461652172</v>
      </c>
      <c r="AD1031" s="27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36.695076978417262</v>
      </c>
    </row>
    <row r="1032" spans="1:30" ht="15.75" x14ac:dyDescent="0.25">
      <c r="A1032" s="13">
        <v>72685</v>
      </c>
      <c r="B1032" s="10">
        <f>CHOOSE(CONTROL!$C$42, 39.668, 39.668) * CHOOSE(CONTROL!$C$21, $C$9, 100%, $E$9)</f>
        <v>39.667999999999999</v>
      </c>
      <c r="C1032" s="10">
        <f>CHOOSE(CONTROL!$C$42, 39.6731, 39.6731) * CHOOSE(CONTROL!$C$21, $C$9, 100%, $E$9)</f>
        <v>39.673099999999998</v>
      </c>
      <c r="D1032" s="10">
        <f>CHOOSE(CONTROL!$C$42, 39.6978, 39.6978) * CHOOSE(CONTROL!$C$21, $C$9, 100%, $E$9)</f>
        <v>39.697800000000001</v>
      </c>
      <c r="E1032" s="10">
        <f>CHOOSE(CONTROL!$C$42, 39.7316, 39.7316) * CHOOSE(CONTROL!$C$21, $C$9, 100%, $E$9)</f>
        <v>39.7316</v>
      </c>
      <c r="F1032" s="10">
        <f>CHOOSE(CONTROL!$C$42, 39.6354, 39.6354)*CHOOSE(CONTROL!$C$21, $C$9, 100%, $E$9)</f>
        <v>39.635399999999997</v>
      </c>
      <c r="G1032" s="10">
        <f>CHOOSE(CONTROL!$C$42, 39.6527, 39.6527)*CHOOSE(CONTROL!$C$21, $C$9, 100%, $E$9)</f>
        <v>39.652700000000003</v>
      </c>
      <c r="H1032" s="10">
        <f>CHOOSE(CONTROL!$C$42, 39.7205, 39.7205) * CHOOSE(CONTROL!$C$21, $C$9, 100%, $E$9)</f>
        <v>39.720500000000001</v>
      </c>
      <c r="I1032" s="10">
        <f>CHOOSE(CONTROL!$C$42, 39.6675, 39.6675)* CHOOSE(CONTROL!$C$21, $C$9, 100%, $E$9)</f>
        <v>39.667499999999997</v>
      </c>
      <c r="J1032" s="10">
        <f>CHOOSE(CONTROL!$C$42, 39.628, 39.628)* CHOOSE(CONTROL!$C$21, $C$9, 100%, $E$9)</f>
        <v>39.628</v>
      </c>
      <c r="K1032" s="10">
        <f>CHOOSE(CONTROL!$C$42, 38.5923, 38.5923) * CHOOSE(CONTROL!$C$21, $C$9, 100%, $E$9)</f>
        <v>38.592300000000002</v>
      </c>
      <c r="L1032" s="10">
        <f>CHOOSE(CONTROL!$C$42, 40.3075, 40.3075) * CHOOSE(CONTROL!$C$21, $C$9, 100%, $E$9)</f>
        <v>40.307499999999997</v>
      </c>
      <c r="M1032" s="10">
        <f>CHOOSE(CONTROL!$C$42, 39.148, 39.148) * CHOOSE(CONTROL!$C$21, $C$9, 100%, $E$9)</f>
        <v>39.148000000000003</v>
      </c>
      <c r="N1032" s="10">
        <f>CHOOSE(CONTROL!$C$42, 39.1651, 39.1651) * CHOOSE(CONTROL!$C$21, $C$9, 100%, $E$9)</f>
        <v>39.165100000000002</v>
      </c>
      <c r="O1032" s="10">
        <f>CHOOSE(CONTROL!$C$42, 39.2393, 39.2393) * CHOOSE(CONTROL!$C$21, $C$9, 100%, $E$9)</f>
        <v>39.2393</v>
      </c>
      <c r="P1032" s="10">
        <f>CHOOSE(CONTROL!$C$42, 39.1871, 39.1871) * CHOOSE(CONTROL!$C$21, $C$9, 100%, $E$9)</f>
        <v>39.187100000000001</v>
      </c>
      <c r="Q1032" s="10">
        <f>CHOOSE(CONTROL!$C$42, 39.8346, 39.8346) * CHOOSE(CONTROL!$C$21, $C$9, 100%, $E$9)</f>
        <v>39.834600000000002</v>
      </c>
      <c r="R1032" s="10">
        <f>CHOOSE(CONTROL!$C$42, 40.5212, 40.5212) * CHOOSE(CONTROL!$C$21, $C$9, 100%, $E$9)</f>
        <v>40.5212</v>
      </c>
      <c r="S1032" s="10">
        <f>CHOOSE(CONTROL!$C$42, 38.4272, 38.4272) * CHOOSE(CONTROL!$C$21, $C$9, 100%, $E$9)</f>
        <v>38.427199999999999</v>
      </c>
      <c r="T1032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38">
        <f>(1000*CHOOSE(CONTROL!$C$42, 695, 695)*CHOOSE(CONTROL!$C$42, 0.5599, 0.5599)*CHOOSE(CONTROL!$C$42, 31, 31))/1000000</f>
        <v>12.063045499999998</v>
      </c>
      <c r="V1032" s="38">
        <f>(1000*CHOOSE(CONTROL!$C$42, 500, 500)*CHOOSE(CONTROL!$C$42, 0.275, 0.275)*CHOOSE(CONTROL!$C$42, 31, 31))/1000000</f>
        <v>4.2625000000000002</v>
      </c>
      <c r="W1032" s="38">
        <f>(1000*CHOOSE(CONTROL!$C$42, 0.1146, 0.1146)*CHOOSE(CONTROL!$C$42, 121.5, 121.5)*CHOOSE(CONTROL!$C$42, 31, 31))/1000000</f>
        <v>0.43164089999999994</v>
      </c>
      <c r="X1032" s="38">
        <f>(31*0.1790888*100000/1000000)+(31*0.2374*100000/1000000)</f>
        <v>1.2911152800000001</v>
      </c>
      <c r="Y1032" s="38">
        <f>(1000*600*CHOOSE(CONTROL!$C$42, 1.0585, 1.0585)*CHOOSE(CONTROL!$C$42, 31, 31))/1000000</f>
        <v>19.688099999999999</v>
      </c>
      <c r="Z1032" s="38"/>
      <c r="AA1032" s="10"/>
      <c r="AB1032" s="39"/>
      <c r="AC1032" s="33">
        <f>(B1032*122.58+C1032*297.941+D1032*89.177+E1032*40.302+F1032*40+G1032*160+H1032*0+I1032*100+J1032*300)/(122.58+297.941+89.177+40.302+0+40+160+100+300)</f>
        <v>39.660120157304348</v>
      </c>
      <c r="AD1032" s="27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39.195990647482013</v>
      </c>
    </row>
    <row r="1033" spans="1:30" ht="15.75" x14ac:dyDescent="0.25">
      <c r="A1033" s="13">
        <v>72716</v>
      </c>
      <c r="B1033" s="10">
        <f>CHOOSE(CONTROL!$C$42, 42.3465, 42.3465) * CHOOSE(CONTROL!$C$21, $C$9, 100%, $E$9)</f>
        <v>42.346499999999999</v>
      </c>
      <c r="C1033" s="10">
        <f>CHOOSE(CONTROL!$C$42, 42.3516, 42.3516) * CHOOSE(CONTROL!$C$21, $C$9, 100%, $E$9)</f>
        <v>42.351599999999998</v>
      </c>
      <c r="D1033" s="10">
        <f>CHOOSE(CONTROL!$C$42, 42.3866, 42.3866) * CHOOSE(CONTROL!$C$21, $C$9, 100%, $E$9)</f>
        <v>42.386600000000001</v>
      </c>
      <c r="E1033" s="10">
        <f>CHOOSE(CONTROL!$C$42, 42.4204, 42.4204) * CHOOSE(CONTROL!$C$21, $C$9, 100%, $E$9)</f>
        <v>42.420400000000001</v>
      </c>
      <c r="F1033" s="10">
        <f>CHOOSE(CONTROL!$C$42, 42.3278, 42.3278)*CHOOSE(CONTROL!$C$21, $C$9, 100%, $E$9)</f>
        <v>42.327800000000003</v>
      </c>
      <c r="G1033" s="10">
        <f>CHOOSE(CONTROL!$C$42, 42.3467, 42.3467)*CHOOSE(CONTROL!$C$21, $C$9, 100%, $E$9)</f>
        <v>42.346699999999998</v>
      </c>
      <c r="H1033" s="10">
        <f>CHOOSE(CONTROL!$C$42, 42.4093, 42.4093) * CHOOSE(CONTROL!$C$21, $C$9, 100%, $E$9)</f>
        <v>42.409300000000002</v>
      </c>
      <c r="I1033" s="10">
        <f>CHOOSE(CONTROL!$C$42, 42.3537, 42.3537)* CHOOSE(CONTROL!$C$21, $C$9, 100%, $E$9)</f>
        <v>42.353700000000003</v>
      </c>
      <c r="J1033" s="10">
        <f>CHOOSE(CONTROL!$C$42, 42.3204, 42.3204)* CHOOSE(CONTROL!$C$21, $C$9, 100%, $E$9)</f>
        <v>42.320399999999999</v>
      </c>
      <c r="K1033" s="10">
        <f>CHOOSE(CONTROL!$C$42, 41.208, 41.208) * CHOOSE(CONTROL!$C$21, $C$9, 100%, $E$9)</f>
        <v>41.207999999999998</v>
      </c>
      <c r="L1033" s="10">
        <f>CHOOSE(CONTROL!$C$42, 42.9963, 42.9963) * CHOOSE(CONTROL!$C$21, $C$9, 100%, $E$9)</f>
        <v>42.996299999999998</v>
      </c>
      <c r="M1033" s="10">
        <f>CHOOSE(CONTROL!$C$42, 41.8055, 41.8055) * CHOOSE(CONTROL!$C$21, $C$9, 100%, $E$9)</f>
        <v>41.805500000000002</v>
      </c>
      <c r="N1033" s="10">
        <f>CHOOSE(CONTROL!$C$42, 41.8242, 41.8242) * CHOOSE(CONTROL!$C$21, $C$9, 100%, $E$9)</f>
        <v>41.824199999999998</v>
      </c>
      <c r="O1033" s="10">
        <f>CHOOSE(CONTROL!$C$42, 41.8933, 41.8933) * CHOOSE(CONTROL!$C$21, $C$9, 100%, $E$9)</f>
        <v>41.893300000000004</v>
      </c>
      <c r="P1033" s="10">
        <f>CHOOSE(CONTROL!$C$42, 41.8385, 41.8385) * CHOOSE(CONTROL!$C$21, $C$9, 100%, $E$9)</f>
        <v>41.838500000000003</v>
      </c>
      <c r="Q1033" s="10">
        <f>CHOOSE(CONTROL!$C$42, 42.4886, 42.4886) * CHOOSE(CONTROL!$C$21, $C$9, 100%, $E$9)</f>
        <v>42.488599999999998</v>
      </c>
      <c r="R1033" s="10">
        <f>CHOOSE(CONTROL!$C$42, 43.1818, 43.1818) * CHOOSE(CONTROL!$C$21, $C$9, 100%, $E$9)</f>
        <v>43.181800000000003</v>
      </c>
      <c r="S1033" s="10">
        <f>CHOOSE(CONTROL!$C$42, 41.0207, 41.0207) * CHOOSE(CONTROL!$C$21, $C$9, 100%, $E$9)</f>
        <v>41.020699999999998</v>
      </c>
      <c r="T1033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38">
        <f>(1000*CHOOSE(CONTROL!$C$42, 695, 695)*CHOOSE(CONTROL!$C$42, 0.5599, 0.5599)*CHOOSE(CONTROL!$C$42, 31, 31))/1000000</f>
        <v>12.063045499999998</v>
      </c>
      <c r="V1033" s="38">
        <f>(1000*CHOOSE(CONTROL!$C$42, 500, 500)*CHOOSE(CONTROL!$C$42, 0.275, 0.275)*CHOOSE(CONTROL!$C$42, 31, 31))/1000000</f>
        <v>4.2625000000000002</v>
      </c>
      <c r="W1033" s="38">
        <f>(1000*CHOOSE(CONTROL!$C$42, 0.1146, 0.1146)*CHOOSE(CONTROL!$C$42, 121.5, 121.5)*CHOOSE(CONTROL!$C$42, 31, 31))/1000000</f>
        <v>0.43164089999999994</v>
      </c>
      <c r="X1033" s="38">
        <f>(31*0.1790888*100000/1000000)+(31*0.2374*100000/1000000)</f>
        <v>1.2911152800000001</v>
      </c>
      <c r="Y1033" s="38">
        <f>(1000*600*CHOOSE(CONTROL!$C$42, 1.0585, 1.0585)*CHOOSE(CONTROL!$C$42, 31, 31))/1000000</f>
        <v>19.688099999999999</v>
      </c>
      <c r="Z1033" s="38"/>
      <c r="AA1033" s="10"/>
      <c r="AB1033" s="39"/>
      <c r="AC1033" s="33">
        <f>(B1033*122.58+C1033*297.941+D1033*89.177+E1033*40.302+F1033*40+G1033*160+H1033*0+I1033*100+J1033*300)/(122.58+297.941+89.177+40.302+0+40+160+100+300)</f>
        <v>42.34671549095652</v>
      </c>
      <c r="AD1033" s="27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41.851118705035979</v>
      </c>
    </row>
    <row r="1034" spans="1:30" ht="15.75" x14ac:dyDescent="0.25">
      <c r="A1034" s="13">
        <v>72744</v>
      </c>
      <c r="B1034" s="10">
        <f>CHOOSE(CONTROL!$C$42, 43.1006, 43.1006) * CHOOSE(CONTROL!$C$21, $C$9, 100%, $E$9)</f>
        <v>43.1006</v>
      </c>
      <c r="C1034" s="10">
        <f>CHOOSE(CONTROL!$C$42, 43.1057, 43.1057) * CHOOSE(CONTROL!$C$21, $C$9, 100%, $E$9)</f>
        <v>43.105699999999999</v>
      </c>
      <c r="D1034" s="10">
        <f>CHOOSE(CONTROL!$C$42, 43.1407, 43.1407) * CHOOSE(CONTROL!$C$21, $C$9, 100%, $E$9)</f>
        <v>43.140700000000002</v>
      </c>
      <c r="E1034" s="10">
        <f>CHOOSE(CONTROL!$C$42, 43.1745, 43.1745) * CHOOSE(CONTROL!$C$21, $C$9, 100%, $E$9)</f>
        <v>43.174500000000002</v>
      </c>
      <c r="F1034" s="10">
        <f>CHOOSE(CONTROL!$C$42, 43.0813, 43.0813)*CHOOSE(CONTROL!$C$21, $C$9, 100%, $E$9)</f>
        <v>43.081299999999999</v>
      </c>
      <c r="G1034" s="10">
        <f>CHOOSE(CONTROL!$C$42, 43.1001, 43.1001)*CHOOSE(CONTROL!$C$21, $C$9, 100%, $E$9)</f>
        <v>43.100099999999998</v>
      </c>
      <c r="H1034" s="10">
        <f>CHOOSE(CONTROL!$C$42, 43.1634, 43.1634) * CHOOSE(CONTROL!$C$21, $C$9, 100%, $E$9)</f>
        <v>43.163400000000003</v>
      </c>
      <c r="I1034" s="10">
        <f>CHOOSE(CONTROL!$C$42, 43.1078, 43.1078)* CHOOSE(CONTROL!$C$21, $C$9, 100%, $E$9)</f>
        <v>43.107799999999997</v>
      </c>
      <c r="J1034" s="10">
        <f>CHOOSE(CONTROL!$C$42, 43.0739, 43.0739)* CHOOSE(CONTROL!$C$21, $C$9, 100%, $E$9)</f>
        <v>43.073900000000002</v>
      </c>
      <c r="K1034" s="10">
        <f>CHOOSE(CONTROL!$C$42, 41.9374, 41.9374) * CHOOSE(CONTROL!$C$21, $C$9, 100%, $E$9)</f>
        <v>41.937399999999997</v>
      </c>
      <c r="L1034" s="10">
        <f>CHOOSE(CONTROL!$C$42, 43.7504, 43.7504) * CHOOSE(CONTROL!$C$21, $C$9, 100%, $E$9)</f>
        <v>43.750399999999999</v>
      </c>
      <c r="M1034" s="10">
        <f>CHOOSE(CONTROL!$C$42, 42.5494, 42.5494) * CHOOSE(CONTROL!$C$21, $C$9, 100%, $E$9)</f>
        <v>42.549399999999999</v>
      </c>
      <c r="N1034" s="10">
        <f>CHOOSE(CONTROL!$C$42, 42.5679, 42.5679) * CHOOSE(CONTROL!$C$21, $C$9, 100%, $E$9)</f>
        <v>42.567900000000002</v>
      </c>
      <c r="O1034" s="10">
        <f>CHOOSE(CONTROL!$C$42, 42.6377, 42.6377) * CHOOSE(CONTROL!$C$21, $C$9, 100%, $E$9)</f>
        <v>42.637700000000002</v>
      </c>
      <c r="P1034" s="10">
        <f>CHOOSE(CONTROL!$C$42, 42.5829, 42.5829) * CHOOSE(CONTROL!$C$21, $C$9, 100%, $E$9)</f>
        <v>42.582900000000002</v>
      </c>
      <c r="Q1034" s="10">
        <f>CHOOSE(CONTROL!$C$42, 43.233, 43.233) * CHOOSE(CONTROL!$C$21, $C$9, 100%, $E$9)</f>
        <v>43.232999999999997</v>
      </c>
      <c r="R1034" s="10">
        <f>CHOOSE(CONTROL!$C$42, 43.928, 43.928) * CHOOSE(CONTROL!$C$21, $C$9, 100%, $E$9)</f>
        <v>43.927999999999997</v>
      </c>
      <c r="S1034" s="10">
        <f>CHOOSE(CONTROL!$C$42, 41.751, 41.751) * CHOOSE(CONTROL!$C$21, $C$9, 100%, $E$9)</f>
        <v>41.750999999999998</v>
      </c>
      <c r="T1034" s="3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38">
        <f>(1000*CHOOSE(CONTROL!$C$42, 695, 695)*CHOOSE(CONTROL!$C$42, 0.5599, 0.5599)*CHOOSE(CONTROL!$C$42, 28, 28))/1000000</f>
        <v>10.895653999999999</v>
      </c>
      <c r="V1034" s="38">
        <f>(1000*CHOOSE(CONTROL!$C$42, 500, 500)*CHOOSE(CONTROL!$C$42, 0.275, 0.275)*CHOOSE(CONTROL!$C$42, 28, 28))/1000000</f>
        <v>3.85</v>
      </c>
      <c r="W1034" s="38">
        <f>(1000*CHOOSE(CONTROL!$C$42, 0.1146, 0.1146)*CHOOSE(CONTROL!$C$42, 121.5, 121.5)*CHOOSE(CONTROL!$C$42, 28, 28))/1000000</f>
        <v>0.38986920000000003</v>
      </c>
      <c r="X1034" s="38">
        <f>(28*0.1790888*100000/1000000)+(28*0.2374*100000/1000000)</f>
        <v>1.16616864</v>
      </c>
      <c r="Y1034" s="38">
        <f>(1000*600*CHOOSE(CONTROL!$C$42, 1.0585, 1.0585)*CHOOSE(CONTROL!$C$42, 28, 28))/1000000</f>
        <v>17.782800000000002</v>
      </c>
      <c r="Z1034" s="38"/>
      <c r="AA1034" s="10"/>
      <c r="AB1034" s="39"/>
      <c r="AC1034" s="33">
        <f>(B1034*122.58+C1034*297.941+D1034*89.177+E1034*40.302+F1034*40+G1034*160+H1034*0+I1034*100+J1034*300)/(122.58+297.941+89.177+40.302+0+40+160+100+300)</f>
        <v>43.100540708347829</v>
      </c>
      <c r="AD1034" s="27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42.595305755395685</v>
      </c>
    </row>
    <row r="1035" spans="1:30" ht="15.75" x14ac:dyDescent="0.25">
      <c r="A1035" s="13">
        <v>72775</v>
      </c>
      <c r="B1035" s="10">
        <f>CHOOSE(CONTROL!$C$42, 41.8765, 41.8765) * CHOOSE(CONTROL!$C$21, $C$9, 100%, $E$9)</f>
        <v>41.8765</v>
      </c>
      <c r="C1035" s="10">
        <f>CHOOSE(CONTROL!$C$42, 41.8816, 41.8816) * CHOOSE(CONTROL!$C$21, $C$9, 100%, $E$9)</f>
        <v>41.881599999999999</v>
      </c>
      <c r="D1035" s="10">
        <f>CHOOSE(CONTROL!$C$42, 41.9166, 41.9166) * CHOOSE(CONTROL!$C$21, $C$9, 100%, $E$9)</f>
        <v>41.916600000000003</v>
      </c>
      <c r="E1035" s="10">
        <f>CHOOSE(CONTROL!$C$42, 41.9504, 41.9504) * CHOOSE(CONTROL!$C$21, $C$9, 100%, $E$9)</f>
        <v>41.950400000000002</v>
      </c>
      <c r="F1035" s="10">
        <f>CHOOSE(CONTROL!$C$42, 41.8558, 41.8558)*CHOOSE(CONTROL!$C$21, $C$9, 100%, $E$9)</f>
        <v>41.855800000000002</v>
      </c>
      <c r="G1035" s="10">
        <f>CHOOSE(CONTROL!$C$42, 41.8742, 41.8742)*CHOOSE(CONTROL!$C$21, $C$9, 100%, $E$9)</f>
        <v>41.874200000000002</v>
      </c>
      <c r="H1035" s="10">
        <f>CHOOSE(CONTROL!$C$42, 41.9393, 41.9393) * CHOOSE(CONTROL!$C$21, $C$9, 100%, $E$9)</f>
        <v>41.939300000000003</v>
      </c>
      <c r="I1035" s="10">
        <f>CHOOSE(CONTROL!$C$42, 41.8837, 41.8837)* CHOOSE(CONTROL!$C$21, $C$9, 100%, $E$9)</f>
        <v>41.883699999999997</v>
      </c>
      <c r="J1035" s="10">
        <f>CHOOSE(CONTROL!$C$42, 41.8484, 41.8484)* CHOOSE(CONTROL!$C$21, $C$9, 100%, $E$9)</f>
        <v>41.848399999999998</v>
      </c>
      <c r="K1035" s="10">
        <f>CHOOSE(CONTROL!$C$42, 40.7485, 40.7485) * CHOOSE(CONTROL!$C$21, $C$9, 100%, $E$9)</f>
        <v>40.7485</v>
      </c>
      <c r="L1035" s="10">
        <f>CHOOSE(CONTROL!$C$42, 42.5263, 42.5263) * CHOOSE(CONTROL!$C$21, $C$9, 100%, $E$9)</f>
        <v>42.526299999999999</v>
      </c>
      <c r="M1035" s="10">
        <f>CHOOSE(CONTROL!$C$42, 41.3397, 41.3397) * CHOOSE(CONTROL!$C$21, $C$9, 100%, $E$9)</f>
        <v>41.339700000000001</v>
      </c>
      <c r="N1035" s="10">
        <f>CHOOSE(CONTROL!$C$42, 41.3579, 41.3579) * CHOOSE(CONTROL!$C$21, $C$9, 100%, $E$9)</f>
        <v>41.357900000000001</v>
      </c>
      <c r="O1035" s="10">
        <f>CHOOSE(CONTROL!$C$42, 41.4294, 41.4294) * CHOOSE(CONTROL!$C$21, $C$9, 100%, $E$9)</f>
        <v>41.429400000000001</v>
      </c>
      <c r="P1035" s="10">
        <f>CHOOSE(CONTROL!$C$42, 41.3746, 41.3746) * CHOOSE(CONTROL!$C$21, $C$9, 100%, $E$9)</f>
        <v>41.374600000000001</v>
      </c>
      <c r="Q1035" s="10">
        <f>CHOOSE(CONTROL!$C$42, 42.0247, 42.0247) * CHOOSE(CONTROL!$C$21, $C$9, 100%, $E$9)</f>
        <v>42.024700000000003</v>
      </c>
      <c r="R1035" s="10">
        <f>CHOOSE(CONTROL!$C$42, 42.7167, 42.7167) * CHOOSE(CONTROL!$C$21, $C$9, 100%, $E$9)</f>
        <v>42.716700000000003</v>
      </c>
      <c r="S1035" s="10">
        <f>CHOOSE(CONTROL!$C$42, 40.5656, 40.5656) * CHOOSE(CONTROL!$C$21, $C$9, 100%, $E$9)</f>
        <v>40.565600000000003</v>
      </c>
      <c r="T1035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38">
        <f>(1000*CHOOSE(CONTROL!$C$42, 695, 695)*CHOOSE(CONTROL!$C$42, 0.5599, 0.5599)*CHOOSE(CONTROL!$C$42, 31, 31))/1000000</f>
        <v>12.063045499999998</v>
      </c>
      <c r="V1035" s="38">
        <f>(1000*CHOOSE(CONTROL!$C$42, 500, 500)*CHOOSE(CONTROL!$C$42, 0.275, 0.275)*CHOOSE(CONTROL!$C$42, 31, 31))/1000000</f>
        <v>4.2625000000000002</v>
      </c>
      <c r="W1035" s="38">
        <f>(1000*CHOOSE(CONTROL!$C$42, 0.1146, 0.1146)*CHOOSE(CONTROL!$C$42, 121.5, 121.5)*CHOOSE(CONTROL!$C$42, 31, 31))/1000000</f>
        <v>0.43164089999999994</v>
      </c>
      <c r="X1035" s="38">
        <f>(31*0.1790888*100000/1000000)+(31*0.2374*100000/1000000)</f>
        <v>1.2911152800000001</v>
      </c>
      <c r="Y1035" s="38">
        <f>(1000*600*CHOOSE(CONTROL!$C$42, 1.0585, 1.0585)*CHOOSE(CONTROL!$C$42, 31, 31))/1000000</f>
        <v>19.688099999999999</v>
      </c>
      <c r="Z1035" s="38"/>
      <c r="AA1035" s="10"/>
      <c r="AB1035" s="39"/>
      <c r="AC1035" s="33">
        <f>(B1035*122.58+C1035*297.941+D1035*89.177+E1035*40.302+F1035*40+G1035*160+H1035*0+I1035*100+J1035*300)/(122.58+297.941+89.177+40.302+0+40+160+100+300)</f>
        <v>41.875776360521733</v>
      </c>
      <c r="AD1035" s="27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41.386424460431655</v>
      </c>
    </row>
    <row r="1036" spans="1:30" ht="15.75" x14ac:dyDescent="0.25">
      <c r="A1036" s="13">
        <v>72805</v>
      </c>
      <c r="B1036" s="10">
        <f>CHOOSE(CONTROL!$C$42, 41.7518, 41.7518) * CHOOSE(CONTROL!$C$21, $C$9, 100%, $E$9)</f>
        <v>41.751800000000003</v>
      </c>
      <c r="C1036" s="10">
        <f>CHOOSE(CONTROL!$C$42, 41.7563, 41.7563) * CHOOSE(CONTROL!$C$21, $C$9, 100%, $E$9)</f>
        <v>41.756300000000003</v>
      </c>
      <c r="D1036" s="10">
        <f>CHOOSE(CONTROL!$C$42, 41.9345, 41.9345) * CHOOSE(CONTROL!$C$21, $C$9, 100%, $E$9)</f>
        <v>41.9345</v>
      </c>
      <c r="E1036" s="10">
        <f>CHOOSE(CONTROL!$C$42, 41.9664, 41.9664) * CHOOSE(CONTROL!$C$21, $C$9, 100%, $E$9)</f>
        <v>41.9664</v>
      </c>
      <c r="F1036" s="10">
        <f>CHOOSE(CONTROL!$C$42, 41.6953, 41.6953)*CHOOSE(CONTROL!$C$21, $C$9, 100%, $E$9)</f>
        <v>41.695300000000003</v>
      </c>
      <c r="G1036" s="10">
        <f>CHOOSE(CONTROL!$C$42, 41.7119, 41.7119)*CHOOSE(CONTROL!$C$21, $C$9, 100%, $E$9)</f>
        <v>41.7119</v>
      </c>
      <c r="H1036" s="10">
        <f>CHOOSE(CONTROL!$C$42, 41.9558, 41.9558) * CHOOSE(CONTROL!$C$21, $C$9, 100%, $E$9)</f>
        <v>41.955800000000004</v>
      </c>
      <c r="I1036" s="10">
        <f>CHOOSE(CONTROL!$C$42, 41.7278, 41.7278)* CHOOSE(CONTROL!$C$21, $C$9, 100%, $E$9)</f>
        <v>41.727800000000002</v>
      </c>
      <c r="J1036" s="10">
        <f>CHOOSE(CONTROL!$C$42, 41.6879, 41.6879)* CHOOSE(CONTROL!$C$21, $C$9, 100%, $E$9)</f>
        <v>41.687899999999999</v>
      </c>
      <c r="K1036" s="10">
        <f>CHOOSE(CONTROL!$C$42, 40.5827, 40.5827) * CHOOSE(CONTROL!$C$21, $C$9, 100%, $E$9)</f>
        <v>40.582700000000003</v>
      </c>
      <c r="L1036" s="10">
        <f>CHOOSE(CONTROL!$C$42, 42.5428, 42.5428) * CHOOSE(CONTROL!$C$21, $C$9, 100%, $E$9)</f>
        <v>42.5428</v>
      </c>
      <c r="M1036" s="10">
        <f>CHOOSE(CONTROL!$C$42, 41.1812, 41.1812) * CHOOSE(CONTROL!$C$21, $C$9, 100%, $E$9)</f>
        <v>41.181199999999997</v>
      </c>
      <c r="N1036" s="10">
        <f>CHOOSE(CONTROL!$C$42, 41.1976, 41.1976) * CHOOSE(CONTROL!$C$21, $C$9, 100%, $E$9)</f>
        <v>41.197600000000001</v>
      </c>
      <c r="O1036" s="10">
        <f>CHOOSE(CONTROL!$C$42, 41.4457, 41.4457) * CHOOSE(CONTROL!$C$21, $C$9, 100%, $E$9)</f>
        <v>41.445700000000002</v>
      </c>
      <c r="P1036" s="10">
        <f>CHOOSE(CONTROL!$C$42, 41.2207, 41.2207) * CHOOSE(CONTROL!$C$21, $C$9, 100%, $E$9)</f>
        <v>41.220700000000001</v>
      </c>
      <c r="Q1036" s="10">
        <f>CHOOSE(CONTROL!$C$42, 42.041, 42.041) * CHOOSE(CONTROL!$C$21, $C$9, 100%, $E$9)</f>
        <v>42.040999999999997</v>
      </c>
      <c r="R1036" s="10">
        <f>CHOOSE(CONTROL!$C$42, 42.7331, 42.7331) * CHOOSE(CONTROL!$C$21, $C$9, 100%, $E$9)</f>
        <v>42.7331</v>
      </c>
      <c r="S1036" s="10">
        <f>CHOOSE(CONTROL!$C$42, 40.4442, 40.4442) * CHOOSE(CONTROL!$C$21, $C$9, 100%, $E$9)</f>
        <v>40.444200000000002</v>
      </c>
      <c r="T1036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38">
        <f>(1000*CHOOSE(CONTROL!$C$42, 695, 695)*CHOOSE(CONTROL!$C$42, 0.5599, 0.5599)*CHOOSE(CONTROL!$C$42, 30, 30))/1000000</f>
        <v>11.673914999999997</v>
      </c>
      <c r="V1036" s="38">
        <f>(1000*CHOOSE(CONTROL!$C$42, 500, 500)*CHOOSE(CONTROL!$C$42, 0.275, 0.275)*CHOOSE(CONTROL!$C$42, 30, 30))/1000000</f>
        <v>4.125</v>
      </c>
      <c r="W1036" s="38">
        <f>(1000*CHOOSE(CONTROL!$C$42, 0.1146, 0.1146)*CHOOSE(CONTROL!$C$42, 121.5, 121.5)*CHOOSE(CONTROL!$C$42, 30, 30))/1000000</f>
        <v>0.417717</v>
      </c>
      <c r="X1036" s="38">
        <f>(30*0.1790888*245000/1000000)+(30*0.2374*100000/1000000)</f>
        <v>2.0285026799999999</v>
      </c>
      <c r="Y1036" s="38">
        <f>(1000*600*CHOOSE(CONTROL!$C$42, 1.0585, 1.0585)*CHOOSE(CONTROL!$C$42, 30, 30))/1000000</f>
        <v>19.053000000000001</v>
      </c>
      <c r="Z1036" s="38"/>
      <c r="AA1036" s="10"/>
      <c r="AB1036" s="39"/>
      <c r="AC1036" s="33">
        <f>(B1036*141.293+C1036*267.993+D1036*115.016+E1036*89.698+F1036*40+G1036*185+H1036*0+I1036*100+J1036*300)/(141.293+267.993+115.016+89.698+0+40+185+100+300)</f>
        <v>41.760078516949157</v>
      </c>
      <c r="AD1036" s="27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41.307708633093526</v>
      </c>
    </row>
    <row r="1037" spans="1:30" ht="15.75" x14ac:dyDescent="0.25">
      <c r="A1037" s="13">
        <v>72836</v>
      </c>
      <c r="B1037" s="10">
        <f>CHOOSE(CONTROL!$C$42, 42.1222, 42.1222) * CHOOSE(CONTROL!$C$21, $C$9, 100%, $E$9)</f>
        <v>42.122199999999999</v>
      </c>
      <c r="C1037" s="10">
        <f>CHOOSE(CONTROL!$C$42, 42.1302, 42.1302) * CHOOSE(CONTROL!$C$21, $C$9, 100%, $E$9)</f>
        <v>42.130200000000002</v>
      </c>
      <c r="D1037" s="10">
        <f>CHOOSE(CONTROL!$C$42, 42.3053, 42.3053) * CHOOSE(CONTROL!$C$21, $C$9, 100%, $E$9)</f>
        <v>42.305300000000003</v>
      </c>
      <c r="E1037" s="10">
        <f>CHOOSE(CONTROL!$C$42, 42.3365, 42.3365) * CHOOSE(CONTROL!$C$21, $C$9, 100%, $E$9)</f>
        <v>42.336500000000001</v>
      </c>
      <c r="F1037" s="10">
        <f>CHOOSE(CONTROL!$C$42, 42.0639, 42.0639)*CHOOSE(CONTROL!$C$21, $C$9, 100%, $E$9)</f>
        <v>42.063899999999997</v>
      </c>
      <c r="G1037" s="10">
        <f>CHOOSE(CONTROL!$C$42, 42.0808, 42.0808)*CHOOSE(CONTROL!$C$21, $C$9, 100%, $E$9)</f>
        <v>42.080800000000004</v>
      </c>
      <c r="H1037" s="10">
        <f>CHOOSE(CONTROL!$C$42, 42.3249, 42.3249) * CHOOSE(CONTROL!$C$21, $C$9, 100%, $E$9)</f>
        <v>42.3249</v>
      </c>
      <c r="I1037" s="10">
        <f>CHOOSE(CONTROL!$C$42, 42.0969, 42.0969)* CHOOSE(CONTROL!$C$21, $C$9, 100%, $E$9)</f>
        <v>42.096899999999998</v>
      </c>
      <c r="J1037" s="10">
        <f>CHOOSE(CONTROL!$C$42, 42.0565, 42.0565)* CHOOSE(CONTROL!$C$21, $C$9, 100%, $E$9)</f>
        <v>42.0565</v>
      </c>
      <c r="K1037" s="10">
        <f>CHOOSE(CONTROL!$C$42, 40.9394, 40.9394) * CHOOSE(CONTROL!$C$21, $C$9, 100%, $E$9)</f>
        <v>40.939399999999999</v>
      </c>
      <c r="L1037" s="10">
        <f>CHOOSE(CONTROL!$C$42, 42.9119, 42.9119) * CHOOSE(CONTROL!$C$21, $C$9, 100%, $E$9)</f>
        <v>42.911900000000003</v>
      </c>
      <c r="M1037" s="10">
        <f>CHOOSE(CONTROL!$C$42, 41.5451, 41.5451) * CHOOSE(CONTROL!$C$21, $C$9, 100%, $E$9)</f>
        <v>41.545099999999998</v>
      </c>
      <c r="N1037" s="10">
        <f>CHOOSE(CONTROL!$C$42, 41.5618, 41.5618) * CHOOSE(CONTROL!$C$21, $C$9, 100%, $E$9)</f>
        <v>41.561799999999998</v>
      </c>
      <c r="O1037" s="10">
        <f>CHOOSE(CONTROL!$C$42, 41.81, 41.81) * CHOOSE(CONTROL!$C$21, $C$9, 100%, $E$9)</f>
        <v>41.81</v>
      </c>
      <c r="P1037" s="10">
        <f>CHOOSE(CONTROL!$C$42, 41.585, 41.585) * CHOOSE(CONTROL!$C$21, $C$9, 100%, $E$9)</f>
        <v>41.585000000000001</v>
      </c>
      <c r="Q1037" s="10">
        <f>CHOOSE(CONTROL!$C$42, 42.4053, 42.4053) * CHOOSE(CONTROL!$C$21, $C$9, 100%, $E$9)</f>
        <v>42.405299999999997</v>
      </c>
      <c r="R1037" s="10">
        <f>CHOOSE(CONTROL!$C$42, 43.0983, 43.0983) * CHOOSE(CONTROL!$C$21, $C$9, 100%, $E$9)</f>
        <v>43.098300000000002</v>
      </c>
      <c r="S1037" s="10">
        <f>CHOOSE(CONTROL!$C$42, 40.8015, 40.8015) * CHOOSE(CONTROL!$C$21, $C$9, 100%, $E$9)</f>
        <v>40.801499999999997</v>
      </c>
      <c r="T1037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38">
        <f>(1000*CHOOSE(CONTROL!$C$42, 695, 695)*CHOOSE(CONTROL!$C$42, 0.5599, 0.5599)*CHOOSE(CONTROL!$C$42, 31, 31))/1000000</f>
        <v>12.063045499999998</v>
      </c>
      <c r="V1037" s="38">
        <f>(1000*CHOOSE(CONTROL!$C$42, 500, 500)*CHOOSE(CONTROL!$C$42, 0.275, 0.275)*CHOOSE(CONTROL!$C$42, 31, 31))/1000000</f>
        <v>4.2625000000000002</v>
      </c>
      <c r="W1037" s="38">
        <f>(1000*CHOOSE(CONTROL!$C$42, 0.1146, 0.1146)*CHOOSE(CONTROL!$C$42, 121.5, 121.5)*CHOOSE(CONTROL!$C$42, 31, 31))/1000000</f>
        <v>0.43164089999999994</v>
      </c>
      <c r="X1037" s="38">
        <f>(31*0.1790888*245000/1000000)+(31*0.2374*100000/1000000)</f>
        <v>2.0961194359999999</v>
      </c>
      <c r="Y1037" s="38">
        <f>(1000*600*CHOOSE(CONTROL!$C$42, 1.0585, 1.0585)*CHOOSE(CONTROL!$C$42, 31, 31))/1000000</f>
        <v>19.688099999999999</v>
      </c>
      <c r="Z1037" s="38"/>
      <c r="AA1037" s="10"/>
      <c r="AB1037" s="39"/>
      <c r="AC1037" s="33">
        <f>(B1037*194.205+C1037*267.466+D1037*133.845+E1037*53.484+F1037*40+G1037*185+H1037*0+I1037*100+J1037*300)/(194.205+267.466+133.845+53.484+0+40+185+100+300)</f>
        <v>42.12681331923077</v>
      </c>
      <c r="AD1037" s="27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41.671864748201436</v>
      </c>
    </row>
    <row r="1038" spans="1:30" ht="15.75" x14ac:dyDescent="0.25">
      <c r="A1038" s="13">
        <v>72866</v>
      </c>
      <c r="B1038" s="10">
        <f>CHOOSE(CONTROL!$C$42, 43.3175, 43.3175) * CHOOSE(CONTROL!$C$21, $C$9, 100%, $E$9)</f>
        <v>43.317500000000003</v>
      </c>
      <c r="C1038" s="10">
        <f>CHOOSE(CONTROL!$C$42, 43.3255, 43.3255) * CHOOSE(CONTROL!$C$21, $C$9, 100%, $E$9)</f>
        <v>43.325499999999998</v>
      </c>
      <c r="D1038" s="10">
        <f>CHOOSE(CONTROL!$C$42, 43.5006, 43.5006) * CHOOSE(CONTROL!$C$21, $C$9, 100%, $E$9)</f>
        <v>43.500599999999999</v>
      </c>
      <c r="E1038" s="10">
        <f>CHOOSE(CONTROL!$C$42, 43.5318, 43.5318) * CHOOSE(CONTROL!$C$21, $C$9, 100%, $E$9)</f>
        <v>43.531799999999997</v>
      </c>
      <c r="F1038" s="10">
        <f>CHOOSE(CONTROL!$C$42, 43.2593, 43.2593)*CHOOSE(CONTROL!$C$21, $C$9, 100%, $E$9)</f>
        <v>43.259300000000003</v>
      </c>
      <c r="G1038" s="10">
        <f>CHOOSE(CONTROL!$C$42, 43.2763, 43.2763)*CHOOSE(CONTROL!$C$21, $C$9, 100%, $E$9)</f>
        <v>43.276299999999999</v>
      </c>
      <c r="H1038" s="10">
        <f>CHOOSE(CONTROL!$C$42, 43.5201, 43.5201) * CHOOSE(CONTROL!$C$21, $C$9, 100%, $E$9)</f>
        <v>43.520099999999999</v>
      </c>
      <c r="I1038" s="10">
        <f>CHOOSE(CONTROL!$C$42, 43.2921, 43.2921)* CHOOSE(CONTROL!$C$21, $C$9, 100%, $E$9)</f>
        <v>43.292099999999998</v>
      </c>
      <c r="J1038" s="10">
        <f>CHOOSE(CONTROL!$C$42, 43.2519, 43.2519)* CHOOSE(CONTROL!$C$21, $C$9, 100%, $E$9)</f>
        <v>43.251899999999999</v>
      </c>
      <c r="K1038" s="10">
        <f>CHOOSE(CONTROL!$C$42, 42.0977, 42.0977) * CHOOSE(CONTROL!$C$21, $C$9, 100%, $E$9)</f>
        <v>42.097700000000003</v>
      </c>
      <c r="L1038" s="10">
        <f>CHOOSE(CONTROL!$C$42, 44.1071, 44.1071) * CHOOSE(CONTROL!$C$21, $C$9, 100%, $E$9)</f>
        <v>44.107100000000003</v>
      </c>
      <c r="M1038" s="10">
        <f>CHOOSE(CONTROL!$C$42, 42.725, 42.725) * CHOOSE(CONTROL!$C$21, $C$9, 100%, $E$9)</f>
        <v>42.725000000000001</v>
      </c>
      <c r="N1038" s="10">
        <f>CHOOSE(CONTROL!$C$42, 42.7418, 42.7418) * CHOOSE(CONTROL!$C$21, $C$9, 100%, $E$9)</f>
        <v>42.741799999999998</v>
      </c>
      <c r="O1038" s="10">
        <f>CHOOSE(CONTROL!$C$42, 42.9898, 42.9898) * CHOOSE(CONTROL!$C$21, $C$9, 100%, $E$9)</f>
        <v>42.989800000000002</v>
      </c>
      <c r="P1038" s="10">
        <f>CHOOSE(CONTROL!$C$42, 42.7647, 42.7647) * CHOOSE(CONTROL!$C$21, $C$9, 100%, $E$9)</f>
        <v>42.764699999999998</v>
      </c>
      <c r="Q1038" s="10">
        <f>CHOOSE(CONTROL!$C$42, 43.5851, 43.5851) * CHOOSE(CONTROL!$C$21, $C$9, 100%, $E$9)</f>
        <v>43.585099999999997</v>
      </c>
      <c r="R1038" s="10">
        <f>CHOOSE(CONTROL!$C$42, 44.281, 44.281) * CHOOSE(CONTROL!$C$21, $C$9, 100%, $E$9)</f>
        <v>44.280999999999999</v>
      </c>
      <c r="S1038" s="10">
        <f>CHOOSE(CONTROL!$C$42, 41.9589, 41.9589) * CHOOSE(CONTROL!$C$21, $C$9, 100%, $E$9)</f>
        <v>41.9589</v>
      </c>
      <c r="T1038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38">
        <f>(1000*CHOOSE(CONTROL!$C$42, 695, 695)*CHOOSE(CONTROL!$C$42, 0.5599, 0.5599)*CHOOSE(CONTROL!$C$42, 30, 30))/1000000</f>
        <v>11.673914999999997</v>
      </c>
      <c r="V1038" s="38">
        <f>(1000*CHOOSE(CONTROL!$C$42, 500, 500)*CHOOSE(CONTROL!$C$42, 0.275, 0.275)*CHOOSE(CONTROL!$C$42, 30, 30))/1000000</f>
        <v>4.125</v>
      </c>
      <c r="W1038" s="38">
        <f>(1000*CHOOSE(CONTROL!$C$42, 0.1146, 0.1146)*CHOOSE(CONTROL!$C$42, 121.5, 121.5)*CHOOSE(CONTROL!$C$42, 30, 30))/1000000</f>
        <v>0.417717</v>
      </c>
      <c r="X1038" s="38">
        <f>(30*0.1790888*245000/1000000)+(30*0.2374*100000/1000000)</f>
        <v>2.0285026799999999</v>
      </c>
      <c r="Y1038" s="38">
        <f>(1000*600*CHOOSE(CONTROL!$C$42, 1.0585, 1.0585)*CHOOSE(CONTROL!$C$42, 30, 30))/1000000</f>
        <v>19.053000000000001</v>
      </c>
      <c r="Z1038" s="38"/>
      <c r="AA1038" s="10"/>
      <c r="AB1038" s="39"/>
      <c r="AC1038" s="33">
        <f>(B1038*194.205+C1038*267.466+D1038*133.845+E1038*53.484+F1038*40+G1038*185+H1038*0+I1038*100+J1038*300)/(194.205+267.466+133.845+53.484+0+40+185+100+300)</f>
        <v>43.32216119992151</v>
      </c>
      <c r="AD1038" s="27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42.8516964028777</v>
      </c>
    </row>
    <row r="1039" spans="1:30" ht="15.75" x14ac:dyDescent="0.25">
      <c r="A1039" s="13">
        <v>72897</v>
      </c>
      <c r="B1039" s="10">
        <f>CHOOSE(CONTROL!$C$42, 42.4862, 42.4862) * CHOOSE(CONTROL!$C$21, $C$9, 100%, $E$9)</f>
        <v>42.486199999999997</v>
      </c>
      <c r="C1039" s="10">
        <f>CHOOSE(CONTROL!$C$42, 42.4941, 42.4941) * CHOOSE(CONTROL!$C$21, $C$9, 100%, $E$9)</f>
        <v>42.494100000000003</v>
      </c>
      <c r="D1039" s="10">
        <f>CHOOSE(CONTROL!$C$42, 42.6693, 42.6693) * CHOOSE(CONTROL!$C$21, $C$9, 100%, $E$9)</f>
        <v>42.6693</v>
      </c>
      <c r="E1039" s="10">
        <f>CHOOSE(CONTROL!$C$42, 42.7005, 42.7005) * CHOOSE(CONTROL!$C$21, $C$9, 100%, $E$9)</f>
        <v>42.700499999999998</v>
      </c>
      <c r="F1039" s="10">
        <f>CHOOSE(CONTROL!$C$42, 42.4284, 42.4284)*CHOOSE(CONTROL!$C$21, $C$9, 100%, $E$9)</f>
        <v>42.428400000000003</v>
      </c>
      <c r="G1039" s="10">
        <f>CHOOSE(CONTROL!$C$42, 42.4454, 42.4454)*CHOOSE(CONTROL!$C$21, $C$9, 100%, $E$9)</f>
        <v>42.445399999999999</v>
      </c>
      <c r="H1039" s="10">
        <f>CHOOSE(CONTROL!$C$42, 42.6888, 42.6888) * CHOOSE(CONTROL!$C$21, $C$9, 100%, $E$9)</f>
        <v>42.688800000000001</v>
      </c>
      <c r="I1039" s="10">
        <f>CHOOSE(CONTROL!$C$42, 42.4608, 42.4608)* CHOOSE(CONTROL!$C$21, $C$9, 100%, $E$9)</f>
        <v>42.460799999999999</v>
      </c>
      <c r="J1039" s="10">
        <f>CHOOSE(CONTROL!$C$42, 42.421, 42.421)* CHOOSE(CONTROL!$C$21, $C$9, 100%, $E$9)</f>
        <v>42.420999999999999</v>
      </c>
      <c r="K1039" s="10">
        <f>CHOOSE(CONTROL!$C$42, 41.2931, 41.2931) * CHOOSE(CONTROL!$C$21, $C$9, 100%, $E$9)</f>
        <v>41.293100000000003</v>
      </c>
      <c r="L1039" s="10">
        <f>CHOOSE(CONTROL!$C$42, 43.2758, 43.2758) * CHOOSE(CONTROL!$C$21, $C$9, 100%, $E$9)</f>
        <v>43.275799999999997</v>
      </c>
      <c r="M1039" s="10">
        <f>CHOOSE(CONTROL!$C$42, 41.9048, 41.9048) * CHOOSE(CONTROL!$C$21, $C$9, 100%, $E$9)</f>
        <v>41.904800000000002</v>
      </c>
      <c r="N1039" s="10">
        <f>CHOOSE(CONTROL!$C$42, 41.9217, 41.9217) * CHOOSE(CONTROL!$C$21, $C$9, 100%, $E$9)</f>
        <v>41.921700000000001</v>
      </c>
      <c r="O1039" s="10">
        <f>CHOOSE(CONTROL!$C$42, 42.1692, 42.1692) * CHOOSE(CONTROL!$C$21, $C$9, 100%, $E$9)</f>
        <v>42.169199999999996</v>
      </c>
      <c r="P1039" s="10">
        <f>CHOOSE(CONTROL!$C$42, 41.9442, 41.9442) * CHOOSE(CONTROL!$C$21, $C$9, 100%, $E$9)</f>
        <v>41.944200000000002</v>
      </c>
      <c r="Q1039" s="10">
        <f>CHOOSE(CONTROL!$C$42, 42.7645, 42.7645) * CHOOSE(CONTROL!$C$21, $C$9, 100%, $E$9)</f>
        <v>42.764499999999998</v>
      </c>
      <c r="R1039" s="10">
        <f>CHOOSE(CONTROL!$C$42, 43.4584, 43.4584) * CHOOSE(CONTROL!$C$21, $C$9, 100%, $E$9)</f>
        <v>43.458399999999997</v>
      </c>
      <c r="S1039" s="10">
        <f>CHOOSE(CONTROL!$C$42, 41.1539, 41.1539) * CHOOSE(CONTROL!$C$21, $C$9, 100%, $E$9)</f>
        <v>41.1539</v>
      </c>
      <c r="T1039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38">
        <f>(1000*CHOOSE(CONTROL!$C$42, 695, 695)*CHOOSE(CONTROL!$C$42, 0.5599, 0.5599)*CHOOSE(CONTROL!$C$42, 31, 31))/1000000</f>
        <v>12.063045499999998</v>
      </c>
      <c r="V1039" s="38">
        <f>(1000*CHOOSE(CONTROL!$C$42, 500, 500)*CHOOSE(CONTROL!$C$42, 0.275, 0.275)*CHOOSE(CONTROL!$C$42, 31, 31))/1000000</f>
        <v>4.2625000000000002</v>
      </c>
      <c r="W1039" s="38">
        <f>(1000*CHOOSE(CONTROL!$C$42, 0.1146, 0.1146)*CHOOSE(CONTROL!$C$42, 121.5, 121.5)*CHOOSE(CONTROL!$C$42, 31, 31))/1000000</f>
        <v>0.43164089999999994</v>
      </c>
      <c r="X1039" s="38">
        <f>(31*0.1790888*245000/1000000)+(31*0.2374*100000/1000000)</f>
        <v>2.0961194359999999</v>
      </c>
      <c r="Y1039" s="38">
        <f>(1000*600*CHOOSE(CONTROL!$C$42, 1.0585, 1.0585)*CHOOSE(CONTROL!$C$42, 31, 31))/1000000</f>
        <v>19.688099999999999</v>
      </c>
      <c r="Z1039" s="38"/>
      <c r="AA1039" s="10"/>
      <c r="AB1039" s="39"/>
      <c r="AC1039" s="33">
        <f>(B1039*194.205+C1039*267.466+D1039*133.845+E1039*53.484+F1039*40+G1039*185+H1039*0+I1039*100+J1039*300)/(194.205+267.466+133.845+53.484+0+40+185+100+300)</f>
        <v>42.491005040894812</v>
      </c>
      <c r="AD1039" s="27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42.031277697841723</v>
      </c>
    </row>
    <row r="1040" spans="1:30" ht="15.75" x14ac:dyDescent="0.25">
      <c r="A1040" s="13">
        <v>72928</v>
      </c>
      <c r="B1040" s="10">
        <f>CHOOSE(CONTROL!$C$42, 40.3868, 40.3868) * CHOOSE(CONTROL!$C$21, $C$9, 100%, $E$9)</f>
        <v>40.386800000000001</v>
      </c>
      <c r="C1040" s="10">
        <f>CHOOSE(CONTROL!$C$42, 40.3948, 40.3948) * CHOOSE(CONTROL!$C$21, $C$9, 100%, $E$9)</f>
        <v>40.394799999999996</v>
      </c>
      <c r="D1040" s="10">
        <f>CHOOSE(CONTROL!$C$42, 40.57, 40.57) * CHOOSE(CONTROL!$C$21, $C$9, 100%, $E$9)</f>
        <v>40.57</v>
      </c>
      <c r="E1040" s="10">
        <f>CHOOSE(CONTROL!$C$42, 40.6012, 40.6012) * CHOOSE(CONTROL!$C$21, $C$9, 100%, $E$9)</f>
        <v>40.601199999999999</v>
      </c>
      <c r="F1040" s="10">
        <f>CHOOSE(CONTROL!$C$42, 40.329, 40.329)*CHOOSE(CONTROL!$C$21, $C$9, 100%, $E$9)</f>
        <v>40.329000000000001</v>
      </c>
      <c r="G1040" s="10">
        <f>CHOOSE(CONTROL!$C$42, 40.346, 40.346)*CHOOSE(CONTROL!$C$21, $C$9, 100%, $E$9)</f>
        <v>40.345999999999997</v>
      </c>
      <c r="H1040" s="10">
        <f>CHOOSE(CONTROL!$C$42, 40.5895, 40.5895) * CHOOSE(CONTROL!$C$21, $C$9, 100%, $E$9)</f>
        <v>40.589500000000001</v>
      </c>
      <c r="I1040" s="10">
        <f>CHOOSE(CONTROL!$C$42, 40.3615, 40.3615)* CHOOSE(CONTROL!$C$21, $C$9, 100%, $E$9)</f>
        <v>40.361499999999999</v>
      </c>
      <c r="J1040" s="10">
        <f>CHOOSE(CONTROL!$C$42, 40.3216, 40.3216)* CHOOSE(CONTROL!$C$21, $C$9, 100%, $E$9)</f>
        <v>40.321599999999997</v>
      </c>
      <c r="K1040" s="10">
        <f>CHOOSE(CONTROL!$C$42, 39.2591, 39.2591) * CHOOSE(CONTROL!$C$21, $C$9, 100%, $E$9)</f>
        <v>39.259099999999997</v>
      </c>
      <c r="L1040" s="10">
        <f>CHOOSE(CONTROL!$C$42, 41.1765, 41.1765) * CHOOSE(CONTROL!$C$21, $C$9, 100%, $E$9)</f>
        <v>41.176499999999997</v>
      </c>
      <c r="M1040" s="10">
        <f>CHOOSE(CONTROL!$C$42, 39.8326, 39.8326) * CHOOSE(CONTROL!$C$21, $C$9, 100%, $E$9)</f>
        <v>39.832599999999999</v>
      </c>
      <c r="N1040" s="10">
        <f>CHOOSE(CONTROL!$C$42, 39.8494, 39.8494) * CHOOSE(CONTROL!$C$21, $C$9, 100%, $E$9)</f>
        <v>39.849400000000003</v>
      </c>
      <c r="O1040" s="10">
        <f>CHOOSE(CONTROL!$C$42, 40.0971, 40.0971) * CHOOSE(CONTROL!$C$21, $C$9, 100%, $E$9)</f>
        <v>40.097099999999998</v>
      </c>
      <c r="P1040" s="10">
        <f>CHOOSE(CONTROL!$C$42, 39.8721, 39.8721) * CHOOSE(CONTROL!$C$21, $C$9, 100%, $E$9)</f>
        <v>39.872100000000003</v>
      </c>
      <c r="Q1040" s="10">
        <f>CHOOSE(CONTROL!$C$42, 40.6924, 40.6924) * CHOOSE(CONTROL!$C$21, $C$9, 100%, $E$9)</f>
        <v>40.692399999999999</v>
      </c>
      <c r="R1040" s="10">
        <f>CHOOSE(CONTROL!$C$42, 41.3811, 41.3811) * CHOOSE(CONTROL!$C$21, $C$9, 100%, $E$9)</f>
        <v>41.381100000000004</v>
      </c>
      <c r="S1040" s="10">
        <f>CHOOSE(CONTROL!$C$42, 39.1212, 39.1212) * CHOOSE(CONTROL!$C$21, $C$9, 100%, $E$9)</f>
        <v>39.121200000000002</v>
      </c>
      <c r="T1040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38">
        <f>(1000*CHOOSE(CONTROL!$C$42, 695, 695)*CHOOSE(CONTROL!$C$42, 0.5599, 0.5599)*CHOOSE(CONTROL!$C$42, 31, 31))/1000000</f>
        <v>12.063045499999998</v>
      </c>
      <c r="V1040" s="38">
        <f>(1000*CHOOSE(CONTROL!$C$42, 500, 500)*CHOOSE(CONTROL!$C$42, 0.275, 0.275)*CHOOSE(CONTROL!$C$42, 31, 31))/1000000</f>
        <v>4.2625000000000002</v>
      </c>
      <c r="W1040" s="38">
        <f>(1000*CHOOSE(CONTROL!$C$42, 0.1146, 0.1146)*CHOOSE(CONTROL!$C$42, 121.5, 121.5)*CHOOSE(CONTROL!$C$42, 31, 31))/1000000</f>
        <v>0.43164089999999994</v>
      </c>
      <c r="X1040" s="38">
        <f>(31*0.1790888*245000/1000000)+(31*0.2374*100000/1000000)</f>
        <v>2.0961194359999999</v>
      </c>
      <c r="Y1040" s="38">
        <f>(1000*600*CHOOSE(CONTROL!$C$42, 1.0585, 1.0585)*CHOOSE(CONTROL!$C$42, 31, 31))/1000000</f>
        <v>19.688099999999999</v>
      </c>
      <c r="Z1040" s="38"/>
      <c r="AA1040" s="10"/>
      <c r="AB1040" s="39"/>
      <c r="AC1040" s="33">
        <f>(B1040*194.205+C1040*267.466+D1040*133.845+E1040*53.484+F1040*40+G1040*185+H1040*0+I1040*100+J1040*300)/(194.205+267.466+133.845+53.484+0+40+185+100+300)</f>
        <v>40.391648588383049</v>
      </c>
      <c r="AD1040" s="27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39.959131654676256</v>
      </c>
    </row>
    <row r="1041" spans="1:30" ht="15.75" x14ac:dyDescent="0.25">
      <c r="A1041" s="13">
        <v>72958</v>
      </c>
      <c r="B1041" s="10">
        <f>CHOOSE(CONTROL!$C$42, 37.8219, 37.8219) * CHOOSE(CONTROL!$C$21, $C$9, 100%, $E$9)</f>
        <v>37.821899999999999</v>
      </c>
      <c r="C1041" s="10">
        <f>CHOOSE(CONTROL!$C$42, 37.8299, 37.8299) * CHOOSE(CONTROL!$C$21, $C$9, 100%, $E$9)</f>
        <v>37.829900000000002</v>
      </c>
      <c r="D1041" s="10">
        <f>CHOOSE(CONTROL!$C$42, 38.005, 38.005) * CHOOSE(CONTROL!$C$21, $C$9, 100%, $E$9)</f>
        <v>38.005000000000003</v>
      </c>
      <c r="E1041" s="10">
        <f>CHOOSE(CONTROL!$C$42, 38.0362, 38.0362) * CHOOSE(CONTROL!$C$21, $C$9, 100%, $E$9)</f>
        <v>38.036200000000001</v>
      </c>
      <c r="F1041" s="10">
        <f>CHOOSE(CONTROL!$C$42, 37.7637, 37.7637)*CHOOSE(CONTROL!$C$21, $C$9, 100%, $E$9)</f>
        <v>37.7637</v>
      </c>
      <c r="G1041" s="10">
        <f>CHOOSE(CONTROL!$C$42, 37.7806, 37.7806)*CHOOSE(CONTROL!$C$21, $C$9, 100%, $E$9)</f>
        <v>37.7806</v>
      </c>
      <c r="H1041" s="10">
        <f>CHOOSE(CONTROL!$C$42, 38.0246, 38.0246) * CHOOSE(CONTROL!$C$21, $C$9, 100%, $E$9)</f>
        <v>38.0246</v>
      </c>
      <c r="I1041" s="10">
        <f>CHOOSE(CONTROL!$C$42, 37.7965, 37.7965)* CHOOSE(CONTROL!$C$21, $C$9, 100%, $E$9)</f>
        <v>37.796500000000002</v>
      </c>
      <c r="J1041" s="10">
        <f>CHOOSE(CONTROL!$C$42, 37.7563, 37.7563)* CHOOSE(CONTROL!$C$21, $C$9, 100%, $E$9)</f>
        <v>37.756300000000003</v>
      </c>
      <c r="K1041" s="10">
        <f>CHOOSE(CONTROL!$C$42, 36.7735, 36.7735) * CHOOSE(CONTROL!$C$21, $C$9, 100%, $E$9)</f>
        <v>36.773499999999999</v>
      </c>
      <c r="L1041" s="10">
        <f>CHOOSE(CONTROL!$C$42, 38.6116, 38.6116) * CHOOSE(CONTROL!$C$21, $C$9, 100%, $E$9)</f>
        <v>38.611600000000003</v>
      </c>
      <c r="M1041" s="10">
        <f>CHOOSE(CONTROL!$C$42, 37.3005, 37.3005) * CHOOSE(CONTROL!$C$21, $C$9, 100%, $E$9)</f>
        <v>37.3005</v>
      </c>
      <c r="N1041" s="10">
        <f>CHOOSE(CONTROL!$C$42, 37.3172, 37.3172) * CHOOSE(CONTROL!$C$21, $C$9, 100%, $E$9)</f>
        <v>37.3172</v>
      </c>
      <c r="O1041" s="10">
        <f>CHOOSE(CONTROL!$C$42, 37.5653, 37.5653) * CHOOSE(CONTROL!$C$21, $C$9, 100%, $E$9)</f>
        <v>37.565300000000001</v>
      </c>
      <c r="P1041" s="10">
        <f>CHOOSE(CONTROL!$C$42, 37.3403, 37.3403) * CHOOSE(CONTROL!$C$21, $C$9, 100%, $E$9)</f>
        <v>37.340299999999999</v>
      </c>
      <c r="Q1041" s="10">
        <f>CHOOSE(CONTROL!$C$42, 38.1606, 38.1606) * CHOOSE(CONTROL!$C$21, $C$9, 100%, $E$9)</f>
        <v>38.160600000000002</v>
      </c>
      <c r="R1041" s="10">
        <f>CHOOSE(CONTROL!$C$42, 38.843, 38.843) * CHOOSE(CONTROL!$C$21, $C$9, 100%, $E$9)</f>
        <v>38.843000000000004</v>
      </c>
      <c r="S1041" s="10">
        <f>CHOOSE(CONTROL!$C$42, 36.6375, 36.6375) * CHOOSE(CONTROL!$C$21, $C$9, 100%, $E$9)</f>
        <v>36.637500000000003</v>
      </c>
      <c r="T1041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38">
        <f>(1000*CHOOSE(CONTROL!$C$42, 695, 695)*CHOOSE(CONTROL!$C$42, 0.5599, 0.5599)*CHOOSE(CONTROL!$C$42, 30, 30))/1000000</f>
        <v>11.673914999999997</v>
      </c>
      <c r="V1041" s="38">
        <f>(1000*CHOOSE(CONTROL!$C$42, 500, 500)*CHOOSE(CONTROL!$C$42, 0.275, 0.275)*CHOOSE(CONTROL!$C$42, 30, 30))/1000000</f>
        <v>4.125</v>
      </c>
      <c r="W1041" s="38">
        <f>(1000*CHOOSE(CONTROL!$C$42, 0.1146, 0.1146)*CHOOSE(CONTROL!$C$42, 121.5, 121.5)*CHOOSE(CONTROL!$C$42, 30, 30))/1000000</f>
        <v>0.417717</v>
      </c>
      <c r="X1041" s="38">
        <f>(30*0.1790888*245000/1000000)+(30*0.2374*100000/1000000)</f>
        <v>2.0285026799999999</v>
      </c>
      <c r="Y1041" s="38">
        <f>(1000*600*CHOOSE(CONTROL!$C$42, 1.0585, 1.0585)*CHOOSE(CONTROL!$C$42, 30, 30))/1000000</f>
        <v>19.053000000000001</v>
      </c>
      <c r="Z1041" s="38"/>
      <c r="AA1041" s="10"/>
      <c r="AB1041" s="39"/>
      <c r="AC1041" s="33">
        <f>(B1041*194.205+C1041*267.466+D1041*133.845+E1041*53.484+F1041*40+G1041*185+H1041*0+I1041*100+J1041*300)/(194.205+267.466+133.845+53.484+0+40+185+100+300)</f>
        <v>37.826546678728413</v>
      </c>
      <c r="AD1041" s="27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37.42720503597122</v>
      </c>
    </row>
    <row r="1042" spans="1:30" ht="15.75" x14ac:dyDescent="0.25">
      <c r="A1042" s="13">
        <v>72989</v>
      </c>
      <c r="B1042" s="10">
        <f>CHOOSE(CONTROL!$C$42, 37.0516, 37.0516) * CHOOSE(CONTROL!$C$21, $C$9, 100%, $E$9)</f>
        <v>37.051600000000001</v>
      </c>
      <c r="C1042" s="10">
        <f>CHOOSE(CONTROL!$C$42, 37.0569, 37.0569) * CHOOSE(CONTROL!$C$21, $C$9, 100%, $E$9)</f>
        <v>37.056899999999999</v>
      </c>
      <c r="D1042" s="10">
        <f>CHOOSE(CONTROL!$C$42, 37.2369, 37.2369) * CHOOSE(CONTROL!$C$21, $C$9, 100%, $E$9)</f>
        <v>37.236899999999999</v>
      </c>
      <c r="E1042" s="10">
        <f>CHOOSE(CONTROL!$C$42, 37.2658, 37.2658) * CHOOSE(CONTROL!$C$21, $C$9, 100%, $E$9)</f>
        <v>37.265799999999999</v>
      </c>
      <c r="F1042" s="10">
        <f>CHOOSE(CONTROL!$C$42, 36.9953, 36.9953)*CHOOSE(CONTROL!$C$21, $C$9, 100%, $E$9)</f>
        <v>36.9953</v>
      </c>
      <c r="G1042" s="10">
        <f>CHOOSE(CONTROL!$C$42, 37.0119, 37.0119)*CHOOSE(CONTROL!$C$21, $C$9, 100%, $E$9)</f>
        <v>37.011899999999997</v>
      </c>
      <c r="H1042" s="10">
        <f>CHOOSE(CONTROL!$C$42, 37.2559, 37.2559) * CHOOSE(CONTROL!$C$21, $C$9, 100%, $E$9)</f>
        <v>37.255899999999997</v>
      </c>
      <c r="I1042" s="10">
        <f>CHOOSE(CONTROL!$C$42, 37.0279, 37.0279)* CHOOSE(CONTROL!$C$21, $C$9, 100%, $E$9)</f>
        <v>37.027900000000002</v>
      </c>
      <c r="J1042" s="10">
        <f>CHOOSE(CONTROL!$C$42, 36.9879, 36.9879)* CHOOSE(CONTROL!$C$21, $C$9, 100%, $E$9)</f>
        <v>36.987900000000003</v>
      </c>
      <c r="K1042" s="10">
        <f>CHOOSE(CONTROL!$C$42, 36.0295, 36.0295) * CHOOSE(CONTROL!$C$21, $C$9, 100%, $E$9)</f>
        <v>36.029499999999999</v>
      </c>
      <c r="L1042" s="10">
        <f>CHOOSE(CONTROL!$C$42, 37.8429, 37.8429) * CHOOSE(CONTROL!$C$21, $C$9, 100%, $E$9)</f>
        <v>37.8429</v>
      </c>
      <c r="M1042" s="10">
        <f>CHOOSE(CONTROL!$C$42, 36.5421, 36.5421) * CHOOSE(CONTROL!$C$21, $C$9, 100%, $E$9)</f>
        <v>36.542099999999998</v>
      </c>
      <c r="N1042" s="10">
        <f>CHOOSE(CONTROL!$C$42, 36.5585, 36.5585) * CHOOSE(CONTROL!$C$21, $C$9, 100%, $E$9)</f>
        <v>36.558500000000002</v>
      </c>
      <c r="O1042" s="10">
        <f>CHOOSE(CONTROL!$C$42, 36.8067, 36.8067) * CHOOSE(CONTROL!$C$21, $C$9, 100%, $E$9)</f>
        <v>36.806699999999999</v>
      </c>
      <c r="P1042" s="10">
        <f>CHOOSE(CONTROL!$C$42, 36.5817, 36.5817) * CHOOSE(CONTROL!$C$21, $C$9, 100%, $E$9)</f>
        <v>36.581699999999998</v>
      </c>
      <c r="Q1042" s="10">
        <f>CHOOSE(CONTROL!$C$42, 37.402, 37.402) * CHOOSE(CONTROL!$C$21, $C$9, 100%, $E$9)</f>
        <v>37.402000000000001</v>
      </c>
      <c r="R1042" s="10">
        <f>CHOOSE(CONTROL!$C$42, 38.0825, 38.0825) * CHOOSE(CONTROL!$C$21, $C$9, 100%, $E$9)</f>
        <v>38.082500000000003</v>
      </c>
      <c r="S1042" s="10">
        <f>CHOOSE(CONTROL!$C$42, 35.8933, 35.8933) * CHOOSE(CONTROL!$C$21, $C$9, 100%, $E$9)</f>
        <v>35.893300000000004</v>
      </c>
      <c r="T1042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38">
        <f>(1000*CHOOSE(CONTROL!$C$42, 695, 695)*CHOOSE(CONTROL!$C$42, 0.5599, 0.5599)*CHOOSE(CONTROL!$C$42, 31, 31))/1000000</f>
        <v>12.063045499999998</v>
      </c>
      <c r="V1042" s="38">
        <f>(1000*CHOOSE(CONTROL!$C$42, 500, 500)*CHOOSE(CONTROL!$C$42, 0.275, 0.275)*CHOOSE(CONTROL!$C$42, 31, 31))/1000000</f>
        <v>4.2625000000000002</v>
      </c>
      <c r="W1042" s="38">
        <f>(1000*CHOOSE(CONTROL!$C$42, 0.1146, 0.1146)*CHOOSE(CONTROL!$C$42, 121.5, 121.5)*CHOOSE(CONTROL!$C$42, 31, 31))/1000000</f>
        <v>0.43164089999999994</v>
      </c>
      <c r="X1042" s="38">
        <f>(31*0.1790888*245000/1000000)+(31*0.2374*100000/1000000)</f>
        <v>2.0961194359999999</v>
      </c>
      <c r="Y1042" s="38">
        <f>(1000*600*CHOOSE(CONTROL!$C$42, 1.0585, 1.0585)*CHOOSE(CONTROL!$C$42, 31, 31))/1000000</f>
        <v>19.688099999999999</v>
      </c>
      <c r="Z1042" s="38"/>
      <c r="AA1042" s="10"/>
      <c r="AB1042" s="39"/>
      <c r="AC1042" s="33">
        <f>(B1042*131.881+C1042*277.167+D1042*79.08+E1042*125.872+F1042*40+G1042*185+H1042*0+I1042*100+J1042*300)/(131.881+277.167+79.08+125.872+0+40+185+100+300)</f>
        <v>37.061291518563358</v>
      </c>
      <c r="AD1042" s="27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36.668668345323738</v>
      </c>
    </row>
    <row r="1043" spans="1:30" ht="15.75" x14ac:dyDescent="0.25">
      <c r="A1043" s="13">
        <v>73019</v>
      </c>
      <c r="B1043" s="10">
        <f>CHOOSE(CONTROL!$C$42, 38.0277, 38.0277) * CHOOSE(CONTROL!$C$21, $C$9, 100%, $E$9)</f>
        <v>38.027700000000003</v>
      </c>
      <c r="C1043" s="10">
        <f>CHOOSE(CONTROL!$C$42, 38.0328, 38.0328) * CHOOSE(CONTROL!$C$21, $C$9, 100%, $E$9)</f>
        <v>38.032800000000002</v>
      </c>
      <c r="D1043" s="10">
        <f>CHOOSE(CONTROL!$C$42, 38.0575, 38.0575) * CHOOSE(CONTROL!$C$21, $C$9, 100%, $E$9)</f>
        <v>38.057499999999997</v>
      </c>
      <c r="E1043" s="10">
        <f>CHOOSE(CONTROL!$C$42, 38.0913, 38.0913) * CHOOSE(CONTROL!$C$21, $C$9, 100%, $E$9)</f>
        <v>38.091299999999997</v>
      </c>
      <c r="F1043" s="10">
        <f>CHOOSE(CONTROL!$C$42, 37.9933, 37.9933)*CHOOSE(CONTROL!$C$21, $C$9, 100%, $E$9)</f>
        <v>37.993299999999998</v>
      </c>
      <c r="G1043" s="10">
        <f>CHOOSE(CONTROL!$C$42, 38.0101, 38.0101)*CHOOSE(CONTROL!$C$21, $C$9, 100%, $E$9)</f>
        <v>38.010100000000001</v>
      </c>
      <c r="H1043" s="10">
        <f>CHOOSE(CONTROL!$C$42, 38.0802, 38.0802) * CHOOSE(CONTROL!$C$21, $C$9, 100%, $E$9)</f>
        <v>38.080199999999998</v>
      </c>
      <c r="I1043" s="10">
        <f>CHOOSE(CONTROL!$C$42, 38.0272, 38.0272)* CHOOSE(CONTROL!$C$21, $C$9, 100%, $E$9)</f>
        <v>38.027200000000001</v>
      </c>
      <c r="J1043" s="10">
        <f>CHOOSE(CONTROL!$C$42, 37.9859, 37.9859)* CHOOSE(CONTROL!$C$21, $C$9, 100%, $E$9)</f>
        <v>37.985900000000001</v>
      </c>
      <c r="K1043" s="10">
        <f>CHOOSE(CONTROL!$C$42, 36.9993, 36.9993) * CHOOSE(CONTROL!$C$21, $C$9, 100%, $E$9)</f>
        <v>36.999299999999998</v>
      </c>
      <c r="L1043" s="10">
        <f>CHOOSE(CONTROL!$C$42, 38.6672, 38.6672) * CHOOSE(CONTROL!$C$21, $C$9, 100%, $E$9)</f>
        <v>38.667200000000001</v>
      </c>
      <c r="M1043" s="10">
        <f>CHOOSE(CONTROL!$C$42, 37.5272, 37.5272) * CHOOSE(CONTROL!$C$21, $C$9, 100%, $E$9)</f>
        <v>37.527200000000001</v>
      </c>
      <c r="N1043" s="10">
        <f>CHOOSE(CONTROL!$C$42, 37.5438, 37.5438) * CHOOSE(CONTROL!$C$21, $C$9, 100%, $E$9)</f>
        <v>37.543799999999997</v>
      </c>
      <c r="O1043" s="10">
        <f>CHOOSE(CONTROL!$C$42, 37.6202, 37.6202) * CHOOSE(CONTROL!$C$21, $C$9, 100%, $E$9)</f>
        <v>37.620199999999997</v>
      </c>
      <c r="P1043" s="10">
        <f>CHOOSE(CONTROL!$C$42, 37.568, 37.568) * CHOOSE(CONTROL!$C$21, $C$9, 100%, $E$9)</f>
        <v>37.567999999999998</v>
      </c>
      <c r="Q1043" s="10">
        <f>CHOOSE(CONTROL!$C$42, 38.2155, 38.2155) * CHOOSE(CONTROL!$C$21, $C$9, 100%, $E$9)</f>
        <v>38.215499999999999</v>
      </c>
      <c r="R1043" s="10">
        <f>CHOOSE(CONTROL!$C$42, 38.8981, 38.8981) * CHOOSE(CONTROL!$C$21, $C$9, 100%, $E$9)</f>
        <v>38.898099999999999</v>
      </c>
      <c r="S1043" s="10">
        <f>CHOOSE(CONTROL!$C$42, 36.8389, 36.8389) * CHOOSE(CONTROL!$C$21, $C$9, 100%, $E$9)</f>
        <v>36.838900000000002</v>
      </c>
      <c r="T1043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38">
        <f>(1000*CHOOSE(CONTROL!$C$42, 695, 695)*CHOOSE(CONTROL!$C$42, 0.5599, 0.5599)*CHOOSE(CONTROL!$C$42, 30, 30))/1000000</f>
        <v>11.673914999999997</v>
      </c>
      <c r="V1043" s="38">
        <f>(1000*CHOOSE(CONTROL!$C$42, 500, 500)*CHOOSE(CONTROL!$C$42, 0.275, 0.275)*CHOOSE(CONTROL!$C$42, 30, 30))/1000000</f>
        <v>4.125</v>
      </c>
      <c r="W1043" s="38">
        <f>(1000*CHOOSE(CONTROL!$C$42, 0.1146, 0.1146)*CHOOSE(CONTROL!$C$42, 121.5, 121.5)*CHOOSE(CONTROL!$C$42, 30, 30))/1000000</f>
        <v>0.417717</v>
      </c>
      <c r="X1043" s="38">
        <f>(30*0.1790888*100000/1000000)+(30*0.2374*100000/1000000)</f>
        <v>1.2494664</v>
      </c>
      <c r="Y1043" s="38">
        <f>(1000*600*CHOOSE(CONTROL!$C$42, 1.0585, 1.0585)*CHOOSE(CONTROL!$C$42, 30, 30))/1000000</f>
        <v>19.053000000000001</v>
      </c>
      <c r="Z1043" s="38"/>
      <c r="AA1043" s="10"/>
      <c r="AB1043" s="39"/>
      <c r="AC1043" s="33">
        <f>(B1043*122.58+C1043*297.941+D1043*89.177+E1043*40.302+F1043*40+G1043*160+H1043*0+I1043*100+J1043*300)/(122.58+297.941+89.177+40.302+0+40+160+100+300)</f>
        <v>38.018967983391306</v>
      </c>
      <c r="AD1043" s="27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37.576176978417266</v>
      </c>
    </row>
    <row r="1044" spans="1:30" ht="15.75" x14ac:dyDescent="0.25">
      <c r="A1044" s="13">
        <v>73050</v>
      </c>
      <c r="B1044" s="10">
        <f>CHOOSE(CONTROL!$C$42, 40.6215, 40.6215) * CHOOSE(CONTROL!$C$21, $C$9, 100%, $E$9)</f>
        <v>40.621499999999997</v>
      </c>
      <c r="C1044" s="10">
        <f>CHOOSE(CONTROL!$C$42, 40.6266, 40.6266) * CHOOSE(CONTROL!$C$21, $C$9, 100%, $E$9)</f>
        <v>40.626600000000003</v>
      </c>
      <c r="D1044" s="10">
        <f>CHOOSE(CONTROL!$C$42, 40.6513, 40.6513) * CHOOSE(CONTROL!$C$21, $C$9, 100%, $E$9)</f>
        <v>40.651299999999999</v>
      </c>
      <c r="E1044" s="10">
        <f>CHOOSE(CONTROL!$C$42, 40.6851, 40.6851) * CHOOSE(CONTROL!$C$21, $C$9, 100%, $E$9)</f>
        <v>40.685099999999998</v>
      </c>
      <c r="F1044" s="10">
        <f>CHOOSE(CONTROL!$C$42, 40.5889, 40.5889)*CHOOSE(CONTROL!$C$21, $C$9, 100%, $E$9)</f>
        <v>40.588900000000002</v>
      </c>
      <c r="G1044" s="10">
        <f>CHOOSE(CONTROL!$C$42, 40.6062, 40.6062)*CHOOSE(CONTROL!$C$21, $C$9, 100%, $E$9)</f>
        <v>40.606200000000001</v>
      </c>
      <c r="H1044" s="10">
        <f>CHOOSE(CONTROL!$C$42, 40.674, 40.674) * CHOOSE(CONTROL!$C$21, $C$9, 100%, $E$9)</f>
        <v>40.673999999999999</v>
      </c>
      <c r="I1044" s="10">
        <f>CHOOSE(CONTROL!$C$42, 40.621, 40.621)* CHOOSE(CONTROL!$C$21, $C$9, 100%, $E$9)</f>
        <v>40.621000000000002</v>
      </c>
      <c r="J1044" s="10">
        <f>CHOOSE(CONTROL!$C$42, 40.5815, 40.5815)* CHOOSE(CONTROL!$C$21, $C$9, 100%, $E$9)</f>
        <v>40.581499999999998</v>
      </c>
      <c r="K1044" s="10">
        <f>CHOOSE(CONTROL!$C$42, 39.5161, 39.5161) * CHOOSE(CONTROL!$C$21, $C$9, 100%, $E$9)</f>
        <v>39.516100000000002</v>
      </c>
      <c r="L1044" s="10">
        <f>CHOOSE(CONTROL!$C$42, 41.261, 41.261) * CHOOSE(CONTROL!$C$21, $C$9, 100%, $E$9)</f>
        <v>41.261000000000003</v>
      </c>
      <c r="M1044" s="10">
        <f>CHOOSE(CONTROL!$C$42, 40.0892, 40.0892) * CHOOSE(CONTROL!$C$21, $C$9, 100%, $E$9)</f>
        <v>40.089199999999998</v>
      </c>
      <c r="N1044" s="10">
        <f>CHOOSE(CONTROL!$C$42, 40.1063, 40.1063) * CHOOSE(CONTROL!$C$21, $C$9, 100%, $E$9)</f>
        <v>40.106299999999997</v>
      </c>
      <c r="O1044" s="10">
        <f>CHOOSE(CONTROL!$C$42, 40.1805, 40.1805) * CHOOSE(CONTROL!$C$21, $C$9, 100%, $E$9)</f>
        <v>40.180500000000002</v>
      </c>
      <c r="P1044" s="10">
        <f>CHOOSE(CONTROL!$C$42, 40.1282, 40.1282) * CHOOSE(CONTROL!$C$21, $C$9, 100%, $E$9)</f>
        <v>40.1282</v>
      </c>
      <c r="Q1044" s="10">
        <f>CHOOSE(CONTROL!$C$42, 40.7758, 40.7758) * CHOOSE(CONTROL!$C$21, $C$9, 100%, $E$9)</f>
        <v>40.775799999999997</v>
      </c>
      <c r="R1044" s="10">
        <f>CHOOSE(CONTROL!$C$42, 41.4647, 41.4647) * CHOOSE(CONTROL!$C$21, $C$9, 100%, $E$9)</f>
        <v>41.464700000000001</v>
      </c>
      <c r="S1044" s="10">
        <f>CHOOSE(CONTROL!$C$42, 39.3505, 39.3505) * CHOOSE(CONTROL!$C$21, $C$9, 100%, $E$9)</f>
        <v>39.350499999999997</v>
      </c>
      <c r="T1044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38">
        <f>(1000*CHOOSE(CONTROL!$C$42, 695, 695)*CHOOSE(CONTROL!$C$42, 0.5599, 0.5599)*CHOOSE(CONTROL!$C$42, 31, 31))/1000000</f>
        <v>12.063045499999998</v>
      </c>
      <c r="V1044" s="38">
        <f>(1000*CHOOSE(CONTROL!$C$42, 500, 500)*CHOOSE(CONTROL!$C$42, 0.275, 0.275)*CHOOSE(CONTROL!$C$42, 31, 31))/1000000</f>
        <v>4.2625000000000002</v>
      </c>
      <c r="W1044" s="38">
        <f>(1000*CHOOSE(CONTROL!$C$42, 0.1146, 0.1146)*CHOOSE(CONTROL!$C$42, 121.5, 121.5)*CHOOSE(CONTROL!$C$42, 31, 31))/1000000</f>
        <v>0.43164089999999994</v>
      </c>
      <c r="X1044" s="38">
        <f>(31*0.1790888*100000/1000000)+(31*0.2374*100000/1000000)</f>
        <v>1.2911152800000001</v>
      </c>
      <c r="Y1044" s="38">
        <f>(1000*600*CHOOSE(CONTROL!$C$42, 1.0585, 1.0585)*CHOOSE(CONTROL!$C$42, 31, 31))/1000000</f>
        <v>19.688099999999999</v>
      </c>
      <c r="Z1044" s="38"/>
      <c r="AA1044" s="10"/>
      <c r="AB1044" s="39"/>
      <c r="AC1044" s="33">
        <f>(B1044*122.58+C1044*297.941+D1044*89.177+E1044*40.302+F1044*40+G1044*160+H1044*0+I1044*100+J1044*300)/(122.58+297.941+89.177+40.302+0+40+160+100+300)</f>
        <v>40.613620157304346</v>
      </c>
      <c r="AD1044" s="27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40.13717625899281</v>
      </c>
    </row>
    <row r="1045" spans="1:30" ht="15.75" x14ac:dyDescent="0.25">
      <c r="A1045" s="13">
        <v>73081</v>
      </c>
      <c r="B1045" s="10">
        <f>CHOOSE(CONTROL!$C$42, 43.3643, 43.3643) * CHOOSE(CONTROL!$C$21, $C$9, 100%, $E$9)</f>
        <v>43.3643</v>
      </c>
      <c r="C1045" s="10">
        <f>CHOOSE(CONTROL!$C$42, 43.3694, 43.3694) * CHOOSE(CONTROL!$C$21, $C$9, 100%, $E$9)</f>
        <v>43.369399999999999</v>
      </c>
      <c r="D1045" s="10">
        <f>CHOOSE(CONTROL!$C$42, 43.4045, 43.4045) * CHOOSE(CONTROL!$C$21, $C$9, 100%, $E$9)</f>
        <v>43.404499999999999</v>
      </c>
      <c r="E1045" s="10">
        <f>CHOOSE(CONTROL!$C$42, 43.4383, 43.4383) * CHOOSE(CONTROL!$C$21, $C$9, 100%, $E$9)</f>
        <v>43.438299999999998</v>
      </c>
      <c r="F1045" s="10">
        <f>CHOOSE(CONTROL!$C$42, 43.3456, 43.3456)*CHOOSE(CONTROL!$C$21, $C$9, 100%, $E$9)</f>
        <v>43.345599999999997</v>
      </c>
      <c r="G1045" s="10">
        <f>CHOOSE(CONTROL!$C$42, 43.3645, 43.3645)*CHOOSE(CONTROL!$C$21, $C$9, 100%, $E$9)</f>
        <v>43.3645</v>
      </c>
      <c r="H1045" s="10">
        <f>CHOOSE(CONTROL!$C$42, 43.4271, 43.4271) * CHOOSE(CONTROL!$C$21, $C$9, 100%, $E$9)</f>
        <v>43.427100000000003</v>
      </c>
      <c r="I1045" s="10">
        <f>CHOOSE(CONTROL!$C$42, 43.3716, 43.3716)* CHOOSE(CONTROL!$C$21, $C$9, 100%, $E$9)</f>
        <v>43.371600000000001</v>
      </c>
      <c r="J1045" s="10">
        <f>CHOOSE(CONTROL!$C$42, 43.3382, 43.3382)* CHOOSE(CONTROL!$C$21, $C$9, 100%, $E$9)</f>
        <v>43.338200000000001</v>
      </c>
      <c r="K1045" s="10">
        <f>CHOOSE(CONTROL!$C$42, 42.1941, 42.1941) * CHOOSE(CONTROL!$C$21, $C$9, 100%, $E$9)</f>
        <v>42.194099999999999</v>
      </c>
      <c r="L1045" s="10">
        <f>CHOOSE(CONTROL!$C$42, 44.0141, 44.0141) * CHOOSE(CONTROL!$C$21, $C$9, 100%, $E$9)</f>
        <v>44.014099999999999</v>
      </c>
      <c r="M1045" s="10">
        <f>CHOOSE(CONTROL!$C$42, 42.8102, 42.8102) * CHOOSE(CONTROL!$C$21, $C$9, 100%, $E$9)</f>
        <v>42.810200000000002</v>
      </c>
      <c r="N1045" s="10">
        <f>CHOOSE(CONTROL!$C$42, 42.8289, 42.8289) * CHOOSE(CONTROL!$C$21, $C$9, 100%, $E$9)</f>
        <v>42.828899999999997</v>
      </c>
      <c r="O1045" s="10">
        <f>CHOOSE(CONTROL!$C$42, 42.898, 42.898) * CHOOSE(CONTROL!$C$21, $C$9, 100%, $E$9)</f>
        <v>42.898000000000003</v>
      </c>
      <c r="P1045" s="10">
        <f>CHOOSE(CONTROL!$C$42, 42.8432, 42.8432) * CHOOSE(CONTROL!$C$21, $C$9, 100%, $E$9)</f>
        <v>42.843200000000003</v>
      </c>
      <c r="Q1045" s="10">
        <f>CHOOSE(CONTROL!$C$42, 43.4933, 43.4933) * CHOOSE(CONTROL!$C$21, $C$9, 100%, $E$9)</f>
        <v>43.493299999999998</v>
      </c>
      <c r="R1045" s="10">
        <f>CHOOSE(CONTROL!$C$42, 44.189, 44.189) * CHOOSE(CONTROL!$C$21, $C$9, 100%, $E$9)</f>
        <v>44.189</v>
      </c>
      <c r="S1045" s="10">
        <f>CHOOSE(CONTROL!$C$42, 42.0064, 42.0064) * CHOOSE(CONTROL!$C$21, $C$9, 100%, $E$9)</f>
        <v>42.006399999999999</v>
      </c>
      <c r="T1045" s="3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38">
        <f>(1000*CHOOSE(CONTROL!$C$42, 695, 695)*CHOOSE(CONTROL!$C$42, 0.5599, 0.5599)*CHOOSE(CONTROL!$C$42, 31, 31))/1000000</f>
        <v>12.063045499999998</v>
      </c>
      <c r="V1045" s="38">
        <f>(1000*CHOOSE(CONTROL!$C$42, 500, 500)*CHOOSE(CONTROL!$C$42, 0.275, 0.275)*CHOOSE(CONTROL!$C$42, 31, 31))/1000000</f>
        <v>4.2625000000000002</v>
      </c>
      <c r="W1045" s="38">
        <f>(1000*CHOOSE(CONTROL!$C$42, 0.1146, 0.1146)*CHOOSE(CONTROL!$C$42, 121.5, 121.5)*CHOOSE(CONTROL!$C$42, 31, 31))/1000000</f>
        <v>0.43164089999999994</v>
      </c>
      <c r="X1045" s="38">
        <f>(31*0.1790888*100000/1000000)+(31*0.2374*100000/1000000)</f>
        <v>1.2911152800000001</v>
      </c>
      <c r="Y1045" s="38">
        <f>(1000*600*CHOOSE(CONTROL!$C$42, 1.0585, 1.0585)*CHOOSE(CONTROL!$C$42, 31, 31))/1000000</f>
        <v>19.688099999999999</v>
      </c>
      <c r="Z1045" s="38"/>
      <c r="AA1045" s="10"/>
      <c r="AB1045" s="39"/>
      <c r="AC1045" s="33">
        <f>(B1045*122.58+C1045*297.941+D1045*89.177+E1045*40.302+F1045*40+G1045*160+H1045*0+I1045*100+J1045*300)/(122.58+297.941+89.177+40.302+0+40+160+100+300)</f>
        <v>43.364535445652173</v>
      </c>
      <c r="AD1045" s="27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42.855818705035972</v>
      </c>
    </row>
    <row r="1046" spans="1:30" ht="15.75" x14ac:dyDescent="0.25">
      <c r="A1046" s="13">
        <v>73109</v>
      </c>
      <c r="B1046" s="10">
        <f>CHOOSE(CONTROL!$C$42, 44.1366, 44.1366) * CHOOSE(CONTROL!$C$21, $C$9, 100%, $E$9)</f>
        <v>44.136600000000001</v>
      </c>
      <c r="C1046" s="10">
        <f>CHOOSE(CONTROL!$C$42, 44.1417, 44.1417) * CHOOSE(CONTROL!$C$21, $C$9, 100%, $E$9)</f>
        <v>44.1417</v>
      </c>
      <c r="D1046" s="10">
        <f>CHOOSE(CONTROL!$C$42, 44.1767, 44.1767) * CHOOSE(CONTROL!$C$21, $C$9, 100%, $E$9)</f>
        <v>44.176699999999997</v>
      </c>
      <c r="E1046" s="10">
        <f>CHOOSE(CONTROL!$C$42, 44.2105, 44.2105) * CHOOSE(CONTROL!$C$21, $C$9, 100%, $E$9)</f>
        <v>44.210500000000003</v>
      </c>
      <c r="F1046" s="10">
        <f>CHOOSE(CONTROL!$C$42, 44.1173, 44.1173)*CHOOSE(CONTROL!$C$21, $C$9, 100%, $E$9)</f>
        <v>44.1173</v>
      </c>
      <c r="G1046" s="10">
        <f>CHOOSE(CONTROL!$C$42, 44.1361, 44.1361)*CHOOSE(CONTROL!$C$21, $C$9, 100%, $E$9)</f>
        <v>44.136099999999999</v>
      </c>
      <c r="H1046" s="10">
        <f>CHOOSE(CONTROL!$C$42, 44.1994, 44.1994) * CHOOSE(CONTROL!$C$21, $C$9, 100%, $E$9)</f>
        <v>44.199399999999997</v>
      </c>
      <c r="I1046" s="10">
        <f>CHOOSE(CONTROL!$C$42, 44.1438, 44.1438)* CHOOSE(CONTROL!$C$21, $C$9, 100%, $E$9)</f>
        <v>44.143799999999999</v>
      </c>
      <c r="J1046" s="10">
        <f>CHOOSE(CONTROL!$C$42, 44.1099, 44.1099)* CHOOSE(CONTROL!$C$21, $C$9, 100%, $E$9)</f>
        <v>44.109900000000003</v>
      </c>
      <c r="K1046" s="10">
        <f>CHOOSE(CONTROL!$C$42, 42.941, 42.941) * CHOOSE(CONTROL!$C$21, $C$9, 100%, $E$9)</f>
        <v>42.941000000000003</v>
      </c>
      <c r="L1046" s="10">
        <f>CHOOSE(CONTROL!$C$42, 44.7864, 44.7864) * CHOOSE(CONTROL!$C$21, $C$9, 100%, $E$9)</f>
        <v>44.7864</v>
      </c>
      <c r="M1046" s="10">
        <f>CHOOSE(CONTROL!$C$42, 43.5719, 43.5719) * CHOOSE(CONTROL!$C$21, $C$9, 100%, $E$9)</f>
        <v>43.571899999999999</v>
      </c>
      <c r="N1046" s="10">
        <f>CHOOSE(CONTROL!$C$42, 43.5905, 43.5905) * CHOOSE(CONTROL!$C$21, $C$9, 100%, $E$9)</f>
        <v>43.590499999999999</v>
      </c>
      <c r="O1046" s="10">
        <f>CHOOSE(CONTROL!$C$42, 43.6602, 43.6602) * CHOOSE(CONTROL!$C$21, $C$9, 100%, $E$9)</f>
        <v>43.660200000000003</v>
      </c>
      <c r="P1046" s="10">
        <f>CHOOSE(CONTROL!$C$42, 43.6054, 43.6054) * CHOOSE(CONTROL!$C$21, $C$9, 100%, $E$9)</f>
        <v>43.605400000000003</v>
      </c>
      <c r="Q1046" s="10">
        <f>CHOOSE(CONTROL!$C$42, 44.2555, 44.2555) * CHOOSE(CONTROL!$C$21, $C$9, 100%, $E$9)</f>
        <v>44.255499999999998</v>
      </c>
      <c r="R1046" s="10">
        <f>CHOOSE(CONTROL!$C$42, 44.9532, 44.9532) * CHOOSE(CONTROL!$C$21, $C$9, 100%, $E$9)</f>
        <v>44.953200000000002</v>
      </c>
      <c r="S1046" s="10">
        <f>CHOOSE(CONTROL!$C$42, 42.7541, 42.7541) * CHOOSE(CONTROL!$C$21, $C$9, 100%, $E$9)</f>
        <v>42.754100000000001</v>
      </c>
      <c r="T1046" s="3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46" s="38">
        <f>(1000*CHOOSE(CONTROL!$C$42, 695, 695)*CHOOSE(CONTROL!$C$42, 0.5599, 0.5599)*CHOOSE(CONTROL!$C$42, 29, 29))/1000000</f>
        <v>11.284784499999999</v>
      </c>
      <c r="V1046" s="38">
        <f>(1000*CHOOSE(CONTROL!$C$42, 500, 500)*CHOOSE(CONTROL!$C$42, 0.275, 0.275)*CHOOSE(CONTROL!$C$42, 29, 29))/1000000</f>
        <v>3.9874999999999998</v>
      </c>
      <c r="W1046" s="38">
        <f>(1000*CHOOSE(CONTROL!$C$42, 0.1146, 0.1146)*CHOOSE(CONTROL!$C$42, 121.5, 121.5)*CHOOSE(CONTROL!$C$42, 29, 29))/1000000</f>
        <v>0.40379309999999996</v>
      </c>
      <c r="X1046" s="38">
        <f>(28*0.1790888*100000/1000000)+(28*0.2374*100000/1000000)</f>
        <v>1.16616864</v>
      </c>
      <c r="Y1046" s="38">
        <f>(1000*600*CHOOSE(CONTROL!$C$42, 1.0585, 1.0585)*CHOOSE(CONTROL!$C$42, 29, 29))/1000000</f>
        <v>18.417899999999999</v>
      </c>
      <c r="Z1046" s="38"/>
      <c r="AA1046" s="10"/>
      <c r="AB1046" s="39"/>
      <c r="AC1046" s="33">
        <f>(B1046*122.58+C1046*297.941+D1046*89.177+E1046*40.302+F1046*40+G1046*160+H1046*0+I1046*100+J1046*300)/(122.58+297.941+89.177+40.302+0+40+160+100+300)</f>
        <v>44.136540708347823</v>
      </c>
      <c r="AD1046" s="27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43.61781151079137</v>
      </c>
    </row>
    <row r="1047" spans="1:30" ht="15.75" x14ac:dyDescent="0.25">
      <c r="A1047" s="13">
        <v>73140</v>
      </c>
      <c r="B1047" s="10">
        <f>CHOOSE(CONTROL!$C$42, 42.8831, 42.8831) * CHOOSE(CONTROL!$C$21, $C$9, 100%, $E$9)</f>
        <v>42.883099999999999</v>
      </c>
      <c r="C1047" s="10">
        <f>CHOOSE(CONTROL!$C$42, 42.8882, 42.8882) * CHOOSE(CONTROL!$C$21, $C$9, 100%, $E$9)</f>
        <v>42.888199999999998</v>
      </c>
      <c r="D1047" s="10">
        <f>CHOOSE(CONTROL!$C$42, 42.9232, 42.9232) * CHOOSE(CONTROL!$C$21, $C$9, 100%, $E$9)</f>
        <v>42.923200000000001</v>
      </c>
      <c r="E1047" s="10">
        <f>CHOOSE(CONTROL!$C$42, 42.957, 42.957) * CHOOSE(CONTROL!$C$21, $C$9, 100%, $E$9)</f>
        <v>42.957000000000001</v>
      </c>
      <c r="F1047" s="10">
        <f>CHOOSE(CONTROL!$C$42, 42.8624, 42.8624)*CHOOSE(CONTROL!$C$21, $C$9, 100%, $E$9)</f>
        <v>42.862400000000001</v>
      </c>
      <c r="G1047" s="10">
        <f>CHOOSE(CONTROL!$C$42, 42.8808, 42.8808)*CHOOSE(CONTROL!$C$21, $C$9, 100%, $E$9)</f>
        <v>42.880800000000001</v>
      </c>
      <c r="H1047" s="10">
        <f>CHOOSE(CONTROL!$C$42, 42.9458, 42.9458) * CHOOSE(CONTROL!$C$21, $C$9, 100%, $E$9)</f>
        <v>42.945799999999998</v>
      </c>
      <c r="I1047" s="10">
        <f>CHOOSE(CONTROL!$C$42, 42.8903, 42.8903)* CHOOSE(CONTROL!$C$21, $C$9, 100%, $E$9)</f>
        <v>42.890300000000003</v>
      </c>
      <c r="J1047" s="10">
        <f>CHOOSE(CONTROL!$C$42, 42.855, 42.855)* CHOOSE(CONTROL!$C$21, $C$9, 100%, $E$9)</f>
        <v>42.854999999999997</v>
      </c>
      <c r="K1047" s="10">
        <f>CHOOSE(CONTROL!$C$42, 41.7236, 41.7236) * CHOOSE(CONTROL!$C$21, $C$9, 100%, $E$9)</f>
        <v>41.723599999999998</v>
      </c>
      <c r="L1047" s="10">
        <f>CHOOSE(CONTROL!$C$42, 43.5328, 43.5328) * CHOOSE(CONTROL!$C$21, $C$9, 100%, $E$9)</f>
        <v>43.532800000000002</v>
      </c>
      <c r="M1047" s="10">
        <f>CHOOSE(CONTROL!$C$42, 42.3333, 42.3333) * CHOOSE(CONTROL!$C$21, $C$9, 100%, $E$9)</f>
        <v>42.333300000000001</v>
      </c>
      <c r="N1047" s="10">
        <f>CHOOSE(CONTROL!$C$42, 42.3514, 42.3514) * CHOOSE(CONTROL!$C$21, $C$9, 100%, $E$9)</f>
        <v>42.351399999999998</v>
      </c>
      <c r="O1047" s="10">
        <f>CHOOSE(CONTROL!$C$42, 42.4229, 42.4229) * CHOOSE(CONTROL!$C$21, $C$9, 100%, $E$9)</f>
        <v>42.422899999999998</v>
      </c>
      <c r="P1047" s="10">
        <f>CHOOSE(CONTROL!$C$42, 42.3681, 42.3681) * CHOOSE(CONTROL!$C$21, $C$9, 100%, $E$9)</f>
        <v>42.368099999999998</v>
      </c>
      <c r="Q1047" s="10">
        <f>CHOOSE(CONTROL!$C$42, 43.0182, 43.0182) * CHOOSE(CONTROL!$C$21, $C$9, 100%, $E$9)</f>
        <v>43.0182</v>
      </c>
      <c r="R1047" s="10">
        <f>CHOOSE(CONTROL!$C$42, 43.7128, 43.7128) * CHOOSE(CONTROL!$C$21, $C$9, 100%, $E$9)</f>
        <v>43.712800000000001</v>
      </c>
      <c r="S1047" s="10">
        <f>CHOOSE(CONTROL!$C$42, 41.5403, 41.5403) * CHOOSE(CONTROL!$C$21, $C$9, 100%, $E$9)</f>
        <v>41.540300000000002</v>
      </c>
      <c r="T1047" s="3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38">
        <f>(1000*CHOOSE(CONTROL!$C$42, 695, 695)*CHOOSE(CONTROL!$C$42, 0.5599, 0.5599)*CHOOSE(CONTROL!$C$42, 31, 31))/1000000</f>
        <v>12.063045499999998</v>
      </c>
      <c r="V1047" s="38">
        <f>(1000*CHOOSE(CONTROL!$C$42, 500, 500)*CHOOSE(CONTROL!$C$42, 0.275, 0.275)*CHOOSE(CONTROL!$C$42, 31, 31))/1000000</f>
        <v>4.2625000000000002</v>
      </c>
      <c r="W1047" s="38">
        <f>(1000*CHOOSE(CONTROL!$C$42, 0.1146, 0.1146)*CHOOSE(CONTROL!$C$42, 121.5, 121.5)*CHOOSE(CONTROL!$C$42, 31, 31))/1000000</f>
        <v>0.43164089999999994</v>
      </c>
      <c r="X1047" s="38">
        <f>(31*0.1790888*100000/1000000)+(31*0.2374*100000/1000000)</f>
        <v>1.2911152800000001</v>
      </c>
      <c r="Y1047" s="38">
        <f>(1000*600*CHOOSE(CONTROL!$C$42, 1.0585, 1.0585)*CHOOSE(CONTROL!$C$42, 31, 31))/1000000</f>
        <v>19.688099999999999</v>
      </c>
      <c r="Z1047" s="38"/>
      <c r="AA1047" s="10"/>
      <c r="AB1047" s="39"/>
      <c r="AC1047" s="33">
        <f>(B1047*122.58+C1047*297.941+D1047*89.177+E1047*40.302+F1047*40+G1047*160+H1047*0+I1047*100+J1047*300)/(122.58+297.941+89.177+40.302+0+40+160+100+300)</f>
        <v>42.882376360521739</v>
      </c>
      <c r="AD1047" s="27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42.379958992805754</v>
      </c>
    </row>
    <row r="1048" spans="1:30" ht="15.75" x14ac:dyDescent="0.25">
      <c r="A1048" s="13">
        <v>73170</v>
      </c>
      <c r="B1048" s="10">
        <f>CHOOSE(CONTROL!$C$42, 42.7554, 42.7554) * CHOOSE(CONTROL!$C$21, $C$9, 100%, $E$9)</f>
        <v>42.755400000000002</v>
      </c>
      <c r="C1048" s="10">
        <f>CHOOSE(CONTROL!$C$42, 42.7599, 42.7599) * CHOOSE(CONTROL!$C$21, $C$9, 100%, $E$9)</f>
        <v>42.759900000000002</v>
      </c>
      <c r="D1048" s="10">
        <f>CHOOSE(CONTROL!$C$42, 42.9381, 42.9381) * CHOOSE(CONTROL!$C$21, $C$9, 100%, $E$9)</f>
        <v>42.938099999999999</v>
      </c>
      <c r="E1048" s="10">
        <f>CHOOSE(CONTROL!$C$42, 42.9699, 42.9699) * CHOOSE(CONTROL!$C$21, $C$9, 100%, $E$9)</f>
        <v>42.969900000000003</v>
      </c>
      <c r="F1048" s="10">
        <f>CHOOSE(CONTROL!$C$42, 42.6988, 42.6988)*CHOOSE(CONTROL!$C$21, $C$9, 100%, $E$9)</f>
        <v>42.698799999999999</v>
      </c>
      <c r="G1048" s="10">
        <f>CHOOSE(CONTROL!$C$42, 42.7154, 42.7154)*CHOOSE(CONTROL!$C$21, $C$9, 100%, $E$9)</f>
        <v>42.715400000000002</v>
      </c>
      <c r="H1048" s="10">
        <f>CHOOSE(CONTROL!$C$42, 42.9594, 42.9594) * CHOOSE(CONTROL!$C$21, $C$9, 100%, $E$9)</f>
        <v>42.959400000000002</v>
      </c>
      <c r="I1048" s="10">
        <f>CHOOSE(CONTROL!$C$42, 42.7314, 42.7314)* CHOOSE(CONTROL!$C$21, $C$9, 100%, $E$9)</f>
        <v>42.731400000000001</v>
      </c>
      <c r="J1048" s="10">
        <f>CHOOSE(CONTROL!$C$42, 42.6914, 42.6914)* CHOOSE(CONTROL!$C$21, $C$9, 100%, $E$9)</f>
        <v>42.691400000000002</v>
      </c>
      <c r="K1048" s="10">
        <f>CHOOSE(CONTROL!$C$42, 41.555, 41.555) * CHOOSE(CONTROL!$C$21, $C$9, 100%, $E$9)</f>
        <v>41.555</v>
      </c>
      <c r="L1048" s="10">
        <f>CHOOSE(CONTROL!$C$42, 43.5464, 43.5464) * CHOOSE(CONTROL!$C$21, $C$9, 100%, $E$9)</f>
        <v>43.546399999999998</v>
      </c>
      <c r="M1048" s="10">
        <f>CHOOSE(CONTROL!$C$42, 42.1718, 42.1718) * CHOOSE(CONTROL!$C$21, $C$9, 100%, $E$9)</f>
        <v>42.171799999999998</v>
      </c>
      <c r="N1048" s="10">
        <f>CHOOSE(CONTROL!$C$42, 42.1882, 42.1882) * CHOOSE(CONTROL!$C$21, $C$9, 100%, $E$9)</f>
        <v>42.188200000000002</v>
      </c>
      <c r="O1048" s="10">
        <f>CHOOSE(CONTROL!$C$42, 42.4363, 42.4363) * CHOOSE(CONTROL!$C$21, $C$9, 100%, $E$9)</f>
        <v>42.436300000000003</v>
      </c>
      <c r="P1048" s="10">
        <f>CHOOSE(CONTROL!$C$42, 42.2113, 42.2113) * CHOOSE(CONTROL!$C$21, $C$9, 100%, $E$9)</f>
        <v>42.211300000000001</v>
      </c>
      <c r="Q1048" s="10">
        <f>CHOOSE(CONTROL!$C$42, 43.0316, 43.0316) * CHOOSE(CONTROL!$C$21, $C$9, 100%, $E$9)</f>
        <v>43.031599999999997</v>
      </c>
      <c r="R1048" s="10">
        <f>CHOOSE(CONTROL!$C$42, 43.7262, 43.7262) * CHOOSE(CONTROL!$C$21, $C$9, 100%, $E$9)</f>
        <v>43.726199999999999</v>
      </c>
      <c r="S1048" s="10">
        <f>CHOOSE(CONTROL!$C$42, 41.4159, 41.4159) * CHOOSE(CONTROL!$C$21, $C$9, 100%, $E$9)</f>
        <v>41.415900000000001</v>
      </c>
      <c r="T1048" s="3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38">
        <f>(1000*CHOOSE(CONTROL!$C$42, 695, 695)*CHOOSE(CONTROL!$C$42, 0.5599, 0.5599)*CHOOSE(CONTROL!$C$42, 30, 30))/1000000</f>
        <v>11.673914999999997</v>
      </c>
      <c r="V1048" s="38">
        <f>(1000*CHOOSE(CONTROL!$C$42, 500, 500)*CHOOSE(CONTROL!$C$42, 0.275, 0.275)*CHOOSE(CONTROL!$C$42, 30, 30))/1000000</f>
        <v>4.125</v>
      </c>
      <c r="W1048" s="38">
        <f>(1000*CHOOSE(CONTROL!$C$42, 0.1146, 0.1146)*CHOOSE(CONTROL!$C$42, 121.5, 121.5)*CHOOSE(CONTROL!$C$42, 30, 30))/1000000</f>
        <v>0.417717</v>
      </c>
      <c r="X1048" s="38">
        <f>(30*0.1790888*245000/1000000)+(30*0.2374*100000/1000000)</f>
        <v>2.0285026799999999</v>
      </c>
      <c r="Y1048" s="38">
        <f>(1000*600*CHOOSE(CONTROL!$C$42, 1.0585, 1.0585)*CHOOSE(CONTROL!$C$42, 30, 30))/1000000</f>
        <v>19.053000000000001</v>
      </c>
      <c r="Z1048" s="38"/>
      <c r="AA1048" s="10"/>
      <c r="AB1048" s="39"/>
      <c r="AC1048" s="33">
        <f>(B1048*141.293+C1048*267.993+D1048*115.016+E1048*89.698+F1048*40+G1048*185+H1048*0+I1048*100+J1048*300)/(141.293+267.993+115.016+89.698+0+40+185+100+300)</f>
        <v>42.763628904519777</v>
      </c>
      <c r="AD1048" s="27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42.298308633093527</v>
      </c>
    </row>
    <row r="1049" spans="1:30" ht="15.75" x14ac:dyDescent="0.25">
      <c r="A1049" s="13">
        <v>73201</v>
      </c>
      <c r="B1049" s="10">
        <f>CHOOSE(CONTROL!$C$42, 43.1346, 43.1346) * CHOOSE(CONTROL!$C$21, $C$9, 100%, $E$9)</f>
        <v>43.134599999999999</v>
      </c>
      <c r="C1049" s="10">
        <f>CHOOSE(CONTROL!$C$42, 43.1426, 43.1426) * CHOOSE(CONTROL!$C$21, $C$9, 100%, $E$9)</f>
        <v>43.142600000000002</v>
      </c>
      <c r="D1049" s="10">
        <f>CHOOSE(CONTROL!$C$42, 43.3177, 43.3177) * CHOOSE(CONTROL!$C$21, $C$9, 100%, $E$9)</f>
        <v>43.317700000000002</v>
      </c>
      <c r="E1049" s="10">
        <f>CHOOSE(CONTROL!$C$42, 43.349, 43.349) * CHOOSE(CONTROL!$C$21, $C$9, 100%, $E$9)</f>
        <v>43.348999999999997</v>
      </c>
      <c r="F1049" s="10">
        <f>CHOOSE(CONTROL!$C$42, 43.0763, 43.0763)*CHOOSE(CONTROL!$C$21, $C$9, 100%, $E$9)</f>
        <v>43.076300000000003</v>
      </c>
      <c r="G1049" s="10">
        <f>CHOOSE(CONTROL!$C$42, 43.0932, 43.0932)*CHOOSE(CONTROL!$C$21, $C$9, 100%, $E$9)</f>
        <v>43.093200000000003</v>
      </c>
      <c r="H1049" s="10">
        <f>CHOOSE(CONTROL!$C$42, 43.3373, 43.3373) * CHOOSE(CONTROL!$C$21, $C$9, 100%, $E$9)</f>
        <v>43.337299999999999</v>
      </c>
      <c r="I1049" s="10">
        <f>CHOOSE(CONTROL!$C$42, 43.1093, 43.1093)* CHOOSE(CONTROL!$C$21, $C$9, 100%, $E$9)</f>
        <v>43.109299999999998</v>
      </c>
      <c r="J1049" s="10">
        <f>CHOOSE(CONTROL!$C$42, 43.0689, 43.0689)* CHOOSE(CONTROL!$C$21, $C$9, 100%, $E$9)</f>
        <v>43.068899999999999</v>
      </c>
      <c r="K1049" s="10">
        <f>CHOOSE(CONTROL!$C$42, 41.9202, 41.9202) * CHOOSE(CONTROL!$C$21, $C$9, 100%, $E$9)</f>
        <v>41.920200000000001</v>
      </c>
      <c r="L1049" s="10">
        <f>CHOOSE(CONTROL!$C$42, 43.9243, 43.9243) * CHOOSE(CONTROL!$C$21, $C$9, 100%, $E$9)</f>
        <v>43.924300000000002</v>
      </c>
      <c r="M1049" s="10">
        <f>CHOOSE(CONTROL!$C$42, 42.5444, 42.5444) * CHOOSE(CONTROL!$C$21, $C$9, 100%, $E$9)</f>
        <v>42.544400000000003</v>
      </c>
      <c r="N1049" s="10">
        <f>CHOOSE(CONTROL!$C$42, 42.5611, 42.5611) * CHOOSE(CONTROL!$C$21, $C$9, 100%, $E$9)</f>
        <v>42.561100000000003</v>
      </c>
      <c r="O1049" s="10">
        <f>CHOOSE(CONTROL!$C$42, 42.8093, 42.8093) * CHOOSE(CONTROL!$C$21, $C$9, 100%, $E$9)</f>
        <v>42.8093</v>
      </c>
      <c r="P1049" s="10">
        <f>CHOOSE(CONTROL!$C$42, 42.5843, 42.5843) * CHOOSE(CONTROL!$C$21, $C$9, 100%, $E$9)</f>
        <v>42.584299999999999</v>
      </c>
      <c r="Q1049" s="10">
        <f>CHOOSE(CONTROL!$C$42, 43.4046, 43.4046) * CHOOSE(CONTROL!$C$21, $C$9, 100%, $E$9)</f>
        <v>43.404600000000002</v>
      </c>
      <c r="R1049" s="10">
        <f>CHOOSE(CONTROL!$C$42, 44.1001, 44.1001) * CHOOSE(CONTROL!$C$21, $C$9, 100%, $E$9)</f>
        <v>44.100099999999998</v>
      </c>
      <c r="S1049" s="10">
        <f>CHOOSE(CONTROL!$C$42, 41.7819, 41.7819) * CHOOSE(CONTROL!$C$21, $C$9, 100%, $E$9)</f>
        <v>41.7819</v>
      </c>
      <c r="T1049" s="3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38">
        <f>(1000*CHOOSE(CONTROL!$C$42, 695, 695)*CHOOSE(CONTROL!$C$42, 0.5599, 0.5599)*CHOOSE(CONTROL!$C$42, 31, 31))/1000000</f>
        <v>12.063045499999998</v>
      </c>
      <c r="V1049" s="38">
        <f>(1000*CHOOSE(CONTROL!$C$42, 500, 500)*CHOOSE(CONTROL!$C$42, 0.275, 0.275)*CHOOSE(CONTROL!$C$42, 31, 31))/1000000</f>
        <v>4.2625000000000002</v>
      </c>
      <c r="W1049" s="38">
        <f>(1000*CHOOSE(CONTROL!$C$42, 0.1146, 0.1146)*CHOOSE(CONTROL!$C$42, 121.5, 121.5)*CHOOSE(CONTROL!$C$42, 31, 31))/1000000</f>
        <v>0.43164089999999994</v>
      </c>
      <c r="X1049" s="38">
        <f>(31*0.1790888*245000/1000000)+(31*0.2374*100000/1000000)</f>
        <v>2.0961194359999999</v>
      </c>
      <c r="Y1049" s="38">
        <f>(1000*600*CHOOSE(CONTROL!$C$42, 1.0585, 1.0585)*CHOOSE(CONTROL!$C$42, 31, 31))/1000000</f>
        <v>19.688099999999999</v>
      </c>
      <c r="Z1049" s="38"/>
      <c r="AA1049" s="10"/>
      <c r="AB1049" s="39"/>
      <c r="AC1049" s="33">
        <f>(B1049*194.205+C1049*267.466+D1049*133.845+E1049*53.484+F1049*40+G1049*185+H1049*0+I1049*100+J1049*300)/(194.205+267.466+133.845+53.484+0+40+185+100+300)</f>
        <v>43.139217517346943</v>
      </c>
      <c r="AD1049" s="27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42.671164748201441</v>
      </c>
    </row>
    <row r="1050" spans="1:30" ht="15.75" x14ac:dyDescent="0.25">
      <c r="A1050" s="13">
        <v>73231</v>
      </c>
      <c r="B1050" s="10">
        <f>CHOOSE(CONTROL!$C$42, 44.3586, 44.3586) * CHOOSE(CONTROL!$C$21, $C$9, 100%, $E$9)</f>
        <v>44.358600000000003</v>
      </c>
      <c r="C1050" s="10">
        <f>CHOOSE(CONTROL!$C$42, 44.3666, 44.3666) * CHOOSE(CONTROL!$C$21, $C$9, 100%, $E$9)</f>
        <v>44.366599999999998</v>
      </c>
      <c r="D1050" s="10">
        <f>CHOOSE(CONTROL!$C$42, 44.5417, 44.5417) * CHOOSE(CONTROL!$C$21, $C$9, 100%, $E$9)</f>
        <v>44.541699999999999</v>
      </c>
      <c r="E1050" s="10">
        <f>CHOOSE(CONTROL!$C$42, 44.5729, 44.5729) * CHOOSE(CONTROL!$C$21, $C$9, 100%, $E$9)</f>
        <v>44.572899999999997</v>
      </c>
      <c r="F1050" s="10">
        <f>CHOOSE(CONTROL!$C$42, 44.3005, 44.3005)*CHOOSE(CONTROL!$C$21, $C$9, 100%, $E$9)</f>
        <v>44.3005</v>
      </c>
      <c r="G1050" s="10">
        <f>CHOOSE(CONTROL!$C$42, 44.3174, 44.3174)*CHOOSE(CONTROL!$C$21, $C$9, 100%, $E$9)</f>
        <v>44.317399999999999</v>
      </c>
      <c r="H1050" s="10">
        <f>CHOOSE(CONTROL!$C$42, 44.5613, 44.5613) * CHOOSE(CONTROL!$C$21, $C$9, 100%, $E$9)</f>
        <v>44.561300000000003</v>
      </c>
      <c r="I1050" s="10">
        <f>CHOOSE(CONTROL!$C$42, 44.3332, 44.3332)* CHOOSE(CONTROL!$C$21, $C$9, 100%, $E$9)</f>
        <v>44.333199999999998</v>
      </c>
      <c r="J1050" s="10">
        <f>CHOOSE(CONTROL!$C$42, 44.2931, 44.2931)* CHOOSE(CONTROL!$C$21, $C$9, 100%, $E$9)</f>
        <v>44.293100000000003</v>
      </c>
      <c r="K1050" s="10">
        <f>CHOOSE(CONTROL!$C$42, 43.1064, 43.1064) * CHOOSE(CONTROL!$C$21, $C$9, 100%, $E$9)</f>
        <v>43.106400000000001</v>
      </c>
      <c r="L1050" s="10">
        <f>CHOOSE(CONTROL!$C$42, 45.1483, 45.1483) * CHOOSE(CONTROL!$C$21, $C$9, 100%, $E$9)</f>
        <v>45.148299999999999</v>
      </c>
      <c r="M1050" s="10">
        <f>CHOOSE(CONTROL!$C$42, 43.7527, 43.7527) * CHOOSE(CONTROL!$C$21, $C$9, 100%, $E$9)</f>
        <v>43.752699999999997</v>
      </c>
      <c r="N1050" s="10">
        <f>CHOOSE(CONTROL!$C$42, 43.7694, 43.7694) * CHOOSE(CONTROL!$C$21, $C$9, 100%, $E$9)</f>
        <v>43.769399999999997</v>
      </c>
      <c r="O1050" s="10">
        <f>CHOOSE(CONTROL!$C$42, 44.0174, 44.0174) * CHOOSE(CONTROL!$C$21, $C$9, 100%, $E$9)</f>
        <v>44.017400000000002</v>
      </c>
      <c r="P1050" s="10">
        <f>CHOOSE(CONTROL!$C$42, 43.7924, 43.7924) * CHOOSE(CONTROL!$C$21, $C$9, 100%, $E$9)</f>
        <v>43.792400000000001</v>
      </c>
      <c r="Q1050" s="10">
        <f>CHOOSE(CONTROL!$C$42, 44.6127, 44.6127) * CHOOSE(CONTROL!$C$21, $C$9, 100%, $E$9)</f>
        <v>44.612699999999997</v>
      </c>
      <c r="R1050" s="10">
        <f>CHOOSE(CONTROL!$C$42, 45.3113, 45.3113) * CHOOSE(CONTROL!$C$21, $C$9, 100%, $E$9)</f>
        <v>45.311300000000003</v>
      </c>
      <c r="S1050" s="10">
        <f>CHOOSE(CONTROL!$C$42, 42.967, 42.967) * CHOOSE(CONTROL!$C$21, $C$9, 100%, $E$9)</f>
        <v>42.966999999999999</v>
      </c>
      <c r="T1050" s="3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38">
        <f>(1000*CHOOSE(CONTROL!$C$42, 695, 695)*CHOOSE(CONTROL!$C$42, 0.5599, 0.5599)*CHOOSE(CONTROL!$C$42, 30, 30))/1000000</f>
        <v>11.673914999999997</v>
      </c>
      <c r="V1050" s="38">
        <f>(1000*CHOOSE(CONTROL!$C$42, 500, 500)*CHOOSE(CONTROL!$C$42, 0.275, 0.275)*CHOOSE(CONTROL!$C$42, 30, 30))/1000000</f>
        <v>4.125</v>
      </c>
      <c r="W1050" s="38">
        <f>(1000*CHOOSE(CONTROL!$C$42, 0.1146, 0.1146)*CHOOSE(CONTROL!$C$42, 121.5, 121.5)*CHOOSE(CONTROL!$C$42, 30, 30))/1000000</f>
        <v>0.417717</v>
      </c>
      <c r="X1050" s="38">
        <f>(30*0.1790888*245000/1000000)+(30*0.2374*100000/1000000)</f>
        <v>2.0285026799999999</v>
      </c>
      <c r="Y1050" s="38">
        <f>(1000*600*CHOOSE(CONTROL!$C$42, 1.0585, 1.0585)*CHOOSE(CONTROL!$C$42, 30, 30))/1000000</f>
        <v>19.053000000000001</v>
      </c>
      <c r="Z1050" s="38"/>
      <c r="AA1050" s="10"/>
      <c r="AB1050" s="39"/>
      <c r="AC1050" s="33">
        <f>(B1050*194.205+C1050*267.466+D1050*133.845+E1050*53.484+F1050*40+G1050*185+H1050*0+I1050*100+J1050*300)/(194.205+267.466+133.845+53.484+0+40+185+100+300)</f>
        <v>44.363287887519625</v>
      </c>
      <c r="AD1050" s="27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43.879345323740999</v>
      </c>
    </row>
    <row r="1051" spans="1:30" ht="15.75" x14ac:dyDescent="0.25">
      <c r="A1051" s="13">
        <v>73262</v>
      </c>
      <c r="B1051" s="10">
        <f>CHOOSE(CONTROL!$C$42, 43.5073, 43.5073) * CHOOSE(CONTROL!$C$21, $C$9, 100%, $E$9)</f>
        <v>43.507300000000001</v>
      </c>
      <c r="C1051" s="10">
        <f>CHOOSE(CONTROL!$C$42, 43.5153, 43.5153) * CHOOSE(CONTROL!$C$21, $C$9, 100%, $E$9)</f>
        <v>43.515300000000003</v>
      </c>
      <c r="D1051" s="10">
        <f>CHOOSE(CONTROL!$C$42, 43.6904, 43.6904) * CHOOSE(CONTROL!$C$21, $C$9, 100%, $E$9)</f>
        <v>43.690399999999997</v>
      </c>
      <c r="E1051" s="10">
        <f>CHOOSE(CONTROL!$C$42, 43.7217, 43.7217) * CHOOSE(CONTROL!$C$21, $C$9, 100%, $E$9)</f>
        <v>43.721699999999998</v>
      </c>
      <c r="F1051" s="10">
        <f>CHOOSE(CONTROL!$C$42, 43.4495, 43.4495)*CHOOSE(CONTROL!$C$21, $C$9, 100%, $E$9)</f>
        <v>43.4495</v>
      </c>
      <c r="G1051" s="10">
        <f>CHOOSE(CONTROL!$C$42, 43.4666, 43.4666)*CHOOSE(CONTROL!$C$21, $C$9, 100%, $E$9)</f>
        <v>43.4666</v>
      </c>
      <c r="H1051" s="10">
        <f>CHOOSE(CONTROL!$C$42, 43.71, 43.71) * CHOOSE(CONTROL!$C$21, $C$9, 100%, $E$9)</f>
        <v>43.71</v>
      </c>
      <c r="I1051" s="10">
        <f>CHOOSE(CONTROL!$C$42, 43.482, 43.482)* CHOOSE(CONTROL!$C$21, $C$9, 100%, $E$9)</f>
        <v>43.481999999999999</v>
      </c>
      <c r="J1051" s="10">
        <f>CHOOSE(CONTROL!$C$42, 43.4421, 43.4421)* CHOOSE(CONTROL!$C$21, $C$9, 100%, $E$9)</f>
        <v>43.442100000000003</v>
      </c>
      <c r="K1051" s="10">
        <f>CHOOSE(CONTROL!$C$42, 42.2824, 42.2824) * CHOOSE(CONTROL!$C$21, $C$9, 100%, $E$9)</f>
        <v>42.282400000000003</v>
      </c>
      <c r="L1051" s="10">
        <f>CHOOSE(CONTROL!$C$42, 44.297, 44.297) * CHOOSE(CONTROL!$C$21, $C$9, 100%, $E$9)</f>
        <v>44.296999999999997</v>
      </c>
      <c r="M1051" s="10">
        <f>CHOOSE(CONTROL!$C$42, 42.9128, 42.9128) * CHOOSE(CONTROL!$C$21, $C$9, 100%, $E$9)</f>
        <v>42.912799999999997</v>
      </c>
      <c r="N1051" s="10">
        <f>CHOOSE(CONTROL!$C$42, 42.9296, 42.9296) * CHOOSE(CONTROL!$C$21, $C$9, 100%, $E$9)</f>
        <v>42.929600000000001</v>
      </c>
      <c r="O1051" s="10">
        <f>CHOOSE(CONTROL!$C$42, 43.1772, 43.1772) * CHOOSE(CONTROL!$C$21, $C$9, 100%, $E$9)</f>
        <v>43.177199999999999</v>
      </c>
      <c r="P1051" s="10">
        <f>CHOOSE(CONTROL!$C$42, 42.9522, 42.9522) * CHOOSE(CONTROL!$C$21, $C$9, 100%, $E$9)</f>
        <v>42.952199999999998</v>
      </c>
      <c r="Q1051" s="10">
        <f>CHOOSE(CONTROL!$C$42, 43.7725, 43.7725) * CHOOSE(CONTROL!$C$21, $C$9, 100%, $E$9)</f>
        <v>43.772500000000001</v>
      </c>
      <c r="R1051" s="10">
        <f>CHOOSE(CONTROL!$C$42, 44.4689, 44.4689) * CHOOSE(CONTROL!$C$21, $C$9, 100%, $E$9)</f>
        <v>44.468899999999998</v>
      </c>
      <c r="S1051" s="10">
        <f>CHOOSE(CONTROL!$C$42, 42.1427, 42.1427) * CHOOSE(CONTROL!$C$21, $C$9, 100%, $E$9)</f>
        <v>42.142699999999998</v>
      </c>
      <c r="T1051" s="3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38">
        <f>(1000*CHOOSE(CONTROL!$C$42, 695, 695)*CHOOSE(CONTROL!$C$42, 0.5599, 0.5599)*CHOOSE(CONTROL!$C$42, 31, 31))/1000000</f>
        <v>12.063045499999998</v>
      </c>
      <c r="V1051" s="38">
        <f>(1000*CHOOSE(CONTROL!$C$42, 500, 500)*CHOOSE(CONTROL!$C$42, 0.275, 0.275)*CHOOSE(CONTROL!$C$42, 31, 31))/1000000</f>
        <v>4.2625000000000002</v>
      </c>
      <c r="W1051" s="38">
        <f>(1000*CHOOSE(CONTROL!$C$42, 0.1146, 0.1146)*CHOOSE(CONTROL!$C$42, 121.5, 121.5)*CHOOSE(CONTROL!$C$42, 31, 31))/1000000</f>
        <v>0.43164089999999994</v>
      </c>
      <c r="X1051" s="38">
        <f>(31*0.1790888*245000/1000000)+(31*0.2374*100000/1000000)</f>
        <v>2.0961194359999999</v>
      </c>
      <c r="Y1051" s="38">
        <f>(1000*600*CHOOSE(CONTROL!$C$42, 1.0585, 1.0585)*CHOOSE(CONTROL!$C$42, 31, 31))/1000000</f>
        <v>19.688099999999999</v>
      </c>
      <c r="Z1051" s="38"/>
      <c r="AA1051" s="10"/>
      <c r="AB1051" s="39"/>
      <c r="AC1051" s="33">
        <f>(B1051*194.205+C1051*267.466+D1051*133.845+E1051*53.484+F1051*40+G1051*185+H1051*0+I1051*100+J1051*300)/(194.205+267.466+133.845+53.484+0+40+185+100+300)</f>
        <v>43.512152603689174</v>
      </c>
      <c r="AD1051" s="27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43.039271942446042</v>
      </c>
    </row>
    <row r="1052" spans="1:30" ht="15.75" x14ac:dyDescent="0.25">
      <c r="A1052" s="13">
        <v>73293</v>
      </c>
      <c r="B1052" s="10">
        <f>CHOOSE(CONTROL!$C$42, 41.3576, 41.3576) * CHOOSE(CONTROL!$C$21, $C$9, 100%, $E$9)</f>
        <v>41.357599999999998</v>
      </c>
      <c r="C1052" s="10">
        <f>CHOOSE(CONTROL!$C$42, 41.3656, 41.3656) * CHOOSE(CONTROL!$C$21, $C$9, 100%, $E$9)</f>
        <v>41.365600000000001</v>
      </c>
      <c r="D1052" s="10">
        <f>CHOOSE(CONTROL!$C$42, 41.5407, 41.5407) * CHOOSE(CONTROL!$C$21, $C$9, 100%, $E$9)</f>
        <v>41.540700000000001</v>
      </c>
      <c r="E1052" s="10">
        <f>CHOOSE(CONTROL!$C$42, 41.5719, 41.5719) * CHOOSE(CONTROL!$C$21, $C$9, 100%, $E$9)</f>
        <v>41.571899999999999</v>
      </c>
      <c r="F1052" s="10">
        <f>CHOOSE(CONTROL!$C$42, 41.2997, 41.2997)*CHOOSE(CONTROL!$C$21, $C$9, 100%, $E$9)</f>
        <v>41.299700000000001</v>
      </c>
      <c r="G1052" s="10">
        <f>CHOOSE(CONTROL!$C$42, 41.3167, 41.3167)*CHOOSE(CONTROL!$C$21, $C$9, 100%, $E$9)</f>
        <v>41.316699999999997</v>
      </c>
      <c r="H1052" s="10">
        <f>CHOOSE(CONTROL!$C$42, 41.5602, 41.5602) * CHOOSE(CONTROL!$C$21, $C$9, 100%, $E$9)</f>
        <v>41.560200000000002</v>
      </c>
      <c r="I1052" s="10">
        <f>CHOOSE(CONTROL!$C$42, 41.3322, 41.3322)* CHOOSE(CONTROL!$C$21, $C$9, 100%, $E$9)</f>
        <v>41.3322</v>
      </c>
      <c r="J1052" s="10">
        <f>CHOOSE(CONTROL!$C$42, 41.2923, 41.2923)* CHOOSE(CONTROL!$C$21, $C$9, 100%, $E$9)</f>
        <v>41.292299999999997</v>
      </c>
      <c r="K1052" s="10">
        <f>CHOOSE(CONTROL!$C$42, 40.1995, 40.1995) * CHOOSE(CONTROL!$C$21, $C$9, 100%, $E$9)</f>
        <v>40.1995</v>
      </c>
      <c r="L1052" s="10">
        <f>CHOOSE(CONTROL!$C$42, 42.1472, 42.1472) * CHOOSE(CONTROL!$C$21, $C$9, 100%, $E$9)</f>
        <v>42.147199999999998</v>
      </c>
      <c r="M1052" s="10">
        <f>CHOOSE(CONTROL!$C$42, 40.7908, 40.7908) * CHOOSE(CONTROL!$C$21, $C$9, 100%, $E$9)</f>
        <v>40.790799999999997</v>
      </c>
      <c r="N1052" s="10">
        <f>CHOOSE(CONTROL!$C$42, 40.8076, 40.8076) * CHOOSE(CONTROL!$C$21, $C$9, 100%, $E$9)</f>
        <v>40.807600000000001</v>
      </c>
      <c r="O1052" s="10">
        <f>CHOOSE(CONTROL!$C$42, 41.0553, 41.0553) * CHOOSE(CONTROL!$C$21, $C$9, 100%, $E$9)</f>
        <v>41.055300000000003</v>
      </c>
      <c r="P1052" s="10">
        <f>CHOOSE(CONTROL!$C$42, 40.8302, 40.8302) * CHOOSE(CONTROL!$C$21, $C$9, 100%, $E$9)</f>
        <v>40.830199999999998</v>
      </c>
      <c r="Q1052" s="10">
        <f>CHOOSE(CONTROL!$C$42, 41.6506, 41.6506) * CHOOSE(CONTROL!$C$21, $C$9, 100%, $E$9)</f>
        <v>41.650599999999997</v>
      </c>
      <c r="R1052" s="10">
        <f>CHOOSE(CONTROL!$C$42, 42.3417, 42.3417) * CHOOSE(CONTROL!$C$21, $C$9, 100%, $E$9)</f>
        <v>42.341700000000003</v>
      </c>
      <c r="S1052" s="10">
        <f>CHOOSE(CONTROL!$C$42, 40.0611, 40.0611) * CHOOSE(CONTROL!$C$21, $C$9, 100%, $E$9)</f>
        <v>40.061100000000003</v>
      </c>
      <c r="T1052" s="3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38">
        <f>(1000*CHOOSE(CONTROL!$C$42, 695, 695)*CHOOSE(CONTROL!$C$42, 0.5599, 0.5599)*CHOOSE(CONTROL!$C$42, 31, 31))/1000000</f>
        <v>12.063045499999998</v>
      </c>
      <c r="V1052" s="38">
        <f>(1000*CHOOSE(CONTROL!$C$42, 500, 500)*CHOOSE(CONTROL!$C$42, 0.275, 0.275)*CHOOSE(CONTROL!$C$42, 31, 31))/1000000</f>
        <v>4.2625000000000002</v>
      </c>
      <c r="W1052" s="38">
        <f>(1000*CHOOSE(CONTROL!$C$42, 0.1146, 0.1146)*CHOOSE(CONTROL!$C$42, 121.5, 121.5)*CHOOSE(CONTROL!$C$42, 31, 31))/1000000</f>
        <v>0.43164089999999994</v>
      </c>
      <c r="X1052" s="38">
        <f>(31*0.1790888*245000/1000000)+(31*0.2374*100000/1000000)</f>
        <v>2.0961194359999999</v>
      </c>
      <c r="Y1052" s="38">
        <f>(1000*600*CHOOSE(CONTROL!$C$42, 1.0585, 1.0585)*CHOOSE(CONTROL!$C$42, 31, 31))/1000000</f>
        <v>19.688099999999999</v>
      </c>
      <c r="Z1052" s="38"/>
      <c r="AA1052" s="10"/>
      <c r="AB1052" s="39"/>
      <c r="AC1052" s="33">
        <f>(B1052*194.205+C1052*267.466+D1052*133.845+E1052*53.484+F1052*40+G1052*185+H1052*0+I1052*100+J1052*300)/(194.205+267.466+133.845+53.484+0+40+185+100+300)</f>
        <v>41.362384826295141</v>
      </c>
      <c r="AD1052" s="27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40.917317266187055</v>
      </c>
    </row>
    <row r="1053" spans="1:30" ht="15.75" x14ac:dyDescent="0.25">
      <c r="A1053" s="13">
        <v>73323</v>
      </c>
      <c r="B1053" s="10">
        <f>CHOOSE(CONTROL!$C$42, 38.731, 38.731) * CHOOSE(CONTROL!$C$21, $C$9, 100%, $E$9)</f>
        <v>38.731000000000002</v>
      </c>
      <c r="C1053" s="10">
        <f>CHOOSE(CONTROL!$C$42, 38.739, 38.739) * CHOOSE(CONTROL!$C$21, $C$9, 100%, $E$9)</f>
        <v>38.738999999999997</v>
      </c>
      <c r="D1053" s="10">
        <f>CHOOSE(CONTROL!$C$42, 38.9141, 38.9141) * CHOOSE(CONTROL!$C$21, $C$9, 100%, $E$9)</f>
        <v>38.914099999999998</v>
      </c>
      <c r="E1053" s="10">
        <f>CHOOSE(CONTROL!$C$42, 38.9453, 38.9453) * CHOOSE(CONTROL!$C$21, $C$9, 100%, $E$9)</f>
        <v>38.945300000000003</v>
      </c>
      <c r="F1053" s="10">
        <f>CHOOSE(CONTROL!$C$42, 38.6728, 38.6728)*CHOOSE(CONTROL!$C$21, $C$9, 100%, $E$9)</f>
        <v>38.672800000000002</v>
      </c>
      <c r="G1053" s="10">
        <f>CHOOSE(CONTROL!$C$42, 38.6897, 38.6897)*CHOOSE(CONTROL!$C$21, $C$9, 100%, $E$9)</f>
        <v>38.689700000000002</v>
      </c>
      <c r="H1053" s="10">
        <f>CHOOSE(CONTROL!$C$42, 38.9337, 38.9337) * CHOOSE(CONTROL!$C$21, $C$9, 100%, $E$9)</f>
        <v>38.933700000000002</v>
      </c>
      <c r="I1053" s="10">
        <f>CHOOSE(CONTROL!$C$42, 38.7056, 38.7056)* CHOOSE(CONTROL!$C$21, $C$9, 100%, $E$9)</f>
        <v>38.705599999999997</v>
      </c>
      <c r="J1053" s="10">
        <f>CHOOSE(CONTROL!$C$42, 38.6654, 38.6654)* CHOOSE(CONTROL!$C$21, $C$9, 100%, $E$9)</f>
        <v>38.665399999999998</v>
      </c>
      <c r="K1053" s="10">
        <f>CHOOSE(CONTROL!$C$42, 37.6543, 37.6543) * CHOOSE(CONTROL!$C$21, $C$9, 100%, $E$9)</f>
        <v>37.654299999999999</v>
      </c>
      <c r="L1053" s="10">
        <f>CHOOSE(CONTROL!$C$42, 39.5207, 39.5207) * CHOOSE(CONTROL!$C$21, $C$9, 100%, $E$9)</f>
        <v>39.520699999999998</v>
      </c>
      <c r="M1053" s="10">
        <f>CHOOSE(CONTROL!$C$42, 38.1979, 38.1979) * CHOOSE(CONTROL!$C$21, $C$9, 100%, $E$9)</f>
        <v>38.197899999999997</v>
      </c>
      <c r="N1053" s="10">
        <f>CHOOSE(CONTROL!$C$42, 38.2146, 38.2146) * CHOOSE(CONTROL!$C$21, $C$9, 100%, $E$9)</f>
        <v>38.214599999999997</v>
      </c>
      <c r="O1053" s="10">
        <f>CHOOSE(CONTROL!$C$42, 38.4627, 38.4627) * CHOOSE(CONTROL!$C$21, $C$9, 100%, $E$9)</f>
        <v>38.462699999999998</v>
      </c>
      <c r="P1053" s="10">
        <f>CHOOSE(CONTROL!$C$42, 38.2377, 38.2377) * CHOOSE(CONTROL!$C$21, $C$9, 100%, $E$9)</f>
        <v>38.237699999999997</v>
      </c>
      <c r="Q1053" s="10">
        <f>CHOOSE(CONTROL!$C$42, 39.058, 39.058) * CHOOSE(CONTROL!$C$21, $C$9, 100%, $E$9)</f>
        <v>39.058</v>
      </c>
      <c r="R1053" s="10">
        <f>CHOOSE(CONTROL!$C$42, 39.7426, 39.7426) * CHOOSE(CONTROL!$C$21, $C$9, 100%, $E$9)</f>
        <v>39.742600000000003</v>
      </c>
      <c r="S1053" s="10">
        <f>CHOOSE(CONTROL!$C$42, 37.5178, 37.5178) * CHOOSE(CONTROL!$C$21, $C$9, 100%, $E$9)</f>
        <v>37.517800000000001</v>
      </c>
      <c r="T1053" s="3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38">
        <f>(1000*CHOOSE(CONTROL!$C$42, 695, 695)*CHOOSE(CONTROL!$C$42, 0.5599, 0.5599)*CHOOSE(CONTROL!$C$42, 30, 30))/1000000</f>
        <v>11.673914999999997</v>
      </c>
      <c r="V1053" s="38">
        <f>(1000*CHOOSE(CONTROL!$C$42, 500, 500)*CHOOSE(CONTROL!$C$42, 0.275, 0.275)*CHOOSE(CONTROL!$C$42, 30, 30))/1000000</f>
        <v>4.125</v>
      </c>
      <c r="W1053" s="38">
        <f>(1000*CHOOSE(CONTROL!$C$42, 0.1146, 0.1146)*CHOOSE(CONTROL!$C$42, 121.5, 121.5)*CHOOSE(CONTROL!$C$42, 30, 30))/1000000</f>
        <v>0.417717</v>
      </c>
      <c r="X1053" s="38">
        <f>(30*0.1790888*245000/1000000)+(30*0.2374*100000/1000000)</f>
        <v>2.0285026799999999</v>
      </c>
      <c r="Y1053" s="38">
        <f>(1000*600*CHOOSE(CONTROL!$C$42, 1.0585, 1.0585)*CHOOSE(CONTROL!$C$42, 30, 30))/1000000</f>
        <v>19.053000000000001</v>
      </c>
      <c r="Z1053" s="38"/>
      <c r="AA1053" s="10"/>
      <c r="AB1053" s="39"/>
      <c r="AC1053" s="33">
        <f>(B1053*194.205+C1053*267.466+D1053*133.845+E1053*53.484+F1053*40+G1053*185+H1053*0+I1053*100+J1053*300)/(194.205+267.466+133.845+53.484+0+40+185+100+300)</f>
        <v>38.735646678728415</v>
      </c>
      <c r="AD1053" s="27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38.324605035971217</v>
      </c>
    </row>
    <row r="1054" spans="1:30" ht="15.75" x14ac:dyDescent="0.25">
      <c r="A1054" s="13">
        <v>73354</v>
      </c>
      <c r="B1054" s="10">
        <f>CHOOSE(CONTROL!$C$42, 37.9422, 37.9422) * CHOOSE(CONTROL!$C$21, $C$9, 100%, $E$9)</f>
        <v>37.9422</v>
      </c>
      <c r="C1054" s="10">
        <f>CHOOSE(CONTROL!$C$42, 37.9475, 37.9475) * CHOOSE(CONTROL!$C$21, $C$9, 100%, $E$9)</f>
        <v>37.947499999999998</v>
      </c>
      <c r="D1054" s="10">
        <f>CHOOSE(CONTROL!$C$42, 38.1275, 38.1275) * CHOOSE(CONTROL!$C$21, $C$9, 100%, $E$9)</f>
        <v>38.127499999999998</v>
      </c>
      <c r="E1054" s="10">
        <f>CHOOSE(CONTROL!$C$42, 38.1565, 38.1565) * CHOOSE(CONTROL!$C$21, $C$9, 100%, $E$9)</f>
        <v>38.156500000000001</v>
      </c>
      <c r="F1054" s="10">
        <f>CHOOSE(CONTROL!$C$42, 37.886, 37.886)*CHOOSE(CONTROL!$C$21, $C$9, 100%, $E$9)</f>
        <v>37.886000000000003</v>
      </c>
      <c r="G1054" s="10">
        <f>CHOOSE(CONTROL!$C$42, 37.9026, 37.9026)*CHOOSE(CONTROL!$C$21, $C$9, 100%, $E$9)</f>
        <v>37.9026</v>
      </c>
      <c r="H1054" s="10">
        <f>CHOOSE(CONTROL!$C$42, 38.1466, 38.1466) * CHOOSE(CONTROL!$C$21, $C$9, 100%, $E$9)</f>
        <v>38.146599999999999</v>
      </c>
      <c r="I1054" s="10">
        <f>CHOOSE(CONTROL!$C$42, 37.9186, 37.9186)* CHOOSE(CONTROL!$C$21, $C$9, 100%, $E$9)</f>
        <v>37.918599999999998</v>
      </c>
      <c r="J1054" s="10">
        <f>CHOOSE(CONTROL!$C$42, 37.8786, 37.8786)* CHOOSE(CONTROL!$C$21, $C$9, 100%, $E$9)</f>
        <v>37.878599999999999</v>
      </c>
      <c r="K1054" s="10">
        <f>CHOOSE(CONTROL!$C$42, 36.8923, 36.8923) * CHOOSE(CONTROL!$C$21, $C$9, 100%, $E$9)</f>
        <v>36.892299999999999</v>
      </c>
      <c r="L1054" s="10">
        <f>CHOOSE(CONTROL!$C$42, 38.7336, 38.7336) * CHOOSE(CONTROL!$C$21, $C$9, 100%, $E$9)</f>
        <v>38.733600000000003</v>
      </c>
      <c r="M1054" s="10">
        <f>CHOOSE(CONTROL!$C$42, 37.4213, 37.4213) * CHOOSE(CONTROL!$C$21, $C$9, 100%, $E$9)</f>
        <v>37.421300000000002</v>
      </c>
      <c r="N1054" s="10">
        <f>CHOOSE(CONTROL!$C$42, 37.4376, 37.4376) * CHOOSE(CONTROL!$C$21, $C$9, 100%, $E$9)</f>
        <v>37.437600000000003</v>
      </c>
      <c r="O1054" s="10">
        <f>CHOOSE(CONTROL!$C$42, 37.6858, 37.6858) * CHOOSE(CONTROL!$C$21, $C$9, 100%, $E$9)</f>
        <v>37.6858</v>
      </c>
      <c r="P1054" s="10">
        <f>CHOOSE(CONTROL!$C$42, 37.4608, 37.4608) * CHOOSE(CONTROL!$C$21, $C$9, 100%, $E$9)</f>
        <v>37.460799999999999</v>
      </c>
      <c r="Q1054" s="10">
        <f>CHOOSE(CONTROL!$C$42, 38.2811, 38.2811) * CHOOSE(CONTROL!$C$21, $C$9, 100%, $E$9)</f>
        <v>38.281100000000002</v>
      </c>
      <c r="R1054" s="10">
        <f>CHOOSE(CONTROL!$C$42, 38.9638, 38.9638) * CHOOSE(CONTROL!$C$21, $C$9, 100%, $E$9)</f>
        <v>38.963799999999999</v>
      </c>
      <c r="S1054" s="10">
        <f>CHOOSE(CONTROL!$C$42, 36.7557, 36.7557) * CHOOSE(CONTROL!$C$21, $C$9, 100%, $E$9)</f>
        <v>36.755699999999997</v>
      </c>
      <c r="T1054" s="3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38">
        <f>(1000*CHOOSE(CONTROL!$C$42, 695, 695)*CHOOSE(CONTROL!$C$42, 0.5599, 0.5599)*CHOOSE(CONTROL!$C$42, 31, 31))/1000000</f>
        <v>12.063045499999998</v>
      </c>
      <c r="V1054" s="38">
        <f>(1000*CHOOSE(CONTROL!$C$42, 500, 500)*CHOOSE(CONTROL!$C$42, 0.275, 0.275)*CHOOSE(CONTROL!$C$42, 31, 31))/1000000</f>
        <v>4.2625000000000002</v>
      </c>
      <c r="W1054" s="38">
        <f>(1000*CHOOSE(CONTROL!$C$42, 0.1146, 0.1146)*CHOOSE(CONTROL!$C$42, 121.5, 121.5)*CHOOSE(CONTROL!$C$42, 31, 31))/1000000</f>
        <v>0.43164089999999994</v>
      </c>
      <c r="X1054" s="38">
        <f>(31*0.1790888*245000/1000000)+(31*0.2374*100000/1000000)</f>
        <v>2.0961194359999999</v>
      </c>
      <c r="Y1054" s="38">
        <f>(1000*600*CHOOSE(CONTROL!$C$42, 1.0585, 1.0585)*CHOOSE(CONTROL!$C$42, 31, 31))/1000000</f>
        <v>19.688099999999999</v>
      </c>
      <c r="Z1054" s="38"/>
      <c r="AA1054" s="10"/>
      <c r="AB1054" s="39"/>
      <c r="AC1054" s="33">
        <f>(B1054*131.881+C1054*277.167+D1054*79.08+E1054*125.872+F1054*40+G1054*185+H1054*0+I1054*100+J1054*300)/(131.881+277.167+79.08+125.872+0+40+185+100+300)</f>
        <v>37.951952121630342</v>
      </c>
      <c r="AD1054" s="27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37.547802877697848</v>
      </c>
    </row>
    <row r="1055" spans="1:30" ht="15.75" x14ac:dyDescent="0.25">
      <c r="A1055" s="13">
        <v>73384</v>
      </c>
      <c r="B1055" s="10">
        <f>CHOOSE(CONTROL!$C$42, 38.9418, 38.9418) * CHOOSE(CONTROL!$C$21, $C$9, 100%, $E$9)</f>
        <v>38.941800000000001</v>
      </c>
      <c r="C1055" s="10">
        <f>CHOOSE(CONTROL!$C$42, 38.9469, 38.9469) * CHOOSE(CONTROL!$C$21, $C$9, 100%, $E$9)</f>
        <v>38.946899999999999</v>
      </c>
      <c r="D1055" s="10">
        <f>CHOOSE(CONTROL!$C$42, 38.9716, 38.9716) * CHOOSE(CONTROL!$C$21, $C$9, 100%, $E$9)</f>
        <v>38.971600000000002</v>
      </c>
      <c r="E1055" s="10">
        <f>CHOOSE(CONTROL!$C$42, 39.0054, 39.0054) * CHOOSE(CONTROL!$C$21, $C$9, 100%, $E$9)</f>
        <v>39.005400000000002</v>
      </c>
      <c r="F1055" s="10">
        <f>CHOOSE(CONTROL!$C$42, 38.9074, 38.9074)*CHOOSE(CONTROL!$C$21, $C$9, 100%, $E$9)</f>
        <v>38.907400000000003</v>
      </c>
      <c r="G1055" s="10">
        <f>CHOOSE(CONTROL!$C$42, 38.9242, 38.9242)*CHOOSE(CONTROL!$C$21, $C$9, 100%, $E$9)</f>
        <v>38.924199999999999</v>
      </c>
      <c r="H1055" s="10">
        <f>CHOOSE(CONTROL!$C$42, 38.9943, 38.9943) * CHOOSE(CONTROL!$C$21, $C$9, 100%, $E$9)</f>
        <v>38.994300000000003</v>
      </c>
      <c r="I1055" s="10">
        <f>CHOOSE(CONTROL!$C$42, 38.9413, 38.9413)* CHOOSE(CONTROL!$C$21, $C$9, 100%, $E$9)</f>
        <v>38.941299999999998</v>
      </c>
      <c r="J1055" s="10">
        <f>CHOOSE(CONTROL!$C$42, 38.9, 38.9)* CHOOSE(CONTROL!$C$21, $C$9, 100%, $E$9)</f>
        <v>38.9</v>
      </c>
      <c r="K1055" s="10">
        <f>CHOOSE(CONTROL!$C$42, 37.8849, 37.8849) * CHOOSE(CONTROL!$C$21, $C$9, 100%, $E$9)</f>
        <v>37.884900000000002</v>
      </c>
      <c r="L1055" s="10">
        <f>CHOOSE(CONTROL!$C$42, 39.5813, 39.5813) * CHOOSE(CONTROL!$C$21, $C$9, 100%, $E$9)</f>
        <v>39.581299999999999</v>
      </c>
      <c r="M1055" s="10">
        <f>CHOOSE(CONTROL!$C$42, 38.4295, 38.4295) * CHOOSE(CONTROL!$C$21, $C$9, 100%, $E$9)</f>
        <v>38.429499999999997</v>
      </c>
      <c r="N1055" s="10">
        <f>CHOOSE(CONTROL!$C$42, 38.4461, 38.4461) * CHOOSE(CONTROL!$C$21, $C$9, 100%, $E$9)</f>
        <v>38.446100000000001</v>
      </c>
      <c r="O1055" s="10">
        <f>CHOOSE(CONTROL!$C$42, 38.5225, 38.5225) * CHOOSE(CONTROL!$C$21, $C$9, 100%, $E$9)</f>
        <v>38.522500000000001</v>
      </c>
      <c r="P1055" s="10">
        <f>CHOOSE(CONTROL!$C$42, 38.4703, 38.4703) * CHOOSE(CONTROL!$C$21, $C$9, 100%, $E$9)</f>
        <v>38.470300000000002</v>
      </c>
      <c r="Q1055" s="10">
        <f>CHOOSE(CONTROL!$C$42, 39.1178, 39.1178) * CHOOSE(CONTROL!$C$21, $C$9, 100%, $E$9)</f>
        <v>39.117800000000003</v>
      </c>
      <c r="R1055" s="10">
        <f>CHOOSE(CONTROL!$C$42, 39.8026, 39.8026) * CHOOSE(CONTROL!$C$21, $C$9, 100%, $E$9)</f>
        <v>39.802599999999998</v>
      </c>
      <c r="S1055" s="10">
        <f>CHOOSE(CONTROL!$C$42, 37.724, 37.724) * CHOOSE(CONTROL!$C$21, $C$9, 100%, $E$9)</f>
        <v>37.723999999999997</v>
      </c>
      <c r="T1055" s="3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38">
        <f>(1000*CHOOSE(CONTROL!$C$42, 695, 695)*CHOOSE(CONTROL!$C$42, 0.5599, 0.5599)*CHOOSE(CONTROL!$C$42, 30, 30))/1000000</f>
        <v>11.673914999999997</v>
      </c>
      <c r="V1055" s="38">
        <f>(1000*CHOOSE(CONTROL!$C$42, 500, 500)*CHOOSE(CONTROL!$C$42, 0.275, 0.275)*CHOOSE(CONTROL!$C$42, 30, 30))/1000000</f>
        <v>4.125</v>
      </c>
      <c r="W1055" s="38">
        <f>(1000*CHOOSE(CONTROL!$C$42, 0.1146, 0.1146)*CHOOSE(CONTROL!$C$42, 121.5, 121.5)*CHOOSE(CONTROL!$C$42, 30, 30))/1000000</f>
        <v>0.417717</v>
      </c>
      <c r="X1055" s="38">
        <f>(30*0.1790888*100000/1000000)+(30*0.2374*100000/1000000)</f>
        <v>1.2494664</v>
      </c>
      <c r="Y1055" s="38">
        <f>(1000*600*CHOOSE(CONTROL!$C$42, 1.0585, 1.0585)*CHOOSE(CONTROL!$C$42, 30, 30))/1000000</f>
        <v>19.053000000000001</v>
      </c>
      <c r="Z1055" s="38"/>
      <c r="AA1055" s="10"/>
      <c r="AB1055" s="39"/>
      <c r="AC1055" s="33">
        <f>(B1055*122.58+C1055*297.941+D1055*89.177+E1055*40.302+F1055*40+G1055*160+H1055*0+I1055*100+J1055*300)/(122.58+297.941+89.177+40.302+0+40+160+100+300)</f>
        <v>38.933067983391297</v>
      </c>
      <c r="AD1055" s="27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38.478476978417262</v>
      </c>
    </row>
    <row r="1056" spans="1:30" ht="15.75" x14ac:dyDescent="0.25">
      <c r="A1056" s="13">
        <v>73415</v>
      </c>
      <c r="B1056" s="10">
        <f>CHOOSE(CONTROL!$C$42, 41.5979, 41.5979) * CHOOSE(CONTROL!$C$21, $C$9, 100%, $E$9)</f>
        <v>41.597900000000003</v>
      </c>
      <c r="C1056" s="10">
        <f>CHOOSE(CONTROL!$C$42, 41.603, 41.603) * CHOOSE(CONTROL!$C$21, $C$9, 100%, $E$9)</f>
        <v>41.603000000000002</v>
      </c>
      <c r="D1056" s="10">
        <f>CHOOSE(CONTROL!$C$42, 41.6277, 41.6277) * CHOOSE(CONTROL!$C$21, $C$9, 100%, $E$9)</f>
        <v>41.627699999999997</v>
      </c>
      <c r="E1056" s="10">
        <f>CHOOSE(CONTROL!$C$42, 41.6615, 41.6615) * CHOOSE(CONTROL!$C$21, $C$9, 100%, $E$9)</f>
        <v>41.661499999999997</v>
      </c>
      <c r="F1056" s="10">
        <f>CHOOSE(CONTROL!$C$42, 41.5654, 41.5654)*CHOOSE(CONTROL!$C$21, $C$9, 100%, $E$9)</f>
        <v>41.565399999999997</v>
      </c>
      <c r="G1056" s="10">
        <f>CHOOSE(CONTROL!$C$42, 41.5826, 41.5826)*CHOOSE(CONTROL!$C$21, $C$9, 100%, $E$9)</f>
        <v>41.582599999999999</v>
      </c>
      <c r="H1056" s="10">
        <f>CHOOSE(CONTROL!$C$42, 41.6504, 41.6504) * CHOOSE(CONTROL!$C$21, $C$9, 100%, $E$9)</f>
        <v>41.650399999999998</v>
      </c>
      <c r="I1056" s="10">
        <f>CHOOSE(CONTROL!$C$42, 41.5974, 41.5974)* CHOOSE(CONTROL!$C$21, $C$9, 100%, $E$9)</f>
        <v>41.5974</v>
      </c>
      <c r="J1056" s="10">
        <f>CHOOSE(CONTROL!$C$42, 41.558, 41.558)* CHOOSE(CONTROL!$C$21, $C$9, 100%, $E$9)</f>
        <v>41.558</v>
      </c>
      <c r="K1056" s="10">
        <f>CHOOSE(CONTROL!$C$42, 40.462, 40.462) * CHOOSE(CONTROL!$C$21, $C$9, 100%, $E$9)</f>
        <v>40.462000000000003</v>
      </c>
      <c r="L1056" s="10">
        <f>CHOOSE(CONTROL!$C$42, 42.2374, 42.2374) * CHOOSE(CONTROL!$C$21, $C$9, 100%, $E$9)</f>
        <v>42.237400000000001</v>
      </c>
      <c r="M1056" s="10">
        <f>CHOOSE(CONTROL!$C$42, 41.053, 41.053) * CHOOSE(CONTROL!$C$21, $C$9, 100%, $E$9)</f>
        <v>41.052999999999997</v>
      </c>
      <c r="N1056" s="10">
        <f>CHOOSE(CONTROL!$C$42, 41.0701, 41.0701) * CHOOSE(CONTROL!$C$21, $C$9, 100%, $E$9)</f>
        <v>41.070099999999996</v>
      </c>
      <c r="O1056" s="10">
        <f>CHOOSE(CONTROL!$C$42, 41.1443, 41.1443) * CHOOSE(CONTROL!$C$21, $C$9, 100%, $E$9)</f>
        <v>41.144300000000001</v>
      </c>
      <c r="P1056" s="10">
        <f>CHOOSE(CONTROL!$C$42, 41.092, 41.092) * CHOOSE(CONTROL!$C$21, $C$9, 100%, $E$9)</f>
        <v>41.091999999999999</v>
      </c>
      <c r="Q1056" s="10">
        <f>CHOOSE(CONTROL!$C$42, 41.7396, 41.7396) * CHOOSE(CONTROL!$C$21, $C$9, 100%, $E$9)</f>
        <v>41.739600000000003</v>
      </c>
      <c r="R1056" s="10">
        <f>CHOOSE(CONTROL!$C$42, 42.4309, 42.4309) * CHOOSE(CONTROL!$C$21, $C$9, 100%, $E$9)</f>
        <v>42.430900000000001</v>
      </c>
      <c r="S1056" s="10">
        <f>CHOOSE(CONTROL!$C$42, 40.2959, 40.2959) * CHOOSE(CONTROL!$C$21, $C$9, 100%, $E$9)</f>
        <v>40.295900000000003</v>
      </c>
      <c r="T1056" s="3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38">
        <f>(1000*CHOOSE(CONTROL!$C$42, 695, 695)*CHOOSE(CONTROL!$C$42, 0.5599, 0.5599)*CHOOSE(CONTROL!$C$42, 31, 31))/1000000</f>
        <v>12.063045499999998</v>
      </c>
      <c r="V1056" s="38">
        <f>(1000*CHOOSE(CONTROL!$C$42, 500, 500)*CHOOSE(CONTROL!$C$42, 0.275, 0.275)*CHOOSE(CONTROL!$C$42, 31, 31))/1000000</f>
        <v>4.2625000000000002</v>
      </c>
      <c r="W1056" s="38">
        <f>(1000*CHOOSE(CONTROL!$C$42, 0.1146, 0.1146)*CHOOSE(CONTROL!$C$42, 121.5, 121.5)*CHOOSE(CONTROL!$C$42, 31, 31))/1000000</f>
        <v>0.43164089999999994</v>
      </c>
      <c r="X1056" s="38">
        <f>(31*0.1790888*100000/1000000)+(31*0.2374*100000/1000000)</f>
        <v>1.2911152800000001</v>
      </c>
      <c r="Y1056" s="38">
        <f>(1000*600*CHOOSE(CONTROL!$C$42, 1.0585, 1.0585)*CHOOSE(CONTROL!$C$42, 31, 31))/1000000</f>
        <v>19.688099999999999</v>
      </c>
      <c r="Z1056" s="38"/>
      <c r="AA1056" s="10"/>
      <c r="AB1056" s="39"/>
      <c r="AC1056" s="33">
        <f>(B1056*122.58+C1056*297.941+D1056*89.177+E1056*40.302+F1056*40+G1056*160+H1056*0+I1056*100+J1056*300)/(122.58+297.941+89.177+40.302+0+40+160+100+300)</f>
        <v>41.590049722521741</v>
      </c>
      <c r="AD1056" s="27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41.100976258992802</v>
      </c>
    </row>
    <row r="1057" spans="1:30" ht="15" x14ac:dyDescent="0.2">
      <c r="A1057" s="12"/>
      <c r="Y1057" s="38"/>
    </row>
    <row r="1058" spans="1:30" ht="15" x14ac:dyDescent="0.2">
      <c r="A1058" s="11">
        <v>2014</v>
      </c>
      <c r="B1058" s="10">
        <f t="shared" ref="B1058:J1058" si="3">AVERAGE(B13:B24)</f>
        <v>4.7848805568337474</v>
      </c>
      <c r="C1058" s="10">
        <f t="shared" si="3"/>
        <v>4.7911085302248653</v>
      </c>
      <c r="D1058" s="10">
        <f t="shared" si="3"/>
        <v>4.9141951836113433</v>
      </c>
      <c r="E1058" s="10">
        <f t="shared" si="3"/>
        <v>4.9463376121061193</v>
      </c>
      <c r="F1058" s="10">
        <f t="shared" si="3"/>
        <v>4.7810994158234132</v>
      </c>
      <c r="G1058" s="10">
        <f t="shared" si="3"/>
        <v>4.799414708571887</v>
      </c>
      <c r="H1058" s="10">
        <f t="shared" si="3"/>
        <v>4.9352354346655565</v>
      </c>
      <c r="I1058" s="10">
        <f t="shared" si="3"/>
        <v>4.7849434321254796</v>
      </c>
      <c r="J1058" s="10">
        <f t="shared" si="3"/>
        <v>4.7738327491567469</v>
      </c>
      <c r="K1058" s="10"/>
      <c r="L1058" s="10">
        <f t="shared" ref="L1058:S1058" si="4">AVERAGE(L13:L24)</f>
        <v>5.5222354346655544</v>
      </c>
      <c r="M1058" s="10">
        <f t="shared" si="4"/>
        <v>4.7434297657554714</v>
      </c>
      <c r="N1058" s="10">
        <f t="shared" si="4"/>
        <v>4.7615091855190217</v>
      </c>
      <c r="O1058" s="10">
        <f t="shared" si="4"/>
        <v>4.9028685709518056</v>
      </c>
      <c r="P1058" s="10">
        <f t="shared" si="4"/>
        <v>4.7544437629327776</v>
      </c>
      <c r="Q1058" s="10">
        <f t="shared" si="4"/>
        <v>5.4981685709518056</v>
      </c>
      <c r="R1058" s="10">
        <f t="shared" si="4"/>
        <v>6.0989193257125178</v>
      </c>
      <c r="S1058" s="10">
        <f t="shared" si="4"/>
        <v>4.6473155014370544</v>
      </c>
      <c r="T1058" s="32">
        <f>SUM(T13:T24)</f>
        <v>364.74272716000002</v>
      </c>
      <c r="U1058" s="32">
        <f>SUM(U13:U24)</f>
        <v>142.03497249999998</v>
      </c>
      <c r="V1058" s="32">
        <f>SUM(V13:V24)</f>
        <v>58.217499999999994</v>
      </c>
      <c r="W1058" s="32">
        <f>SUM(W13:W24)</f>
        <v>8.365079999999999</v>
      </c>
      <c r="X1058" s="32">
        <f>SUM(X13:X24)</f>
        <v>5.5571254639999994</v>
      </c>
      <c r="Y1058" s="32"/>
      <c r="Z1058" s="32">
        <f>SUM(Z13:Z24)</f>
        <v>3.899999999999999</v>
      </c>
      <c r="AA1058" s="10">
        <f>AVERAGE(AA13:AA24)</f>
        <v>4.7483718881989638</v>
      </c>
      <c r="AB1058" s="32">
        <f>SUM(AB13:AB24)</f>
        <v>12.630990000000001</v>
      </c>
      <c r="AC1058" s="33">
        <f>AVERAGE(AC13:AC24)</f>
        <v>4.827013766238669</v>
      </c>
      <c r="AD1058" s="27">
        <f>AVERAGE(AD13:AD24)</f>
        <v>4.8078617204522907</v>
      </c>
    </row>
    <row r="1059" spans="1:30" ht="15" x14ac:dyDescent="0.2">
      <c r="A1059" s="11">
        <v>2015</v>
      </c>
      <c r="B1059" s="10">
        <f t="shared" ref="B1059:J1059" si="5">AVERAGE(B25:B36)</f>
        <v>4.4168333333333338</v>
      </c>
      <c r="C1059" s="10">
        <f t="shared" si="5"/>
        <v>4.423116666666667</v>
      </c>
      <c r="D1059" s="10">
        <f t="shared" si="5"/>
        <v>4.5388166666666665</v>
      </c>
      <c r="E1059" s="10">
        <f t="shared" si="5"/>
        <v>4.5709749999999998</v>
      </c>
      <c r="F1059" s="10">
        <f t="shared" si="5"/>
        <v>4.3727999999999989</v>
      </c>
      <c r="G1059" s="10">
        <f t="shared" si="5"/>
        <v>4.390133333333333</v>
      </c>
      <c r="H1059" s="10">
        <f t="shared" si="5"/>
        <v>4.5597666666666665</v>
      </c>
      <c r="I1059" s="10">
        <f t="shared" si="5"/>
        <v>4.4040416666666662</v>
      </c>
      <c r="J1059" s="10">
        <f t="shared" si="5"/>
        <v>4.3654000000000002</v>
      </c>
      <c r="K1059" s="10"/>
      <c r="L1059" s="10">
        <f t="shared" ref="L1059:S1059" si="6">AVERAGE(L25:L36)</f>
        <v>5.1467666666666654</v>
      </c>
      <c r="M1059" s="10">
        <f t="shared" si="6"/>
        <v>4.3419416666666661</v>
      </c>
      <c r="N1059" s="10">
        <f t="shared" si="6"/>
        <v>4.3590583333333326</v>
      </c>
      <c r="O1059" s="10">
        <f t="shared" si="6"/>
        <v>4.5337916666666667</v>
      </c>
      <c r="P1059" s="10">
        <f t="shared" si="6"/>
        <v>4.3801249999999996</v>
      </c>
      <c r="Q1059" s="10">
        <f t="shared" si="6"/>
        <v>5.1290916666666666</v>
      </c>
      <c r="R1059" s="10">
        <f t="shared" si="6"/>
        <v>5.7289333333333339</v>
      </c>
      <c r="S1059" s="10">
        <f t="shared" si="6"/>
        <v>4.2925500000000003</v>
      </c>
      <c r="T1059" s="32">
        <f>SUM(T25:T36)</f>
        <v>364.742681</v>
      </c>
      <c r="U1059" s="32">
        <f>SUM(U25:U36)</f>
        <v>142.03263249999998</v>
      </c>
      <c r="V1059" s="32">
        <f>SUM(V25:V36)</f>
        <v>58.217499999999994</v>
      </c>
      <c r="W1059" s="32">
        <f>SUM(W25:W36)</f>
        <v>8.3657999999999983</v>
      </c>
      <c r="X1059" s="32">
        <f>SUM(X25:X36)</f>
        <v>17.010567464000001</v>
      </c>
      <c r="Y1059" s="32"/>
      <c r="Z1059" s="32">
        <f>SUM(Z25:Z36)</f>
        <v>3.5999999999999992</v>
      </c>
      <c r="AA1059" s="10">
        <f>AVERAGE(AA25:AA36)</f>
        <v>4.3802833333333338</v>
      </c>
      <c r="AB1059" s="32">
        <f>SUM(AB25:AB36)</f>
        <v>12.811459999999997</v>
      </c>
      <c r="AC1059" s="33">
        <f>AVERAGE(AC25:AC36)</f>
        <v>4.4246032288281159</v>
      </c>
      <c r="AD1059" s="27">
        <f>AVERAGE(AD25:AD36)</f>
        <v>4.4114060551558749</v>
      </c>
    </row>
    <row r="1060" spans="1:30" ht="15" x14ac:dyDescent="0.2">
      <c r="A1060" s="11">
        <v>2016</v>
      </c>
      <c r="B1060" s="10">
        <f t="shared" ref="B1060:J1060" si="7">AVERAGE(B37:B48)</f>
        <v>4.3381083333333335</v>
      </c>
      <c r="C1060" s="10">
        <f t="shared" si="7"/>
        <v>4.3443750000000003</v>
      </c>
      <c r="D1060" s="10">
        <f t="shared" si="7"/>
        <v>4.4600583333333335</v>
      </c>
      <c r="E1060" s="10">
        <f t="shared" si="7"/>
        <v>4.4922250000000004</v>
      </c>
      <c r="F1060" s="10">
        <f t="shared" si="7"/>
        <v>4.2940500000000013</v>
      </c>
      <c r="G1060" s="10">
        <f t="shared" si="7"/>
        <v>4.3113916666666663</v>
      </c>
      <c r="H1060" s="10">
        <f t="shared" si="7"/>
        <v>4.4810249999999998</v>
      </c>
      <c r="I1060" s="10">
        <f t="shared" si="7"/>
        <v>4.3252916666666659</v>
      </c>
      <c r="J1060" s="10">
        <f t="shared" si="7"/>
        <v>4.2866500000000007</v>
      </c>
      <c r="K1060" s="10"/>
      <c r="L1060" s="10">
        <f t="shared" ref="L1060:S1060" si="8">AVERAGE(L37:L48)</f>
        <v>5.0680250000000004</v>
      </c>
      <c r="M1060" s="10">
        <f t="shared" si="8"/>
        <v>4.2642000000000007</v>
      </c>
      <c r="N1060" s="10">
        <f t="shared" si="8"/>
        <v>4.2813083333333335</v>
      </c>
      <c r="O1060" s="10">
        <f t="shared" si="8"/>
        <v>4.4560666666666657</v>
      </c>
      <c r="P1060" s="10">
        <f t="shared" si="8"/>
        <v>4.3024083333333332</v>
      </c>
      <c r="Q1060" s="10">
        <f t="shared" si="8"/>
        <v>5.0513666666666657</v>
      </c>
      <c r="R1060" s="10">
        <f t="shared" si="8"/>
        <v>5.6509999999999998</v>
      </c>
      <c r="S1060" s="10">
        <f t="shared" si="8"/>
        <v>4.2162999999999995</v>
      </c>
      <c r="T1060" s="32">
        <f>SUM(T37:T48)</f>
        <v>358.17703550000004</v>
      </c>
      <c r="U1060" s="32">
        <f>SUM(U37:U48)</f>
        <v>142.42176299999997</v>
      </c>
      <c r="V1060" s="32">
        <f>SUM(V37:V48)</f>
        <v>58.377000000000002</v>
      </c>
      <c r="W1060" s="32">
        <f>SUM(W37:W48)</f>
        <v>6.1846754999999982</v>
      </c>
      <c r="X1060" s="32">
        <f>SUM(X37:X48)</f>
        <v>20.800615543999996</v>
      </c>
      <c r="Y1060" s="32"/>
      <c r="Z1060" s="32">
        <f>SUM(Z37:Z48)</f>
        <v>3.5999999999999992</v>
      </c>
      <c r="AA1060" s="32"/>
      <c r="AB1060" s="32"/>
      <c r="AC1060" s="33">
        <f>AVERAGE(AC37:AC48)</f>
        <v>4.3401422610522742</v>
      </c>
      <c r="AD1060" s="27">
        <f>AVERAGE(AD37:AD48)</f>
        <v>4.3326649880095927</v>
      </c>
    </row>
    <row r="1061" spans="1:30" ht="15" x14ac:dyDescent="0.2">
      <c r="A1061" s="11">
        <v>2017</v>
      </c>
      <c r="B1061" s="10">
        <f t="shared" ref="B1061:S1061" si="9">AVERAGE(B49:B60)</f>
        <v>4.6785416666666659</v>
      </c>
      <c r="C1061" s="10">
        <f t="shared" si="9"/>
        <v>4.6848333333333336</v>
      </c>
      <c r="D1061" s="10">
        <f t="shared" si="9"/>
        <v>4.8005166666666668</v>
      </c>
      <c r="E1061" s="10">
        <f t="shared" si="9"/>
        <v>4.8326666666666673</v>
      </c>
      <c r="F1061" s="10">
        <f t="shared" si="9"/>
        <v>4.6344666666666674</v>
      </c>
      <c r="G1061" s="10">
        <f t="shared" si="9"/>
        <v>4.6518416666666669</v>
      </c>
      <c r="H1061" s="10">
        <f t="shared" si="9"/>
        <v>4.8214583333333332</v>
      </c>
      <c r="I1061" s="10">
        <f t="shared" si="9"/>
        <v>4.6657249999999992</v>
      </c>
      <c r="J1061" s="10">
        <f t="shared" si="9"/>
        <v>4.627066666666666</v>
      </c>
      <c r="K1061" s="10">
        <f t="shared" si="9"/>
        <v>4.6823000000000006</v>
      </c>
      <c r="L1061" s="10">
        <f t="shared" si="9"/>
        <v>5.4084583333333329</v>
      </c>
      <c r="M1061" s="10">
        <f t="shared" si="9"/>
        <v>4.60025</v>
      </c>
      <c r="N1061" s="10">
        <f t="shared" si="9"/>
        <v>4.6173499999999992</v>
      </c>
      <c r="O1061" s="10">
        <f t="shared" si="9"/>
        <v>4.7921000000000005</v>
      </c>
      <c r="P1061" s="10">
        <f t="shared" si="9"/>
        <v>4.6384333333333343</v>
      </c>
      <c r="Q1061" s="10">
        <f t="shared" si="9"/>
        <v>5.3874000000000004</v>
      </c>
      <c r="R1061" s="10">
        <f t="shared" si="9"/>
        <v>5.9878583333333326</v>
      </c>
      <c r="S1061" s="10">
        <f t="shared" si="9"/>
        <v>4.5459250000000004</v>
      </c>
      <c r="T1061" s="32">
        <f>SUM(T49:T60)</f>
        <v>357.24568100000005</v>
      </c>
      <c r="U1061" s="32">
        <f>SUM(U49:U60)</f>
        <v>142.03263249999998</v>
      </c>
      <c r="V1061" s="32">
        <f>SUM(V49:V60)</f>
        <v>58.217499999999994</v>
      </c>
      <c r="W1061" s="32">
        <f>SUM(W49:W60)</f>
        <v>5.0822234999999996</v>
      </c>
      <c r="X1061" s="32">
        <f>SUM(X49:X60)</f>
        <v>20.758966663999999</v>
      </c>
      <c r="Y1061" s="32">
        <f>SUM(Y53:Y60)</f>
        <v>198.18539999999999</v>
      </c>
      <c r="Z1061" s="32"/>
      <c r="AA1061" s="10"/>
      <c r="AB1061" s="10"/>
      <c r="AC1061" s="33">
        <f>AVERAGE(AC49:AC60)</f>
        <v>4.6805810141750896</v>
      </c>
      <c r="AD1061" s="27">
        <f>AVERAGE(AD49:AD60)</f>
        <v>4.6687033573141488</v>
      </c>
    </row>
    <row r="1062" spans="1:30" ht="15" x14ac:dyDescent="0.2">
      <c r="A1062" s="11">
        <v>2018</v>
      </c>
      <c r="B1062" s="10">
        <f t="shared" ref="B1062:S1062" si="10">AVERAGE(B61:B72)</f>
        <v>4.8904666666666659</v>
      </c>
      <c r="C1062" s="10">
        <f t="shared" si="10"/>
        <v>4.8967416666666672</v>
      </c>
      <c r="D1062" s="10">
        <f t="shared" si="10"/>
        <v>5.0124166666666667</v>
      </c>
      <c r="E1062" s="10">
        <f t="shared" si="10"/>
        <v>5.0445833333333328</v>
      </c>
      <c r="F1062" s="10">
        <f t="shared" si="10"/>
        <v>4.8464250000000009</v>
      </c>
      <c r="G1062" s="10">
        <f t="shared" si="10"/>
        <v>4.8637749999999995</v>
      </c>
      <c r="H1062" s="10">
        <f t="shared" si="10"/>
        <v>5.0333833333333331</v>
      </c>
      <c r="I1062" s="10">
        <f t="shared" si="10"/>
        <v>4.8776500000000009</v>
      </c>
      <c r="J1062" s="10">
        <f t="shared" si="10"/>
        <v>4.8390250000000004</v>
      </c>
      <c r="K1062" s="10">
        <f t="shared" si="10"/>
        <v>4.8876250000000008</v>
      </c>
      <c r="L1062" s="10">
        <f t="shared" si="10"/>
        <v>5.6203833333333337</v>
      </c>
      <c r="M1062" s="10">
        <f t="shared" si="10"/>
        <v>4.8094083333333328</v>
      </c>
      <c r="N1062" s="10">
        <f t="shared" si="10"/>
        <v>4.8265249999999993</v>
      </c>
      <c r="O1062" s="10">
        <f t="shared" si="10"/>
        <v>5.0012833333333342</v>
      </c>
      <c r="P1062" s="10">
        <f t="shared" si="10"/>
        <v>4.8476083333333335</v>
      </c>
      <c r="Q1062" s="10">
        <f t="shared" si="10"/>
        <v>5.5965833333333341</v>
      </c>
      <c r="R1062" s="10">
        <f t="shared" si="10"/>
        <v>6.1975666666666669</v>
      </c>
      <c r="S1062" s="10">
        <f t="shared" si="10"/>
        <v>4.751125</v>
      </c>
      <c r="T1062" s="32">
        <f t="shared" ref="T1062:Y1062" si="11">SUM(T61:T72)</f>
        <v>357.24568100000005</v>
      </c>
      <c r="U1062" s="32">
        <f t="shared" si="11"/>
        <v>142.03263249999998</v>
      </c>
      <c r="V1062" s="32">
        <f t="shared" si="11"/>
        <v>50.187500000000007</v>
      </c>
      <c r="W1062" s="32">
        <f t="shared" si="11"/>
        <v>5.0822234999999996</v>
      </c>
      <c r="X1062" s="32">
        <f t="shared" si="11"/>
        <v>20.758966663999999</v>
      </c>
      <c r="Y1062" s="32">
        <f t="shared" si="11"/>
        <v>293.19720000000001</v>
      </c>
      <c r="Z1062" s="32"/>
      <c r="AA1062" s="10"/>
      <c r="AB1062" s="10"/>
      <c r="AC1062" s="33">
        <f>AVERAGE(AC61:AC72)</f>
        <v>4.8925102497690185</v>
      </c>
      <c r="AD1062" s="27">
        <f>AVERAGE(AD61:AD72)</f>
        <v>4.8778763788968824</v>
      </c>
    </row>
    <row r="1063" spans="1:30" ht="15" x14ac:dyDescent="0.2">
      <c r="A1063" s="11">
        <v>2019</v>
      </c>
      <c r="B1063" s="10">
        <f t="shared" ref="B1063:S1063" si="12">AVERAGE(B73:B84)</f>
        <v>5.4583000000000004</v>
      </c>
      <c r="C1063" s="10">
        <f t="shared" si="12"/>
        <v>5.4645833333333327</v>
      </c>
      <c r="D1063" s="10">
        <f t="shared" si="12"/>
        <v>5.5802500000000004</v>
      </c>
      <c r="E1063" s="10">
        <f t="shared" si="12"/>
        <v>5.6124166666666673</v>
      </c>
      <c r="F1063" s="10">
        <f t="shared" si="12"/>
        <v>5.4142333333333328</v>
      </c>
      <c r="G1063" s="10">
        <f t="shared" si="12"/>
        <v>5.4315833333333332</v>
      </c>
      <c r="H1063" s="10">
        <f t="shared" si="12"/>
        <v>5.6012250000000003</v>
      </c>
      <c r="I1063" s="10">
        <f t="shared" si="12"/>
        <v>5.4454916666666664</v>
      </c>
      <c r="J1063" s="10">
        <f t="shared" si="12"/>
        <v>5.4068333333333349</v>
      </c>
      <c r="K1063" s="10">
        <f t="shared" si="12"/>
        <v>5.4377333333333331</v>
      </c>
      <c r="L1063" s="10">
        <f t="shared" si="12"/>
        <v>6.1882249999999992</v>
      </c>
      <c r="M1063" s="10">
        <f t="shared" si="12"/>
        <v>5.3699083333333322</v>
      </c>
      <c r="N1063" s="10">
        <f t="shared" si="12"/>
        <v>5.3870166666666668</v>
      </c>
      <c r="O1063" s="10">
        <f t="shared" si="12"/>
        <v>5.56175</v>
      </c>
      <c r="P1063" s="10">
        <f t="shared" si="12"/>
        <v>5.4081000000000001</v>
      </c>
      <c r="Q1063" s="10">
        <f t="shared" si="12"/>
        <v>6.1570500000000008</v>
      </c>
      <c r="R1063" s="10">
        <f t="shared" si="12"/>
        <v>6.759458333333332</v>
      </c>
      <c r="S1063" s="10">
        <f t="shared" si="12"/>
        <v>5.3009750000000002</v>
      </c>
      <c r="T1063" s="32">
        <f t="shared" ref="T1063:Y1063" si="13">SUM(T73:T84)</f>
        <v>357.24568100000005</v>
      </c>
      <c r="U1063" s="32">
        <f t="shared" si="13"/>
        <v>142.03263249999998</v>
      </c>
      <c r="V1063" s="32">
        <f t="shared" si="13"/>
        <v>50.187500000000007</v>
      </c>
      <c r="W1063" s="32">
        <f t="shared" si="13"/>
        <v>5.0822234999999996</v>
      </c>
      <c r="X1063" s="32">
        <f t="shared" si="13"/>
        <v>20.758966663999999</v>
      </c>
      <c r="Y1063" s="32">
        <f t="shared" si="13"/>
        <v>290.24799999999999</v>
      </c>
      <c r="Z1063" s="32"/>
      <c r="AA1063" s="10"/>
      <c r="AB1063" s="10"/>
      <c r="AC1063" s="33">
        <f>AVERAGE(AC73:AC84)</f>
        <v>5.4603351414976347</v>
      </c>
      <c r="AD1063" s="27">
        <f>AVERAGE(AD73:AD84)</f>
        <v>5.4383624700239812</v>
      </c>
    </row>
    <row r="1064" spans="1:30" ht="15" x14ac:dyDescent="0.2">
      <c r="A1064" s="11">
        <v>2020</v>
      </c>
      <c r="B1064" s="10">
        <f t="shared" ref="B1064:S1064" si="14">AVERAGE(B85:B96)</f>
        <v>5.6131999999999991</v>
      </c>
      <c r="C1064" s="10">
        <f t="shared" si="14"/>
        <v>5.6194833333333349</v>
      </c>
      <c r="D1064" s="10">
        <f t="shared" si="14"/>
        <v>5.7351666666666672</v>
      </c>
      <c r="E1064" s="10">
        <f t="shared" si="14"/>
        <v>5.7673249999999996</v>
      </c>
      <c r="F1064" s="10">
        <f t="shared" si="14"/>
        <v>5.5691749999999987</v>
      </c>
      <c r="G1064" s="10">
        <f t="shared" si="14"/>
        <v>5.5865</v>
      </c>
      <c r="H1064" s="10">
        <f t="shared" si="14"/>
        <v>5.7561333333333335</v>
      </c>
      <c r="I1064" s="10">
        <f t="shared" si="14"/>
        <v>5.6004000000000005</v>
      </c>
      <c r="J1064" s="10">
        <f t="shared" si="14"/>
        <v>5.5617749999999999</v>
      </c>
      <c r="K1064" s="10">
        <f t="shared" si="14"/>
        <v>5.5878083333333342</v>
      </c>
      <c r="L1064" s="10">
        <f t="shared" si="14"/>
        <v>6.3431333333333342</v>
      </c>
      <c r="M1064" s="10">
        <f t="shared" si="14"/>
        <v>5.5228083333333329</v>
      </c>
      <c r="N1064" s="10">
        <f t="shared" si="14"/>
        <v>5.5399250000000002</v>
      </c>
      <c r="O1064" s="10">
        <f t="shared" si="14"/>
        <v>5.7146583333333334</v>
      </c>
      <c r="P1064" s="10">
        <f t="shared" si="14"/>
        <v>5.5610083333333336</v>
      </c>
      <c r="Q1064" s="10">
        <f t="shared" si="14"/>
        <v>6.3099583333333342</v>
      </c>
      <c r="R1064" s="10">
        <f t="shared" si="14"/>
        <v>6.9127416666666663</v>
      </c>
      <c r="S1064" s="10">
        <f t="shared" si="14"/>
        <v>5.4509749999999997</v>
      </c>
      <c r="T1064" s="32">
        <f>SUM(T85:T96)</f>
        <v>358.17703550000004</v>
      </c>
      <c r="U1064" s="32">
        <f>SUM(U85:U96)</f>
        <v>142.42176299999997</v>
      </c>
      <c r="V1064" s="32">
        <f>SUM(V85:V96)</f>
        <v>50.325000000000003</v>
      </c>
      <c r="W1064" s="32">
        <f>SUM(W85:W96)</f>
        <v>5.0961473999999995</v>
      </c>
      <c r="X1064" s="32">
        <f>SUM(X85:X96)</f>
        <v>20.800615543999996</v>
      </c>
      <c r="Y1064" s="32"/>
      <c r="Z1064" s="32"/>
      <c r="AA1064" s="10"/>
      <c r="AB1064" s="10"/>
      <c r="AC1064" s="33">
        <f>AVERAGE(AC85:AC96)</f>
        <v>5.6152520579083225</v>
      </c>
      <c r="AD1064" s="27">
        <f>AVERAGE(AD85:AD96)</f>
        <v>5.5912664868105511</v>
      </c>
    </row>
    <row r="1065" spans="1:30" ht="15" x14ac:dyDescent="0.2">
      <c r="A1065" s="11">
        <v>2021</v>
      </c>
      <c r="B1065" s="10">
        <f t="shared" ref="B1065:S1065" si="15">AVERAGE(B97:B108)</f>
        <v>5.8197666666666663</v>
      </c>
      <c r="C1065" s="10">
        <f t="shared" si="15"/>
        <v>5.8260333333333323</v>
      </c>
      <c r="D1065" s="10">
        <f t="shared" si="15"/>
        <v>5.9417166666666672</v>
      </c>
      <c r="E1065" s="10">
        <f t="shared" si="15"/>
        <v>5.9738666666666669</v>
      </c>
      <c r="F1065" s="10">
        <f t="shared" si="15"/>
        <v>5.7757249999999987</v>
      </c>
      <c r="G1065" s="10">
        <f t="shared" si="15"/>
        <v>5.7930500000000009</v>
      </c>
      <c r="H1065" s="10">
        <f t="shared" si="15"/>
        <v>5.9626750000000008</v>
      </c>
      <c r="I1065" s="10">
        <f t="shared" si="15"/>
        <v>5.8069416666666669</v>
      </c>
      <c r="J1065" s="10">
        <f t="shared" si="15"/>
        <v>5.7683249999999999</v>
      </c>
      <c r="K1065" s="10">
        <f t="shared" si="15"/>
        <v>5.7878916666666678</v>
      </c>
      <c r="L1065" s="10">
        <f t="shared" si="15"/>
        <v>6.5496749999999997</v>
      </c>
      <c r="M1065" s="10">
        <f t="shared" si="15"/>
        <v>5.7266833333333338</v>
      </c>
      <c r="N1065" s="10">
        <f t="shared" si="15"/>
        <v>5.7437916666666666</v>
      </c>
      <c r="O1065" s="10">
        <f t="shared" si="15"/>
        <v>5.9185499999999998</v>
      </c>
      <c r="P1065" s="10">
        <f t="shared" si="15"/>
        <v>5.7648916666666672</v>
      </c>
      <c r="Q1065" s="10">
        <f t="shared" si="15"/>
        <v>6.5138500000000006</v>
      </c>
      <c r="R1065" s="10">
        <f t="shared" si="15"/>
        <v>7.1171166666666652</v>
      </c>
      <c r="S1065" s="10">
        <f t="shared" si="15"/>
        <v>5.6509833333333335</v>
      </c>
      <c r="T1065" s="32">
        <f>SUM(T97:T108)</f>
        <v>357.24568100000005</v>
      </c>
      <c r="U1065" s="32">
        <f>SUM(U97:U108)</f>
        <v>142.03263249999998</v>
      </c>
      <c r="V1065" s="32">
        <f>SUM(V97:V108)</f>
        <v>50.187500000000007</v>
      </c>
      <c r="W1065" s="32">
        <f>SUM(W97:W108)</f>
        <v>5.0822234999999996</v>
      </c>
      <c r="X1065" s="32">
        <f>SUM(X97:X108)</f>
        <v>20.758966663999999</v>
      </c>
      <c r="Y1065" s="32"/>
      <c r="Z1065" s="32"/>
      <c r="AA1065" s="10"/>
      <c r="AB1065" s="10"/>
      <c r="AC1065" s="33">
        <f>AVERAGE(AC97:AC108)</f>
        <v>5.8218034356186701</v>
      </c>
      <c r="AD1065" s="27">
        <f>AVERAGE(AD97:AD108)</f>
        <v>5.7951483213429249</v>
      </c>
    </row>
    <row r="1066" spans="1:30" ht="15" x14ac:dyDescent="0.2">
      <c r="A1066" s="11">
        <v>2022</v>
      </c>
      <c r="B1066" s="10">
        <f t="shared" ref="B1066:S1066" si="16">AVERAGE(B109:B120)</f>
        <v>6.0263083333333336</v>
      </c>
      <c r="C1066" s="10">
        <f t="shared" si="16"/>
        <v>6.0325833333333341</v>
      </c>
      <c r="D1066" s="10">
        <f t="shared" si="16"/>
        <v>6.1482583333333345</v>
      </c>
      <c r="E1066" s="10">
        <f t="shared" si="16"/>
        <v>6.1803999999999997</v>
      </c>
      <c r="F1066" s="10">
        <f t="shared" si="16"/>
        <v>5.9822666666666668</v>
      </c>
      <c r="G1066" s="10">
        <f t="shared" si="16"/>
        <v>5.9996000000000009</v>
      </c>
      <c r="H1066" s="10">
        <f t="shared" si="16"/>
        <v>6.169225</v>
      </c>
      <c r="I1066" s="10">
        <f t="shared" si="16"/>
        <v>6.0134999999999996</v>
      </c>
      <c r="J1066" s="10">
        <f t="shared" si="16"/>
        <v>5.9748666666666663</v>
      </c>
      <c r="K1066" s="10">
        <f t="shared" si="16"/>
        <v>5.9880250000000004</v>
      </c>
      <c r="L1066" s="10">
        <f t="shared" si="16"/>
        <v>6.7562250000000006</v>
      </c>
      <c r="M1066" s="10">
        <f t="shared" si="16"/>
        <v>5.9305583333333338</v>
      </c>
      <c r="N1066" s="10">
        <f t="shared" si="16"/>
        <v>5.9476916666666666</v>
      </c>
      <c r="O1066" s="10">
        <f t="shared" si="16"/>
        <v>6.1224166666666671</v>
      </c>
      <c r="P1066" s="10">
        <f t="shared" si="16"/>
        <v>5.96875</v>
      </c>
      <c r="Q1066" s="10">
        <f t="shared" si="16"/>
        <v>6.717716666666667</v>
      </c>
      <c r="R1066" s="10">
        <f t="shared" si="16"/>
        <v>7.321508333333334</v>
      </c>
      <c r="S1066" s="10">
        <f t="shared" si="16"/>
        <v>5.8509750000000009</v>
      </c>
      <c r="T1066" s="32">
        <f>SUM(T109:T120)</f>
        <v>357.24568100000005</v>
      </c>
      <c r="U1066" s="32">
        <f>SUM(U109:U120)</f>
        <v>142.03263249999998</v>
      </c>
      <c r="V1066" s="32">
        <f>SUM(V109:V120)</f>
        <v>50.187500000000007</v>
      </c>
      <c r="W1066" s="32">
        <f>SUM(W109:W120)</f>
        <v>5.0822234999999996</v>
      </c>
      <c r="X1066" s="32">
        <f>SUM(X109:X120)</f>
        <v>20.758966663999999</v>
      </c>
      <c r="Y1066" s="32"/>
      <c r="Z1066" s="32"/>
      <c r="AA1066" s="10"/>
      <c r="AB1066" s="10"/>
      <c r="AC1066" s="33">
        <f>AVERAGE(AC109:AC120)</f>
        <v>6.0283489542202666</v>
      </c>
      <c r="AD1066" s="27">
        <f>AVERAGE(AD109:AD120)</f>
        <v>5.9990229016786563</v>
      </c>
    </row>
    <row r="1067" spans="1:30" ht="15" x14ac:dyDescent="0.2">
      <c r="A1067" s="11">
        <v>2023</v>
      </c>
      <c r="B1067" s="10">
        <f t="shared" ref="B1067:S1067" si="17">AVERAGE(B121:B132)</f>
        <v>6.2328666666666672</v>
      </c>
      <c r="C1067" s="10">
        <f t="shared" si="17"/>
        <v>6.2391416666666677</v>
      </c>
      <c r="D1067" s="10">
        <f t="shared" si="17"/>
        <v>6.3548166666666654</v>
      </c>
      <c r="E1067" s="10">
        <f t="shared" si="17"/>
        <v>6.3869583333333351</v>
      </c>
      <c r="F1067" s="10">
        <f t="shared" si="17"/>
        <v>6.1888083333333341</v>
      </c>
      <c r="G1067" s="10">
        <f t="shared" si="17"/>
        <v>6.2061500000000001</v>
      </c>
      <c r="H1067" s="10">
        <f t="shared" si="17"/>
        <v>6.3757666666666664</v>
      </c>
      <c r="I1067" s="10">
        <f t="shared" si="17"/>
        <v>6.2200499999999996</v>
      </c>
      <c r="J1067" s="10">
        <f t="shared" si="17"/>
        <v>6.1814083333333327</v>
      </c>
      <c r="K1067" s="10">
        <f t="shared" si="17"/>
        <v>6.1881166666666658</v>
      </c>
      <c r="L1067" s="10">
        <f t="shared" si="17"/>
        <v>6.962766666666667</v>
      </c>
      <c r="M1067" s="10">
        <f t="shared" si="17"/>
        <v>6.1344416666666666</v>
      </c>
      <c r="N1067" s="10">
        <f t="shared" si="17"/>
        <v>6.1515500000000003</v>
      </c>
      <c r="O1067" s="10">
        <f t="shared" si="17"/>
        <v>6.3262916666666671</v>
      </c>
      <c r="P1067" s="10">
        <f t="shared" si="17"/>
        <v>6.172625</v>
      </c>
      <c r="Q1067" s="10">
        <f t="shared" si="17"/>
        <v>6.9215916666666653</v>
      </c>
      <c r="R1067" s="10">
        <f t="shared" si="17"/>
        <v>7.5258916666666655</v>
      </c>
      <c r="S1067" s="10">
        <f t="shared" si="17"/>
        <v>6.0509750000000002</v>
      </c>
      <c r="T1067" s="32">
        <f>SUM(T121:T132)</f>
        <v>357.24568100000005</v>
      </c>
      <c r="U1067" s="32">
        <f>SUM(U121:U132)</f>
        <v>142.03263249999998</v>
      </c>
      <c r="V1067" s="32">
        <f>SUM(V121:V132)</f>
        <v>50.187500000000007</v>
      </c>
      <c r="W1067" s="32">
        <f>SUM(W121:W132)</f>
        <v>5.0822234999999996</v>
      </c>
      <c r="X1067" s="32">
        <f>SUM(X121:X132)</f>
        <v>20.758966663999999</v>
      </c>
      <c r="Y1067" s="32"/>
      <c r="Z1067" s="32"/>
      <c r="AA1067" s="10"/>
      <c r="AB1067" s="10"/>
      <c r="AC1067" s="33">
        <f>AVERAGE(AC121:AC132)</f>
        <v>6.2349003515242698</v>
      </c>
      <c r="AD1067" s="27">
        <f>AVERAGE(AD121:AD132)</f>
        <v>6.2028969424460429</v>
      </c>
    </row>
    <row r="1068" spans="1:30" ht="15" x14ac:dyDescent="0.2">
      <c r="A1068" s="11">
        <v>2024</v>
      </c>
      <c r="B1068" s="10">
        <f t="shared" ref="B1068:S1068" si="18">AVERAGE(B133:B144)</f>
        <v>6.4394166666666663</v>
      </c>
      <c r="C1068" s="10">
        <f t="shared" si="18"/>
        <v>6.4456999999999995</v>
      </c>
      <c r="D1068" s="10">
        <f t="shared" si="18"/>
        <v>6.5613583333333318</v>
      </c>
      <c r="E1068" s="10">
        <f t="shared" si="18"/>
        <v>6.5935083333333324</v>
      </c>
      <c r="F1068" s="10">
        <f t="shared" si="18"/>
        <v>6.3953583333333341</v>
      </c>
      <c r="G1068" s="10">
        <f t="shared" si="18"/>
        <v>6.4126833333333328</v>
      </c>
      <c r="H1068" s="10">
        <f t="shared" si="18"/>
        <v>6.5823166666666664</v>
      </c>
      <c r="I1068" s="10">
        <f t="shared" si="18"/>
        <v>6.4266000000000005</v>
      </c>
      <c r="J1068" s="10">
        <f t="shared" si="18"/>
        <v>6.3879583333333327</v>
      </c>
      <c r="K1068" s="10">
        <f t="shared" si="18"/>
        <v>6.3882250000000012</v>
      </c>
      <c r="L1068" s="10">
        <f t="shared" si="18"/>
        <v>7.1693166666666679</v>
      </c>
      <c r="M1068" s="10">
        <f t="shared" si="18"/>
        <v>6.338308333333333</v>
      </c>
      <c r="N1068" s="10">
        <f t="shared" si="18"/>
        <v>6.3554249999999994</v>
      </c>
      <c r="O1068" s="10">
        <f t="shared" si="18"/>
        <v>6.5301666666666662</v>
      </c>
      <c r="P1068" s="10">
        <f t="shared" si="18"/>
        <v>6.3764999999999992</v>
      </c>
      <c r="Q1068" s="10">
        <f t="shared" si="18"/>
        <v>7.1254666666666653</v>
      </c>
      <c r="R1068" s="10">
        <f t="shared" si="18"/>
        <v>7.7302583333333326</v>
      </c>
      <c r="S1068" s="10">
        <f t="shared" si="18"/>
        <v>6.2509833333333331</v>
      </c>
      <c r="T1068" s="32">
        <f>SUM(T133:T144)</f>
        <v>358.17703550000004</v>
      </c>
      <c r="U1068" s="32">
        <f>SUM(U133:U144)</f>
        <v>142.42176299999997</v>
      </c>
      <c r="V1068" s="32">
        <f>SUM(V133:V144)</f>
        <v>50.325000000000003</v>
      </c>
      <c r="W1068" s="32">
        <f>SUM(W133:W144)</f>
        <v>5.0961473999999995</v>
      </c>
      <c r="X1068" s="32">
        <f>SUM(X133:X144)</f>
        <v>20.800615543999996</v>
      </c>
      <c r="Y1068" s="32"/>
      <c r="Z1068" s="32"/>
      <c r="AA1068" s="10"/>
      <c r="AB1068" s="10"/>
      <c r="AC1068" s="33">
        <f>AVERAGE(AC133:AC144)</f>
        <v>6.4414495538351941</v>
      </c>
      <c r="AD1068" s="27">
        <f>AVERAGE(AD133:AD144)</f>
        <v>6.4067690647482012</v>
      </c>
    </row>
    <row r="1069" spans="1:30" ht="15" x14ac:dyDescent="0.2">
      <c r="A1069" s="11">
        <v>2025</v>
      </c>
      <c r="B1069" s="10">
        <f t="shared" ref="B1069:S1069" si="19">AVERAGE(B145:B156)</f>
        <v>6.5943249999999987</v>
      </c>
      <c r="C1069" s="10">
        <f t="shared" si="19"/>
        <v>6.6006</v>
      </c>
      <c r="D1069" s="10">
        <f t="shared" si="19"/>
        <v>6.716283333333334</v>
      </c>
      <c r="E1069" s="10">
        <f t="shared" si="19"/>
        <v>6.7484499999999992</v>
      </c>
      <c r="F1069" s="10">
        <f t="shared" si="19"/>
        <v>6.5502583333333328</v>
      </c>
      <c r="G1069" s="10">
        <f t="shared" si="19"/>
        <v>6.5675999999999997</v>
      </c>
      <c r="H1069" s="10">
        <f t="shared" si="19"/>
        <v>6.7372416666666668</v>
      </c>
      <c r="I1069" s="10">
        <f t="shared" si="19"/>
        <v>6.5815083333333328</v>
      </c>
      <c r="J1069" s="10">
        <f t="shared" si="19"/>
        <v>6.5428583333333341</v>
      </c>
      <c r="K1069" s="10">
        <f t="shared" si="19"/>
        <v>6.5382749999999996</v>
      </c>
      <c r="L1069" s="10">
        <f t="shared" si="19"/>
        <v>7.3242416666666665</v>
      </c>
      <c r="M1069" s="10">
        <f t="shared" si="19"/>
        <v>6.4912166666666664</v>
      </c>
      <c r="N1069" s="10">
        <f t="shared" si="19"/>
        <v>6.5083333333333337</v>
      </c>
      <c r="O1069" s="10">
        <f t="shared" si="19"/>
        <v>6.6830749999999997</v>
      </c>
      <c r="P1069" s="10">
        <f t="shared" si="19"/>
        <v>6.529399999999999</v>
      </c>
      <c r="Q1069" s="10">
        <f t="shared" si="19"/>
        <v>7.2783750000000014</v>
      </c>
      <c r="R1069" s="10">
        <f t="shared" si="19"/>
        <v>7.8835583333333332</v>
      </c>
      <c r="S1069" s="10">
        <f t="shared" si="19"/>
        <v>6.4009833333333326</v>
      </c>
      <c r="T1069" s="32">
        <f>SUM(T145:T156)</f>
        <v>357.24568100000005</v>
      </c>
      <c r="U1069" s="32">
        <f>SUM(U145:U156)</f>
        <v>142.03263249999998</v>
      </c>
      <c r="V1069" s="32">
        <f>SUM(V145:V156)</f>
        <v>50.187500000000007</v>
      </c>
      <c r="W1069" s="32">
        <f>SUM(W145:W156)</f>
        <v>5.0822234999999996</v>
      </c>
      <c r="X1069" s="32">
        <f>SUM(X145:X156)</f>
        <v>20.758966663999999</v>
      </c>
      <c r="Y1069" s="32"/>
      <c r="Z1069" s="32"/>
      <c r="AA1069" s="10"/>
      <c r="AB1069" s="10"/>
      <c r="AC1069" s="33">
        <f>AVERAGE(AC145:AC156)</f>
        <v>6.5963574890826848</v>
      </c>
      <c r="AD1069" s="27">
        <f>AVERAGE(AD145:AD156)</f>
        <v>6.5596761990407684</v>
      </c>
    </row>
    <row r="1070" spans="1:30" ht="15" x14ac:dyDescent="0.2">
      <c r="A1070" s="11">
        <v>2026</v>
      </c>
      <c r="B1070" s="10">
        <f t="shared" ref="B1070:S1070" si="20">AVERAGE(B157:B168)</f>
        <v>6.8008583333333315</v>
      </c>
      <c r="C1070" s="10">
        <f t="shared" si="20"/>
        <v>6.8071416666666664</v>
      </c>
      <c r="D1070" s="10">
        <f t="shared" si="20"/>
        <v>6.9228333333333332</v>
      </c>
      <c r="E1070" s="10">
        <f t="shared" si="20"/>
        <v>6.9549833333333337</v>
      </c>
      <c r="F1070" s="10">
        <f t="shared" si="20"/>
        <v>6.756808333333332</v>
      </c>
      <c r="G1070" s="10">
        <f t="shared" si="20"/>
        <v>6.7741500000000014</v>
      </c>
      <c r="H1070" s="10">
        <f t="shared" si="20"/>
        <v>6.9437916666666659</v>
      </c>
      <c r="I1070" s="10">
        <f t="shared" si="20"/>
        <v>6.7880583333333346</v>
      </c>
      <c r="J1070" s="10">
        <f t="shared" si="20"/>
        <v>6.7494083333333341</v>
      </c>
      <c r="K1070" s="10">
        <f t="shared" si="20"/>
        <v>6.7383666666666668</v>
      </c>
      <c r="L1070" s="10">
        <f t="shared" si="20"/>
        <v>7.5307916666666666</v>
      </c>
      <c r="M1070" s="10">
        <f t="shared" si="20"/>
        <v>6.6951000000000001</v>
      </c>
      <c r="N1070" s="10">
        <f t="shared" si="20"/>
        <v>6.7122083333333338</v>
      </c>
      <c r="O1070" s="10">
        <f t="shared" si="20"/>
        <v>6.8869583333333333</v>
      </c>
      <c r="P1070" s="10">
        <f t="shared" si="20"/>
        <v>6.7332833333333326</v>
      </c>
      <c r="Q1070" s="10">
        <f t="shared" si="20"/>
        <v>7.4822583333333341</v>
      </c>
      <c r="R1070" s="10">
        <f t="shared" si="20"/>
        <v>8.0879583333333329</v>
      </c>
      <c r="S1070" s="10">
        <f t="shared" si="20"/>
        <v>6.6009833333333319</v>
      </c>
      <c r="T1070" s="32">
        <f>SUM(T157:T168)</f>
        <v>357.24568100000005</v>
      </c>
      <c r="U1070" s="32">
        <f>SUM(U157:U168)</f>
        <v>142.03263249999998</v>
      </c>
      <c r="V1070" s="32">
        <f>SUM(V157:V168)</f>
        <v>50.187500000000007</v>
      </c>
      <c r="W1070" s="32">
        <f>SUM(W157:W168)</f>
        <v>5.0822234999999996</v>
      </c>
      <c r="X1070" s="32">
        <f>SUM(X157:X168)</f>
        <v>20.758966663999999</v>
      </c>
      <c r="Y1070" s="32"/>
      <c r="Z1070" s="32"/>
      <c r="AA1070" s="10"/>
      <c r="AB1070" s="10"/>
      <c r="AC1070" s="33">
        <f>AVERAGE(AC157:AC168)</f>
        <v>6.80290284240031</v>
      </c>
      <c r="AD1070" s="27">
        <f>AVERAGE(AD157:AD168)</f>
        <v>6.7635576139088727</v>
      </c>
    </row>
    <row r="1071" spans="1:30" ht="15" x14ac:dyDescent="0.2">
      <c r="A1071" s="11">
        <v>2027</v>
      </c>
      <c r="B1071" s="10">
        <f t="shared" ref="B1071:S1071" si="21">AVERAGE(B169:B180)</f>
        <v>7.0590583333333328</v>
      </c>
      <c r="C1071" s="10">
        <f t="shared" si="21"/>
        <v>7.0653333333333324</v>
      </c>
      <c r="D1071" s="10">
        <f t="shared" si="21"/>
        <v>7.1810083333333319</v>
      </c>
      <c r="E1071" s="10">
        <f t="shared" si="21"/>
        <v>7.2131749999999997</v>
      </c>
      <c r="F1071" s="10">
        <f t="shared" si="21"/>
        <v>7.014991666666667</v>
      </c>
      <c r="G1071" s="10">
        <f t="shared" si="21"/>
        <v>7.0323333333333338</v>
      </c>
      <c r="H1071" s="10">
        <f t="shared" si="21"/>
        <v>7.2019666666666673</v>
      </c>
      <c r="I1071" s="10">
        <f t="shared" si="21"/>
        <v>7.0462333333333333</v>
      </c>
      <c r="J1071" s="10">
        <f t="shared" si="21"/>
        <v>7.0075916666666673</v>
      </c>
      <c r="K1071" s="10">
        <f t="shared" si="21"/>
        <v>6.9885166666666665</v>
      </c>
      <c r="L1071" s="10">
        <f t="shared" si="21"/>
        <v>7.7889666666666661</v>
      </c>
      <c r="M1071" s="10">
        <f t="shared" si="21"/>
        <v>6.9499250000000004</v>
      </c>
      <c r="N1071" s="10">
        <f t="shared" si="21"/>
        <v>6.9670500000000004</v>
      </c>
      <c r="O1071" s="10">
        <f t="shared" si="21"/>
        <v>7.1417916666666663</v>
      </c>
      <c r="P1071" s="10">
        <f t="shared" si="21"/>
        <v>6.9881166666666665</v>
      </c>
      <c r="Q1071" s="10">
        <f t="shared" si="21"/>
        <v>7.737091666666668</v>
      </c>
      <c r="R1071" s="10">
        <f t="shared" si="21"/>
        <v>8.3434333333333353</v>
      </c>
      <c r="S1071" s="10">
        <f t="shared" si="21"/>
        <v>6.8509750000000009</v>
      </c>
      <c r="T1071" s="32">
        <f>SUM(T169:T180)</f>
        <v>357.24568100000005</v>
      </c>
      <c r="U1071" s="32">
        <f>SUM(U169:U180)</f>
        <v>142.03263249999998</v>
      </c>
      <c r="V1071" s="32">
        <f>SUM(V169:V180)</f>
        <v>50.187500000000007</v>
      </c>
      <c r="W1071" s="32">
        <f>SUM(W169:W180)</f>
        <v>5.0822234999999996</v>
      </c>
      <c r="X1071" s="32">
        <f>SUM(X169:X180)</f>
        <v>20.758966663999999</v>
      </c>
      <c r="Y1071" s="32"/>
      <c r="Z1071" s="32"/>
      <c r="AA1071" s="10"/>
      <c r="AB1071" s="10"/>
      <c r="AC1071" s="33">
        <f>AVERAGE(AC169:AC180)</f>
        <v>7.061089767587454</v>
      </c>
      <c r="AD1071" s="27">
        <f>AVERAGE(AD169:AD180)</f>
        <v>7.0183899880095924</v>
      </c>
    </row>
    <row r="1072" spans="1:30" ht="15" x14ac:dyDescent="0.2">
      <c r="A1072" s="11">
        <v>2028</v>
      </c>
      <c r="B1072" s="10">
        <f t="shared" ref="B1072:S1072" si="22">AVERAGE(B181:B192)</f>
        <v>7.3172250000000005</v>
      </c>
      <c r="C1072" s="10">
        <f t="shared" si="22"/>
        <v>7.323508333333332</v>
      </c>
      <c r="D1072" s="10">
        <f t="shared" si="22"/>
        <v>7.4391916666666669</v>
      </c>
      <c r="E1072" s="10">
        <f t="shared" si="22"/>
        <v>7.4713416666666665</v>
      </c>
      <c r="F1072" s="10">
        <f t="shared" si="22"/>
        <v>7.2731833333333347</v>
      </c>
      <c r="G1072" s="10">
        <f t="shared" si="22"/>
        <v>7.2905249999999997</v>
      </c>
      <c r="H1072" s="10">
        <f t="shared" si="22"/>
        <v>7.460158333333335</v>
      </c>
      <c r="I1072" s="10">
        <f t="shared" si="22"/>
        <v>7.3044083333333321</v>
      </c>
      <c r="J1072" s="10">
        <f t="shared" si="22"/>
        <v>7.2657833333333341</v>
      </c>
      <c r="K1072" s="10">
        <f t="shared" si="22"/>
        <v>7.2386249999999999</v>
      </c>
      <c r="L1072" s="10">
        <f t="shared" si="22"/>
        <v>8.0471583333333339</v>
      </c>
      <c r="M1072" s="10">
        <f t="shared" si="22"/>
        <v>7.2047583333333334</v>
      </c>
      <c r="N1072" s="10">
        <f t="shared" si="22"/>
        <v>7.2218833333333334</v>
      </c>
      <c r="O1072" s="10">
        <f t="shared" si="22"/>
        <v>7.3966250000000002</v>
      </c>
      <c r="P1072" s="10">
        <f t="shared" si="22"/>
        <v>7.2429666666666677</v>
      </c>
      <c r="Q1072" s="10">
        <f t="shared" si="22"/>
        <v>7.9919249999999993</v>
      </c>
      <c r="R1072" s="10">
        <f t="shared" si="22"/>
        <v>8.5989166666666677</v>
      </c>
      <c r="S1072" s="10">
        <f t="shared" si="22"/>
        <v>7.1009750000000009</v>
      </c>
      <c r="T1072" s="32">
        <f>SUM(T181:T192)</f>
        <v>358.17703550000004</v>
      </c>
      <c r="U1072" s="32">
        <f>SUM(U181:U192)</f>
        <v>142.42176299999997</v>
      </c>
      <c r="V1072" s="32">
        <f>SUM(V181:V192)</f>
        <v>50.325000000000003</v>
      </c>
      <c r="W1072" s="32">
        <f>SUM(W181:W192)</f>
        <v>5.0961473999999995</v>
      </c>
      <c r="X1072" s="32">
        <f>SUM(X181:X192)</f>
        <v>20.800615543999996</v>
      </c>
      <c r="Y1072" s="32"/>
      <c r="Z1072" s="32"/>
      <c r="AA1072" s="10"/>
      <c r="AB1072" s="10"/>
      <c r="AC1072" s="33">
        <f>AVERAGE(AC181:AC192)</f>
        <v>7.3192709090376837</v>
      </c>
      <c r="AD1072" s="27">
        <f>AVERAGE(AD181:AD192)</f>
        <v>7.2732257194244623</v>
      </c>
    </row>
    <row r="1073" spans="1:30" ht="15" x14ac:dyDescent="0.2">
      <c r="A1073" s="11">
        <v>2029</v>
      </c>
      <c r="B1073" s="10">
        <f t="shared" ref="B1073:S1073" si="23">AVERAGE(B193:B204)</f>
        <v>7.6270499999999979</v>
      </c>
      <c r="C1073" s="10">
        <f t="shared" si="23"/>
        <v>7.6333166666666665</v>
      </c>
      <c r="D1073" s="10">
        <f t="shared" si="23"/>
        <v>7.7490249999999987</v>
      </c>
      <c r="E1073" s="10">
        <f t="shared" si="23"/>
        <v>7.7811833333333338</v>
      </c>
      <c r="F1073" s="10">
        <f t="shared" si="23"/>
        <v>7.5829999999999993</v>
      </c>
      <c r="G1073" s="10">
        <f t="shared" si="23"/>
        <v>7.6003416666666679</v>
      </c>
      <c r="H1073" s="10">
        <f t="shared" si="23"/>
        <v>7.7699833333333332</v>
      </c>
      <c r="I1073" s="10">
        <f t="shared" si="23"/>
        <v>7.614250000000002</v>
      </c>
      <c r="J1073" s="10">
        <f t="shared" si="23"/>
        <v>7.5756000000000006</v>
      </c>
      <c r="K1073" s="10">
        <f t="shared" si="23"/>
        <v>7.5387750000000002</v>
      </c>
      <c r="L1073" s="10">
        <f t="shared" si="23"/>
        <v>8.3569833333333339</v>
      </c>
      <c r="M1073" s="10">
        <f t="shared" si="23"/>
        <v>7.5105833333333338</v>
      </c>
      <c r="N1073" s="10">
        <f t="shared" si="23"/>
        <v>7.5276916666666667</v>
      </c>
      <c r="O1073" s="10">
        <f t="shared" si="23"/>
        <v>7.7024500000000016</v>
      </c>
      <c r="P1073" s="10">
        <f t="shared" si="23"/>
        <v>7.5487833333333327</v>
      </c>
      <c r="Q1073" s="10">
        <f t="shared" si="23"/>
        <v>8.2977500000000006</v>
      </c>
      <c r="R1073" s="10">
        <f t="shared" si="23"/>
        <v>8.9054916666666646</v>
      </c>
      <c r="S1073" s="10">
        <f t="shared" si="23"/>
        <v>7.400974999999999</v>
      </c>
      <c r="T1073" s="32">
        <f>SUM(T193:T204)</f>
        <v>357.24568100000005</v>
      </c>
      <c r="U1073" s="32">
        <f>SUM(U193:U204)</f>
        <v>142.03263249999998</v>
      </c>
      <c r="V1073" s="32">
        <f>SUM(V193:V204)</f>
        <v>50.187500000000007</v>
      </c>
      <c r="W1073" s="32">
        <f>SUM(W193:W204)</f>
        <v>5.0822234999999996</v>
      </c>
      <c r="X1073" s="32">
        <f>SUM(X193:X204)</f>
        <v>20.758966663999999</v>
      </c>
      <c r="Y1073" s="32"/>
      <c r="Z1073" s="32"/>
      <c r="AA1073" s="10"/>
      <c r="AB1073" s="10"/>
      <c r="AC1073" s="33">
        <f>AVERAGE(AC193:AC204)</f>
        <v>7.6290910429341849</v>
      </c>
      <c r="AD1073" s="27">
        <f>AVERAGE(AD193:AD204)</f>
        <v>7.5790471223021569</v>
      </c>
    </row>
    <row r="1074" spans="1:30" ht="15" x14ac:dyDescent="0.2">
      <c r="A1074" s="11">
        <v>2030</v>
      </c>
      <c r="B1074" s="10">
        <f t="shared" ref="B1074:S1074" si="24">AVERAGE(B205:B216)</f>
        <v>7.9368749999999997</v>
      </c>
      <c r="C1074" s="10">
        <f t="shared" si="24"/>
        <v>7.9431500000000002</v>
      </c>
      <c r="D1074" s="10">
        <f t="shared" si="24"/>
        <v>8.0588333333333342</v>
      </c>
      <c r="E1074" s="10">
        <f t="shared" si="24"/>
        <v>8.0909916666666675</v>
      </c>
      <c r="F1074" s="10">
        <f t="shared" si="24"/>
        <v>7.8928333333333329</v>
      </c>
      <c r="G1074" s="10">
        <f t="shared" si="24"/>
        <v>7.9101749999999997</v>
      </c>
      <c r="H1074" s="10">
        <f t="shared" si="24"/>
        <v>8.0797916666666669</v>
      </c>
      <c r="I1074" s="10">
        <f t="shared" si="24"/>
        <v>7.9240583333333348</v>
      </c>
      <c r="J1074" s="10">
        <f t="shared" si="24"/>
        <v>7.8854333333333342</v>
      </c>
      <c r="K1074" s="10">
        <f t="shared" si="24"/>
        <v>7.8389249999999997</v>
      </c>
      <c r="L1074" s="10">
        <f t="shared" si="24"/>
        <v>8.6667916666666684</v>
      </c>
      <c r="M1074" s="10">
        <f t="shared" si="24"/>
        <v>7.8164000000000016</v>
      </c>
      <c r="N1074" s="10">
        <f t="shared" si="24"/>
        <v>7.8335166666666671</v>
      </c>
      <c r="O1074" s="10">
        <f t="shared" si="24"/>
        <v>8.0082583333333339</v>
      </c>
      <c r="P1074" s="10">
        <f t="shared" si="24"/>
        <v>7.8545916666666651</v>
      </c>
      <c r="Q1074" s="10">
        <f t="shared" si="24"/>
        <v>8.6035583333333339</v>
      </c>
      <c r="R1074" s="10">
        <f t="shared" si="24"/>
        <v>9.2120583333333332</v>
      </c>
      <c r="S1074" s="10">
        <f t="shared" si="24"/>
        <v>7.7009916666666669</v>
      </c>
      <c r="T1074" s="32">
        <f>SUM(T205:T216)</f>
        <v>357.24568100000005</v>
      </c>
      <c r="U1074" s="32">
        <f>SUM(U205:U216)</f>
        <v>142.03263249999998</v>
      </c>
      <c r="V1074" s="32">
        <f>SUM(V205:V216)</f>
        <v>50.187500000000007</v>
      </c>
      <c r="W1074" s="32">
        <f>SUM(W205:W216)</f>
        <v>5.0822234999999996</v>
      </c>
      <c r="X1074" s="32">
        <f>SUM(X205:X216)</f>
        <v>20.758966663999999</v>
      </c>
      <c r="Y1074" s="32"/>
      <c r="Z1074" s="32"/>
      <c r="AA1074" s="10"/>
      <c r="AB1074" s="10"/>
      <c r="AC1074" s="33">
        <f>AVERAGE(AC205:AC216)</f>
        <v>7.9389185129723083</v>
      </c>
      <c r="AD1074" s="27">
        <f>AVERAGE(AD205:AD216)</f>
        <v>7.884859292565948</v>
      </c>
    </row>
    <row r="1075" spans="1:30" ht="15" x14ac:dyDescent="0.2">
      <c r="A1075" s="11">
        <v>2031</v>
      </c>
      <c r="B1075" s="10">
        <f t="shared" ref="B1075:S1075" si="25">AVERAGE(B217:B228)</f>
        <v>8.1279500000000002</v>
      </c>
      <c r="C1075" s="10">
        <f t="shared" si="25"/>
        <v>8.1342250000000007</v>
      </c>
      <c r="D1075" s="10">
        <f t="shared" si="25"/>
        <v>8.2499000000000002</v>
      </c>
      <c r="E1075" s="10">
        <f t="shared" si="25"/>
        <v>8.2820666666666671</v>
      </c>
      <c r="F1075" s="10">
        <f t="shared" si="25"/>
        <v>8.0838833333333344</v>
      </c>
      <c r="G1075" s="10">
        <f t="shared" si="25"/>
        <v>8.1012416666666685</v>
      </c>
      <c r="H1075" s="10">
        <f t="shared" si="25"/>
        <v>8.2708666666666648</v>
      </c>
      <c r="I1075" s="10">
        <f t="shared" si="25"/>
        <v>8.1151583333333335</v>
      </c>
      <c r="J1075" s="10">
        <f t="shared" si="25"/>
        <v>8.0764833333333321</v>
      </c>
      <c r="K1075" s="10">
        <f t="shared" si="25"/>
        <v>8.0240500000000008</v>
      </c>
      <c r="L1075" s="10">
        <f t="shared" si="25"/>
        <v>8.8578666666666663</v>
      </c>
      <c r="M1075" s="10">
        <f t="shared" si="25"/>
        <v>8.0049833333333336</v>
      </c>
      <c r="N1075" s="10">
        <f t="shared" si="25"/>
        <v>8.0221083333333318</v>
      </c>
      <c r="O1075" s="10">
        <f t="shared" si="25"/>
        <v>8.1968333333333323</v>
      </c>
      <c r="P1075" s="10">
        <f t="shared" si="25"/>
        <v>8.043191666666667</v>
      </c>
      <c r="Q1075" s="10">
        <f t="shared" si="25"/>
        <v>8.792133333333334</v>
      </c>
      <c r="R1075" s="10">
        <f t="shared" si="25"/>
        <v>9.4011333333333322</v>
      </c>
      <c r="S1075" s="10">
        <f t="shared" si="25"/>
        <v>7.8860083333333337</v>
      </c>
      <c r="T1075" s="32">
        <f>SUM(T217:T228)</f>
        <v>357.24568100000005</v>
      </c>
      <c r="U1075" s="32">
        <f>SUM(U217:U228)</f>
        <v>142.03263249999998</v>
      </c>
      <c r="V1075" s="32">
        <f>SUM(V217:V228)</f>
        <v>50.187500000000007</v>
      </c>
      <c r="W1075" s="32">
        <f>SUM(W217:W228)</f>
        <v>5.0822234999999996</v>
      </c>
      <c r="X1075" s="32">
        <f>SUM(X217:X228)</f>
        <v>20.758966663999999</v>
      </c>
      <c r="Y1075" s="32"/>
      <c r="Z1075" s="32"/>
      <c r="AA1075" s="10"/>
      <c r="AB1075" s="10"/>
      <c r="AC1075" s="33">
        <f>AVERAGE(AC217:AC228)</f>
        <v>8.1299860485859554</v>
      </c>
      <c r="AD1075" s="27">
        <f>AVERAGE(AD217:AD228)</f>
        <v>8.0734431654676282</v>
      </c>
    </row>
    <row r="1076" spans="1:30" ht="15" x14ac:dyDescent="0.2">
      <c r="A1076" s="11">
        <v>2032</v>
      </c>
      <c r="B1076" s="10">
        <f t="shared" ref="B1076:S1076" si="26">AVERAGE(B229:B240)</f>
        <v>8.3236083333333344</v>
      </c>
      <c r="C1076" s="10">
        <f t="shared" si="26"/>
        <v>8.3298833333333331</v>
      </c>
      <c r="D1076" s="10">
        <f t="shared" si="26"/>
        <v>8.4455666666666662</v>
      </c>
      <c r="E1076" s="10">
        <f t="shared" si="26"/>
        <v>8.4777333333333331</v>
      </c>
      <c r="F1076" s="10">
        <f t="shared" si="26"/>
        <v>8.279558333333334</v>
      </c>
      <c r="G1076" s="10">
        <f t="shared" si="26"/>
        <v>8.2968833333333336</v>
      </c>
      <c r="H1076" s="10">
        <f t="shared" si="26"/>
        <v>8.4665250000000007</v>
      </c>
      <c r="I1076" s="10">
        <f t="shared" si="26"/>
        <v>8.3108083333333322</v>
      </c>
      <c r="J1076" s="10">
        <f t="shared" si="26"/>
        <v>8.2721583333333317</v>
      </c>
      <c r="K1076" s="10">
        <f t="shared" si="26"/>
        <v>8.2135916666666677</v>
      </c>
      <c r="L1076" s="10">
        <f t="shared" si="26"/>
        <v>9.0535250000000005</v>
      </c>
      <c r="M1076" s="10">
        <f t="shared" si="26"/>
        <v>8.1981249999999992</v>
      </c>
      <c r="N1076" s="10">
        <f t="shared" si="26"/>
        <v>8.2152250000000002</v>
      </c>
      <c r="O1076" s="10">
        <f t="shared" si="26"/>
        <v>8.3899750000000015</v>
      </c>
      <c r="P1076" s="10">
        <f t="shared" si="26"/>
        <v>8.236316666666669</v>
      </c>
      <c r="Q1076" s="10">
        <f t="shared" si="26"/>
        <v>8.9852749999999997</v>
      </c>
      <c r="R1076" s="10">
        <f t="shared" si="26"/>
        <v>9.5947416666666658</v>
      </c>
      <c r="S1076" s="10">
        <f t="shared" si="26"/>
        <v>8.0754583333333354</v>
      </c>
      <c r="T1076" s="32">
        <f>SUM(T229:T240)</f>
        <v>358.17703550000004</v>
      </c>
      <c r="U1076" s="32">
        <f>SUM(U229:U240)</f>
        <v>142.42176299999997</v>
      </c>
      <c r="V1076" s="32">
        <f>SUM(V229:V240)</f>
        <v>50.325000000000003</v>
      </c>
      <c r="W1076" s="32">
        <f>SUM(W229:W240)</f>
        <v>5.0961473999999995</v>
      </c>
      <c r="X1076" s="32">
        <f>SUM(X229:X240)</f>
        <v>20.800615543999996</v>
      </c>
      <c r="Y1076" s="32"/>
      <c r="Z1076" s="32"/>
      <c r="AA1076" s="10"/>
      <c r="AB1076" s="10"/>
      <c r="AC1076" s="33">
        <f>AVERAGE(AC229:AC240)</f>
        <v>8.3256469348135891</v>
      </c>
      <c r="AD1076" s="27">
        <f>AVERAGE(AD229:AD240)</f>
        <v>8.2665795563549143</v>
      </c>
    </row>
    <row r="1077" spans="1:30" ht="15" x14ac:dyDescent="0.2">
      <c r="A1077" s="11">
        <v>2033</v>
      </c>
      <c r="B1077" s="10">
        <f t="shared" ref="B1077:S1077" si="27">AVERAGE(B241:B252)</f>
        <v>8.5239833333333319</v>
      </c>
      <c r="C1077" s="10">
        <f t="shared" si="27"/>
        <v>8.5302583333333342</v>
      </c>
      <c r="D1077" s="10">
        <f t="shared" si="27"/>
        <v>8.6459416666666673</v>
      </c>
      <c r="E1077" s="10">
        <f t="shared" si="27"/>
        <v>8.678091666666667</v>
      </c>
      <c r="F1077" s="10">
        <f t="shared" si="27"/>
        <v>8.4799083333333325</v>
      </c>
      <c r="G1077" s="10">
        <f t="shared" si="27"/>
        <v>8.4972499999999993</v>
      </c>
      <c r="H1077" s="10">
        <f t="shared" si="27"/>
        <v>8.6668833333333328</v>
      </c>
      <c r="I1077" s="10">
        <f t="shared" si="27"/>
        <v>8.5111500000000024</v>
      </c>
      <c r="J1077" s="10">
        <f t="shared" si="27"/>
        <v>8.472508333333332</v>
      </c>
      <c r="K1077" s="10">
        <f t="shared" si="27"/>
        <v>8.4076916666666666</v>
      </c>
      <c r="L1077" s="10">
        <f t="shared" si="27"/>
        <v>9.2538833333333343</v>
      </c>
      <c r="M1077" s="10">
        <f t="shared" si="27"/>
        <v>8.3958916666666656</v>
      </c>
      <c r="N1077" s="10">
        <f t="shared" si="27"/>
        <v>8.4130166666666693</v>
      </c>
      <c r="O1077" s="10">
        <f t="shared" si="27"/>
        <v>8.5877499999999998</v>
      </c>
      <c r="P1077" s="10">
        <f t="shared" si="27"/>
        <v>8.4340916666666654</v>
      </c>
      <c r="Q1077" s="10">
        <f t="shared" si="27"/>
        <v>9.1830499999999997</v>
      </c>
      <c r="R1077" s="10">
        <f t="shared" si="27"/>
        <v>9.7929833333333338</v>
      </c>
      <c r="S1077" s="10">
        <f t="shared" si="27"/>
        <v>8.2694583333333327</v>
      </c>
      <c r="T1077" s="32">
        <f>SUM(T241:T252)</f>
        <v>357.24568100000005</v>
      </c>
      <c r="U1077" s="32">
        <f>SUM(U241:U252)</f>
        <v>142.03263249999998</v>
      </c>
      <c r="V1077" s="32">
        <f>SUM(V241:V252)</f>
        <v>50.187500000000007</v>
      </c>
      <c r="W1077" s="32">
        <f>SUM(W241:W252)</f>
        <v>5.0822234999999996</v>
      </c>
      <c r="X1077" s="32">
        <f>SUM(X241:X252)</f>
        <v>20.758966663999999</v>
      </c>
      <c r="Y1077" s="32"/>
      <c r="Z1077" s="32"/>
      <c r="AA1077" s="10"/>
      <c r="AB1077" s="10"/>
      <c r="AC1077" s="33">
        <f>AVERAGE(AC241:AC252)</f>
        <v>8.5260107742673039</v>
      </c>
      <c r="AD1077" s="27">
        <f>AVERAGE(AD241:AD252)</f>
        <v>8.4643555155875294</v>
      </c>
    </row>
    <row r="1078" spans="1:30" ht="15" x14ac:dyDescent="0.2">
      <c r="A1078" s="11">
        <v>2034</v>
      </c>
      <c r="B1078" s="10">
        <f t="shared" ref="B1078:S1078" si="28">AVERAGE(B253:B264)</f>
        <v>8.7291416666666652</v>
      </c>
      <c r="C1078" s="10">
        <f t="shared" si="28"/>
        <v>8.7354166666666657</v>
      </c>
      <c r="D1078" s="10">
        <f t="shared" si="28"/>
        <v>8.8511000000000006</v>
      </c>
      <c r="E1078" s="10">
        <f t="shared" si="28"/>
        <v>8.8832666666666658</v>
      </c>
      <c r="F1078" s="10">
        <f t="shared" si="28"/>
        <v>8.6850916666666667</v>
      </c>
      <c r="G1078" s="10">
        <f t="shared" si="28"/>
        <v>8.7024416666666671</v>
      </c>
      <c r="H1078" s="10">
        <f t="shared" si="28"/>
        <v>8.872066666666667</v>
      </c>
      <c r="I1078" s="10">
        <f t="shared" si="28"/>
        <v>8.7163416666666649</v>
      </c>
      <c r="J1078" s="10">
        <f t="shared" si="28"/>
        <v>8.6776916666666661</v>
      </c>
      <c r="K1078" s="10">
        <f t="shared" si="28"/>
        <v>8.6064666666666678</v>
      </c>
      <c r="L1078" s="10">
        <f t="shared" si="28"/>
        <v>9.4590666666666667</v>
      </c>
      <c r="M1078" s="10">
        <f t="shared" si="28"/>
        <v>8.5983999999999998</v>
      </c>
      <c r="N1078" s="10">
        <f t="shared" si="28"/>
        <v>8.6155249999999999</v>
      </c>
      <c r="O1078" s="10">
        <f t="shared" si="28"/>
        <v>8.7902749999999994</v>
      </c>
      <c r="P1078" s="10">
        <f t="shared" si="28"/>
        <v>8.6365999999999996</v>
      </c>
      <c r="Q1078" s="10">
        <f t="shared" si="28"/>
        <v>9.3855749999999976</v>
      </c>
      <c r="R1078" s="10">
        <f t="shared" si="28"/>
        <v>9.9960333333333349</v>
      </c>
      <c r="S1078" s="10">
        <f t="shared" si="28"/>
        <v>8.4681250000000006</v>
      </c>
      <c r="T1078" s="32">
        <f>SUM(T253:T264)</f>
        <v>357.24568100000005</v>
      </c>
      <c r="U1078" s="32">
        <f>SUM(U253:U264)</f>
        <v>142.03263249999998</v>
      </c>
      <c r="V1078" s="32">
        <f>SUM(V253:V264)</f>
        <v>50.187500000000007</v>
      </c>
      <c r="W1078" s="32">
        <f>SUM(W253:W264)</f>
        <v>5.0822234999999996</v>
      </c>
      <c r="X1078" s="32">
        <f>SUM(X253:X264)</f>
        <v>20.758966663999999</v>
      </c>
      <c r="Y1078" s="32"/>
      <c r="Z1078" s="32"/>
      <c r="AA1078" s="10"/>
      <c r="AB1078" s="10"/>
      <c r="AC1078" s="33">
        <f>AVERAGE(AC253:AC264)</f>
        <v>8.7311843866598142</v>
      </c>
      <c r="AD1078" s="27">
        <f>AVERAGE(AD253:AD264)</f>
        <v>8.6668699640287787</v>
      </c>
    </row>
    <row r="1079" spans="1:30" ht="15" x14ac:dyDescent="0.2">
      <c r="A1079" s="11">
        <v>2035</v>
      </c>
      <c r="B1079" s="10">
        <f t="shared" ref="B1079:S1079" si="29">AVERAGE(B265:B276)</f>
        <v>8.9392499999999995</v>
      </c>
      <c r="C1079" s="10">
        <f t="shared" si="29"/>
        <v>8.9455250000000017</v>
      </c>
      <c r="D1079" s="10">
        <f t="shared" si="29"/>
        <v>9.0611916666666659</v>
      </c>
      <c r="E1079" s="10">
        <f t="shared" si="29"/>
        <v>9.093375</v>
      </c>
      <c r="F1079" s="10">
        <f t="shared" si="29"/>
        <v>8.8951999999999991</v>
      </c>
      <c r="G1079" s="10">
        <f t="shared" si="29"/>
        <v>8.9125333333333323</v>
      </c>
      <c r="H1079" s="10">
        <f t="shared" si="29"/>
        <v>9.0821666666666658</v>
      </c>
      <c r="I1079" s="10">
        <f t="shared" si="29"/>
        <v>8.9264500000000009</v>
      </c>
      <c r="J1079" s="10">
        <f t="shared" si="29"/>
        <v>8.8878000000000004</v>
      </c>
      <c r="K1079" s="10">
        <f t="shared" si="29"/>
        <v>8.8100249999999978</v>
      </c>
      <c r="L1079" s="10">
        <f t="shared" si="29"/>
        <v>9.6691666666666674</v>
      </c>
      <c r="M1079" s="10">
        <f t="shared" si="29"/>
        <v>8.805791666666666</v>
      </c>
      <c r="N1079" s="10">
        <f t="shared" si="29"/>
        <v>8.8229083333333325</v>
      </c>
      <c r="O1079" s="10">
        <f t="shared" si="29"/>
        <v>8.9976416666666665</v>
      </c>
      <c r="P1079" s="10">
        <f t="shared" si="29"/>
        <v>8.8439833333333322</v>
      </c>
      <c r="Q1079" s="10">
        <f t="shared" si="29"/>
        <v>9.5929416666666665</v>
      </c>
      <c r="R1079" s="10">
        <f t="shared" si="29"/>
        <v>10.203908333333333</v>
      </c>
      <c r="S1079" s="10">
        <f t="shared" si="29"/>
        <v>8.6715749999999989</v>
      </c>
      <c r="T1079" s="32">
        <f>SUM(T265:T276)</f>
        <v>357.24568100000005</v>
      </c>
      <c r="U1079" s="32">
        <f>SUM(U265:U276)</f>
        <v>142.03263249999998</v>
      </c>
      <c r="V1079" s="32">
        <f>SUM(V265:V276)</f>
        <v>50.187500000000007</v>
      </c>
      <c r="W1079" s="32">
        <f>SUM(W265:W276)</f>
        <v>5.0822234999999996</v>
      </c>
      <c r="X1079" s="32">
        <f>SUM(X265:X276)</f>
        <v>20.758966663999999</v>
      </c>
      <c r="Y1079" s="32"/>
      <c r="Z1079" s="32"/>
      <c r="AA1079" s="10"/>
      <c r="AB1079" s="10"/>
      <c r="AC1079" s="33">
        <f>AVERAGE(AC265:AC276)</f>
        <v>8.941289034258892</v>
      </c>
      <c r="AD1079" s="27">
        <f>AVERAGE(AD265:AD276)</f>
        <v>8.8742486211031171</v>
      </c>
    </row>
    <row r="1080" spans="1:30" ht="15" x14ac:dyDescent="0.2">
      <c r="A1080" s="11">
        <v>2036</v>
      </c>
      <c r="B1080" s="10">
        <f t="shared" ref="B1080:S1080" si="30">AVERAGE(B277:B288)</f>
        <v>9.1544000000000008</v>
      </c>
      <c r="C1080" s="10">
        <f t="shared" si="30"/>
        <v>9.1606666666666676</v>
      </c>
      <c r="D1080" s="10">
        <f t="shared" si="30"/>
        <v>9.2763583333333344</v>
      </c>
      <c r="E1080" s="10">
        <f t="shared" si="30"/>
        <v>9.3085333333333313</v>
      </c>
      <c r="F1080" s="10">
        <f t="shared" si="30"/>
        <v>9.1103333333333349</v>
      </c>
      <c r="G1080" s="10">
        <f t="shared" si="30"/>
        <v>9.1276666666666664</v>
      </c>
      <c r="H1080" s="10">
        <f t="shared" si="30"/>
        <v>9.2973166666666653</v>
      </c>
      <c r="I1080" s="10">
        <f t="shared" si="30"/>
        <v>9.1415999999999986</v>
      </c>
      <c r="J1080" s="10">
        <f t="shared" si="30"/>
        <v>9.1029333333333327</v>
      </c>
      <c r="K1080" s="10">
        <f t="shared" si="30"/>
        <v>9.0184583333333332</v>
      </c>
      <c r="L1080" s="10">
        <f t="shared" si="30"/>
        <v>9.8843166666666669</v>
      </c>
      <c r="M1080" s="10">
        <f t="shared" si="30"/>
        <v>9.0181583333333339</v>
      </c>
      <c r="N1080" s="10">
        <f t="shared" si="30"/>
        <v>9.0352666666666668</v>
      </c>
      <c r="O1080" s="10">
        <f t="shared" si="30"/>
        <v>9.2100083333333327</v>
      </c>
      <c r="P1080" s="10">
        <f t="shared" si="30"/>
        <v>9.0563500000000019</v>
      </c>
      <c r="Q1080" s="10">
        <f t="shared" si="30"/>
        <v>9.8053083333333344</v>
      </c>
      <c r="R1080" s="10">
        <f t="shared" si="30"/>
        <v>10.416825000000001</v>
      </c>
      <c r="S1080" s="10">
        <f t="shared" si="30"/>
        <v>8.8799083333333346</v>
      </c>
      <c r="T1080" s="32">
        <f>SUM(T277:T288)</f>
        <v>358.17703550000004</v>
      </c>
      <c r="U1080" s="32">
        <f>SUM(U277:U288)</f>
        <v>142.42176299999997</v>
      </c>
      <c r="V1080" s="32">
        <f>SUM(V277:V288)</f>
        <v>50.325000000000003</v>
      </c>
      <c r="W1080" s="32">
        <f>SUM(W277:W288)</f>
        <v>5.0961473999999995</v>
      </c>
      <c r="X1080" s="32">
        <f>SUM(X277:X288)</f>
        <v>20.800615543999996</v>
      </c>
      <c r="Y1080" s="32"/>
      <c r="Z1080" s="32"/>
      <c r="AA1080" s="10"/>
      <c r="AB1080" s="10"/>
      <c r="AC1080" s="33">
        <f>AVERAGE(AC277:AC288)</f>
        <v>9.1564314936813016</v>
      </c>
      <c r="AD1080" s="27">
        <f>AVERAGE(AD277:AD288)</f>
        <v>9.0866162470023983</v>
      </c>
    </row>
    <row r="1081" spans="1:30" ht="15" x14ac:dyDescent="0.2">
      <c r="A1081" s="11">
        <v>2037</v>
      </c>
      <c r="B1081" s="10">
        <f t="shared" ref="B1081:S1081" si="31">AVERAGE(B289:B300)</f>
        <v>9.3747166666666661</v>
      </c>
      <c r="C1081" s="10">
        <f t="shared" si="31"/>
        <v>9.3809999999999985</v>
      </c>
      <c r="D1081" s="10">
        <f t="shared" si="31"/>
        <v>9.496691666666667</v>
      </c>
      <c r="E1081" s="10">
        <f t="shared" si="31"/>
        <v>9.5288416666666649</v>
      </c>
      <c r="F1081" s="10">
        <f t="shared" si="31"/>
        <v>9.3306583333333339</v>
      </c>
      <c r="G1081" s="10">
        <f t="shared" si="31"/>
        <v>9.3480083333333326</v>
      </c>
      <c r="H1081" s="10">
        <f t="shared" si="31"/>
        <v>9.5176499999999997</v>
      </c>
      <c r="I1081" s="10">
        <f t="shared" si="31"/>
        <v>9.361933333333333</v>
      </c>
      <c r="J1081" s="10">
        <f t="shared" si="31"/>
        <v>9.3232583333333334</v>
      </c>
      <c r="K1081" s="10">
        <f t="shared" si="31"/>
        <v>9.2319000000000013</v>
      </c>
      <c r="L1081" s="10">
        <f t="shared" si="31"/>
        <v>10.104649999999998</v>
      </c>
      <c r="M1081" s="10">
        <f t="shared" si="31"/>
        <v>9.2356250000000006</v>
      </c>
      <c r="N1081" s="10">
        <f t="shared" si="31"/>
        <v>9.2527499999999989</v>
      </c>
      <c r="O1081" s="10">
        <f t="shared" si="31"/>
        <v>9.4274749999999994</v>
      </c>
      <c r="P1081" s="10">
        <f t="shared" si="31"/>
        <v>9.2738166666666668</v>
      </c>
      <c r="Q1081" s="10">
        <f t="shared" si="31"/>
        <v>10.022775000000001</v>
      </c>
      <c r="R1081" s="10">
        <f t="shared" si="31"/>
        <v>10.634833333333331</v>
      </c>
      <c r="S1081" s="10">
        <f t="shared" si="31"/>
        <v>9.0932416666666658</v>
      </c>
      <c r="T1081" s="32">
        <f>SUM(T289:T300)</f>
        <v>357.24568100000005</v>
      </c>
      <c r="U1081" s="32">
        <f>SUM(U289:U300)</f>
        <v>142.03263249999998</v>
      </c>
      <c r="V1081" s="32">
        <f>SUM(V289:V300)</f>
        <v>50.187500000000007</v>
      </c>
      <c r="W1081" s="32">
        <f>SUM(W289:W300)</f>
        <v>5.0822234999999996</v>
      </c>
      <c r="X1081" s="32">
        <f>SUM(X289:X300)</f>
        <v>20.758966663999999</v>
      </c>
      <c r="Y1081" s="32"/>
      <c r="Z1081" s="32"/>
      <c r="AA1081" s="10"/>
      <c r="AB1081" s="10"/>
      <c r="AC1081" s="33">
        <f>AVERAGE(AC289:AC300)</f>
        <v>9.3767599111890032</v>
      </c>
      <c r="AD1081" s="27">
        <f>AVERAGE(AD289:AD300)</f>
        <v>9.3040853117505993</v>
      </c>
    </row>
    <row r="1082" spans="1:30" ht="15" x14ac:dyDescent="0.2">
      <c r="A1082" s="11">
        <f t="shared" ref="A1082:A1113" si="32">A1081+1</f>
        <v>2038</v>
      </c>
      <c r="B1082" s="10">
        <f t="shared" ref="B1082:S1082" si="33">AVERAGE(B301:B312)</f>
        <v>9.600341666666667</v>
      </c>
      <c r="C1082" s="10">
        <f t="shared" si="33"/>
        <v>9.6066166666666675</v>
      </c>
      <c r="D1082" s="10">
        <f t="shared" si="33"/>
        <v>9.7222916666666652</v>
      </c>
      <c r="E1082" s="10">
        <f t="shared" si="33"/>
        <v>9.7544583333333339</v>
      </c>
      <c r="F1082" s="10">
        <f t="shared" si="33"/>
        <v>9.556300000000002</v>
      </c>
      <c r="G1082" s="10">
        <f t="shared" si="33"/>
        <v>9.5736499999999989</v>
      </c>
      <c r="H1082" s="10">
        <f t="shared" si="33"/>
        <v>9.7432750000000006</v>
      </c>
      <c r="I1082" s="10">
        <f t="shared" si="33"/>
        <v>9.5875333333333348</v>
      </c>
      <c r="J1082" s="10">
        <f t="shared" si="33"/>
        <v>9.5489000000000015</v>
      </c>
      <c r="K1082" s="10">
        <f t="shared" si="33"/>
        <v>9.4504583333333319</v>
      </c>
      <c r="L1082" s="10">
        <f t="shared" si="33"/>
        <v>10.330274999999999</v>
      </c>
      <c r="M1082" s="10">
        <f t="shared" si="33"/>
        <v>9.4583333333333339</v>
      </c>
      <c r="N1082" s="10">
        <f t="shared" si="33"/>
        <v>9.4754333333333332</v>
      </c>
      <c r="O1082" s="10">
        <f t="shared" si="33"/>
        <v>9.650166666666669</v>
      </c>
      <c r="P1082" s="10">
        <f t="shared" si="33"/>
        <v>9.4965333333333337</v>
      </c>
      <c r="Q1082" s="10">
        <f t="shared" si="33"/>
        <v>10.245466666666667</v>
      </c>
      <c r="R1082" s="10">
        <f t="shared" si="33"/>
        <v>10.858108333333332</v>
      </c>
      <c r="S1082" s="10">
        <f t="shared" si="33"/>
        <v>9.3117166666666673</v>
      </c>
      <c r="T1082" s="32">
        <f>SUM(T301:T312)</f>
        <v>357.24568100000005</v>
      </c>
      <c r="U1082" s="32">
        <f>SUM(U301:U312)</f>
        <v>142.03263249999998</v>
      </c>
      <c r="V1082" s="32">
        <f>SUM(V301:V312)</f>
        <v>50.187500000000007</v>
      </c>
      <c r="W1082" s="32">
        <f>SUM(W301:W312)</f>
        <v>5.0822234999999996</v>
      </c>
      <c r="X1082" s="32">
        <f>SUM(X301:X312)</f>
        <v>20.758966663999999</v>
      </c>
      <c r="Y1082" s="32"/>
      <c r="Z1082" s="32"/>
      <c r="AA1082" s="10"/>
      <c r="AB1082" s="10"/>
      <c r="AC1082" s="33">
        <f>AVERAGE(AC301:AC312)</f>
        <v>9.6023855230605442</v>
      </c>
      <c r="AD1082" s="27">
        <f>AVERAGE(AD301:AD312)</f>
        <v>9.5267844124700236</v>
      </c>
    </row>
    <row r="1083" spans="1:30" ht="15" x14ac:dyDescent="0.2">
      <c r="A1083" s="11">
        <f t="shared" si="32"/>
        <v>2039</v>
      </c>
      <c r="B1083" s="10">
        <f t="shared" ref="B1083:S1083" si="34">AVERAGE(B313:B324)</f>
        <v>9.8313750000000013</v>
      </c>
      <c r="C1083" s="10">
        <f t="shared" si="34"/>
        <v>9.8376583333333336</v>
      </c>
      <c r="D1083" s="10">
        <f t="shared" si="34"/>
        <v>9.9533499999999986</v>
      </c>
      <c r="E1083" s="10">
        <f t="shared" si="34"/>
        <v>9.9855</v>
      </c>
      <c r="F1083" s="10">
        <f t="shared" si="34"/>
        <v>9.7873250000000009</v>
      </c>
      <c r="G1083" s="10">
        <f t="shared" si="34"/>
        <v>9.8046749999999996</v>
      </c>
      <c r="H1083" s="10">
        <f t="shared" si="34"/>
        <v>9.9743000000000013</v>
      </c>
      <c r="I1083" s="10">
        <f t="shared" si="34"/>
        <v>9.8185750000000009</v>
      </c>
      <c r="J1083" s="10">
        <f t="shared" si="34"/>
        <v>9.7799250000000004</v>
      </c>
      <c r="K1083" s="10">
        <f t="shared" si="34"/>
        <v>9.6743000000000006</v>
      </c>
      <c r="L1083" s="10">
        <f t="shared" si="34"/>
        <v>10.561299999999999</v>
      </c>
      <c r="M1083" s="10">
        <f t="shared" si="34"/>
        <v>9.6863583333333327</v>
      </c>
      <c r="N1083" s="10">
        <f t="shared" si="34"/>
        <v>9.7034916666666664</v>
      </c>
      <c r="O1083" s="10">
        <f t="shared" si="34"/>
        <v>9.8782333333333341</v>
      </c>
      <c r="P1083" s="10">
        <f t="shared" si="34"/>
        <v>9.7245583333333361</v>
      </c>
      <c r="Q1083" s="10">
        <f t="shared" si="34"/>
        <v>10.473533333333332</v>
      </c>
      <c r="R1083" s="10">
        <f t="shared" si="34"/>
        <v>11.0867</v>
      </c>
      <c r="S1083" s="10">
        <f t="shared" si="34"/>
        <v>9.5354333333333336</v>
      </c>
      <c r="T1083" s="32">
        <f>SUM(T313:T324)</f>
        <v>357.24568100000005</v>
      </c>
      <c r="U1083" s="32">
        <f>SUM(U313:U324)</f>
        <v>142.03263249999998</v>
      </c>
      <c r="V1083" s="32">
        <f>SUM(V313:V324)</f>
        <v>50.187500000000007</v>
      </c>
      <c r="W1083" s="32">
        <f>SUM(W313:W324)</f>
        <v>5.0822234999999996</v>
      </c>
      <c r="X1083" s="32">
        <f>SUM(X313:X324)</f>
        <v>20.758966663999999</v>
      </c>
      <c r="Y1083" s="32"/>
      <c r="Z1083" s="32"/>
      <c r="AA1083" s="37"/>
      <c r="AB1083" s="36"/>
      <c r="AC1083" s="33">
        <f>AVERAGE(AC313:AC324)</f>
        <v>9.833420957233681</v>
      </c>
      <c r="AD1083" s="27">
        <f>AVERAGE(AD313:AD324)</f>
        <v>9.7548287769784174</v>
      </c>
    </row>
    <row r="1084" spans="1:30" ht="15" x14ac:dyDescent="0.2">
      <c r="A1084" s="11">
        <f t="shared" si="32"/>
        <v>2040</v>
      </c>
      <c r="B1084" s="10">
        <f t="shared" ref="B1084:S1084" si="35">AVERAGE(B325:B336)</f>
        <v>10.067958333333335</v>
      </c>
      <c r="C1084" s="10">
        <f t="shared" si="35"/>
        <v>10.074241666666667</v>
      </c>
      <c r="D1084" s="10">
        <f t="shared" si="35"/>
        <v>10.189925000000001</v>
      </c>
      <c r="E1084" s="10">
        <f t="shared" si="35"/>
        <v>10.222083333333332</v>
      </c>
      <c r="F1084" s="10">
        <f t="shared" si="35"/>
        <v>10.023916666666667</v>
      </c>
      <c r="G1084" s="10">
        <f t="shared" si="35"/>
        <v>10.04125</v>
      </c>
      <c r="H1084" s="10">
        <f t="shared" si="35"/>
        <v>10.210883333333332</v>
      </c>
      <c r="I1084" s="10">
        <f t="shared" si="35"/>
        <v>10.055166666666667</v>
      </c>
      <c r="J1084" s="10">
        <f t="shared" si="35"/>
        <v>10.016516666666666</v>
      </c>
      <c r="K1084" s="10">
        <f t="shared" si="35"/>
        <v>9.9035166666666665</v>
      </c>
      <c r="L1084" s="10">
        <f t="shared" si="35"/>
        <v>10.797883333333331</v>
      </c>
      <c r="M1084" s="10">
        <f t="shared" si="35"/>
        <v>9.9199000000000002</v>
      </c>
      <c r="N1084" s="10">
        <f t="shared" si="35"/>
        <v>9.937008333333333</v>
      </c>
      <c r="O1084" s="10">
        <f t="shared" si="35"/>
        <v>10.111733333333335</v>
      </c>
      <c r="P1084" s="10">
        <f t="shared" si="35"/>
        <v>9.9581</v>
      </c>
      <c r="Q1084" s="10">
        <f t="shared" si="35"/>
        <v>10.707033333333333</v>
      </c>
      <c r="R1084" s="10">
        <f t="shared" si="35"/>
        <v>11.320816666666667</v>
      </c>
      <c r="S1084" s="10">
        <f t="shared" si="35"/>
        <v>9.7645166666666672</v>
      </c>
      <c r="T1084" s="32">
        <f>SUM(T325:T336)</f>
        <v>358.17703550000004</v>
      </c>
      <c r="U1084" s="32">
        <f>SUM(U325:U336)</f>
        <v>142.42176299999997</v>
      </c>
      <c r="V1084" s="32">
        <f>SUM(V325:V336)</f>
        <v>50.325000000000003</v>
      </c>
      <c r="W1084" s="32">
        <f>SUM(W325:W336)</f>
        <v>5.0961473999999995</v>
      </c>
      <c r="X1084" s="32">
        <f>SUM(X325:X336)</f>
        <v>20.800615543999996</v>
      </c>
      <c r="Y1084" s="32"/>
      <c r="Z1084" s="32"/>
      <c r="AA1084" s="37"/>
      <c r="AB1084" s="36"/>
      <c r="AC1084" s="33">
        <f>AVERAGE(AC325:AC336)</f>
        <v>10.070005485497765</v>
      </c>
      <c r="AD1084" s="27">
        <f>AVERAGE(AD325:AD336)</f>
        <v>9.9883501199040747</v>
      </c>
    </row>
    <row r="1085" spans="1:30" ht="15" x14ac:dyDescent="0.2">
      <c r="A1085" s="11">
        <f t="shared" si="32"/>
        <v>2041</v>
      </c>
      <c r="B1085" s="10">
        <f t="shared" ref="B1085:S1085" si="36">AVERAGE(B337:B348)</f>
        <v>10.310241666666668</v>
      </c>
      <c r="C1085" s="10">
        <f t="shared" si="36"/>
        <v>10.316525</v>
      </c>
      <c r="D1085" s="10">
        <f t="shared" si="36"/>
        <v>10.4322</v>
      </c>
      <c r="E1085" s="10">
        <f t="shared" si="36"/>
        <v>10.464358333333333</v>
      </c>
      <c r="F1085" s="10">
        <f t="shared" si="36"/>
        <v>10.266200000000001</v>
      </c>
      <c r="G1085" s="10">
        <f t="shared" si="36"/>
        <v>10.283541666666668</v>
      </c>
      <c r="H1085" s="10">
        <f t="shared" si="36"/>
        <v>10.453166666666666</v>
      </c>
      <c r="I1085" s="10">
        <f t="shared" si="36"/>
        <v>10.297450000000001</v>
      </c>
      <c r="J1085" s="10">
        <f t="shared" si="36"/>
        <v>10.258799999999999</v>
      </c>
      <c r="K1085" s="10">
        <f t="shared" si="36"/>
        <v>10.138208333333333</v>
      </c>
      <c r="L1085" s="10">
        <f t="shared" si="36"/>
        <v>11.04016666666667</v>
      </c>
      <c r="M1085" s="10">
        <f t="shared" si="36"/>
        <v>10.159041666666667</v>
      </c>
      <c r="N1085" s="10">
        <f t="shared" si="36"/>
        <v>10.176133333333334</v>
      </c>
      <c r="O1085" s="10">
        <f t="shared" si="36"/>
        <v>10.350891666666666</v>
      </c>
      <c r="P1085" s="10">
        <f t="shared" si="36"/>
        <v>10.197233333333333</v>
      </c>
      <c r="Q1085" s="10">
        <f t="shared" si="36"/>
        <v>10.946191666666666</v>
      </c>
      <c r="R1085" s="10">
        <f t="shared" si="36"/>
        <v>11.560550000000001</v>
      </c>
      <c r="S1085" s="10">
        <f t="shared" si="36"/>
        <v>9.9991083333333322</v>
      </c>
      <c r="T1085" s="32">
        <f>SUM(T337:T348)</f>
        <v>357.24568100000005</v>
      </c>
      <c r="U1085" s="32">
        <f>SUM(U337:U348)</f>
        <v>142.03263249999998</v>
      </c>
      <c r="V1085" s="32">
        <f>SUM(V337:V348)</f>
        <v>50.187500000000007</v>
      </c>
      <c r="W1085" s="32">
        <f>SUM(W337:W348)</f>
        <v>5.0822234999999996</v>
      </c>
      <c r="X1085" s="32">
        <f>SUM(X337:X348)</f>
        <v>20.758966663999999</v>
      </c>
      <c r="Y1085" s="32"/>
      <c r="Z1085" s="32"/>
      <c r="AA1085" s="37"/>
      <c r="AB1085" s="36"/>
      <c r="AC1085" s="33">
        <f>AVERAGE(AC337:AC348)</f>
        <v>10.312288371474057</v>
      </c>
      <c r="AD1085" s="27">
        <f>AVERAGE(AD337:AD348)</f>
        <v>10.227494304556354</v>
      </c>
    </row>
    <row r="1086" spans="1:30" ht="15" x14ac:dyDescent="0.2">
      <c r="A1086" s="11">
        <f t="shared" si="32"/>
        <v>2042</v>
      </c>
      <c r="B1086" s="10">
        <f t="shared" ref="B1086:S1086" si="37">AVERAGE(B349:B360)</f>
        <v>10.558341666666669</v>
      </c>
      <c r="C1086" s="10">
        <f t="shared" si="37"/>
        <v>10.564616666666668</v>
      </c>
      <c r="D1086" s="10">
        <f t="shared" si="37"/>
        <v>10.680299999999997</v>
      </c>
      <c r="E1086" s="10">
        <f t="shared" si="37"/>
        <v>10.712449999999999</v>
      </c>
      <c r="F1086" s="10">
        <f t="shared" si="37"/>
        <v>10.514283333333333</v>
      </c>
      <c r="G1086" s="10">
        <f t="shared" si="37"/>
        <v>10.531625</v>
      </c>
      <c r="H1086" s="10">
        <f t="shared" si="37"/>
        <v>10.701274999999997</v>
      </c>
      <c r="I1086" s="10">
        <f t="shared" si="37"/>
        <v>10.545525</v>
      </c>
      <c r="J1086" s="10">
        <f t="shared" si="37"/>
        <v>10.506883333333333</v>
      </c>
      <c r="K1086" s="10">
        <f t="shared" si="37"/>
        <v>10.378566666666666</v>
      </c>
      <c r="L1086" s="10">
        <f t="shared" si="37"/>
        <v>11.288274999999999</v>
      </c>
      <c r="M1086" s="10">
        <f t="shared" si="37"/>
        <v>10.403916666666666</v>
      </c>
      <c r="N1086" s="10">
        <f t="shared" si="37"/>
        <v>10.421041666666667</v>
      </c>
      <c r="O1086" s="10">
        <f t="shared" si="37"/>
        <v>10.595774999999998</v>
      </c>
      <c r="P1086" s="10">
        <f t="shared" si="37"/>
        <v>10.442116666666665</v>
      </c>
      <c r="Q1086" s="10">
        <f t="shared" si="37"/>
        <v>11.191075</v>
      </c>
      <c r="R1086" s="10">
        <f t="shared" si="37"/>
        <v>11.806058333333333</v>
      </c>
      <c r="S1086" s="10">
        <f t="shared" si="37"/>
        <v>10.23934166666667</v>
      </c>
      <c r="T1086" s="32">
        <f>SUM(T349:T360)</f>
        <v>357.24568100000005</v>
      </c>
      <c r="U1086" s="32">
        <f>SUM(U349:U360)</f>
        <v>142.03263249999998</v>
      </c>
      <c r="V1086" s="32">
        <f>SUM(V349:V360)</f>
        <v>50.187500000000007</v>
      </c>
      <c r="W1086" s="32">
        <f>SUM(W349:W360)</f>
        <v>5.0822234999999996</v>
      </c>
      <c r="X1086" s="32">
        <f>SUM(X349:X360)</f>
        <v>20.758966663999999</v>
      </c>
      <c r="Y1086" s="32"/>
      <c r="Z1086" s="32"/>
      <c r="AA1086" s="37"/>
      <c r="AB1086" s="36"/>
      <c r="AC1086" s="33">
        <f>AVERAGE(AC349:AC360)</f>
        <v>10.560377839082898</v>
      </c>
      <c r="AD1086" s="27">
        <f>AVERAGE(AD349:AD360)</f>
        <v>10.472380515587529</v>
      </c>
    </row>
    <row r="1087" spans="1:30" ht="15" x14ac:dyDescent="0.2">
      <c r="A1087" s="11">
        <f t="shared" si="32"/>
        <v>2043</v>
      </c>
      <c r="B1087" s="10">
        <f t="shared" ref="B1087:S1087" si="38">AVERAGE(B361:B372)</f>
        <v>10.812391666666668</v>
      </c>
      <c r="C1087" s="10">
        <f t="shared" si="38"/>
        <v>10.818683333333333</v>
      </c>
      <c r="D1087" s="10">
        <f t="shared" si="38"/>
        <v>10.934341666666667</v>
      </c>
      <c r="E1087" s="10">
        <f t="shared" si="38"/>
        <v>10.966516666666665</v>
      </c>
      <c r="F1087" s="10">
        <f t="shared" si="38"/>
        <v>10.768333333333333</v>
      </c>
      <c r="G1087" s="10">
        <f t="shared" si="38"/>
        <v>10.785683333333331</v>
      </c>
      <c r="H1087" s="10">
        <f t="shared" si="38"/>
        <v>10.955316666666667</v>
      </c>
      <c r="I1087" s="10">
        <f t="shared" si="38"/>
        <v>10.799591666666664</v>
      </c>
      <c r="J1087" s="10">
        <f t="shared" si="38"/>
        <v>10.760933333333334</v>
      </c>
      <c r="K1087" s="10">
        <f t="shared" si="38"/>
        <v>10.624691666666669</v>
      </c>
      <c r="L1087" s="10">
        <f t="shared" si="38"/>
        <v>11.542316666666666</v>
      </c>
      <c r="M1087" s="10">
        <f t="shared" si="38"/>
        <v>10.654674999999999</v>
      </c>
      <c r="N1087" s="10">
        <f t="shared" si="38"/>
        <v>10.671799999999999</v>
      </c>
      <c r="O1087" s="10">
        <f t="shared" si="38"/>
        <v>10.846541666666667</v>
      </c>
      <c r="P1087" s="10">
        <f t="shared" si="38"/>
        <v>10.692883333333333</v>
      </c>
      <c r="Q1087" s="10">
        <f t="shared" si="38"/>
        <v>11.441841666666667</v>
      </c>
      <c r="R1087" s="10">
        <f t="shared" si="38"/>
        <v>12.057441666666668</v>
      </c>
      <c r="S1087" s="10">
        <f t="shared" si="38"/>
        <v>10.485358333333332</v>
      </c>
      <c r="T1087" s="32">
        <f>SUM(T361:T372)</f>
        <v>357.24568100000005</v>
      </c>
      <c r="U1087" s="32">
        <f>SUM(U361:U372)</f>
        <v>142.03263249999998</v>
      </c>
      <c r="V1087" s="32">
        <f>SUM(V361:V372)</f>
        <v>50.187500000000007</v>
      </c>
      <c r="W1087" s="32">
        <f>SUM(W361:W372)</f>
        <v>5.0822234999999996</v>
      </c>
      <c r="X1087" s="32">
        <f>SUM(X361:X372)</f>
        <v>20.758966663999999</v>
      </c>
      <c r="Y1087" s="32"/>
      <c r="Z1087" s="32"/>
      <c r="AA1087" s="37"/>
      <c r="AB1087" s="36"/>
      <c r="AC1087" s="33">
        <f>AVERAGE(AC361:AC372)</f>
        <v>10.814433887504379</v>
      </c>
      <c r="AD1087" s="27">
        <f>AVERAGE(AD361:AD372)</f>
        <v>10.723143824940047</v>
      </c>
    </row>
    <row r="1088" spans="1:30" ht="15" x14ac:dyDescent="0.2">
      <c r="A1088" s="11">
        <f t="shared" si="32"/>
        <v>2044</v>
      </c>
      <c r="B1088" s="10">
        <f t="shared" ref="B1088:S1088" si="39">AVERAGE(B373:B384)</f>
        <v>11.07255</v>
      </c>
      <c r="C1088" s="10">
        <f t="shared" si="39"/>
        <v>11.078833333333334</v>
      </c>
      <c r="D1088" s="10">
        <f t="shared" si="39"/>
        <v>11.194508333333332</v>
      </c>
      <c r="E1088" s="10">
        <f t="shared" si="39"/>
        <v>11.226666666666667</v>
      </c>
      <c r="F1088" s="10">
        <f t="shared" si="39"/>
        <v>11.028499999999999</v>
      </c>
      <c r="G1088" s="10">
        <f t="shared" si="39"/>
        <v>11.045833333333333</v>
      </c>
      <c r="H1088" s="10">
        <f t="shared" si="39"/>
        <v>11.215483333333337</v>
      </c>
      <c r="I1088" s="10">
        <f t="shared" si="39"/>
        <v>11.059749999999999</v>
      </c>
      <c r="J1088" s="10">
        <f t="shared" si="39"/>
        <v>11.021099999999999</v>
      </c>
      <c r="K1088" s="10">
        <f t="shared" si="39"/>
        <v>10.876725</v>
      </c>
      <c r="L1088" s="10">
        <f t="shared" si="39"/>
        <v>11.802483333333333</v>
      </c>
      <c r="M1088" s="10">
        <f t="shared" si="39"/>
        <v>10.911475000000001</v>
      </c>
      <c r="N1088" s="10">
        <f t="shared" si="39"/>
        <v>10.928600000000003</v>
      </c>
      <c r="O1088" s="10">
        <f t="shared" si="39"/>
        <v>11.103333333333333</v>
      </c>
      <c r="P1088" s="10">
        <f t="shared" si="39"/>
        <v>10.949674999999999</v>
      </c>
      <c r="Q1088" s="10">
        <f t="shared" si="39"/>
        <v>11.698633333333333</v>
      </c>
      <c r="R1088" s="10">
        <f t="shared" si="39"/>
        <v>12.314891666666666</v>
      </c>
      <c r="S1088" s="10">
        <f t="shared" si="39"/>
        <v>10.737258333333335</v>
      </c>
      <c r="T1088" s="32">
        <f>SUM(T373:T384)</f>
        <v>358.17703550000004</v>
      </c>
      <c r="U1088" s="32">
        <f>SUM(U373:U384)</f>
        <v>142.42176299999997</v>
      </c>
      <c r="V1088" s="32">
        <f>SUM(V373:V384)</f>
        <v>50.325000000000003</v>
      </c>
      <c r="W1088" s="32">
        <f>SUM(W373:W384)</f>
        <v>5.0961473999999995</v>
      </c>
      <c r="X1088" s="32">
        <f>SUM(X373:X384)</f>
        <v>20.800615543999996</v>
      </c>
      <c r="Y1088" s="32"/>
      <c r="Z1088" s="32"/>
      <c r="AA1088" s="37"/>
      <c r="AB1088" s="36"/>
      <c r="AC1088" s="33">
        <f>AVERAGE(AC373:AC384)</f>
        <v>11.074591325552094</v>
      </c>
      <c r="AD1088" s="27">
        <f>AVERAGE(AD373:AD384)</f>
        <v>10.979937410071942</v>
      </c>
    </row>
    <row r="1089" spans="1:30" ht="15" x14ac:dyDescent="0.2">
      <c r="A1089" s="11">
        <f t="shared" si="32"/>
        <v>2045</v>
      </c>
      <c r="B1089" s="10">
        <f t="shared" ref="B1089:S1089" si="40">AVERAGE(B385:B396)</f>
        <v>11.33896666666667</v>
      </c>
      <c r="C1089" s="10">
        <f t="shared" si="40"/>
        <v>11.34525</v>
      </c>
      <c r="D1089" s="10">
        <f t="shared" si="40"/>
        <v>11.460925000000001</v>
      </c>
      <c r="E1089" s="10">
        <f t="shared" si="40"/>
        <v>11.493074999999999</v>
      </c>
      <c r="F1089" s="10">
        <f t="shared" si="40"/>
        <v>11.294916666666667</v>
      </c>
      <c r="G1089" s="10">
        <f t="shared" si="40"/>
        <v>11.312241666666667</v>
      </c>
      <c r="H1089" s="10">
        <f t="shared" si="40"/>
        <v>11.481891666666664</v>
      </c>
      <c r="I1089" s="10">
        <f t="shared" si="40"/>
        <v>11.326158333333334</v>
      </c>
      <c r="J1089" s="10">
        <f t="shared" si="40"/>
        <v>11.287516666666667</v>
      </c>
      <c r="K1089" s="10">
        <f t="shared" si="40"/>
        <v>11.134816666666664</v>
      </c>
      <c r="L1089" s="10">
        <f t="shared" si="40"/>
        <v>12.068891666666666</v>
      </c>
      <c r="M1089" s="10">
        <f t="shared" si="40"/>
        <v>11.174441666666665</v>
      </c>
      <c r="N1089" s="10">
        <f t="shared" si="40"/>
        <v>11.191566666666667</v>
      </c>
      <c r="O1089" s="10">
        <f t="shared" si="40"/>
        <v>11.366300000000001</v>
      </c>
      <c r="P1089" s="10">
        <f t="shared" si="40"/>
        <v>11.212641666666665</v>
      </c>
      <c r="Q1089" s="10">
        <f t="shared" si="40"/>
        <v>11.961599999999999</v>
      </c>
      <c r="R1089" s="10">
        <f t="shared" si="40"/>
        <v>12.578491666666666</v>
      </c>
      <c r="S1089" s="10">
        <f t="shared" si="40"/>
        <v>10.995216666666666</v>
      </c>
      <c r="T1089" s="32">
        <f>SUM(T385:T396)</f>
        <v>357.24568100000005</v>
      </c>
      <c r="U1089" s="32">
        <f>SUM(U385:U396)</f>
        <v>142.03263249999998</v>
      </c>
      <c r="V1089" s="32">
        <f>SUM(V385:V396)</f>
        <v>50.187500000000007</v>
      </c>
      <c r="W1089" s="32">
        <f>SUM(W385:W396)</f>
        <v>5.0822234999999996</v>
      </c>
      <c r="X1089" s="32">
        <f>SUM(X385:X396)</f>
        <v>20.758966663999999</v>
      </c>
      <c r="Y1089" s="32"/>
      <c r="Z1089" s="32"/>
      <c r="AA1089" s="37"/>
      <c r="AB1089" s="36"/>
      <c r="AC1089" s="33">
        <f>AVERAGE(AC385:AC396)</f>
        <v>11.341005758317777</v>
      </c>
      <c r="AD1089" s="27">
        <f>AVERAGE(AD385:AD396)</f>
        <v>11.242905515587529</v>
      </c>
    </row>
    <row r="1090" spans="1:30" ht="15" x14ac:dyDescent="0.2">
      <c r="A1090" s="11">
        <f t="shared" si="32"/>
        <v>2046</v>
      </c>
      <c r="B1090" s="10">
        <f t="shared" ref="B1090:S1090" si="41">AVERAGE(B397:B408)</f>
        <v>11.611775</v>
      </c>
      <c r="C1090" s="10">
        <f t="shared" si="41"/>
        <v>11.618058333333332</v>
      </c>
      <c r="D1090" s="10">
        <f t="shared" si="41"/>
        <v>11.733749999999999</v>
      </c>
      <c r="E1090" s="10">
        <f t="shared" si="41"/>
        <v>11.765908333333336</v>
      </c>
      <c r="F1090" s="10">
        <f t="shared" si="41"/>
        <v>11.567716666666668</v>
      </c>
      <c r="G1090" s="10">
        <f t="shared" si="41"/>
        <v>11.585058333333331</v>
      </c>
      <c r="H1090" s="10">
        <f t="shared" si="41"/>
        <v>11.754691666666668</v>
      </c>
      <c r="I1090" s="10">
        <f t="shared" si="41"/>
        <v>11.598966666666668</v>
      </c>
      <c r="J1090" s="10">
        <f t="shared" si="41"/>
        <v>11.560316666666667</v>
      </c>
      <c r="K1090" s="10">
        <f t="shared" si="41"/>
        <v>11.399133333333332</v>
      </c>
      <c r="L1090" s="10">
        <f t="shared" si="41"/>
        <v>12.341691666666669</v>
      </c>
      <c r="M1090" s="10">
        <f t="shared" si="41"/>
        <v>11.443716666666667</v>
      </c>
      <c r="N1090" s="10">
        <f t="shared" si="41"/>
        <v>11.460833333333333</v>
      </c>
      <c r="O1090" s="10">
        <f t="shared" si="41"/>
        <v>11.635566666666668</v>
      </c>
      <c r="P1090" s="10">
        <f t="shared" si="41"/>
        <v>11.481908333333331</v>
      </c>
      <c r="Q1090" s="10">
        <f t="shared" si="41"/>
        <v>12.230866666666666</v>
      </c>
      <c r="R1090" s="10">
        <f t="shared" si="41"/>
        <v>12.84845</v>
      </c>
      <c r="S1090" s="10">
        <f t="shared" si="41"/>
        <v>11.259366666666665</v>
      </c>
      <c r="T1090" s="32">
        <f>SUM(T397:T408)</f>
        <v>357.24568100000005</v>
      </c>
      <c r="U1090" s="32">
        <f>SUM(U397:U408)</f>
        <v>142.03263249999998</v>
      </c>
      <c r="V1090" s="32">
        <f>SUM(V397:V408)</f>
        <v>50.187500000000007</v>
      </c>
      <c r="W1090" s="32">
        <f>SUM(W397:W408)</f>
        <v>5.0822234999999996</v>
      </c>
      <c r="X1090" s="32">
        <f>SUM(X397:X408)</f>
        <v>20.758966663999999</v>
      </c>
      <c r="Y1090" s="32"/>
      <c r="Z1090" s="32"/>
      <c r="AA1090" s="37"/>
      <c r="AB1090" s="36"/>
      <c r="AC1090" s="33">
        <f>AVERAGE(AC397:AC408)</f>
        <v>11.613815604865309</v>
      </c>
      <c r="AD1090" s="27">
        <f>AVERAGE(AD397:AD408)</f>
        <v>11.512175059952037</v>
      </c>
    </row>
    <row r="1091" spans="1:30" ht="15" x14ac:dyDescent="0.2">
      <c r="A1091" s="11">
        <f t="shared" si="32"/>
        <v>2047</v>
      </c>
      <c r="B1091" s="10">
        <f t="shared" ref="B1091:S1091" si="42">AVERAGE(B409:B420)</f>
        <v>11.891141666666664</v>
      </c>
      <c r="C1091" s="10">
        <f t="shared" si="42"/>
        <v>11.897416666666667</v>
      </c>
      <c r="D1091" s="10">
        <f t="shared" si="42"/>
        <v>12.013108333333333</v>
      </c>
      <c r="E1091" s="10">
        <f t="shared" si="42"/>
        <v>12.045275000000004</v>
      </c>
      <c r="F1091" s="10">
        <f t="shared" si="42"/>
        <v>11.847091666666664</v>
      </c>
      <c r="G1091" s="10">
        <f t="shared" si="42"/>
        <v>11.86445</v>
      </c>
      <c r="H1091" s="10">
        <f t="shared" si="42"/>
        <v>12.034075000000001</v>
      </c>
      <c r="I1091" s="10">
        <f t="shared" si="42"/>
        <v>11.878349999999998</v>
      </c>
      <c r="J1091" s="10">
        <f t="shared" si="42"/>
        <v>11.839691666666667</v>
      </c>
      <c r="K1091" s="10">
        <f t="shared" si="42"/>
        <v>11.669766666666666</v>
      </c>
      <c r="L1091" s="10">
        <f t="shared" si="42"/>
        <v>12.621074999999998</v>
      </c>
      <c r="M1091" s="10">
        <f t="shared" si="42"/>
        <v>11.719466666666667</v>
      </c>
      <c r="N1091" s="10">
        <f t="shared" si="42"/>
        <v>11.736583333333334</v>
      </c>
      <c r="O1091" s="10">
        <f t="shared" si="42"/>
        <v>11.911333333333332</v>
      </c>
      <c r="P1091" s="10">
        <f t="shared" si="42"/>
        <v>11.757666666666665</v>
      </c>
      <c r="Q1091" s="10">
        <f t="shared" si="42"/>
        <v>12.506633333333333</v>
      </c>
      <c r="R1091" s="10">
        <f t="shared" si="42"/>
        <v>13.124916666666666</v>
      </c>
      <c r="S1091" s="10">
        <f t="shared" si="42"/>
        <v>11.529908333333333</v>
      </c>
      <c r="T1091" s="32">
        <f>SUM(T409:T420)</f>
        <v>357.24568100000005</v>
      </c>
      <c r="U1091" s="32">
        <f>SUM(U409:U420)</f>
        <v>142.03263249999998</v>
      </c>
      <c r="V1091" s="32">
        <f>SUM(V409:V420)</f>
        <v>50.187500000000007</v>
      </c>
      <c r="W1091" s="32">
        <f>SUM(W409:W420)</f>
        <v>5.0822234999999996</v>
      </c>
      <c r="X1091" s="32">
        <f>SUM(X409:X420)</f>
        <v>20.758966663999999</v>
      </c>
      <c r="Y1091" s="32"/>
      <c r="Z1091" s="32"/>
      <c r="AA1091" s="37"/>
      <c r="AB1091" s="36"/>
      <c r="AC1091" s="33">
        <f>AVERAGE(AC409:AC420)</f>
        <v>11.893187084275352</v>
      </c>
      <c r="AD1091" s="27">
        <f>AVERAGE(AD409:AD420)</f>
        <v>11.787930935251799</v>
      </c>
    </row>
    <row r="1092" spans="1:30" ht="15" x14ac:dyDescent="0.2">
      <c r="A1092" s="11">
        <f t="shared" si="32"/>
        <v>2048</v>
      </c>
      <c r="B1092" s="10">
        <f t="shared" ref="B1092:S1092" si="43">AVERAGE(B421:B432)</f>
        <v>12.177233333333332</v>
      </c>
      <c r="C1092" s="10">
        <f t="shared" si="43"/>
        <v>12.183516666666664</v>
      </c>
      <c r="D1092" s="10">
        <f t="shared" si="43"/>
        <v>12.299183333333334</v>
      </c>
      <c r="E1092" s="10">
        <f t="shared" si="43"/>
        <v>12.331341666666667</v>
      </c>
      <c r="F1092" s="10">
        <f t="shared" si="43"/>
        <v>12.133175</v>
      </c>
      <c r="G1092" s="10">
        <f t="shared" si="43"/>
        <v>12.150508333333335</v>
      </c>
      <c r="H1092" s="10">
        <f t="shared" si="43"/>
        <v>12.32015</v>
      </c>
      <c r="I1092" s="10">
        <f t="shared" si="43"/>
        <v>12.164408333333336</v>
      </c>
      <c r="J1092" s="10">
        <f t="shared" si="43"/>
        <v>12.125775000000003</v>
      </c>
      <c r="K1092" s="10">
        <f t="shared" si="43"/>
        <v>11.946925</v>
      </c>
      <c r="L1092" s="10">
        <f t="shared" si="43"/>
        <v>12.90715</v>
      </c>
      <c r="M1092" s="10">
        <f t="shared" si="43"/>
        <v>12.001833333333332</v>
      </c>
      <c r="N1092" s="10">
        <f t="shared" si="43"/>
        <v>12.018966666666666</v>
      </c>
      <c r="O1092" s="10">
        <f t="shared" si="43"/>
        <v>12.1937</v>
      </c>
      <c r="P1092" s="10">
        <f t="shared" si="43"/>
        <v>12.040041666666667</v>
      </c>
      <c r="Q1092" s="10">
        <f t="shared" si="43"/>
        <v>12.789000000000001</v>
      </c>
      <c r="R1092" s="10">
        <f t="shared" si="43"/>
        <v>13.407974999999999</v>
      </c>
      <c r="S1092" s="10">
        <f t="shared" si="43"/>
        <v>11.806916666666668</v>
      </c>
      <c r="T1092" s="32">
        <f>SUM(T421:T432)</f>
        <v>358.17703550000004</v>
      </c>
      <c r="U1092" s="32">
        <f>SUM(U421:U432)</f>
        <v>142.42176299999997</v>
      </c>
      <c r="V1092" s="32">
        <f>SUM(V421:V432)</f>
        <v>50.325000000000003</v>
      </c>
      <c r="W1092" s="32">
        <f>SUM(W421:W432)</f>
        <v>5.0961473999999995</v>
      </c>
      <c r="X1092" s="32">
        <f>SUM(X421:X432)</f>
        <v>20.800615543999996</v>
      </c>
      <c r="Y1092" s="32"/>
      <c r="Z1092" s="32"/>
      <c r="AA1092" s="37"/>
      <c r="AB1092" s="36"/>
      <c r="AC1092" s="33">
        <f>AVERAGE(AC421:AC432)</f>
        <v>12.179268563695311</v>
      </c>
      <c r="AD1092" s="27">
        <f>AVERAGE(AD421:AD432)</f>
        <v>12.070302637889689</v>
      </c>
    </row>
    <row r="1093" spans="1:30" ht="15" x14ac:dyDescent="0.2">
      <c r="A1093" s="11">
        <f t="shared" si="32"/>
        <v>2049</v>
      </c>
      <c r="B1093" s="10">
        <f t="shared" ref="B1093:S1093" si="44">AVERAGE(B433:B444)</f>
        <v>12.470174999999999</v>
      </c>
      <c r="C1093" s="10">
        <f t="shared" si="44"/>
        <v>12.476458333333333</v>
      </c>
      <c r="D1093" s="10">
        <f t="shared" si="44"/>
        <v>12.592149999999998</v>
      </c>
      <c r="E1093" s="10">
        <f t="shared" si="44"/>
        <v>12.624308333333333</v>
      </c>
      <c r="F1093" s="10">
        <f t="shared" si="44"/>
        <v>12.426108333333334</v>
      </c>
      <c r="G1093" s="10">
        <f t="shared" si="44"/>
        <v>12.443458333333332</v>
      </c>
      <c r="H1093" s="10">
        <f t="shared" si="44"/>
        <v>12.613100000000001</v>
      </c>
      <c r="I1093" s="10">
        <f t="shared" si="44"/>
        <v>12.457374999999999</v>
      </c>
      <c r="J1093" s="10">
        <f t="shared" si="44"/>
        <v>12.418708333333333</v>
      </c>
      <c r="K1093" s="10">
        <f t="shared" si="44"/>
        <v>12.230725</v>
      </c>
      <c r="L1093" s="10">
        <f t="shared" si="44"/>
        <v>13.200099999999999</v>
      </c>
      <c r="M1093" s="10">
        <f t="shared" si="44"/>
        <v>12.29100833333333</v>
      </c>
      <c r="N1093" s="10">
        <f t="shared" si="44"/>
        <v>12.308133333333332</v>
      </c>
      <c r="O1093" s="10">
        <f t="shared" si="44"/>
        <v>12.482891666666667</v>
      </c>
      <c r="P1093" s="10">
        <f t="shared" si="44"/>
        <v>12.329199999999998</v>
      </c>
      <c r="Q1093" s="10">
        <f t="shared" si="44"/>
        <v>13.078191666666664</v>
      </c>
      <c r="R1093" s="10">
        <f t="shared" si="44"/>
        <v>13.697858333333334</v>
      </c>
      <c r="S1093" s="10">
        <f t="shared" si="44"/>
        <v>12.090566666666666</v>
      </c>
      <c r="T1093" s="32">
        <f>SUM(T433:T444)</f>
        <v>357.24568100000005</v>
      </c>
      <c r="U1093" s="32">
        <f>SUM(U433:U444)</f>
        <v>142.03263249999998</v>
      </c>
      <c r="V1093" s="32">
        <f>SUM(V433:V444)</f>
        <v>50.187500000000007</v>
      </c>
      <c r="W1093" s="32">
        <f>SUM(W433:W444)</f>
        <v>5.0822234999999996</v>
      </c>
      <c r="X1093" s="32">
        <f>SUM(X433:X444)</f>
        <v>20.758966663999999</v>
      </c>
      <c r="Y1093" s="32"/>
      <c r="Z1093" s="32"/>
      <c r="AA1093" s="37"/>
      <c r="AB1093" s="36"/>
      <c r="AC1093" s="33">
        <f>AVERAGE(AC433:AC444)</f>
        <v>12.472213821711904</v>
      </c>
      <c r="AD1093" s="27">
        <f>AVERAGE(AD433:AD444)</f>
        <v>12.359479436450838</v>
      </c>
    </row>
    <row r="1094" spans="1:30" ht="15" x14ac:dyDescent="0.2">
      <c r="A1094" s="11">
        <f t="shared" si="32"/>
        <v>2050</v>
      </c>
      <c r="B1094" s="10">
        <f t="shared" ref="B1094:S1094" si="45">AVERAGE(B445:B456)</f>
        <v>12.770175</v>
      </c>
      <c r="C1094" s="10">
        <f t="shared" si="45"/>
        <v>12.776458333333331</v>
      </c>
      <c r="D1094" s="10">
        <f t="shared" si="45"/>
        <v>12.892133333333334</v>
      </c>
      <c r="E1094" s="10">
        <f t="shared" si="45"/>
        <v>12.924283333333333</v>
      </c>
      <c r="F1094" s="10">
        <f t="shared" si="45"/>
        <v>12.726124999999998</v>
      </c>
      <c r="G1094" s="10">
        <f t="shared" si="45"/>
        <v>12.743449999999998</v>
      </c>
      <c r="H1094" s="10">
        <f t="shared" si="45"/>
        <v>12.9131</v>
      </c>
      <c r="I1094" s="10">
        <f t="shared" si="45"/>
        <v>12.757350000000001</v>
      </c>
      <c r="J1094" s="10">
        <f t="shared" si="45"/>
        <v>12.718725000000001</v>
      </c>
      <c r="K1094" s="10">
        <f t="shared" si="45"/>
        <v>12.52134166666667</v>
      </c>
      <c r="L1094" s="10">
        <f t="shared" si="45"/>
        <v>13.500099999999998</v>
      </c>
      <c r="M1094" s="10">
        <f t="shared" si="45"/>
        <v>12.587108333333335</v>
      </c>
      <c r="N1094" s="10">
        <f t="shared" si="45"/>
        <v>12.604233333333333</v>
      </c>
      <c r="O1094" s="10">
        <f t="shared" si="45"/>
        <v>12.778983333333334</v>
      </c>
      <c r="P1094" s="10">
        <f t="shared" si="45"/>
        <v>12.625308333333331</v>
      </c>
      <c r="Q1094" s="10">
        <f t="shared" si="45"/>
        <v>13.374283333333333</v>
      </c>
      <c r="R1094" s="10">
        <f t="shared" si="45"/>
        <v>13.994716666666667</v>
      </c>
      <c r="S1094" s="10">
        <f t="shared" si="45"/>
        <v>12.381058333333334</v>
      </c>
      <c r="T1094" s="32">
        <f>SUM(T445:T456)</f>
        <v>357.24568100000005</v>
      </c>
      <c r="U1094" s="32">
        <f>SUM(U445:U456)</f>
        <v>142.03263249999998</v>
      </c>
      <c r="V1094" s="32">
        <f>SUM(V445:V456)</f>
        <v>50.187500000000007</v>
      </c>
      <c r="W1094" s="32">
        <f>SUM(W445:W456)</f>
        <v>5.0822234999999996</v>
      </c>
      <c r="X1094" s="32">
        <f>SUM(X445:X456)</f>
        <v>20.758966663999999</v>
      </c>
      <c r="Y1094" s="32"/>
      <c r="Z1094" s="32"/>
      <c r="AA1094" s="37"/>
      <c r="AB1094" s="36"/>
      <c r="AC1094" s="33">
        <f>AVERAGE(AC445:AC456)</f>
        <v>12.772212598922758</v>
      </c>
      <c r="AD1094" s="27">
        <f>AVERAGE(AD445:AD456)</f>
        <v>12.655576858513191</v>
      </c>
    </row>
    <row r="1095" spans="1:30" ht="15" x14ac:dyDescent="0.2">
      <c r="A1095" s="11">
        <f t="shared" si="32"/>
        <v>2051</v>
      </c>
      <c r="B1095" s="10">
        <f t="shared" ref="B1095:S1095" si="46">AVERAGE(B457:B468)</f>
        <v>13.077374999999998</v>
      </c>
      <c r="C1095" s="10">
        <f t="shared" si="46"/>
        <v>13.083649999999999</v>
      </c>
      <c r="D1095" s="10">
        <f t="shared" si="46"/>
        <v>13.199333333333334</v>
      </c>
      <c r="E1095" s="10">
        <f t="shared" si="46"/>
        <v>13.231483333333335</v>
      </c>
      <c r="F1095" s="10">
        <f t="shared" si="46"/>
        <v>13.033325</v>
      </c>
      <c r="G1095" s="10">
        <f t="shared" si="46"/>
        <v>13.050658333333333</v>
      </c>
      <c r="H1095" s="10">
        <f t="shared" si="46"/>
        <v>13.220300000000002</v>
      </c>
      <c r="I1095" s="10">
        <f t="shared" si="46"/>
        <v>13.064550000000002</v>
      </c>
      <c r="J1095" s="10">
        <f t="shared" si="46"/>
        <v>13.025924999999999</v>
      </c>
      <c r="K1095" s="10">
        <f t="shared" si="46"/>
        <v>12.818975</v>
      </c>
      <c r="L1095" s="10">
        <f t="shared" si="46"/>
        <v>13.8073</v>
      </c>
      <c r="M1095" s="10">
        <f t="shared" si="46"/>
        <v>12.890333333333333</v>
      </c>
      <c r="N1095" s="10">
        <f t="shared" si="46"/>
        <v>12.907466666666664</v>
      </c>
      <c r="O1095" s="10">
        <f t="shared" si="46"/>
        <v>13.082199999999998</v>
      </c>
      <c r="P1095" s="10">
        <f t="shared" si="46"/>
        <v>12.928533333333332</v>
      </c>
      <c r="Q1095" s="10">
        <f t="shared" si="46"/>
        <v>13.677500000000002</v>
      </c>
      <c r="R1095" s="10">
        <f t="shared" si="46"/>
        <v>14.298683333333331</v>
      </c>
      <c r="S1095" s="10">
        <f t="shared" si="46"/>
        <v>12.678533333333334</v>
      </c>
      <c r="T1095" s="32">
        <f>SUM(T457:T468)</f>
        <v>357.24568100000005</v>
      </c>
      <c r="U1095" s="32">
        <f>SUM(U457:U468)</f>
        <v>142.03263249999998</v>
      </c>
      <c r="V1095" s="32">
        <f>SUM(V457:V468)</f>
        <v>50.187500000000007</v>
      </c>
      <c r="W1095" s="32">
        <f>SUM(W457:W468)</f>
        <v>5.0822234999999996</v>
      </c>
      <c r="X1095" s="32">
        <f>SUM(X457:X468)</f>
        <v>20.758966663999999</v>
      </c>
      <c r="Y1095" s="32"/>
      <c r="Z1095" s="32"/>
      <c r="AA1095" s="37"/>
      <c r="AB1095" s="36"/>
      <c r="AC1095" s="33">
        <f>AVERAGE(AC457:AC468)</f>
        <v>13.079412324662782</v>
      </c>
      <c r="AD1095" s="27">
        <f>AVERAGE(AD457:AD468)</f>
        <v>12.958799999999998</v>
      </c>
    </row>
    <row r="1096" spans="1:30" ht="15" x14ac:dyDescent="0.2">
      <c r="A1096" s="11">
        <f t="shared" si="32"/>
        <v>2052</v>
      </c>
      <c r="B1096" s="10">
        <f t="shared" ref="B1096:S1096" si="47">AVERAGE(B469:B480)</f>
        <v>13.39195</v>
      </c>
      <c r="C1096" s="10">
        <f t="shared" si="47"/>
        <v>13.398233333333335</v>
      </c>
      <c r="D1096" s="10">
        <f t="shared" si="47"/>
        <v>13.513933333333332</v>
      </c>
      <c r="E1096" s="10">
        <f t="shared" si="47"/>
        <v>13.546083333333334</v>
      </c>
      <c r="F1096" s="10">
        <f t="shared" si="47"/>
        <v>13.347883333333334</v>
      </c>
      <c r="G1096" s="10">
        <f t="shared" si="47"/>
        <v>13.365233333333331</v>
      </c>
      <c r="H1096" s="10">
        <f t="shared" si="47"/>
        <v>13.534875</v>
      </c>
      <c r="I1096" s="10">
        <f t="shared" si="47"/>
        <v>13.379141666666667</v>
      </c>
      <c r="J1096" s="10">
        <f t="shared" si="47"/>
        <v>13.340483333333331</v>
      </c>
      <c r="K1096" s="10">
        <f t="shared" si="47"/>
        <v>13.123724999999999</v>
      </c>
      <c r="L1096" s="10">
        <f t="shared" si="47"/>
        <v>14.121875000000001</v>
      </c>
      <c r="M1096" s="10">
        <f t="shared" si="47"/>
        <v>13.200849999999997</v>
      </c>
      <c r="N1096" s="10">
        <f t="shared" si="47"/>
        <v>13.217958333333334</v>
      </c>
      <c r="O1096" s="10">
        <f t="shared" si="47"/>
        <v>13.392691666666666</v>
      </c>
      <c r="P1096" s="10">
        <f t="shared" si="47"/>
        <v>13.239033333333333</v>
      </c>
      <c r="Q1096" s="10">
        <f t="shared" si="47"/>
        <v>13.987991666666666</v>
      </c>
      <c r="R1096" s="10">
        <f t="shared" si="47"/>
        <v>14.609966666666667</v>
      </c>
      <c r="S1096" s="10">
        <f t="shared" si="47"/>
        <v>12.983141666666667</v>
      </c>
      <c r="T1096" s="32">
        <f>SUM(T469:T480)</f>
        <v>358.17703550000004</v>
      </c>
      <c r="U1096" s="32">
        <f>SUM(U469:U480)</f>
        <v>142.42176299999997</v>
      </c>
      <c r="V1096" s="32">
        <f>SUM(V469:V480)</f>
        <v>50.325000000000003</v>
      </c>
      <c r="W1096" s="32">
        <f>SUM(W469:W480)</f>
        <v>5.0961473999999995</v>
      </c>
      <c r="X1096" s="32">
        <f>SUM(X469:X480)</f>
        <v>20.800615543999996</v>
      </c>
      <c r="Y1096" s="32"/>
      <c r="Z1096" s="32"/>
      <c r="AA1096" s="37"/>
      <c r="AB1096" s="36"/>
      <c r="AC1096" s="33">
        <f>AVERAGE(AC469:AC480)</f>
        <v>13.393988910634192</v>
      </c>
      <c r="AD1096" s="27">
        <f>AVERAGE(AD469:AD480)</f>
        <v>13.269302937649881</v>
      </c>
    </row>
    <row r="1097" spans="1:30" ht="15" x14ac:dyDescent="0.2">
      <c r="A1097" s="11">
        <f t="shared" si="32"/>
        <v>2053</v>
      </c>
      <c r="B1097" s="10">
        <f t="shared" ref="B1097:S1097" si="48">AVERAGE(B481:B492)</f>
        <v>13.714083333333333</v>
      </c>
      <c r="C1097" s="10">
        <f t="shared" si="48"/>
        <v>13.720366666666669</v>
      </c>
      <c r="D1097" s="10">
        <f t="shared" si="48"/>
        <v>13.836058333333334</v>
      </c>
      <c r="E1097" s="10">
        <f t="shared" si="48"/>
        <v>13.868216666666667</v>
      </c>
      <c r="F1097" s="10">
        <f t="shared" si="48"/>
        <v>13.670050000000002</v>
      </c>
      <c r="G1097" s="10">
        <f t="shared" si="48"/>
        <v>13.687391666666665</v>
      </c>
      <c r="H1097" s="10">
        <f t="shared" si="48"/>
        <v>13.857008333333333</v>
      </c>
      <c r="I1097" s="10">
        <f t="shared" si="48"/>
        <v>13.701283333333334</v>
      </c>
      <c r="J1097" s="10">
        <f t="shared" si="48"/>
        <v>13.662649999999999</v>
      </c>
      <c r="K1097" s="10">
        <f t="shared" si="48"/>
        <v>13.435816666666666</v>
      </c>
      <c r="L1097" s="10">
        <f t="shared" si="48"/>
        <v>14.444008333333334</v>
      </c>
      <c r="M1097" s="10">
        <f t="shared" si="48"/>
        <v>13.518816666666666</v>
      </c>
      <c r="N1097" s="10">
        <f t="shared" si="48"/>
        <v>13.535933333333334</v>
      </c>
      <c r="O1097" s="10">
        <f t="shared" si="48"/>
        <v>13.71068333333333</v>
      </c>
      <c r="P1097" s="10">
        <f t="shared" si="48"/>
        <v>13.557008333333336</v>
      </c>
      <c r="Q1097" s="10">
        <f t="shared" si="48"/>
        <v>14.30598333333333</v>
      </c>
      <c r="R1097" s="10">
        <f t="shared" si="48"/>
        <v>14.928750000000001</v>
      </c>
      <c r="S1097" s="10">
        <f t="shared" si="48"/>
        <v>13.295049999999998</v>
      </c>
      <c r="T1097" s="32">
        <f>SUM(T481:T492)</f>
        <v>357.24568100000005</v>
      </c>
      <c r="U1097" s="32">
        <f>SUM(U481:U492)</f>
        <v>142.03263249999998</v>
      </c>
      <c r="V1097" s="32">
        <f>SUM(V481:V492)</f>
        <v>50.187500000000007</v>
      </c>
      <c r="W1097" s="32">
        <f>SUM(W481:W492)</f>
        <v>5.0822234999999996</v>
      </c>
      <c r="X1097" s="32">
        <f>SUM(X481:X492)</f>
        <v>20.758966663999999</v>
      </c>
      <c r="Y1097" s="32"/>
      <c r="Z1097" s="32"/>
      <c r="AA1097" s="37"/>
      <c r="AB1097" s="36"/>
      <c r="AC1097" s="33">
        <f>AVERAGE(AC481:AC492)</f>
        <v>13.71613541703506</v>
      </c>
      <c r="AD1097" s="27">
        <f>AVERAGE(AD481:AD492)</f>
        <v>13.587282613908874</v>
      </c>
    </row>
    <row r="1098" spans="1:30" ht="15" x14ac:dyDescent="0.2">
      <c r="A1098" s="11">
        <f t="shared" si="32"/>
        <v>2054</v>
      </c>
      <c r="B1098" s="10">
        <f t="shared" ref="B1098:S1098" si="49">AVERAGE(B493:B504)</f>
        <v>14.043974999999998</v>
      </c>
      <c r="C1098" s="10">
        <f t="shared" si="49"/>
        <v>14.05025</v>
      </c>
      <c r="D1098" s="10">
        <f t="shared" si="49"/>
        <v>14.165941666666667</v>
      </c>
      <c r="E1098" s="10">
        <f t="shared" si="49"/>
        <v>14.198108333333336</v>
      </c>
      <c r="F1098" s="10">
        <f t="shared" si="49"/>
        <v>13.999916666666666</v>
      </c>
      <c r="G1098" s="10">
        <f t="shared" si="49"/>
        <v>14.017275</v>
      </c>
      <c r="H1098" s="10">
        <f t="shared" si="49"/>
        <v>14.1869</v>
      </c>
      <c r="I1098" s="10">
        <f t="shared" si="49"/>
        <v>14.031174999999999</v>
      </c>
      <c r="J1098" s="10">
        <f t="shared" si="49"/>
        <v>13.992516666666667</v>
      </c>
      <c r="K1098" s="10">
        <f t="shared" si="49"/>
        <v>13.755391666666666</v>
      </c>
      <c r="L1098" s="10">
        <f t="shared" si="49"/>
        <v>14.773900000000003</v>
      </c>
      <c r="M1098" s="10">
        <f t="shared" si="49"/>
        <v>13.844424999999999</v>
      </c>
      <c r="N1098" s="10">
        <f t="shared" si="49"/>
        <v>13.861541666666666</v>
      </c>
      <c r="O1098" s="10">
        <f t="shared" si="49"/>
        <v>14.036299999999999</v>
      </c>
      <c r="P1098" s="10">
        <f t="shared" si="49"/>
        <v>13.882625000000003</v>
      </c>
      <c r="Q1098" s="10">
        <f t="shared" si="49"/>
        <v>14.631600000000001</v>
      </c>
      <c r="R1098" s="10">
        <f t="shared" si="49"/>
        <v>15.255158333333334</v>
      </c>
      <c r="S1098" s="10">
        <f t="shared" si="49"/>
        <v>13.614475000000004</v>
      </c>
      <c r="T1098" s="32">
        <f>SUM(T493:T504)</f>
        <v>357.24568100000005</v>
      </c>
      <c r="U1098" s="32">
        <f>SUM(U493:U504)</f>
        <v>142.03263249999998</v>
      </c>
      <c r="V1098" s="32">
        <f>SUM(V493:V504)</f>
        <v>50.187500000000007</v>
      </c>
      <c r="W1098" s="32">
        <f>SUM(W493:W504)</f>
        <v>5.0822234999999996</v>
      </c>
      <c r="X1098" s="32">
        <f>SUM(X493:X504)</f>
        <v>20.758966663999999</v>
      </c>
      <c r="Y1098" s="32"/>
      <c r="Z1098" s="32"/>
      <c r="AA1098" s="35"/>
      <c r="AB1098" s="34"/>
      <c r="AC1098" s="33">
        <f>AVERAGE(AC493:AC504)</f>
        <v>14.046016263138634</v>
      </c>
      <c r="AD1098" s="27">
        <f>AVERAGE(AD493:AD504)</f>
        <v>13.912891606714629</v>
      </c>
    </row>
    <row r="1099" spans="1:30" ht="15" x14ac:dyDescent="0.2">
      <c r="A1099" s="11">
        <f t="shared" si="32"/>
        <v>2055</v>
      </c>
      <c r="B1099" s="10">
        <f t="shared" ref="B1099:S1099" si="50">AVERAGE(B505:B516)</f>
        <v>14.381783333333333</v>
      </c>
      <c r="C1099" s="10">
        <f t="shared" si="50"/>
        <v>14.388058333333333</v>
      </c>
      <c r="D1099" s="10">
        <f t="shared" si="50"/>
        <v>14.503741666666665</v>
      </c>
      <c r="E1099" s="10">
        <f t="shared" si="50"/>
        <v>14.535899999999998</v>
      </c>
      <c r="F1099" s="10">
        <f t="shared" si="50"/>
        <v>14.337724999999999</v>
      </c>
      <c r="G1099" s="10">
        <f t="shared" si="50"/>
        <v>14.355083333333331</v>
      </c>
      <c r="H1099" s="10">
        <f t="shared" si="50"/>
        <v>14.524708333333335</v>
      </c>
      <c r="I1099" s="10">
        <f t="shared" si="50"/>
        <v>14.368983333333333</v>
      </c>
      <c r="J1099" s="10">
        <f t="shared" si="50"/>
        <v>14.330325</v>
      </c>
      <c r="K1099" s="10">
        <f t="shared" si="50"/>
        <v>14.082658333333333</v>
      </c>
      <c r="L1099" s="10">
        <f t="shared" si="50"/>
        <v>15.111708333333333</v>
      </c>
      <c r="M1099" s="10">
        <f t="shared" si="50"/>
        <v>14.177858333333333</v>
      </c>
      <c r="N1099" s="10">
        <f t="shared" si="50"/>
        <v>14.194983333333333</v>
      </c>
      <c r="O1099" s="10">
        <f t="shared" si="50"/>
        <v>14.369724999999997</v>
      </c>
      <c r="P1099" s="10">
        <f t="shared" si="50"/>
        <v>14.216075000000002</v>
      </c>
      <c r="Q1099" s="10">
        <f t="shared" si="50"/>
        <v>14.965025000000002</v>
      </c>
      <c r="R1099" s="10">
        <f t="shared" si="50"/>
        <v>15.589433333333334</v>
      </c>
      <c r="S1099" s="10">
        <f t="shared" si="50"/>
        <v>13.941583333333332</v>
      </c>
      <c r="T1099" s="32">
        <f>SUM(T505:T516)</f>
        <v>357.24568100000005</v>
      </c>
      <c r="U1099" s="32">
        <f>SUM(U505:U516)</f>
        <v>142.03263249999998</v>
      </c>
      <c r="V1099" s="32">
        <f>SUM(V505:V516)</f>
        <v>50.187500000000007</v>
      </c>
      <c r="W1099" s="32">
        <f>SUM(W505:W516)</f>
        <v>5.0822234999999996</v>
      </c>
      <c r="X1099" s="32">
        <f>SUM(X505:X516)</f>
        <v>20.758966663999999</v>
      </c>
      <c r="Y1099" s="32"/>
      <c r="Z1099" s="32"/>
      <c r="AA1099" s="35"/>
      <c r="AB1099" s="34"/>
      <c r="AC1099" s="33">
        <f>AVERAGE(AC505:AC516)</f>
        <v>14.38382293472862</v>
      </c>
      <c r="AD1099" s="27">
        <f>AVERAGE(AD505:AD516)</f>
        <v>14.246325479616305</v>
      </c>
    </row>
    <row r="1100" spans="1:30" ht="15" x14ac:dyDescent="0.2">
      <c r="A1100" s="11">
        <f t="shared" si="32"/>
        <v>2056</v>
      </c>
      <c r="B1100" s="10">
        <f t="shared" ref="B1100:S1100" si="51">AVERAGE(B517:B528)</f>
        <v>14.7277</v>
      </c>
      <c r="C1100" s="10">
        <f t="shared" si="51"/>
        <v>14.733983333333335</v>
      </c>
      <c r="D1100" s="10">
        <f t="shared" si="51"/>
        <v>14.849666666666666</v>
      </c>
      <c r="E1100" s="10">
        <f t="shared" si="51"/>
        <v>14.881824999999999</v>
      </c>
      <c r="F1100" s="10">
        <f t="shared" si="51"/>
        <v>14.683641666666666</v>
      </c>
      <c r="G1100" s="10">
        <f t="shared" si="51"/>
        <v>14.701000000000001</v>
      </c>
      <c r="H1100" s="10">
        <f t="shared" si="51"/>
        <v>14.870616666666665</v>
      </c>
      <c r="I1100" s="10">
        <f t="shared" si="51"/>
        <v>14.7149</v>
      </c>
      <c r="J1100" s="10">
        <f t="shared" si="51"/>
        <v>14.676241666666664</v>
      </c>
      <c r="K1100" s="10">
        <f t="shared" si="51"/>
        <v>14.417783333333333</v>
      </c>
      <c r="L1100" s="10">
        <f t="shared" si="51"/>
        <v>15.457616666666665</v>
      </c>
      <c r="M1100" s="10">
        <f t="shared" si="51"/>
        <v>14.519308333333335</v>
      </c>
      <c r="N1100" s="10">
        <f t="shared" si="51"/>
        <v>14.536433333333335</v>
      </c>
      <c r="O1100" s="10">
        <f t="shared" si="51"/>
        <v>14.711166666666665</v>
      </c>
      <c r="P1100" s="10">
        <f t="shared" si="51"/>
        <v>14.557491666666666</v>
      </c>
      <c r="Q1100" s="10">
        <f t="shared" si="51"/>
        <v>15.306466666666667</v>
      </c>
      <c r="R1100" s="10">
        <f t="shared" si="51"/>
        <v>15.931733333333332</v>
      </c>
      <c r="S1100" s="10">
        <f t="shared" si="51"/>
        <v>14.276533333333333</v>
      </c>
      <c r="T1100" s="32">
        <f>SUM(T517:T528)</f>
        <v>358.17703550000004</v>
      </c>
      <c r="U1100" s="32">
        <f>SUM(U517:U528)</f>
        <v>142.42176299999997</v>
      </c>
      <c r="V1100" s="32">
        <f>SUM(V517:V528)</f>
        <v>50.325000000000003</v>
      </c>
      <c r="W1100" s="32">
        <f>SUM(W517:W528)</f>
        <v>5.0961473999999995</v>
      </c>
      <c r="X1100" s="32">
        <f>SUM(X517:X528)</f>
        <v>20.800615543999996</v>
      </c>
      <c r="Y1100" s="32"/>
      <c r="Z1100" s="32"/>
      <c r="AA1100" s="35"/>
      <c r="AB1100" s="34"/>
      <c r="AC1100" s="33">
        <f>AVERAGE(AC517:AC528)</f>
        <v>14.729742996805498</v>
      </c>
      <c r="AD1100" s="27">
        <f>AVERAGE(AD517:AD528)</f>
        <v>14.587769784172663</v>
      </c>
    </row>
    <row r="1101" spans="1:30" ht="15" x14ac:dyDescent="0.2">
      <c r="A1101" s="11">
        <f t="shared" si="32"/>
        <v>2057</v>
      </c>
      <c r="B1101" s="10">
        <f t="shared" ref="B1101:S1101" si="52">AVERAGE(B529:B540)</f>
        <v>15.081933333333334</v>
      </c>
      <c r="C1101" s="10">
        <f t="shared" si="52"/>
        <v>15.088216666666668</v>
      </c>
      <c r="D1101" s="10">
        <f t="shared" si="52"/>
        <v>15.203908333333333</v>
      </c>
      <c r="E1101" s="10">
        <f t="shared" si="52"/>
        <v>15.236058333333334</v>
      </c>
      <c r="F1101" s="10">
        <f t="shared" si="52"/>
        <v>15.037891666666665</v>
      </c>
      <c r="G1101" s="10">
        <f t="shared" si="52"/>
        <v>15.055233333333332</v>
      </c>
      <c r="H1101" s="10">
        <f t="shared" si="52"/>
        <v>15.224858333333332</v>
      </c>
      <c r="I1101" s="10">
        <f t="shared" si="52"/>
        <v>15.069133333333333</v>
      </c>
      <c r="J1101" s="10">
        <f t="shared" si="52"/>
        <v>15.030491666666668</v>
      </c>
      <c r="K1101" s="10">
        <f t="shared" si="52"/>
        <v>14.760958333333333</v>
      </c>
      <c r="L1101" s="10">
        <f t="shared" si="52"/>
        <v>15.811858333333335</v>
      </c>
      <c r="M1101" s="10">
        <f t="shared" si="52"/>
        <v>14.868966666666664</v>
      </c>
      <c r="N1101" s="10">
        <f t="shared" si="52"/>
        <v>14.886083333333332</v>
      </c>
      <c r="O1101" s="10">
        <f t="shared" si="52"/>
        <v>15.060816666666668</v>
      </c>
      <c r="P1101" s="10">
        <f t="shared" si="52"/>
        <v>14.907141666666666</v>
      </c>
      <c r="Q1101" s="10">
        <f t="shared" si="52"/>
        <v>15.656116666666664</v>
      </c>
      <c r="R1101" s="10">
        <f t="shared" si="52"/>
        <v>16.282250000000001</v>
      </c>
      <c r="S1101" s="10">
        <f t="shared" si="52"/>
        <v>14.619558333333332</v>
      </c>
      <c r="T1101" s="32">
        <f>SUM(T529:T540)</f>
        <v>357.24568100000005</v>
      </c>
      <c r="U1101" s="32">
        <f>SUM(U529:U540)</f>
        <v>142.03263249999998</v>
      </c>
      <c r="V1101" s="32">
        <f>SUM(V529:V540)</f>
        <v>50.187500000000007</v>
      </c>
      <c r="W1101" s="32">
        <f>SUM(W529:W540)</f>
        <v>5.0822234999999996</v>
      </c>
      <c r="X1101" s="32">
        <f>SUM(X529:X540)</f>
        <v>20.758966663999999</v>
      </c>
      <c r="Y1101" s="32"/>
      <c r="Z1101" s="32"/>
      <c r="AA1101" s="35"/>
      <c r="AB1101" s="34"/>
      <c r="AC1101" s="33">
        <f>AVERAGE(AC529:AC540)</f>
        <v>15.083981054864381</v>
      </c>
      <c r="AD1101" s="27">
        <f>AVERAGE(AD529:AD540)</f>
        <v>14.937424100719424</v>
      </c>
    </row>
    <row r="1102" spans="1:30" ht="15" x14ac:dyDescent="0.2">
      <c r="A1102" s="11">
        <f t="shared" si="32"/>
        <v>2058</v>
      </c>
      <c r="B1102" s="10">
        <f t="shared" ref="B1102:S1102" si="53">AVERAGE(B541:B552)</f>
        <v>15.444683333333332</v>
      </c>
      <c r="C1102" s="10">
        <f t="shared" si="53"/>
        <v>15.450975</v>
      </c>
      <c r="D1102" s="10">
        <f t="shared" si="53"/>
        <v>15.566658333333335</v>
      </c>
      <c r="E1102" s="10">
        <f t="shared" si="53"/>
        <v>15.598799999999999</v>
      </c>
      <c r="F1102" s="10">
        <f t="shared" si="53"/>
        <v>15.400641666666667</v>
      </c>
      <c r="G1102" s="10">
        <f t="shared" si="53"/>
        <v>15.417975</v>
      </c>
      <c r="H1102" s="10">
        <f t="shared" si="53"/>
        <v>15.587616666666667</v>
      </c>
      <c r="I1102" s="10">
        <f t="shared" si="53"/>
        <v>15.431883333333333</v>
      </c>
      <c r="J1102" s="10">
        <f t="shared" si="53"/>
        <v>15.393241666666668</v>
      </c>
      <c r="K1102" s="10">
        <f t="shared" si="53"/>
        <v>15.112383333333334</v>
      </c>
      <c r="L1102" s="10">
        <f t="shared" si="53"/>
        <v>16.174616666666665</v>
      </c>
      <c r="M1102" s="10">
        <f t="shared" si="53"/>
        <v>15.227000000000002</v>
      </c>
      <c r="N1102" s="10">
        <f t="shared" si="53"/>
        <v>15.244124999999999</v>
      </c>
      <c r="O1102" s="10">
        <f t="shared" si="53"/>
        <v>15.418866666666666</v>
      </c>
      <c r="P1102" s="10">
        <f t="shared" si="53"/>
        <v>15.265216666666666</v>
      </c>
      <c r="Q1102" s="10">
        <f t="shared" si="53"/>
        <v>16.014166666666668</v>
      </c>
      <c r="R1102" s="10">
        <f t="shared" si="53"/>
        <v>16.641200000000001</v>
      </c>
      <c r="S1102" s="10">
        <f t="shared" si="53"/>
        <v>14.970783333333332</v>
      </c>
      <c r="T1102" s="32">
        <f>SUM(T541:T552)</f>
        <v>357.24568100000005</v>
      </c>
      <c r="U1102" s="32">
        <f>SUM(U541:U552)</f>
        <v>142.03263249999998</v>
      </c>
      <c r="V1102" s="32">
        <f>SUM(V541:V552)</f>
        <v>50.187500000000007</v>
      </c>
      <c r="W1102" s="32">
        <f>SUM(W541:W552)</f>
        <v>5.0822234999999996</v>
      </c>
      <c r="X1102" s="32">
        <f>SUM(X541:X552)</f>
        <v>20.758966663999999</v>
      </c>
      <c r="Y1102" s="32"/>
      <c r="Z1102" s="32"/>
      <c r="AA1102" s="35"/>
      <c r="AB1102" s="34"/>
      <c r="AC1102" s="33">
        <f>AVERAGE(AC541:AC552)</f>
        <v>15.446731842912534</v>
      </c>
      <c r="AD1102" s="27">
        <f>AVERAGE(AD541:AD552)</f>
        <v>15.295468585131893</v>
      </c>
    </row>
    <row r="1103" spans="1:30" ht="15" x14ac:dyDescent="0.2">
      <c r="A1103" s="11">
        <f t="shared" si="32"/>
        <v>2059</v>
      </c>
      <c r="B1103" s="10">
        <f t="shared" ref="B1103:S1103" si="54">AVERAGE(B553:B564)</f>
        <v>15.816141666666669</v>
      </c>
      <c r="C1103" s="10">
        <f t="shared" si="54"/>
        <v>15.822416666666667</v>
      </c>
      <c r="D1103" s="10">
        <f t="shared" si="54"/>
        <v>15.9381</v>
      </c>
      <c r="E1103" s="10">
        <f t="shared" si="54"/>
        <v>15.970266666666666</v>
      </c>
      <c r="F1103" s="10">
        <f t="shared" si="54"/>
        <v>15.772100000000002</v>
      </c>
      <c r="G1103" s="10">
        <f t="shared" si="54"/>
        <v>15.78944166666667</v>
      </c>
      <c r="H1103" s="10">
        <f t="shared" si="54"/>
        <v>15.959074999999999</v>
      </c>
      <c r="I1103" s="10">
        <f t="shared" si="54"/>
        <v>15.803349999999996</v>
      </c>
      <c r="J1103" s="10">
        <f t="shared" si="54"/>
        <v>15.764699999999999</v>
      </c>
      <c r="K1103" s="10">
        <f t="shared" si="54"/>
        <v>15.472249999999997</v>
      </c>
      <c r="L1103" s="10">
        <f t="shared" si="54"/>
        <v>16.546074999999998</v>
      </c>
      <c r="M1103" s="10">
        <f t="shared" si="54"/>
        <v>15.593675000000003</v>
      </c>
      <c r="N1103" s="10">
        <f t="shared" si="54"/>
        <v>15.610791666666664</v>
      </c>
      <c r="O1103" s="10">
        <f t="shared" si="54"/>
        <v>15.785533333333335</v>
      </c>
      <c r="P1103" s="10">
        <f t="shared" si="54"/>
        <v>15.631841666666666</v>
      </c>
      <c r="Q1103" s="10">
        <f t="shared" si="54"/>
        <v>16.380833333333332</v>
      </c>
      <c r="R1103" s="10">
        <f t="shared" si="54"/>
        <v>17.00876666666667</v>
      </c>
      <c r="S1103" s="10">
        <f t="shared" si="54"/>
        <v>15.330483333333333</v>
      </c>
      <c r="T1103" s="32">
        <f>SUM(T553:T564)</f>
        <v>357.24568100000005</v>
      </c>
      <c r="U1103" s="32">
        <f>SUM(U553:U564)</f>
        <v>142.03263249999998</v>
      </c>
      <c r="V1103" s="32">
        <f>SUM(V553:V564)</f>
        <v>50.187500000000007</v>
      </c>
      <c r="W1103" s="32">
        <f>SUM(W553:W564)</f>
        <v>5.0822234999999996</v>
      </c>
      <c r="X1103" s="32">
        <f>SUM(X553:X564)</f>
        <v>20.758966663999999</v>
      </c>
      <c r="Y1103" s="32"/>
      <c r="Z1103" s="32"/>
      <c r="AA1103" s="10"/>
      <c r="AB1103" s="10"/>
      <c r="AC1103" s="33">
        <f>AVERAGE(AC553:AC564)</f>
        <v>15.818186506571315</v>
      </c>
      <c r="AD1103" s="27">
        <f>AVERAGE(AD553:AD564)</f>
        <v>15.662133573141489</v>
      </c>
    </row>
    <row r="1104" spans="1:30" ht="15" x14ac:dyDescent="0.2">
      <c r="A1104" s="11">
        <f t="shared" si="32"/>
        <v>2060</v>
      </c>
      <c r="B1104" s="10">
        <f t="shared" ref="B1104:S1104" si="55">AVERAGE(B565:B576)</f>
        <v>16.196549999999998</v>
      </c>
      <c r="C1104" s="10">
        <f t="shared" si="55"/>
        <v>16.202825000000001</v>
      </c>
      <c r="D1104" s="10">
        <f t="shared" si="55"/>
        <v>16.31850833333333</v>
      </c>
      <c r="E1104" s="10">
        <f t="shared" si="55"/>
        <v>16.350658333333335</v>
      </c>
      <c r="F1104" s="10">
        <f t="shared" si="55"/>
        <v>16.152483333333333</v>
      </c>
      <c r="G1104" s="10">
        <f t="shared" si="55"/>
        <v>16.169833333333333</v>
      </c>
      <c r="H1104" s="10">
        <f t="shared" si="55"/>
        <v>16.339441666666662</v>
      </c>
      <c r="I1104" s="10">
        <f t="shared" si="55"/>
        <v>16.183741666666666</v>
      </c>
      <c r="J1104" s="10">
        <f t="shared" si="55"/>
        <v>16.145083333333332</v>
      </c>
      <c r="K1104" s="10">
        <f t="shared" si="55"/>
        <v>15.840758333333332</v>
      </c>
      <c r="L1104" s="10">
        <f t="shared" si="55"/>
        <v>16.926441666666665</v>
      </c>
      <c r="M1104" s="10">
        <f t="shared" si="55"/>
        <v>15.969133333333332</v>
      </c>
      <c r="N1104" s="10">
        <f t="shared" si="55"/>
        <v>15.986241666666665</v>
      </c>
      <c r="O1104" s="10">
        <f t="shared" si="55"/>
        <v>16.160983333333334</v>
      </c>
      <c r="P1104" s="10">
        <f t="shared" si="55"/>
        <v>16.007324999999998</v>
      </c>
      <c r="Q1104" s="10">
        <f t="shared" si="55"/>
        <v>16.756283333333332</v>
      </c>
      <c r="R1104" s="10">
        <f t="shared" si="55"/>
        <v>17.385183333333334</v>
      </c>
      <c r="S1104" s="10">
        <f t="shared" si="55"/>
        <v>15.69881666666666</v>
      </c>
      <c r="T1104" s="32">
        <f>SUM(T565:T576)</f>
        <v>358.17703550000004</v>
      </c>
      <c r="U1104" s="32">
        <f>SUM(U565:U576)</f>
        <v>142.42176299999997</v>
      </c>
      <c r="V1104" s="32">
        <f>SUM(V565:V576)</f>
        <v>50.325000000000003</v>
      </c>
      <c r="W1104" s="32">
        <f>SUM(W565:W576)</f>
        <v>5.0961473999999995</v>
      </c>
      <c r="X1104" s="32">
        <f>SUM(X565:X576)</f>
        <v>20.800615543999996</v>
      </c>
      <c r="Y1104" s="32"/>
      <c r="Z1104" s="32"/>
      <c r="AA1104" s="35"/>
      <c r="AB1104" s="34"/>
      <c r="AC1104" s="33">
        <f>AVERAGE(AC565:AC576)</f>
        <v>16.198584664684933</v>
      </c>
      <c r="AD1104" s="27">
        <f>AVERAGE(AD565:AD576)</f>
        <v>16.037589808153481</v>
      </c>
    </row>
    <row r="1105" spans="1:30" ht="15" x14ac:dyDescent="0.2">
      <c r="A1105" s="11">
        <f t="shared" si="32"/>
        <v>2061</v>
      </c>
      <c r="B1105" s="10">
        <f t="shared" ref="B1105:S1105" si="56">AVERAGE(B577:B588)</f>
        <v>16.586066666666667</v>
      </c>
      <c r="C1105" s="10">
        <f t="shared" si="56"/>
        <v>16.592358333333333</v>
      </c>
      <c r="D1105" s="10">
        <f t="shared" si="56"/>
        <v>16.708041666666666</v>
      </c>
      <c r="E1105" s="10">
        <f t="shared" si="56"/>
        <v>16.740183333333331</v>
      </c>
      <c r="F1105" s="10">
        <f t="shared" si="56"/>
        <v>16.542016666666665</v>
      </c>
      <c r="G1105" s="10">
        <f t="shared" si="56"/>
        <v>16.559349999999998</v>
      </c>
      <c r="H1105" s="10">
        <f t="shared" si="56"/>
        <v>16.728974999999998</v>
      </c>
      <c r="I1105" s="10">
        <f t="shared" si="56"/>
        <v>16.573258333333332</v>
      </c>
      <c r="J1105" s="10">
        <f t="shared" si="56"/>
        <v>16.534616666666665</v>
      </c>
      <c r="K1105" s="10">
        <f t="shared" si="56"/>
        <v>16.218141666666664</v>
      </c>
      <c r="L1105" s="10">
        <f t="shared" si="56"/>
        <v>17.315974999999998</v>
      </c>
      <c r="M1105" s="10">
        <f t="shared" si="56"/>
        <v>16.353608333333334</v>
      </c>
      <c r="N1105" s="10">
        <f t="shared" si="56"/>
        <v>16.370733333333337</v>
      </c>
      <c r="O1105" s="10">
        <f t="shared" si="56"/>
        <v>16.54546666666667</v>
      </c>
      <c r="P1105" s="10">
        <f t="shared" si="56"/>
        <v>16.391808333333334</v>
      </c>
      <c r="Q1105" s="10">
        <f t="shared" si="56"/>
        <v>17.140766666666668</v>
      </c>
      <c r="R1105" s="10">
        <f t="shared" si="56"/>
        <v>17.770624999999999</v>
      </c>
      <c r="S1105" s="10">
        <f t="shared" si="56"/>
        <v>16.075983333333333</v>
      </c>
      <c r="T1105" s="32">
        <f>SUM(T577:T588)</f>
        <v>357.24568100000005</v>
      </c>
      <c r="U1105" s="32">
        <f>SUM(U577:U588)</f>
        <v>142.03263249999998</v>
      </c>
      <c r="V1105" s="32">
        <f>SUM(V577:V588)</f>
        <v>50.187500000000007</v>
      </c>
      <c r="W1105" s="32">
        <f>SUM(W577:W588)</f>
        <v>5.0822234999999996</v>
      </c>
      <c r="X1105" s="32">
        <f>SUM(X577:X588)</f>
        <v>20.758966663999999</v>
      </c>
      <c r="Y1105" s="32"/>
      <c r="Z1105" s="32"/>
      <c r="AA1105" s="35"/>
      <c r="AB1105" s="34"/>
      <c r="AC1105" s="33">
        <f>AVERAGE(AC577:AC588)</f>
        <v>16.588110951001926</v>
      </c>
      <c r="AD1105" s="27">
        <f>AVERAGE(AD577:AD588)</f>
        <v>16.422070743405275</v>
      </c>
    </row>
    <row r="1106" spans="1:30" ht="15" x14ac:dyDescent="0.2">
      <c r="A1106" s="11">
        <f t="shared" si="32"/>
        <v>2062</v>
      </c>
      <c r="B1106" s="10">
        <f t="shared" ref="B1106:K1115" ca="1" si="57">AVERAGE(OFFSET(B$589,($A1106-$A$1106)*12,0,12,1))</f>
        <v>16.984950000000001</v>
      </c>
      <c r="C1106" s="10">
        <f t="shared" ca="1" si="57"/>
        <v>16.991241666666664</v>
      </c>
      <c r="D1106" s="10">
        <f t="shared" ca="1" si="57"/>
        <v>17.106933333333334</v>
      </c>
      <c r="E1106" s="10">
        <f t="shared" ca="1" si="57"/>
        <v>17.139083333333335</v>
      </c>
      <c r="F1106" s="10">
        <f t="shared" ca="1" si="57"/>
        <v>16.940900000000003</v>
      </c>
      <c r="G1106" s="10">
        <f t="shared" ca="1" si="57"/>
        <v>16.958250000000003</v>
      </c>
      <c r="H1106" s="10">
        <f t="shared" ca="1" si="57"/>
        <v>17.127866666666666</v>
      </c>
      <c r="I1106" s="10">
        <f t="shared" ca="1" si="57"/>
        <v>16.972158333333336</v>
      </c>
      <c r="J1106" s="10">
        <f t="shared" ca="1" si="57"/>
        <v>16.933499999999999</v>
      </c>
      <c r="K1106" s="10">
        <f t="shared" ca="1" si="57"/>
        <v>16.604583333333334</v>
      </c>
      <c r="L1106" s="10">
        <f t="shared" ref="L1106:S1115" ca="1" si="58">AVERAGE(OFFSET(L$589,($A1106-$A$1106)*12,0,12,1))</f>
        <v>17.714866666666666</v>
      </c>
      <c r="M1106" s="10">
        <f t="shared" ca="1" si="58"/>
        <v>16.747350000000001</v>
      </c>
      <c r="N1106" s="10">
        <f t="shared" ca="1" si="58"/>
        <v>16.764449999999997</v>
      </c>
      <c r="O1106" s="10">
        <f t="shared" ca="1" si="58"/>
        <v>16.939200000000003</v>
      </c>
      <c r="P1106" s="10">
        <f t="shared" ca="1" si="58"/>
        <v>16.785541666666667</v>
      </c>
      <c r="Q1106" s="10">
        <f t="shared" ca="1" si="58"/>
        <v>17.534499999999998</v>
      </c>
      <c r="R1106" s="10">
        <f t="shared" ca="1" si="58"/>
        <v>18.165316666666669</v>
      </c>
      <c r="S1106" s="10">
        <f t="shared" ca="1" si="58"/>
        <v>16.462241666666664</v>
      </c>
      <c r="T1106" s="32">
        <f t="shared" ref="T1106:X1115" ca="1" si="59">SUM(OFFSET(T$589,($A1106-$A$1106)*12,0,12,1))</f>
        <v>357.24568100000005</v>
      </c>
      <c r="U1106" s="32">
        <f t="shared" ca="1" si="59"/>
        <v>142.03263249999998</v>
      </c>
      <c r="V1106" s="32">
        <f t="shared" ca="1" si="59"/>
        <v>50.187500000000007</v>
      </c>
      <c r="W1106" s="32">
        <f t="shared" ca="1" si="59"/>
        <v>5.0822234999999996</v>
      </c>
      <c r="X1106" s="32">
        <f t="shared" ca="1" si="59"/>
        <v>20.758966663999999</v>
      </c>
      <c r="Y1106" s="32"/>
      <c r="Z1106" s="10"/>
      <c r="AA1106" s="10"/>
      <c r="AB1106" s="10"/>
      <c r="AC1106" s="10">
        <f t="shared" ref="AC1106:AD1125" ca="1" si="60">AVERAGE(OFFSET(AC$589,($A1106-$A$1106)*12,0,12,1))</f>
        <v>16.986999535874048</v>
      </c>
      <c r="AD1106" s="10">
        <f t="shared" ca="1" si="60"/>
        <v>16.840782973621103</v>
      </c>
    </row>
    <row r="1107" spans="1:30" ht="15" x14ac:dyDescent="0.2">
      <c r="A1107" s="11">
        <f t="shared" si="32"/>
        <v>2063</v>
      </c>
      <c r="B1107" s="10">
        <f t="shared" ca="1" si="57"/>
        <v>17.393408333333333</v>
      </c>
      <c r="C1107" s="10">
        <f t="shared" ca="1" si="57"/>
        <v>17.399699999999999</v>
      </c>
      <c r="D1107" s="10">
        <f t="shared" ca="1" si="57"/>
        <v>17.515391666666666</v>
      </c>
      <c r="E1107" s="10">
        <f t="shared" ca="1" si="57"/>
        <v>17.547549999999998</v>
      </c>
      <c r="F1107" s="10">
        <f t="shared" ca="1" si="57"/>
        <v>17.349366666666665</v>
      </c>
      <c r="G1107" s="10">
        <f t="shared" ca="1" si="57"/>
        <v>17.366716666666665</v>
      </c>
      <c r="H1107" s="10">
        <f t="shared" ca="1" si="57"/>
        <v>17.536350000000002</v>
      </c>
      <c r="I1107" s="10">
        <f t="shared" ca="1" si="57"/>
        <v>17.380624999999998</v>
      </c>
      <c r="J1107" s="10">
        <f t="shared" ca="1" si="57"/>
        <v>17.341966666666668</v>
      </c>
      <c r="K1107" s="10">
        <f t="shared" ca="1" si="57"/>
        <v>17.000291666666666</v>
      </c>
      <c r="L1107" s="10">
        <f t="shared" ca="1" si="58"/>
        <v>18.123349999999999</v>
      </c>
      <c r="M1107" s="10">
        <f t="shared" ca="1" si="58"/>
        <v>17.150508333333335</v>
      </c>
      <c r="N1107" s="10">
        <f t="shared" ca="1" si="58"/>
        <v>17.167633333333331</v>
      </c>
      <c r="O1107" s="10">
        <f t="shared" ca="1" si="58"/>
        <v>17.342366666666663</v>
      </c>
      <c r="P1107" s="10">
        <f t="shared" ca="1" si="58"/>
        <v>17.188716666666664</v>
      </c>
      <c r="Q1107" s="10">
        <f t="shared" ca="1" si="58"/>
        <v>17.937666666666665</v>
      </c>
      <c r="R1107" s="10">
        <f t="shared" ca="1" si="58"/>
        <v>18.569516666666669</v>
      </c>
      <c r="S1107" s="10">
        <f t="shared" ca="1" si="58"/>
        <v>16.857758333333333</v>
      </c>
      <c r="T1107" s="32">
        <f t="shared" ca="1" si="59"/>
        <v>357.24568100000005</v>
      </c>
      <c r="U1107" s="32">
        <f t="shared" ca="1" si="59"/>
        <v>142.03263249999998</v>
      </c>
      <c r="V1107" s="32">
        <f t="shared" ca="1" si="59"/>
        <v>50.187500000000007</v>
      </c>
      <c r="W1107" s="32">
        <f t="shared" ca="1" si="59"/>
        <v>5.0822234999999996</v>
      </c>
      <c r="X1107" s="32">
        <f t="shared" ca="1" si="59"/>
        <v>20.758966663999999</v>
      </c>
      <c r="Y1107" s="32"/>
      <c r="Z1107" s="10"/>
      <c r="AA1107" s="10"/>
      <c r="AB1107" s="10"/>
      <c r="AC1107" s="10">
        <f t="shared" ca="1" si="60"/>
        <v>17.395462388378835</v>
      </c>
      <c r="AD1107" s="10">
        <f t="shared" ca="1" si="60"/>
        <v>17.243948920863314</v>
      </c>
    </row>
    <row r="1108" spans="1:30" ht="15" x14ac:dyDescent="0.2">
      <c r="A1108" s="11">
        <f t="shared" si="32"/>
        <v>2064</v>
      </c>
      <c r="B1108" s="10">
        <f t="shared" ca="1" si="57"/>
        <v>17.811691666666668</v>
      </c>
      <c r="C1108" s="10">
        <f t="shared" ca="1" si="57"/>
        <v>17.817975000000001</v>
      </c>
      <c r="D1108" s="10">
        <f t="shared" ca="1" si="57"/>
        <v>17.933658333333334</v>
      </c>
      <c r="E1108" s="10">
        <f t="shared" ca="1" si="57"/>
        <v>17.965833333333332</v>
      </c>
      <c r="F1108" s="10">
        <f t="shared" ca="1" si="57"/>
        <v>17.767658333333333</v>
      </c>
      <c r="G1108" s="10">
        <f t="shared" ca="1" si="57"/>
        <v>17.784991666666663</v>
      </c>
      <c r="H1108" s="10">
        <f t="shared" ca="1" si="57"/>
        <v>17.954633333333334</v>
      </c>
      <c r="I1108" s="10">
        <f t="shared" ca="1" si="57"/>
        <v>17.7989</v>
      </c>
      <c r="J1108" s="10">
        <f t="shared" ca="1" si="57"/>
        <v>17.760258333333336</v>
      </c>
      <c r="K1108" s="10">
        <f t="shared" ca="1" si="57"/>
        <v>17.405533333333334</v>
      </c>
      <c r="L1108" s="10">
        <f t="shared" ca="1" si="58"/>
        <v>18.541633333333333</v>
      </c>
      <c r="M1108" s="10">
        <f t="shared" ca="1" si="58"/>
        <v>17.563375000000004</v>
      </c>
      <c r="N1108" s="10">
        <f t="shared" ca="1" si="58"/>
        <v>17.580500000000001</v>
      </c>
      <c r="O1108" s="10">
        <f t="shared" ca="1" si="58"/>
        <v>17.755233333333333</v>
      </c>
      <c r="P1108" s="10">
        <f t="shared" ca="1" si="58"/>
        <v>17.601583333333334</v>
      </c>
      <c r="Q1108" s="10">
        <f t="shared" ca="1" si="58"/>
        <v>18.350533333333335</v>
      </c>
      <c r="R1108" s="10">
        <f t="shared" ca="1" si="58"/>
        <v>18.983425</v>
      </c>
      <c r="S1108" s="10">
        <f t="shared" ca="1" si="58"/>
        <v>17.262791666666661</v>
      </c>
      <c r="T1108" s="32">
        <f t="shared" ca="1" si="59"/>
        <v>358.17703550000004</v>
      </c>
      <c r="U1108" s="32">
        <f t="shared" ca="1" si="59"/>
        <v>142.42176299999997</v>
      </c>
      <c r="V1108" s="32">
        <f t="shared" ca="1" si="59"/>
        <v>50.325000000000003</v>
      </c>
      <c r="W1108" s="32">
        <f t="shared" ca="1" si="59"/>
        <v>5.0961473999999995</v>
      </c>
      <c r="X1108" s="32">
        <f t="shared" ca="1" si="59"/>
        <v>20.800615543999996</v>
      </c>
      <c r="Y1108" s="32"/>
      <c r="Z1108" s="10"/>
      <c r="AA1108" s="10"/>
      <c r="AB1108" s="10"/>
      <c r="AC1108" s="10">
        <f t="shared" ca="1" si="60"/>
        <v>17.813742671021696</v>
      </c>
      <c r="AD1108" s="10">
        <f t="shared" ca="1" si="60"/>
        <v>17.656815587529977</v>
      </c>
    </row>
    <row r="1109" spans="1:30" ht="15" x14ac:dyDescent="0.2">
      <c r="A1109" s="11">
        <f t="shared" si="32"/>
        <v>2065</v>
      </c>
      <c r="B1109" s="10">
        <f t="shared" ca="1" si="57"/>
        <v>18.240041666666666</v>
      </c>
      <c r="C1109" s="10">
        <f t="shared" ca="1" si="57"/>
        <v>18.246325000000002</v>
      </c>
      <c r="D1109" s="10">
        <f t="shared" ca="1" si="57"/>
        <v>18.362016666666666</v>
      </c>
      <c r="E1109" s="10">
        <f t="shared" ca="1" si="57"/>
        <v>18.394166666666671</v>
      </c>
      <c r="F1109" s="10">
        <f t="shared" ca="1" si="57"/>
        <v>18.195983333333334</v>
      </c>
      <c r="G1109" s="10">
        <f t="shared" ca="1" si="57"/>
        <v>18.213333333333331</v>
      </c>
      <c r="H1109" s="10">
        <f t="shared" ca="1" si="57"/>
        <v>18.382966666666665</v>
      </c>
      <c r="I1109" s="10">
        <f t="shared" ca="1" si="57"/>
        <v>18.227241666666668</v>
      </c>
      <c r="J1109" s="10">
        <f t="shared" ca="1" si="57"/>
        <v>18.18858333333333</v>
      </c>
      <c r="K1109" s="10">
        <f t="shared" ca="1" si="57"/>
        <v>17.820483333333332</v>
      </c>
      <c r="L1109" s="10">
        <f t="shared" ca="1" si="58"/>
        <v>18.969966666666668</v>
      </c>
      <c r="M1109" s="10">
        <f t="shared" ca="1" si="58"/>
        <v>17.986175000000003</v>
      </c>
      <c r="N1109" s="10">
        <f t="shared" ca="1" si="58"/>
        <v>18.003299999999999</v>
      </c>
      <c r="O1109" s="10">
        <f t="shared" ca="1" si="58"/>
        <v>18.178033333333332</v>
      </c>
      <c r="P1109" s="10">
        <f t="shared" ca="1" si="58"/>
        <v>18.024383333333336</v>
      </c>
      <c r="Q1109" s="10">
        <f t="shared" ca="1" si="58"/>
        <v>18.773333333333337</v>
      </c>
      <c r="R1109" s="10">
        <f t="shared" ca="1" si="58"/>
        <v>19.407266666666668</v>
      </c>
      <c r="S1109" s="10">
        <f t="shared" ca="1" si="58"/>
        <v>17.67754166666667</v>
      </c>
      <c r="T1109" s="32">
        <f t="shared" ca="1" si="59"/>
        <v>357.24568100000005</v>
      </c>
      <c r="U1109" s="32">
        <f t="shared" ca="1" si="59"/>
        <v>142.03263249999998</v>
      </c>
      <c r="V1109" s="32">
        <f t="shared" ca="1" si="59"/>
        <v>50.187500000000007</v>
      </c>
      <c r="W1109" s="32">
        <f t="shared" ca="1" si="59"/>
        <v>5.0822234999999996</v>
      </c>
      <c r="X1109" s="32">
        <f t="shared" ca="1" si="59"/>
        <v>20.758966663999999</v>
      </c>
      <c r="Y1109" s="32"/>
      <c r="Z1109" s="10"/>
      <c r="AA1109" s="10"/>
      <c r="AB1109" s="10"/>
      <c r="AC1109" s="10">
        <f t="shared" ca="1" si="60"/>
        <v>18.242084332628508</v>
      </c>
      <c r="AD1109" s="10">
        <f t="shared" ca="1" si="60"/>
        <v>18.079615587529979</v>
      </c>
    </row>
    <row r="1110" spans="1:30" ht="15" x14ac:dyDescent="0.2">
      <c r="A1110" s="11">
        <f t="shared" si="32"/>
        <v>2066</v>
      </c>
      <c r="B1110" s="10">
        <f t="shared" ca="1" si="57"/>
        <v>18.678666666666668</v>
      </c>
      <c r="C1110" s="10">
        <f t="shared" ca="1" si="57"/>
        <v>18.684958333333334</v>
      </c>
      <c r="D1110" s="10">
        <f t="shared" ca="1" si="57"/>
        <v>18.800650000000001</v>
      </c>
      <c r="E1110" s="10">
        <f t="shared" ca="1" si="57"/>
        <v>18.832791666666669</v>
      </c>
      <c r="F1110" s="10">
        <f t="shared" ca="1" si="57"/>
        <v>18.634625000000003</v>
      </c>
      <c r="G1110" s="10">
        <f t="shared" ca="1" si="57"/>
        <v>18.651958333333329</v>
      </c>
      <c r="H1110" s="10">
        <f t="shared" ca="1" si="57"/>
        <v>18.821599999999997</v>
      </c>
      <c r="I1110" s="10">
        <f t="shared" ca="1" si="57"/>
        <v>18.66586666666667</v>
      </c>
      <c r="J1110" s="10">
        <f t="shared" ca="1" si="57"/>
        <v>18.627224999999996</v>
      </c>
      <c r="K1110" s="10">
        <f t="shared" ca="1" si="57"/>
        <v>18.245425000000001</v>
      </c>
      <c r="L1110" s="10">
        <f t="shared" ca="1" si="58"/>
        <v>19.408600000000003</v>
      </c>
      <c r="M1110" s="10">
        <f t="shared" ca="1" si="58"/>
        <v>18.419124999999998</v>
      </c>
      <c r="N1110" s="10">
        <f t="shared" ca="1" si="58"/>
        <v>18.436249999999998</v>
      </c>
      <c r="O1110" s="10">
        <f t="shared" ca="1" si="58"/>
        <v>18.610991666666667</v>
      </c>
      <c r="P1110" s="10">
        <f t="shared" ca="1" si="58"/>
        <v>18.457316666666667</v>
      </c>
      <c r="Q1110" s="10">
        <f t="shared" ca="1" si="58"/>
        <v>19.206291666666662</v>
      </c>
      <c r="R1110" s="10">
        <f t="shared" ca="1" si="58"/>
        <v>19.841283333333333</v>
      </c>
      <c r="S1110" s="10">
        <f t="shared" ca="1" si="58"/>
        <v>18.102266666666669</v>
      </c>
      <c r="T1110" s="32">
        <f t="shared" ca="1" si="59"/>
        <v>357.24568100000005</v>
      </c>
      <c r="U1110" s="32">
        <f t="shared" ca="1" si="59"/>
        <v>142.03263249999998</v>
      </c>
      <c r="V1110" s="32">
        <f t="shared" ca="1" si="59"/>
        <v>50.187500000000007</v>
      </c>
      <c r="W1110" s="32">
        <f t="shared" ca="1" si="59"/>
        <v>5.0822234999999996</v>
      </c>
      <c r="X1110" s="32">
        <f t="shared" ca="1" si="59"/>
        <v>20.758966663999999</v>
      </c>
      <c r="Y1110" s="32"/>
      <c r="Z1110" s="10"/>
      <c r="AA1110" s="10"/>
      <c r="AB1110" s="10"/>
      <c r="AC1110" s="10">
        <f t="shared" ca="1" si="60"/>
        <v>18.68071616517862</v>
      </c>
      <c r="AD1110" s="10">
        <f t="shared" ca="1" si="60"/>
        <v>18.51256696642686</v>
      </c>
    </row>
    <row r="1111" spans="1:30" ht="15" x14ac:dyDescent="0.2">
      <c r="A1111" s="11">
        <f t="shared" si="32"/>
        <v>2067</v>
      </c>
      <c r="B1111" s="10">
        <f t="shared" ca="1" si="57"/>
        <v>19.127841666666669</v>
      </c>
      <c r="C1111" s="10">
        <f t="shared" ca="1" si="57"/>
        <v>19.134116666666671</v>
      </c>
      <c r="D1111" s="10">
        <f t="shared" ca="1" si="57"/>
        <v>19.249791666666663</v>
      </c>
      <c r="E1111" s="10">
        <f t="shared" ca="1" si="57"/>
        <v>19.281949999999998</v>
      </c>
      <c r="F1111" s="10">
        <f t="shared" ca="1" si="57"/>
        <v>19.083775000000003</v>
      </c>
      <c r="G1111" s="10">
        <f t="shared" ca="1" si="57"/>
        <v>19.101116666666666</v>
      </c>
      <c r="H1111" s="10">
        <f t="shared" ca="1" si="57"/>
        <v>19.270758333333333</v>
      </c>
      <c r="I1111" s="10">
        <f t="shared" ca="1" si="57"/>
        <v>19.115033333333333</v>
      </c>
      <c r="J1111" s="10">
        <f t="shared" ca="1" si="57"/>
        <v>19.076374999999999</v>
      </c>
      <c r="K1111" s="10">
        <f t="shared" ca="1" si="57"/>
        <v>18.680566666666667</v>
      </c>
      <c r="L1111" s="10">
        <f t="shared" ca="1" si="58"/>
        <v>19.857758333333337</v>
      </c>
      <c r="M1111" s="10">
        <f t="shared" ca="1" si="58"/>
        <v>18.862491666666664</v>
      </c>
      <c r="N1111" s="10">
        <f t="shared" ca="1" si="58"/>
        <v>18.879583333333333</v>
      </c>
      <c r="O1111" s="10">
        <f t="shared" ca="1" si="58"/>
        <v>19.054325000000002</v>
      </c>
      <c r="P1111" s="10">
        <f t="shared" ca="1" si="58"/>
        <v>18.900691666666663</v>
      </c>
      <c r="Q1111" s="10">
        <f t="shared" ca="1" si="58"/>
        <v>19.649624999999997</v>
      </c>
      <c r="R1111" s="10">
        <f t="shared" ca="1" si="58"/>
        <v>20.285766666666664</v>
      </c>
      <c r="S1111" s="10">
        <f t="shared" ca="1" si="58"/>
        <v>18.537183333333331</v>
      </c>
      <c r="T1111" s="32">
        <f t="shared" ca="1" si="59"/>
        <v>357.24568100000005</v>
      </c>
      <c r="U1111" s="32">
        <f t="shared" ca="1" si="59"/>
        <v>142.03263249999998</v>
      </c>
      <c r="V1111" s="32">
        <f t="shared" ca="1" si="59"/>
        <v>50.187500000000007</v>
      </c>
      <c r="W1111" s="32">
        <f t="shared" ca="1" si="59"/>
        <v>5.0822234999999996</v>
      </c>
      <c r="X1111" s="32">
        <f t="shared" ca="1" si="59"/>
        <v>20.758966663999999</v>
      </c>
      <c r="Y1111" s="32"/>
      <c r="Z1111" s="10"/>
      <c r="AA1111" s="10"/>
      <c r="AB1111" s="10"/>
      <c r="AC1111" s="10">
        <f t="shared" ca="1" si="60"/>
        <v>19.129873251401413</v>
      </c>
      <c r="AD1111" s="10">
        <f t="shared" ca="1" si="60"/>
        <v>18.955917805755394</v>
      </c>
    </row>
    <row r="1112" spans="1:30" ht="15" x14ac:dyDescent="0.2">
      <c r="A1112" s="11">
        <f t="shared" si="32"/>
        <v>2068</v>
      </c>
      <c r="B1112" s="10">
        <f t="shared" ca="1" si="57"/>
        <v>19.587808333333331</v>
      </c>
      <c r="C1112" s="10">
        <f t="shared" ca="1" si="57"/>
        <v>19.594083333333334</v>
      </c>
      <c r="D1112" s="10">
        <f t="shared" ca="1" si="57"/>
        <v>19.709766666666667</v>
      </c>
      <c r="E1112" s="10">
        <f t="shared" ca="1" si="57"/>
        <v>19.741916666666672</v>
      </c>
      <c r="F1112" s="10">
        <f t="shared" ca="1" si="57"/>
        <v>19.543749999999999</v>
      </c>
      <c r="G1112" s="10">
        <f t="shared" ca="1" si="57"/>
        <v>19.561091666666666</v>
      </c>
      <c r="H1112" s="10">
        <f t="shared" ca="1" si="57"/>
        <v>19.730716666666662</v>
      </c>
      <c r="I1112" s="10">
        <f t="shared" ca="1" si="57"/>
        <v>19.574983333333332</v>
      </c>
      <c r="J1112" s="10">
        <f t="shared" ca="1" si="57"/>
        <v>19.536349999999995</v>
      </c>
      <c r="K1112" s="10">
        <f t="shared" ca="1" si="57"/>
        <v>19.126149999999999</v>
      </c>
      <c r="L1112" s="10">
        <f t="shared" ca="1" si="58"/>
        <v>20.317716666666666</v>
      </c>
      <c r="M1112" s="10">
        <f t="shared" ca="1" si="58"/>
        <v>19.316483333333334</v>
      </c>
      <c r="N1112" s="10">
        <f t="shared" ca="1" si="58"/>
        <v>19.333591666666667</v>
      </c>
      <c r="O1112" s="10">
        <f t="shared" ca="1" si="58"/>
        <v>19.508333333333336</v>
      </c>
      <c r="P1112" s="10">
        <f t="shared" ca="1" si="58"/>
        <v>19.354674999999997</v>
      </c>
      <c r="Q1112" s="10">
        <f t="shared" ca="1" si="58"/>
        <v>20.103633333333335</v>
      </c>
      <c r="R1112" s="10">
        <f t="shared" ca="1" si="58"/>
        <v>20.740908333333334</v>
      </c>
      <c r="S1112" s="10">
        <f t="shared" ca="1" si="58"/>
        <v>18.982583333333334</v>
      </c>
      <c r="T1112" s="32">
        <f t="shared" ca="1" si="59"/>
        <v>358.17703550000004</v>
      </c>
      <c r="U1112" s="32">
        <f t="shared" ca="1" si="59"/>
        <v>142.42176299999997</v>
      </c>
      <c r="V1112" s="32">
        <f t="shared" ca="1" si="59"/>
        <v>50.325000000000003</v>
      </c>
      <c r="W1112" s="32">
        <f t="shared" ca="1" si="59"/>
        <v>5.0961473999999995</v>
      </c>
      <c r="X1112" s="32">
        <f t="shared" ca="1" si="59"/>
        <v>20.800615543999996</v>
      </c>
      <c r="Y1112" s="32"/>
      <c r="Z1112" s="10"/>
      <c r="AA1112" s="10"/>
      <c r="AB1112" s="10"/>
      <c r="AC1112" s="10">
        <f t="shared" ca="1" si="60"/>
        <v>19.589843092891471</v>
      </c>
      <c r="AD1112" s="10">
        <f t="shared" ca="1" si="60"/>
        <v>19.409916786570744</v>
      </c>
    </row>
    <row r="1113" spans="1:30" ht="15" x14ac:dyDescent="0.2">
      <c r="A1113" s="11">
        <f t="shared" si="32"/>
        <v>2069</v>
      </c>
      <c r="B1113" s="10">
        <f t="shared" ca="1" si="57"/>
        <v>20.058808333333335</v>
      </c>
      <c r="C1113" s="10">
        <f t="shared" ca="1" si="57"/>
        <v>20.065083333333334</v>
      </c>
      <c r="D1113" s="10">
        <f t="shared" ca="1" si="57"/>
        <v>20.180758333333333</v>
      </c>
      <c r="E1113" s="10">
        <f t="shared" ca="1" si="57"/>
        <v>20.212933333333336</v>
      </c>
      <c r="F1113" s="10">
        <f t="shared" ca="1" si="57"/>
        <v>20.014758333333329</v>
      </c>
      <c r="G1113" s="10">
        <f t="shared" ca="1" si="57"/>
        <v>20.0321</v>
      </c>
      <c r="H1113" s="10">
        <f t="shared" ca="1" si="57"/>
        <v>20.201741666666667</v>
      </c>
      <c r="I1113" s="10">
        <f t="shared" ca="1" si="57"/>
        <v>20.046008333333329</v>
      </c>
      <c r="J1113" s="10">
        <f t="shared" ca="1" si="57"/>
        <v>20.007358333333332</v>
      </c>
      <c r="K1113" s="10">
        <f t="shared" ca="1" si="57"/>
        <v>19.582466666666665</v>
      </c>
      <c r="L1113" s="10">
        <f t="shared" ca="1" si="58"/>
        <v>20.788741666666663</v>
      </c>
      <c r="M1113" s="10">
        <f t="shared" ca="1" si="58"/>
        <v>19.781383333333334</v>
      </c>
      <c r="N1113" s="10">
        <f t="shared" ca="1" si="58"/>
        <v>19.798508333333331</v>
      </c>
      <c r="O1113" s="10">
        <f t="shared" ca="1" si="58"/>
        <v>19.97325833333333</v>
      </c>
      <c r="P1113" s="10">
        <f t="shared" ca="1" si="58"/>
        <v>19.819600000000001</v>
      </c>
      <c r="Q1113" s="10">
        <f t="shared" ca="1" si="58"/>
        <v>20.568558333333332</v>
      </c>
      <c r="R1113" s="10">
        <f t="shared" ca="1" si="58"/>
        <v>21.20696666666667</v>
      </c>
      <c r="S1113" s="10">
        <f t="shared" ca="1" si="58"/>
        <v>19.438641666666665</v>
      </c>
      <c r="T1113" s="32">
        <f t="shared" ca="1" si="59"/>
        <v>357.24568100000005</v>
      </c>
      <c r="U1113" s="32">
        <f t="shared" ca="1" si="59"/>
        <v>142.03263249999998</v>
      </c>
      <c r="V1113" s="32">
        <f t="shared" ca="1" si="59"/>
        <v>50.187500000000007</v>
      </c>
      <c r="W1113" s="32">
        <f t="shared" ca="1" si="59"/>
        <v>5.0822234999999996</v>
      </c>
      <c r="X1113" s="32">
        <f t="shared" ca="1" si="59"/>
        <v>20.758966663999999</v>
      </c>
      <c r="Y1113" s="32"/>
      <c r="Z1113" s="10"/>
      <c r="AA1113" s="10"/>
      <c r="AB1113" s="10"/>
      <c r="AC1113" s="10">
        <f t="shared" ca="1" si="60"/>
        <v>20.06084898410019</v>
      </c>
      <c r="AD1113" s="10">
        <f t="shared" ca="1" si="60"/>
        <v>19.874832673860912</v>
      </c>
    </row>
    <row r="1114" spans="1:30" ht="15" x14ac:dyDescent="0.2">
      <c r="A1114" s="11">
        <f t="shared" ref="A1114:A1144" si="61">A1113+1</f>
        <v>2070</v>
      </c>
      <c r="B1114" s="10">
        <f t="shared" ca="1" si="57"/>
        <v>20.541141666666665</v>
      </c>
      <c r="C1114" s="10">
        <f t="shared" ca="1" si="57"/>
        <v>20.547416666666663</v>
      </c>
      <c r="D1114" s="10">
        <f t="shared" ca="1" si="57"/>
        <v>20.6631</v>
      </c>
      <c r="E1114" s="10">
        <f t="shared" ca="1" si="57"/>
        <v>20.695258333333332</v>
      </c>
      <c r="F1114" s="10">
        <f t="shared" ca="1" si="57"/>
        <v>20.497074999999995</v>
      </c>
      <c r="G1114" s="10">
        <f t="shared" ca="1" si="57"/>
        <v>20.514424999999999</v>
      </c>
      <c r="H1114" s="10">
        <f t="shared" ca="1" si="57"/>
        <v>20.684058333333336</v>
      </c>
      <c r="I1114" s="10">
        <f t="shared" ca="1" si="57"/>
        <v>20.528333333333332</v>
      </c>
      <c r="J1114" s="10">
        <f t="shared" ca="1" si="57"/>
        <v>20.489675000000002</v>
      </c>
      <c r="K1114" s="10">
        <f t="shared" ca="1" si="57"/>
        <v>20.049758333333333</v>
      </c>
      <c r="L1114" s="10">
        <f t="shared" ca="1" si="58"/>
        <v>21.271058333333333</v>
      </c>
      <c r="M1114" s="10">
        <f t="shared" ca="1" si="58"/>
        <v>20.257483333333333</v>
      </c>
      <c r="N1114" s="10">
        <f t="shared" ca="1" si="58"/>
        <v>20.274608333333333</v>
      </c>
      <c r="O1114" s="10">
        <f t="shared" ca="1" si="58"/>
        <v>20.449333333333332</v>
      </c>
      <c r="P1114" s="10">
        <f t="shared" ca="1" si="58"/>
        <v>20.29569166666667</v>
      </c>
      <c r="Q1114" s="10">
        <f t="shared" ca="1" si="58"/>
        <v>21.044633333333334</v>
      </c>
      <c r="R1114" s="10">
        <f t="shared" ca="1" si="58"/>
        <v>21.684241666666665</v>
      </c>
      <c r="S1114" s="10">
        <f t="shared" ca="1" si="58"/>
        <v>19.905683333333332</v>
      </c>
      <c r="T1114" s="32">
        <f t="shared" ca="1" si="59"/>
        <v>357.24568100000005</v>
      </c>
      <c r="U1114" s="32">
        <f t="shared" ca="1" si="59"/>
        <v>142.03263249999998</v>
      </c>
      <c r="V1114" s="32">
        <f t="shared" ca="1" si="59"/>
        <v>50.187500000000007</v>
      </c>
      <c r="W1114" s="32">
        <f t="shared" ca="1" si="59"/>
        <v>5.0822234999999996</v>
      </c>
      <c r="X1114" s="32">
        <f t="shared" ca="1" si="59"/>
        <v>20.758966663999999</v>
      </c>
      <c r="Y1114" s="32"/>
      <c r="Z1114" s="10"/>
      <c r="AA1114" s="10"/>
      <c r="AB1114" s="10"/>
      <c r="AC1114" s="10">
        <f t="shared" ca="1" si="60"/>
        <v>20.543175940287082</v>
      </c>
      <c r="AD1114" s="10">
        <f t="shared" ca="1" si="60"/>
        <v>20.350920143884888</v>
      </c>
    </row>
    <row r="1115" spans="1:30" ht="15" x14ac:dyDescent="0.2">
      <c r="A1115" s="11">
        <f t="shared" si="61"/>
        <v>2071</v>
      </c>
      <c r="B1115" s="10">
        <f t="shared" ca="1" si="57"/>
        <v>21.035041666666668</v>
      </c>
      <c r="C1115" s="10">
        <f t="shared" ca="1" si="57"/>
        <v>21.041325000000004</v>
      </c>
      <c r="D1115" s="10">
        <f t="shared" ca="1" si="57"/>
        <v>21.157025000000001</v>
      </c>
      <c r="E1115" s="10">
        <f t="shared" ca="1" si="57"/>
        <v>21.189175000000002</v>
      </c>
      <c r="F1115" s="10">
        <f t="shared" ca="1" si="57"/>
        <v>20.991</v>
      </c>
      <c r="G1115" s="10">
        <f t="shared" ca="1" si="57"/>
        <v>21.008349999999997</v>
      </c>
      <c r="H1115" s="10">
        <f t="shared" ca="1" si="57"/>
        <v>21.177983333333334</v>
      </c>
      <c r="I1115" s="10">
        <f t="shared" ca="1" si="57"/>
        <v>21.022250000000003</v>
      </c>
      <c r="J1115" s="10">
        <f t="shared" ca="1" si="57"/>
        <v>20.983599999999999</v>
      </c>
      <c r="K1115" s="10">
        <f t="shared" ca="1" si="57"/>
        <v>20.52825833333333</v>
      </c>
      <c r="L1115" s="10">
        <f t="shared" ca="1" si="58"/>
        <v>21.764983333333333</v>
      </c>
      <c r="M1115" s="10">
        <f t="shared" ca="1" si="58"/>
        <v>20.745008333333335</v>
      </c>
      <c r="N1115" s="10">
        <f t="shared" ca="1" si="58"/>
        <v>20.762116666666667</v>
      </c>
      <c r="O1115" s="10">
        <f t="shared" ca="1" si="58"/>
        <v>20.936858333333337</v>
      </c>
      <c r="P1115" s="10">
        <f t="shared" ca="1" si="58"/>
        <v>20.783200000000001</v>
      </c>
      <c r="Q1115" s="10">
        <f t="shared" ca="1" si="58"/>
        <v>21.532158333333339</v>
      </c>
      <c r="R1115" s="10">
        <f t="shared" ca="1" si="58"/>
        <v>22.173000000000002</v>
      </c>
      <c r="S1115" s="10">
        <f t="shared" ca="1" si="58"/>
        <v>20.383941666666662</v>
      </c>
      <c r="T1115" s="32">
        <f t="shared" ca="1" si="59"/>
        <v>357.24568100000005</v>
      </c>
      <c r="U1115" s="32">
        <f t="shared" ca="1" si="59"/>
        <v>142.03263249999998</v>
      </c>
      <c r="V1115" s="32">
        <f t="shared" ca="1" si="59"/>
        <v>50.187500000000007</v>
      </c>
      <c r="W1115" s="32">
        <f t="shared" ca="1" si="59"/>
        <v>5.0822234999999996</v>
      </c>
      <c r="X1115" s="32">
        <f t="shared" ca="1" si="59"/>
        <v>20.758966663999999</v>
      </c>
      <c r="Y1115" s="32"/>
      <c r="Z1115" s="10"/>
      <c r="AA1115" s="10"/>
      <c r="AB1115" s="10"/>
      <c r="AC1115" s="10">
        <f t="shared" ca="1" si="60"/>
        <v>21.037092705540093</v>
      </c>
      <c r="AD1115" s="10">
        <f t="shared" ca="1" si="60"/>
        <v>20.838441786570744</v>
      </c>
    </row>
    <row r="1116" spans="1:30" ht="15" x14ac:dyDescent="0.2">
      <c r="A1116" s="11">
        <f t="shared" si="61"/>
        <v>2072</v>
      </c>
      <c r="B1116" s="10">
        <f t="shared" ref="B1116:K1125" ca="1" si="62">AVERAGE(OFFSET(B$589,($A1116-$A$1106)*12,0,12,1))</f>
        <v>21.540841666666665</v>
      </c>
      <c r="C1116" s="10">
        <f t="shared" ca="1" si="62"/>
        <v>21.547125000000005</v>
      </c>
      <c r="D1116" s="10">
        <f t="shared" ca="1" si="62"/>
        <v>21.662808333333334</v>
      </c>
      <c r="E1116" s="10">
        <f t="shared" ca="1" si="62"/>
        <v>21.694950000000002</v>
      </c>
      <c r="F1116" s="10">
        <f t="shared" ca="1" si="62"/>
        <v>21.496775</v>
      </c>
      <c r="G1116" s="10">
        <f t="shared" ca="1" si="62"/>
        <v>21.514141666666664</v>
      </c>
      <c r="H1116" s="10">
        <f t="shared" ca="1" si="62"/>
        <v>21.683766666666667</v>
      </c>
      <c r="I1116" s="10">
        <f t="shared" ca="1" si="62"/>
        <v>21.528049999999997</v>
      </c>
      <c r="J1116" s="10">
        <f t="shared" ca="1" si="62"/>
        <v>21.489374999999995</v>
      </c>
      <c r="K1116" s="10">
        <f t="shared" ca="1" si="62"/>
        <v>21.018241666666668</v>
      </c>
      <c r="L1116" s="10">
        <f t="shared" ref="L1116:S1125" ca="1" si="63">AVERAGE(OFFSET(L$589,($A1116-$A$1106)*12,0,12,1))</f>
        <v>22.270766666666674</v>
      </c>
      <c r="M1116" s="10">
        <f t="shared" ca="1" si="63"/>
        <v>21.24423333333333</v>
      </c>
      <c r="N1116" s="10">
        <f t="shared" ca="1" si="63"/>
        <v>21.261358333333337</v>
      </c>
      <c r="O1116" s="10">
        <f t="shared" ca="1" si="63"/>
        <v>21.436108333333333</v>
      </c>
      <c r="P1116" s="10">
        <f t="shared" ca="1" si="63"/>
        <v>21.282450000000001</v>
      </c>
      <c r="Q1116" s="10">
        <f t="shared" ca="1" si="63"/>
        <v>22.031408333333331</v>
      </c>
      <c r="R1116" s="10">
        <f t="shared" ca="1" si="63"/>
        <v>22.673483333333333</v>
      </c>
      <c r="S1116" s="10">
        <f t="shared" ca="1" si="63"/>
        <v>20.873716666666667</v>
      </c>
      <c r="T1116" s="32">
        <f t="shared" ref="T1116:X1125" ca="1" si="64">SUM(OFFSET(T$589,($A1116-$A$1106)*12,0,12,1))</f>
        <v>358.17703550000004</v>
      </c>
      <c r="U1116" s="32">
        <f t="shared" ca="1" si="64"/>
        <v>142.42176299999997</v>
      </c>
      <c r="V1116" s="32">
        <f t="shared" ca="1" si="64"/>
        <v>50.325000000000003</v>
      </c>
      <c r="W1116" s="32">
        <f t="shared" ca="1" si="64"/>
        <v>5.0961473999999995</v>
      </c>
      <c r="X1116" s="32">
        <f t="shared" ca="1" si="64"/>
        <v>20.800615543999996</v>
      </c>
      <c r="Y1116" s="32"/>
      <c r="Z1116" s="10"/>
      <c r="AA1116" s="10"/>
      <c r="AB1116" s="10"/>
      <c r="AC1116" s="10">
        <f t="shared" ca="1" si="60"/>
        <v>21.542881594106856</v>
      </c>
      <c r="AD1116" s="10">
        <f t="shared" ca="1" si="60"/>
        <v>21.337682673860911</v>
      </c>
    </row>
    <row r="1117" spans="1:30" ht="15" x14ac:dyDescent="0.2">
      <c r="A1117" s="11">
        <f t="shared" si="61"/>
        <v>2073</v>
      </c>
      <c r="B1117" s="10">
        <f t="shared" ca="1" si="62"/>
        <v>22.058800000000002</v>
      </c>
      <c r="C1117" s="10">
        <f t="shared" ca="1" si="62"/>
        <v>22.065058333333329</v>
      </c>
      <c r="D1117" s="10">
        <f t="shared" ca="1" si="62"/>
        <v>22.18075</v>
      </c>
      <c r="E1117" s="10">
        <f t="shared" ca="1" si="62"/>
        <v>22.212908333333331</v>
      </c>
      <c r="F1117" s="10">
        <f t="shared" ca="1" si="62"/>
        <v>22.014725000000002</v>
      </c>
      <c r="G1117" s="10">
        <f t="shared" ca="1" si="62"/>
        <v>22.032066666666665</v>
      </c>
      <c r="H1117" s="10">
        <f t="shared" ca="1" si="62"/>
        <v>22.201691666666665</v>
      </c>
      <c r="I1117" s="10">
        <f t="shared" ca="1" si="62"/>
        <v>22.045966666666668</v>
      </c>
      <c r="J1117" s="10">
        <f t="shared" ca="1" si="62"/>
        <v>22.007324999999998</v>
      </c>
      <c r="K1117" s="10">
        <f t="shared" ca="1" si="62"/>
        <v>21.520016666666663</v>
      </c>
      <c r="L1117" s="10">
        <f t="shared" ca="1" si="63"/>
        <v>22.788691666666665</v>
      </c>
      <c r="M1117" s="10">
        <f t="shared" ca="1" si="63"/>
        <v>21.755475000000001</v>
      </c>
      <c r="N1117" s="10">
        <f t="shared" ca="1" si="63"/>
        <v>21.772591666666667</v>
      </c>
      <c r="O1117" s="10">
        <f t="shared" ca="1" si="63"/>
        <v>21.947333333333333</v>
      </c>
      <c r="P1117" s="10">
        <f t="shared" ca="1" si="63"/>
        <v>21.793666666666667</v>
      </c>
      <c r="Q1117" s="10">
        <f t="shared" ca="1" si="63"/>
        <v>22.542633333333338</v>
      </c>
      <c r="R1117" s="10">
        <f t="shared" ca="1" si="63"/>
        <v>23.185983333333336</v>
      </c>
      <c r="S1117" s="10">
        <f t="shared" ca="1" si="63"/>
        <v>21.375208333333333</v>
      </c>
      <c r="T1117" s="32">
        <f t="shared" ca="1" si="64"/>
        <v>357.24568100000005</v>
      </c>
      <c r="U1117" s="32">
        <f t="shared" ca="1" si="64"/>
        <v>142.03263249999998</v>
      </c>
      <c r="V1117" s="32">
        <f t="shared" ca="1" si="64"/>
        <v>50.187500000000007</v>
      </c>
      <c r="W1117" s="32">
        <f t="shared" ca="1" si="64"/>
        <v>5.0822234999999996</v>
      </c>
      <c r="X1117" s="32">
        <f t="shared" ca="1" si="64"/>
        <v>20.758966663999999</v>
      </c>
      <c r="Y1117" s="32"/>
      <c r="Z1117" s="10"/>
      <c r="AA1117" s="10"/>
      <c r="AB1117" s="10"/>
      <c r="AC1117" s="10">
        <f t="shared" ca="1" si="60"/>
        <v>22.060822758668056</v>
      </c>
      <c r="AD1117" s="10">
        <f t="shared" ca="1" si="60"/>
        <v>21.848912709832138</v>
      </c>
    </row>
    <row r="1118" spans="1:30" ht="15" x14ac:dyDescent="0.2">
      <c r="A1118" s="11">
        <f t="shared" si="61"/>
        <v>2074</v>
      </c>
      <c r="B1118" s="10">
        <f t="shared" ca="1" si="62"/>
        <v>22.589158333333334</v>
      </c>
      <c r="C1118" s="10">
        <f t="shared" ca="1" si="62"/>
        <v>22.595425000000002</v>
      </c>
      <c r="D1118" s="10">
        <f t="shared" ca="1" si="62"/>
        <v>22.711125000000006</v>
      </c>
      <c r="E1118" s="10">
        <f t="shared" ca="1" si="62"/>
        <v>22.743274999999997</v>
      </c>
      <c r="F1118" s="10">
        <f t="shared" ca="1" si="62"/>
        <v>22.545108333333335</v>
      </c>
      <c r="G1118" s="10">
        <f t="shared" ca="1" si="62"/>
        <v>22.562441666666661</v>
      </c>
      <c r="H1118" s="10">
        <f t="shared" ca="1" si="62"/>
        <v>22.732083333333332</v>
      </c>
      <c r="I1118" s="10">
        <f t="shared" ca="1" si="62"/>
        <v>22.576341666666668</v>
      </c>
      <c r="J1118" s="10">
        <f t="shared" ca="1" si="62"/>
        <v>22.537708333333327</v>
      </c>
      <c r="K1118" s="10">
        <f t="shared" ca="1" si="62"/>
        <v>22.033841666666664</v>
      </c>
      <c r="L1118" s="10">
        <f t="shared" ca="1" si="63"/>
        <v>23.319083333333335</v>
      </c>
      <c r="M1118" s="10">
        <f t="shared" ca="1" si="63"/>
        <v>22.279</v>
      </c>
      <c r="N1118" s="10">
        <f t="shared" ca="1" si="63"/>
        <v>22.296099999999999</v>
      </c>
      <c r="O1118" s="10">
        <f t="shared" ca="1" si="63"/>
        <v>22.470850000000002</v>
      </c>
      <c r="P1118" s="10">
        <f t="shared" ca="1" si="63"/>
        <v>22.317175000000002</v>
      </c>
      <c r="Q1118" s="10">
        <f t="shared" ca="1" si="63"/>
        <v>23.066150000000004</v>
      </c>
      <c r="R1118" s="10">
        <f t="shared" ca="1" si="63"/>
        <v>23.710808333333333</v>
      </c>
      <c r="S1118" s="10">
        <f t="shared" ca="1" si="63"/>
        <v>21.888799999999993</v>
      </c>
      <c r="T1118" s="32">
        <f t="shared" ca="1" si="64"/>
        <v>357.24568100000005</v>
      </c>
      <c r="U1118" s="32">
        <f t="shared" ca="1" si="64"/>
        <v>142.03263249999998</v>
      </c>
      <c r="V1118" s="32">
        <f t="shared" ca="1" si="64"/>
        <v>50.187500000000007</v>
      </c>
      <c r="W1118" s="32">
        <f t="shared" ca="1" si="64"/>
        <v>5.0822234999999996</v>
      </c>
      <c r="X1118" s="32">
        <f t="shared" ca="1" si="64"/>
        <v>20.758966663999999</v>
      </c>
      <c r="Y1118" s="32"/>
      <c r="Z1118" s="10"/>
      <c r="AA1118" s="10"/>
      <c r="AB1118" s="10"/>
      <c r="AC1118" s="10">
        <f t="shared" ca="1" si="60"/>
        <v>22.591195668597702</v>
      </c>
      <c r="AD1118" s="10">
        <f t="shared" ca="1" si="60"/>
        <v>22.372430575539568</v>
      </c>
    </row>
    <row r="1119" spans="1:30" ht="15" x14ac:dyDescent="0.2">
      <c r="A1119" s="11">
        <f t="shared" si="61"/>
        <v>2075</v>
      </c>
      <c r="B1119" s="10">
        <f t="shared" ca="1" si="62"/>
        <v>23.132283333333334</v>
      </c>
      <c r="C1119" s="10">
        <f t="shared" ca="1" si="62"/>
        <v>23.138566666666666</v>
      </c>
      <c r="D1119" s="10">
        <f t="shared" ca="1" si="62"/>
        <v>23.254233333333335</v>
      </c>
      <c r="E1119" s="10">
        <f t="shared" ca="1" si="62"/>
        <v>23.286416666666668</v>
      </c>
      <c r="F1119" s="10">
        <f t="shared" ca="1" si="62"/>
        <v>23.088233333333335</v>
      </c>
      <c r="G1119" s="10">
        <f t="shared" ca="1" si="62"/>
        <v>23.105583333333339</v>
      </c>
      <c r="H1119" s="10">
        <f t="shared" ca="1" si="62"/>
        <v>23.275208333333335</v>
      </c>
      <c r="I1119" s="10">
        <f t="shared" ca="1" si="62"/>
        <v>23.119491666666665</v>
      </c>
      <c r="J1119" s="10">
        <f t="shared" ca="1" si="62"/>
        <v>23.080833333333331</v>
      </c>
      <c r="K1119" s="10">
        <f t="shared" ca="1" si="62"/>
        <v>22.560008333333329</v>
      </c>
      <c r="L1119" s="10">
        <f t="shared" ca="1" si="63"/>
        <v>23.862208333333331</v>
      </c>
      <c r="M1119" s="10">
        <f t="shared" ca="1" si="63"/>
        <v>22.815083333333334</v>
      </c>
      <c r="N1119" s="10">
        <f t="shared" ca="1" si="63"/>
        <v>22.83220833333333</v>
      </c>
      <c r="O1119" s="10">
        <f t="shared" ca="1" si="63"/>
        <v>23.006950000000003</v>
      </c>
      <c r="P1119" s="10">
        <f t="shared" ca="1" si="63"/>
        <v>22.853283333333334</v>
      </c>
      <c r="Q1119" s="10">
        <f t="shared" ca="1" si="63"/>
        <v>23.602250000000002</v>
      </c>
      <c r="R1119" s="10">
        <f t="shared" ca="1" si="63"/>
        <v>24.248249999999999</v>
      </c>
      <c r="S1119" s="10">
        <f t="shared" ca="1" si="63"/>
        <v>22.4147</v>
      </c>
      <c r="T1119" s="32">
        <f t="shared" ca="1" si="64"/>
        <v>357.24568100000005</v>
      </c>
      <c r="U1119" s="32">
        <f t="shared" ca="1" si="64"/>
        <v>142.03263249999998</v>
      </c>
      <c r="V1119" s="32">
        <f t="shared" ca="1" si="64"/>
        <v>50.187500000000007</v>
      </c>
      <c r="W1119" s="32">
        <f t="shared" ca="1" si="64"/>
        <v>5.0822234999999996</v>
      </c>
      <c r="X1119" s="32">
        <f t="shared" ca="1" si="64"/>
        <v>20.758966663999999</v>
      </c>
      <c r="Y1119" s="32"/>
      <c r="Z1119" s="10"/>
      <c r="AA1119" s="10"/>
      <c r="AB1119" s="10"/>
      <c r="AC1119" s="10">
        <f t="shared" ca="1" si="60"/>
        <v>23.134328405183897</v>
      </c>
      <c r="AD1119" s="10">
        <f t="shared" ca="1" si="60"/>
        <v>22.908526498800956</v>
      </c>
    </row>
    <row r="1120" spans="1:30" ht="15" x14ac:dyDescent="0.2">
      <c r="A1120" s="11">
        <f t="shared" si="61"/>
        <v>2076</v>
      </c>
      <c r="B1120" s="10">
        <f t="shared" ca="1" si="62"/>
        <v>23.68845</v>
      </c>
      <c r="C1120" s="10">
        <f t="shared" ca="1" si="62"/>
        <v>23.694733333333335</v>
      </c>
      <c r="D1120" s="10">
        <f t="shared" ca="1" si="62"/>
        <v>23.810424999999999</v>
      </c>
      <c r="E1120" s="10">
        <f t="shared" ca="1" si="62"/>
        <v>23.842575</v>
      </c>
      <c r="F1120" s="10">
        <f t="shared" ca="1" si="62"/>
        <v>23.644408333333335</v>
      </c>
      <c r="G1120" s="10">
        <f t="shared" ca="1" si="62"/>
        <v>23.661750000000001</v>
      </c>
      <c r="H1120" s="10">
        <f t="shared" ca="1" si="62"/>
        <v>23.831383333333335</v>
      </c>
      <c r="I1120" s="10">
        <f t="shared" ca="1" si="62"/>
        <v>23.675666666666668</v>
      </c>
      <c r="J1120" s="10">
        <f t="shared" ca="1" si="62"/>
        <v>23.637008333333338</v>
      </c>
      <c r="K1120" s="10">
        <f t="shared" ca="1" si="62"/>
        <v>23.098833333333332</v>
      </c>
      <c r="L1120" s="10">
        <f t="shared" ca="1" si="63"/>
        <v>24.418383333333338</v>
      </c>
      <c r="M1120" s="10">
        <f t="shared" ca="1" si="63"/>
        <v>23.364058333333332</v>
      </c>
      <c r="N1120" s="10">
        <f t="shared" ca="1" si="63"/>
        <v>23.381174999999999</v>
      </c>
      <c r="O1120" s="10">
        <f t="shared" ca="1" si="63"/>
        <v>23.555916666666665</v>
      </c>
      <c r="P1120" s="10">
        <f t="shared" ca="1" si="63"/>
        <v>23.402258333333332</v>
      </c>
      <c r="Q1120" s="10">
        <f t="shared" ca="1" si="63"/>
        <v>24.151216666666667</v>
      </c>
      <c r="R1120" s="10">
        <f t="shared" ca="1" si="63"/>
        <v>24.798591666666667</v>
      </c>
      <c r="S1120" s="10">
        <f t="shared" ca="1" si="63"/>
        <v>22.953241666666667</v>
      </c>
      <c r="T1120" s="32">
        <f t="shared" ca="1" si="64"/>
        <v>358.17703550000004</v>
      </c>
      <c r="U1120" s="32">
        <f t="shared" ca="1" si="64"/>
        <v>142.42176299999997</v>
      </c>
      <c r="V1120" s="32">
        <f t="shared" ca="1" si="64"/>
        <v>50.325000000000003</v>
      </c>
      <c r="W1120" s="32">
        <f t="shared" ca="1" si="64"/>
        <v>5.0961473999999995</v>
      </c>
      <c r="X1120" s="32">
        <f t="shared" ca="1" si="64"/>
        <v>20.800615543999996</v>
      </c>
      <c r="Y1120" s="32"/>
      <c r="Z1120" s="10"/>
      <c r="AA1120" s="10"/>
      <c r="AB1120" s="10"/>
      <c r="AC1120" s="10">
        <f t="shared" ca="1" si="60"/>
        <v>23.690499262427846</v>
      </c>
      <c r="AD1120" s="10">
        <f t="shared" ca="1" si="60"/>
        <v>23.457497242206234</v>
      </c>
    </row>
    <row r="1121" spans="1:30" ht="15" x14ac:dyDescent="0.2">
      <c r="A1121" s="11">
        <f t="shared" si="61"/>
        <v>2077</v>
      </c>
      <c r="B1121" s="10">
        <f t="shared" ca="1" si="62"/>
        <v>24.257991666666669</v>
      </c>
      <c r="C1121" s="10">
        <f t="shared" ca="1" si="62"/>
        <v>24.264275000000001</v>
      </c>
      <c r="D1121" s="10">
        <f t="shared" ca="1" si="62"/>
        <v>24.379958333333335</v>
      </c>
      <c r="E1121" s="10">
        <f t="shared" ca="1" si="62"/>
        <v>24.41213333333334</v>
      </c>
      <c r="F1121" s="10">
        <f t="shared" ca="1" si="62"/>
        <v>24.213950000000001</v>
      </c>
      <c r="G1121" s="10">
        <f t="shared" ca="1" si="62"/>
        <v>24.231300000000001</v>
      </c>
      <c r="H1121" s="10">
        <f t="shared" ca="1" si="62"/>
        <v>24.400925000000004</v>
      </c>
      <c r="I1121" s="10">
        <f t="shared" ca="1" si="62"/>
        <v>24.245191666666667</v>
      </c>
      <c r="J1121" s="10">
        <f t="shared" ca="1" si="62"/>
        <v>24.206550000000004</v>
      </c>
      <c r="K1121" s="10">
        <f t="shared" ca="1" si="62"/>
        <v>23.650591666666667</v>
      </c>
      <c r="L1121" s="10">
        <f t="shared" ca="1" si="63"/>
        <v>24.987925000000001</v>
      </c>
      <c r="M1121" s="10">
        <f t="shared" ca="1" si="63"/>
        <v>23.926233333333332</v>
      </c>
      <c r="N1121" s="10">
        <f t="shared" ca="1" si="63"/>
        <v>23.943341666666669</v>
      </c>
      <c r="O1121" s="10">
        <f t="shared" ca="1" si="63"/>
        <v>24.118083333333335</v>
      </c>
      <c r="P1121" s="10">
        <f t="shared" ca="1" si="63"/>
        <v>23.964425000000002</v>
      </c>
      <c r="Q1121" s="10">
        <f t="shared" ca="1" si="63"/>
        <v>24.713383333333329</v>
      </c>
      <c r="R1121" s="10">
        <f t="shared" ca="1" si="63"/>
        <v>25.362191666666664</v>
      </c>
      <c r="S1121" s="10">
        <f t="shared" ca="1" si="63"/>
        <v>23.504733333333331</v>
      </c>
      <c r="T1121" s="32">
        <f t="shared" ca="1" si="64"/>
        <v>357.24568100000005</v>
      </c>
      <c r="U1121" s="32">
        <f t="shared" ca="1" si="64"/>
        <v>142.03263249999998</v>
      </c>
      <c r="V1121" s="32">
        <f t="shared" ca="1" si="64"/>
        <v>50.187500000000007</v>
      </c>
      <c r="W1121" s="32">
        <f t="shared" ca="1" si="64"/>
        <v>5.0822234999999996</v>
      </c>
      <c r="X1121" s="32">
        <f t="shared" ca="1" si="64"/>
        <v>20.758966663999999</v>
      </c>
      <c r="Y1121" s="32"/>
      <c r="Z1121" s="10"/>
      <c r="AA1121" s="10"/>
      <c r="AB1121" s="10"/>
      <c r="AC1121" s="10">
        <f t="shared" ca="1" si="60"/>
        <v>24.260040942954785</v>
      </c>
      <c r="AD1121" s="10">
        <f t="shared" ca="1" si="60"/>
        <v>24.019666786570738</v>
      </c>
    </row>
    <row r="1122" spans="1:30" ht="15" x14ac:dyDescent="0.2">
      <c r="A1122" s="11">
        <f t="shared" si="61"/>
        <v>2078</v>
      </c>
      <c r="B1122" s="10">
        <f t="shared" ca="1" si="62"/>
        <v>24.841233333333332</v>
      </c>
      <c r="C1122" s="10">
        <f t="shared" ca="1" si="62"/>
        <v>24.847516666666674</v>
      </c>
      <c r="D1122" s="10">
        <f t="shared" ca="1" si="62"/>
        <v>24.96319166666667</v>
      </c>
      <c r="E1122" s="10">
        <f t="shared" ca="1" si="62"/>
        <v>24.995341666666665</v>
      </c>
      <c r="F1122" s="10">
        <f t="shared" ca="1" si="62"/>
        <v>24.797166666666666</v>
      </c>
      <c r="G1122" s="10">
        <f t="shared" ca="1" si="62"/>
        <v>24.814525000000003</v>
      </c>
      <c r="H1122" s="10">
        <f t="shared" ca="1" si="62"/>
        <v>24.984166666666667</v>
      </c>
      <c r="I1122" s="10">
        <f t="shared" ca="1" si="62"/>
        <v>24.828408333333332</v>
      </c>
      <c r="J1122" s="10">
        <f t="shared" ca="1" si="62"/>
        <v>24.789766666666669</v>
      </c>
      <c r="K1122" s="10">
        <f t="shared" ca="1" si="62"/>
        <v>24.215599999999998</v>
      </c>
      <c r="L1122" s="10">
        <f t="shared" ca="1" si="63"/>
        <v>25.57116666666667</v>
      </c>
      <c r="M1122" s="10">
        <f t="shared" ca="1" si="63"/>
        <v>24.501916666666663</v>
      </c>
      <c r="N1122" s="10">
        <f t="shared" ca="1" si="63"/>
        <v>24.519016666666669</v>
      </c>
      <c r="O1122" s="10">
        <f t="shared" ca="1" si="63"/>
        <v>24.693766666666665</v>
      </c>
      <c r="P1122" s="10">
        <f t="shared" ca="1" si="63"/>
        <v>24.540091666666669</v>
      </c>
      <c r="Q1122" s="10">
        <f t="shared" ca="1" si="63"/>
        <v>25.289066666666667</v>
      </c>
      <c r="R1122" s="10">
        <f t="shared" ca="1" si="63"/>
        <v>25.939283333333336</v>
      </c>
      <c r="S1122" s="10">
        <f t="shared" ca="1" si="63"/>
        <v>24.069483333333327</v>
      </c>
      <c r="T1122" s="32">
        <f t="shared" ca="1" si="64"/>
        <v>357.24568100000005</v>
      </c>
      <c r="U1122" s="32">
        <f t="shared" ca="1" si="64"/>
        <v>142.03263249999998</v>
      </c>
      <c r="V1122" s="32">
        <f t="shared" ca="1" si="64"/>
        <v>50.187500000000007</v>
      </c>
      <c r="W1122" s="32">
        <f t="shared" ca="1" si="64"/>
        <v>5.0822234999999996</v>
      </c>
      <c r="X1122" s="32">
        <f t="shared" ca="1" si="64"/>
        <v>20.758966663999999</v>
      </c>
      <c r="Y1122" s="32"/>
      <c r="Z1122" s="10"/>
      <c r="AA1122" s="10"/>
      <c r="AB1122" s="10"/>
      <c r="AC1122" s="10">
        <f t="shared" ca="1" si="60"/>
        <v>24.843269089209809</v>
      </c>
      <c r="AD1122" s="10">
        <f t="shared" ca="1" si="60"/>
        <v>24.595347242206234</v>
      </c>
    </row>
    <row r="1123" spans="1:30" ht="15" x14ac:dyDescent="0.2">
      <c r="A1123" s="11">
        <f t="shared" si="61"/>
        <v>2079</v>
      </c>
      <c r="B1123" s="10">
        <f t="shared" ca="1" si="62"/>
        <v>25.438466666666667</v>
      </c>
      <c r="C1123" s="10">
        <f t="shared" ca="1" si="62"/>
        <v>25.444749999999999</v>
      </c>
      <c r="D1123" s="10">
        <f t="shared" ca="1" si="62"/>
        <v>25.560424999999999</v>
      </c>
      <c r="E1123" s="10">
        <f t="shared" ca="1" si="62"/>
        <v>25.592591666666667</v>
      </c>
      <c r="F1123" s="10">
        <f t="shared" ca="1" si="62"/>
        <v>25.394399999999994</v>
      </c>
      <c r="G1123" s="10">
        <f t="shared" ca="1" si="62"/>
        <v>25.411750000000001</v>
      </c>
      <c r="H1123" s="10">
        <f t="shared" ca="1" si="62"/>
        <v>25.581400000000002</v>
      </c>
      <c r="I1123" s="10">
        <f t="shared" ca="1" si="62"/>
        <v>25.425658333333335</v>
      </c>
      <c r="J1123" s="10">
        <f t="shared" ca="1" si="62"/>
        <v>25.387</v>
      </c>
      <c r="K1123" s="10">
        <f t="shared" ca="1" si="62"/>
        <v>24.7942</v>
      </c>
      <c r="L1123" s="10">
        <f t="shared" ca="1" si="63"/>
        <v>26.168399999999995</v>
      </c>
      <c r="M1123" s="10">
        <f t="shared" ca="1" si="63"/>
        <v>25.091408333333334</v>
      </c>
      <c r="N1123" s="10">
        <f t="shared" ca="1" si="63"/>
        <v>25.10853333333333</v>
      </c>
      <c r="O1123" s="10">
        <f t="shared" ca="1" si="63"/>
        <v>25.283275000000003</v>
      </c>
      <c r="P1123" s="10">
        <f t="shared" ca="1" si="63"/>
        <v>25.129608333333334</v>
      </c>
      <c r="Q1123" s="10">
        <f t="shared" ca="1" si="63"/>
        <v>25.878575000000001</v>
      </c>
      <c r="R1123" s="10">
        <f t="shared" ca="1" si="63"/>
        <v>26.530258333333336</v>
      </c>
      <c r="S1123" s="10">
        <f t="shared" ca="1" si="63"/>
        <v>24.647775000000006</v>
      </c>
      <c r="T1123" s="32">
        <f t="shared" ca="1" si="64"/>
        <v>357.24568100000005</v>
      </c>
      <c r="U1123" s="32">
        <f t="shared" ca="1" si="64"/>
        <v>142.03263249999998</v>
      </c>
      <c r="V1123" s="32">
        <f t="shared" ca="1" si="64"/>
        <v>50.187500000000007</v>
      </c>
      <c r="W1123" s="32">
        <f t="shared" ca="1" si="64"/>
        <v>5.0822234999999996</v>
      </c>
      <c r="X1123" s="32">
        <f t="shared" ca="1" si="64"/>
        <v>20.758966663999999</v>
      </c>
      <c r="Y1123" s="32"/>
      <c r="Z1123" s="10"/>
      <c r="AA1123" s="10"/>
      <c r="AB1123" s="10"/>
      <c r="AC1123" s="10">
        <f t="shared" ca="1" si="60"/>
        <v>25.440502943340519</v>
      </c>
      <c r="AD1123" s="10">
        <f t="shared" ca="1" si="60"/>
        <v>25.184851498800956</v>
      </c>
    </row>
    <row r="1124" spans="1:30" ht="15" x14ac:dyDescent="0.2">
      <c r="A1124" s="11">
        <f t="shared" si="61"/>
        <v>2080</v>
      </c>
      <c r="B1124" s="10">
        <f t="shared" ca="1" si="62"/>
        <v>26.050041666666669</v>
      </c>
      <c r="C1124" s="10">
        <f t="shared" ca="1" si="62"/>
        <v>26.056316666666664</v>
      </c>
      <c r="D1124" s="10">
        <f t="shared" ca="1" si="62"/>
        <v>26.172016666666675</v>
      </c>
      <c r="E1124" s="10">
        <f t="shared" ca="1" si="62"/>
        <v>26.204183333333333</v>
      </c>
      <c r="F1124" s="10">
        <f t="shared" ca="1" si="62"/>
        <v>26.00600833333333</v>
      </c>
      <c r="G1124" s="10">
        <f t="shared" ca="1" si="62"/>
        <v>26.023349999999994</v>
      </c>
      <c r="H1124" s="10">
        <f t="shared" ca="1" si="62"/>
        <v>26.192983333333331</v>
      </c>
      <c r="I1124" s="10">
        <f t="shared" ca="1" si="62"/>
        <v>26.03725</v>
      </c>
      <c r="J1124" s="10">
        <f t="shared" ca="1" si="62"/>
        <v>25.998608333333326</v>
      </c>
      <c r="K1124" s="10">
        <f t="shared" ca="1" si="62"/>
        <v>25.386700000000001</v>
      </c>
      <c r="L1124" s="10">
        <f t="shared" ca="1" si="63"/>
        <v>26.77998333333333</v>
      </c>
      <c r="M1124" s="10">
        <f t="shared" ca="1" si="63"/>
        <v>25.695083333333333</v>
      </c>
      <c r="N1124" s="10">
        <f t="shared" ca="1" si="63"/>
        <v>25.712200000000006</v>
      </c>
      <c r="O1124" s="10">
        <f t="shared" ca="1" si="63"/>
        <v>25.886950000000002</v>
      </c>
      <c r="P1124" s="10">
        <f t="shared" ca="1" si="63"/>
        <v>25.733266666666665</v>
      </c>
      <c r="Q1124" s="10">
        <f t="shared" ca="1" si="63"/>
        <v>26.482250000000004</v>
      </c>
      <c r="R1124" s="10">
        <f t="shared" ca="1" si="63"/>
        <v>27.135433333333328</v>
      </c>
      <c r="S1124" s="10">
        <f t="shared" ca="1" si="63"/>
        <v>25.239975000000001</v>
      </c>
      <c r="T1124" s="32">
        <f t="shared" ca="1" si="64"/>
        <v>358.17703550000004</v>
      </c>
      <c r="U1124" s="32">
        <f t="shared" ca="1" si="64"/>
        <v>142.42176299999997</v>
      </c>
      <c r="V1124" s="32">
        <f t="shared" ca="1" si="64"/>
        <v>50.325000000000003</v>
      </c>
      <c r="W1124" s="32">
        <f t="shared" ca="1" si="64"/>
        <v>5.0961473999999995</v>
      </c>
      <c r="X1124" s="32">
        <f t="shared" ca="1" si="64"/>
        <v>20.800615543999996</v>
      </c>
      <c r="Y1124" s="32"/>
      <c r="Z1124" s="10"/>
      <c r="AA1124" s="10"/>
      <c r="AB1124" s="10"/>
      <c r="AC1124" s="10">
        <f t="shared" ca="1" si="60"/>
        <v>26.052092619455788</v>
      </c>
      <c r="AD1124" s="10">
        <f t="shared" ca="1" si="60"/>
        <v>25.78852362110311</v>
      </c>
    </row>
    <row r="1125" spans="1:30" ht="15" x14ac:dyDescent="0.2">
      <c r="A1125" s="11">
        <f t="shared" si="61"/>
        <v>2081</v>
      </c>
      <c r="B1125" s="10">
        <f t="shared" ca="1" si="62"/>
        <v>26.676316666666665</v>
      </c>
      <c r="C1125" s="10">
        <f t="shared" ca="1" si="62"/>
        <v>26.682608333333334</v>
      </c>
      <c r="D1125" s="10">
        <f t="shared" ca="1" si="62"/>
        <v>26.798291666666668</v>
      </c>
      <c r="E1125" s="10">
        <f t="shared" ca="1" si="62"/>
        <v>26.830458333333329</v>
      </c>
      <c r="F1125" s="10">
        <f t="shared" ca="1" si="62"/>
        <v>26.632274999999996</v>
      </c>
      <c r="G1125" s="10">
        <f t="shared" ca="1" si="62"/>
        <v>26.649625</v>
      </c>
      <c r="H1125" s="10">
        <f t="shared" ca="1" si="62"/>
        <v>26.819266666666667</v>
      </c>
      <c r="I1125" s="10">
        <f t="shared" ca="1" si="62"/>
        <v>26.663533333333334</v>
      </c>
      <c r="J1125" s="10">
        <f t="shared" ca="1" si="62"/>
        <v>26.624874999999999</v>
      </c>
      <c r="K1125" s="10">
        <f t="shared" ca="1" si="62"/>
        <v>25.993433333333332</v>
      </c>
      <c r="L1125" s="10">
        <f t="shared" ca="1" si="63"/>
        <v>27.406266666666667</v>
      </c>
      <c r="M1125" s="10">
        <f t="shared" ca="1" si="63"/>
        <v>26.313258333333334</v>
      </c>
      <c r="N1125" s="10">
        <f t="shared" ca="1" si="63"/>
        <v>26.330375000000004</v>
      </c>
      <c r="O1125" s="10">
        <f t="shared" ca="1" si="63"/>
        <v>26.505108333333339</v>
      </c>
      <c r="P1125" s="10">
        <f t="shared" ca="1" si="63"/>
        <v>26.351433333333336</v>
      </c>
      <c r="Q1125" s="10">
        <f t="shared" ca="1" si="63"/>
        <v>27.100408333333334</v>
      </c>
      <c r="R1125" s="10">
        <f t="shared" ca="1" si="63"/>
        <v>27.755174999999998</v>
      </c>
      <c r="S1125" s="10">
        <f t="shared" ca="1" si="63"/>
        <v>25.846399999999999</v>
      </c>
      <c r="T1125" s="32">
        <f t="shared" ca="1" si="64"/>
        <v>357.24568100000005</v>
      </c>
      <c r="U1125" s="32">
        <f t="shared" ca="1" si="64"/>
        <v>142.03263249999998</v>
      </c>
      <c r="V1125" s="32">
        <f t="shared" ca="1" si="64"/>
        <v>50.187500000000007</v>
      </c>
      <c r="W1125" s="32">
        <f t="shared" ca="1" si="64"/>
        <v>5.0822234999999996</v>
      </c>
      <c r="X1125" s="32">
        <f t="shared" ca="1" si="64"/>
        <v>20.758966663999999</v>
      </c>
      <c r="Y1125" s="32"/>
      <c r="Z1125" s="10"/>
      <c r="AA1125" s="10"/>
      <c r="AB1125" s="10"/>
      <c r="AC1125" s="10">
        <f t="shared" ca="1" si="60"/>
        <v>26.67836984571068</v>
      </c>
      <c r="AD1125" s="10">
        <f t="shared" ca="1" si="60"/>
        <v>26.406689868105516</v>
      </c>
    </row>
    <row r="1126" spans="1:30" ht="15" x14ac:dyDescent="0.2">
      <c r="A1126" s="11">
        <f t="shared" si="61"/>
        <v>2082</v>
      </c>
      <c r="B1126" s="10">
        <f t="shared" ref="B1126:K1135" ca="1" si="65">AVERAGE(OFFSET(B$589,($A1126-$A$1106)*12,0,12,1))</f>
        <v>27.317649999999997</v>
      </c>
      <c r="C1126" s="10">
        <f t="shared" ca="1" si="65"/>
        <v>27.32393333333334</v>
      </c>
      <c r="D1126" s="10">
        <f t="shared" ca="1" si="65"/>
        <v>27.43964166666667</v>
      </c>
      <c r="E1126" s="10">
        <f t="shared" ca="1" si="65"/>
        <v>27.471791666666665</v>
      </c>
      <c r="F1126" s="10">
        <f t="shared" ca="1" si="65"/>
        <v>27.273600000000005</v>
      </c>
      <c r="G1126" s="10">
        <f t="shared" ca="1" si="65"/>
        <v>27.290949999999999</v>
      </c>
      <c r="H1126" s="10">
        <f t="shared" ca="1" si="65"/>
        <v>27.460583333333332</v>
      </c>
      <c r="I1126" s="10">
        <f t="shared" ca="1" si="65"/>
        <v>27.304850000000002</v>
      </c>
      <c r="J1126" s="10">
        <f t="shared" ca="1" si="65"/>
        <v>27.266199999999998</v>
      </c>
      <c r="K1126" s="10">
        <f t="shared" ca="1" si="65"/>
        <v>26.614741666666664</v>
      </c>
      <c r="L1126" s="10">
        <f t="shared" ref="L1126:S1135" ca="1" si="66">AVERAGE(OFFSET(L$589,($A1126-$A$1106)*12,0,12,1))</f>
        <v>28.047583333333336</v>
      </c>
      <c r="M1126" s="10">
        <f t="shared" ca="1" si="66"/>
        <v>26.94628333333333</v>
      </c>
      <c r="N1126" s="10">
        <f t="shared" ca="1" si="66"/>
        <v>26.963408333333337</v>
      </c>
      <c r="O1126" s="10">
        <f t="shared" ca="1" si="66"/>
        <v>27.138141666666669</v>
      </c>
      <c r="P1126" s="10">
        <f t="shared" ca="1" si="66"/>
        <v>26.984466666666673</v>
      </c>
      <c r="Q1126" s="10">
        <f t="shared" ca="1" si="66"/>
        <v>27.733441666666664</v>
      </c>
      <c r="R1126" s="10">
        <f t="shared" ca="1" si="66"/>
        <v>28.389783333333327</v>
      </c>
      <c r="S1126" s="10">
        <f t="shared" ca="1" si="66"/>
        <v>26.467408333333335</v>
      </c>
      <c r="T1126" s="32">
        <f t="shared" ref="T1126:X1135" ca="1" si="67">SUM(OFFSET(T$589,($A1126-$A$1106)*12,0,12,1))</f>
        <v>357.24568100000005</v>
      </c>
      <c r="U1126" s="32">
        <f t="shared" ca="1" si="67"/>
        <v>142.03263249999998</v>
      </c>
      <c r="V1126" s="32">
        <f t="shared" ca="1" si="67"/>
        <v>50.187500000000007</v>
      </c>
      <c r="W1126" s="32">
        <f t="shared" ca="1" si="67"/>
        <v>5.0822234999999996</v>
      </c>
      <c r="X1126" s="32">
        <f t="shared" ca="1" si="67"/>
        <v>20.758966663999999</v>
      </c>
      <c r="Y1126" s="32"/>
      <c r="Z1126" s="10"/>
      <c r="AA1126" s="10"/>
      <c r="AB1126" s="10"/>
      <c r="AC1126" s="10">
        <f t="shared" ref="AC1126:AD1144" ca="1" si="68">AVERAGE(OFFSET(AC$589,($A1126-$A$1106)*12,0,12,1))</f>
        <v>27.31969835895606</v>
      </c>
      <c r="AD1126" s="10">
        <f t="shared" ca="1" si="68"/>
        <v>27.039720323741008</v>
      </c>
    </row>
    <row r="1127" spans="1:30" ht="15" x14ac:dyDescent="0.2">
      <c r="A1127" s="11">
        <f t="shared" si="61"/>
        <v>2083</v>
      </c>
      <c r="B1127" s="10">
        <f t="shared" ca="1" si="65"/>
        <v>27.974416666666674</v>
      </c>
      <c r="C1127" s="10">
        <f t="shared" ca="1" si="65"/>
        <v>27.980691666666662</v>
      </c>
      <c r="D1127" s="10">
        <f t="shared" ca="1" si="65"/>
        <v>28.096366666666668</v>
      </c>
      <c r="E1127" s="10">
        <f t="shared" ca="1" si="65"/>
        <v>28.128516666666666</v>
      </c>
      <c r="F1127" s="10">
        <f t="shared" ca="1" si="65"/>
        <v>27.930358333333334</v>
      </c>
      <c r="G1127" s="10">
        <f t="shared" ca="1" si="65"/>
        <v>27.947691666666667</v>
      </c>
      <c r="H1127" s="10">
        <f t="shared" ca="1" si="65"/>
        <v>28.117325000000005</v>
      </c>
      <c r="I1127" s="10">
        <f t="shared" ca="1" si="65"/>
        <v>27.961608333333327</v>
      </c>
      <c r="J1127" s="10">
        <f t="shared" ca="1" si="65"/>
        <v>27.922958333333337</v>
      </c>
      <c r="K1127" s="10">
        <f t="shared" ca="1" si="65"/>
        <v>27.250975</v>
      </c>
      <c r="L1127" s="10">
        <f t="shared" ca="1" si="66"/>
        <v>28.704324999999997</v>
      </c>
      <c r="M1127" s="10">
        <f t="shared" ca="1" si="66"/>
        <v>27.594516666666667</v>
      </c>
      <c r="N1127" s="10">
        <f t="shared" ca="1" si="66"/>
        <v>27.61163333333333</v>
      </c>
      <c r="O1127" s="10">
        <f t="shared" ca="1" si="66"/>
        <v>27.786375000000003</v>
      </c>
      <c r="P1127" s="10">
        <f t="shared" ca="1" si="66"/>
        <v>27.632716666666671</v>
      </c>
      <c r="Q1127" s="10">
        <f t="shared" ca="1" si="66"/>
        <v>28.381675000000001</v>
      </c>
      <c r="R1127" s="10">
        <f t="shared" ca="1" si="66"/>
        <v>29.039641666666665</v>
      </c>
      <c r="S1127" s="10">
        <f t="shared" ca="1" si="66"/>
        <v>27.103316666666668</v>
      </c>
      <c r="T1127" s="32">
        <f t="shared" ca="1" si="67"/>
        <v>357.24568100000005</v>
      </c>
      <c r="U1127" s="32">
        <f t="shared" ca="1" si="67"/>
        <v>142.03263249999998</v>
      </c>
      <c r="V1127" s="32">
        <f t="shared" ca="1" si="67"/>
        <v>50.187500000000007</v>
      </c>
      <c r="W1127" s="32">
        <f t="shared" ca="1" si="67"/>
        <v>5.0822234999999996</v>
      </c>
      <c r="X1127" s="32">
        <f t="shared" ca="1" si="67"/>
        <v>20.758966663999999</v>
      </c>
      <c r="Y1127" s="32"/>
      <c r="Z1127" s="10"/>
      <c r="AA1127" s="10"/>
      <c r="AB1127" s="10"/>
      <c r="AC1127" s="10">
        <f t="shared" ca="1" si="68"/>
        <v>27.976450320489921</v>
      </c>
      <c r="AD1127" s="10">
        <f t="shared" ca="1" si="68"/>
        <v>27.687955575539572</v>
      </c>
    </row>
    <row r="1128" spans="1:30" ht="15" x14ac:dyDescent="0.2">
      <c r="A1128" s="11">
        <f t="shared" si="61"/>
        <v>2084</v>
      </c>
      <c r="B1128" s="10">
        <f t="shared" ca="1" si="65"/>
        <v>28.646925000000007</v>
      </c>
      <c r="C1128" s="10">
        <f t="shared" ca="1" si="65"/>
        <v>28.653216666666669</v>
      </c>
      <c r="D1128" s="10">
        <f t="shared" ca="1" si="65"/>
        <v>28.768899999999999</v>
      </c>
      <c r="E1128" s="10">
        <f t="shared" ca="1" si="65"/>
        <v>28.801041666666666</v>
      </c>
      <c r="F1128" s="10">
        <f t="shared" ca="1" si="65"/>
        <v>28.602891666666675</v>
      </c>
      <c r="G1128" s="10">
        <f t="shared" ca="1" si="65"/>
        <v>28.620225000000001</v>
      </c>
      <c r="H1128" s="10">
        <f t="shared" ca="1" si="65"/>
        <v>28.789833333333334</v>
      </c>
      <c r="I1128" s="10">
        <f t="shared" ca="1" si="65"/>
        <v>28.63410833333333</v>
      </c>
      <c r="J1128" s="10">
        <f t="shared" ca="1" si="65"/>
        <v>28.595491666666664</v>
      </c>
      <c r="K1128" s="10">
        <f t="shared" ca="1" si="65"/>
        <v>27.902491666666666</v>
      </c>
      <c r="L1128" s="10">
        <f t="shared" ca="1" si="66"/>
        <v>29.376833333333327</v>
      </c>
      <c r="M1128" s="10">
        <f t="shared" ca="1" si="66"/>
        <v>28.258341666666666</v>
      </c>
      <c r="N1128" s="10">
        <f t="shared" ca="1" si="66"/>
        <v>28.275441666666669</v>
      </c>
      <c r="O1128" s="10">
        <f t="shared" ca="1" si="66"/>
        <v>28.450191666666669</v>
      </c>
      <c r="P1128" s="10">
        <f t="shared" ca="1" si="66"/>
        <v>28.296525000000003</v>
      </c>
      <c r="Q1128" s="10">
        <f t="shared" ca="1" si="66"/>
        <v>29.045491666666667</v>
      </c>
      <c r="R1128" s="10">
        <f t="shared" ca="1" si="66"/>
        <v>29.705108333333332</v>
      </c>
      <c r="S1128" s="10">
        <f t="shared" ca="1" si="66"/>
        <v>27.754516666666664</v>
      </c>
      <c r="T1128" s="32">
        <f t="shared" ca="1" si="67"/>
        <v>358.17703550000004</v>
      </c>
      <c r="U1128" s="32">
        <f t="shared" ca="1" si="67"/>
        <v>142.42176299999997</v>
      </c>
      <c r="V1128" s="32">
        <f t="shared" ca="1" si="67"/>
        <v>50.325000000000003</v>
      </c>
      <c r="W1128" s="32">
        <f t="shared" ca="1" si="67"/>
        <v>5.0961473999999995</v>
      </c>
      <c r="X1128" s="32">
        <f t="shared" ca="1" si="67"/>
        <v>20.800615543999996</v>
      </c>
      <c r="Y1128" s="32"/>
      <c r="Z1128" s="10"/>
      <c r="AA1128" s="10"/>
      <c r="AB1128" s="10"/>
      <c r="AC1128" s="10">
        <f t="shared" ca="1" si="68"/>
        <v>28.648975538845175</v>
      </c>
      <c r="AD1128" s="10">
        <f t="shared" ca="1" si="68"/>
        <v>28.351773441247001</v>
      </c>
    </row>
    <row r="1129" spans="1:30" ht="15" x14ac:dyDescent="0.2">
      <c r="A1129" s="11">
        <f t="shared" si="61"/>
        <v>2085</v>
      </c>
      <c r="B1129" s="10">
        <f t="shared" ca="1" si="65"/>
        <v>29.33560833333333</v>
      </c>
      <c r="C1129" s="10">
        <f t="shared" ca="1" si="65"/>
        <v>29.341883333333339</v>
      </c>
      <c r="D1129" s="10">
        <f t="shared" ca="1" si="65"/>
        <v>29.457566666666668</v>
      </c>
      <c r="E1129" s="10">
        <f t="shared" ca="1" si="65"/>
        <v>29.489725000000004</v>
      </c>
      <c r="F1129" s="10">
        <f t="shared" ca="1" si="65"/>
        <v>29.291566666666668</v>
      </c>
      <c r="G1129" s="10">
        <f t="shared" ca="1" si="65"/>
        <v>29.308883333333338</v>
      </c>
      <c r="H1129" s="10">
        <f t="shared" ca="1" si="65"/>
        <v>29.478516666666668</v>
      </c>
      <c r="I1129" s="10">
        <f t="shared" ca="1" si="65"/>
        <v>29.322791666666664</v>
      </c>
      <c r="J1129" s="10">
        <f t="shared" ca="1" si="65"/>
        <v>29.284166666666668</v>
      </c>
      <c r="K1129" s="10">
        <f t="shared" ca="1" si="65"/>
        <v>28.56968333333333</v>
      </c>
      <c r="L1129" s="10">
        <f t="shared" ca="1" si="66"/>
        <v>30.065516666666664</v>
      </c>
      <c r="M1129" s="10">
        <f t="shared" ca="1" si="66"/>
        <v>28.938091666666669</v>
      </c>
      <c r="N1129" s="10">
        <f t="shared" ca="1" si="66"/>
        <v>28.955224999999999</v>
      </c>
      <c r="O1129" s="10">
        <f t="shared" ca="1" si="66"/>
        <v>29.129941666666667</v>
      </c>
      <c r="P1129" s="10">
        <f t="shared" ca="1" si="66"/>
        <v>28.976283333333331</v>
      </c>
      <c r="Q1129" s="10">
        <f t="shared" ca="1" si="66"/>
        <v>29.725241666666665</v>
      </c>
      <c r="R1129" s="10">
        <f t="shared" ca="1" si="66"/>
        <v>30.386558333333337</v>
      </c>
      <c r="S1129" s="10">
        <f t="shared" ca="1" si="66"/>
        <v>28.421366666666668</v>
      </c>
      <c r="T1129" s="32">
        <f t="shared" ca="1" si="67"/>
        <v>357.24568100000005</v>
      </c>
      <c r="U1129" s="32">
        <f t="shared" ca="1" si="67"/>
        <v>142.03263249999998</v>
      </c>
      <c r="V1129" s="32">
        <f t="shared" ca="1" si="67"/>
        <v>50.187500000000007</v>
      </c>
      <c r="W1129" s="32">
        <f t="shared" ca="1" si="67"/>
        <v>5.0822234999999996</v>
      </c>
      <c r="X1129" s="32">
        <f t="shared" ca="1" si="67"/>
        <v>20.758966663999999</v>
      </c>
      <c r="Y1129" s="32"/>
      <c r="Z1129" s="10"/>
      <c r="AA1129" s="10"/>
      <c r="AB1129" s="10"/>
      <c r="AC1129" s="10">
        <f t="shared" ca="1" si="68"/>
        <v>29.337648584594859</v>
      </c>
      <c r="AD1129" s="10">
        <f t="shared" ca="1" si="68"/>
        <v>29.031526558752997</v>
      </c>
    </row>
    <row r="1130" spans="1:30" ht="15" x14ac:dyDescent="0.2">
      <c r="A1130" s="11">
        <f t="shared" si="61"/>
        <v>2086</v>
      </c>
      <c r="B1130" s="10">
        <f t="shared" ca="1" si="65"/>
        <v>30.040816666666661</v>
      </c>
      <c r="C1130" s="10">
        <f t="shared" ca="1" si="65"/>
        <v>30.047100000000004</v>
      </c>
      <c r="D1130" s="10">
        <f t="shared" ca="1" si="65"/>
        <v>30.162800000000001</v>
      </c>
      <c r="E1130" s="10">
        <f t="shared" ca="1" si="65"/>
        <v>30.194941666666669</v>
      </c>
      <c r="F1130" s="10">
        <f t="shared" ca="1" si="65"/>
        <v>29.996783333333337</v>
      </c>
      <c r="G1130" s="10">
        <f t="shared" ca="1" si="65"/>
        <v>30.014125000000003</v>
      </c>
      <c r="H1130" s="10">
        <f t="shared" ca="1" si="65"/>
        <v>30.183741666666666</v>
      </c>
      <c r="I1130" s="10">
        <f t="shared" ca="1" si="65"/>
        <v>30.028016666666673</v>
      </c>
      <c r="J1130" s="10">
        <f t="shared" ca="1" si="65"/>
        <v>29.989383333333333</v>
      </c>
      <c r="K1130" s="10">
        <f t="shared" ca="1" si="65"/>
        <v>29.252908333333334</v>
      </c>
      <c r="L1130" s="10">
        <f t="shared" ca="1" si="66"/>
        <v>30.77074166666667</v>
      </c>
      <c r="M1130" s="10">
        <f t="shared" ca="1" si="66"/>
        <v>29.634183333333329</v>
      </c>
      <c r="N1130" s="10">
        <f t="shared" ca="1" si="66"/>
        <v>29.65131666666667</v>
      </c>
      <c r="O1130" s="10">
        <f t="shared" ca="1" si="66"/>
        <v>29.826049999999999</v>
      </c>
      <c r="P1130" s="10">
        <f t="shared" ca="1" si="66"/>
        <v>29.67239166666667</v>
      </c>
      <c r="Q1130" s="10">
        <f t="shared" ca="1" si="66"/>
        <v>30.42135</v>
      </c>
      <c r="R1130" s="10">
        <f t="shared" ca="1" si="66"/>
        <v>31.084400000000002</v>
      </c>
      <c r="S1130" s="10">
        <f t="shared" ca="1" si="66"/>
        <v>29.104241666666667</v>
      </c>
      <c r="T1130" s="32">
        <f t="shared" ca="1" si="67"/>
        <v>357.24568100000005</v>
      </c>
      <c r="U1130" s="32">
        <f t="shared" ca="1" si="67"/>
        <v>142.03263249999998</v>
      </c>
      <c r="V1130" s="32">
        <f t="shared" ca="1" si="67"/>
        <v>50.187500000000007</v>
      </c>
      <c r="W1130" s="32">
        <f t="shared" ca="1" si="67"/>
        <v>5.0822234999999996</v>
      </c>
      <c r="X1130" s="32">
        <f t="shared" ca="1" si="67"/>
        <v>20.758966663999999</v>
      </c>
      <c r="Y1130" s="32"/>
      <c r="Z1130" s="10"/>
      <c r="AA1130" s="10"/>
      <c r="AB1130" s="10"/>
      <c r="AC1130" s="10">
        <f t="shared" ca="1" si="68"/>
        <v>30.042869102053661</v>
      </c>
      <c r="AD1130" s="10">
        <f t="shared" ca="1" si="68"/>
        <v>29.72762817745804</v>
      </c>
    </row>
    <row r="1131" spans="1:30" ht="15" x14ac:dyDescent="0.2">
      <c r="A1131" s="11">
        <f t="shared" si="61"/>
        <v>2087</v>
      </c>
      <c r="B1131" s="10">
        <f t="shared" ca="1" si="65"/>
        <v>30.762999999999995</v>
      </c>
      <c r="C1131" s="10">
        <f t="shared" ca="1" si="65"/>
        <v>30.769275000000004</v>
      </c>
      <c r="D1131" s="10">
        <f t="shared" ca="1" si="65"/>
        <v>30.88495833333333</v>
      </c>
      <c r="E1131" s="10">
        <f t="shared" ca="1" si="65"/>
        <v>30.917124999999999</v>
      </c>
      <c r="F1131" s="10">
        <f t="shared" ca="1" si="65"/>
        <v>30.718933333333329</v>
      </c>
      <c r="G1131" s="10">
        <f t="shared" ca="1" si="65"/>
        <v>30.736275000000003</v>
      </c>
      <c r="H1131" s="10">
        <f t="shared" ca="1" si="65"/>
        <v>30.905933333333326</v>
      </c>
      <c r="I1131" s="10">
        <f t="shared" ca="1" si="65"/>
        <v>30.750191666666666</v>
      </c>
      <c r="J1131" s="10">
        <f t="shared" ca="1" si="65"/>
        <v>30.711533333333335</v>
      </c>
      <c r="K1131" s="10">
        <f t="shared" ca="1" si="65"/>
        <v>29.952541666666662</v>
      </c>
      <c r="L1131" s="10">
        <f t="shared" ca="1" si="66"/>
        <v>31.492933333333337</v>
      </c>
      <c r="M1131" s="10">
        <f t="shared" ca="1" si="66"/>
        <v>30.347016666666665</v>
      </c>
      <c r="N1131" s="10">
        <f t="shared" ca="1" si="66"/>
        <v>30.364116666666664</v>
      </c>
      <c r="O1131" s="10">
        <f t="shared" ca="1" si="66"/>
        <v>30.538858333333334</v>
      </c>
      <c r="P1131" s="10">
        <f t="shared" ca="1" si="66"/>
        <v>30.385208333333328</v>
      </c>
      <c r="Q1131" s="10">
        <f t="shared" ca="1" si="66"/>
        <v>31.134158333333335</v>
      </c>
      <c r="R1131" s="10">
        <f t="shared" ca="1" si="66"/>
        <v>31.799008333333333</v>
      </c>
      <c r="S1131" s="10">
        <f t="shared" ca="1" si="66"/>
        <v>29.803516666666667</v>
      </c>
      <c r="T1131" s="32">
        <f t="shared" ca="1" si="67"/>
        <v>357.24568100000005</v>
      </c>
      <c r="U1131" s="32">
        <f t="shared" ca="1" si="67"/>
        <v>142.03263249999998</v>
      </c>
      <c r="V1131" s="32">
        <f t="shared" ca="1" si="67"/>
        <v>50.187500000000007</v>
      </c>
      <c r="W1131" s="32">
        <f t="shared" ca="1" si="67"/>
        <v>5.0822234999999996</v>
      </c>
      <c r="X1131" s="32">
        <f t="shared" ca="1" si="67"/>
        <v>20.758966663999999</v>
      </c>
      <c r="Y1131" s="32"/>
      <c r="Z1131" s="10"/>
      <c r="AA1131" s="10"/>
      <c r="AB1131" s="10"/>
      <c r="AC1131" s="10">
        <f t="shared" ca="1" si="68"/>
        <v>30.765033166441999</v>
      </c>
      <c r="AD1131" s="10">
        <f t="shared" ca="1" si="68"/>
        <v>30.440445863309353</v>
      </c>
    </row>
    <row r="1132" spans="1:30" ht="15" x14ac:dyDescent="0.2">
      <c r="A1132" s="11">
        <f t="shared" si="61"/>
        <v>2088</v>
      </c>
      <c r="B1132" s="10">
        <f t="shared" ca="1" si="65"/>
        <v>31.502516666666665</v>
      </c>
      <c r="C1132" s="10">
        <f t="shared" ca="1" si="65"/>
        <v>31.508791666666667</v>
      </c>
      <c r="D1132" s="10">
        <f t="shared" ca="1" si="65"/>
        <v>31.62448333333333</v>
      </c>
      <c r="E1132" s="10">
        <f t="shared" ca="1" si="65"/>
        <v>31.656658333333336</v>
      </c>
      <c r="F1132" s="10">
        <f t="shared" ca="1" si="65"/>
        <v>31.458466666666663</v>
      </c>
      <c r="G1132" s="10">
        <f t="shared" ca="1" si="65"/>
        <v>31.475808333333333</v>
      </c>
      <c r="H1132" s="10">
        <f t="shared" ca="1" si="65"/>
        <v>31.64544166666667</v>
      </c>
      <c r="I1132" s="10">
        <f t="shared" ca="1" si="65"/>
        <v>31.489741666666664</v>
      </c>
      <c r="J1132" s="10">
        <f t="shared" ca="1" si="65"/>
        <v>31.451066666666666</v>
      </c>
      <c r="K1132" s="10">
        <f t="shared" ca="1" si="65"/>
        <v>30.668975</v>
      </c>
      <c r="L1132" s="10">
        <f t="shared" ca="1" si="66"/>
        <v>32.232441666666666</v>
      </c>
      <c r="M1132" s="10">
        <f t="shared" ca="1" si="66"/>
        <v>31.076966666666667</v>
      </c>
      <c r="N1132" s="10">
        <f t="shared" ca="1" si="66"/>
        <v>31.094075</v>
      </c>
      <c r="O1132" s="10">
        <f t="shared" ca="1" si="66"/>
        <v>31.26881666666667</v>
      </c>
      <c r="P1132" s="10">
        <f t="shared" ca="1" si="66"/>
        <v>31.11515833333333</v>
      </c>
      <c r="Q1132" s="10">
        <f t="shared" ca="1" si="66"/>
        <v>31.864116666666664</v>
      </c>
      <c r="R1132" s="10">
        <f t="shared" ca="1" si="66"/>
        <v>32.530774999999998</v>
      </c>
      <c r="S1132" s="10">
        <f t="shared" ca="1" si="66"/>
        <v>30.519600000000001</v>
      </c>
      <c r="T1132" s="32">
        <f t="shared" ca="1" si="67"/>
        <v>358.17703550000004</v>
      </c>
      <c r="U1132" s="32">
        <f t="shared" ca="1" si="67"/>
        <v>142.42176299999997</v>
      </c>
      <c r="V1132" s="32">
        <f t="shared" ca="1" si="67"/>
        <v>50.325000000000003</v>
      </c>
      <c r="W1132" s="32">
        <f t="shared" ca="1" si="67"/>
        <v>5.0961473999999995</v>
      </c>
      <c r="X1132" s="32">
        <f t="shared" ca="1" si="67"/>
        <v>20.800615543999996</v>
      </c>
      <c r="Y1132" s="32"/>
      <c r="Z1132" s="10"/>
      <c r="AA1132" s="10"/>
      <c r="AB1132" s="10"/>
      <c r="AC1132" s="10">
        <f t="shared" ca="1" si="68"/>
        <v>31.504561499910761</v>
      </c>
      <c r="AD1132" s="10">
        <f t="shared" ca="1" si="68"/>
        <v>31.170400119904073</v>
      </c>
    </row>
    <row r="1133" spans="1:30" ht="15" x14ac:dyDescent="0.2">
      <c r="A1133" s="11">
        <f t="shared" si="61"/>
        <v>2089</v>
      </c>
      <c r="B1133" s="10">
        <f t="shared" ca="1" si="65"/>
        <v>32.259808333333339</v>
      </c>
      <c r="C1133" s="10">
        <f t="shared" ca="1" si="65"/>
        <v>32.266099999999994</v>
      </c>
      <c r="D1133" s="10">
        <f t="shared" ca="1" si="65"/>
        <v>32.381783333333338</v>
      </c>
      <c r="E1133" s="10">
        <f t="shared" ca="1" si="65"/>
        <v>32.413941666666666</v>
      </c>
      <c r="F1133" s="10">
        <f t="shared" ca="1" si="65"/>
        <v>32.215758333333326</v>
      </c>
      <c r="G1133" s="10">
        <f t="shared" ca="1" si="65"/>
        <v>32.233108333333334</v>
      </c>
      <c r="H1133" s="10">
        <f t="shared" ca="1" si="65"/>
        <v>32.40273333333333</v>
      </c>
      <c r="I1133" s="10">
        <f t="shared" ca="1" si="65"/>
        <v>32.246999999999993</v>
      </c>
      <c r="J1133" s="10">
        <f t="shared" ca="1" si="65"/>
        <v>32.208358333333337</v>
      </c>
      <c r="K1133" s="10">
        <f t="shared" ca="1" si="65"/>
        <v>31.402599999999996</v>
      </c>
      <c r="L1133" s="10">
        <f t="shared" ca="1" si="66"/>
        <v>32.989733333333326</v>
      </c>
      <c r="M1133" s="10">
        <f t="shared" ca="1" si="66"/>
        <v>31.824441666666669</v>
      </c>
      <c r="N1133" s="10">
        <f t="shared" ca="1" si="66"/>
        <v>31.841566666666665</v>
      </c>
      <c r="O1133" s="10">
        <f t="shared" ca="1" si="66"/>
        <v>32.016300000000001</v>
      </c>
      <c r="P1133" s="10">
        <f t="shared" ca="1" si="66"/>
        <v>31.862624999999998</v>
      </c>
      <c r="Q1133" s="10">
        <f t="shared" ca="1" si="66"/>
        <v>32.611600000000003</v>
      </c>
      <c r="R1133" s="10">
        <f t="shared" ca="1" si="66"/>
        <v>33.280133333333332</v>
      </c>
      <c r="S1133" s="10">
        <f t="shared" ca="1" si="66"/>
        <v>31.252875</v>
      </c>
      <c r="T1133" s="32">
        <f t="shared" ca="1" si="67"/>
        <v>357.24568100000005</v>
      </c>
      <c r="U1133" s="32">
        <f t="shared" ca="1" si="67"/>
        <v>142.03263249999998</v>
      </c>
      <c r="V1133" s="32">
        <f t="shared" ca="1" si="67"/>
        <v>50.187500000000007</v>
      </c>
      <c r="W1133" s="32">
        <f t="shared" ca="1" si="67"/>
        <v>5.0822234999999996</v>
      </c>
      <c r="X1133" s="32">
        <f t="shared" ca="1" si="67"/>
        <v>20.758966663999999</v>
      </c>
      <c r="Y1133" s="32"/>
      <c r="Z1133" s="10"/>
      <c r="AA1133" s="10"/>
      <c r="AB1133" s="10"/>
      <c r="AC1133" s="10">
        <f t="shared" ca="1" si="68"/>
        <v>32.261855889424602</v>
      </c>
      <c r="AD1133" s="10">
        <f t="shared" ca="1" si="68"/>
        <v>31.917878657074343</v>
      </c>
    </row>
    <row r="1134" spans="1:30" ht="15" x14ac:dyDescent="0.2">
      <c r="A1134" s="11">
        <f t="shared" si="61"/>
        <v>2090</v>
      </c>
      <c r="B1134" s="10">
        <f t="shared" ca="1" si="65"/>
        <v>33.035299999999999</v>
      </c>
      <c r="C1134" s="10">
        <f t="shared" ca="1" si="65"/>
        <v>33.041583333333335</v>
      </c>
      <c r="D1134" s="10">
        <f t="shared" ca="1" si="65"/>
        <v>33.157250000000005</v>
      </c>
      <c r="E1134" s="10">
        <f t="shared" ca="1" si="65"/>
        <v>33.18940833333334</v>
      </c>
      <c r="F1134" s="10">
        <f t="shared" ca="1" si="65"/>
        <v>32.991241666666667</v>
      </c>
      <c r="G1134" s="10">
        <f t="shared" ca="1" si="65"/>
        <v>33.008583333333327</v>
      </c>
      <c r="H1134" s="10">
        <f t="shared" ca="1" si="65"/>
        <v>33.178216666666671</v>
      </c>
      <c r="I1134" s="10">
        <f t="shared" ca="1" si="65"/>
        <v>33.022491666666667</v>
      </c>
      <c r="J1134" s="10">
        <f t="shared" ca="1" si="65"/>
        <v>32.98384166666667</v>
      </c>
      <c r="K1134" s="10">
        <f t="shared" ca="1" si="65"/>
        <v>32.153891666666659</v>
      </c>
      <c r="L1134" s="10">
        <f t="shared" ca="1" si="66"/>
        <v>33.765216666666667</v>
      </c>
      <c r="M1134" s="10">
        <f t="shared" ca="1" si="66"/>
        <v>32.589883333333333</v>
      </c>
      <c r="N1134" s="10">
        <f t="shared" ca="1" si="66"/>
        <v>32.607008333333333</v>
      </c>
      <c r="O1134" s="10">
        <f t="shared" ca="1" si="66"/>
        <v>32.781758333333336</v>
      </c>
      <c r="P1134" s="10">
        <f t="shared" ca="1" si="66"/>
        <v>32.628099999999996</v>
      </c>
      <c r="Q1134" s="10">
        <f t="shared" ca="1" si="66"/>
        <v>33.377058333333331</v>
      </c>
      <c r="R1134" s="10">
        <f t="shared" ca="1" si="66"/>
        <v>34.047508333333326</v>
      </c>
      <c r="S1134" s="10">
        <f t="shared" ca="1" si="66"/>
        <v>32.003783333333331</v>
      </c>
      <c r="T1134" s="32">
        <f t="shared" ca="1" si="67"/>
        <v>357.24568100000005</v>
      </c>
      <c r="U1134" s="32">
        <f t="shared" ca="1" si="67"/>
        <v>142.03263249999998</v>
      </c>
      <c r="V1134" s="32">
        <f t="shared" ca="1" si="67"/>
        <v>50.187500000000007</v>
      </c>
      <c r="W1134" s="32">
        <f t="shared" ca="1" si="67"/>
        <v>5.0822234999999996</v>
      </c>
      <c r="X1134" s="32">
        <f t="shared" ca="1" si="67"/>
        <v>20.758966663999999</v>
      </c>
      <c r="Y1134" s="32"/>
      <c r="Z1134" s="10"/>
      <c r="AA1134" s="10"/>
      <c r="AB1134" s="10"/>
      <c r="AC1134" s="10">
        <f t="shared" ca="1" si="68"/>
        <v>33.03733810628686</v>
      </c>
      <c r="AD1134" s="10">
        <f t="shared" ca="1" si="68"/>
        <v>32.683332673860903</v>
      </c>
    </row>
    <row r="1135" spans="1:30" ht="15" x14ac:dyDescent="0.2">
      <c r="A1135" s="11">
        <f t="shared" si="61"/>
        <v>2091</v>
      </c>
      <c r="B1135" s="10">
        <f t="shared" ca="1" si="65"/>
        <v>33.829425000000001</v>
      </c>
      <c r="C1135" s="10">
        <f t="shared" ca="1" si="65"/>
        <v>33.835700000000003</v>
      </c>
      <c r="D1135" s="10">
        <f t="shared" ca="1" si="65"/>
        <v>33.951383333333332</v>
      </c>
      <c r="E1135" s="10">
        <f t="shared" ca="1" si="65"/>
        <v>33.983550000000001</v>
      </c>
      <c r="F1135" s="10">
        <f t="shared" ca="1" si="65"/>
        <v>33.785366666666661</v>
      </c>
      <c r="G1135" s="10">
        <f t="shared" ca="1" si="65"/>
        <v>33.802708333333335</v>
      </c>
      <c r="H1135" s="10">
        <f t="shared" ca="1" si="65"/>
        <v>33.972341666666665</v>
      </c>
      <c r="I1135" s="10">
        <f t="shared" ca="1" si="65"/>
        <v>33.816616666666668</v>
      </c>
      <c r="J1135" s="10">
        <f t="shared" ca="1" si="65"/>
        <v>33.777966666666664</v>
      </c>
      <c r="K1135" s="10">
        <f t="shared" ca="1" si="65"/>
        <v>32.923233333333329</v>
      </c>
      <c r="L1135" s="10">
        <f t="shared" ca="1" si="66"/>
        <v>34.559341666666668</v>
      </c>
      <c r="M1135" s="10">
        <f t="shared" ca="1" si="66"/>
        <v>33.373725</v>
      </c>
      <c r="N1135" s="10">
        <f t="shared" ca="1" si="66"/>
        <v>33.39085</v>
      </c>
      <c r="O1135" s="10">
        <f t="shared" ca="1" si="66"/>
        <v>33.565583333333336</v>
      </c>
      <c r="P1135" s="10">
        <f t="shared" ca="1" si="66"/>
        <v>33.41191666666667</v>
      </c>
      <c r="Q1135" s="10">
        <f t="shared" ca="1" si="66"/>
        <v>34.160883333333338</v>
      </c>
      <c r="R1135" s="10">
        <f t="shared" ca="1" si="66"/>
        <v>34.833291666666668</v>
      </c>
      <c r="S1135" s="10">
        <f t="shared" ca="1" si="66"/>
        <v>32.772725000000001</v>
      </c>
      <c r="T1135" s="32">
        <f t="shared" ca="1" si="67"/>
        <v>357.24568100000005</v>
      </c>
      <c r="U1135" s="32">
        <f t="shared" ca="1" si="67"/>
        <v>142.03263249999998</v>
      </c>
      <c r="V1135" s="32">
        <f t="shared" ca="1" si="67"/>
        <v>50.187500000000007</v>
      </c>
      <c r="W1135" s="32">
        <f t="shared" ca="1" si="67"/>
        <v>5.0822234999999996</v>
      </c>
      <c r="X1135" s="32">
        <f t="shared" ca="1" si="67"/>
        <v>20.758966663999999</v>
      </c>
      <c r="Y1135" s="32"/>
      <c r="Z1135" s="10"/>
      <c r="AA1135" s="10"/>
      <c r="AB1135" s="10"/>
      <c r="AC1135" s="10">
        <f t="shared" ca="1" si="68"/>
        <v>33.831461692064892</v>
      </c>
      <c r="AD1135" s="10">
        <f t="shared" ca="1" si="68"/>
        <v>33.467163189448442</v>
      </c>
    </row>
    <row r="1136" spans="1:30" ht="15" x14ac:dyDescent="0.2">
      <c r="A1136" s="11">
        <f t="shared" si="61"/>
        <v>2092</v>
      </c>
      <c r="B1136" s="10">
        <f t="shared" ref="B1136:K1144" ca="1" si="69">AVERAGE(OFFSET(B$589,($A1136-$A$1106)*12,0,12,1))</f>
        <v>34.642616666666662</v>
      </c>
      <c r="C1136" s="10">
        <f t="shared" ca="1" si="69"/>
        <v>34.648900000000005</v>
      </c>
      <c r="D1136" s="10">
        <f t="shared" ca="1" si="69"/>
        <v>34.764591666666668</v>
      </c>
      <c r="E1136" s="10">
        <f t="shared" ca="1" si="69"/>
        <v>34.796733333333329</v>
      </c>
      <c r="F1136" s="10">
        <f t="shared" ca="1" si="69"/>
        <v>34.598575000000004</v>
      </c>
      <c r="G1136" s="10">
        <f t="shared" ca="1" si="69"/>
        <v>34.615916666666664</v>
      </c>
      <c r="H1136" s="10">
        <f t="shared" ca="1" si="69"/>
        <v>34.785550000000001</v>
      </c>
      <c r="I1136" s="10">
        <f t="shared" ca="1" si="69"/>
        <v>34.62980833333333</v>
      </c>
      <c r="J1136" s="10">
        <f t="shared" ca="1" si="69"/>
        <v>34.591174999999993</v>
      </c>
      <c r="K1136" s="10">
        <f t="shared" ca="1" si="69"/>
        <v>33.711050000000007</v>
      </c>
      <c r="L1136" s="10">
        <f t="shared" ref="L1136:S1144" ca="1" si="70">AVERAGE(OFFSET(L$589,($A1136-$A$1106)*12,0,12,1))</f>
        <v>35.372550000000004</v>
      </c>
      <c r="M1136" s="10">
        <f t="shared" ca="1" si="70"/>
        <v>34.176408333333335</v>
      </c>
      <c r="N1136" s="10">
        <f t="shared" ca="1" si="70"/>
        <v>34.19351666666666</v>
      </c>
      <c r="O1136" s="10">
        <f t="shared" ca="1" si="70"/>
        <v>34.36825833333333</v>
      </c>
      <c r="P1136" s="10">
        <f t="shared" ca="1" si="70"/>
        <v>34.214608333333338</v>
      </c>
      <c r="Q1136" s="10">
        <f t="shared" ca="1" si="70"/>
        <v>34.963558333333332</v>
      </c>
      <c r="R1136" s="10">
        <f t="shared" ca="1" si="70"/>
        <v>35.637991666666665</v>
      </c>
      <c r="S1136" s="10">
        <f t="shared" ca="1" si="70"/>
        <v>33.560158333333327</v>
      </c>
      <c r="T1136" s="32">
        <f t="shared" ref="T1136:X1144" ca="1" si="71">SUM(OFFSET(T$589,($A1136-$A$1106)*12,0,12,1))</f>
        <v>358.17703550000004</v>
      </c>
      <c r="U1136" s="32">
        <f t="shared" ca="1" si="71"/>
        <v>142.42176299999997</v>
      </c>
      <c r="V1136" s="32">
        <f t="shared" ca="1" si="71"/>
        <v>50.325000000000003</v>
      </c>
      <c r="W1136" s="32">
        <f t="shared" ca="1" si="71"/>
        <v>5.0961473999999995</v>
      </c>
      <c r="X1136" s="32">
        <f t="shared" ca="1" si="71"/>
        <v>20.800615543999996</v>
      </c>
      <c r="Y1136" s="32"/>
      <c r="Z1136" s="10"/>
      <c r="AA1136" s="10"/>
      <c r="AB1136" s="10"/>
      <c r="AC1136" s="10">
        <f t="shared" ca="1" si="68"/>
        <v>34.644663964243911</v>
      </c>
      <c r="AD1136" s="10">
        <f t="shared" ca="1" si="68"/>
        <v>34.269842985611511</v>
      </c>
    </row>
    <row r="1137" spans="1:30" ht="15" x14ac:dyDescent="0.2">
      <c r="A1137" s="11">
        <f t="shared" si="61"/>
        <v>2093</v>
      </c>
      <c r="B1137" s="10">
        <f t="shared" ca="1" si="69"/>
        <v>35.475349999999999</v>
      </c>
      <c r="C1137" s="10">
        <f t="shared" ca="1" si="69"/>
        <v>35.481633333333335</v>
      </c>
      <c r="D1137" s="10">
        <f t="shared" ca="1" si="69"/>
        <v>35.597316666666664</v>
      </c>
      <c r="E1137" s="10">
        <f t="shared" ca="1" si="69"/>
        <v>35.629483333333333</v>
      </c>
      <c r="F1137" s="10">
        <f t="shared" ca="1" si="69"/>
        <v>35.431308333333334</v>
      </c>
      <c r="G1137" s="10">
        <f t="shared" ca="1" si="69"/>
        <v>35.448641666666667</v>
      </c>
      <c r="H1137" s="10">
        <f t="shared" ca="1" si="69"/>
        <v>35.618275000000004</v>
      </c>
      <c r="I1137" s="10">
        <f t="shared" ca="1" si="69"/>
        <v>35.462566666666667</v>
      </c>
      <c r="J1137" s="10">
        <f t="shared" ca="1" si="69"/>
        <v>35.423908333333337</v>
      </c>
      <c r="K1137" s="10">
        <f t="shared" ca="1" si="69"/>
        <v>34.517800000000001</v>
      </c>
      <c r="L1137" s="10">
        <f t="shared" ca="1" si="70"/>
        <v>36.205275000000007</v>
      </c>
      <c r="M1137" s="10">
        <f t="shared" ca="1" si="70"/>
        <v>34.998358333333336</v>
      </c>
      <c r="N1137" s="10">
        <f t="shared" ca="1" si="70"/>
        <v>35.015483333333329</v>
      </c>
      <c r="O1137" s="10">
        <f t="shared" ca="1" si="70"/>
        <v>35.190216666666664</v>
      </c>
      <c r="P1137" s="10">
        <f t="shared" ca="1" si="70"/>
        <v>35.036566666666666</v>
      </c>
      <c r="Q1137" s="10">
        <f t="shared" ca="1" si="70"/>
        <v>35.785516666666666</v>
      </c>
      <c r="R1137" s="10">
        <f t="shared" ca="1" si="70"/>
        <v>36.461983333333329</v>
      </c>
      <c r="S1137" s="10">
        <f t="shared" ca="1" si="70"/>
        <v>34.366491666666668</v>
      </c>
      <c r="T1137" s="32">
        <f t="shared" ca="1" si="71"/>
        <v>357.24568100000005</v>
      </c>
      <c r="U1137" s="32">
        <f t="shared" ca="1" si="71"/>
        <v>142.03263249999998</v>
      </c>
      <c r="V1137" s="32">
        <f t="shared" ca="1" si="71"/>
        <v>50.187500000000007</v>
      </c>
      <c r="W1137" s="32">
        <f t="shared" ca="1" si="71"/>
        <v>5.0822234999999996</v>
      </c>
      <c r="X1137" s="32">
        <f t="shared" ca="1" si="71"/>
        <v>20.758966663999999</v>
      </c>
      <c r="Y1137" s="32"/>
      <c r="Z1137" s="10"/>
      <c r="AA1137" s="10"/>
      <c r="AB1137" s="10"/>
      <c r="AC1137" s="10">
        <f t="shared" ca="1" si="68"/>
        <v>35.477398407610316</v>
      </c>
      <c r="AD1137" s="10">
        <f t="shared" ca="1" si="68"/>
        <v>35.091798920863319</v>
      </c>
    </row>
    <row r="1138" spans="1:30" ht="15" x14ac:dyDescent="0.2">
      <c r="A1138" s="11">
        <f t="shared" si="61"/>
        <v>2094</v>
      </c>
      <c r="B1138" s="10">
        <f t="shared" ca="1" si="69"/>
        <v>36.328116666666666</v>
      </c>
      <c r="C1138" s="10">
        <f t="shared" ca="1" si="69"/>
        <v>36.334399999999995</v>
      </c>
      <c r="D1138" s="10">
        <f t="shared" ca="1" si="69"/>
        <v>36.450083333333339</v>
      </c>
      <c r="E1138" s="10">
        <f t="shared" ca="1" si="69"/>
        <v>36.482250000000001</v>
      </c>
      <c r="F1138" s="10">
        <f t="shared" ca="1" si="69"/>
        <v>36.284058333333334</v>
      </c>
      <c r="G1138" s="10">
        <f t="shared" ca="1" si="69"/>
        <v>36.301400000000008</v>
      </c>
      <c r="H1138" s="10">
        <f t="shared" ca="1" si="69"/>
        <v>36.471024999999997</v>
      </c>
      <c r="I1138" s="10">
        <f t="shared" ca="1" si="69"/>
        <v>36.315308333333334</v>
      </c>
      <c r="J1138" s="10">
        <f t="shared" ca="1" si="69"/>
        <v>36.27665833333333</v>
      </c>
      <c r="K1138" s="10">
        <f t="shared" ca="1" si="69"/>
        <v>35.343933333333325</v>
      </c>
      <c r="L1138" s="10">
        <f t="shared" ca="1" si="70"/>
        <v>37.058024999999994</v>
      </c>
      <c r="M1138" s="10">
        <f t="shared" ca="1" si="70"/>
        <v>35.840083333333332</v>
      </c>
      <c r="N1138" s="10">
        <f t="shared" ca="1" si="70"/>
        <v>35.857200000000006</v>
      </c>
      <c r="O1138" s="10">
        <f t="shared" ca="1" si="70"/>
        <v>36.031933333333335</v>
      </c>
      <c r="P1138" s="10">
        <f t="shared" ca="1" si="70"/>
        <v>35.878266666666669</v>
      </c>
      <c r="Q1138" s="10">
        <f t="shared" ca="1" si="70"/>
        <v>36.627233333333329</v>
      </c>
      <c r="R1138" s="10">
        <f t="shared" ca="1" si="70"/>
        <v>37.305800000000005</v>
      </c>
      <c r="S1138" s="10">
        <f t="shared" ca="1" si="70"/>
        <v>35.192208333333333</v>
      </c>
      <c r="T1138" s="32">
        <f t="shared" ca="1" si="71"/>
        <v>357.24568100000005</v>
      </c>
      <c r="U1138" s="32">
        <f t="shared" ca="1" si="71"/>
        <v>142.03263249999998</v>
      </c>
      <c r="V1138" s="32">
        <f t="shared" ca="1" si="71"/>
        <v>50.187500000000007</v>
      </c>
      <c r="W1138" s="32">
        <f t="shared" ca="1" si="71"/>
        <v>5.0822234999999996</v>
      </c>
      <c r="X1138" s="32">
        <f t="shared" ca="1" si="71"/>
        <v>20.758966663999999</v>
      </c>
      <c r="Y1138" s="32"/>
      <c r="Z1138" s="10"/>
      <c r="AA1138" s="10"/>
      <c r="AB1138" s="10"/>
      <c r="AC1138" s="10">
        <f t="shared" ca="1" si="68"/>
        <v>36.330156382565477</v>
      </c>
      <c r="AD1138" s="10">
        <f t="shared" ca="1" si="68"/>
        <v>35.933516067146286</v>
      </c>
    </row>
    <row r="1139" spans="1:30" ht="15" x14ac:dyDescent="0.2">
      <c r="A1139" s="11">
        <f t="shared" si="61"/>
        <v>2095</v>
      </c>
      <c r="B1139" s="10">
        <f t="shared" ca="1" si="69"/>
        <v>37.201358333333339</v>
      </c>
      <c r="C1139" s="10">
        <f t="shared" ca="1" si="69"/>
        <v>37.207641666666667</v>
      </c>
      <c r="D1139" s="10">
        <f t="shared" ca="1" si="69"/>
        <v>37.323324999999997</v>
      </c>
      <c r="E1139" s="10">
        <f t="shared" ca="1" si="69"/>
        <v>37.355483333333332</v>
      </c>
      <c r="F1139" s="10">
        <f t="shared" ca="1" si="69"/>
        <v>37.157283333333332</v>
      </c>
      <c r="G1139" s="10">
        <f t="shared" ca="1" si="69"/>
        <v>37.17463333333334</v>
      </c>
      <c r="H1139" s="10">
        <f t="shared" ca="1" si="69"/>
        <v>37.34428333333333</v>
      </c>
      <c r="I1139" s="10">
        <f t="shared" ca="1" si="69"/>
        <v>37.188549999999999</v>
      </c>
      <c r="J1139" s="10">
        <f t="shared" ca="1" si="69"/>
        <v>37.149883333333328</v>
      </c>
      <c r="K1139" s="10">
        <f t="shared" ca="1" si="69"/>
        <v>36.189891666666668</v>
      </c>
      <c r="L1139" s="10">
        <f t="shared" ca="1" si="70"/>
        <v>37.931283333333333</v>
      </c>
      <c r="M1139" s="10">
        <f t="shared" ca="1" si="70"/>
        <v>36.702016666666665</v>
      </c>
      <c r="N1139" s="10">
        <f t="shared" ca="1" si="70"/>
        <v>36.719124999999998</v>
      </c>
      <c r="O1139" s="10">
        <f t="shared" ca="1" si="70"/>
        <v>36.893874999999994</v>
      </c>
      <c r="P1139" s="10">
        <f t="shared" ca="1" si="70"/>
        <v>36.740191666666675</v>
      </c>
      <c r="Q1139" s="10">
        <f t="shared" ca="1" si="70"/>
        <v>37.489175000000003</v>
      </c>
      <c r="R1139" s="10">
        <f t="shared" ca="1" si="70"/>
        <v>38.169891666666665</v>
      </c>
      <c r="S1139" s="10">
        <f t="shared" ca="1" si="70"/>
        <v>36.037775000000003</v>
      </c>
      <c r="T1139" s="32">
        <f t="shared" ca="1" si="71"/>
        <v>357.24568100000005</v>
      </c>
      <c r="U1139" s="32">
        <f t="shared" ca="1" si="71"/>
        <v>142.03263249999998</v>
      </c>
      <c r="V1139" s="32">
        <f t="shared" ca="1" si="71"/>
        <v>50.187500000000007</v>
      </c>
      <c r="W1139" s="32">
        <f t="shared" ca="1" si="71"/>
        <v>5.0822234999999996</v>
      </c>
      <c r="X1139" s="32">
        <f t="shared" ca="1" si="71"/>
        <v>20.758966663999999</v>
      </c>
      <c r="Y1139" s="32"/>
      <c r="Z1139" s="10"/>
      <c r="AA1139" s="10"/>
      <c r="AB1139" s="10"/>
      <c r="AC1139" s="10">
        <f t="shared" ca="1" si="68"/>
        <v>37.203391778128427</v>
      </c>
      <c r="AD1139" s="10">
        <f t="shared" ca="1" si="68"/>
        <v>36.795451498800951</v>
      </c>
    </row>
    <row r="1140" spans="1:30" ht="15" x14ac:dyDescent="0.2">
      <c r="A1140" s="11">
        <f t="shared" si="61"/>
        <v>2096</v>
      </c>
      <c r="B1140" s="10">
        <f t="shared" ca="1" si="69"/>
        <v>38.095575000000004</v>
      </c>
      <c r="C1140" s="10">
        <f t="shared" ca="1" si="69"/>
        <v>38.101841666666665</v>
      </c>
      <c r="D1140" s="10">
        <f t="shared" ca="1" si="69"/>
        <v>38.217525000000002</v>
      </c>
      <c r="E1140" s="10">
        <f t="shared" ca="1" si="69"/>
        <v>38.249691666666671</v>
      </c>
      <c r="F1140" s="10">
        <f t="shared" ca="1" si="69"/>
        <v>38.051516666666664</v>
      </c>
      <c r="G1140" s="10">
        <f t="shared" ca="1" si="69"/>
        <v>38.068850000000005</v>
      </c>
      <c r="H1140" s="10">
        <f t="shared" ca="1" si="69"/>
        <v>38.238483333333328</v>
      </c>
      <c r="I1140" s="10">
        <f t="shared" ca="1" si="69"/>
        <v>38.082766666666664</v>
      </c>
      <c r="J1140" s="10">
        <f t="shared" ca="1" si="69"/>
        <v>38.044116666666667</v>
      </c>
      <c r="K1140" s="10">
        <f t="shared" ca="1" si="69"/>
        <v>37.056216666666664</v>
      </c>
      <c r="L1140" s="10">
        <f t="shared" ca="1" si="70"/>
        <v>38.825483333333331</v>
      </c>
      <c r="M1140" s="10">
        <f t="shared" ca="1" si="70"/>
        <v>37.58465833333333</v>
      </c>
      <c r="N1140" s="10">
        <f t="shared" ca="1" si="70"/>
        <v>37.601758333333336</v>
      </c>
      <c r="O1140" s="10">
        <f t="shared" ca="1" si="70"/>
        <v>37.776508333333332</v>
      </c>
      <c r="P1140" s="10">
        <f t="shared" ca="1" si="70"/>
        <v>37.62286666666666</v>
      </c>
      <c r="Q1140" s="10">
        <f t="shared" ca="1" si="70"/>
        <v>38.371808333333341</v>
      </c>
      <c r="R1140" s="10">
        <f t="shared" ca="1" si="70"/>
        <v>39.054733333333324</v>
      </c>
      <c r="S1140" s="10">
        <f t="shared" ca="1" si="70"/>
        <v>36.903641666666665</v>
      </c>
      <c r="T1140" s="32">
        <f t="shared" ca="1" si="71"/>
        <v>358.17703550000004</v>
      </c>
      <c r="U1140" s="32">
        <f t="shared" ca="1" si="71"/>
        <v>142.42176299999997</v>
      </c>
      <c r="V1140" s="32">
        <f t="shared" ca="1" si="71"/>
        <v>50.325000000000003</v>
      </c>
      <c r="W1140" s="32">
        <f t="shared" ca="1" si="71"/>
        <v>5.0961473999999995</v>
      </c>
      <c r="X1140" s="32">
        <f t="shared" ca="1" si="71"/>
        <v>20.800615543999996</v>
      </c>
      <c r="Y1140" s="32"/>
      <c r="Z1140" s="10"/>
      <c r="AA1140" s="10"/>
      <c r="AB1140" s="10"/>
      <c r="AC1140" s="10">
        <f t="shared" ca="1" si="68"/>
        <v>38.097607772218822</v>
      </c>
      <c r="AD1140" s="10">
        <f t="shared" ca="1" si="68"/>
        <v>37.67809370503597</v>
      </c>
    </row>
    <row r="1141" spans="1:30" ht="15" x14ac:dyDescent="0.2">
      <c r="A1141" s="11">
        <f t="shared" si="61"/>
        <v>2097</v>
      </c>
      <c r="B1141" s="10">
        <f t="shared" ca="1" si="69"/>
        <v>39.011283333333331</v>
      </c>
      <c r="C1141" s="10">
        <f t="shared" ca="1" si="69"/>
        <v>39.017558333333334</v>
      </c>
      <c r="D1141" s="10">
        <f t="shared" ca="1" si="69"/>
        <v>39.13323333333333</v>
      </c>
      <c r="E1141" s="10">
        <f t="shared" ca="1" si="69"/>
        <v>39.165375000000004</v>
      </c>
      <c r="F1141" s="10">
        <f t="shared" ca="1" si="69"/>
        <v>38.967241666666666</v>
      </c>
      <c r="G1141" s="10">
        <f t="shared" ca="1" si="69"/>
        <v>38.984575</v>
      </c>
      <c r="H1141" s="10">
        <f t="shared" ca="1" si="69"/>
        <v>39.154208333333337</v>
      </c>
      <c r="I1141" s="10">
        <f t="shared" ca="1" si="69"/>
        <v>38.998466666666673</v>
      </c>
      <c r="J1141" s="10">
        <f t="shared" ca="1" si="69"/>
        <v>38.959841666666669</v>
      </c>
      <c r="K1141" s="10">
        <f t="shared" ca="1" si="69"/>
        <v>37.943324999999994</v>
      </c>
      <c r="L1141" s="10">
        <f t="shared" ca="1" si="70"/>
        <v>39.74120833333334</v>
      </c>
      <c r="M1141" s="10">
        <f t="shared" ca="1" si="70"/>
        <v>38.488500000000002</v>
      </c>
      <c r="N1141" s="10">
        <f t="shared" ca="1" si="70"/>
        <v>38.505625000000002</v>
      </c>
      <c r="O1141" s="10">
        <f t="shared" ca="1" si="70"/>
        <v>38.680374999999998</v>
      </c>
      <c r="P1141" s="10">
        <f t="shared" ca="1" si="70"/>
        <v>38.526691666666665</v>
      </c>
      <c r="Q1141" s="10">
        <f t="shared" ca="1" si="70"/>
        <v>39.275675</v>
      </c>
      <c r="R1141" s="10">
        <f t="shared" ca="1" si="70"/>
        <v>39.96084166666666</v>
      </c>
      <c r="S1141" s="10">
        <f t="shared" ca="1" si="70"/>
        <v>37.790325000000003</v>
      </c>
      <c r="T1141" s="32">
        <f t="shared" ca="1" si="71"/>
        <v>357.24568100000005</v>
      </c>
      <c r="U1141" s="32">
        <f t="shared" ca="1" si="71"/>
        <v>142.03263249999998</v>
      </c>
      <c r="V1141" s="32">
        <f t="shared" ca="1" si="71"/>
        <v>50.187500000000007</v>
      </c>
      <c r="W1141" s="32">
        <f t="shared" ca="1" si="71"/>
        <v>5.0822234999999996</v>
      </c>
      <c r="X1141" s="32">
        <f t="shared" ca="1" si="71"/>
        <v>20.758966663999999</v>
      </c>
      <c r="Y1141" s="32"/>
      <c r="Z1141" s="10"/>
      <c r="AA1141" s="10"/>
      <c r="AB1141" s="10"/>
      <c r="AC1141" s="10">
        <f t="shared" ca="1" si="68"/>
        <v>39.013323060310867</v>
      </c>
      <c r="AD1141" s="10">
        <f t="shared" ca="1" si="68"/>
        <v>38.581945743405271</v>
      </c>
    </row>
    <row r="1142" spans="1:30" ht="15" x14ac:dyDescent="0.2">
      <c r="A1142" s="11">
        <f t="shared" si="61"/>
        <v>2098</v>
      </c>
      <c r="B1142" s="10">
        <f t="shared" ca="1" si="69"/>
        <v>39.948966666666671</v>
      </c>
      <c r="C1142" s="10">
        <f t="shared" ca="1" si="69"/>
        <v>39.955249999999999</v>
      </c>
      <c r="D1142" s="10">
        <f t="shared" ca="1" si="69"/>
        <v>40.07094166666667</v>
      </c>
      <c r="E1142" s="10">
        <f t="shared" ca="1" si="69"/>
        <v>40.103108333333338</v>
      </c>
      <c r="F1142" s="10">
        <f t="shared" ca="1" si="69"/>
        <v>39.904933333333339</v>
      </c>
      <c r="G1142" s="10">
        <f t="shared" ca="1" si="69"/>
        <v>39.922275000000006</v>
      </c>
      <c r="H1142" s="10">
        <f t="shared" ca="1" si="69"/>
        <v>40.091908333333329</v>
      </c>
      <c r="I1142" s="10">
        <f t="shared" ca="1" si="69"/>
        <v>39.936183333333332</v>
      </c>
      <c r="J1142" s="10">
        <f t="shared" ca="1" si="69"/>
        <v>39.897533333333335</v>
      </c>
      <c r="K1142" s="10">
        <f t="shared" ca="1" si="69"/>
        <v>38.851774999999996</v>
      </c>
      <c r="L1142" s="10">
        <f t="shared" ca="1" si="70"/>
        <v>40.678908333333332</v>
      </c>
      <c r="M1142" s="10">
        <f t="shared" ca="1" si="70"/>
        <v>39.41406666666667</v>
      </c>
      <c r="N1142" s="10">
        <f t="shared" ca="1" si="70"/>
        <v>39.431191666666663</v>
      </c>
      <c r="O1142" s="10">
        <f t="shared" ca="1" si="70"/>
        <v>39.605925000000006</v>
      </c>
      <c r="P1142" s="10">
        <f t="shared" ca="1" si="70"/>
        <v>39.452283333333334</v>
      </c>
      <c r="Q1142" s="10">
        <f t="shared" ca="1" si="70"/>
        <v>40.201225000000001</v>
      </c>
      <c r="R1142" s="10">
        <f t="shared" ca="1" si="70"/>
        <v>40.888750000000009</v>
      </c>
      <c r="S1142" s="10">
        <f t="shared" ca="1" si="70"/>
        <v>38.698299999999996</v>
      </c>
      <c r="T1142" s="32">
        <f t="shared" ca="1" si="71"/>
        <v>357.24568100000005</v>
      </c>
      <c r="U1142" s="32">
        <f t="shared" ca="1" si="71"/>
        <v>142.03263249999998</v>
      </c>
      <c r="V1142" s="32">
        <f t="shared" ca="1" si="71"/>
        <v>50.187500000000007</v>
      </c>
      <c r="W1142" s="32">
        <f t="shared" ca="1" si="71"/>
        <v>5.0822234999999996</v>
      </c>
      <c r="X1142" s="32">
        <f t="shared" ca="1" si="71"/>
        <v>20.758966663999999</v>
      </c>
      <c r="Y1142" s="32"/>
      <c r="Z1142" s="10"/>
      <c r="AA1142" s="10"/>
      <c r="AB1142" s="10"/>
      <c r="AC1142" s="10">
        <f t="shared" ca="1" si="68"/>
        <v>39.95102096536101</v>
      </c>
      <c r="AD1142" s="10">
        <f t="shared" ca="1" si="68"/>
        <v>39.507508453237406</v>
      </c>
    </row>
    <row r="1143" spans="1:30" ht="15" x14ac:dyDescent="0.2">
      <c r="A1143" s="11">
        <f t="shared" si="61"/>
        <v>2099</v>
      </c>
      <c r="B1143" s="10">
        <f t="shared" ca="1" si="69"/>
        <v>40.909233333333333</v>
      </c>
      <c r="C1143" s="10">
        <f t="shared" ca="1" si="69"/>
        <v>40.915500000000002</v>
      </c>
      <c r="D1143" s="10">
        <f t="shared" ca="1" si="69"/>
        <v>41.031191666666665</v>
      </c>
      <c r="E1143" s="10">
        <f t="shared" ca="1" si="69"/>
        <v>41.063341666666666</v>
      </c>
      <c r="F1143" s="10">
        <f t="shared" ca="1" si="69"/>
        <v>40.86516666666666</v>
      </c>
      <c r="G1143" s="10">
        <f t="shared" ca="1" si="69"/>
        <v>40.882516666666668</v>
      </c>
      <c r="H1143" s="10">
        <f t="shared" ca="1" si="69"/>
        <v>41.052150000000005</v>
      </c>
      <c r="I1143" s="10">
        <f t="shared" ca="1" si="69"/>
        <v>40.896408333333326</v>
      </c>
      <c r="J1143" s="10">
        <f t="shared" ca="1" si="69"/>
        <v>40.85776666666667</v>
      </c>
      <c r="K1143" s="10">
        <f t="shared" ca="1" si="69"/>
        <v>39.782024999999997</v>
      </c>
      <c r="L1143" s="10">
        <f t="shared" ca="1" si="70"/>
        <v>41.639149999999994</v>
      </c>
      <c r="M1143" s="10">
        <f t="shared" ca="1" si="70"/>
        <v>40.361858333333338</v>
      </c>
      <c r="N1143" s="10">
        <f t="shared" ca="1" si="70"/>
        <v>40.379008333333324</v>
      </c>
      <c r="O1143" s="10">
        <f t="shared" ca="1" si="70"/>
        <v>40.553741666666667</v>
      </c>
      <c r="P1143" s="10">
        <f t="shared" ca="1" si="70"/>
        <v>40.400075000000001</v>
      </c>
      <c r="Q1143" s="10">
        <f t="shared" ca="1" si="70"/>
        <v>41.149041666666669</v>
      </c>
      <c r="R1143" s="10">
        <f t="shared" ca="1" si="70"/>
        <v>41.838891666666662</v>
      </c>
      <c r="S1143" s="10">
        <f t="shared" ca="1" si="70"/>
        <v>39.628100000000003</v>
      </c>
      <c r="T1143" s="32">
        <f t="shared" ca="1" si="71"/>
        <v>357.24568100000005</v>
      </c>
      <c r="U1143" s="32">
        <f t="shared" ca="1" si="71"/>
        <v>142.03263249999998</v>
      </c>
      <c r="V1143" s="32">
        <f t="shared" ca="1" si="71"/>
        <v>50.187500000000007</v>
      </c>
      <c r="W1143" s="32">
        <f t="shared" ca="1" si="71"/>
        <v>5.0822234999999996</v>
      </c>
      <c r="X1143" s="32">
        <f t="shared" ca="1" si="71"/>
        <v>20.758966663999999</v>
      </c>
      <c r="Y1143" s="32"/>
      <c r="Z1143" s="10"/>
      <c r="AA1143" s="10"/>
      <c r="AB1143" s="10"/>
      <c r="AC1143" s="10">
        <f t="shared" ca="1" si="68"/>
        <v>40.91126379693273</v>
      </c>
      <c r="AD1143" s="10">
        <f t="shared" ca="1" si="68"/>
        <v>40.455312889688251</v>
      </c>
    </row>
    <row r="1144" spans="1:30" ht="15" x14ac:dyDescent="0.2">
      <c r="A1144" s="11">
        <f t="shared" si="61"/>
        <v>2100</v>
      </c>
      <c r="B1144" s="10">
        <f t="shared" ca="1" si="69"/>
        <v>41.892533333333333</v>
      </c>
      <c r="C1144" s="10">
        <f t="shared" ca="1" si="69"/>
        <v>41.898808333333328</v>
      </c>
      <c r="D1144" s="10">
        <f t="shared" ca="1" si="69"/>
        <v>42.014491666666672</v>
      </c>
      <c r="E1144" s="10">
        <f t="shared" ca="1" si="69"/>
        <v>42.046658333333333</v>
      </c>
      <c r="F1144" s="10">
        <f t="shared" ca="1" si="69"/>
        <v>41.848475000000001</v>
      </c>
      <c r="G1144" s="10">
        <f t="shared" ca="1" si="69"/>
        <v>41.86581666666666</v>
      </c>
      <c r="H1144" s="10">
        <f t="shared" ca="1" si="69"/>
        <v>42.035458333333331</v>
      </c>
      <c r="I1144" s="10">
        <f t="shared" ca="1" si="69"/>
        <v>41.879725000000001</v>
      </c>
      <c r="J1144" s="10">
        <f t="shared" ca="1" si="69"/>
        <v>41.841074999999996</v>
      </c>
      <c r="K1144" s="10">
        <f t="shared" ca="1" si="69"/>
        <v>40.734641666666668</v>
      </c>
      <c r="L1144" s="10">
        <f t="shared" ca="1" si="70"/>
        <v>42.622458333333334</v>
      </c>
      <c r="M1144" s="10">
        <f t="shared" ca="1" si="70"/>
        <v>41.332466666666669</v>
      </c>
      <c r="N1144" s="10">
        <f t="shared" ca="1" si="70"/>
        <v>41.349591666666669</v>
      </c>
      <c r="O1144" s="10">
        <f t="shared" ca="1" si="70"/>
        <v>41.524324999999997</v>
      </c>
      <c r="P1144" s="10">
        <f t="shared" ca="1" si="70"/>
        <v>41.370658333333331</v>
      </c>
      <c r="Q1144" s="10">
        <f t="shared" ca="1" si="70"/>
        <v>42.119624999999992</v>
      </c>
      <c r="R1144" s="10">
        <f t="shared" ca="1" si="70"/>
        <v>42.811925000000002</v>
      </c>
      <c r="S1144" s="10">
        <f t="shared" ca="1" si="70"/>
        <v>40.580233333333332</v>
      </c>
      <c r="T1144" s="32">
        <f t="shared" ca="1" si="71"/>
        <v>358.17703550000004</v>
      </c>
      <c r="U1144" s="32">
        <f t="shared" ca="1" si="71"/>
        <v>142.42176299999997</v>
      </c>
      <c r="V1144" s="32">
        <f t="shared" ca="1" si="71"/>
        <v>50.325000000000003</v>
      </c>
      <c r="W1144" s="32">
        <f t="shared" ca="1" si="71"/>
        <v>5.0961473999999995</v>
      </c>
      <c r="X1144" s="32">
        <f t="shared" ca="1" si="71"/>
        <v>20.758966663999999</v>
      </c>
      <c r="Y1144" s="32"/>
      <c r="Z1144" s="10"/>
      <c r="AA1144" s="10"/>
      <c r="AB1144" s="10"/>
      <c r="AC1144" s="10">
        <f t="shared" ca="1" si="68"/>
        <v>41.894570063347011</v>
      </c>
      <c r="AD1144" s="10">
        <f t="shared" ca="1" si="68"/>
        <v>41.425904856115103</v>
      </c>
    </row>
    <row r="1145" spans="1:30" ht="15" x14ac:dyDescent="0.2">
      <c r="A1145" s="11"/>
    </row>
    <row r="1146" spans="1:30" ht="15" x14ac:dyDescent="0.2">
      <c r="A1146" s="11"/>
    </row>
    <row r="1147" spans="1:30" ht="15" x14ac:dyDescent="0.2">
      <c r="A1147" s="11"/>
    </row>
    <row r="1148" spans="1:30" ht="15" x14ac:dyDescent="0.2">
      <c r="A1148" s="11"/>
    </row>
    <row r="1149" spans="1:30" ht="15" x14ac:dyDescent="0.2">
      <c r="A1149" s="11"/>
    </row>
    <row r="1150" spans="1:30" ht="15" x14ac:dyDescent="0.2">
      <c r="A1150" s="11"/>
    </row>
    <row r="1151" spans="1:30" ht="15" x14ac:dyDescent="0.2">
      <c r="A1151" s="11"/>
    </row>
    <row r="1152" spans="1:30" ht="15" x14ac:dyDescent="0.2">
      <c r="A1152" s="11"/>
    </row>
    <row r="1153" spans="1:1" ht="15" x14ac:dyDescent="0.2">
      <c r="A1153" s="11"/>
    </row>
    <row r="1154" spans="1:1" ht="15" x14ac:dyDescent="0.2">
      <c r="A1154" s="11"/>
    </row>
    <row r="1155" spans="1:1" ht="15" x14ac:dyDescent="0.2">
      <c r="A1155" s="11"/>
    </row>
    <row r="1156" spans="1:1" ht="15" x14ac:dyDescent="0.2">
      <c r="A1156" s="11"/>
    </row>
    <row r="1157" spans="1:1" ht="15" x14ac:dyDescent="0.2">
      <c r="A1157" s="11"/>
    </row>
    <row r="1158" spans="1:1" ht="15" x14ac:dyDescent="0.2">
      <c r="A1158" s="11"/>
    </row>
    <row r="1159" spans="1:1" ht="15" x14ac:dyDescent="0.2">
      <c r="A1159" s="11"/>
    </row>
  </sheetData>
  <mergeCells count="4">
    <mergeCell ref="AA9:AB9"/>
    <mergeCell ref="T9:Z9"/>
    <mergeCell ref="T10:Z10"/>
    <mergeCell ref="T8:Z8"/>
  </mergeCells>
  <pageMargins left="0.25" right="0.25" top="0.5" bottom="0.5" header="0.25" footer="0.25"/>
  <pageSetup paperSize="3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285750</xdr:colOff>
                    <xdr:row>7</xdr:row>
                    <xdr:rowOff>28575</xdr:rowOff>
                  </from>
                  <to>
                    <xdr:col>8</xdr:col>
                    <xdr:colOff>552450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10</xdr:col>
                    <xdr:colOff>981075</xdr:colOff>
                    <xdr:row>7</xdr:row>
                    <xdr:rowOff>133350</xdr:rowOff>
                  </from>
                  <to>
                    <xdr:col>12</xdr:col>
                    <xdr:colOff>257175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63"/>
  <sheetViews>
    <sheetView zoomScale="70" zoomScaleNormal="70" workbookViewId="0">
      <pane xSplit="1" ySplit="11" topLeftCell="B12" activePane="bottomRight" state="frozen"/>
      <selection activeCell="A6" sqref="A6"/>
      <selection pane="topRight" activeCell="A6" sqref="A6"/>
      <selection pane="bottomLeft" activeCell="A6" sqref="A6"/>
      <selection pane="bottomRight" activeCell="B12" sqref="B12"/>
    </sheetView>
  </sheetViews>
  <sheetFormatPr defaultColWidth="7.109375" defaultRowHeight="12.75" x14ac:dyDescent="0.2"/>
  <cols>
    <col min="1" max="1" width="19.21875" style="9" customWidth="1"/>
    <col min="2" max="2" width="7.88671875" style="9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98" t="s">
        <v>93</v>
      </c>
    </row>
    <row r="2" spans="1:30" ht="15.75" x14ac:dyDescent="0.25">
      <c r="A2" s="98" t="s">
        <v>94</v>
      </c>
    </row>
    <row r="3" spans="1:30" ht="15.75" x14ac:dyDescent="0.25">
      <c r="A3" s="98" t="s">
        <v>95</v>
      </c>
    </row>
    <row r="4" spans="1:30" ht="15.75" x14ac:dyDescent="0.25">
      <c r="A4" s="98" t="s">
        <v>96</v>
      </c>
    </row>
    <row r="5" spans="1:30" ht="15.75" x14ac:dyDescent="0.25">
      <c r="A5" s="98" t="s">
        <v>98</v>
      </c>
    </row>
    <row r="6" spans="1:30" ht="15.75" x14ac:dyDescent="0.25">
      <c r="A6" s="98" t="s">
        <v>103</v>
      </c>
    </row>
    <row r="8" spans="1:30" ht="15.75" x14ac:dyDescent="0.25">
      <c r="A8" s="25" t="s">
        <v>28</v>
      </c>
      <c r="B8" s="25"/>
      <c r="C8" s="79"/>
      <c r="O8" s="51"/>
      <c r="P8" s="51"/>
      <c r="Q8" s="51"/>
      <c r="R8" s="51"/>
      <c r="S8" s="51"/>
    </row>
    <row r="9" spans="1:30" ht="15.75" x14ac:dyDescent="0.25">
      <c r="A9" s="25"/>
      <c r="C9" s="103" t="s">
        <v>83</v>
      </c>
      <c r="D9" s="103"/>
      <c r="E9" s="103"/>
      <c r="F9" s="103"/>
      <c r="G9" s="78"/>
      <c r="H9" s="78"/>
      <c r="I9" s="108" t="s">
        <v>82</v>
      </c>
      <c r="J9" s="109"/>
      <c r="K9" s="109"/>
      <c r="L9" s="77"/>
      <c r="M9" s="53"/>
      <c r="N9" s="76"/>
      <c r="O9" s="107"/>
      <c r="P9" s="107"/>
      <c r="Q9" s="107"/>
      <c r="R9" s="75"/>
      <c r="S9" s="75"/>
    </row>
    <row r="10" spans="1:30" ht="97.9" customHeight="1" x14ac:dyDescent="0.25">
      <c r="A10" s="74"/>
      <c r="B10" s="74"/>
      <c r="C10" s="47" t="s">
        <v>68</v>
      </c>
      <c r="D10" s="50" t="s">
        <v>67</v>
      </c>
      <c r="E10" s="47" t="s">
        <v>66</v>
      </c>
      <c r="F10" s="47" t="s">
        <v>65</v>
      </c>
      <c r="G10" s="50" t="s">
        <v>64</v>
      </c>
      <c r="H10" s="50" t="s">
        <v>63</v>
      </c>
      <c r="I10" s="50" t="s">
        <v>62</v>
      </c>
      <c r="J10" s="50" t="s">
        <v>61</v>
      </c>
      <c r="K10" s="50" t="s">
        <v>60</v>
      </c>
      <c r="L10" s="47" t="s">
        <v>81</v>
      </c>
      <c r="M10" s="73" t="s">
        <v>80</v>
      </c>
      <c r="N10" s="19" t="s">
        <v>58</v>
      </c>
      <c r="O10" s="49" t="s">
        <v>79</v>
      </c>
      <c r="P10" s="49" t="s">
        <v>78</v>
      </c>
      <c r="Q10" s="49" t="s">
        <v>77</v>
      </c>
      <c r="R10" s="49" t="s">
        <v>76</v>
      </c>
      <c r="S10" s="72" t="s">
        <v>75</v>
      </c>
      <c r="T10" s="21" t="s">
        <v>74</v>
      </c>
    </row>
    <row r="11" spans="1:30" ht="15.75" x14ac:dyDescent="0.25">
      <c r="A11" s="20" t="s">
        <v>15</v>
      </c>
      <c r="B11" s="20" t="s">
        <v>73</v>
      </c>
      <c r="C11" s="20" t="s">
        <v>72</v>
      </c>
      <c r="D11" s="20" t="s">
        <v>72</v>
      </c>
      <c r="E11" s="20" t="s">
        <v>72</v>
      </c>
      <c r="F11" s="20" t="s">
        <v>72</v>
      </c>
      <c r="G11" s="20" t="s">
        <v>72</v>
      </c>
      <c r="H11" s="20" t="s">
        <v>72</v>
      </c>
      <c r="I11" s="20" t="s">
        <v>72</v>
      </c>
      <c r="J11" s="20" t="s">
        <v>72</v>
      </c>
      <c r="K11" s="20" t="s">
        <v>72</v>
      </c>
      <c r="L11" s="20" t="s">
        <v>72</v>
      </c>
      <c r="M11" s="71" t="s">
        <v>72</v>
      </c>
      <c r="N11" s="20" t="s">
        <v>72</v>
      </c>
      <c r="O11" s="20" t="s">
        <v>72</v>
      </c>
      <c r="P11" s="20" t="s">
        <v>72</v>
      </c>
      <c r="Q11" s="20" t="s">
        <v>72</v>
      </c>
      <c r="R11" s="20" t="s">
        <v>72</v>
      </c>
      <c r="S11" s="20" t="s">
        <v>72</v>
      </c>
      <c r="T11" s="20" t="s">
        <v>72</v>
      </c>
    </row>
    <row r="12" spans="1:30" ht="15.75" x14ac:dyDescent="0.25">
      <c r="A12" s="16">
        <v>41640</v>
      </c>
      <c r="B12" s="69">
        <v>31</v>
      </c>
      <c r="C12" s="56">
        <v>122.58</v>
      </c>
      <c r="D12" s="56">
        <v>297.94099999999997</v>
      </c>
      <c r="E12" s="64">
        <v>89.177000000000007</v>
      </c>
      <c r="F12" s="56">
        <v>200.30199999999999</v>
      </c>
      <c r="G12" s="59">
        <v>40</v>
      </c>
      <c r="H12" s="56">
        <v>0</v>
      </c>
      <c r="I12" s="56">
        <v>0</v>
      </c>
      <c r="J12" s="59">
        <v>100</v>
      </c>
      <c r="K12" s="59">
        <v>300</v>
      </c>
      <c r="L12" s="56">
        <v>1150</v>
      </c>
      <c r="M12" s="66"/>
      <c r="N12" s="56">
        <v>100</v>
      </c>
      <c r="O12" s="59">
        <v>240</v>
      </c>
      <c r="P12" s="59">
        <v>0</v>
      </c>
      <c r="Q12" s="59">
        <v>355</v>
      </c>
      <c r="R12" s="59">
        <v>100</v>
      </c>
      <c r="S12" s="56">
        <v>695</v>
      </c>
      <c r="T12" s="56">
        <v>50</v>
      </c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5.75" x14ac:dyDescent="0.25">
      <c r="A13" s="16">
        <v>41671</v>
      </c>
      <c r="B13" s="69">
        <v>30</v>
      </c>
      <c r="C13" s="56">
        <v>122.58</v>
      </c>
      <c r="D13" s="56">
        <v>297.94099999999997</v>
      </c>
      <c r="E13" s="64">
        <v>89.177000000000007</v>
      </c>
      <c r="F13" s="56">
        <v>200.30199999999999</v>
      </c>
      <c r="G13" s="59">
        <v>40</v>
      </c>
      <c r="H13" s="56">
        <v>0</v>
      </c>
      <c r="I13" s="56">
        <v>0</v>
      </c>
      <c r="J13" s="59">
        <v>100</v>
      </c>
      <c r="K13" s="59">
        <v>300</v>
      </c>
      <c r="L13" s="56">
        <v>1150</v>
      </c>
      <c r="M13" s="66"/>
      <c r="N13" s="56">
        <v>100</v>
      </c>
      <c r="O13" s="59">
        <v>240</v>
      </c>
      <c r="P13" s="59">
        <v>0</v>
      </c>
      <c r="Q13" s="59">
        <v>355</v>
      </c>
      <c r="R13" s="59">
        <v>100</v>
      </c>
      <c r="S13" s="56">
        <v>695</v>
      </c>
      <c r="T13" s="56">
        <v>50</v>
      </c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.75" x14ac:dyDescent="0.25">
      <c r="A14" s="16">
        <v>41699</v>
      </c>
      <c r="B14" s="69">
        <v>31</v>
      </c>
      <c r="C14" s="56">
        <v>122.58</v>
      </c>
      <c r="D14" s="56">
        <v>297.94099999999997</v>
      </c>
      <c r="E14" s="64">
        <v>89.177000000000007</v>
      </c>
      <c r="F14" s="56">
        <v>200.30199999999999</v>
      </c>
      <c r="G14" s="59">
        <v>40</v>
      </c>
      <c r="H14" s="56">
        <v>0</v>
      </c>
      <c r="I14" s="56">
        <v>0</v>
      </c>
      <c r="J14" s="59">
        <v>100</v>
      </c>
      <c r="K14" s="59">
        <v>300</v>
      </c>
      <c r="L14" s="56">
        <v>1150</v>
      </c>
      <c r="M14" s="66"/>
      <c r="N14" s="56">
        <v>100</v>
      </c>
      <c r="O14" s="59">
        <v>240</v>
      </c>
      <c r="P14" s="59">
        <v>0</v>
      </c>
      <c r="Q14" s="59">
        <v>355</v>
      </c>
      <c r="R14" s="59">
        <v>100</v>
      </c>
      <c r="S14" s="56">
        <v>695</v>
      </c>
      <c r="T14" s="56">
        <v>50</v>
      </c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.75" x14ac:dyDescent="0.25">
      <c r="A15" s="16">
        <v>41730</v>
      </c>
      <c r="B15" s="69">
        <v>30</v>
      </c>
      <c r="C15" s="56">
        <v>141.29300000000001</v>
      </c>
      <c r="D15" s="56">
        <v>267.99299999999999</v>
      </c>
      <c r="E15" s="64">
        <v>115.01600000000001</v>
      </c>
      <c r="F15" s="56">
        <v>249.69800000000001</v>
      </c>
      <c r="G15" s="59">
        <v>40</v>
      </c>
      <c r="H15" s="56">
        <v>25</v>
      </c>
      <c r="I15" s="56">
        <v>0</v>
      </c>
      <c r="J15" s="59">
        <v>100</v>
      </c>
      <c r="K15" s="59">
        <v>300</v>
      </c>
      <c r="L15" s="56">
        <v>1239</v>
      </c>
      <c r="M15" s="66"/>
      <c r="N15" s="56">
        <v>100</v>
      </c>
      <c r="O15" s="59">
        <v>240</v>
      </c>
      <c r="P15" s="59">
        <v>120</v>
      </c>
      <c r="Q15" s="59">
        <v>235</v>
      </c>
      <c r="R15" s="59">
        <v>100</v>
      </c>
      <c r="S15" s="56">
        <v>695</v>
      </c>
      <c r="T15" s="56">
        <v>50</v>
      </c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5.75" x14ac:dyDescent="0.25">
      <c r="A16" s="16">
        <v>41760</v>
      </c>
      <c r="B16" s="69">
        <v>31</v>
      </c>
      <c r="C16" s="56">
        <f>194.205</f>
        <v>194.20500000000001</v>
      </c>
      <c r="D16" s="56">
        <f>267.466</f>
        <v>267.46600000000001</v>
      </c>
      <c r="E16" s="64">
        <f>133.845</f>
        <v>133.845</v>
      </c>
      <c r="F16" s="56">
        <f>278.484-40-25</f>
        <v>213.48399999999998</v>
      </c>
      <c r="G16" s="59">
        <v>40</v>
      </c>
      <c r="H16" s="56">
        <v>25</v>
      </c>
      <c r="I16" s="70">
        <v>50</v>
      </c>
      <c r="J16" s="59">
        <v>100</v>
      </c>
      <c r="K16" s="59">
        <v>300</v>
      </c>
      <c r="L16" s="56">
        <f t="shared" ref="L16:L79" si="0">SUM(C16:K16)</f>
        <v>1324</v>
      </c>
      <c r="M16" s="66"/>
      <c r="N16" s="56">
        <f>75</f>
        <v>75</v>
      </c>
      <c r="O16" s="59">
        <v>240</v>
      </c>
      <c r="P16" s="59">
        <f t="shared" ref="P16:P21" si="1">145-H16</f>
        <v>120</v>
      </c>
      <c r="Q16" s="59">
        <f t="shared" ref="Q16:Q79" si="2">695-R16-O16-P16</f>
        <v>235</v>
      </c>
      <c r="R16" s="59">
        <f t="shared" ref="R16:R79" si="3">200-J16</f>
        <v>100</v>
      </c>
      <c r="S16" s="56">
        <f t="shared" ref="S16:S79" si="4">SUM(O16:R16)</f>
        <v>695</v>
      </c>
      <c r="T16" s="56">
        <f>50</f>
        <v>50</v>
      </c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.75" x14ac:dyDescent="0.25">
      <c r="A17" s="16">
        <v>41791</v>
      </c>
      <c r="B17" s="69">
        <v>30</v>
      </c>
      <c r="C17" s="56">
        <f>194.205</f>
        <v>194.20500000000001</v>
      </c>
      <c r="D17" s="56">
        <f>267.466</f>
        <v>267.46600000000001</v>
      </c>
      <c r="E17" s="64">
        <f>133.845</f>
        <v>133.845</v>
      </c>
      <c r="F17" s="56">
        <f>278.484-40-25</f>
        <v>213.48399999999998</v>
      </c>
      <c r="G17" s="59">
        <v>40</v>
      </c>
      <c r="H17" s="56">
        <v>25</v>
      </c>
      <c r="I17" s="70">
        <v>50</v>
      </c>
      <c r="J17" s="59">
        <v>100</v>
      </c>
      <c r="K17" s="59">
        <v>300</v>
      </c>
      <c r="L17" s="56">
        <f t="shared" si="0"/>
        <v>1324</v>
      </c>
      <c r="M17" s="66"/>
      <c r="N17" s="56">
        <f>30</f>
        <v>30</v>
      </c>
      <c r="O17" s="59">
        <v>240</v>
      </c>
      <c r="P17" s="59">
        <f t="shared" si="1"/>
        <v>120</v>
      </c>
      <c r="Q17" s="59">
        <f t="shared" si="2"/>
        <v>235</v>
      </c>
      <c r="R17" s="59">
        <f t="shared" si="3"/>
        <v>100</v>
      </c>
      <c r="S17" s="56">
        <f t="shared" si="4"/>
        <v>695</v>
      </c>
      <c r="T17" s="56">
        <f>50</f>
        <v>50</v>
      </c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.75" x14ac:dyDescent="0.25">
      <c r="A18" s="16">
        <v>41821</v>
      </c>
      <c r="B18" s="69">
        <v>31</v>
      </c>
      <c r="C18" s="56">
        <f>194.205</f>
        <v>194.20500000000001</v>
      </c>
      <c r="D18" s="56">
        <f>267.466</f>
        <v>267.46600000000001</v>
      </c>
      <c r="E18" s="64">
        <f>133.845</f>
        <v>133.845</v>
      </c>
      <c r="F18" s="56">
        <f>278.484-40-25</f>
        <v>213.48399999999998</v>
      </c>
      <c r="G18" s="59">
        <v>40</v>
      </c>
      <c r="H18" s="56">
        <v>25</v>
      </c>
      <c r="I18" s="70">
        <v>50</v>
      </c>
      <c r="J18" s="59">
        <v>100</v>
      </c>
      <c r="K18" s="59">
        <v>300</v>
      </c>
      <c r="L18" s="56">
        <f t="shared" si="0"/>
        <v>1324</v>
      </c>
      <c r="M18" s="66"/>
      <c r="N18" s="56">
        <f>30</f>
        <v>30</v>
      </c>
      <c r="O18" s="59">
        <v>240</v>
      </c>
      <c r="P18" s="59">
        <f t="shared" si="1"/>
        <v>120</v>
      </c>
      <c r="Q18" s="59">
        <f t="shared" si="2"/>
        <v>235</v>
      </c>
      <c r="R18" s="59">
        <f t="shared" si="3"/>
        <v>100</v>
      </c>
      <c r="S18" s="56">
        <f t="shared" si="4"/>
        <v>695</v>
      </c>
      <c r="T18" s="56">
        <f>0</f>
        <v>0</v>
      </c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.75" x14ac:dyDescent="0.25">
      <c r="A19" s="16">
        <v>41852</v>
      </c>
      <c r="B19" s="69">
        <v>31</v>
      </c>
      <c r="C19" s="56">
        <f>194.205</f>
        <v>194.20500000000001</v>
      </c>
      <c r="D19" s="56">
        <f>267.466</f>
        <v>267.46600000000001</v>
      </c>
      <c r="E19" s="64">
        <f>133.845</f>
        <v>133.845</v>
      </c>
      <c r="F19" s="56">
        <f>278.484-40-25</f>
        <v>213.48399999999998</v>
      </c>
      <c r="G19" s="59">
        <v>40</v>
      </c>
      <c r="H19" s="56">
        <v>25</v>
      </c>
      <c r="I19" s="70">
        <v>50</v>
      </c>
      <c r="J19" s="59">
        <v>100</v>
      </c>
      <c r="K19" s="59">
        <v>300</v>
      </c>
      <c r="L19" s="56">
        <f t="shared" si="0"/>
        <v>1324</v>
      </c>
      <c r="M19" s="66"/>
      <c r="N19" s="56">
        <f>30</f>
        <v>30</v>
      </c>
      <c r="O19" s="59">
        <v>240</v>
      </c>
      <c r="P19" s="59">
        <f t="shared" si="1"/>
        <v>120</v>
      </c>
      <c r="Q19" s="59">
        <f t="shared" si="2"/>
        <v>235</v>
      </c>
      <c r="R19" s="59">
        <f t="shared" si="3"/>
        <v>100</v>
      </c>
      <c r="S19" s="56">
        <f t="shared" si="4"/>
        <v>695</v>
      </c>
      <c r="T19" s="56">
        <f>0</f>
        <v>0</v>
      </c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.75" x14ac:dyDescent="0.25">
      <c r="A20" s="16">
        <v>41883</v>
      </c>
      <c r="B20" s="69">
        <v>30</v>
      </c>
      <c r="C20" s="56">
        <f>194.205</f>
        <v>194.20500000000001</v>
      </c>
      <c r="D20" s="56">
        <f>267.466</f>
        <v>267.46600000000001</v>
      </c>
      <c r="E20" s="64">
        <f>133.845</f>
        <v>133.845</v>
      </c>
      <c r="F20" s="56">
        <f>278.484-40-25</f>
        <v>213.48399999999998</v>
      </c>
      <c r="G20" s="59">
        <v>40</v>
      </c>
      <c r="H20" s="56">
        <v>25</v>
      </c>
      <c r="I20" s="70">
        <v>50</v>
      </c>
      <c r="J20" s="59">
        <v>100</v>
      </c>
      <c r="K20" s="59">
        <v>300</v>
      </c>
      <c r="L20" s="56">
        <f t="shared" si="0"/>
        <v>1324</v>
      </c>
      <c r="M20" s="66"/>
      <c r="N20" s="56">
        <f>30</f>
        <v>30</v>
      </c>
      <c r="O20" s="59">
        <v>240</v>
      </c>
      <c r="P20" s="59">
        <f t="shared" si="1"/>
        <v>120</v>
      </c>
      <c r="Q20" s="59">
        <f t="shared" si="2"/>
        <v>235</v>
      </c>
      <c r="R20" s="59">
        <f t="shared" si="3"/>
        <v>100</v>
      </c>
      <c r="S20" s="56">
        <f t="shared" si="4"/>
        <v>695</v>
      </c>
      <c r="T20" s="56">
        <f>0</f>
        <v>0</v>
      </c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.75" x14ac:dyDescent="0.25">
      <c r="A21" s="16">
        <v>41913</v>
      </c>
      <c r="B21" s="69">
        <v>31</v>
      </c>
      <c r="C21" s="56">
        <f>131.881</f>
        <v>131.881</v>
      </c>
      <c r="D21" s="56">
        <f>277.167</f>
        <v>277.16699999999997</v>
      </c>
      <c r="E21" s="64">
        <f>79.08</f>
        <v>79.08</v>
      </c>
      <c r="F21" s="56">
        <f>350.872-40-25</f>
        <v>285.87200000000001</v>
      </c>
      <c r="G21" s="59">
        <v>40</v>
      </c>
      <c r="H21" s="56">
        <v>25</v>
      </c>
      <c r="I21" s="56">
        <v>0</v>
      </c>
      <c r="J21" s="59">
        <v>100</v>
      </c>
      <c r="K21" s="59">
        <v>300</v>
      </c>
      <c r="L21" s="56">
        <f t="shared" si="0"/>
        <v>1239</v>
      </c>
      <c r="M21" s="66"/>
      <c r="N21" s="56">
        <f>75</f>
        <v>75</v>
      </c>
      <c r="O21" s="59">
        <v>240</v>
      </c>
      <c r="P21" s="59">
        <f t="shared" si="1"/>
        <v>120</v>
      </c>
      <c r="Q21" s="59">
        <f t="shared" si="2"/>
        <v>235</v>
      </c>
      <c r="R21" s="59">
        <f t="shared" si="3"/>
        <v>100</v>
      </c>
      <c r="S21" s="56">
        <f t="shared" si="4"/>
        <v>695</v>
      </c>
      <c r="T21" s="56">
        <f>0</f>
        <v>0</v>
      </c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.75" x14ac:dyDescent="0.25">
      <c r="A22" s="16">
        <v>41944</v>
      </c>
      <c r="B22" s="69">
        <v>30</v>
      </c>
      <c r="C22" s="56">
        <f>122.58</f>
        <v>122.58</v>
      </c>
      <c r="D22" s="56">
        <f>297.941</f>
        <v>297.94099999999997</v>
      </c>
      <c r="E22" s="64">
        <f>89.177</f>
        <v>89.177000000000007</v>
      </c>
      <c r="F22" s="56">
        <f>240.302-40</f>
        <v>200.30199999999999</v>
      </c>
      <c r="G22" s="59">
        <v>40</v>
      </c>
      <c r="H22" s="56">
        <v>0</v>
      </c>
      <c r="I22" s="56">
        <v>0</v>
      </c>
      <c r="J22" s="59">
        <v>100</v>
      </c>
      <c r="K22" s="59">
        <v>300</v>
      </c>
      <c r="L22" s="56">
        <f t="shared" si="0"/>
        <v>1150</v>
      </c>
      <c r="M22" s="66"/>
      <c r="N22" s="56">
        <f>100</f>
        <v>100</v>
      </c>
      <c r="O22" s="59">
        <v>240</v>
      </c>
      <c r="P22" s="59">
        <v>0</v>
      </c>
      <c r="Q22" s="59">
        <f t="shared" si="2"/>
        <v>355</v>
      </c>
      <c r="R22" s="59">
        <f t="shared" si="3"/>
        <v>100</v>
      </c>
      <c r="S22" s="56">
        <f t="shared" si="4"/>
        <v>695</v>
      </c>
      <c r="T22" s="56">
        <f>50</f>
        <v>50</v>
      </c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.75" x14ac:dyDescent="0.25">
      <c r="A23" s="16">
        <v>41974</v>
      </c>
      <c r="B23" s="69">
        <v>31</v>
      </c>
      <c r="C23" s="56">
        <f>122.58</f>
        <v>122.58</v>
      </c>
      <c r="D23" s="56">
        <f>297.941</f>
        <v>297.94099999999997</v>
      </c>
      <c r="E23" s="64">
        <f>89.177</f>
        <v>89.177000000000007</v>
      </c>
      <c r="F23" s="56">
        <f>240.302-40</f>
        <v>200.30199999999999</v>
      </c>
      <c r="G23" s="59">
        <v>40</v>
      </c>
      <c r="H23" s="56">
        <v>0</v>
      </c>
      <c r="I23" s="56">
        <v>0</v>
      </c>
      <c r="J23" s="59">
        <v>100</v>
      </c>
      <c r="K23" s="59">
        <v>300</v>
      </c>
      <c r="L23" s="56">
        <f t="shared" si="0"/>
        <v>1150</v>
      </c>
      <c r="M23" s="66"/>
      <c r="N23" s="56">
        <f>100</f>
        <v>100</v>
      </c>
      <c r="O23" s="59">
        <v>240</v>
      </c>
      <c r="P23" s="59">
        <v>0</v>
      </c>
      <c r="Q23" s="59">
        <f t="shared" si="2"/>
        <v>355</v>
      </c>
      <c r="R23" s="59">
        <f t="shared" si="3"/>
        <v>100</v>
      </c>
      <c r="S23" s="56">
        <f t="shared" si="4"/>
        <v>695</v>
      </c>
      <c r="T23" s="56">
        <f>50</f>
        <v>50</v>
      </c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5.75" x14ac:dyDescent="0.25">
      <c r="A24" s="16">
        <v>42005</v>
      </c>
      <c r="B24" s="69">
        <v>31</v>
      </c>
      <c r="C24" s="56">
        <f>122.58</f>
        <v>122.58</v>
      </c>
      <c r="D24" s="56">
        <f>297.941</f>
        <v>297.94099999999997</v>
      </c>
      <c r="E24" s="64">
        <f>89.177</f>
        <v>89.177000000000007</v>
      </c>
      <c r="F24" s="56">
        <f>240.302-40</f>
        <v>200.30199999999999</v>
      </c>
      <c r="G24" s="59">
        <v>40</v>
      </c>
      <c r="H24" s="56">
        <v>0</v>
      </c>
      <c r="I24" s="56">
        <v>0</v>
      </c>
      <c r="J24" s="59">
        <v>100</v>
      </c>
      <c r="K24" s="59">
        <v>300</v>
      </c>
      <c r="L24" s="56">
        <f t="shared" si="0"/>
        <v>1150</v>
      </c>
      <c r="M24" s="66"/>
      <c r="N24" s="56">
        <f>100</f>
        <v>100</v>
      </c>
      <c r="O24" s="59">
        <v>240</v>
      </c>
      <c r="P24" s="59">
        <v>0</v>
      </c>
      <c r="Q24" s="59">
        <f t="shared" si="2"/>
        <v>355</v>
      </c>
      <c r="R24" s="59">
        <f t="shared" si="3"/>
        <v>100</v>
      </c>
      <c r="S24" s="56">
        <f t="shared" si="4"/>
        <v>695</v>
      </c>
      <c r="T24" s="56">
        <f>50</f>
        <v>50</v>
      </c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5.75" x14ac:dyDescent="0.25">
      <c r="A25" s="16">
        <v>42036</v>
      </c>
      <c r="B25" s="69">
        <v>28</v>
      </c>
      <c r="C25" s="56">
        <f>122.58</f>
        <v>122.58</v>
      </c>
      <c r="D25" s="56">
        <f>297.941</f>
        <v>297.94099999999997</v>
      </c>
      <c r="E25" s="64">
        <f>89.177</f>
        <v>89.177000000000007</v>
      </c>
      <c r="F25" s="56">
        <f>240.302-40</f>
        <v>200.30199999999999</v>
      </c>
      <c r="G25" s="59">
        <v>40</v>
      </c>
      <c r="H25" s="56">
        <v>0</v>
      </c>
      <c r="I25" s="56">
        <v>0</v>
      </c>
      <c r="J25" s="59">
        <v>100</v>
      </c>
      <c r="K25" s="59">
        <v>300</v>
      </c>
      <c r="L25" s="56">
        <f t="shared" si="0"/>
        <v>1150</v>
      </c>
      <c r="M25" s="66"/>
      <c r="N25" s="56">
        <f>100</f>
        <v>100</v>
      </c>
      <c r="O25" s="59">
        <v>240</v>
      </c>
      <c r="P25" s="59">
        <v>0</v>
      </c>
      <c r="Q25" s="59">
        <f t="shared" si="2"/>
        <v>355</v>
      </c>
      <c r="R25" s="59">
        <f t="shared" si="3"/>
        <v>100</v>
      </c>
      <c r="S25" s="56">
        <f t="shared" si="4"/>
        <v>695</v>
      </c>
      <c r="T25" s="56">
        <f>50</f>
        <v>50</v>
      </c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.75" x14ac:dyDescent="0.25">
      <c r="A26" s="16">
        <v>42064</v>
      </c>
      <c r="B26" s="69">
        <v>31</v>
      </c>
      <c r="C26" s="56">
        <f>122.58</f>
        <v>122.58</v>
      </c>
      <c r="D26" s="56">
        <f>297.941</f>
        <v>297.94099999999997</v>
      </c>
      <c r="E26" s="64">
        <f>89.177</f>
        <v>89.177000000000007</v>
      </c>
      <c r="F26" s="56">
        <f>240.302-40</f>
        <v>200.30199999999999</v>
      </c>
      <c r="G26" s="59">
        <v>40</v>
      </c>
      <c r="H26" s="56">
        <v>0</v>
      </c>
      <c r="I26" s="56">
        <v>0</v>
      </c>
      <c r="J26" s="59">
        <v>100</v>
      </c>
      <c r="K26" s="59">
        <v>300</v>
      </c>
      <c r="L26" s="56">
        <f t="shared" si="0"/>
        <v>1150</v>
      </c>
      <c r="M26" s="66"/>
      <c r="N26" s="56">
        <f>100</f>
        <v>100</v>
      </c>
      <c r="O26" s="59">
        <v>240</v>
      </c>
      <c r="P26" s="59">
        <v>0</v>
      </c>
      <c r="Q26" s="59">
        <f t="shared" si="2"/>
        <v>355</v>
      </c>
      <c r="R26" s="59">
        <f t="shared" si="3"/>
        <v>100</v>
      </c>
      <c r="S26" s="56">
        <f t="shared" si="4"/>
        <v>695</v>
      </c>
      <c r="T26" s="56">
        <f>50</f>
        <v>50</v>
      </c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5.75" x14ac:dyDescent="0.25">
      <c r="A27" s="16">
        <v>42095</v>
      </c>
      <c r="B27" s="69">
        <v>30</v>
      </c>
      <c r="C27" s="56">
        <f>141.293</f>
        <v>141.29300000000001</v>
      </c>
      <c r="D27" s="56">
        <f>267.993</f>
        <v>267.99299999999999</v>
      </c>
      <c r="E27" s="64">
        <f>115.016</f>
        <v>115.01600000000001</v>
      </c>
      <c r="F27" s="56">
        <f>314.698-40-25-60-100</f>
        <v>89.697999999999979</v>
      </c>
      <c r="G27" s="59">
        <v>40</v>
      </c>
      <c r="H27" s="56">
        <f t="shared" ref="H27:H33" si="5">25+60+100</f>
        <v>185</v>
      </c>
      <c r="I27" s="56">
        <v>0</v>
      </c>
      <c r="J27" s="59">
        <v>100</v>
      </c>
      <c r="K27" s="59">
        <v>300</v>
      </c>
      <c r="L27" s="56">
        <f t="shared" si="0"/>
        <v>1239</v>
      </c>
      <c r="M27" s="66"/>
      <c r="N27" s="56">
        <f>100</f>
        <v>100</v>
      </c>
      <c r="O27" s="59">
        <v>240</v>
      </c>
      <c r="P27" s="59">
        <f t="shared" ref="P27:P33" si="6">120+40</f>
        <v>160</v>
      </c>
      <c r="Q27" s="59">
        <f t="shared" si="2"/>
        <v>195</v>
      </c>
      <c r="R27" s="59">
        <f t="shared" si="3"/>
        <v>100</v>
      </c>
      <c r="S27" s="56">
        <f t="shared" si="4"/>
        <v>695</v>
      </c>
      <c r="T27" s="56">
        <f>50</f>
        <v>50</v>
      </c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.75" x14ac:dyDescent="0.25">
      <c r="A28" s="16">
        <v>42125</v>
      </c>
      <c r="B28" s="69">
        <v>31</v>
      </c>
      <c r="C28" s="56">
        <f>194.205</f>
        <v>194.20500000000001</v>
      </c>
      <c r="D28" s="56">
        <f>267.466</f>
        <v>267.46600000000001</v>
      </c>
      <c r="E28" s="64">
        <f>133.845</f>
        <v>133.845</v>
      </c>
      <c r="F28" s="56">
        <f>278.484-40-25-60-100</f>
        <v>53.48399999999998</v>
      </c>
      <c r="G28" s="59">
        <v>40</v>
      </c>
      <c r="H28" s="56">
        <f t="shared" si="5"/>
        <v>185</v>
      </c>
      <c r="I28" s="70">
        <v>50</v>
      </c>
      <c r="J28" s="59">
        <v>100</v>
      </c>
      <c r="K28" s="59">
        <v>300</v>
      </c>
      <c r="L28" s="56">
        <f t="shared" si="0"/>
        <v>1324</v>
      </c>
      <c r="M28" s="66"/>
      <c r="N28" s="56">
        <f>75</f>
        <v>75</v>
      </c>
      <c r="O28" s="59">
        <v>240</v>
      </c>
      <c r="P28" s="59">
        <f t="shared" si="6"/>
        <v>160</v>
      </c>
      <c r="Q28" s="59">
        <f t="shared" si="2"/>
        <v>195</v>
      </c>
      <c r="R28" s="59">
        <f t="shared" si="3"/>
        <v>100</v>
      </c>
      <c r="S28" s="56">
        <f t="shared" si="4"/>
        <v>695</v>
      </c>
      <c r="T28" s="56">
        <f>50</f>
        <v>50</v>
      </c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.75" x14ac:dyDescent="0.25">
      <c r="A29" s="16">
        <v>42156</v>
      </c>
      <c r="B29" s="69">
        <v>30</v>
      </c>
      <c r="C29" s="56">
        <f>194.205</f>
        <v>194.20500000000001</v>
      </c>
      <c r="D29" s="56">
        <f>267.466</f>
        <v>267.46600000000001</v>
      </c>
      <c r="E29" s="64">
        <f>133.845</f>
        <v>133.845</v>
      </c>
      <c r="F29" s="56">
        <f>278.484-40-25-60-100</f>
        <v>53.48399999999998</v>
      </c>
      <c r="G29" s="59">
        <v>40</v>
      </c>
      <c r="H29" s="56">
        <f t="shared" si="5"/>
        <v>185</v>
      </c>
      <c r="I29" s="70">
        <v>50</v>
      </c>
      <c r="J29" s="59">
        <v>100</v>
      </c>
      <c r="K29" s="59">
        <v>300</v>
      </c>
      <c r="L29" s="56">
        <f t="shared" si="0"/>
        <v>1324</v>
      </c>
      <c r="M29" s="66"/>
      <c r="N29" s="56">
        <f>30</f>
        <v>30</v>
      </c>
      <c r="O29" s="59">
        <v>240</v>
      </c>
      <c r="P29" s="59">
        <f t="shared" si="6"/>
        <v>160</v>
      </c>
      <c r="Q29" s="59">
        <f t="shared" si="2"/>
        <v>195</v>
      </c>
      <c r="R29" s="59">
        <f t="shared" si="3"/>
        <v>100</v>
      </c>
      <c r="S29" s="56">
        <f t="shared" si="4"/>
        <v>695</v>
      </c>
      <c r="T29" s="56">
        <f>50</f>
        <v>50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15.75" x14ac:dyDescent="0.25">
      <c r="A30" s="16">
        <v>42186</v>
      </c>
      <c r="B30" s="69">
        <v>31</v>
      </c>
      <c r="C30" s="56">
        <f>194.205</f>
        <v>194.20500000000001</v>
      </c>
      <c r="D30" s="56">
        <f>267.466</f>
        <v>267.46600000000001</v>
      </c>
      <c r="E30" s="64">
        <f>133.845</f>
        <v>133.845</v>
      </c>
      <c r="F30" s="56">
        <f>278.484-40-25-60-100</f>
        <v>53.48399999999998</v>
      </c>
      <c r="G30" s="59">
        <v>40</v>
      </c>
      <c r="H30" s="56">
        <f t="shared" si="5"/>
        <v>185</v>
      </c>
      <c r="I30" s="70">
        <v>50</v>
      </c>
      <c r="J30" s="59">
        <v>100</v>
      </c>
      <c r="K30" s="59">
        <v>300</v>
      </c>
      <c r="L30" s="56">
        <f t="shared" si="0"/>
        <v>1324</v>
      </c>
      <c r="M30" s="66"/>
      <c r="N30" s="56">
        <f>30</f>
        <v>30</v>
      </c>
      <c r="O30" s="59">
        <v>240</v>
      </c>
      <c r="P30" s="59">
        <f t="shared" si="6"/>
        <v>160</v>
      </c>
      <c r="Q30" s="59">
        <f t="shared" si="2"/>
        <v>195</v>
      </c>
      <c r="R30" s="59">
        <f t="shared" si="3"/>
        <v>100</v>
      </c>
      <c r="S30" s="56">
        <f t="shared" si="4"/>
        <v>695</v>
      </c>
      <c r="T30" s="56">
        <f>0</f>
        <v>0</v>
      </c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.75" x14ac:dyDescent="0.25">
      <c r="A31" s="16">
        <v>42217</v>
      </c>
      <c r="B31" s="69">
        <v>31</v>
      </c>
      <c r="C31" s="56">
        <f>194.205</f>
        <v>194.20500000000001</v>
      </c>
      <c r="D31" s="56">
        <f>267.466</f>
        <v>267.46600000000001</v>
      </c>
      <c r="E31" s="64">
        <f>133.845</f>
        <v>133.845</v>
      </c>
      <c r="F31" s="56">
        <f>278.484-40-25-60-100</f>
        <v>53.48399999999998</v>
      </c>
      <c r="G31" s="59">
        <v>40</v>
      </c>
      <c r="H31" s="56">
        <f t="shared" si="5"/>
        <v>185</v>
      </c>
      <c r="I31" s="70">
        <v>50</v>
      </c>
      <c r="J31" s="59">
        <v>100</v>
      </c>
      <c r="K31" s="59">
        <v>300</v>
      </c>
      <c r="L31" s="56">
        <f t="shared" si="0"/>
        <v>1324</v>
      </c>
      <c r="M31" s="66"/>
      <c r="N31" s="56">
        <f>30</f>
        <v>30</v>
      </c>
      <c r="O31" s="59">
        <v>240</v>
      </c>
      <c r="P31" s="59">
        <f t="shared" si="6"/>
        <v>160</v>
      </c>
      <c r="Q31" s="59">
        <f t="shared" si="2"/>
        <v>195</v>
      </c>
      <c r="R31" s="59">
        <f t="shared" si="3"/>
        <v>100</v>
      </c>
      <c r="S31" s="56">
        <f t="shared" si="4"/>
        <v>695</v>
      </c>
      <c r="T31" s="56">
        <f>0</f>
        <v>0</v>
      </c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5.75" x14ac:dyDescent="0.25">
      <c r="A32" s="16">
        <v>42248</v>
      </c>
      <c r="B32" s="69">
        <v>30</v>
      </c>
      <c r="C32" s="56">
        <f>194.205</f>
        <v>194.20500000000001</v>
      </c>
      <c r="D32" s="56">
        <f>267.466</f>
        <v>267.46600000000001</v>
      </c>
      <c r="E32" s="64">
        <f>133.845</f>
        <v>133.845</v>
      </c>
      <c r="F32" s="56">
        <f>278.484-40-25-60-100</f>
        <v>53.48399999999998</v>
      </c>
      <c r="G32" s="59">
        <v>40</v>
      </c>
      <c r="H32" s="56">
        <f t="shared" si="5"/>
        <v>185</v>
      </c>
      <c r="I32" s="70">
        <v>50</v>
      </c>
      <c r="J32" s="59">
        <v>100</v>
      </c>
      <c r="K32" s="59">
        <v>300</v>
      </c>
      <c r="L32" s="56">
        <f t="shared" si="0"/>
        <v>1324</v>
      </c>
      <c r="M32" s="66"/>
      <c r="N32" s="56">
        <f>30</f>
        <v>30</v>
      </c>
      <c r="O32" s="59">
        <v>240</v>
      </c>
      <c r="P32" s="59">
        <f t="shared" si="6"/>
        <v>160</v>
      </c>
      <c r="Q32" s="59">
        <f t="shared" si="2"/>
        <v>195</v>
      </c>
      <c r="R32" s="59">
        <f t="shared" si="3"/>
        <v>100</v>
      </c>
      <c r="S32" s="56">
        <f t="shared" si="4"/>
        <v>695</v>
      </c>
      <c r="T32" s="56">
        <f>0</f>
        <v>0</v>
      </c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5.75" x14ac:dyDescent="0.25">
      <c r="A33" s="16">
        <v>42278</v>
      </c>
      <c r="B33" s="69">
        <v>31</v>
      </c>
      <c r="C33" s="56">
        <f>131.881</f>
        <v>131.881</v>
      </c>
      <c r="D33" s="56">
        <f>277.167</f>
        <v>277.16699999999997</v>
      </c>
      <c r="E33" s="64">
        <f>79.08</f>
        <v>79.08</v>
      </c>
      <c r="F33" s="56">
        <f>350.872-40-25-60-100</f>
        <v>125.87200000000001</v>
      </c>
      <c r="G33" s="59">
        <v>40</v>
      </c>
      <c r="H33" s="56">
        <f t="shared" si="5"/>
        <v>185</v>
      </c>
      <c r="I33" s="56">
        <v>0</v>
      </c>
      <c r="J33" s="59">
        <v>100</v>
      </c>
      <c r="K33" s="59">
        <v>300</v>
      </c>
      <c r="L33" s="56">
        <f t="shared" si="0"/>
        <v>1239</v>
      </c>
      <c r="M33" s="66"/>
      <c r="N33" s="56">
        <f>75</f>
        <v>75</v>
      </c>
      <c r="O33" s="59">
        <v>240</v>
      </c>
      <c r="P33" s="59">
        <f t="shared" si="6"/>
        <v>160</v>
      </c>
      <c r="Q33" s="59">
        <f t="shared" si="2"/>
        <v>195</v>
      </c>
      <c r="R33" s="59">
        <f t="shared" si="3"/>
        <v>100</v>
      </c>
      <c r="S33" s="56">
        <f t="shared" si="4"/>
        <v>695</v>
      </c>
      <c r="T33" s="56">
        <f>0</f>
        <v>0</v>
      </c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.75" x14ac:dyDescent="0.25">
      <c r="A34" s="16">
        <v>42309</v>
      </c>
      <c r="B34" s="69">
        <v>30</v>
      </c>
      <c r="C34" s="56">
        <f>122.58</f>
        <v>122.58</v>
      </c>
      <c r="D34" s="56">
        <f>297.941</f>
        <v>297.94099999999997</v>
      </c>
      <c r="E34" s="64">
        <f>89.177</f>
        <v>89.177000000000007</v>
      </c>
      <c r="F34" s="56">
        <f>240.302-40-60-100</f>
        <v>40.301999999999992</v>
      </c>
      <c r="G34" s="59">
        <v>40</v>
      </c>
      <c r="H34" s="56">
        <f>60+100</f>
        <v>160</v>
      </c>
      <c r="I34" s="56">
        <v>0</v>
      </c>
      <c r="J34" s="59">
        <v>100</v>
      </c>
      <c r="K34" s="59">
        <v>300</v>
      </c>
      <c r="L34" s="56">
        <f t="shared" si="0"/>
        <v>1150</v>
      </c>
      <c r="M34" s="66"/>
      <c r="N34" s="56">
        <f>100</f>
        <v>100</v>
      </c>
      <c r="O34" s="59">
        <v>240</v>
      </c>
      <c r="P34" s="59">
        <v>40</v>
      </c>
      <c r="Q34" s="59">
        <f t="shared" si="2"/>
        <v>315</v>
      </c>
      <c r="R34" s="59">
        <f t="shared" si="3"/>
        <v>100</v>
      </c>
      <c r="S34" s="56">
        <f t="shared" si="4"/>
        <v>695</v>
      </c>
      <c r="T34" s="56">
        <f>50</f>
        <v>50</v>
      </c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.75" x14ac:dyDescent="0.25">
      <c r="A35" s="16">
        <v>42339</v>
      </c>
      <c r="B35" s="69">
        <v>31</v>
      </c>
      <c r="C35" s="56">
        <f>122.58</f>
        <v>122.58</v>
      </c>
      <c r="D35" s="56">
        <f>297.941</f>
        <v>297.94099999999997</v>
      </c>
      <c r="E35" s="64">
        <f>89.177</f>
        <v>89.177000000000007</v>
      </c>
      <c r="F35" s="56">
        <f>240.302-40-60-100</f>
        <v>40.301999999999992</v>
      </c>
      <c r="G35" s="59">
        <v>40</v>
      </c>
      <c r="H35" s="56">
        <f>60+100</f>
        <v>160</v>
      </c>
      <c r="I35" s="56">
        <v>0</v>
      </c>
      <c r="J35" s="59">
        <v>100</v>
      </c>
      <c r="K35" s="59">
        <v>300</v>
      </c>
      <c r="L35" s="56">
        <f t="shared" si="0"/>
        <v>1150</v>
      </c>
      <c r="M35" s="66"/>
      <c r="N35" s="56">
        <f>100</f>
        <v>100</v>
      </c>
      <c r="O35" s="59">
        <v>240</v>
      </c>
      <c r="P35" s="59">
        <v>40</v>
      </c>
      <c r="Q35" s="59">
        <f t="shared" si="2"/>
        <v>315</v>
      </c>
      <c r="R35" s="59">
        <f t="shared" si="3"/>
        <v>100</v>
      </c>
      <c r="S35" s="56">
        <f t="shared" si="4"/>
        <v>695</v>
      </c>
      <c r="T35" s="56">
        <f>50</f>
        <v>50</v>
      </c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.75" x14ac:dyDescent="0.25">
      <c r="A36" s="16">
        <v>42370</v>
      </c>
      <c r="B36" s="69">
        <v>31</v>
      </c>
      <c r="C36" s="56">
        <f>122.58</f>
        <v>122.58</v>
      </c>
      <c r="D36" s="56">
        <f>297.941</f>
        <v>297.94099999999997</v>
      </c>
      <c r="E36" s="64">
        <f>89.177</f>
        <v>89.177000000000007</v>
      </c>
      <c r="F36" s="56">
        <f>240.302-40-60-100</f>
        <v>40.301999999999992</v>
      </c>
      <c r="G36" s="59">
        <v>40</v>
      </c>
      <c r="H36" s="56">
        <f>60+100</f>
        <v>160</v>
      </c>
      <c r="I36" s="56">
        <v>0</v>
      </c>
      <c r="J36" s="59">
        <v>100</v>
      </c>
      <c r="K36" s="59">
        <v>300</v>
      </c>
      <c r="L36" s="56">
        <f t="shared" si="0"/>
        <v>1150</v>
      </c>
      <c r="M36" s="66"/>
      <c r="N36" s="56">
        <f>100</f>
        <v>100</v>
      </c>
      <c r="O36" s="59">
        <v>240</v>
      </c>
      <c r="P36" s="59">
        <v>40</v>
      </c>
      <c r="Q36" s="59">
        <f t="shared" si="2"/>
        <v>315</v>
      </c>
      <c r="R36" s="59">
        <f t="shared" si="3"/>
        <v>100</v>
      </c>
      <c r="S36" s="56">
        <f t="shared" si="4"/>
        <v>695</v>
      </c>
      <c r="T36" s="56">
        <f>50</f>
        <v>50</v>
      </c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.75" x14ac:dyDescent="0.25">
      <c r="A37" s="16">
        <v>42401</v>
      </c>
      <c r="B37" s="69">
        <v>29</v>
      </c>
      <c r="C37" s="56">
        <f>122.58</f>
        <v>122.58</v>
      </c>
      <c r="D37" s="56">
        <f>297.941</f>
        <v>297.94099999999997</v>
      </c>
      <c r="E37" s="64">
        <f>89.177</f>
        <v>89.177000000000007</v>
      </c>
      <c r="F37" s="56">
        <f>240.302-40-60-100</f>
        <v>40.301999999999992</v>
      </c>
      <c r="G37" s="59">
        <v>40</v>
      </c>
      <c r="H37" s="56">
        <f>60+100</f>
        <v>160</v>
      </c>
      <c r="I37" s="56">
        <v>0</v>
      </c>
      <c r="J37" s="59">
        <v>100</v>
      </c>
      <c r="K37" s="59">
        <v>300</v>
      </c>
      <c r="L37" s="56">
        <f t="shared" si="0"/>
        <v>1150</v>
      </c>
      <c r="M37" s="66"/>
      <c r="N37" s="56">
        <f>100</f>
        <v>100</v>
      </c>
      <c r="O37" s="59">
        <v>240</v>
      </c>
      <c r="P37" s="59">
        <v>40</v>
      </c>
      <c r="Q37" s="59">
        <f t="shared" si="2"/>
        <v>315</v>
      </c>
      <c r="R37" s="59">
        <f t="shared" si="3"/>
        <v>100</v>
      </c>
      <c r="S37" s="56">
        <f t="shared" si="4"/>
        <v>695</v>
      </c>
      <c r="T37" s="56">
        <f>50</f>
        <v>50</v>
      </c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.75" x14ac:dyDescent="0.25">
      <c r="A38" s="16">
        <v>42430</v>
      </c>
      <c r="B38" s="69">
        <v>31</v>
      </c>
      <c r="C38" s="56">
        <f>122.58</f>
        <v>122.58</v>
      </c>
      <c r="D38" s="56">
        <f>297.941</f>
        <v>297.94099999999997</v>
      </c>
      <c r="E38" s="64">
        <f>89.177</f>
        <v>89.177000000000007</v>
      </c>
      <c r="F38" s="56">
        <f>240.302-40-60-100</f>
        <v>40.301999999999992</v>
      </c>
      <c r="G38" s="59">
        <v>40</v>
      </c>
      <c r="H38" s="56">
        <f>60+100</f>
        <v>160</v>
      </c>
      <c r="I38" s="56">
        <v>0</v>
      </c>
      <c r="J38" s="59">
        <v>100</v>
      </c>
      <c r="K38" s="59">
        <v>300</v>
      </c>
      <c r="L38" s="56">
        <f t="shared" si="0"/>
        <v>1150</v>
      </c>
      <c r="M38" s="66"/>
      <c r="N38" s="56">
        <f>100</f>
        <v>100</v>
      </c>
      <c r="O38" s="59">
        <v>240</v>
      </c>
      <c r="P38" s="59">
        <v>40</v>
      </c>
      <c r="Q38" s="59">
        <f t="shared" si="2"/>
        <v>315</v>
      </c>
      <c r="R38" s="59">
        <f t="shared" si="3"/>
        <v>100</v>
      </c>
      <c r="S38" s="56">
        <f t="shared" si="4"/>
        <v>695</v>
      </c>
      <c r="T38" s="56">
        <f>50</f>
        <v>50</v>
      </c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.75" x14ac:dyDescent="0.25">
      <c r="A39" s="16">
        <v>42461</v>
      </c>
      <c r="B39" s="69">
        <v>30</v>
      </c>
      <c r="C39" s="56">
        <f>141.293</f>
        <v>141.29300000000001</v>
      </c>
      <c r="D39" s="56">
        <f>267.993</f>
        <v>267.99299999999999</v>
      </c>
      <c r="E39" s="64">
        <f>115.016</f>
        <v>115.01600000000001</v>
      </c>
      <c r="F39" s="56">
        <f>314.698-40-25-60-100</f>
        <v>89.697999999999979</v>
      </c>
      <c r="G39" s="59">
        <v>40</v>
      </c>
      <c r="H39" s="56">
        <f t="shared" ref="H39:H45" si="7">25+60+100</f>
        <v>185</v>
      </c>
      <c r="I39" s="56">
        <v>0</v>
      </c>
      <c r="J39" s="59">
        <v>100</v>
      </c>
      <c r="K39" s="59">
        <v>300</v>
      </c>
      <c r="L39" s="56">
        <f t="shared" si="0"/>
        <v>1239</v>
      </c>
      <c r="M39" s="66"/>
      <c r="N39" s="56">
        <f>100</f>
        <v>100</v>
      </c>
      <c r="O39" s="59">
        <v>240</v>
      </c>
      <c r="P39" s="59">
        <v>160</v>
      </c>
      <c r="Q39" s="59">
        <f t="shared" si="2"/>
        <v>195</v>
      </c>
      <c r="R39" s="59">
        <f t="shared" si="3"/>
        <v>100</v>
      </c>
      <c r="S39" s="56">
        <f t="shared" si="4"/>
        <v>695</v>
      </c>
      <c r="T39" s="56">
        <f>50</f>
        <v>50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.75" x14ac:dyDescent="0.25">
      <c r="A40" s="16">
        <v>42491</v>
      </c>
      <c r="B40" s="69">
        <v>31</v>
      </c>
      <c r="C40" s="56">
        <f>194.205</f>
        <v>194.20500000000001</v>
      </c>
      <c r="D40" s="56">
        <f>267.466</f>
        <v>267.46600000000001</v>
      </c>
      <c r="E40" s="64">
        <f>133.845</f>
        <v>133.845</v>
      </c>
      <c r="F40" s="56">
        <f>278.484-40-25-60-100</f>
        <v>53.48399999999998</v>
      </c>
      <c r="G40" s="59">
        <v>40</v>
      </c>
      <c r="H40" s="56">
        <f t="shared" si="7"/>
        <v>185</v>
      </c>
      <c r="I40" s="56">
        <f t="shared" ref="I40:I103" si="8">400-J40-K40</f>
        <v>0</v>
      </c>
      <c r="J40" s="59">
        <v>100</v>
      </c>
      <c r="K40" s="59">
        <v>300</v>
      </c>
      <c r="L40" s="56">
        <f t="shared" si="0"/>
        <v>1274</v>
      </c>
      <c r="M40" s="66"/>
      <c r="N40" s="56">
        <f>75</f>
        <v>75</v>
      </c>
      <c r="O40" s="59">
        <v>240</v>
      </c>
      <c r="P40" s="59">
        <v>160</v>
      </c>
      <c r="Q40" s="59">
        <f t="shared" si="2"/>
        <v>195</v>
      </c>
      <c r="R40" s="59">
        <f t="shared" si="3"/>
        <v>100</v>
      </c>
      <c r="S40" s="56">
        <f t="shared" si="4"/>
        <v>695</v>
      </c>
      <c r="T40" s="56">
        <f>50</f>
        <v>50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.75" x14ac:dyDescent="0.25">
      <c r="A41" s="16">
        <v>42522</v>
      </c>
      <c r="B41" s="69">
        <v>30</v>
      </c>
      <c r="C41" s="56">
        <f>194.205</f>
        <v>194.20500000000001</v>
      </c>
      <c r="D41" s="56">
        <f>267.466</f>
        <v>267.46600000000001</v>
      </c>
      <c r="E41" s="64">
        <f>133.845</f>
        <v>133.845</v>
      </c>
      <c r="F41" s="56">
        <f>278.484-40-25-60-100</f>
        <v>53.48399999999998</v>
      </c>
      <c r="G41" s="59">
        <v>40</v>
      </c>
      <c r="H41" s="56">
        <f t="shared" si="7"/>
        <v>185</v>
      </c>
      <c r="I41" s="56">
        <f t="shared" si="8"/>
        <v>0</v>
      </c>
      <c r="J41" s="59">
        <v>100</v>
      </c>
      <c r="K41" s="59">
        <v>300</v>
      </c>
      <c r="L41" s="56">
        <f t="shared" si="0"/>
        <v>1274</v>
      </c>
      <c r="M41" s="66"/>
      <c r="N41" s="56">
        <f>30</f>
        <v>30</v>
      </c>
      <c r="O41" s="59">
        <v>240</v>
      </c>
      <c r="P41" s="59">
        <v>160</v>
      </c>
      <c r="Q41" s="59">
        <f t="shared" si="2"/>
        <v>195</v>
      </c>
      <c r="R41" s="59">
        <f t="shared" si="3"/>
        <v>100</v>
      </c>
      <c r="S41" s="56">
        <f t="shared" si="4"/>
        <v>695</v>
      </c>
      <c r="T41" s="56">
        <f>50</f>
        <v>50</v>
      </c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.75" x14ac:dyDescent="0.25">
      <c r="A42" s="16">
        <v>42552</v>
      </c>
      <c r="B42" s="69">
        <v>31</v>
      </c>
      <c r="C42" s="56">
        <f>194.205</f>
        <v>194.20500000000001</v>
      </c>
      <c r="D42" s="56">
        <f>267.466</f>
        <v>267.46600000000001</v>
      </c>
      <c r="E42" s="64">
        <f>133.845</f>
        <v>133.845</v>
      </c>
      <c r="F42" s="56">
        <f>278.484-40-25-60-100</f>
        <v>53.48399999999998</v>
      </c>
      <c r="G42" s="59">
        <v>40</v>
      </c>
      <c r="H42" s="56">
        <f t="shared" si="7"/>
        <v>185</v>
      </c>
      <c r="I42" s="56">
        <f t="shared" si="8"/>
        <v>0</v>
      </c>
      <c r="J42" s="59">
        <v>100</v>
      </c>
      <c r="K42" s="59">
        <v>300</v>
      </c>
      <c r="L42" s="56">
        <f t="shared" si="0"/>
        <v>1274</v>
      </c>
      <c r="M42" s="66"/>
      <c r="N42" s="56">
        <f>30</f>
        <v>30</v>
      </c>
      <c r="O42" s="59">
        <v>240</v>
      </c>
      <c r="P42" s="59">
        <v>160</v>
      </c>
      <c r="Q42" s="59">
        <f t="shared" si="2"/>
        <v>195</v>
      </c>
      <c r="R42" s="59">
        <f t="shared" si="3"/>
        <v>100</v>
      </c>
      <c r="S42" s="56">
        <f t="shared" si="4"/>
        <v>695</v>
      </c>
      <c r="T42" s="56">
        <f>0</f>
        <v>0</v>
      </c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.75" x14ac:dyDescent="0.25">
      <c r="A43" s="16">
        <v>42583</v>
      </c>
      <c r="B43" s="69">
        <v>31</v>
      </c>
      <c r="C43" s="56">
        <f>194.205</f>
        <v>194.20500000000001</v>
      </c>
      <c r="D43" s="56">
        <f>267.466</f>
        <v>267.46600000000001</v>
      </c>
      <c r="E43" s="64">
        <f>133.845</f>
        <v>133.845</v>
      </c>
      <c r="F43" s="56">
        <f>278.484-40-25-60-100</f>
        <v>53.48399999999998</v>
      </c>
      <c r="G43" s="59">
        <v>40</v>
      </c>
      <c r="H43" s="56">
        <f t="shared" si="7"/>
        <v>185</v>
      </c>
      <c r="I43" s="56">
        <f t="shared" si="8"/>
        <v>0</v>
      </c>
      <c r="J43" s="59">
        <v>100</v>
      </c>
      <c r="K43" s="59">
        <v>300</v>
      </c>
      <c r="L43" s="56">
        <f t="shared" si="0"/>
        <v>1274</v>
      </c>
      <c r="M43" s="66"/>
      <c r="N43" s="56">
        <f>30</f>
        <v>30</v>
      </c>
      <c r="O43" s="59">
        <v>240</v>
      </c>
      <c r="P43" s="59">
        <v>160</v>
      </c>
      <c r="Q43" s="59">
        <f t="shared" si="2"/>
        <v>195</v>
      </c>
      <c r="R43" s="59">
        <f t="shared" si="3"/>
        <v>100</v>
      </c>
      <c r="S43" s="56">
        <f t="shared" si="4"/>
        <v>695</v>
      </c>
      <c r="T43" s="56">
        <f>0</f>
        <v>0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.75" x14ac:dyDescent="0.25">
      <c r="A44" s="16">
        <v>42614</v>
      </c>
      <c r="B44" s="69">
        <v>30</v>
      </c>
      <c r="C44" s="56">
        <f>194.205</f>
        <v>194.20500000000001</v>
      </c>
      <c r="D44" s="56">
        <f>267.466</f>
        <v>267.46600000000001</v>
      </c>
      <c r="E44" s="64">
        <f>133.845</f>
        <v>133.845</v>
      </c>
      <c r="F44" s="56">
        <f>278.484-40-25-60-100</f>
        <v>53.48399999999998</v>
      </c>
      <c r="G44" s="59">
        <v>40</v>
      </c>
      <c r="H44" s="56">
        <f t="shared" si="7"/>
        <v>185</v>
      </c>
      <c r="I44" s="56">
        <f t="shared" si="8"/>
        <v>0</v>
      </c>
      <c r="J44" s="59">
        <v>100</v>
      </c>
      <c r="K44" s="59">
        <v>300</v>
      </c>
      <c r="L44" s="56">
        <f t="shared" si="0"/>
        <v>1274</v>
      </c>
      <c r="M44" s="66"/>
      <c r="N44" s="56">
        <f>30</f>
        <v>30</v>
      </c>
      <c r="O44" s="59">
        <v>240</v>
      </c>
      <c r="P44" s="59">
        <v>160</v>
      </c>
      <c r="Q44" s="59">
        <f t="shared" si="2"/>
        <v>195</v>
      </c>
      <c r="R44" s="59">
        <f t="shared" si="3"/>
        <v>100</v>
      </c>
      <c r="S44" s="56">
        <f t="shared" si="4"/>
        <v>695</v>
      </c>
      <c r="T44" s="56">
        <f>0</f>
        <v>0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.75" x14ac:dyDescent="0.25">
      <c r="A45" s="16">
        <v>42644</v>
      </c>
      <c r="B45" s="69">
        <v>31</v>
      </c>
      <c r="C45" s="56">
        <f>131.881</f>
        <v>131.881</v>
      </c>
      <c r="D45" s="56">
        <f>277.167</f>
        <v>277.16699999999997</v>
      </c>
      <c r="E45" s="64">
        <f>79.08</f>
        <v>79.08</v>
      </c>
      <c r="F45" s="56">
        <f>350.872-40-25-60-100</f>
        <v>125.87200000000001</v>
      </c>
      <c r="G45" s="59">
        <v>40</v>
      </c>
      <c r="H45" s="56">
        <f t="shared" si="7"/>
        <v>185</v>
      </c>
      <c r="I45" s="56">
        <f t="shared" si="8"/>
        <v>0</v>
      </c>
      <c r="J45" s="59">
        <v>100</v>
      </c>
      <c r="K45" s="59">
        <v>300</v>
      </c>
      <c r="L45" s="56">
        <f t="shared" si="0"/>
        <v>1239</v>
      </c>
      <c r="M45" s="66"/>
      <c r="N45" s="56">
        <f>75</f>
        <v>75</v>
      </c>
      <c r="O45" s="59">
        <v>240</v>
      </c>
      <c r="P45" s="59">
        <v>160</v>
      </c>
      <c r="Q45" s="59">
        <f t="shared" si="2"/>
        <v>195</v>
      </c>
      <c r="R45" s="59">
        <f t="shared" si="3"/>
        <v>100</v>
      </c>
      <c r="S45" s="56">
        <f t="shared" si="4"/>
        <v>695</v>
      </c>
      <c r="T45" s="56">
        <f>0</f>
        <v>0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.75" x14ac:dyDescent="0.25">
      <c r="A46" s="16">
        <v>42675</v>
      </c>
      <c r="B46" s="69">
        <v>30</v>
      </c>
      <c r="C46" s="56">
        <f>122.58</f>
        <v>122.58</v>
      </c>
      <c r="D46" s="56">
        <f>297.941</f>
        <v>297.94099999999997</v>
      </c>
      <c r="E46" s="64">
        <f>89.177</f>
        <v>89.177000000000007</v>
      </c>
      <c r="F46" s="56">
        <f>240.302-40-60-100</f>
        <v>40.301999999999992</v>
      </c>
      <c r="G46" s="59">
        <v>40</v>
      </c>
      <c r="H46" s="56">
        <f>60+100</f>
        <v>160</v>
      </c>
      <c r="I46" s="56">
        <f t="shared" si="8"/>
        <v>0</v>
      </c>
      <c r="J46" s="59">
        <v>100</v>
      </c>
      <c r="K46" s="59">
        <v>300</v>
      </c>
      <c r="L46" s="56">
        <f t="shared" si="0"/>
        <v>1150</v>
      </c>
      <c r="M46" s="66"/>
      <c r="N46" s="56">
        <f>100</f>
        <v>100</v>
      </c>
      <c r="O46" s="59">
        <v>240</v>
      </c>
      <c r="P46" s="59">
        <v>40</v>
      </c>
      <c r="Q46" s="59">
        <f t="shared" si="2"/>
        <v>315</v>
      </c>
      <c r="R46" s="59">
        <f t="shared" si="3"/>
        <v>100</v>
      </c>
      <c r="S46" s="56">
        <f t="shared" si="4"/>
        <v>695</v>
      </c>
      <c r="T46" s="56">
        <f>50</f>
        <v>50</v>
      </c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.75" x14ac:dyDescent="0.25">
      <c r="A47" s="16">
        <v>42705</v>
      </c>
      <c r="B47" s="69">
        <v>31</v>
      </c>
      <c r="C47" s="56">
        <f>122.58</f>
        <v>122.58</v>
      </c>
      <c r="D47" s="56">
        <f>297.941</f>
        <v>297.94099999999997</v>
      </c>
      <c r="E47" s="64">
        <f>89.177</f>
        <v>89.177000000000007</v>
      </c>
      <c r="F47" s="56">
        <f>240.302-40-60-100</f>
        <v>40.301999999999992</v>
      </c>
      <c r="G47" s="59">
        <v>40</v>
      </c>
      <c r="H47" s="56">
        <f>60+100</f>
        <v>160</v>
      </c>
      <c r="I47" s="56">
        <f t="shared" si="8"/>
        <v>0</v>
      </c>
      <c r="J47" s="59">
        <v>100</v>
      </c>
      <c r="K47" s="59">
        <v>300</v>
      </c>
      <c r="L47" s="56">
        <f t="shared" si="0"/>
        <v>1150</v>
      </c>
      <c r="M47" s="66"/>
      <c r="N47" s="56">
        <f>100</f>
        <v>100</v>
      </c>
      <c r="O47" s="59">
        <v>240</v>
      </c>
      <c r="P47" s="59">
        <v>40</v>
      </c>
      <c r="Q47" s="59">
        <f t="shared" si="2"/>
        <v>315</v>
      </c>
      <c r="R47" s="59">
        <f t="shared" si="3"/>
        <v>100</v>
      </c>
      <c r="S47" s="56">
        <f t="shared" si="4"/>
        <v>695</v>
      </c>
      <c r="T47" s="56">
        <f>50</f>
        <v>50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.75" x14ac:dyDescent="0.25">
      <c r="A48" s="16">
        <v>42736</v>
      </c>
      <c r="B48" s="69">
        <v>31</v>
      </c>
      <c r="C48" s="56">
        <f>122.58</f>
        <v>122.58</v>
      </c>
      <c r="D48" s="56">
        <f>297.941</f>
        <v>297.94099999999997</v>
      </c>
      <c r="E48" s="64">
        <f>89.177</f>
        <v>89.177000000000007</v>
      </c>
      <c r="F48" s="56">
        <f>240.302-40-60-100</f>
        <v>40.301999999999992</v>
      </c>
      <c r="G48" s="59">
        <v>40</v>
      </c>
      <c r="H48" s="56">
        <f>60+100</f>
        <v>160</v>
      </c>
      <c r="I48" s="56">
        <f t="shared" si="8"/>
        <v>0</v>
      </c>
      <c r="J48" s="59">
        <v>100</v>
      </c>
      <c r="K48" s="59">
        <v>300</v>
      </c>
      <c r="L48" s="56">
        <f t="shared" si="0"/>
        <v>1150</v>
      </c>
      <c r="M48" s="66"/>
      <c r="N48" s="56">
        <f>100</f>
        <v>100</v>
      </c>
      <c r="O48" s="59">
        <v>240</v>
      </c>
      <c r="P48" s="59">
        <v>40</v>
      </c>
      <c r="Q48" s="59">
        <f t="shared" si="2"/>
        <v>315</v>
      </c>
      <c r="R48" s="59">
        <f t="shared" si="3"/>
        <v>100</v>
      </c>
      <c r="S48" s="56">
        <f t="shared" si="4"/>
        <v>695</v>
      </c>
      <c r="T48" s="56">
        <f>50</f>
        <v>50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.75" x14ac:dyDescent="0.25">
      <c r="A49" s="16">
        <v>42767</v>
      </c>
      <c r="B49" s="69">
        <v>28</v>
      </c>
      <c r="C49" s="56">
        <f>122.58</f>
        <v>122.58</v>
      </c>
      <c r="D49" s="56">
        <f>297.941</f>
        <v>297.94099999999997</v>
      </c>
      <c r="E49" s="64">
        <f>89.177</f>
        <v>89.177000000000007</v>
      </c>
      <c r="F49" s="56">
        <f>240.302-40-60-100</f>
        <v>40.301999999999992</v>
      </c>
      <c r="G49" s="59">
        <v>40</v>
      </c>
      <c r="H49" s="56">
        <f>60+100</f>
        <v>160</v>
      </c>
      <c r="I49" s="56">
        <f t="shared" si="8"/>
        <v>0</v>
      </c>
      <c r="J49" s="59">
        <v>100</v>
      </c>
      <c r="K49" s="59">
        <v>300</v>
      </c>
      <c r="L49" s="56">
        <f t="shared" si="0"/>
        <v>1150</v>
      </c>
      <c r="M49" s="66"/>
      <c r="N49" s="56">
        <f>100</f>
        <v>100</v>
      </c>
      <c r="O49" s="59">
        <v>240</v>
      </c>
      <c r="P49" s="59">
        <v>40</v>
      </c>
      <c r="Q49" s="59">
        <f t="shared" si="2"/>
        <v>315</v>
      </c>
      <c r="R49" s="59">
        <f t="shared" si="3"/>
        <v>100</v>
      </c>
      <c r="S49" s="56">
        <f t="shared" si="4"/>
        <v>695</v>
      </c>
      <c r="T49" s="56">
        <f>50</f>
        <v>50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.75" x14ac:dyDescent="0.25">
      <c r="A50" s="16">
        <v>42795</v>
      </c>
      <c r="B50" s="69">
        <v>31</v>
      </c>
      <c r="C50" s="56">
        <f>122.58</f>
        <v>122.58</v>
      </c>
      <c r="D50" s="56">
        <f>297.941</f>
        <v>297.94099999999997</v>
      </c>
      <c r="E50" s="64">
        <f>89.177</f>
        <v>89.177000000000007</v>
      </c>
      <c r="F50" s="56">
        <f>240.302-40-60-100</f>
        <v>40.301999999999992</v>
      </c>
      <c r="G50" s="59">
        <v>40</v>
      </c>
      <c r="H50" s="56">
        <f>60+100</f>
        <v>160</v>
      </c>
      <c r="I50" s="56">
        <f t="shared" si="8"/>
        <v>0</v>
      </c>
      <c r="J50" s="59">
        <v>100</v>
      </c>
      <c r="K50" s="59">
        <v>300</v>
      </c>
      <c r="L50" s="56">
        <f t="shared" si="0"/>
        <v>1150</v>
      </c>
      <c r="M50" s="66"/>
      <c r="N50" s="56">
        <f>100</f>
        <v>100</v>
      </c>
      <c r="O50" s="59">
        <v>240</v>
      </c>
      <c r="P50" s="59">
        <v>40</v>
      </c>
      <c r="Q50" s="59">
        <f t="shared" si="2"/>
        <v>315</v>
      </c>
      <c r="R50" s="59">
        <f t="shared" si="3"/>
        <v>100</v>
      </c>
      <c r="S50" s="56">
        <f t="shared" si="4"/>
        <v>695</v>
      </c>
      <c r="T50" s="56">
        <f>50</f>
        <v>50</v>
      </c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.75" x14ac:dyDescent="0.25">
      <c r="A51" s="16">
        <v>42826</v>
      </c>
      <c r="B51" s="69">
        <v>30</v>
      </c>
      <c r="C51" s="56">
        <f>141.293</f>
        <v>141.29300000000001</v>
      </c>
      <c r="D51" s="56">
        <f>267.993</f>
        <v>267.99299999999999</v>
      </c>
      <c r="E51" s="64">
        <f>115.016</f>
        <v>115.01600000000001</v>
      </c>
      <c r="F51" s="56">
        <f>314.698-40-25-60-100</f>
        <v>89.697999999999979</v>
      </c>
      <c r="G51" s="59">
        <v>40</v>
      </c>
      <c r="H51" s="56">
        <f t="shared" ref="H51:H57" si="9">25+60+100</f>
        <v>185</v>
      </c>
      <c r="I51" s="56">
        <f t="shared" si="8"/>
        <v>0</v>
      </c>
      <c r="J51" s="59">
        <v>100</v>
      </c>
      <c r="K51" s="59">
        <v>300</v>
      </c>
      <c r="L51" s="56">
        <f t="shared" si="0"/>
        <v>1239</v>
      </c>
      <c r="M51" s="66"/>
      <c r="N51" s="56">
        <f>100</f>
        <v>100</v>
      </c>
      <c r="O51" s="59">
        <v>240</v>
      </c>
      <c r="P51" s="59">
        <v>160</v>
      </c>
      <c r="Q51" s="59">
        <f t="shared" si="2"/>
        <v>195</v>
      </c>
      <c r="R51" s="59">
        <f t="shared" si="3"/>
        <v>100</v>
      </c>
      <c r="S51" s="56">
        <f t="shared" si="4"/>
        <v>695</v>
      </c>
      <c r="T51" s="56">
        <f>50</f>
        <v>50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.75" x14ac:dyDescent="0.25">
      <c r="A52" s="16">
        <v>42856</v>
      </c>
      <c r="B52" s="69">
        <v>31</v>
      </c>
      <c r="C52" s="56">
        <f>194.205</f>
        <v>194.20500000000001</v>
      </c>
      <c r="D52" s="56">
        <f>267.466</f>
        <v>267.46600000000001</v>
      </c>
      <c r="E52" s="64">
        <f>133.845</f>
        <v>133.845</v>
      </c>
      <c r="F52" s="56">
        <f>278.484-40-25-60-100</f>
        <v>53.48399999999998</v>
      </c>
      <c r="G52" s="59">
        <v>40</v>
      </c>
      <c r="H52" s="56">
        <f t="shared" si="9"/>
        <v>185</v>
      </c>
      <c r="I52" s="56">
        <f t="shared" si="8"/>
        <v>0</v>
      </c>
      <c r="J52" s="59">
        <v>100</v>
      </c>
      <c r="K52" s="59">
        <v>300</v>
      </c>
      <c r="L52" s="56">
        <f t="shared" si="0"/>
        <v>1274</v>
      </c>
      <c r="M52" s="66">
        <v>400</v>
      </c>
      <c r="N52" s="56">
        <f>75</f>
        <v>75</v>
      </c>
      <c r="O52" s="59">
        <v>240</v>
      </c>
      <c r="P52" s="59">
        <v>160</v>
      </c>
      <c r="Q52" s="59">
        <f t="shared" si="2"/>
        <v>195</v>
      </c>
      <c r="R52" s="59">
        <f t="shared" si="3"/>
        <v>100</v>
      </c>
      <c r="S52" s="56">
        <f t="shared" si="4"/>
        <v>695</v>
      </c>
      <c r="T52" s="56">
        <f>50</f>
        <v>50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5.75" x14ac:dyDescent="0.25">
      <c r="A53" s="16">
        <v>42887</v>
      </c>
      <c r="B53" s="69">
        <v>30</v>
      </c>
      <c r="C53" s="56">
        <f>194.205</f>
        <v>194.20500000000001</v>
      </c>
      <c r="D53" s="56">
        <f>267.466</f>
        <v>267.46600000000001</v>
      </c>
      <c r="E53" s="64">
        <f>133.845</f>
        <v>133.845</v>
      </c>
      <c r="F53" s="56">
        <f>278.484-40-25-60-100</f>
        <v>53.48399999999998</v>
      </c>
      <c r="G53" s="59">
        <v>40</v>
      </c>
      <c r="H53" s="56">
        <f t="shared" si="9"/>
        <v>185</v>
      </c>
      <c r="I53" s="56">
        <f t="shared" si="8"/>
        <v>0</v>
      </c>
      <c r="J53" s="59">
        <v>100</v>
      </c>
      <c r="K53" s="59">
        <v>300</v>
      </c>
      <c r="L53" s="56">
        <f t="shared" si="0"/>
        <v>1274</v>
      </c>
      <c r="M53" s="66">
        <v>400</v>
      </c>
      <c r="N53" s="56">
        <f>30</f>
        <v>30</v>
      </c>
      <c r="O53" s="59">
        <v>240</v>
      </c>
      <c r="P53" s="59">
        <v>160</v>
      </c>
      <c r="Q53" s="59">
        <f t="shared" si="2"/>
        <v>195</v>
      </c>
      <c r="R53" s="59">
        <f t="shared" si="3"/>
        <v>100</v>
      </c>
      <c r="S53" s="56">
        <f t="shared" si="4"/>
        <v>695</v>
      </c>
      <c r="T53" s="56">
        <f>50</f>
        <v>50</v>
      </c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5.75" x14ac:dyDescent="0.25">
      <c r="A54" s="16">
        <v>42917</v>
      </c>
      <c r="B54" s="69">
        <v>31</v>
      </c>
      <c r="C54" s="56">
        <f>194.205</f>
        <v>194.20500000000001</v>
      </c>
      <c r="D54" s="56">
        <f>267.466</f>
        <v>267.46600000000001</v>
      </c>
      <c r="E54" s="64">
        <f>133.845</f>
        <v>133.845</v>
      </c>
      <c r="F54" s="56">
        <f>278.484-40-25-60-100</f>
        <v>53.48399999999998</v>
      </c>
      <c r="G54" s="59">
        <v>40</v>
      </c>
      <c r="H54" s="56">
        <f t="shared" si="9"/>
        <v>185</v>
      </c>
      <c r="I54" s="56">
        <f t="shared" si="8"/>
        <v>0</v>
      </c>
      <c r="J54" s="59">
        <v>100</v>
      </c>
      <c r="K54" s="59">
        <v>300</v>
      </c>
      <c r="L54" s="56">
        <f t="shared" si="0"/>
        <v>1274</v>
      </c>
      <c r="M54" s="66">
        <v>400</v>
      </c>
      <c r="N54" s="56">
        <f>30</f>
        <v>30</v>
      </c>
      <c r="O54" s="59">
        <v>240</v>
      </c>
      <c r="P54" s="59">
        <v>160</v>
      </c>
      <c r="Q54" s="59">
        <f t="shared" si="2"/>
        <v>195</v>
      </c>
      <c r="R54" s="59">
        <f t="shared" si="3"/>
        <v>100</v>
      </c>
      <c r="S54" s="56">
        <f t="shared" si="4"/>
        <v>695</v>
      </c>
      <c r="T54" s="56">
        <f>0</f>
        <v>0</v>
      </c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.75" x14ac:dyDescent="0.25">
      <c r="A55" s="16">
        <v>42948</v>
      </c>
      <c r="B55" s="69">
        <v>31</v>
      </c>
      <c r="C55" s="56">
        <f>194.205</f>
        <v>194.20500000000001</v>
      </c>
      <c r="D55" s="56">
        <f>267.466</f>
        <v>267.46600000000001</v>
      </c>
      <c r="E55" s="64">
        <f>133.845</f>
        <v>133.845</v>
      </c>
      <c r="F55" s="56">
        <f>278.484-40-25-60-100</f>
        <v>53.48399999999998</v>
      </c>
      <c r="G55" s="59">
        <v>40</v>
      </c>
      <c r="H55" s="56">
        <f t="shared" si="9"/>
        <v>185</v>
      </c>
      <c r="I55" s="56">
        <f t="shared" si="8"/>
        <v>0</v>
      </c>
      <c r="J55" s="59">
        <v>100</v>
      </c>
      <c r="K55" s="59">
        <v>300</v>
      </c>
      <c r="L55" s="56">
        <f t="shared" si="0"/>
        <v>1274</v>
      </c>
      <c r="M55" s="66">
        <v>400</v>
      </c>
      <c r="N55" s="56">
        <f>30</f>
        <v>30</v>
      </c>
      <c r="O55" s="59">
        <v>240</v>
      </c>
      <c r="P55" s="59">
        <v>160</v>
      </c>
      <c r="Q55" s="59">
        <f t="shared" si="2"/>
        <v>195</v>
      </c>
      <c r="R55" s="59">
        <f t="shared" si="3"/>
        <v>100</v>
      </c>
      <c r="S55" s="56">
        <f t="shared" si="4"/>
        <v>695</v>
      </c>
      <c r="T55" s="56">
        <f>0</f>
        <v>0</v>
      </c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5.75" x14ac:dyDescent="0.25">
      <c r="A56" s="16">
        <v>42979</v>
      </c>
      <c r="B56" s="69">
        <v>30</v>
      </c>
      <c r="C56" s="56">
        <f>194.205</f>
        <v>194.20500000000001</v>
      </c>
      <c r="D56" s="56">
        <f>267.466</f>
        <v>267.46600000000001</v>
      </c>
      <c r="E56" s="64">
        <f>133.845</f>
        <v>133.845</v>
      </c>
      <c r="F56" s="56">
        <f>278.484-40-25-60-100</f>
        <v>53.48399999999998</v>
      </c>
      <c r="G56" s="59">
        <v>40</v>
      </c>
      <c r="H56" s="56">
        <f t="shared" si="9"/>
        <v>185</v>
      </c>
      <c r="I56" s="56">
        <f t="shared" si="8"/>
        <v>0</v>
      </c>
      <c r="J56" s="59">
        <v>100</v>
      </c>
      <c r="K56" s="59">
        <v>300</v>
      </c>
      <c r="L56" s="56">
        <f t="shared" si="0"/>
        <v>1274</v>
      </c>
      <c r="M56" s="66">
        <v>400</v>
      </c>
      <c r="N56" s="56">
        <f>30</f>
        <v>30</v>
      </c>
      <c r="O56" s="59">
        <v>240</v>
      </c>
      <c r="P56" s="59">
        <v>160</v>
      </c>
      <c r="Q56" s="59">
        <f t="shared" si="2"/>
        <v>195</v>
      </c>
      <c r="R56" s="59">
        <f t="shared" si="3"/>
        <v>100</v>
      </c>
      <c r="S56" s="56">
        <f t="shared" si="4"/>
        <v>695</v>
      </c>
      <c r="T56" s="56">
        <f>0</f>
        <v>0</v>
      </c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.75" x14ac:dyDescent="0.25">
      <c r="A57" s="16">
        <v>43009</v>
      </c>
      <c r="B57" s="69">
        <v>31</v>
      </c>
      <c r="C57" s="56">
        <f>131.881</f>
        <v>131.881</v>
      </c>
      <c r="D57" s="56">
        <f>277.167</f>
        <v>277.16699999999997</v>
      </c>
      <c r="E57" s="64">
        <f>79.08</f>
        <v>79.08</v>
      </c>
      <c r="F57" s="56">
        <f>350.872-40-25-60-100</f>
        <v>125.87200000000001</v>
      </c>
      <c r="G57" s="59">
        <v>40</v>
      </c>
      <c r="H57" s="56">
        <f t="shared" si="9"/>
        <v>185</v>
      </c>
      <c r="I57" s="56">
        <f t="shared" si="8"/>
        <v>0</v>
      </c>
      <c r="J57" s="59">
        <v>100</v>
      </c>
      <c r="K57" s="59">
        <v>300</v>
      </c>
      <c r="L57" s="56">
        <f t="shared" si="0"/>
        <v>1239</v>
      </c>
      <c r="M57" s="66">
        <v>400</v>
      </c>
      <c r="N57" s="56">
        <f>75</f>
        <v>75</v>
      </c>
      <c r="O57" s="59">
        <v>240</v>
      </c>
      <c r="P57" s="59">
        <v>160</v>
      </c>
      <c r="Q57" s="59">
        <f t="shared" si="2"/>
        <v>195</v>
      </c>
      <c r="R57" s="59">
        <f t="shared" si="3"/>
        <v>100</v>
      </c>
      <c r="S57" s="56">
        <f t="shared" si="4"/>
        <v>695</v>
      </c>
      <c r="T57" s="56">
        <f>0</f>
        <v>0</v>
      </c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5.75" x14ac:dyDescent="0.25">
      <c r="A58" s="16">
        <v>43040</v>
      </c>
      <c r="B58" s="69">
        <v>30</v>
      </c>
      <c r="C58" s="56">
        <f>122.58</f>
        <v>122.58</v>
      </c>
      <c r="D58" s="56">
        <f>297.941</f>
        <v>297.94099999999997</v>
      </c>
      <c r="E58" s="64">
        <f>89.177</f>
        <v>89.177000000000007</v>
      </c>
      <c r="F58" s="56">
        <f>240.302-40-60-100</f>
        <v>40.301999999999992</v>
      </c>
      <c r="G58" s="59">
        <v>40</v>
      </c>
      <c r="H58" s="56">
        <f>60+100</f>
        <v>160</v>
      </c>
      <c r="I58" s="56">
        <f t="shared" si="8"/>
        <v>0</v>
      </c>
      <c r="J58" s="59">
        <v>100</v>
      </c>
      <c r="K58" s="59">
        <v>300</v>
      </c>
      <c r="L58" s="56">
        <f t="shared" si="0"/>
        <v>1150</v>
      </c>
      <c r="M58" s="66">
        <v>400</v>
      </c>
      <c r="N58" s="56">
        <f>100</f>
        <v>100</v>
      </c>
      <c r="O58" s="59">
        <v>240</v>
      </c>
      <c r="P58" s="59">
        <v>40</v>
      </c>
      <c r="Q58" s="59">
        <f t="shared" si="2"/>
        <v>315</v>
      </c>
      <c r="R58" s="59">
        <f t="shared" si="3"/>
        <v>100</v>
      </c>
      <c r="S58" s="56">
        <f t="shared" si="4"/>
        <v>695</v>
      </c>
      <c r="T58" s="56">
        <f>50</f>
        <v>50</v>
      </c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5.75" x14ac:dyDescent="0.25">
      <c r="A59" s="16">
        <v>43070</v>
      </c>
      <c r="B59" s="69">
        <v>31</v>
      </c>
      <c r="C59" s="56">
        <f>122.58</f>
        <v>122.58</v>
      </c>
      <c r="D59" s="56">
        <f>297.941</f>
        <v>297.94099999999997</v>
      </c>
      <c r="E59" s="64">
        <f>89.177</f>
        <v>89.177000000000007</v>
      </c>
      <c r="F59" s="56">
        <f>240.302-40-60-100</f>
        <v>40.301999999999992</v>
      </c>
      <c r="G59" s="59">
        <v>40</v>
      </c>
      <c r="H59" s="56">
        <f>60+100</f>
        <v>160</v>
      </c>
      <c r="I59" s="56">
        <f t="shared" si="8"/>
        <v>0</v>
      </c>
      <c r="J59" s="59">
        <v>100</v>
      </c>
      <c r="K59" s="59">
        <v>300</v>
      </c>
      <c r="L59" s="56">
        <f t="shared" si="0"/>
        <v>1150</v>
      </c>
      <c r="M59" s="66">
        <v>400</v>
      </c>
      <c r="N59" s="56">
        <f>100</f>
        <v>100</v>
      </c>
      <c r="O59" s="59">
        <v>240</v>
      </c>
      <c r="P59" s="59">
        <v>40</v>
      </c>
      <c r="Q59" s="59">
        <f t="shared" si="2"/>
        <v>315</v>
      </c>
      <c r="R59" s="59">
        <f t="shared" si="3"/>
        <v>100</v>
      </c>
      <c r="S59" s="56">
        <f t="shared" si="4"/>
        <v>695</v>
      </c>
      <c r="T59" s="56">
        <f>50</f>
        <v>50</v>
      </c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5.75" x14ac:dyDescent="0.25">
      <c r="A60" s="16">
        <v>43101</v>
      </c>
      <c r="B60" s="69">
        <v>31</v>
      </c>
      <c r="C60" s="56">
        <f>122.58</f>
        <v>122.58</v>
      </c>
      <c r="D60" s="56">
        <f>297.941</f>
        <v>297.94099999999997</v>
      </c>
      <c r="E60" s="64">
        <f>89.177</f>
        <v>89.177000000000007</v>
      </c>
      <c r="F60" s="56">
        <f>240.302-40-60-100</f>
        <v>40.301999999999992</v>
      </c>
      <c r="G60" s="59">
        <v>40</v>
      </c>
      <c r="H60" s="56">
        <f>60+100</f>
        <v>160</v>
      </c>
      <c r="I60" s="56">
        <f t="shared" si="8"/>
        <v>0</v>
      </c>
      <c r="J60" s="59">
        <v>100</v>
      </c>
      <c r="K60" s="59">
        <v>300</v>
      </c>
      <c r="L60" s="56">
        <f t="shared" si="0"/>
        <v>1150</v>
      </c>
      <c r="M60" s="66">
        <v>400</v>
      </c>
      <c r="N60" s="56">
        <f>100</f>
        <v>100</v>
      </c>
      <c r="O60" s="59">
        <v>240</v>
      </c>
      <c r="P60" s="59">
        <v>40</v>
      </c>
      <c r="Q60" s="59">
        <f t="shared" si="2"/>
        <v>315</v>
      </c>
      <c r="R60" s="59">
        <f t="shared" si="3"/>
        <v>100</v>
      </c>
      <c r="S60" s="56">
        <f t="shared" si="4"/>
        <v>695</v>
      </c>
      <c r="T60" s="56">
        <f>50</f>
        <v>50</v>
      </c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.75" x14ac:dyDescent="0.25">
      <c r="A61" s="16">
        <v>43132</v>
      </c>
      <c r="B61" s="69">
        <v>28</v>
      </c>
      <c r="C61" s="56">
        <f>122.58</f>
        <v>122.58</v>
      </c>
      <c r="D61" s="56">
        <f>297.941</f>
        <v>297.94099999999997</v>
      </c>
      <c r="E61" s="64">
        <f>89.177</f>
        <v>89.177000000000007</v>
      </c>
      <c r="F61" s="56">
        <f>240.302-40-60-100</f>
        <v>40.301999999999992</v>
      </c>
      <c r="G61" s="59">
        <v>40</v>
      </c>
      <c r="H61" s="56">
        <f>60+100</f>
        <v>160</v>
      </c>
      <c r="I61" s="56">
        <f t="shared" si="8"/>
        <v>0</v>
      </c>
      <c r="J61" s="59">
        <v>100</v>
      </c>
      <c r="K61" s="59">
        <v>300</v>
      </c>
      <c r="L61" s="56">
        <f t="shared" si="0"/>
        <v>1150</v>
      </c>
      <c r="M61" s="66">
        <v>400</v>
      </c>
      <c r="N61" s="56">
        <f>100</f>
        <v>100</v>
      </c>
      <c r="O61" s="59">
        <v>240</v>
      </c>
      <c r="P61" s="59">
        <v>40</v>
      </c>
      <c r="Q61" s="59">
        <f t="shared" si="2"/>
        <v>315</v>
      </c>
      <c r="R61" s="59">
        <f t="shared" si="3"/>
        <v>100</v>
      </c>
      <c r="S61" s="56">
        <f t="shared" si="4"/>
        <v>695</v>
      </c>
      <c r="T61" s="56">
        <f>50</f>
        <v>50</v>
      </c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.75" x14ac:dyDescent="0.25">
      <c r="A62" s="16">
        <v>43160</v>
      </c>
      <c r="B62" s="69">
        <v>31</v>
      </c>
      <c r="C62" s="56">
        <f>122.58</f>
        <v>122.58</v>
      </c>
      <c r="D62" s="56">
        <f>297.941</f>
        <v>297.94099999999997</v>
      </c>
      <c r="E62" s="64">
        <f>89.177</f>
        <v>89.177000000000007</v>
      </c>
      <c r="F62" s="56">
        <f>240.302-40-60-100</f>
        <v>40.301999999999992</v>
      </c>
      <c r="G62" s="59">
        <v>40</v>
      </c>
      <c r="H62" s="56">
        <f>60+100</f>
        <v>160</v>
      </c>
      <c r="I62" s="56">
        <f t="shared" si="8"/>
        <v>0</v>
      </c>
      <c r="J62" s="59">
        <v>100</v>
      </c>
      <c r="K62" s="59">
        <v>300</v>
      </c>
      <c r="L62" s="56">
        <f t="shared" si="0"/>
        <v>1150</v>
      </c>
      <c r="M62" s="66">
        <v>400</v>
      </c>
      <c r="N62" s="56">
        <f>100</f>
        <v>100</v>
      </c>
      <c r="O62" s="59">
        <v>240</v>
      </c>
      <c r="P62" s="59">
        <v>40</v>
      </c>
      <c r="Q62" s="59">
        <f t="shared" si="2"/>
        <v>315</v>
      </c>
      <c r="R62" s="59">
        <f t="shared" si="3"/>
        <v>100</v>
      </c>
      <c r="S62" s="56">
        <f t="shared" si="4"/>
        <v>695</v>
      </c>
      <c r="T62" s="56">
        <f>50</f>
        <v>50</v>
      </c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.75" x14ac:dyDescent="0.25">
      <c r="A63" s="16">
        <v>43191</v>
      </c>
      <c r="B63" s="69">
        <v>30</v>
      </c>
      <c r="C63" s="56">
        <f>141.293</f>
        <v>141.29300000000001</v>
      </c>
      <c r="D63" s="56">
        <f>267.993</f>
        <v>267.99299999999999</v>
      </c>
      <c r="E63" s="64">
        <f>115.016</f>
        <v>115.01600000000001</v>
      </c>
      <c r="F63" s="56">
        <f>314.698-40-25-60-100</f>
        <v>89.697999999999979</v>
      </c>
      <c r="G63" s="59">
        <v>40</v>
      </c>
      <c r="H63" s="56">
        <f t="shared" ref="H63:H69" si="10">25+60+100</f>
        <v>185</v>
      </c>
      <c r="I63" s="56">
        <f t="shared" si="8"/>
        <v>0</v>
      </c>
      <c r="J63" s="59">
        <v>100</v>
      </c>
      <c r="K63" s="59">
        <v>300</v>
      </c>
      <c r="L63" s="56">
        <f t="shared" si="0"/>
        <v>1239</v>
      </c>
      <c r="M63" s="66">
        <v>400</v>
      </c>
      <c r="N63" s="56">
        <f>100</f>
        <v>100</v>
      </c>
      <c r="O63" s="59">
        <v>240</v>
      </c>
      <c r="P63" s="59">
        <v>160</v>
      </c>
      <c r="Q63" s="59">
        <f t="shared" si="2"/>
        <v>195</v>
      </c>
      <c r="R63" s="59">
        <f t="shared" si="3"/>
        <v>100</v>
      </c>
      <c r="S63" s="56">
        <f t="shared" si="4"/>
        <v>695</v>
      </c>
      <c r="T63" s="56">
        <f>50</f>
        <v>50</v>
      </c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.75" x14ac:dyDescent="0.25">
      <c r="A64" s="16">
        <v>43221</v>
      </c>
      <c r="B64" s="69">
        <v>31</v>
      </c>
      <c r="C64" s="56">
        <f>194.205</f>
        <v>194.20500000000001</v>
      </c>
      <c r="D64" s="56">
        <f>267.466</f>
        <v>267.46600000000001</v>
      </c>
      <c r="E64" s="64">
        <f>133.845</f>
        <v>133.845</v>
      </c>
      <c r="F64" s="56">
        <f>278.484-40-25-60-100</f>
        <v>53.48399999999998</v>
      </c>
      <c r="G64" s="59">
        <v>40</v>
      </c>
      <c r="H64" s="56">
        <f t="shared" si="10"/>
        <v>185</v>
      </c>
      <c r="I64" s="56">
        <f t="shared" si="8"/>
        <v>0</v>
      </c>
      <c r="J64" s="59">
        <v>100</v>
      </c>
      <c r="K64" s="59">
        <v>300</v>
      </c>
      <c r="L64" s="56">
        <f t="shared" si="0"/>
        <v>1274</v>
      </c>
      <c r="M64" s="66">
        <v>400</v>
      </c>
      <c r="N64" s="56">
        <f>75</f>
        <v>75</v>
      </c>
      <c r="O64" s="59">
        <v>240</v>
      </c>
      <c r="P64" s="59">
        <v>160</v>
      </c>
      <c r="Q64" s="59">
        <f t="shared" si="2"/>
        <v>195</v>
      </c>
      <c r="R64" s="59">
        <f t="shared" si="3"/>
        <v>100</v>
      </c>
      <c r="S64" s="56">
        <f t="shared" si="4"/>
        <v>695</v>
      </c>
      <c r="T64" s="56">
        <f>50</f>
        <v>50</v>
      </c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.75" x14ac:dyDescent="0.25">
      <c r="A65" s="16">
        <v>43252</v>
      </c>
      <c r="B65" s="69">
        <v>30</v>
      </c>
      <c r="C65" s="56">
        <f>194.205</f>
        <v>194.20500000000001</v>
      </c>
      <c r="D65" s="56">
        <f>267.466</f>
        <v>267.46600000000001</v>
      </c>
      <c r="E65" s="64">
        <f>133.845</f>
        <v>133.845</v>
      </c>
      <c r="F65" s="56">
        <f>278.484-40-25-60-100</f>
        <v>53.48399999999998</v>
      </c>
      <c r="G65" s="59">
        <v>40</v>
      </c>
      <c r="H65" s="56">
        <f t="shared" si="10"/>
        <v>185</v>
      </c>
      <c r="I65" s="56">
        <f t="shared" si="8"/>
        <v>0</v>
      </c>
      <c r="J65" s="59">
        <v>100</v>
      </c>
      <c r="K65" s="59">
        <v>300</v>
      </c>
      <c r="L65" s="56">
        <f t="shared" si="0"/>
        <v>1274</v>
      </c>
      <c r="M65" s="66">
        <v>400</v>
      </c>
      <c r="N65" s="56">
        <f>30</f>
        <v>30</v>
      </c>
      <c r="O65" s="59">
        <v>240</v>
      </c>
      <c r="P65" s="59">
        <v>160</v>
      </c>
      <c r="Q65" s="59">
        <f t="shared" si="2"/>
        <v>195</v>
      </c>
      <c r="R65" s="59">
        <f t="shared" si="3"/>
        <v>100</v>
      </c>
      <c r="S65" s="56">
        <f t="shared" si="4"/>
        <v>695</v>
      </c>
      <c r="T65" s="56">
        <f>50</f>
        <v>50</v>
      </c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.75" x14ac:dyDescent="0.25">
      <c r="A66" s="16">
        <v>43282</v>
      </c>
      <c r="B66" s="69">
        <v>31</v>
      </c>
      <c r="C66" s="56">
        <f>194.205</f>
        <v>194.20500000000001</v>
      </c>
      <c r="D66" s="56">
        <f>267.466</f>
        <v>267.46600000000001</v>
      </c>
      <c r="E66" s="64">
        <f>133.845</f>
        <v>133.845</v>
      </c>
      <c r="F66" s="56">
        <f>278.484-40-25-60-100</f>
        <v>53.48399999999998</v>
      </c>
      <c r="G66" s="59">
        <v>40</v>
      </c>
      <c r="H66" s="56">
        <f t="shared" si="10"/>
        <v>185</v>
      </c>
      <c r="I66" s="56">
        <f t="shared" si="8"/>
        <v>0</v>
      </c>
      <c r="J66" s="59">
        <v>100</v>
      </c>
      <c r="K66" s="59">
        <v>300</v>
      </c>
      <c r="L66" s="56">
        <f t="shared" si="0"/>
        <v>1274</v>
      </c>
      <c r="M66" s="66">
        <v>400</v>
      </c>
      <c r="N66" s="56">
        <f>30</f>
        <v>30</v>
      </c>
      <c r="O66" s="59">
        <v>240</v>
      </c>
      <c r="P66" s="59">
        <v>160</v>
      </c>
      <c r="Q66" s="59">
        <f t="shared" si="2"/>
        <v>195</v>
      </c>
      <c r="R66" s="59">
        <f t="shared" si="3"/>
        <v>100</v>
      </c>
      <c r="S66" s="56">
        <f t="shared" si="4"/>
        <v>695</v>
      </c>
      <c r="T66" s="56">
        <f>0</f>
        <v>0</v>
      </c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.75" x14ac:dyDescent="0.25">
      <c r="A67" s="16">
        <v>43313</v>
      </c>
      <c r="B67" s="69">
        <v>31</v>
      </c>
      <c r="C67" s="56">
        <f>194.205</f>
        <v>194.20500000000001</v>
      </c>
      <c r="D67" s="56">
        <f>267.466</f>
        <v>267.46600000000001</v>
      </c>
      <c r="E67" s="64">
        <f>133.845</f>
        <v>133.845</v>
      </c>
      <c r="F67" s="56">
        <f>278.484-40-25-60-100</f>
        <v>53.48399999999998</v>
      </c>
      <c r="G67" s="59">
        <v>40</v>
      </c>
      <c r="H67" s="56">
        <f t="shared" si="10"/>
        <v>185</v>
      </c>
      <c r="I67" s="56">
        <f t="shared" si="8"/>
        <v>0</v>
      </c>
      <c r="J67" s="59">
        <v>100</v>
      </c>
      <c r="K67" s="59">
        <v>300</v>
      </c>
      <c r="L67" s="56">
        <f t="shared" si="0"/>
        <v>1274</v>
      </c>
      <c r="M67" s="66">
        <v>400</v>
      </c>
      <c r="N67" s="56">
        <f>30</f>
        <v>30</v>
      </c>
      <c r="O67" s="59">
        <v>240</v>
      </c>
      <c r="P67" s="59">
        <v>160</v>
      </c>
      <c r="Q67" s="59">
        <f t="shared" si="2"/>
        <v>195</v>
      </c>
      <c r="R67" s="59">
        <f t="shared" si="3"/>
        <v>100</v>
      </c>
      <c r="S67" s="56">
        <f t="shared" si="4"/>
        <v>695</v>
      </c>
      <c r="T67" s="56">
        <f>0</f>
        <v>0</v>
      </c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.75" x14ac:dyDescent="0.25">
      <c r="A68" s="16">
        <v>43344</v>
      </c>
      <c r="B68" s="69">
        <v>30</v>
      </c>
      <c r="C68" s="56">
        <f>194.205</f>
        <v>194.20500000000001</v>
      </c>
      <c r="D68" s="56">
        <f>267.466</f>
        <v>267.46600000000001</v>
      </c>
      <c r="E68" s="64">
        <f>133.845</f>
        <v>133.845</v>
      </c>
      <c r="F68" s="56">
        <f>278.484-40-25-60-100</f>
        <v>53.48399999999998</v>
      </c>
      <c r="G68" s="59">
        <v>40</v>
      </c>
      <c r="H68" s="56">
        <f t="shared" si="10"/>
        <v>185</v>
      </c>
      <c r="I68" s="56">
        <f t="shared" si="8"/>
        <v>0</v>
      </c>
      <c r="J68" s="59">
        <v>100</v>
      </c>
      <c r="K68" s="59">
        <v>300</v>
      </c>
      <c r="L68" s="56">
        <f t="shared" si="0"/>
        <v>1274</v>
      </c>
      <c r="M68" s="66">
        <v>400</v>
      </c>
      <c r="N68" s="56">
        <f>30</f>
        <v>30</v>
      </c>
      <c r="O68" s="59">
        <v>240</v>
      </c>
      <c r="P68" s="59">
        <v>160</v>
      </c>
      <c r="Q68" s="59">
        <f t="shared" si="2"/>
        <v>195</v>
      </c>
      <c r="R68" s="59">
        <f t="shared" si="3"/>
        <v>100</v>
      </c>
      <c r="S68" s="56">
        <f t="shared" si="4"/>
        <v>695</v>
      </c>
      <c r="T68" s="56">
        <f>0</f>
        <v>0</v>
      </c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.75" x14ac:dyDescent="0.25">
      <c r="A69" s="16">
        <v>43374</v>
      </c>
      <c r="B69" s="69">
        <v>31</v>
      </c>
      <c r="C69" s="56">
        <f>131.881</f>
        <v>131.881</v>
      </c>
      <c r="D69" s="56">
        <f>277.167</f>
        <v>277.16699999999997</v>
      </c>
      <c r="E69" s="64">
        <f>79.08</f>
        <v>79.08</v>
      </c>
      <c r="F69" s="56">
        <f>350.872-40-25-60-100</f>
        <v>125.87200000000001</v>
      </c>
      <c r="G69" s="59">
        <v>40</v>
      </c>
      <c r="H69" s="56">
        <f t="shared" si="10"/>
        <v>185</v>
      </c>
      <c r="I69" s="56">
        <f t="shared" si="8"/>
        <v>0</v>
      </c>
      <c r="J69" s="59">
        <v>100</v>
      </c>
      <c r="K69" s="59">
        <v>300</v>
      </c>
      <c r="L69" s="56">
        <f t="shared" si="0"/>
        <v>1239</v>
      </c>
      <c r="M69" s="66">
        <v>400</v>
      </c>
      <c r="N69" s="56">
        <f>75</f>
        <v>75</v>
      </c>
      <c r="O69" s="59">
        <v>240</v>
      </c>
      <c r="P69" s="59">
        <v>160</v>
      </c>
      <c r="Q69" s="59">
        <f t="shared" si="2"/>
        <v>195</v>
      </c>
      <c r="R69" s="59">
        <f t="shared" si="3"/>
        <v>100</v>
      </c>
      <c r="S69" s="56">
        <f t="shared" si="4"/>
        <v>695</v>
      </c>
      <c r="T69" s="56">
        <f>0</f>
        <v>0</v>
      </c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.75" x14ac:dyDescent="0.25">
      <c r="A70" s="16">
        <v>43405</v>
      </c>
      <c r="B70" s="69">
        <v>30</v>
      </c>
      <c r="C70" s="56">
        <f>122.58</f>
        <v>122.58</v>
      </c>
      <c r="D70" s="56">
        <f>297.941</f>
        <v>297.94099999999997</v>
      </c>
      <c r="E70" s="64">
        <f>89.177</f>
        <v>89.177000000000007</v>
      </c>
      <c r="F70" s="56">
        <f>240.302-40-60-100</f>
        <v>40.301999999999992</v>
      </c>
      <c r="G70" s="59">
        <v>40</v>
      </c>
      <c r="H70" s="56">
        <f>60+100</f>
        <v>160</v>
      </c>
      <c r="I70" s="56">
        <f t="shared" si="8"/>
        <v>0</v>
      </c>
      <c r="J70" s="59">
        <v>100</v>
      </c>
      <c r="K70" s="59">
        <v>300</v>
      </c>
      <c r="L70" s="56">
        <f t="shared" si="0"/>
        <v>1150</v>
      </c>
      <c r="M70" s="66">
        <v>400</v>
      </c>
      <c r="N70" s="56">
        <f>100</f>
        <v>100</v>
      </c>
      <c r="O70" s="59">
        <v>240</v>
      </c>
      <c r="P70" s="59">
        <v>40</v>
      </c>
      <c r="Q70" s="59">
        <f t="shared" si="2"/>
        <v>315</v>
      </c>
      <c r="R70" s="59">
        <f t="shared" si="3"/>
        <v>100</v>
      </c>
      <c r="S70" s="56">
        <f t="shared" si="4"/>
        <v>695</v>
      </c>
      <c r="T70" s="56">
        <f>50</f>
        <v>50</v>
      </c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.75" x14ac:dyDescent="0.25">
      <c r="A71" s="16">
        <v>43435</v>
      </c>
      <c r="B71" s="69">
        <v>31</v>
      </c>
      <c r="C71" s="56">
        <f>122.58</f>
        <v>122.58</v>
      </c>
      <c r="D71" s="56">
        <f>297.941</f>
        <v>297.94099999999997</v>
      </c>
      <c r="E71" s="64">
        <f>89.177</f>
        <v>89.177000000000007</v>
      </c>
      <c r="F71" s="56">
        <f>240.302-40-60-100</f>
        <v>40.301999999999992</v>
      </c>
      <c r="G71" s="59">
        <v>40</v>
      </c>
      <c r="H71" s="56">
        <f>60+100</f>
        <v>160</v>
      </c>
      <c r="I71" s="56">
        <f t="shared" si="8"/>
        <v>0</v>
      </c>
      <c r="J71" s="59">
        <v>100</v>
      </c>
      <c r="K71" s="59">
        <v>300</v>
      </c>
      <c r="L71" s="56">
        <f t="shared" si="0"/>
        <v>1150</v>
      </c>
      <c r="M71" s="66">
        <v>400</v>
      </c>
      <c r="N71" s="56">
        <f>100</f>
        <v>100</v>
      </c>
      <c r="O71" s="59">
        <v>240</v>
      </c>
      <c r="P71" s="59">
        <v>40</v>
      </c>
      <c r="Q71" s="59">
        <f t="shared" si="2"/>
        <v>315</v>
      </c>
      <c r="R71" s="59">
        <f t="shared" si="3"/>
        <v>100</v>
      </c>
      <c r="S71" s="56">
        <f t="shared" si="4"/>
        <v>695</v>
      </c>
      <c r="T71" s="56">
        <f>50</f>
        <v>50</v>
      </c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.75" x14ac:dyDescent="0.25">
      <c r="A72" s="16">
        <v>43466</v>
      </c>
      <c r="B72" s="69">
        <v>31</v>
      </c>
      <c r="C72" s="56">
        <f>122.58</f>
        <v>122.58</v>
      </c>
      <c r="D72" s="56">
        <f>297.941</f>
        <v>297.94099999999997</v>
      </c>
      <c r="E72" s="64">
        <f>89.177</f>
        <v>89.177000000000007</v>
      </c>
      <c r="F72" s="56">
        <f>240.302-40-60-100</f>
        <v>40.301999999999992</v>
      </c>
      <c r="G72" s="59">
        <v>40</v>
      </c>
      <c r="H72" s="56">
        <f>60+100</f>
        <v>160</v>
      </c>
      <c r="I72" s="56">
        <f t="shared" si="8"/>
        <v>0</v>
      </c>
      <c r="J72" s="59">
        <v>100</v>
      </c>
      <c r="K72" s="59">
        <v>300</v>
      </c>
      <c r="L72" s="56">
        <f t="shared" si="0"/>
        <v>1150</v>
      </c>
      <c r="M72" s="66">
        <v>400</v>
      </c>
      <c r="N72" s="56">
        <f>100</f>
        <v>100</v>
      </c>
      <c r="O72" s="59">
        <v>240</v>
      </c>
      <c r="P72" s="59">
        <v>40</v>
      </c>
      <c r="Q72" s="59">
        <f t="shared" si="2"/>
        <v>315</v>
      </c>
      <c r="R72" s="59">
        <f t="shared" si="3"/>
        <v>100</v>
      </c>
      <c r="S72" s="56">
        <f t="shared" si="4"/>
        <v>695</v>
      </c>
      <c r="T72" s="56">
        <f>50</f>
        <v>50</v>
      </c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.75" x14ac:dyDescent="0.25">
      <c r="A73" s="16">
        <v>43497</v>
      </c>
      <c r="B73" s="69">
        <v>28</v>
      </c>
      <c r="C73" s="56">
        <f>122.58</f>
        <v>122.58</v>
      </c>
      <c r="D73" s="56">
        <f>297.941</f>
        <v>297.94099999999997</v>
      </c>
      <c r="E73" s="64">
        <f>89.177</f>
        <v>89.177000000000007</v>
      </c>
      <c r="F73" s="56">
        <f>240.302-40-60-100</f>
        <v>40.301999999999992</v>
      </c>
      <c r="G73" s="59">
        <v>40</v>
      </c>
      <c r="H73" s="56">
        <f>60+100</f>
        <v>160</v>
      </c>
      <c r="I73" s="56">
        <f t="shared" si="8"/>
        <v>0</v>
      </c>
      <c r="J73" s="59">
        <v>100</v>
      </c>
      <c r="K73" s="59">
        <v>300</v>
      </c>
      <c r="L73" s="56">
        <f t="shared" si="0"/>
        <v>1150</v>
      </c>
      <c r="M73" s="66">
        <v>400</v>
      </c>
      <c r="N73" s="56">
        <f>100</f>
        <v>100</v>
      </c>
      <c r="O73" s="59">
        <v>240</v>
      </c>
      <c r="P73" s="59">
        <v>40</v>
      </c>
      <c r="Q73" s="59">
        <f t="shared" si="2"/>
        <v>315</v>
      </c>
      <c r="R73" s="59">
        <f t="shared" si="3"/>
        <v>100</v>
      </c>
      <c r="S73" s="56">
        <f t="shared" si="4"/>
        <v>695</v>
      </c>
      <c r="T73" s="56">
        <f>50</f>
        <v>50</v>
      </c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.75" x14ac:dyDescent="0.25">
      <c r="A74" s="16">
        <v>43525</v>
      </c>
      <c r="B74" s="69">
        <v>31</v>
      </c>
      <c r="C74" s="56">
        <f>122.58</f>
        <v>122.58</v>
      </c>
      <c r="D74" s="56">
        <f>297.941</f>
        <v>297.94099999999997</v>
      </c>
      <c r="E74" s="64">
        <f>89.177</f>
        <v>89.177000000000007</v>
      </c>
      <c r="F74" s="56">
        <f>240.302-40-60-100</f>
        <v>40.301999999999992</v>
      </c>
      <c r="G74" s="59">
        <v>40</v>
      </c>
      <c r="H74" s="56">
        <f>60+100</f>
        <v>160</v>
      </c>
      <c r="I74" s="56">
        <f t="shared" si="8"/>
        <v>0</v>
      </c>
      <c r="J74" s="59">
        <v>100</v>
      </c>
      <c r="K74" s="59">
        <v>300</v>
      </c>
      <c r="L74" s="56">
        <f t="shared" si="0"/>
        <v>1150</v>
      </c>
      <c r="M74" s="66">
        <v>400</v>
      </c>
      <c r="N74" s="56">
        <f>100</f>
        <v>100</v>
      </c>
      <c r="O74" s="59">
        <v>240</v>
      </c>
      <c r="P74" s="59">
        <v>40</v>
      </c>
      <c r="Q74" s="59">
        <f t="shared" si="2"/>
        <v>315</v>
      </c>
      <c r="R74" s="59">
        <f t="shared" si="3"/>
        <v>100</v>
      </c>
      <c r="S74" s="56">
        <f t="shared" si="4"/>
        <v>695</v>
      </c>
      <c r="T74" s="56">
        <f>50</f>
        <v>50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.75" x14ac:dyDescent="0.25">
      <c r="A75" s="16">
        <v>43556</v>
      </c>
      <c r="B75" s="69">
        <v>30</v>
      </c>
      <c r="C75" s="56">
        <f>141.293</f>
        <v>141.29300000000001</v>
      </c>
      <c r="D75" s="56">
        <f>267.993</f>
        <v>267.99299999999999</v>
      </c>
      <c r="E75" s="64">
        <f>115.016</f>
        <v>115.01600000000001</v>
      </c>
      <c r="F75" s="56">
        <f>314.698-40-25-60-100</f>
        <v>89.697999999999979</v>
      </c>
      <c r="G75" s="59">
        <v>40</v>
      </c>
      <c r="H75" s="56">
        <f t="shared" ref="H75:H81" si="11">25+60+100</f>
        <v>185</v>
      </c>
      <c r="I75" s="56">
        <f t="shared" si="8"/>
        <v>0</v>
      </c>
      <c r="J75" s="59">
        <v>100</v>
      </c>
      <c r="K75" s="59">
        <v>300</v>
      </c>
      <c r="L75" s="56">
        <f t="shared" si="0"/>
        <v>1239</v>
      </c>
      <c r="M75" s="66">
        <v>400</v>
      </c>
      <c r="N75" s="56">
        <f>100</f>
        <v>100</v>
      </c>
      <c r="O75" s="59">
        <v>240</v>
      </c>
      <c r="P75" s="59">
        <v>160</v>
      </c>
      <c r="Q75" s="59">
        <f t="shared" si="2"/>
        <v>195</v>
      </c>
      <c r="R75" s="59">
        <f t="shared" si="3"/>
        <v>100</v>
      </c>
      <c r="S75" s="56">
        <f t="shared" si="4"/>
        <v>695</v>
      </c>
      <c r="T75" s="56">
        <f>50</f>
        <v>50</v>
      </c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.75" x14ac:dyDescent="0.25">
      <c r="A76" s="16">
        <v>43586</v>
      </c>
      <c r="B76" s="69">
        <v>31</v>
      </c>
      <c r="C76" s="56">
        <f>194.205</f>
        <v>194.20500000000001</v>
      </c>
      <c r="D76" s="56">
        <f>267.466</f>
        <v>267.46600000000001</v>
      </c>
      <c r="E76" s="64">
        <f>133.845</f>
        <v>133.845</v>
      </c>
      <c r="F76" s="56">
        <f>278.484-40-25-60-100</f>
        <v>53.48399999999998</v>
      </c>
      <c r="G76" s="59">
        <v>40</v>
      </c>
      <c r="H76" s="56">
        <f t="shared" si="11"/>
        <v>185</v>
      </c>
      <c r="I76" s="56">
        <f t="shared" si="8"/>
        <v>0</v>
      </c>
      <c r="J76" s="59">
        <v>100</v>
      </c>
      <c r="K76" s="59">
        <v>300</v>
      </c>
      <c r="L76" s="56">
        <f t="shared" si="0"/>
        <v>1274</v>
      </c>
      <c r="M76" s="66">
        <v>400</v>
      </c>
      <c r="N76" s="56">
        <f>75</f>
        <v>75</v>
      </c>
      <c r="O76" s="59">
        <v>240</v>
      </c>
      <c r="P76" s="59">
        <v>160</v>
      </c>
      <c r="Q76" s="59">
        <f t="shared" si="2"/>
        <v>195</v>
      </c>
      <c r="R76" s="59">
        <f t="shared" si="3"/>
        <v>100</v>
      </c>
      <c r="S76" s="56">
        <f t="shared" si="4"/>
        <v>695</v>
      </c>
      <c r="T76" s="56">
        <f>50</f>
        <v>50</v>
      </c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.75" x14ac:dyDescent="0.25">
      <c r="A77" s="16">
        <v>43617</v>
      </c>
      <c r="B77" s="69">
        <v>30</v>
      </c>
      <c r="C77" s="56">
        <f>194.205</f>
        <v>194.20500000000001</v>
      </c>
      <c r="D77" s="56">
        <f>267.466</f>
        <v>267.46600000000001</v>
      </c>
      <c r="E77" s="64">
        <f>133.845</f>
        <v>133.845</v>
      </c>
      <c r="F77" s="56">
        <f>278.484-40-25-60-100</f>
        <v>53.48399999999998</v>
      </c>
      <c r="G77" s="59">
        <v>40</v>
      </c>
      <c r="H77" s="56">
        <f t="shared" si="11"/>
        <v>185</v>
      </c>
      <c r="I77" s="56">
        <f t="shared" si="8"/>
        <v>0</v>
      </c>
      <c r="J77" s="59">
        <v>100</v>
      </c>
      <c r="K77" s="59">
        <v>300</v>
      </c>
      <c r="L77" s="56">
        <f t="shared" si="0"/>
        <v>1274</v>
      </c>
      <c r="M77" s="66">
        <v>400</v>
      </c>
      <c r="N77" s="56">
        <f>30</f>
        <v>30</v>
      </c>
      <c r="O77" s="59">
        <v>240</v>
      </c>
      <c r="P77" s="59">
        <v>160</v>
      </c>
      <c r="Q77" s="59">
        <f t="shared" si="2"/>
        <v>195</v>
      </c>
      <c r="R77" s="59">
        <f t="shared" si="3"/>
        <v>100</v>
      </c>
      <c r="S77" s="56">
        <f t="shared" si="4"/>
        <v>695</v>
      </c>
      <c r="T77" s="56">
        <f>50</f>
        <v>50</v>
      </c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.75" x14ac:dyDescent="0.25">
      <c r="A78" s="16">
        <v>43647</v>
      </c>
      <c r="B78" s="69">
        <v>31</v>
      </c>
      <c r="C78" s="56">
        <f>194.205</f>
        <v>194.20500000000001</v>
      </c>
      <c r="D78" s="56">
        <f>267.466</f>
        <v>267.46600000000001</v>
      </c>
      <c r="E78" s="64">
        <f>133.845</f>
        <v>133.845</v>
      </c>
      <c r="F78" s="56">
        <f>278.484-40-25-60-100</f>
        <v>53.48399999999998</v>
      </c>
      <c r="G78" s="59">
        <v>40</v>
      </c>
      <c r="H78" s="56">
        <f t="shared" si="11"/>
        <v>185</v>
      </c>
      <c r="I78" s="56">
        <f t="shared" si="8"/>
        <v>0</v>
      </c>
      <c r="J78" s="59">
        <v>100</v>
      </c>
      <c r="K78" s="59">
        <v>300</v>
      </c>
      <c r="L78" s="56">
        <f t="shared" si="0"/>
        <v>1274</v>
      </c>
      <c r="M78" s="66">
        <v>400</v>
      </c>
      <c r="N78" s="56">
        <f>30</f>
        <v>30</v>
      </c>
      <c r="O78" s="59">
        <v>240</v>
      </c>
      <c r="P78" s="59">
        <v>160</v>
      </c>
      <c r="Q78" s="59">
        <f t="shared" si="2"/>
        <v>195</v>
      </c>
      <c r="R78" s="59">
        <f t="shared" si="3"/>
        <v>100</v>
      </c>
      <c r="S78" s="56">
        <f t="shared" si="4"/>
        <v>695</v>
      </c>
      <c r="T78" s="56">
        <f>0</f>
        <v>0</v>
      </c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.75" x14ac:dyDescent="0.25">
      <c r="A79" s="16">
        <v>43678</v>
      </c>
      <c r="B79" s="69">
        <v>31</v>
      </c>
      <c r="C79" s="56">
        <f>194.205</f>
        <v>194.20500000000001</v>
      </c>
      <c r="D79" s="56">
        <f>267.466</f>
        <v>267.46600000000001</v>
      </c>
      <c r="E79" s="64">
        <f>133.845</f>
        <v>133.845</v>
      </c>
      <c r="F79" s="56">
        <f>278.484-40-25-60-100</f>
        <v>53.48399999999998</v>
      </c>
      <c r="G79" s="59">
        <v>40</v>
      </c>
      <c r="H79" s="56">
        <f t="shared" si="11"/>
        <v>185</v>
      </c>
      <c r="I79" s="56">
        <f t="shared" si="8"/>
        <v>0</v>
      </c>
      <c r="J79" s="59">
        <v>100</v>
      </c>
      <c r="K79" s="59">
        <v>300</v>
      </c>
      <c r="L79" s="56">
        <f t="shared" si="0"/>
        <v>1274</v>
      </c>
      <c r="M79" s="66">
        <v>400</v>
      </c>
      <c r="N79" s="56">
        <f>30</f>
        <v>30</v>
      </c>
      <c r="O79" s="59">
        <v>240</v>
      </c>
      <c r="P79" s="59">
        <v>160</v>
      </c>
      <c r="Q79" s="59">
        <f t="shared" si="2"/>
        <v>195</v>
      </c>
      <c r="R79" s="59">
        <f t="shared" si="3"/>
        <v>100</v>
      </c>
      <c r="S79" s="56">
        <f t="shared" si="4"/>
        <v>695</v>
      </c>
      <c r="T79" s="56">
        <f>0</f>
        <v>0</v>
      </c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.75" x14ac:dyDescent="0.25">
      <c r="A80" s="16">
        <v>43709</v>
      </c>
      <c r="B80" s="69">
        <v>30</v>
      </c>
      <c r="C80" s="56">
        <f>194.205</f>
        <v>194.20500000000001</v>
      </c>
      <c r="D80" s="56">
        <f>267.466</f>
        <v>267.46600000000001</v>
      </c>
      <c r="E80" s="64">
        <f>133.845</f>
        <v>133.845</v>
      </c>
      <c r="F80" s="56">
        <f>278.484-40-25-60-100</f>
        <v>53.48399999999998</v>
      </c>
      <c r="G80" s="59">
        <v>40</v>
      </c>
      <c r="H80" s="56">
        <f t="shared" si="11"/>
        <v>185</v>
      </c>
      <c r="I80" s="56">
        <f t="shared" si="8"/>
        <v>0</v>
      </c>
      <c r="J80" s="59">
        <v>100</v>
      </c>
      <c r="K80" s="59">
        <v>300</v>
      </c>
      <c r="L80" s="56">
        <f t="shared" ref="L80:L143" si="12">SUM(C80:K80)</f>
        <v>1274</v>
      </c>
      <c r="M80" s="66">
        <v>400</v>
      </c>
      <c r="N80" s="56">
        <f>30</f>
        <v>30</v>
      </c>
      <c r="O80" s="59">
        <v>240</v>
      </c>
      <c r="P80" s="59">
        <v>160</v>
      </c>
      <c r="Q80" s="59">
        <f t="shared" ref="Q80:Q143" si="13">695-R80-O80-P80</f>
        <v>195</v>
      </c>
      <c r="R80" s="59">
        <f t="shared" ref="R80:R143" si="14">200-J80</f>
        <v>100</v>
      </c>
      <c r="S80" s="56">
        <f t="shared" ref="S80:S143" si="15">SUM(O80:R80)</f>
        <v>695</v>
      </c>
      <c r="T80" s="56">
        <f>0</f>
        <v>0</v>
      </c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.75" x14ac:dyDescent="0.25">
      <c r="A81" s="16">
        <v>43739</v>
      </c>
      <c r="B81" s="69">
        <v>31</v>
      </c>
      <c r="C81" s="56">
        <f>131.881</f>
        <v>131.881</v>
      </c>
      <c r="D81" s="56">
        <f>277.167</f>
        <v>277.16699999999997</v>
      </c>
      <c r="E81" s="64">
        <f>79.08</f>
        <v>79.08</v>
      </c>
      <c r="F81" s="56">
        <f>350.872-40-25-60-100</f>
        <v>125.87200000000001</v>
      </c>
      <c r="G81" s="59">
        <v>40</v>
      </c>
      <c r="H81" s="56">
        <f t="shared" si="11"/>
        <v>185</v>
      </c>
      <c r="I81" s="56">
        <f t="shared" si="8"/>
        <v>0</v>
      </c>
      <c r="J81" s="59">
        <v>100</v>
      </c>
      <c r="K81" s="59">
        <v>300</v>
      </c>
      <c r="L81" s="56">
        <f t="shared" si="12"/>
        <v>1239</v>
      </c>
      <c r="M81" s="66">
        <v>400</v>
      </c>
      <c r="N81" s="56">
        <f>75</f>
        <v>75</v>
      </c>
      <c r="O81" s="59">
        <v>240</v>
      </c>
      <c r="P81" s="59">
        <v>160</v>
      </c>
      <c r="Q81" s="59">
        <f t="shared" si="13"/>
        <v>195</v>
      </c>
      <c r="R81" s="59">
        <f t="shared" si="14"/>
        <v>100</v>
      </c>
      <c r="S81" s="56">
        <f t="shared" si="15"/>
        <v>695</v>
      </c>
      <c r="T81" s="56">
        <f>0</f>
        <v>0</v>
      </c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.75" x14ac:dyDescent="0.25">
      <c r="A82" s="16">
        <v>43770</v>
      </c>
      <c r="B82" s="69">
        <v>30</v>
      </c>
      <c r="C82" s="56">
        <f>122.58</f>
        <v>122.58</v>
      </c>
      <c r="D82" s="56">
        <f>297.941</f>
        <v>297.94099999999997</v>
      </c>
      <c r="E82" s="64">
        <f>89.177</f>
        <v>89.177000000000007</v>
      </c>
      <c r="F82" s="56">
        <f>240.302-40-60-100</f>
        <v>40.301999999999992</v>
      </c>
      <c r="G82" s="59">
        <v>40</v>
      </c>
      <c r="H82" s="56">
        <f>60+100</f>
        <v>160</v>
      </c>
      <c r="I82" s="56">
        <f t="shared" si="8"/>
        <v>0</v>
      </c>
      <c r="J82" s="59">
        <v>100</v>
      </c>
      <c r="K82" s="59">
        <v>300</v>
      </c>
      <c r="L82" s="56">
        <f t="shared" si="12"/>
        <v>1150</v>
      </c>
      <c r="M82" s="66">
        <v>400</v>
      </c>
      <c r="N82" s="56">
        <f>100</f>
        <v>100</v>
      </c>
      <c r="O82" s="59">
        <v>240</v>
      </c>
      <c r="P82" s="59">
        <v>40</v>
      </c>
      <c r="Q82" s="59">
        <f t="shared" si="13"/>
        <v>315</v>
      </c>
      <c r="R82" s="59">
        <f t="shared" si="14"/>
        <v>100</v>
      </c>
      <c r="S82" s="56">
        <f t="shared" si="15"/>
        <v>695</v>
      </c>
      <c r="T82" s="56">
        <f>50</f>
        <v>50</v>
      </c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.75" x14ac:dyDescent="0.25">
      <c r="A83" s="16">
        <v>43800</v>
      </c>
      <c r="B83" s="69">
        <v>31</v>
      </c>
      <c r="C83" s="56">
        <f>122.58</f>
        <v>122.58</v>
      </c>
      <c r="D83" s="56">
        <f>297.941</f>
        <v>297.94099999999997</v>
      </c>
      <c r="E83" s="64">
        <f>89.177</f>
        <v>89.177000000000007</v>
      </c>
      <c r="F83" s="56">
        <f>240.302-40-60-100</f>
        <v>40.301999999999992</v>
      </c>
      <c r="G83" s="59">
        <v>40</v>
      </c>
      <c r="H83" s="56">
        <f>60+100</f>
        <v>160</v>
      </c>
      <c r="I83" s="56">
        <f t="shared" si="8"/>
        <v>0</v>
      </c>
      <c r="J83" s="59">
        <v>100</v>
      </c>
      <c r="K83" s="59">
        <v>300</v>
      </c>
      <c r="L83" s="56">
        <f t="shared" si="12"/>
        <v>1150</v>
      </c>
      <c r="M83" s="66">
        <v>400</v>
      </c>
      <c r="N83" s="56">
        <f>100</f>
        <v>100</v>
      </c>
      <c r="O83" s="59">
        <v>240</v>
      </c>
      <c r="P83" s="59">
        <v>40</v>
      </c>
      <c r="Q83" s="59">
        <f t="shared" si="13"/>
        <v>315</v>
      </c>
      <c r="R83" s="59">
        <f t="shared" si="14"/>
        <v>100</v>
      </c>
      <c r="S83" s="56">
        <f t="shared" si="15"/>
        <v>695</v>
      </c>
      <c r="T83" s="56">
        <f>50</f>
        <v>50</v>
      </c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.75" x14ac:dyDescent="0.25">
      <c r="A84" s="16">
        <v>43831</v>
      </c>
      <c r="B84" s="69">
        <v>31</v>
      </c>
      <c r="C84" s="56">
        <f>122.58</f>
        <v>122.58</v>
      </c>
      <c r="D84" s="56">
        <f>297.941</f>
        <v>297.94099999999997</v>
      </c>
      <c r="E84" s="64">
        <f>89.177</f>
        <v>89.177000000000007</v>
      </c>
      <c r="F84" s="56">
        <f>240.302-40-60-100</f>
        <v>40.301999999999992</v>
      </c>
      <c r="G84" s="59">
        <v>40</v>
      </c>
      <c r="H84" s="56">
        <f>60+100</f>
        <v>160</v>
      </c>
      <c r="I84" s="56">
        <f t="shared" si="8"/>
        <v>0</v>
      </c>
      <c r="J84" s="59">
        <v>100</v>
      </c>
      <c r="K84" s="59">
        <v>300</v>
      </c>
      <c r="L84" s="56">
        <f t="shared" si="12"/>
        <v>1150</v>
      </c>
      <c r="M84" s="66">
        <v>400</v>
      </c>
      <c r="N84" s="56">
        <f>100</f>
        <v>100</v>
      </c>
      <c r="O84" s="59">
        <v>240</v>
      </c>
      <c r="P84" s="59">
        <v>40</v>
      </c>
      <c r="Q84" s="59">
        <f t="shared" si="13"/>
        <v>315</v>
      </c>
      <c r="R84" s="59">
        <f t="shared" si="14"/>
        <v>100</v>
      </c>
      <c r="S84" s="56">
        <f t="shared" si="15"/>
        <v>695</v>
      </c>
      <c r="T84" s="56">
        <f>50</f>
        <v>50</v>
      </c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.75" x14ac:dyDescent="0.25">
      <c r="A85" s="16">
        <v>43862</v>
      </c>
      <c r="B85" s="69">
        <v>29</v>
      </c>
      <c r="C85" s="56">
        <f>122.58</f>
        <v>122.58</v>
      </c>
      <c r="D85" s="56">
        <f>297.941</f>
        <v>297.94099999999997</v>
      </c>
      <c r="E85" s="64">
        <f>89.177</f>
        <v>89.177000000000007</v>
      </c>
      <c r="F85" s="56">
        <f>240.302-40-60-100</f>
        <v>40.301999999999992</v>
      </c>
      <c r="G85" s="59">
        <v>40</v>
      </c>
      <c r="H85" s="56">
        <f>60+100</f>
        <v>160</v>
      </c>
      <c r="I85" s="56">
        <f t="shared" si="8"/>
        <v>0</v>
      </c>
      <c r="J85" s="59">
        <v>100</v>
      </c>
      <c r="K85" s="59">
        <v>300</v>
      </c>
      <c r="L85" s="56">
        <f t="shared" si="12"/>
        <v>1150</v>
      </c>
      <c r="M85" s="66">
        <v>400</v>
      </c>
      <c r="N85" s="56">
        <f>100</f>
        <v>100</v>
      </c>
      <c r="O85" s="59">
        <v>240</v>
      </c>
      <c r="P85" s="59">
        <v>40</v>
      </c>
      <c r="Q85" s="59">
        <f t="shared" si="13"/>
        <v>315</v>
      </c>
      <c r="R85" s="59">
        <f t="shared" si="14"/>
        <v>100</v>
      </c>
      <c r="S85" s="56">
        <f t="shared" si="15"/>
        <v>695</v>
      </c>
      <c r="T85" s="56">
        <f>50</f>
        <v>50</v>
      </c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.75" x14ac:dyDescent="0.25">
      <c r="A86" s="16">
        <v>43891</v>
      </c>
      <c r="B86" s="69">
        <v>31</v>
      </c>
      <c r="C86" s="56">
        <f>122.58</f>
        <v>122.58</v>
      </c>
      <c r="D86" s="56">
        <f>297.941</f>
        <v>297.94099999999997</v>
      </c>
      <c r="E86" s="64">
        <f>89.177</f>
        <v>89.177000000000007</v>
      </c>
      <c r="F86" s="56">
        <f>240.302-40-60-100</f>
        <v>40.301999999999992</v>
      </c>
      <c r="G86" s="59">
        <v>40</v>
      </c>
      <c r="H86" s="56">
        <f>60+100</f>
        <v>160</v>
      </c>
      <c r="I86" s="56">
        <f t="shared" si="8"/>
        <v>0</v>
      </c>
      <c r="J86" s="59">
        <v>100</v>
      </c>
      <c r="K86" s="59">
        <v>300</v>
      </c>
      <c r="L86" s="56">
        <f t="shared" si="12"/>
        <v>1150</v>
      </c>
      <c r="M86" s="66">
        <v>400</v>
      </c>
      <c r="N86" s="56">
        <f>100</f>
        <v>100</v>
      </c>
      <c r="O86" s="59">
        <v>240</v>
      </c>
      <c r="P86" s="59">
        <v>40</v>
      </c>
      <c r="Q86" s="59">
        <f t="shared" si="13"/>
        <v>315</v>
      </c>
      <c r="R86" s="59">
        <f t="shared" si="14"/>
        <v>100</v>
      </c>
      <c r="S86" s="56">
        <f t="shared" si="15"/>
        <v>695</v>
      </c>
      <c r="T86" s="56">
        <f>50</f>
        <v>50</v>
      </c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.75" x14ac:dyDescent="0.25">
      <c r="A87" s="16">
        <v>43922</v>
      </c>
      <c r="B87" s="69">
        <v>30</v>
      </c>
      <c r="C87" s="56">
        <f>141.293</f>
        <v>141.29300000000001</v>
      </c>
      <c r="D87" s="56">
        <f>267.993</f>
        <v>267.99299999999999</v>
      </c>
      <c r="E87" s="64">
        <f>115.016</f>
        <v>115.01600000000001</v>
      </c>
      <c r="F87" s="56">
        <f>314.698-40-25-60-100</f>
        <v>89.697999999999979</v>
      </c>
      <c r="G87" s="59">
        <v>40</v>
      </c>
      <c r="H87" s="56">
        <f t="shared" ref="H87:H93" si="16">25+60+100</f>
        <v>185</v>
      </c>
      <c r="I87" s="56">
        <f t="shared" si="8"/>
        <v>0</v>
      </c>
      <c r="J87" s="59">
        <v>100</v>
      </c>
      <c r="K87" s="59">
        <v>300</v>
      </c>
      <c r="L87" s="56">
        <f t="shared" si="12"/>
        <v>1239</v>
      </c>
      <c r="M87" s="66">
        <v>400</v>
      </c>
      <c r="N87" s="56">
        <f>100</f>
        <v>100</v>
      </c>
      <c r="O87" s="59">
        <v>240</v>
      </c>
      <c r="P87" s="59">
        <v>160</v>
      </c>
      <c r="Q87" s="59">
        <f t="shared" si="13"/>
        <v>195</v>
      </c>
      <c r="R87" s="59">
        <f t="shared" si="14"/>
        <v>100</v>
      </c>
      <c r="S87" s="56">
        <f t="shared" si="15"/>
        <v>695</v>
      </c>
      <c r="T87" s="56">
        <f>50</f>
        <v>50</v>
      </c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.75" x14ac:dyDescent="0.25">
      <c r="A88" s="16">
        <v>43952</v>
      </c>
      <c r="B88" s="69">
        <v>31</v>
      </c>
      <c r="C88" s="56">
        <f>194.205</f>
        <v>194.20500000000001</v>
      </c>
      <c r="D88" s="56">
        <f>267.466</f>
        <v>267.46600000000001</v>
      </c>
      <c r="E88" s="64">
        <f>133.845</f>
        <v>133.845</v>
      </c>
      <c r="F88" s="56">
        <f>278.484-40-25-60-100</f>
        <v>53.48399999999998</v>
      </c>
      <c r="G88" s="59">
        <v>40</v>
      </c>
      <c r="H88" s="56">
        <f t="shared" si="16"/>
        <v>185</v>
      </c>
      <c r="I88" s="56">
        <f t="shared" si="8"/>
        <v>0</v>
      </c>
      <c r="J88" s="59">
        <v>100</v>
      </c>
      <c r="K88" s="59">
        <v>300</v>
      </c>
      <c r="L88" s="56">
        <f t="shared" si="12"/>
        <v>1274</v>
      </c>
      <c r="M88" s="66">
        <v>600</v>
      </c>
      <c r="N88" s="56">
        <f>75</f>
        <v>75</v>
      </c>
      <c r="O88" s="59">
        <v>240</v>
      </c>
      <c r="P88" s="59">
        <v>160</v>
      </c>
      <c r="Q88" s="59">
        <f t="shared" si="13"/>
        <v>195</v>
      </c>
      <c r="R88" s="59">
        <f t="shared" si="14"/>
        <v>100</v>
      </c>
      <c r="S88" s="56">
        <f t="shared" si="15"/>
        <v>695</v>
      </c>
      <c r="T88" s="56">
        <f>50</f>
        <v>50</v>
      </c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.75" x14ac:dyDescent="0.25">
      <c r="A89" s="16">
        <v>43983</v>
      </c>
      <c r="B89" s="69">
        <v>30</v>
      </c>
      <c r="C89" s="56">
        <f>194.205</f>
        <v>194.20500000000001</v>
      </c>
      <c r="D89" s="56">
        <f>267.466</f>
        <v>267.46600000000001</v>
      </c>
      <c r="E89" s="64">
        <f>133.845</f>
        <v>133.845</v>
      </c>
      <c r="F89" s="56">
        <f>278.484-40-25-60-100</f>
        <v>53.48399999999998</v>
      </c>
      <c r="G89" s="59">
        <v>40</v>
      </c>
      <c r="H89" s="56">
        <f t="shared" si="16"/>
        <v>185</v>
      </c>
      <c r="I89" s="56">
        <f t="shared" si="8"/>
        <v>0</v>
      </c>
      <c r="J89" s="59">
        <v>100</v>
      </c>
      <c r="K89" s="59">
        <v>300</v>
      </c>
      <c r="L89" s="56">
        <f t="shared" si="12"/>
        <v>1274</v>
      </c>
      <c r="M89" s="66">
        <v>600</v>
      </c>
      <c r="N89" s="56">
        <f>30</f>
        <v>30</v>
      </c>
      <c r="O89" s="59">
        <v>240</v>
      </c>
      <c r="P89" s="59">
        <v>160</v>
      </c>
      <c r="Q89" s="59">
        <f t="shared" si="13"/>
        <v>195</v>
      </c>
      <c r="R89" s="59">
        <f t="shared" si="14"/>
        <v>100</v>
      </c>
      <c r="S89" s="56">
        <f t="shared" si="15"/>
        <v>695</v>
      </c>
      <c r="T89" s="56">
        <f>50</f>
        <v>50</v>
      </c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.75" x14ac:dyDescent="0.25">
      <c r="A90" s="16">
        <v>44013</v>
      </c>
      <c r="B90" s="69">
        <v>31</v>
      </c>
      <c r="C90" s="56">
        <f>194.205</f>
        <v>194.20500000000001</v>
      </c>
      <c r="D90" s="56">
        <f>267.466</f>
        <v>267.46600000000001</v>
      </c>
      <c r="E90" s="64">
        <f>133.845</f>
        <v>133.845</v>
      </c>
      <c r="F90" s="56">
        <f>278.484-40-25-60-100</f>
        <v>53.48399999999998</v>
      </c>
      <c r="G90" s="59">
        <v>40</v>
      </c>
      <c r="H90" s="56">
        <f t="shared" si="16"/>
        <v>185</v>
      </c>
      <c r="I90" s="56">
        <f t="shared" si="8"/>
        <v>0</v>
      </c>
      <c r="J90" s="59">
        <v>100</v>
      </c>
      <c r="K90" s="59">
        <v>300</v>
      </c>
      <c r="L90" s="56">
        <f t="shared" si="12"/>
        <v>1274</v>
      </c>
      <c r="M90" s="66">
        <v>600</v>
      </c>
      <c r="N90" s="56">
        <f>30</f>
        <v>30</v>
      </c>
      <c r="O90" s="59">
        <v>240</v>
      </c>
      <c r="P90" s="59">
        <v>160</v>
      </c>
      <c r="Q90" s="59">
        <f t="shared" si="13"/>
        <v>195</v>
      </c>
      <c r="R90" s="59">
        <f t="shared" si="14"/>
        <v>100</v>
      </c>
      <c r="S90" s="56">
        <f t="shared" si="15"/>
        <v>695</v>
      </c>
      <c r="T90" s="56">
        <f>0</f>
        <v>0</v>
      </c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.75" x14ac:dyDescent="0.25">
      <c r="A91" s="16">
        <v>44044</v>
      </c>
      <c r="B91" s="69">
        <v>31</v>
      </c>
      <c r="C91" s="56">
        <f>194.205</f>
        <v>194.20500000000001</v>
      </c>
      <c r="D91" s="56">
        <f>267.466</f>
        <v>267.46600000000001</v>
      </c>
      <c r="E91" s="64">
        <f>133.845</f>
        <v>133.845</v>
      </c>
      <c r="F91" s="56">
        <f>278.484-40-25-60-100</f>
        <v>53.48399999999998</v>
      </c>
      <c r="G91" s="59">
        <v>40</v>
      </c>
      <c r="H91" s="56">
        <f t="shared" si="16"/>
        <v>185</v>
      </c>
      <c r="I91" s="56">
        <f t="shared" si="8"/>
        <v>0</v>
      </c>
      <c r="J91" s="59">
        <v>100</v>
      </c>
      <c r="K91" s="59">
        <v>300</v>
      </c>
      <c r="L91" s="56">
        <f t="shared" si="12"/>
        <v>1274</v>
      </c>
      <c r="M91" s="66">
        <v>600</v>
      </c>
      <c r="N91" s="56">
        <f>30</f>
        <v>30</v>
      </c>
      <c r="O91" s="59">
        <v>240</v>
      </c>
      <c r="P91" s="59">
        <v>160</v>
      </c>
      <c r="Q91" s="59">
        <f t="shared" si="13"/>
        <v>195</v>
      </c>
      <c r="R91" s="59">
        <f t="shared" si="14"/>
        <v>100</v>
      </c>
      <c r="S91" s="56">
        <f t="shared" si="15"/>
        <v>695</v>
      </c>
      <c r="T91" s="56">
        <f>0</f>
        <v>0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.75" x14ac:dyDescent="0.25">
      <c r="A92" s="16">
        <v>44075</v>
      </c>
      <c r="B92" s="69">
        <v>30</v>
      </c>
      <c r="C92" s="56">
        <f>194.205</f>
        <v>194.20500000000001</v>
      </c>
      <c r="D92" s="56">
        <f>267.466</f>
        <v>267.46600000000001</v>
      </c>
      <c r="E92" s="64">
        <f>133.845</f>
        <v>133.845</v>
      </c>
      <c r="F92" s="56">
        <f>278.484-40-25-60-100</f>
        <v>53.48399999999998</v>
      </c>
      <c r="G92" s="59">
        <v>40</v>
      </c>
      <c r="H92" s="56">
        <f t="shared" si="16"/>
        <v>185</v>
      </c>
      <c r="I92" s="56">
        <f t="shared" si="8"/>
        <v>0</v>
      </c>
      <c r="J92" s="59">
        <v>100</v>
      </c>
      <c r="K92" s="59">
        <v>300</v>
      </c>
      <c r="L92" s="56">
        <f t="shared" si="12"/>
        <v>1274</v>
      </c>
      <c r="M92" s="66">
        <v>600</v>
      </c>
      <c r="N92" s="56">
        <f>30</f>
        <v>30</v>
      </c>
      <c r="O92" s="59">
        <v>240</v>
      </c>
      <c r="P92" s="59">
        <v>160</v>
      </c>
      <c r="Q92" s="59">
        <f t="shared" si="13"/>
        <v>195</v>
      </c>
      <c r="R92" s="59">
        <f t="shared" si="14"/>
        <v>100</v>
      </c>
      <c r="S92" s="56">
        <f t="shared" si="15"/>
        <v>695</v>
      </c>
      <c r="T92" s="56">
        <f>0</f>
        <v>0</v>
      </c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.75" x14ac:dyDescent="0.25">
      <c r="A93" s="16">
        <v>44105</v>
      </c>
      <c r="B93" s="69">
        <v>31</v>
      </c>
      <c r="C93" s="56">
        <f>131.881</f>
        <v>131.881</v>
      </c>
      <c r="D93" s="56">
        <f>277.167</f>
        <v>277.16699999999997</v>
      </c>
      <c r="E93" s="64">
        <f>79.08</f>
        <v>79.08</v>
      </c>
      <c r="F93" s="56">
        <f>350.872-40-25-60-100</f>
        <v>125.87200000000001</v>
      </c>
      <c r="G93" s="59">
        <v>40</v>
      </c>
      <c r="H93" s="56">
        <f t="shared" si="16"/>
        <v>185</v>
      </c>
      <c r="I93" s="56">
        <f t="shared" si="8"/>
        <v>0</v>
      </c>
      <c r="J93" s="59">
        <v>100</v>
      </c>
      <c r="K93" s="59">
        <v>300</v>
      </c>
      <c r="L93" s="56">
        <f t="shared" si="12"/>
        <v>1239</v>
      </c>
      <c r="M93" s="66">
        <v>600</v>
      </c>
      <c r="N93" s="56">
        <f>75</f>
        <v>75</v>
      </c>
      <c r="O93" s="59">
        <v>240</v>
      </c>
      <c r="P93" s="59">
        <v>160</v>
      </c>
      <c r="Q93" s="59">
        <f t="shared" si="13"/>
        <v>195</v>
      </c>
      <c r="R93" s="59">
        <f t="shared" si="14"/>
        <v>100</v>
      </c>
      <c r="S93" s="56">
        <f t="shared" si="15"/>
        <v>695</v>
      </c>
      <c r="T93" s="56">
        <f>0</f>
        <v>0</v>
      </c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.75" x14ac:dyDescent="0.25">
      <c r="A94" s="16">
        <v>44136</v>
      </c>
      <c r="B94" s="69">
        <v>30</v>
      </c>
      <c r="C94" s="56">
        <f>122.58</f>
        <v>122.58</v>
      </c>
      <c r="D94" s="56">
        <f>297.941</f>
        <v>297.94099999999997</v>
      </c>
      <c r="E94" s="64">
        <f>89.177</f>
        <v>89.177000000000007</v>
      </c>
      <c r="F94" s="56">
        <f>240.302-40-60-100</f>
        <v>40.301999999999992</v>
      </c>
      <c r="G94" s="59">
        <v>40</v>
      </c>
      <c r="H94" s="56">
        <f>60+100</f>
        <v>160</v>
      </c>
      <c r="I94" s="56">
        <f t="shared" si="8"/>
        <v>0</v>
      </c>
      <c r="J94" s="59">
        <v>100</v>
      </c>
      <c r="K94" s="59">
        <v>300</v>
      </c>
      <c r="L94" s="56">
        <f t="shared" si="12"/>
        <v>1150</v>
      </c>
      <c r="M94" s="66">
        <v>600</v>
      </c>
      <c r="N94" s="56">
        <f>100</f>
        <v>100</v>
      </c>
      <c r="O94" s="59">
        <v>240</v>
      </c>
      <c r="P94" s="59">
        <v>40</v>
      </c>
      <c r="Q94" s="59">
        <f t="shared" si="13"/>
        <v>315</v>
      </c>
      <c r="R94" s="59">
        <f t="shared" si="14"/>
        <v>100</v>
      </c>
      <c r="S94" s="56">
        <f t="shared" si="15"/>
        <v>695</v>
      </c>
      <c r="T94" s="56">
        <f>50</f>
        <v>50</v>
      </c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.75" x14ac:dyDescent="0.25">
      <c r="A95" s="16">
        <v>44166</v>
      </c>
      <c r="B95" s="69">
        <v>31</v>
      </c>
      <c r="C95" s="56">
        <f>122.58</f>
        <v>122.58</v>
      </c>
      <c r="D95" s="56">
        <f>297.941</f>
        <v>297.94099999999997</v>
      </c>
      <c r="E95" s="64">
        <f>89.177</f>
        <v>89.177000000000007</v>
      </c>
      <c r="F95" s="56">
        <f>240.302-40-60-100</f>
        <v>40.301999999999992</v>
      </c>
      <c r="G95" s="59">
        <v>40</v>
      </c>
      <c r="H95" s="56">
        <f>60+100</f>
        <v>160</v>
      </c>
      <c r="I95" s="56">
        <f t="shared" si="8"/>
        <v>0</v>
      </c>
      <c r="J95" s="59">
        <v>100</v>
      </c>
      <c r="K95" s="59">
        <v>300</v>
      </c>
      <c r="L95" s="56">
        <f t="shared" si="12"/>
        <v>1150</v>
      </c>
      <c r="M95" s="66">
        <v>600</v>
      </c>
      <c r="N95" s="56">
        <f>100</f>
        <v>100</v>
      </c>
      <c r="O95" s="59">
        <v>240</v>
      </c>
      <c r="P95" s="59">
        <v>40</v>
      </c>
      <c r="Q95" s="59">
        <f t="shared" si="13"/>
        <v>315</v>
      </c>
      <c r="R95" s="59">
        <f t="shared" si="14"/>
        <v>100</v>
      </c>
      <c r="S95" s="56">
        <f t="shared" si="15"/>
        <v>695</v>
      </c>
      <c r="T95" s="56">
        <f>50</f>
        <v>50</v>
      </c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.75" x14ac:dyDescent="0.25">
      <c r="A96" s="16">
        <v>44197</v>
      </c>
      <c r="B96" s="69">
        <v>31</v>
      </c>
      <c r="C96" s="56">
        <f>122.58</f>
        <v>122.58</v>
      </c>
      <c r="D96" s="56">
        <f>297.941</f>
        <v>297.94099999999997</v>
      </c>
      <c r="E96" s="64">
        <f>89.177</f>
        <v>89.177000000000007</v>
      </c>
      <c r="F96" s="56">
        <f>240.302-40-60-100</f>
        <v>40.301999999999992</v>
      </c>
      <c r="G96" s="59">
        <v>40</v>
      </c>
      <c r="H96" s="56">
        <f>60+100</f>
        <v>160</v>
      </c>
      <c r="I96" s="56">
        <f t="shared" si="8"/>
        <v>0</v>
      </c>
      <c r="J96" s="59">
        <v>100</v>
      </c>
      <c r="K96" s="59">
        <v>300</v>
      </c>
      <c r="L96" s="56">
        <f t="shared" si="12"/>
        <v>1150</v>
      </c>
      <c r="M96" s="66">
        <v>600</v>
      </c>
      <c r="N96" s="56">
        <f>100</f>
        <v>100</v>
      </c>
      <c r="O96" s="59">
        <v>240</v>
      </c>
      <c r="P96" s="59">
        <v>40</v>
      </c>
      <c r="Q96" s="59">
        <f t="shared" si="13"/>
        <v>315</v>
      </c>
      <c r="R96" s="59">
        <f t="shared" si="14"/>
        <v>100</v>
      </c>
      <c r="S96" s="56">
        <f t="shared" si="15"/>
        <v>695</v>
      </c>
      <c r="T96" s="56">
        <f>50</f>
        <v>50</v>
      </c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.75" x14ac:dyDescent="0.25">
      <c r="A97" s="16">
        <v>44228</v>
      </c>
      <c r="B97" s="69">
        <v>28</v>
      </c>
      <c r="C97" s="56">
        <f>122.58</f>
        <v>122.58</v>
      </c>
      <c r="D97" s="56">
        <f>297.941</f>
        <v>297.94099999999997</v>
      </c>
      <c r="E97" s="64">
        <f>89.177</f>
        <v>89.177000000000007</v>
      </c>
      <c r="F97" s="56">
        <f>240.302-40-60-100</f>
        <v>40.301999999999992</v>
      </c>
      <c r="G97" s="59">
        <v>40</v>
      </c>
      <c r="H97" s="56">
        <f>60+100</f>
        <v>160</v>
      </c>
      <c r="I97" s="56">
        <f t="shared" si="8"/>
        <v>0</v>
      </c>
      <c r="J97" s="59">
        <v>100</v>
      </c>
      <c r="K97" s="59">
        <v>300</v>
      </c>
      <c r="L97" s="56">
        <f t="shared" si="12"/>
        <v>1150</v>
      </c>
      <c r="M97" s="66">
        <v>600</v>
      </c>
      <c r="N97" s="56">
        <f>100</f>
        <v>100</v>
      </c>
      <c r="O97" s="59">
        <v>240</v>
      </c>
      <c r="P97" s="59">
        <v>40</v>
      </c>
      <c r="Q97" s="59">
        <f t="shared" si="13"/>
        <v>315</v>
      </c>
      <c r="R97" s="59">
        <f t="shared" si="14"/>
        <v>100</v>
      </c>
      <c r="S97" s="56">
        <f t="shared" si="15"/>
        <v>695</v>
      </c>
      <c r="T97" s="56">
        <f>50</f>
        <v>50</v>
      </c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.75" x14ac:dyDescent="0.25">
      <c r="A98" s="16">
        <v>44256</v>
      </c>
      <c r="B98" s="69">
        <v>31</v>
      </c>
      <c r="C98" s="56">
        <f>122.58</f>
        <v>122.58</v>
      </c>
      <c r="D98" s="56">
        <f>297.941</f>
        <v>297.94099999999997</v>
      </c>
      <c r="E98" s="64">
        <f>89.177</f>
        <v>89.177000000000007</v>
      </c>
      <c r="F98" s="56">
        <f>240.302-40-60-100</f>
        <v>40.301999999999992</v>
      </c>
      <c r="G98" s="59">
        <v>40</v>
      </c>
      <c r="H98" s="56">
        <f>60+100</f>
        <v>160</v>
      </c>
      <c r="I98" s="56">
        <f t="shared" si="8"/>
        <v>0</v>
      </c>
      <c r="J98" s="59">
        <v>100</v>
      </c>
      <c r="K98" s="59">
        <v>300</v>
      </c>
      <c r="L98" s="56">
        <f t="shared" si="12"/>
        <v>1150</v>
      </c>
      <c r="M98" s="66">
        <v>600</v>
      </c>
      <c r="N98" s="56">
        <f>100</f>
        <v>100</v>
      </c>
      <c r="O98" s="59">
        <v>240</v>
      </c>
      <c r="P98" s="59">
        <v>40</v>
      </c>
      <c r="Q98" s="59">
        <f t="shared" si="13"/>
        <v>315</v>
      </c>
      <c r="R98" s="59">
        <f t="shared" si="14"/>
        <v>100</v>
      </c>
      <c r="S98" s="56">
        <f t="shared" si="15"/>
        <v>695</v>
      </c>
      <c r="T98" s="56">
        <f>50</f>
        <v>50</v>
      </c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.75" x14ac:dyDescent="0.25">
      <c r="A99" s="16">
        <v>44287</v>
      </c>
      <c r="B99" s="69">
        <v>30</v>
      </c>
      <c r="C99" s="56">
        <f>141.293</f>
        <v>141.29300000000001</v>
      </c>
      <c r="D99" s="56">
        <f>267.993</f>
        <v>267.99299999999999</v>
      </c>
      <c r="E99" s="64">
        <f>115.016</f>
        <v>115.01600000000001</v>
      </c>
      <c r="F99" s="56">
        <f>314.698-40-25-60-100</f>
        <v>89.697999999999979</v>
      </c>
      <c r="G99" s="59">
        <v>40</v>
      </c>
      <c r="H99" s="56">
        <f t="shared" ref="H99:H105" si="17">25+60+100</f>
        <v>185</v>
      </c>
      <c r="I99" s="56">
        <f t="shared" si="8"/>
        <v>0</v>
      </c>
      <c r="J99" s="59">
        <v>100</v>
      </c>
      <c r="K99" s="59">
        <v>300</v>
      </c>
      <c r="L99" s="56">
        <f t="shared" si="12"/>
        <v>1239</v>
      </c>
      <c r="M99" s="66">
        <v>600</v>
      </c>
      <c r="N99" s="56">
        <f>100</f>
        <v>100</v>
      </c>
      <c r="O99" s="59">
        <v>240</v>
      </c>
      <c r="P99" s="59">
        <v>160</v>
      </c>
      <c r="Q99" s="59">
        <f t="shared" si="13"/>
        <v>195</v>
      </c>
      <c r="R99" s="59">
        <f t="shared" si="14"/>
        <v>100</v>
      </c>
      <c r="S99" s="56">
        <f t="shared" si="15"/>
        <v>695</v>
      </c>
      <c r="T99" s="56">
        <f>50</f>
        <v>50</v>
      </c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.75" x14ac:dyDescent="0.25">
      <c r="A100" s="16">
        <v>44317</v>
      </c>
      <c r="B100" s="69">
        <v>31</v>
      </c>
      <c r="C100" s="56">
        <f>194.205</f>
        <v>194.20500000000001</v>
      </c>
      <c r="D100" s="56">
        <f>267.466</f>
        <v>267.46600000000001</v>
      </c>
      <c r="E100" s="64">
        <f>133.845</f>
        <v>133.845</v>
      </c>
      <c r="F100" s="56">
        <f>278.484-40-25-60-100</f>
        <v>53.48399999999998</v>
      </c>
      <c r="G100" s="59">
        <v>40</v>
      </c>
      <c r="H100" s="56">
        <f t="shared" si="17"/>
        <v>185</v>
      </c>
      <c r="I100" s="56">
        <f t="shared" si="8"/>
        <v>0</v>
      </c>
      <c r="J100" s="59">
        <v>100</v>
      </c>
      <c r="K100" s="59">
        <v>300</v>
      </c>
      <c r="L100" s="56">
        <f t="shared" si="12"/>
        <v>1274</v>
      </c>
      <c r="M100" s="66">
        <v>600</v>
      </c>
      <c r="N100" s="56">
        <f>75</f>
        <v>75</v>
      </c>
      <c r="O100" s="59">
        <v>240</v>
      </c>
      <c r="P100" s="59">
        <v>160</v>
      </c>
      <c r="Q100" s="59">
        <f t="shared" si="13"/>
        <v>195</v>
      </c>
      <c r="R100" s="59">
        <f t="shared" si="14"/>
        <v>100</v>
      </c>
      <c r="S100" s="56">
        <f t="shared" si="15"/>
        <v>695</v>
      </c>
      <c r="T100" s="56">
        <f>50</f>
        <v>50</v>
      </c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.75" x14ac:dyDescent="0.25">
      <c r="A101" s="16">
        <v>44348</v>
      </c>
      <c r="B101" s="69">
        <v>30</v>
      </c>
      <c r="C101" s="56">
        <f>194.205</f>
        <v>194.20500000000001</v>
      </c>
      <c r="D101" s="56">
        <f>267.466</f>
        <v>267.46600000000001</v>
      </c>
      <c r="E101" s="64">
        <f>133.845</f>
        <v>133.845</v>
      </c>
      <c r="F101" s="56">
        <f>278.484-40-25-60-100</f>
        <v>53.48399999999998</v>
      </c>
      <c r="G101" s="59">
        <v>40</v>
      </c>
      <c r="H101" s="56">
        <f t="shared" si="17"/>
        <v>185</v>
      </c>
      <c r="I101" s="56">
        <f t="shared" si="8"/>
        <v>0</v>
      </c>
      <c r="J101" s="59">
        <v>100</v>
      </c>
      <c r="K101" s="59">
        <v>300</v>
      </c>
      <c r="L101" s="56">
        <f t="shared" si="12"/>
        <v>1274</v>
      </c>
      <c r="M101" s="66">
        <v>600</v>
      </c>
      <c r="N101" s="56">
        <f>30</f>
        <v>30</v>
      </c>
      <c r="O101" s="59">
        <v>240</v>
      </c>
      <c r="P101" s="59">
        <v>160</v>
      </c>
      <c r="Q101" s="59">
        <f t="shared" si="13"/>
        <v>195</v>
      </c>
      <c r="R101" s="59">
        <f t="shared" si="14"/>
        <v>100</v>
      </c>
      <c r="S101" s="56">
        <f t="shared" si="15"/>
        <v>695</v>
      </c>
      <c r="T101" s="56">
        <f>50</f>
        <v>50</v>
      </c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.75" x14ac:dyDescent="0.25">
      <c r="A102" s="16">
        <v>44378</v>
      </c>
      <c r="B102" s="69">
        <v>31</v>
      </c>
      <c r="C102" s="56">
        <f>194.205</f>
        <v>194.20500000000001</v>
      </c>
      <c r="D102" s="56">
        <f>267.466</f>
        <v>267.46600000000001</v>
      </c>
      <c r="E102" s="64">
        <f>133.845</f>
        <v>133.845</v>
      </c>
      <c r="F102" s="56">
        <f>278.484-40-25-60-100</f>
        <v>53.48399999999998</v>
      </c>
      <c r="G102" s="59">
        <v>40</v>
      </c>
      <c r="H102" s="56">
        <f t="shared" si="17"/>
        <v>185</v>
      </c>
      <c r="I102" s="56">
        <f t="shared" si="8"/>
        <v>0</v>
      </c>
      <c r="J102" s="59">
        <v>100</v>
      </c>
      <c r="K102" s="59">
        <v>300</v>
      </c>
      <c r="L102" s="56">
        <f t="shared" si="12"/>
        <v>1274</v>
      </c>
      <c r="M102" s="66">
        <v>600</v>
      </c>
      <c r="N102" s="56">
        <f>30</f>
        <v>30</v>
      </c>
      <c r="O102" s="59">
        <v>240</v>
      </c>
      <c r="P102" s="59">
        <v>160</v>
      </c>
      <c r="Q102" s="59">
        <f t="shared" si="13"/>
        <v>195</v>
      </c>
      <c r="R102" s="59">
        <f t="shared" si="14"/>
        <v>100</v>
      </c>
      <c r="S102" s="56">
        <f t="shared" si="15"/>
        <v>695</v>
      </c>
      <c r="T102" s="56">
        <f>0</f>
        <v>0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.75" x14ac:dyDescent="0.25">
      <c r="A103" s="16">
        <v>44409</v>
      </c>
      <c r="B103" s="69">
        <v>31</v>
      </c>
      <c r="C103" s="56">
        <f>194.205</f>
        <v>194.20500000000001</v>
      </c>
      <c r="D103" s="56">
        <f>267.466</f>
        <v>267.46600000000001</v>
      </c>
      <c r="E103" s="64">
        <f>133.845</f>
        <v>133.845</v>
      </c>
      <c r="F103" s="56">
        <f>278.484-40-25-60-100</f>
        <v>53.48399999999998</v>
      </c>
      <c r="G103" s="59">
        <v>40</v>
      </c>
      <c r="H103" s="56">
        <f t="shared" si="17"/>
        <v>185</v>
      </c>
      <c r="I103" s="56">
        <f t="shared" si="8"/>
        <v>0</v>
      </c>
      <c r="J103" s="59">
        <v>100</v>
      </c>
      <c r="K103" s="59">
        <v>300</v>
      </c>
      <c r="L103" s="56">
        <f t="shared" si="12"/>
        <v>1274</v>
      </c>
      <c r="M103" s="66">
        <v>600</v>
      </c>
      <c r="N103" s="56">
        <f>30</f>
        <v>30</v>
      </c>
      <c r="O103" s="59">
        <v>240</v>
      </c>
      <c r="P103" s="59">
        <v>160</v>
      </c>
      <c r="Q103" s="59">
        <f t="shared" si="13"/>
        <v>195</v>
      </c>
      <c r="R103" s="59">
        <f t="shared" si="14"/>
        <v>100</v>
      </c>
      <c r="S103" s="56">
        <f t="shared" si="15"/>
        <v>695</v>
      </c>
      <c r="T103" s="56">
        <f>0</f>
        <v>0</v>
      </c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.75" x14ac:dyDescent="0.25">
      <c r="A104" s="16">
        <v>44440</v>
      </c>
      <c r="B104" s="69">
        <v>30</v>
      </c>
      <c r="C104" s="56">
        <f>194.205</f>
        <v>194.20500000000001</v>
      </c>
      <c r="D104" s="56">
        <f>267.466</f>
        <v>267.46600000000001</v>
      </c>
      <c r="E104" s="64">
        <f>133.845</f>
        <v>133.845</v>
      </c>
      <c r="F104" s="56">
        <f>278.484-40-25-60-100</f>
        <v>53.48399999999998</v>
      </c>
      <c r="G104" s="59">
        <v>40</v>
      </c>
      <c r="H104" s="56">
        <f t="shared" si="17"/>
        <v>185</v>
      </c>
      <c r="I104" s="56">
        <f t="shared" ref="I104:I167" si="18">400-J104-K104</f>
        <v>0</v>
      </c>
      <c r="J104" s="59">
        <v>100</v>
      </c>
      <c r="K104" s="59">
        <v>300</v>
      </c>
      <c r="L104" s="56">
        <f t="shared" si="12"/>
        <v>1274</v>
      </c>
      <c r="M104" s="66">
        <v>600</v>
      </c>
      <c r="N104" s="56">
        <f>30</f>
        <v>30</v>
      </c>
      <c r="O104" s="59">
        <v>240</v>
      </c>
      <c r="P104" s="59">
        <v>160</v>
      </c>
      <c r="Q104" s="59">
        <f t="shared" si="13"/>
        <v>195</v>
      </c>
      <c r="R104" s="59">
        <f t="shared" si="14"/>
        <v>100</v>
      </c>
      <c r="S104" s="56">
        <f t="shared" si="15"/>
        <v>695</v>
      </c>
      <c r="T104" s="56">
        <f>0</f>
        <v>0</v>
      </c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.75" x14ac:dyDescent="0.25">
      <c r="A105" s="16">
        <v>44470</v>
      </c>
      <c r="B105" s="69">
        <v>31</v>
      </c>
      <c r="C105" s="56">
        <f>131.881</f>
        <v>131.881</v>
      </c>
      <c r="D105" s="56">
        <f>277.167</f>
        <v>277.16699999999997</v>
      </c>
      <c r="E105" s="64">
        <f>79.08</f>
        <v>79.08</v>
      </c>
      <c r="F105" s="56">
        <f>350.872-40-25-60-100</f>
        <v>125.87200000000001</v>
      </c>
      <c r="G105" s="59">
        <v>40</v>
      </c>
      <c r="H105" s="56">
        <f t="shared" si="17"/>
        <v>185</v>
      </c>
      <c r="I105" s="56">
        <f t="shared" si="18"/>
        <v>0</v>
      </c>
      <c r="J105" s="59">
        <v>100</v>
      </c>
      <c r="K105" s="59">
        <v>300</v>
      </c>
      <c r="L105" s="56">
        <f t="shared" si="12"/>
        <v>1239</v>
      </c>
      <c r="M105" s="66">
        <v>600</v>
      </c>
      <c r="N105" s="56">
        <f>75</f>
        <v>75</v>
      </c>
      <c r="O105" s="59">
        <v>240</v>
      </c>
      <c r="P105" s="59">
        <v>160</v>
      </c>
      <c r="Q105" s="59">
        <f t="shared" si="13"/>
        <v>195</v>
      </c>
      <c r="R105" s="59">
        <f t="shared" si="14"/>
        <v>100</v>
      </c>
      <c r="S105" s="56">
        <f t="shared" si="15"/>
        <v>695</v>
      </c>
      <c r="T105" s="56">
        <f>0</f>
        <v>0</v>
      </c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.75" x14ac:dyDescent="0.25">
      <c r="A106" s="16">
        <v>44501</v>
      </c>
      <c r="B106" s="69">
        <v>30</v>
      </c>
      <c r="C106" s="56">
        <f>122.58</f>
        <v>122.58</v>
      </c>
      <c r="D106" s="56">
        <f>297.941</f>
        <v>297.94099999999997</v>
      </c>
      <c r="E106" s="64">
        <f>89.177</f>
        <v>89.177000000000007</v>
      </c>
      <c r="F106" s="56">
        <f>240.302-40-60-100</f>
        <v>40.301999999999992</v>
      </c>
      <c r="G106" s="59">
        <v>40</v>
      </c>
      <c r="H106" s="56">
        <f>60+100</f>
        <v>160</v>
      </c>
      <c r="I106" s="56">
        <f t="shared" si="18"/>
        <v>0</v>
      </c>
      <c r="J106" s="59">
        <v>100</v>
      </c>
      <c r="K106" s="59">
        <v>300</v>
      </c>
      <c r="L106" s="56">
        <f t="shared" si="12"/>
        <v>1150</v>
      </c>
      <c r="M106" s="66">
        <v>600</v>
      </c>
      <c r="N106" s="56">
        <f>100</f>
        <v>100</v>
      </c>
      <c r="O106" s="59">
        <v>240</v>
      </c>
      <c r="P106" s="59">
        <v>40</v>
      </c>
      <c r="Q106" s="59">
        <f t="shared" si="13"/>
        <v>315</v>
      </c>
      <c r="R106" s="59">
        <f t="shared" si="14"/>
        <v>100</v>
      </c>
      <c r="S106" s="56">
        <f t="shared" si="15"/>
        <v>695</v>
      </c>
      <c r="T106" s="56">
        <f>50</f>
        <v>50</v>
      </c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.75" x14ac:dyDescent="0.25">
      <c r="A107" s="16">
        <v>44531</v>
      </c>
      <c r="B107" s="69">
        <v>31</v>
      </c>
      <c r="C107" s="56">
        <f>122.58</f>
        <v>122.58</v>
      </c>
      <c r="D107" s="56">
        <f>297.941</f>
        <v>297.94099999999997</v>
      </c>
      <c r="E107" s="64">
        <f>89.177</f>
        <v>89.177000000000007</v>
      </c>
      <c r="F107" s="56">
        <f>240.302-40-60-100</f>
        <v>40.301999999999992</v>
      </c>
      <c r="G107" s="59">
        <v>40</v>
      </c>
      <c r="H107" s="56">
        <f>60+100</f>
        <v>160</v>
      </c>
      <c r="I107" s="56">
        <f t="shared" si="18"/>
        <v>0</v>
      </c>
      <c r="J107" s="59">
        <v>100</v>
      </c>
      <c r="K107" s="59">
        <v>300</v>
      </c>
      <c r="L107" s="56">
        <f t="shared" si="12"/>
        <v>1150</v>
      </c>
      <c r="M107" s="66">
        <v>600</v>
      </c>
      <c r="N107" s="56">
        <f>100</f>
        <v>100</v>
      </c>
      <c r="O107" s="59">
        <v>240</v>
      </c>
      <c r="P107" s="59">
        <v>40</v>
      </c>
      <c r="Q107" s="59">
        <f t="shared" si="13"/>
        <v>315</v>
      </c>
      <c r="R107" s="59">
        <f t="shared" si="14"/>
        <v>100</v>
      </c>
      <c r="S107" s="56">
        <f t="shared" si="15"/>
        <v>695</v>
      </c>
      <c r="T107" s="56">
        <f>50</f>
        <v>50</v>
      </c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.75" x14ac:dyDescent="0.25">
      <c r="A108" s="16">
        <v>44562</v>
      </c>
      <c r="B108" s="69">
        <v>31</v>
      </c>
      <c r="C108" s="56">
        <f>122.58</f>
        <v>122.58</v>
      </c>
      <c r="D108" s="56">
        <f>297.941</f>
        <v>297.94099999999997</v>
      </c>
      <c r="E108" s="64">
        <f>89.177</f>
        <v>89.177000000000007</v>
      </c>
      <c r="F108" s="56">
        <f>240.302-40-60-100</f>
        <v>40.301999999999992</v>
      </c>
      <c r="G108" s="59">
        <v>40</v>
      </c>
      <c r="H108" s="56">
        <f>60+100</f>
        <v>160</v>
      </c>
      <c r="I108" s="56">
        <f t="shared" si="18"/>
        <v>0</v>
      </c>
      <c r="J108" s="59">
        <v>100</v>
      </c>
      <c r="K108" s="59">
        <v>300</v>
      </c>
      <c r="L108" s="56">
        <f t="shared" si="12"/>
        <v>1150</v>
      </c>
      <c r="M108" s="66">
        <v>600</v>
      </c>
      <c r="N108" s="56">
        <f>100</f>
        <v>100</v>
      </c>
      <c r="O108" s="59">
        <v>240</v>
      </c>
      <c r="P108" s="59">
        <v>40</v>
      </c>
      <c r="Q108" s="59">
        <f t="shared" si="13"/>
        <v>315</v>
      </c>
      <c r="R108" s="59">
        <f t="shared" si="14"/>
        <v>100</v>
      </c>
      <c r="S108" s="56">
        <f t="shared" si="15"/>
        <v>695</v>
      </c>
      <c r="T108" s="56">
        <f>50</f>
        <v>50</v>
      </c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.75" x14ac:dyDescent="0.25">
      <c r="A109" s="16">
        <v>44593</v>
      </c>
      <c r="B109" s="69">
        <v>28</v>
      </c>
      <c r="C109" s="56">
        <f>122.58</f>
        <v>122.58</v>
      </c>
      <c r="D109" s="56">
        <f>297.941</f>
        <v>297.94099999999997</v>
      </c>
      <c r="E109" s="64">
        <f>89.177</f>
        <v>89.177000000000007</v>
      </c>
      <c r="F109" s="56">
        <f>240.302-40-60-100</f>
        <v>40.301999999999992</v>
      </c>
      <c r="G109" s="59">
        <v>40</v>
      </c>
      <c r="H109" s="56">
        <f>60+100</f>
        <v>160</v>
      </c>
      <c r="I109" s="56">
        <f t="shared" si="18"/>
        <v>0</v>
      </c>
      <c r="J109" s="59">
        <v>100</v>
      </c>
      <c r="K109" s="59">
        <v>300</v>
      </c>
      <c r="L109" s="56">
        <f t="shared" si="12"/>
        <v>1150</v>
      </c>
      <c r="M109" s="66">
        <v>600</v>
      </c>
      <c r="N109" s="56">
        <f>100</f>
        <v>100</v>
      </c>
      <c r="O109" s="59">
        <v>240</v>
      </c>
      <c r="P109" s="59">
        <v>40</v>
      </c>
      <c r="Q109" s="59">
        <f t="shared" si="13"/>
        <v>315</v>
      </c>
      <c r="R109" s="59">
        <f t="shared" si="14"/>
        <v>100</v>
      </c>
      <c r="S109" s="56">
        <f t="shared" si="15"/>
        <v>695</v>
      </c>
      <c r="T109" s="56">
        <f>50</f>
        <v>50</v>
      </c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.75" x14ac:dyDescent="0.25">
      <c r="A110" s="16">
        <v>44621</v>
      </c>
      <c r="B110" s="69">
        <v>31</v>
      </c>
      <c r="C110" s="56">
        <f>122.58</f>
        <v>122.58</v>
      </c>
      <c r="D110" s="56">
        <f>297.941</f>
        <v>297.94099999999997</v>
      </c>
      <c r="E110" s="64">
        <f>89.177</f>
        <v>89.177000000000007</v>
      </c>
      <c r="F110" s="56">
        <f>240.302-40-60-100</f>
        <v>40.301999999999992</v>
      </c>
      <c r="G110" s="59">
        <v>40</v>
      </c>
      <c r="H110" s="56">
        <f>60+100</f>
        <v>160</v>
      </c>
      <c r="I110" s="56">
        <f t="shared" si="18"/>
        <v>0</v>
      </c>
      <c r="J110" s="59">
        <v>100</v>
      </c>
      <c r="K110" s="59">
        <v>300</v>
      </c>
      <c r="L110" s="56">
        <f t="shared" si="12"/>
        <v>1150</v>
      </c>
      <c r="M110" s="66">
        <v>600</v>
      </c>
      <c r="N110" s="56">
        <f>100</f>
        <v>100</v>
      </c>
      <c r="O110" s="59">
        <v>240</v>
      </c>
      <c r="P110" s="59">
        <v>40</v>
      </c>
      <c r="Q110" s="59">
        <f t="shared" si="13"/>
        <v>315</v>
      </c>
      <c r="R110" s="59">
        <f t="shared" si="14"/>
        <v>100</v>
      </c>
      <c r="S110" s="56">
        <f t="shared" si="15"/>
        <v>695</v>
      </c>
      <c r="T110" s="56">
        <f>50</f>
        <v>50</v>
      </c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.75" x14ac:dyDescent="0.25">
      <c r="A111" s="16">
        <v>44652</v>
      </c>
      <c r="B111" s="69">
        <v>30</v>
      </c>
      <c r="C111" s="56">
        <f>141.293</f>
        <v>141.29300000000001</v>
      </c>
      <c r="D111" s="56">
        <f>267.993</f>
        <v>267.99299999999999</v>
      </c>
      <c r="E111" s="64">
        <f>115.016</f>
        <v>115.01600000000001</v>
      </c>
      <c r="F111" s="56">
        <f>314.698-40-25-60-100</f>
        <v>89.697999999999979</v>
      </c>
      <c r="G111" s="59">
        <v>40</v>
      </c>
      <c r="H111" s="56">
        <f t="shared" ref="H111:H117" si="19">25+60+100</f>
        <v>185</v>
      </c>
      <c r="I111" s="56">
        <f t="shared" si="18"/>
        <v>0</v>
      </c>
      <c r="J111" s="59">
        <v>100</v>
      </c>
      <c r="K111" s="59">
        <v>300</v>
      </c>
      <c r="L111" s="56">
        <f t="shared" si="12"/>
        <v>1239</v>
      </c>
      <c r="M111" s="66">
        <v>600</v>
      </c>
      <c r="N111" s="56">
        <f>100</f>
        <v>100</v>
      </c>
      <c r="O111" s="59">
        <v>240</v>
      </c>
      <c r="P111" s="59">
        <v>160</v>
      </c>
      <c r="Q111" s="59">
        <f t="shared" si="13"/>
        <v>195</v>
      </c>
      <c r="R111" s="59">
        <f t="shared" si="14"/>
        <v>100</v>
      </c>
      <c r="S111" s="56">
        <f t="shared" si="15"/>
        <v>695</v>
      </c>
      <c r="T111" s="56">
        <f>50</f>
        <v>50</v>
      </c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.75" x14ac:dyDescent="0.25">
      <c r="A112" s="16">
        <v>44682</v>
      </c>
      <c r="B112" s="69">
        <v>31</v>
      </c>
      <c r="C112" s="56">
        <f>194.205</f>
        <v>194.20500000000001</v>
      </c>
      <c r="D112" s="56">
        <f>267.466</f>
        <v>267.46600000000001</v>
      </c>
      <c r="E112" s="64">
        <f>133.845</f>
        <v>133.845</v>
      </c>
      <c r="F112" s="56">
        <f>278.484-40-25-60-100</f>
        <v>53.48399999999998</v>
      </c>
      <c r="G112" s="59">
        <v>40</v>
      </c>
      <c r="H112" s="56">
        <f t="shared" si="19"/>
        <v>185</v>
      </c>
      <c r="I112" s="56">
        <f t="shared" si="18"/>
        <v>0</v>
      </c>
      <c r="J112" s="59">
        <v>100</v>
      </c>
      <c r="K112" s="59">
        <v>300</v>
      </c>
      <c r="L112" s="56">
        <f t="shared" si="12"/>
        <v>1274</v>
      </c>
      <c r="M112" s="66">
        <v>600</v>
      </c>
      <c r="N112" s="56">
        <f>75</f>
        <v>75</v>
      </c>
      <c r="O112" s="59">
        <v>240</v>
      </c>
      <c r="P112" s="59">
        <v>160</v>
      </c>
      <c r="Q112" s="59">
        <f t="shared" si="13"/>
        <v>195</v>
      </c>
      <c r="R112" s="59">
        <f t="shared" si="14"/>
        <v>100</v>
      </c>
      <c r="S112" s="56">
        <f t="shared" si="15"/>
        <v>695</v>
      </c>
      <c r="T112" s="56">
        <f>50</f>
        <v>50</v>
      </c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.75" x14ac:dyDescent="0.25">
      <c r="A113" s="16">
        <v>44713</v>
      </c>
      <c r="B113" s="69">
        <v>30</v>
      </c>
      <c r="C113" s="56">
        <f>194.205</f>
        <v>194.20500000000001</v>
      </c>
      <c r="D113" s="56">
        <f>267.466</f>
        <v>267.46600000000001</v>
      </c>
      <c r="E113" s="64">
        <f>133.845</f>
        <v>133.845</v>
      </c>
      <c r="F113" s="56">
        <f>278.484-40-25-60-100</f>
        <v>53.48399999999998</v>
      </c>
      <c r="G113" s="59">
        <v>40</v>
      </c>
      <c r="H113" s="56">
        <f t="shared" si="19"/>
        <v>185</v>
      </c>
      <c r="I113" s="56">
        <f t="shared" si="18"/>
        <v>0</v>
      </c>
      <c r="J113" s="59">
        <v>100</v>
      </c>
      <c r="K113" s="59">
        <v>300</v>
      </c>
      <c r="L113" s="56">
        <f t="shared" si="12"/>
        <v>1274</v>
      </c>
      <c r="M113" s="66">
        <v>600</v>
      </c>
      <c r="N113" s="56">
        <f>30</f>
        <v>30</v>
      </c>
      <c r="O113" s="59">
        <v>240</v>
      </c>
      <c r="P113" s="59">
        <v>160</v>
      </c>
      <c r="Q113" s="59">
        <f t="shared" si="13"/>
        <v>195</v>
      </c>
      <c r="R113" s="59">
        <f t="shared" si="14"/>
        <v>100</v>
      </c>
      <c r="S113" s="56">
        <f t="shared" si="15"/>
        <v>695</v>
      </c>
      <c r="T113" s="56">
        <f>50</f>
        <v>50</v>
      </c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.75" x14ac:dyDescent="0.25">
      <c r="A114" s="16">
        <v>44743</v>
      </c>
      <c r="B114" s="69">
        <v>31</v>
      </c>
      <c r="C114" s="56">
        <f>194.205</f>
        <v>194.20500000000001</v>
      </c>
      <c r="D114" s="56">
        <f>267.466</f>
        <v>267.46600000000001</v>
      </c>
      <c r="E114" s="64">
        <f>133.845</f>
        <v>133.845</v>
      </c>
      <c r="F114" s="56">
        <f>278.484-40-25-60-100</f>
        <v>53.48399999999998</v>
      </c>
      <c r="G114" s="59">
        <v>40</v>
      </c>
      <c r="H114" s="56">
        <f t="shared" si="19"/>
        <v>185</v>
      </c>
      <c r="I114" s="56">
        <f t="shared" si="18"/>
        <v>0</v>
      </c>
      <c r="J114" s="59">
        <v>100</v>
      </c>
      <c r="K114" s="59">
        <v>300</v>
      </c>
      <c r="L114" s="56">
        <f t="shared" si="12"/>
        <v>1274</v>
      </c>
      <c r="M114" s="66">
        <v>600</v>
      </c>
      <c r="N114" s="56">
        <f>30</f>
        <v>30</v>
      </c>
      <c r="O114" s="59">
        <v>240</v>
      </c>
      <c r="P114" s="59">
        <v>160</v>
      </c>
      <c r="Q114" s="59">
        <f t="shared" si="13"/>
        <v>195</v>
      </c>
      <c r="R114" s="59">
        <f t="shared" si="14"/>
        <v>100</v>
      </c>
      <c r="S114" s="56">
        <f t="shared" si="15"/>
        <v>695</v>
      </c>
      <c r="T114" s="56">
        <f>0</f>
        <v>0</v>
      </c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.75" x14ac:dyDescent="0.25">
      <c r="A115" s="16">
        <v>44774</v>
      </c>
      <c r="B115" s="69">
        <v>31</v>
      </c>
      <c r="C115" s="56">
        <f>194.205</f>
        <v>194.20500000000001</v>
      </c>
      <c r="D115" s="56">
        <f>267.466</f>
        <v>267.46600000000001</v>
      </c>
      <c r="E115" s="64">
        <f>133.845</f>
        <v>133.845</v>
      </c>
      <c r="F115" s="56">
        <f>278.484-40-25-60-100</f>
        <v>53.48399999999998</v>
      </c>
      <c r="G115" s="59">
        <v>40</v>
      </c>
      <c r="H115" s="56">
        <f t="shared" si="19"/>
        <v>185</v>
      </c>
      <c r="I115" s="56">
        <f t="shared" si="18"/>
        <v>0</v>
      </c>
      <c r="J115" s="59">
        <v>100</v>
      </c>
      <c r="K115" s="59">
        <v>300</v>
      </c>
      <c r="L115" s="56">
        <f t="shared" si="12"/>
        <v>1274</v>
      </c>
      <c r="M115" s="66">
        <v>600</v>
      </c>
      <c r="N115" s="56">
        <f>30</f>
        <v>30</v>
      </c>
      <c r="O115" s="59">
        <v>240</v>
      </c>
      <c r="P115" s="59">
        <v>160</v>
      </c>
      <c r="Q115" s="59">
        <f t="shared" si="13"/>
        <v>195</v>
      </c>
      <c r="R115" s="59">
        <f t="shared" si="14"/>
        <v>100</v>
      </c>
      <c r="S115" s="56">
        <f t="shared" si="15"/>
        <v>695</v>
      </c>
      <c r="T115" s="56">
        <f>0</f>
        <v>0</v>
      </c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.75" x14ac:dyDescent="0.25">
      <c r="A116" s="16">
        <v>44805</v>
      </c>
      <c r="B116" s="69">
        <v>30</v>
      </c>
      <c r="C116" s="56">
        <f>194.205</f>
        <v>194.20500000000001</v>
      </c>
      <c r="D116" s="56">
        <f>267.466</f>
        <v>267.46600000000001</v>
      </c>
      <c r="E116" s="64">
        <f>133.845</f>
        <v>133.845</v>
      </c>
      <c r="F116" s="56">
        <f>278.484-40-25-60-100</f>
        <v>53.48399999999998</v>
      </c>
      <c r="G116" s="59">
        <v>40</v>
      </c>
      <c r="H116" s="56">
        <f t="shared" si="19"/>
        <v>185</v>
      </c>
      <c r="I116" s="56">
        <f t="shared" si="18"/>
        <v>0</v>
      </c>
      <c r="J116" s="59">
        <v>100</v>
      </c>
      <c r="K116" s="59">
        <v>300</v>
      </c>
      <c r="L116" s="56">
        <f t="shared" si="12"/>
        <v>1274</v>
      </c>
      <c r="M116" s="66">
        <v>600</v>
      </c>
      <c r="N116" s="56">
        <f>30</f>
        <v>30</v>
      </c>
      <c r="O116" s="59">
        <v>240</v>
      </c>
      <c r="P116" s="59">
        <v>160</v>
      </c>
      <c r="Q116" s="59">
        <f t="shared" si="13"/>
        <v>195</v>
      </c>
      <c r="R116" s="59">
        <f t="shared" si="14"/>
        <v>100</v>
      </c>
      <c r="S116" s="56">
        <f t="shared" si="15"/>
        <v>695</v>
      </c>
      <c r="T116" s="56">
        <f>0</f>
        <v>0</v>
      </c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.75" x14ac:dyDescent="0.25">
      <c r="A117" s="16">
        <v>44835</v>
      </c>
      <c r="B117" s="69">
        <v>31</v>
      </c>
      <c r="C117" s="56">
        <f>131.881</f>
        <v>131.881</v>
      </c>
      <c r="D117" s="56">
        <f>277.167</f>
        <v>277.16699999999997</v>
      </c>
      <c r="E117" s="64">
        <f>79.08</f>
        <v>79.08</v>
      </c>
      <c r="F117" s="56">
        <f>350.872-40-25-60-100</f>
        <v>125.87200000000001</v>
      </c>
      <c r="G117" s="59">
        <v>40</v>
      </c>
      <c r="H117" s="56">
        <f t="shared" si="19"/>
        <v>185</v>
      </c>
      <c r="I117" s="56">
        <f t="shared" si="18"/>
        <v>0</v>
      </c>
      <c r="J117" s="59">
        <v>100</v>
      </c>
      <c r="K117" s="59">
        <v>300</v>
      </c>
      <c r="L117" s="56">
        <f t="shared" si="12"/>
        <v>1239</v>
      </c>
      <c r="M117" s="66">
        <v>600</v>
      </c>
      <c r="N117" s="56">
        <f>75</f>
        <v>75</v>
      </c>
      <c r="O117" s="59">
        <v>240</v>
      </c>
      <c r="P117" s="59">
        <v>160</v>
      </c>
      <c r="Q117" s="59">
        <f t="shared" si="13"/>
        <v>195</v>
      </c>
      <c r="R117" s="59">
        <f t="shared" si="14"/>
        <v>100</v>
      </c>
      <c r="S117" s="56">
        <f t="shared" si="15"/>
        <v>695</v>
      </c>
      <c r="T117" s="56">
        <f>0</f>
        <v>0</v>
      </c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.75" x14ac:dyDescent="0.25">
      <c r="A118" s="16">
        <v>44866</v>
      </c>
      <c r="B118" s="69">
        <v>30</v>
      </c>
      <c r="C118" s="56">
        <f>122.58</f>
        <v>122.58</v>
      </c>
      <c r="D118" s="56">
        <f>297.941</f>
        <v>297.94099999999997</v>
      </c>
      <c r="E118" s="64">
        <f>89.177</f>
        <v>89.177000000000007</v>
      </c>
      <c r="F118" s="56">
        <f>240.302-40-60-100</f>
        <v>40.301999999999992</v>
      </c>
      <c r="G118" s="59">
        <v>40</v>
      </c>
      <c r="H118" s="56">
        <f>60+100</f>
        <v>160</v>
      </c>
      <c r="I118" s="56">
        <f t="shared" si="18"/>
        <v>0</v>
      </c>
      <c r="J118" s="59">
        <v>100</v>
      </c>
      <c r="K118" s="59">
        <v>300</v>
      </c>
      <c r="L118" s="56">
        <f t="shared" si="12"/>
        <v>1150</v>
      </c>
      <c r="M118" s="66">
        <v>600</v>
      </c>
      <c r="N118" s="56">
        <f>100</f>
        <v>100</v>
      </c>
      <c r="O118" s="59">
        <v>240</v>
      </c>
      <c r="P118" s="59">
        <v>40</v>
      </c>
      <c r="Q118" s="59">
        <f t="shared" si="13"/>
        <v>315</v>
      </c>
      <c r="R118" s="59">
        <f t="shared" si="14"/>
        <v>100</v>
      </c>
      <c r="S118" s="56">
        <f t="shared" si="15"/>
        <v>695</v>
      </c>
      <c r="T118" s="56">
        <f>50</f>
        <v>50</v>
      </c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.75" x14ac:dyDescent="0.25">
      <c r="A119" s="16">
        <v>44896</v>
      </c>
      <c r="B119" s="69">
        <v>31</v>
      </c>
      <c r="C119" s="56">
        <f>122.58</f>
        <v>122.58</v>
      </c>
      <c r="D119" s="56">
        <f>297.941</f>
        <v>297.94099999999997</v>
      </c>
      <c r="E119" s="64">
        <f>89.177</f>
        <v>89.177000000000007</v>
      </c>
      <c r="F119" s="56">
        <f>240.302-40-60-100</f>
        <v>40.301999999999992</v>
      </c>
      <c r="G119" s="59">
        <v>40</v>
      </c>
      <c r="H119" s="56">
        <f>60+100</f>
        <v>160</v>
      </c>
      <c r="I119" s="56">
        <f t="shared" si="18"/>
        <v>0</v>
      </c>
      <c r="J119" s="59">
        <v>100</v>
      </c>
      <c r="K119" s="59">
        <v>300</v>
      </c>
      <c r="L119" s="56">
        <f t="shared" si="12"/>
        <v>1150</v>
      </c>
      <c r="M119" s="66">
        <v>600</v>
      </c>
      <c r="N119" s="56">
        <f>100</f>
        <v>100</v>
      </c>
      <c r="O119" s="59">
        <v>240</v>
      </c>
      <c r="P119" s="59">
        <v>40</v>
      </c>
      <c r="Q119" s="59">
        <f t="shared" si="13"/>
        <v>315</v>
      </c>
      <c r="R119" s="59">
        <f t="shared" si="14"/>
        <v>100</v>
      </c>
      <c r="S119" s="56">
        <f t="shared" si="15"/>
        <v>695</v>
      </c>
      <c r="T119" s="56">
        <f>50</f>
        <v>50</v>
      </c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.75" x14ac:dyDescent="0.25">
      <c r="A120" s="16">
        <v>44927</v>
      </c>
      <c r="B120" s="69">
        <v>31</v>
      </c>
      <c r="C120" s="56">
        <f>122.58</f>
        <v>122.58</v>
      </c>
      <c r="D120" s="56">
        <f>297.941</f>
        <v>297.94099999999997</v>
      </c>
      <c r="E120" s="64">
        <f>89.177</f>
        <v>89.177000000000007</v>
      </c>
      <c r="F120" s="56">
        <f>240.302-40-60-100</f>
        <v>40.301999999999992</v>
      </c>
      <c r="G120" s="59">
        <v>40</v>
      </c>
      <c r="H120" s="56">
        <f>60+100</f>
        <v>160</v>
      </c>
      <c r="I120" s="56">
        <f t="shared" si="18"/>
        <v>0</v>
      </c>
      <c r="J120" s="59">
        <v>100</v>
      </c>
      <c r="K120" s="59">
        <v>300</v>
      </c>
      <c r="L120" s="56">
        <f t="shared" si="12"/>
        <v>1150</v>
      </c>
      <c r="M120" s="66">
        <v>600</v>
      </c>
      <c r="N120" s="56">
        <f>100</f>
        <v>100</v>
      </c>
      <c r="O120" s="59">
        <v>240</v>
      </c>
      <c r="P120" s="59">
        <v>40</v>
      </c>
      <c r="Q120" s="59">
        <f t="shared" si="13"/>
        <v>315</v>
      </c>
      <c r="R120" s="59">
        <f t="shared" si="14"/>
        <v>100</v>
      </c>
      <c r="S120" s="56">
        <f t="shared" si="15"/>
        <v>695</v>
      </c>
      <c r="T120" s="56">
        <f>50</f>
        <v>50</v>
      </c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.75" x14ac:dyDescent="0.25">
      <c r="A121" s="16">
        <v>44958</v>
      </c>
      <c r="B121" s="69">
        <v>28</v>
      </c>
      <c r="C121" s="56">
        <f>122.58</f>
        <v>122.58</v>
      </c>
      <c r="D121" s="56">
        <f>297.941</f>
        <v>297.94099999999997</v>
      </c>
      <c r="E121" s="64">
        <f>89.177</f>
        <v>89.177000000000007</v>
      </c>
      <c r="F121" s="56">
        <f>240.302-40-60-100</f>
        <v>40.301999999999992</v>
      </c>
      <c r="G121" s="59">
        <v>40</v>
      </c>
      <c r="H121" s="56">
        <f>60+100</f>
        <v>160</v>
      </c>
      <c r="I121" s="56">
        <f t="shared" si="18"/>
        <v>0</v>
      </c>
      <c r="J121" s="59">
        <v>100</v>
      </c>
      <c r="K121" s="59">
        <v>300</v>
      </c>
      <c r="L121" s="56">
        <f t="shared" si="12"/>
        <v>1150</v>
      </c>
      <c r="M121" s="66">
        <v>600</v>
      </c>
      <c r="N121" s="56">
        <f>100</f>
        <v>100</v>
      </c>
      <c r="O121" s="59">
        <v>240</v>
      </c>
      <c r="P121" s="59">
        <v>40</v>
      </c>
      <c r="Q121" s="59">
        <f t="shared" si="13"/>
        <v>315</v>
      </c>
      <c r="R121" s="59">
        <f t="shared" si="14"/>
        <v>100</v>
      </c>
      <c r="S121" s="56">
        <f t="shared" si="15"/>
        <v>695</v>
      </c>
      <c r="T121" s="56">
        <f>50</f>
        <v>50</v>
      </c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.75" x14ac:dyDescent="0.25">
      <c r="A122" s="16">
        <v>44986</v>
      </c>
      <c r="B122" s="69">
        <v>31</v>
      </c>
      <c r="C122" s="56">
        <f>122.58</f>
        <v>122.58</v>
      </c>
      <c r="D122" s="56">
        <f>297.941</f>
        <v>297.94099999999997</v>
      </c>
      <c r="E122" s="64">
        <f>89.177</f>
        <v>89.177000000000007</v>
      </c>
      <c r="F122" s="56">
        <f>240.302-40-60-100</f>
        <v>40.301999999999992</v>
      </c>
      <c r="G122" s="59">
        <v>40</v>
      </c>
      <c r="H122" s="56">
        <f>60+100</f>
        <v>160</v>
      </c>
      <c r="I122" s="56">
        <f t="shared" si="18"/>
        <v>0</v>
      </c>
      <c r="J122" s="59">
        <v>100</v>
      </c>
      <c r="K122" s="59">
        <v>300</v>
      </c>
      <c r="L122" s="56">
        <f t="shared" si="12"/>
        <v>1150</v>
      </c>
      <c r="M122" s="66">
        <v>600</v>
      </c>
      <c r="N122" s="56">
        <f>100</f>
        <v>100</v>
      </c>
      <c r="O122" s="59">
        <v>240</v>
      </c>
      <c r="P122" s="59">
        <v>40</v>
      </c>
      <c r="Q122" s="59">
        <f t="shared" si="13"/>
        <v>315</v>
      </c>
      <c r="R122" s="59">
        <f t="shared" si="14"/>
        <v>100</v>
      </c>
      <c r="S122" s="56">
        <f t="shared" si="15"/>
        <v>695</v>
      </c>
      <c r="T122" s="56">
        <f>50</f>
        <v>50</v>
      </c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.75" x14ac:dyDescent="0.25">
      <c r="A123" s="16">
        <v>45017</v>
      </c>
      <c r="B123" s="69">
        <v>30</v>
      </c>
      <c r="C123" s="56">
        <f>141.293</f>
        <v>141.29300000000001</v>
      </c>
      <c r="D123" s="56">
        <f>267.993</f>
        <v>267.99299999999999</v>
      </c>
      <c r="E123" s="64">
        <f>115.016</f>
        <v>115.01600000000001</v>
      </c>
      <c r="F123" s="56">
        <f>314.698-40-25-60-100</f>
        <v>89.697999999999979</v>
      </c>
      <c r="G123" s="59">
        <v>40</v>
      </c>
      <c r="H123" s="56">
        <f t="shared" ref="H123:H129" si="20">25+60+100</f>
        <v>185</v>
      </c>
      <c r="I123" s="56">
        <f t="shared" si="18"/>
        <v>0</v>
      </c>
      <c r="J123" s="59">
        <v>100</v>
      </c>
      <c r="K123" s="59">
        <v>300</v>
      </c>
      <c r="L123" s="56">
        <f t="shared" si="12"/>
        <v>1239</v>
      </c>
      <c r="M123" s="66">
        <v>600</v>
      </c>
      <c r="N123" s="56">
        <f>100</f>
        <v>100</v>
      </c>
      <c r="O123" s="59">
        <v>240</v>
      </c>
      <c r="P123" s="59">
        <v>160</v>
      </c>
      <c r="Q123" s="59">
        <f t="shared" si="13"/>
        <v>195</v>
      </c>
      <c r="R123" s="59">
        <f t="shared" si="14"/>
        <v>100</v>
      </c>
      <c r="S123" s="56">
        <f t="shared" si="15"/>
        <v>695</v>
      </c>
      <c r="T123" s="56">
        <f>50</f>
        <v>50</v>
      </c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.75" x14ac:dyDescent="0.25">
      <c r="A124" s="16">
        <v>45047</v>
      </c>
      <c r="B124" s="69">
        <v>31</v>
      </c>
      <c r="C124" s="56">
        <f>194.205</f>
        <v>194.20500000000001</v>
      </c>
      <c r="D124" s="56">
        <f>267.466</f>
        <v>267.46600000000001</v>
      </c>
      <c r="E124" s="64">
        <f>133.845</f>
        <v>133.845</v>
      </c>
      <c r="F124" s="56">
        <f>278.484-40-25-60-100</f>
        <v>53.48399999999998</v>
      </c>
      <c r="G124" s="59">
        <v>40</v>
      </c>
      <c r="H124" s="56">
        <f t="shared" si="20"/>
        <v>185</v>
      </c>
      <c r="I124" s="56">
        <f t="shared" si="18"/>
        <v>0</v>
      </c>
      <c r="J124" s="59">
        <v>100</v>
      </c>
      <c r="K124" s="59">
        <v>300</v>
      </c>
      <c r="L124" s="56">
        <f t="shared" si="12"/>
        <v>1274</v>
      </c>
      <c r="M124" s="66">
        <v>600</v>
      </c>
      <c r="N124" s="56">
        <f>75</f>
        <v>75</v>
      </c>
      <c r="O124" s="59">
        <v>240</v>
      </c>
      <c r="P124" s="59">
        <v>160</v>
      </c>
      <c r="Q124" s="59">
        <f t="shared" si="13"/>
        <v>195</v>
      </c>
      <c r="R124" s="59">
        <f t="shared" si="14"/>
        <v>100</v>
      </c>
      <c r="S124" s="56">
        <f t="shared" si="15"/>
        <v>695</v>
      </c>
      <c r="T124" s="56">
        <f>50</f>
        <v>50</v>
      </c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.75" x14ac:dyDescent="0.25">
      <c r="A125" s="16">
        <v>45078</v>
      </c>
      <c r="B125" s="69">
        <v>30</v>
      </c>
      <c r="C125" s="56">
        <f>194.205</f>
        <v>194.20500000000001</v>
      </c>
      <c r="D125" s="56">
        <f>267.466</f>
        <v>267.46600000000001</v>
      </c>
      <c r="E125" s="64">
        <f>133.845</f>
        <v>133.845</v>
      </c>
      <c r="F125" s="56">
        <f>278.484-40-25-60-100</f>
        <v>53.48399999999998</v>
      </c>
      <c r="G125" s="59">
        <v>40</v>
      </c>
      <c r="H125" s="56">
        <f t="shared" si="20"/>
        <v>185</v>
      </c>
      <c r="I125" s="56">
        <f t="shared" si="18"/>
        <v>0</v>
      </c>
      <c r="J125" s="59">
        <v>100</v>
      </c>
      <c r="K125" s="59">
        <v>300</v>
      </c>
      <c r="L125" s="56">
        <f t="shared" si="12"/>
        <v>1274</v>
      </c>
      <c r="M125" s="66">
        <v>600</v>
      </c>
      <c r="N125" s="56">
        <f>30</f>
        <v>30</v>
      </c>
      <c r="O125" s="59">
        <v>240</v>
      </c>
      <c r="P125" s="59">
        <v>160</v>
      </c>
      <c r="Q125" s="59">
        <f t="shared" si="13"/>
        <v>195</v>
      </c>
      <c r="R125" s="59">
        <f t="shared" si="14"/>
        <v>100</v>
      </c>
      <c r="S125" s="56">
        <f t="shared" si="15"/>
        <v>695</v>
      </c>
      <c r="T125" s="56">
        <f>50</f>
        <v>50</v>
      </c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.75" x14ac:dyDescent="0.25">
      <c r="A126" s="16">
        <v>45108</v>
      </c>
      <c r="B126" s="69">
        <v>31</v>
      </c>
      <c r="C126" s="56">
        <f>194.205</f>
        <v>194.20500000000001</v>
      </c>
      <c r="D126" s="56">
        <f>267.466</f>
        <v>267.46600000000001</v>
      </c>
      <c r="E126" s="64">
        <f>133.845</f>
        <v>133.845</v>
      </c>
      <c r="F126" s="56">
        <f>278.484-40-25-60-100</f>
        <v>53.48399999999998</v>
      </c>
      <c r="G126" s="59">
        <v>40</v>
      </c>
      <c r="H126" s="56">
        <f t="shared" si="20"/>
        <v>185</v>
      </c>
      <c r="I126" s="56">
        <f t="shared" si="18"/>
        <v>0</v>
      </c>
      <c r="J126" s="59">
        <v>100</v>
      </c>
      <c r="K126" s="59">
        <v>300</v>
      </c>
      <c r="L126" s="56">
        <f t="shared" si="12"/>
        <v>1274</v>
      </c>
      <c r="M126" s="66">
        <v>600</v>
      </c>
      <c r="N126" s="56">
        <f>30</f>
        <v>30</v>
      </c>
      <c r="O126" s="59">
        <v>240</v>
      </c>
      <c r="P126" s="59">
        <v>160</v>
      </c>
      <c r="Q126" s="59">
        <f t="shared" si="13"/>
        <v>195</v>
      </c>
      <c r="R126" s="59">
        <f t="shared" si="14"/>
        <v>100</v>
      </c>
      <c r="S126" s="56">
        <f t="shared" si="15"/>
        <v>695</v>
      </c>
      <c r="T126" s="56">
        <f>0</f>
        <v>0</v>
      </c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.75" x14ac:dyDescent="0.25">
      <c r="A127" s="16">
        <v>45139</v>
      </c>
      <c r="B127" s="69">
        <v>31</v>
      </c>
      <c r="C127" s="56">
        <f>194.205</f>
        <v>194.20500000000001</v>
      </c>
      <c r="D127" s="56">
        <f>267.466</f>
        <v>267.46600000000001</v>
      </c>
      <c r="E127" s="64">
        <f>133.845</f>
        <v>133.845</v>
      </c>
      <c r="F127" s="56">
        <f>278.484-40-25-60-100</f>
        <v>53.48399999999998</v>
      </c>
      <c r="G127" s="59">
        <v>40</v>
      </c>
      <c r="H127" s="56">
        <f t="shared" si="20"/>
        <v>185</v>
      </c>
      <c r="I127" s="56">
        <f t="shared" si="18"/>
        <v>0</v>
      </c>
      <c r="J127" s="59">
        <v>100</v>
      </c>
      <c r="K127" s="59">
        <v>300</v>
      </c>
      <c r="L127" s="56">
        <f t="shared" si="12"/>
        <v>1274</v>
      </c>
      <c r="M127" s="66">
        <v>600</v>
      </c>
      <c r="N127" s="56">
        <f>30</f>
        <v>30</v>
      </c>
      <c r="O127" s="59">
        <v>240</v>
      </c>
      <c r="P127" s="59">
        <v>160</v>
      </c>
      <c r="Q127" s="59">
        <f t="shared" si="13"/>
        <v>195</v>
      </c>
      <c r="R127" s="59">
        <f t="shared" si="14"/>
        <v>100</v>
      </c>
      <c r="S127" s="56">
        <f t="shared" si="15"/>
        <v>695</v>
      </c>
      <c r="T127" s="56">
        <f>0</f>
        <v>0</v>
      </c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.75" x14ac:dyDescent="0.25">
      <c r="A128" s="16">
        <v>45170</v>
      </c>
      <c r="B128" s="69">
        <v>30</v>
      </c>
      <c r="C128" s="56">
        <f>194.205</f>
        <v>194.20500000000001</v>
      </c>
      <c r="D128" s="56">
        <f>267.466</f>
        <v>267.46600000000001</v>
      </c>
      <c r="E128" s="64">
        <f>133.845</f>
        <v>133.845</v>
      </c>
      <c r="F128" s="56">
        <f>278.484-40-25-60-100</f>
        <v>53.48399999999998</v>
      </c>
      <c r="G128" s="59">
        <v>40</v>
      </c>
      <c r="H128" s="56">
        <f t="shared" si="20"/>
        <v>185</v>
      </c>
      <c r="I128" s="56">
        <f t="shared" si="18"/>
        <v>0</v>
      </c>
      <c r="J128" s="59">
        <v>100</v>
      </c>
      <c r="K128" s="59">
        <v>300</v>
      </c>
      <c r="L128" s="56">
        <f t="shared" si="12"/>
        <v>1274</v>
      </c>
      <c r="M128" s="66">
        <v>600</v>
      </c>
      <c r="N128" s="56">
        <f>30</f>
        <v>30</v>
      </c>
      <c r="O128" s="59">
        <v>240</v>
      </c>
      <c r="P128" s="59">
        <v>160</v>
      </c>
      <c r="Q128" s="59">
        <f t="shared" si="13"/>
        <v>195</v>
      </c>
      <c r="R128" s="59">
        <f t="shared" si="14"/>
        <v>100</v>
      </c>
      <c r="S128" s="56">
        <f t="shared" si="15"/>
        <v>695</v>
      </c>
      <c r="T128" s="56">
        <f>0</f>
        <v>0</v>
      </c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.75" x14ac:dyDescent="0.25">
      <c r="A129" s="16">
        <v>45200</v>
      </c>
      <c r="B129" s="69">
        <v>31</v>
      </c>
      <c r="C129" s="56">
        <f>131.881</f>
        <v>131.881</v>
      </c>
      <c r="D129" s="56">
        <f>277.167</f>
        <v>277.16699999999997</v>
      </c>
      <c r="E129" s="64">
        <f>79.08</f>
        <v>79.08</v>
      </c>
      <c r="F129" s="56">
        <f>350.872-40-25-60-100</f>
        <v>125.87200000000001</v>
      </c>
      <c r="G129" s="59">
        <v>40</v>
      </c>
      <c r="H129" s="56">
        <f t="shared" si="20"/>
        <v>185</v>
      </c>
      <c r="I129" s="56">
        <f t="shared" si="18"/>
        <v>0</v>
      </c>
      <c r="J129" s="59">
        <v>100</v>
      </c>
      <c r="K129" s="59">
        <v>300</v>
      </c>
      <c r="L129" s="56">
        <f t="shared" si="12"/>
        <v>1239</v>
      </c>
      <c r="M129" s="66">
        <v>600</v>
      </c>
      <c r="N129" s="56">
        <f>75</f>
        <v>75</v>
      </c>
      <c r="O129" s="59">
        <v>240</v>
      </c>
      <c r="P129" s="59">
        <v>160</v>
      </c>
      <c r="Q129" s="59">
        <f t="shared" si="13"/>
        <v>195</v>
      </c>
      <c r="R129" s="59">
        <f t="shared" si="14"/>
        <v>100</v>
      </c>
      <c r="S129" s="56">
        <f t="shared" si="15"/>
        <v>695</v>
      </c>
      <c r="T129" s="56">
        <f>0</f>
        <v>0</v>
      </c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.75" x14ac:dyDescent="0.25">
      <c r="A130" s="16">
        <v>45231</v>
      </c>
      <c r="B130" s="69">
        <v>30</v>
      </c>
      <c r="C130" s="56">
        <f>122.58</f>
        <v>122.58</v>
      </c>
      <c r="D130" s="56">
        <f>297.941</f>
        <v>297.94099999999997</v>
      </c>
      <c r="E130" s="64">
        <f>89.177</f>
        <v>89.177000000000007</v>
      </c>
      <c r="F130" s="56">
        <f>240.302-40-60-100</f>
        <v>40.301999999999992</v>
      </c>
      <c r="G130" s="59">
        <v>40</v>
      </c>
      <c r="H130" s="56">
        <f>60+100</f>
        <v>160</v>
      </c>
      <c r="I130" s="56">
        <f t="shared" si="18"/>
        <v>0</v>
      </c>
      <c r="J130" s="59">
        <v>100</v>
      </c>
      <c r="K130" s="59">
        <v>300</v>
      </c>
      <c r="L130" s="56">
        <f t="shared" si="12"/>
        <v>1150</v>
      </c>
      <c r="M130" s="66">
        <v>600</v>
      </c>
      <c r="N130" s="56">
        <f>100</f>
        <v>100</v>
      </c>
      <c r="O130" s="59">
        <v>240</v>
      </c>
      <c r="P130" s="59">
        <v>40</v>
      </c>
      <c r="Q130" s="59">
        <f t="shared" si="13"/>
        <v>315</v>
      </c>
      <c r="R130" s="59">
        <f t="shared" si="14"/>
        <v>100</v>
      </c>
      <c r="S130" s="56">
        <f t="shared" si="15"/>
        <v>695</v>
      </c>
      <c r="T130" s="56">
        <f>50</f>
        <v>50</v>
      </c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.75" x14ac:dyDescent="0.25">
      <c r="A131" s="16">
        <v>45261</v>
      </c>
      <c r="B131" s="69">
        <v>31</v>
      </c>
      <c r="C131" s="56">
        <f>122.58</f>
        <v>122.58</v>
      </c>
      <c r="D131" s="56">
        <f>297.941</f>
        <v>297.94099999999997</v>
      </c>
      <c r="E131" s="64">
        <f>89.177</f>
        <v>89.177000000000007</v>
      </c>
      <c r="F131" s="56">
        <f>240.302-40-60-100</f>
        <v>40.301999999999992</v>
      </c>
      <c r="G131" s="59">
        <v>40</v>
      </c>
      <c r="H131" s="56">
        <f>60+100</f>
        <v>160</v>
      </c>
      <c r="I131" s="56">
        <f t="shared" si="18"/>
        <v>0</v>
      </c>
      <c r="J131" s="59">
        <v>100</v>
      </c>
      <c r="K131" s="59">
        <v>300</v>
      </c>
      <c r="L131" s="56">
        <f t="shared" si="12"/>
        <v>1150</v>
      </c>
      <c r="M131" s="66">
        <v>600</v>
      </c>
      <c r="N131" s="56">
        <f>100</f>
        <v>100</v>
      </c>
      <c r="O131" s="59">
        <v>240</v>
      </c>
      <c r="P131" s="59">
        <v>40</v>
      </c>
      <c r="Q131" s="59">
        <f t="shared" si="13"/>
        <v>315</v>
      </c>
      <c r="R131" s="59">
        <f t="shared" si="14"/>
        <v>100</v>
      </c>
      <c r="S131" s="56">
        <f t="shared" si="15"/>
        <v>695</v>
      </c>
      <c r="T131" s="56">
        <f>50</f>
        <v>50</v>
      </c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.75" x14ac:dyDescent="0.25">
      <c r="A132" s="16">
        <v>45292</v>
      </c>
      <c r="B132" s="69">
        <v>31</v>
      </c>
      <c r="C132" s="56">
        <f>122.58</f>
        <v>122.58</v>
      </c>
      <c r="D132" s="56">
        <f>297.941</f>
        <v>297.94099999999997</v>
      </c>
      <c r="E132" s="64">
        <f>89.177</f>
        <v>89.177000000000007</v>
      </c>
      <c r="F132" s="56">
        <f>240.302-40-60-100</f>
        <v>40.301999999999992</v>
      </c>
      <c r="G132" s="59">
        <v>40</v>
      </c>
      <c r="H132" s="56">
        <f>60+100</f>
        <v>160</v>
      </c>
      <c r="I132" s="56">
        <f t="shared" si="18"/>
        <v>0</v>
      </c>
      <c r="J132" s="59">
        <v>100</v>
      </c>
      <c r="K132" s="59">
        <v>300</v>
      </c>
      <c r="L132" s="56">
        <f t="shared" si="12"/>
        <v>1150</v>
      </c>
      <c r="M132" s="66">
        <v>600</v>
      </c>
      <c r="N132" s="56">
        <f>100</f>
        <v>100</v>
      </c>
      <c r="O132" s="59">
        <v>240</v>
      </c>
      <c r="P132" s="59">
        <v>40</v>
      </c>
      <c r="Q132" s="59">
        <f t="shared" si="13"/>
        <v>315</v>
      </c>
      <c r="R132" s="59">
        <f t="shared" si="14"/>
        <v>100</v>
      </c>
      <c r="S132" s="56">
        <f t="shared" si="15"/>
        <v>695</v>
      </c>
      <c r="T132" s="56">
        <f>50</f>
        <v>50</v>
      </c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.75" x14ac:dyDescent="0.25">
      <c r="A133" s="16">
        <v>45323</v>
      </c>
      <c r="B133" s="69">
        <v>29</v>
      </c>
      <c r="C133" s="56">
        <f>122.58</f>
        <v>122.58</v>
      </c>
      <c r="D133" s="56">
        <f>297.941</f>
        <v>297.94099999999997</v>
      </c>
      <c r="E133" s="64">
        <f>89.177</f>
        <v>89.177000000000007</v>
      </c>
      <c r="F133" s="56">
        <f>240.302-40-60-100</f>
        <v>40.301999999999992</v>
      </c>
      <c r="G133" s="59">
        <v>40</v>
      </c>
      <c r="H133" s="56">
        <f>60+100</f>
        <v>160</v>
      </c>
      <c r="I133" s="56">
        <f t="shared" si="18"/>
        <v>0</v>
      </c>
      <c r="J133" s="59">
        <v>100</v>
      </c>
      <c r="K133" s="59">
        <v>300</v>
      </c>
      <c r="L133" s="56">
        <f t="shared" si="12"/>
        <v>1150</v>
      </c>
      <c r="M133" s="66">
        <v>600</v>
      </c>
      <c r="N133" s="56">
        <f>100</f>
        <v>100</v>
      </c>
      <c r="O133" s="59">
        <v>240</v>
      </c>
      <c r="P133" s="59">
        <v>40</v>
      </c>
      <c r="Q133" s="59">
        <f t="shared" si="13"/>
        <v>315</v>
      </c>
      <c r="R133" s="59">
        <f t="shared" si="14"/>
        <v>100</v>
      </c>
      <c r="S133" s="56">
        <f t="shared" si="15"/>
        <v>695</v>
      </c>
      <c r="T133" s="56">
        <f>50</f>
        <v>50</v>
      </c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.75" x14ac:dyDescent="0.25">
      <c r="A134" s="16">
        <v>45352</v>
      </c>
      <c r="B134" s="69">
        <v>31</v>
      </c>
      <c r="C134" s="56">
        <f>122.58</f>
        <v>122.58</v>
      </c>
      <c r="D134" s="56">
        <f>297.941</f>
        <v>297.94099999999997</v>
      </c>
      <c r="E134" s="64">
        <f>89.177</f>
        <v>89.177000000000007</v>
      </c>
      <c r="F134" s="56">
        <f>240.302-40-60-100</f>
        <v>40.301999999999992</v>
      </c>
      <c r="G134" s="59">
        <v>40</v>
      </c>
      <c r="H134" s="56">
        <f>60+100</f>
        <v>160</v>
      </c>
      <c r="I134" s="56">
        <f t="shared" si="18"/>
        <v>0</v>
      </c>
      <c r="J134" s="59">
        <v>100</v>
      </c>
      <c r="K134" s="59">
        <v>300</v>
      </c>
      <c r="L134" s="56">
        <f t="shared" si="12"/>
        <v>1150</v>
      </c>
      <c r="M134" s="66">
        <v>600</v>
      </c>
      <c r="N134" s="56">
        <f>100</f>
        <v>100</v>
      </c>
      <c r="O134" s="59">
        <v>240</v>
      </c>
      <c r="P134" s="59">
        <v>40</v>
      </c>
      <c r="Q134" s="59">
        <f t="shared" si="13"/>
        <v>315</v>
      </c>
      <c r="R134" s="59">
        <f t="shared" si="14"/>
        <v>100</v>
      </c>
      <c r="S134" s="56">
        <f t="shared" si="15"/>
        <v>695</v>
      </c>
      <c r="T134" s="56">
        <f>50</f>
        <v>50</v>
      </c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  <row r="135" spans="1:30" ht="15.75" x14ac:dyDescent="0.25">
      <c r="A135" s="16">
        <v>45383</v>
      </c>
      <c r="B135" s="69">
        <v>30</v>
      </c>
      <c r="C135" s="56">
        <f>141.293</f>
        <v>141.29300000000001</v>
      </c>
      <c r="D135" s="56">
        <f>267.993</f>
        <v>267.99299999999999</v>
      </c>
      <c r="E135" s="64">
        <f>115.016</f>
        <v>115.01600000000001</v>
      </c>
      <c r="F135" s="56">
        <f>314.698-40-25-60-100</f>
        <v>89.697999999999979</v>
      </c>
      <c r="G135" s="59">
        <v>40</v>
      </c>
      <c r="H135" s="56">
        <f t="shared" ref="H135:H141" si="21">25+60+100</f>
        <v>185</v>
      </c>
      <c r="I135" s="56">
        <f t="shared" si="18"/>
        <v>0</v>
      </c>
      <c r="J135" s="59">
        <v>100</v>
      </c>
      <c r="K135" s="59">
        <v>300</v>
      </c>
      <c r="L135" s="56">
        <f t="shared" si="12"/>
        <v>1239</v>
      </c>
      <c r="M135" s="66">
        <v>600</v>
      </c>
      <c r="N135" s="56">
        <f>100</f>
        <v>100</v>
      </c>
      <c r="O135" s="59">
        <v>240</v>
      </c>
      <c r="P135" s="59">
        <v>160</v>
      </c>
      <c r="Q135" s="59">
        <f t="shared" si="13"/>
        <v>195</v>
      </c>
      <c r="R135" s="59">
        <f t="shared" si="14"/>
        <v>100</v>
      </c>
      <c r="S135" s="56">
        <f t="shared" si="15"/>
        <v>695</v>
      </c>
      <c r="T135" s="56">
        <f>50</f>
        <v>50</v>
      </c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5.75" x14ac:dyDescent="0.25">
      <c r="A136" s="16">
        <v>45413</v>
      </c>
      <c r="B136" s="69">
        <v>31</v>
      </c>
      <c r="C136" s="56">
        <f>194.205</f>
        <v>194.20500000000001</v>
      </c>
      <c r="D136" s="56">
        <f>267.466</f>
        <v>267.46600000000001</v>
      </c>
      <c r="E136" s="64">
        <f>133.845</f>
        <v>133.845</v>
      </c>
      <c r="F136" s="56">
        <f>278.484-40-25-60-100</f>
        <v>53.48399999999998</v>
      </c>
      <c r="G136" s="59">
        <v>40</v>
      </c>
      <c r="H136" s="56">
        <f t="shared" si="21"/>
        <v>185</v>
      </c>
      <c r="I136" s="56">
        <f t="shared" si="18"/>
        <v>0</v>
      </c>
      <c r="J136" s="59">
        <v>100</v>
      </c>
      <c r="K136" s="59">
        <v>300</v>
      </c>
      <c r="L136" s="56">
        <f t="shared" si="12"/>
        <v>1274</v>
      </c>
      <c r="M136" s="66">
        <v>600</v>
      </c>
      <c r="N136" s="56">
        <f>75</f>
        <v>75</v>
      </c>
      <c r="O136" s="59">
        <v>240</v>
      </c>
      <c r="P136" s="59">
        <v>160</v>
      </c>
      <c r="Q136" s="59">
        <f t="shared" si="13"/>
        <v>195</v>
      </c>
      <c r="R136" s="59">
        <f t="shared" si="14"/>
        <v>100</v>
      </c>
      <c r="S136" s="56">
        <f t="shared" si="15"/>
        <v>695</v>
      </c>
      <c r="T136" s="56">
        <f>50</f>
        <v>50</v>
      </c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</row>
    <row r="137" spans="1:30" ht="15.75" x14ac:dyDescent="0.25">
      <c r="A137" s="16">
        <v>45444</v>
      </c>
      <c r="B137" s="69">
        <v>30</v>
      </c>
      <c r="C137" s="56">
        <f>194.205</f>
        <v>194.20500000000001</v>
      </c>
      <c r="D137" s="56">
        <f>267.466</f>
        <v>267.46600000000001</v>
      </c>
      <c r="E137" s="64">
        <f>133.845</f>
        <v>133.845</v>
      </c>
      <c r="F137" s="56">
        <f>278.484-40-25-60-100</f>
        <v>53.48399999999998</v>
      </c>
      <c r="G137" s="59">
        <v>40</v>
      </c>
      <c r="H137" s="56">
        <f t="shared" si="21"/>
        <v>185</v>
      </c>
      <c r="I137" s="56">
        <f t="shared" si="18"/>
        <v>0</v>
      </c>
      <c r="J137" s="59">
        <v>100</v>
      </c>
      <c r="K137" s="59">
        <v>300</v>
      </c>
      <c r="L137" s="56">
        <f t="shared" si="12"/>
        <v>1274</v>
      </c>
      <c r="M137" s="66">
        <v>600</v>
      </c>
      <c r="N137" s="56">
        <f>30</f>
        <v>30</v>
      </c>
      <c r="O137" s="59">
        <v>240</v>
      </c>
      <c r="P137" s="59">
        <v>160</v>
      </c>
      <c r="Q137" s="59">
        <f t="shared" si="13"/>
        <v>195</v>
      </c>
      <c r="R137" s="59">
        <f t="shared" si="14"/>
        <v>100</v>
      </c>
      <c r="S137" s="56">
        <f t="shared" si="15"/>
        <v>695</v>
      </c>
      <c r="T137" s="56">
        <f>50</f>
        <v>50</v>
      </c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</row>
    <row r="138" spans="1:30" ht="15.75" x14ac:dyDescent="0.25">
      <c r="A138" s="16">
        <v>45474</v>
      </c>
      <c r="B138" s="69">
        <v>31</v>
      </c>
      <c r="C138" s="56">
        <f>194.205</f>
        <v>194.20500000000001</v>
      </c>
      <c r="D138" s="56">
        <f>267.466</f>
        <v>267.46600000000001</v>
      </c>
      <c r="E138" s="64">
        <f>133.845</f>
        <v>133.845</v>
      </c>
      <c r="F138" s="56">
        <f>278.484-40-25-60-100</f>
        <v>53.48399999999998</v>
      </c>
      <c r="G138" s="59">
        <v>40</v>
      </c>
      <c r="H138" s="56">
        <f t="shared" si="21"/>
        <v>185</v>
      </c>
      <c r="I138" s="56">
        <f t="shared" si="18"/>
        <v>0</v>
      </c>
      <c r="J138" s="59">
        <v>100</v>
      </c>
      <c r="K138" s="59">
        <v>300</v>
      </c>
      <c r="L138" s="56">
        <f t="shared" si="12"/>
        <v>1274</v>
      </c>
      <c r="M138" s="66">
        <v>600</v>
      </c>
      <c r="N138" s="56">
        <f>30</f>
        <v>30</v>
      </c>
      <c r="O138" s="59">
        <v>240</v>
      </c>
      <c r="P138" s="59">
        <v>160</v>
      </c>
      <c r="Q138" s="59">
        <f t="shared" si="13"/>
        <v>195</v>
      </c>
      <c r="R138" s="59">
        <f t="shared" si="14"/>
        <v>100</v>
      </c>
      <c r="S138" s="56">
        <f t="shared" si="15"/>
        <v>695</v>
      </c>
      <c r="T138" s="56">
        <f>0</f>
        <v>0</v>
      </c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</row>
    <row r="139" spans="1:30" ht="15.75" x14ac:dyDescent="0.25">
      <c r="A139" s="16">
        <v>45505</v>
      </c>
      <c r="B139" s="69">
        <v>31</v>
      </c>
      <c r="C139" s="56">
        <f>194.205</f>
        <v>194.20500000000001</v>
      </c>
      <c r="D139" s="56">
        <f>267.466</f>
        <v>267.46600000000001</v>
      </c>
      <c r="E139" s="64">
        <f>133.845</f>
        <v>133.845</v>
      </c>
      <c r="F139" s="56">
        <f>278.484-40-25-60-100</f>
        <v>53.48399999999998</v>
      </c>
      <c r="G139" s="59">
        <v>40</v>
      </c>
      <c r="H139" s="56">
        <f t="shared" si="21"/>
        <v>185</v>
      </c>
      <c r="I139" s="56">
        <f t="shared" si="18"/>
        <v>0</v>
      </c>
      <c r="J139" s="59">
        <v>100</v>
      </c>
      <c r="K139" s="59">
        <v>300</v>
      </c>
      <c r="L139" s="56">
        <f t="shared" si="12"/>
        <v>1274</v>
      </c>
      <c r="M139" s="66">
        <v>600</v>
      </c>
      <c r="N139" s="56">
        <f>30</f>
        <v>30</v>
      </c>
      <c r="O139" s="59">
        <v>240</v>
      </c>
      <c r="P139" s="59">
        <v>160</v>
      </c>
      <c r="Q139" s="59">
        <f t="shared" si="13"/>
        <v>195</v>
      </c>
      <c r="R139" s="59">
        <f t="shared" si="14"/>
        <v>100</v>
      </c>
      <c r="S139" s="56">
        <f t="shared" si="15"/>
        <v>695</v>
      </c>
      <c r="T139" s="56">
        <f>0</f>
        <v>0</v>
      </c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</row>
    <row r="140" spans="1:30" ht="15.75" x14ac:dyDescent="0.25">
      <c r="A140" s="16">
        <v>45536</v>
      </c>
      <c r="B140" s="69">
        <v>30</v>
      </c>
      <c r="C140" s="56">
        <f>194.205</f>
        <v>194.20500000000001</v>
      </c>
      <c r="D140" s="56">
        <f>267.466</f>
        <v>267.46600000000001</v>
      </c>
      <c r="E140" s="64">
        <f>133.845</f>
        <v>133.845</v>
      </c>
      <c r="F140" s="56">
        <f>278.484-40-25-60-100</f>
        <v>53.48399999999998</v>
      </c>
      <c r="G140" s="59">
        <v>40</v>
      </c>
      <c r="H140" s="56">
        <f t="shared" si="21"/>
        <v>185</v>
      </c>
      <c r="I140" s="56">
        <f t="shared" si="18"/>
        <v>0</v>
      </c>
      <c r="J140" s="59">
        <v>100</v>
      </c>
      <c r="K140" s="59">
        <v>300</v>
      </c>
      <c r="L140" s="56">
        <f t="shared" si="12"/>
        <v>1274</v>
      </c>
      <c r="M140" s="66">
        <v>600</v>
      </c>
      <c r="N140" s="56">
        <f>30</f>
        <v>30</v>
      </c>
      <c r="O140" s="59">
        <v>240</v>
      </c>
      <c r="P140" s="59">
        <v>160</v>
      </c>
      <c r="Q140" s="59">
        <f t="shared" si="13"/>
        <v>195</v>
      </c>
      <c r="R140" s="59">
        <f t="shared" si="14"/>
        <v>100</v>
      </c>
      <c r="S140" s="56">
        <f t="shared" si="15"/>
        <v>695</v>
      </c>
      <c r="T140" s="56">
        <f>0</f>
        <v>0</v>
      </c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</row>
    <row r="141" spans="1:30" ht="15.75" x14ac:dyDescent="0.25">
      <c r="A141" s="16">
        <v>45566</v>
      </c>
      <c r="B141" s="69">
        <v>31</v>
      </c>
      <c r="C141" s="56">
        <f>131.881</f>
        <v>131.881</v>
      </c>
      <c r="D141" s="56">
        <f>277.167</f>
        <v>277.16699999999997</v>
      </c>
      <c r="E141" s="64">
        <f>79.08</f>
        <v>79.08</v>
      </c>
      <c r="F141" s="56">
        <f>350.872-40-25-60-100</f>
        <v>125.87200000000001</v>
      </c>
      <c r="G141" s="59">
        <v>40</v>
      </c>
      <c r="H141" s="56">
        <f t="shared" si="21"/>
        <v>185</v>
      </c>
      <c r="I141" s="56">
        <f t="shared" si="18"/>
        <v>0</v>
      </c>
      <c r="J141" s="59">
        <v>100</v>
      </c>
      <c r="K141" s="59">
        <v>300</v>
      </c>
      <c r="L141" s="56">
        <f t="shared" si="12"/>
        <v>1239</v>
      </c>
      <c r="M141" s="66">
        <v>600</v>
      </c>
      <c r="N141" s="56">
        <f>75</f>
        <v>75</v>
      </c>
      <c r="O141" s="59">
        <v>240</v>
      </c>
      <c r="P141" s="59">
        <v>160</v>
      </c>
      <c r="Q141" s="59">
        <f t="shared" si="13"/>
        <v>195</v>
      </c>
      <c r="R141" s="59">
        <f t="shared" si="14"/>
        <v>100</v>
      </c>
      <c r="S141" s="56">
        <f t="shared" si="15"/>
        <v>695</v>
      </c>
      <c r="T141" s="56">
        <f>0</f>
        <v>0</v>
      </c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</row>
    <row r="142" spans="1:30" ht="15.75" x14ac:dyDescent="0.25">
      <c r="A142" s="16">
        <v>45597</v>
      </c>
      <c r="B142" s="69">
        <v>30</v>
      </c>
      <c r="C142" s="56">
        <f>122.58</f>
        <v>122.58</v>
      </c>
      <c r="D142" s="56">
        <f>297.941</f>
        <v>297.94099999999997</v>
      </c>
      <c r="E142" s="64">
        <f>89.177</f>
        <v>89.177000000000007</v>
      </c>
      <c r="F142" s="56">
        <f>240.302-40-60-100</f>
        <v>40.301999999999992</v>
      </c>
      <c r="G142" s="59">
        <v>40</v>
      </c>
      <c r="H142" s="56">
        <f>60+100</f>
        <v>160</v>
      </c>
      <c r="I142" s="56">
        <f t="shared" si="18"/>
        <v>0</v>
      </c>
      <c r="J142" s="59">
        <v>100</v>
      </c>
      <c r="K142" s="59">
        <v>300</v>
      </c>
      <c r="L142" s="56">
        <f t="shared" si="12"/>
        <v>1150</v>
      </c>
      <c r="M142" s="66">
        <v>600</v>
      </c>
      <c r="N142" s="56">
        <f>100</f>
        <v>100</v>
      </c>
      <c r="O142" s="59">
        <v>240</v>
      </c>
      <c r="P142" s="59">
        <v>40</v>
      </c>
      <c r="Q142" s="59">
        <f t="shared" si="13"/>
        <v>315</v>
      </c>
      <c r="R142" s="59">
        <f t="shared" si="14"/>
        <v>100</v>
      </c>
      <c r="S142" s="56">
        <f t="shared" si="15"/>
        <v>695</v>
      </c>
      <c r="T142" s="56">
        <f>50</f>
        <v>50</v>
      </c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</row>
    <row r="143" spans="1:30" ht="15.75" x14ac:dyDescent="0.25">
      <c r="A143" s="16">
        <v>45627</v>
      </c>
      <c r="B143" s="69">
        <v>31</v>
      </c>
      <c r="C143" s="56">
        <f>122.58</f>
        <v>122.58</v>
      </c>
      <c r="D143" s="56">
        <f>297.941</f>
        <v>297.94099999999997</v>
      </c>
      <c r="E143" s="64">
        <f>89.177</f>
        <v>89.177000000000007</v>
      </c>
      <c r="F143" s="56">
        <f>240.302-40-60-100</f>
        <v>40.301999999999992</v>
      </c>
      <c r="G143" s="59">
        <v>40</v>
      </c>
      <c r="H143" s="56">
        <f>60+100</f>
        <v>160</v>
      </c>
      <c r="I143" s="56">
        <f t="shared" si="18"/>
        <v>0</v>
      </c>
      <c r="J143" s="59">
        <v>100</v>
      </c>
      <c r="K143" s="59">
        <v>300</v>
      </c>
      <c r="L143" s="56">
        <f t="shared" si="12"/>
        <v>1150</v>
      </c>
      <c r="M143" s="66">
        <v>600</v>
      </c>
      <c r="N143" s="56">
        <f>100</f>
        <v>100</v>
      </c>
      <c r="O143" s="59">
        <v>240</v>
      </c>
      <c r="P143" s="59">
        <v>40</v>
      </c>
      <c r="Q143" s="59">
        <f t="shared" si="13"/>
        <v>315</v>
      </c>
      <c r="R143" s="59">
        <f t="shared" si="14"/>
        <v>100</v>
      </c>
      <c r="S143" s="56">
        <f t="shared" si="15"/>
        <v>695</v>
      </c>
      <c r="T143" s="56">
        <f>50</f>
        <v>50</v>
      </c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</row>
    <row r="144" spans="1:30" ht="15.75" x14ac:dyDescent="0.25">
      <c r="A144" s="16">
        <v>45658</v>
      </c>
      <c r="B144" s="69">
        <v>31</v>
      </c>
      <c r="C144" s="56">
        <f>122.58</f>
        <v>122.58</v>
      </c>
      <c r="D144" s="56">
        <f>297.941</f>
        <v>297.94099999999997</v>
      </c>
      <c r="E144" s="64">
        <f>89.177</f>
        <v>89.177000000000007</v>
      </c>
      <c r="F144" s="56">
        <f>240.302-40-60-100</f>
        <v>40.301999999999992</v>
      </c>
      <c r="G144" s="59">
        <v>40</v>
      </c>
      <c r="H144" s="56">
        <f>60+100</f>
        <v>160</v>
      </c>
      <c r="I144" s="56">
        <f t="shared" si="18"/>
        <v>0</v>
      </c>
      <c r="J144" s="59">
        <v>100</v>
      </c>
      <c r="K144" s="59">
        <v>300</v>
      </c>
      <c r="L144" s="56">
        <f t="shared" ref="L144:L207" si="22">SUM(C144:K144)</f>
        <v>1150</v>
      </c>
      <c r="M144" s="66">
        <v>600</v>
      </c>
      <c r="N144" s="56">
        <f>100</f>
        <v>100</v>
      </c>
      <c r="O144" s="59">
        <v>240</v>
      </c>
      <c r="P144" s="59">
        <v>40</v>
      </c>
      <c r="Q144" s="59">
        <f t="shared" ref="Q144:Q207" si="23">695-R144-O144-P144</f>
        <v>315</v>
      </c>
      <c r="R144" s="59">
        <f t="shared" ref="R144:R207" si="24">200-J144</f>
        <v>100</v>
      </c>
      <c r="S144" s="56">
        <f t="shared" ref="S144:S207" si="25">SUM(O144:R144)</f>
        <v>695</v>
      </c>
      <c r="T144" s="56">
        <f>50</f>
        <v>50</v>
      </c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</row>
    <row r="145" spans="1:30" ht="15.75" x14ac:dyDescent="0.25">
      <c r="A145" s="16">
        <v>45689</v>
      </c>
      <c r="B145" s="69">
        <v>28</v>
      </c>
      <c r="C145" s="56">
        <f>122.58</f>
        <v>122.58</v>
      </c>
      <c r="D145" s="56">
        <f>297.941</f>
        <v>297.94099999999997</v>
      </c>
      <c r="E145" s="64">
        <f>89.177</f>
        <v>89.177000000000007</v>
      </c>
      <c r="F145" s="56">
        <f>240.302-40-60-100</f>
        <v>40.301999999999992</v>
      </c>
      <c r="G145" s="59">
        <v>40</v>
      </c>
      <c r="H145" s="56">
        <f>60+100</f>
        <v>160</v>
      </c>
      <c r="I145" s="56">
        <f t="shared" si="18"/>
        <v>0</v>
      </c>
      <c r="J145" s="59">
        <v>100</v>
      </c>
      <c r="K145" s="59">
        <v>300</v>
      </c>
      <c r="L145" s="56">
        <f t="shared" si="22"/>
        <v>1150</v>
      </c>
      <c r="M145" s="66">
        <v>600</v>
      </c>
      <c r="N145" s="56">
        <f>100</f>
        <v>100</v>
      </c>
      <c r="O145" s="59">
        <v>240</v>
      </c>
      <c r="P145" s="59">
        <v>40</v>
      </c>
      <c r="Q145" s="59">
        <f t="shared" si="23"/>
        <v>315</v>
      </c>
      <c r="R145" s="59">
        <f t="shared" si="24"/>
        <v>100</v>
      </c>
      <c r="S145" s="56">
        <f t="shared" si="25"/>
        <v>695</v>
      </c>
      <c r="T145" s="56">
        <f>50</f>
        <v>50</v>
      </c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</row>
    <row r="146" spans="1:30" ht="15.75" x14ac:dyDescent="0.25">
      <c r="A146" s="16">
        <v>45717</v>
      </c>
      <c r="B146" s="69">
        <v>31</v>
      </c>
      <c r="C146" s="56">
        <f>122.58</f>
        <v>122.58</v>
      </c>
      <c r="D146" s="56">
        <f>297.941</f>
        <v>297.94099999999997</v>
      </c>
      <c r="E146" s="64">
        <f>89.177</f>
        <v>89.177000000000007</v>
      </c>
      <c r="F146" s="56">
        <f>240.302-40-60-100</f>
        <v>40.301999999999992</v>
      </c>
      <c r="G146" s="59">
        <v>40</v>
      </c>
      <c r="H146" s="56">
        <f>60+100</f>
        <v>160</v>
      </c>
      <c r="I146" s="56">
        <f t="shared" si="18"/>
        <v>0</v>
      </c>
      <c r="J146" s="59">
        <v>100</v>
      </c>
      <c r="K146" s="59">
        <v>300</v>
      </c>
      <c r="L146" s="56">
        <f t="shared" si="22"/>
        <v>1150</v>
      </c>
      <c r="M146" s="66">
        <v>600</v>
      </c>
      <c r="N146" s="56">
        <f>100</f>
        <v>100</v>
      </c>
      <c r="O146" s="59">
        <v>240</v>
      </c>
      <c r="P146" s="59">
        <v>40</v>
      </c>
      <c r="Q146" s="59">
        <f t="shared" si="23"/>
        <v>315</v>
      </c>
      <c r="R146" s="59">
        <f t="shared" si="24"/>
        <v>100</v>
      </c>
      <c r="S146" s="56">
        <f t="shared" si="25"/>
        <v>695</v>
      </c>
      <c r="T146" s="56">
        <f>50</f>
        <v>50</v>
      </c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</row>
    <row r="147" spans="1:30" ht="15.75" x14ac:dyDescent="0.25">
      <c r="A147" s="16">
        <v>45748</v>
      </c>
      <c r="B147" s="69">
        <v>30</v>
      </c>
      <c r="C147" s="56">
        <f>141.293</f>
        <v>141.29300000000001</v>
      </c>
      <c r="D147" s="56">
        <f>267.993</f>
        <v>267.99299999999999</v>
      </c>
      <c r="E147" s="64">
        <f>115.016</f>
        <v>115.01600000000001</v>
      </c>
      <c r="F147" s="56">
        <f>314.698-40-25-60-100</f>
        <v>89.697999999999979</v>
      </c>
      <c r="G147" s="59">
        <v>40</v>
      </c>
      <c r="H147" s="56">
        <f t="shared" ref="H147:H153" si="26">25+60+100</f>
        <v>185</v>
      </c>
      <c r="I147" s="56">
        <f t="shared" si="18"/>
        <v>0</v>
      </c>
      <c r="J147" s="59">
        <v>100</v>
      </c>
      <c r="K147" s="59">
        <v>300</v>
      </c>
      <c r="L147" s="56">
        <f t="shared" si="22"/>
        <v>1239</v>
      </c>
      <c r="M147" s="66">
        <v>600</v>
      </c>
      <c r="N147" s="56">
        <f>100</f>
        <v>100</v>
      </c>
      <c r="O147" s="59">
        <v>240</v>
      </c>
      <c r="P147" s="59">
        <v>160</v>
      </c>
      <c r="Q147" s="59">
        <f t="shared" si="23"/>
        <v>195</v>
      </c>
      <c r="R147" s="59">
        <f t="shared" si="24"/>
        <v>100</v>
      </c>
      <c r="S147" s="56">
        <f t="shared" si="25"/>
        <v>695</v>
      </c>
      <c r="T147" s="56">
        <f>50</f>
        <v>50</v>
      </c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</row>
    <row r="148" spans="1:30" ht="15.75" x14ac:dyDescent="0.25">
      <c r="A148" s="16">
        <v>45778</v>
      </c>
      <c r="B148" s="69">
        <v>31</v>
      </c>
      <c r="C148" s="56">
        <f>194.205</f>
        <v>194.20500000000001</v>
      </c>
      <c r="D148" s="56">
        <f>267.466</f>
        <v>267.46600000000001</v>
      </c>
      <c r="E148" s="64">
        <f>133.845</f>
        <v>133.845</v>
      </c>
      <c r="F148" s="56">
        <f>278.484-40-25-60-100</f>
        <v>53.48399999999998</v>
      </c>
      <c r="G148" s="59">
        <v>40</v>
      </c>
      <c r="H148" s="56">
        <f t="shared" si="26"/>
        <v>185</v>
      </c>
      <c r="I148" s="56">
        <f t="shared" si="18"/>
        <v>0</v>
      </c>
      <c r="J148" s="59">
        <v>100</v>
      </c>
      <c r="K148" s="59">
        <v>300</v>
      </c>
      <c r="L148" s="56">
        <f t="shared" si="22"/>
        <v>1274</v>
      </c>
      <c r="M148" s="66">
        <v>600</v>
      </c>
      <c r="N148" s="56">
        <f>75</f>
        <v>75</v>
      </c>
      <c r="O148" s="59">
        <v>240</v>
      </c>
      <c r="P148" s="59">
        <v>160</v>
      </c>
      <c r="Q148" s="59">
        <f t="shared" si="23"/>
        <v>195</v>
      </c>
      <c r="R148" s="59">
        <f t="shared" si="24"/>
        <v>100</v>
      </c>
      <c r="S148" s="56">
        <f t="shared" si="25"/>
        <v>695</v>
      </c>
      <c r="T148" s="56">
        <f>50</f>
        <v>50</v>
      </c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</row>
    <row r="149" spans="1:30" ht="15.75" x14ac:dyDescent="0.25">
      <c r="A149" s="16">
        <v>45809</v>
      </c>
      <c r="B149" s="69">
        <v>30</v>
      </c>
      <c r="C149" s="56">
        <f>194.205</f>
        <v>194.20500000000001</v>
      </c>
      <c r="D149" s="56">
        <f>267.466</f>
        <v>267.46600000000001</v>
      </c>
      <c r="E149" s="64">
        <f>133.845</f>
        <v>133.845</v>
      </c>
      <c r="F149" s="56">
        <f>278.484-40-25-60-100</f>
        <v>53.48399999999998</v>
      </c>
      <c r="G149" s="59">
        <v>40</v>
      </c>
      <c r="H149" s="56">
        <f t="shared" si="26"/>
        <v>185</v>
      </c>
      <c r="I149" s="56">
        <f t="shared" si="18"/>
        <v>0</v>
      </c>
      <c r="J149" s="59">
        <v>100</v>
      </c>
      <c r="K149" s="59">
        <v>300</v>
      </c>
      <c r="L149" s="56">
        <f t="shared" si="22"/>
        <v>1274</v>
      </c>
      <c r="M149" s="66">
        <v>600</v>
      </c>
      <c r="N149" s="56">
        <f>30</f>
        <v>30</v>
      </c>
      <c r="O149" s="59">
        <v>240</v>
      </c>
      <c r="P149" s="59">
        <v>160</v>
      </c>
      <c r="Q149" s="59">
        <f t="shared" si="23"/>
        <v>195</v>
      </c>
      <c r="R149" s="59">
        <f t="shared" si="24"/>
        <v>100</v>
      </c>
      <c r="S149" s="56">
        <f t="shared" si="25"/>
        <v>695</v>
      </c>
      <c r="T149" s="56">
        <f>50</f>
        <v>50</v>
      </c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</row>
    <row r="150" spans="1:30" ht="15.75" x14ac:dyDescent="0.25">
      <c r="A150" s="16">
        <v>45839</v>
      </c>
      <c r="B150" s="69">
        <v>31</v>
      </c>
      <c r="C150" s="56">
        <f>194.205</f>
        <v>194.20500000000001</v>
      </c>
      <c r="D150" s="56">
        <f>267.466</f>
        <v>267.46600000000001</v>
      </c>
      <c r="E150" s="64">
        <f>133.845</f>
        <v>133.845</v>
      </c>
      <c r="F150" s="56">
        <f>278.484-40-25-60-100</f>
        <v>53.48399999999998</v>
      </c>
      <c r="G150" s="59">
        <v>40</v>
      </c>
      <c r="H150" s="56">
        <f t="shared" si="26"/>
        <v>185</v>
      </c>
      <c r="I150" s="56">
        <f t="shared" si="18"/>
        <v>0</v>
      </c>
      <c r="J150" s="59">
        <v>100</v>
      </c>
      <c r="K150" s="59">
        <v>300</v>
      </c>
      <c r="L150" s="56">
        <f t="shared" si="22"/>
        <v>1274</v>
      </c>
      <c r="M150" s="66">
        <v>600</v>
      </c>
      <c r="N150" s="56">
        <f>30</f>
        <v>30</v>
      </c>
      <c r="O150" s="59">
        <v>240</v>
      </c>
      <c r="P150" s="59">
        <v>160</v>
      </c>
      <c r="Q150" s="59">
        <f t="shared" si="23"/>
        <v>195</v>
      </c>
      <c r="R150" s="59">
        <f t="shared" si="24"/>
        <v>100</v>
      </c>
      <c r="S150" s="56">
        <f t="shared" si="25"/>
        <v>695</v>
      </c>
      <c r="T150" s="56">
        <f>0</f>
        <v>0</v>
      </c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</row>
    <row r="151" spans="1:30" ht="15.75" x14ac:dyDescent="0.25">
      <c r="A151" s="16">
        <v>45870</v>
      </c>
      <c r="B151" s="69">
        <v>31</v>
      </c>
      <c r="C151" s="56">
        <f>194.205</f>
        <v>194.20500000000001</v>
      </c>
      <c r="D151" s="56">
        <f>267.466</f>
        <v>267.46600000000001</v>
      </c>
      <c r="E151" s="64">
        <f>133.845</f>
        <v>133.845</v>
      </c>
      <c r="F151" s="56">
        <f>278.484-40-25-60-100</f>
        <v>53.48399999999998</v>
      </c>
      <c r="G151" s="59">
        <v>40</v>
      </c>
      <c r="H151" s="56">
        <f t="shared" si="26"/>
        <v>185</v>
      </c>
      <c r="I151" s="56">
        <f t="shared" si="18"/>
        <v>0</v>
      </c>
      <c r="J151" s="59">
        <v>100</v>
      </c>
      <c r="K151" s="59">
        <v>300</v>
      </c>
      <c r="L151" s="56">
        <f t="shared" si="22"/>
        <v>1274</v>
      </c>
      <c r="M151" s="66">
        <v>600</v>
      </c>
      <c r="N151" s="56">
        <f>30</f>
        <v>30</v>
      </c>
      <c r="O151" s="59">
        <v>240</v>
      </c>
      <c r="P151" s="59">
        <v>160</v>
      </c>
      <c r="Q151" s="59">
        <f t="shared" si="23"/>
        <v>195</v>
      </c>
      <c r="R151" s="59">
        <f t="shared" si="24"/>
        <v>100</v>
      </c>
      <c r="S151" s="56">
        <f t="shared" si="25"/>
        <v>695</v>
      </c>
      <c r="T151" s="56">
        <f>0</f>
        <v>0</v>
      </c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</row>
    <row r="152" spans="1:30" ht="15.75" x14ac:dyDescent="0.25">
      <c r="A152" s="16">
        <v>45901</v>
      </c>
      <c r="B152" s="69">
        <v>30</v>
      </c>
      <c r="C152" s="56">
        <f>194.205</f>
        <v>194.20500000000001</v>
      </c>
      <c r="D152" s="56">
        <f>267.466</f>
        <v>267.46600000000001</v>
      </c>
      <c r="E152" s="64">
        <f>133.845</f>
        <v>133.845</v>
      </c>
      <c r="F152" s="56">
        <f>278.484-40-25-60-100</f>
        <v>53.48399999999998</v>
      </c>
      <c r="G152" s="59">
        <v>40</v>
      </c>
      <c r="H152" s="56">
        <f t="shared" si="26"/>
        <v>185</v>
      </c>
      <c r="I152" s="56">
        <f t="shared" si="18"/>
        <v>0</v>
      </c>
      <c r="J152" s="59">
        <v>100</v>
      </c>
      <c r="K152" s="59">
        <v>300</v>
      </c>
      <c r="L152" s="56">
        <f t="shared" si="22"/>
        <v>1274</v>
      </c>
      <c r="M152" s="66">
        <v>600</v>
      </c>
      <c r="N152" s="56">
        <f>30</f>
        <v>30</v>
      </c>
      <c r="O152" s="59">
        <v>240</v>
      </c>
      <c r="P152" s="59">
        <v>160</v>
      </c>
      <c r="Q152" s="59">
        <f t="shared" si="23"/>
        <v>195</v>
      </c>
      <c r="R152" s="59">
        <f t="shared" si="24"/>
        <v>100</v>
      </c>
      <c r="S152" s="56">
        <f t="shared" si="25"/>
        <v>695</v>
      </c>
      <c r="T152" s="56">
        <f>0</f>
        <v>0</v>
      </c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</row>
    <row r="153" spans="1:30" ht="15.75" x14ac:dyDescent="0.25">
      <c r="A153" s="16">
        <v>45931</v>
      </c>
      <c r="B153" s="69">
        <v>31</v>
      </c>
      <c r="C153" s="56">
        <f>131.881</f>
        <v>131.881</v>
      </c>
      <c r="D153" s="56">
        <f>277.167</f>
        <v>277.16699999999997</v>
      </c>
      <c r="E153" s="64">
        <f>79.08</f>
        <v>79.08</v>
      </c>
      <c r="F153" s="56">
        <f>350.872-40-25-60-100</f>
        <v>125.87200000000001</v>
      </c>
      <c r="G153" s="59">
        <v>40</v>
      </c>
      <c r="H153" s="56">
        <f t="shared" si="26"/>
        <v>185</v>
      </c>
      <c r="I153" s="56">
        <f t="shared" si="18"/>
        <v>0</v>
      </c>
      <c r="J153" s="59">
        <v>100</v>
      </c>
      <c r="K153" s="59">
        <v>300</v>
      </c>
      <c r="L153" s="56">
        <f t="shared" si="22"/>
        <v>1239</v>
      </c>
      <c r="M153" s="66">
        <v>600</v>
      </c>
      <c r="N153" s="56">
        <f>75</f>
        <v>75</v>
      </c>
      <c r="O153" s="59">
        <v>240</v>
      </c>
      <c r="P153" s="59">
        <v>160</v>
      </c>
      <c r="Q153" s="59">
        <f t="shared" si="23"/>
        <v>195</v>
      </c>
      <c r="R153" s="59">
        <f t="shared" si="24"/>
        <v>100</v>
      </c>
      <c r="S153" s="56">
        <f t="shared" si="25"/>
        <v>695</v>
      </c>
      <c r="T153" s="56">
        <f>0</f>
        <v>0</v>
      </c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</row>
    <row r="154" spans="1:30" ht="15.75" x14ac:dyDescent="0.25">
      <c r="A154" s="16">
        <v>45962</v>
      </c>
      <c r="B154" s="69">
        <v>30</v>
      </c>
      <c r="C154" s="56">
        <f>122.58</f>
        <v>122.58</v>
      </c>
      <c r="D154" s="56">
        <f>297.941</f>
        <v>297.94099999999997</v>
      </c>
      <c r="E154" s="64">
        <f>89.177</f>
        <v>89.177000000000007</v>
      </c>
      <c r="F154" s="56">
        <f>240.302-40-60-100</f>
        <v>40.301999999999992</v>
      </c>
      <c r="G154" s="59">
        <v>40</v>
      </c>
      <c r="H154" s="56">
        <f>60+100</f>
        <v>160</v>
      </c>
      <c r="I154" s="56">
        <f t="shared" si="18"/>
        <v>0</v>
      </c>
      <c r="J154" s="59">
        <v>100</v>
      </c>
      <c r="K154" s="59">
        <v>300</v>
      </c>
      <c r="L154" s="56">
        <f t="shared" si="22"/>
        <v>1150</v>
      </c>
      <c r="M154" s="66">
        <v>600</v>
      </c>
      <c r="N154" s="56">
        <f>100</f>
        <v>100</v>
      </c>
      <c r="O154" s="59">
        <v>240</v>
      </c>
      <c r="P154" s="59">
        <v>40</v>
      </c>
      <c r="Q154" s="59">
        <f t="shared" si="23"/>
        <v>315</v>
      </c>
      <c r="R154" s="59">
        <f t="shared" si="24"/>
        <v>100</v>
      </c>
      <c r="S154" s="56">
        <f t="shared" si="25"/>
        <v>695</v>
      </c>
      <c r="T154" s="56">
        <f>50</f>
        <v>50</v>
      </c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</row>
    <row r="155" spans="1:30" ht="15.75" x14ac:dyDescent="0.25">
      <c r="A155" s="16">
        <v>45992</v>
      </c>
      <c r="B155" s="69">
        <v>31</v>
      </c>
      <c r="C155" s="56">
        <f>122.58</f>
        <v>122.58</v>
      </c>
      <c r="D155" s="56">
        <f>297.941</f>
        <v>297.94099999999997</v>
      </c>
      <c r="E155" s="64">
        <f>89.177</f>
        <v>89.177000000000007</v>
      </c>
      <c r="F155" s="56">
        <f>240.302-40-60-100</f>
        <v>40.301999999999992</v>
      </c>
      <c r="G155" s="59">
        <v>40</v>
      </c>
      <c r="H155" s="56">
        <f>60+100</f>
        <v>160</v>
      </c>
      <c r="I155" s="56">
        <f t="shared" si="18"/>
        <v>0</v>
      </c>
      <c r="J155" s="59">
        <v>100</v>
      </c>
      <c r="K155" s="59">
        <v>300</v>
      </c>
      <c r="L155" s="56">
        <f t="shared" si="22"/>
        <v>1150</v>
      </c>
      <c r="M155" s="66">
        <v>600</v>
      </c>
      <c r="N155" s="56">
        <f>100</f>
        <v>100</v>
      </c>
      <c r="O155" s="59">
        <v>240</v>
      </c>
      <c r="P155" s="59">
        <v>40</v>
      </c>
      <c r="Q155" s="59">
        <f t="shared" si="23"/>
        <v>315</v>
      </c>
      <c r="R155" s="59">
        <f t="shared" si="24"/>
        <v>100</v>
      </c>
      <c r="S155" s="56">
        <f t="shared" si="25"/>
        <v>695</v>
      </c>
      <c r="T155" s="56">
        <f>50</f>
        <v>50</v>
      </c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</row>
    <row r="156" spans="1:30" ht="15.75" x14ac:dyDescent="0.25">
      <c r="A156" s="16">
        <v>46023</v>
      </c>
      <c r="B156" s="69">
        <v>31</v>
      </c>
      <c r="C156" s="56">
        <f>122.58</f>
        <v>122.58</v>
      </c>
      <c r="D156" s="56">
        <f>297.941</f>
        <v>297.94099999999997</v>
      </c>
      <c r="E156" s="64">
        <f>89.177</f>
        <v>89.177000000000007</v>
      </c>
      <c r="F156" s="56">
        <f>240.302-40-60-100</f>
        <v>40.301999999999992</v>
      </c>
      <c r="G156" s="59">
        <v>40</v>
      </c>
      <c r="H156" s="56">
        <f>60+100</f>
        <v>160</v>
      </c>
      <c r="I156" s="56">
        <f t="shared" si="18"/>
        <v>0</v>
      </c>
      <c r="J156" s="59">
        <v>100</v>
      </c>
      <c r="K156" s="59">
        <v>300</v>
      </c>
      <c r="L156" s="56">
        <f t="shared" si="22"/>
        <v>1150</v>
      </c>
      <c r="M156" s="66">
        <v>600</v>
      </c>
      <c r="N156" s="56">
        <f>100</f>
        <v>100</v>
      </c>
      <c r="O156" s="59">
        <v>240</v>
      </c>
      <c r="P156" s="59">
        <v>40</v>
      </c>
      <c r="Q156" s="59">
        <f t="shared" si="23"/>
        <v>315</v>
      </c>
      <c r="R156" s="59">
        <f t="shared" si="24"/>
        <v>100</v>
      </c>
      <c r="S156" s="56">
        <f t="shared" si="25"/>
        <v>695</v>
      </c>
      <c r="T156" s="56">
        <f>50</f>
        <v>50</v>
      </c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</row>
    <row r="157" spans="1:30" ht="15.75" x14ac:dyDescent="0.25">
      <c r="A157" s="16">
        <v>46054</v>
      </c>
      <c r="B157" s="69">
        <v>28</v>
      </c>
      <c r="C157" s="56">
        <f>122.58</f>
        <v>122.58</v>
      </c>
      <c r="D157" s="56">
        <f>297.941</f>
        <v>297.94099999999997</v>
      </c>
      <c r="E157" s="64">
        <f>89.177</f>
        <v>89.177000000000007</v>
      </c>
      <c r="F157" s="56">
        <f>240.302-40-60-100</f>
        <v>40.301999999999992</v>
      </c>
      <c r="G157" s="59">
        <v>40</v>
      </c>
      <c r="H157" s="56">
        <f>60+100</f>
        <v>160</v>
      </c>
      <c r="I157" s="56">
        <f t="shared" si="18"/>
        <v>0</v>
      </c>
      <c r="J157" s="59">
        <v>100</v>
      </c>
      <c r="K157" s="59">
        <v>300</v>
      </c>
      <c r="L157" s="56">
        <f t="shared" si="22"/>
        <v>1150</v>
      </c>
      <c r="M157" s="66">
        <v>600</v>
      </c>
      <c r="N157" s="56">
        <f>100</f>
        <v>100</v>
      </c>
      <c r="O157" s="59">
        <v>240</v>
      </c>
      <c r="P157" s="59">
        <v>40</v>
      </c>
      <c r="Q157" s="59">
        <f t="shared" si="23"/>
        <v>315</v>
      </c>
      <c r="R157" s="59">
        <f t="shared" si="24"/>
        <v>100</v>
      </c>
      <c r="S157" s="56">
        <f t="shared" si="25"/>
        <v>695</v>
      </c>
      <c r="T157" s="56">
        <f>50</f>
        <v>50</v>
      </c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</row>
    <row r="158" spans="1:30" ht="15.75" x14ac:dyDescent="0.25">
      <c r="A158" s="16">
        <v>46082</v>
      </c>
      <c r="B158" s="69">
        <v>31</v>
      </c>
      <c r="C158" s="56">
        <f>122.58</f>
        <v>122.58</v>
      </c>
      <c r="D158" s="56">
        <f>297.941</f>
        <v>297.94099999999997</v>
      </c>
      <c r="E158" s="64">
        <f>89.177</f>
        <v>89.177000000000007</v>
      </c>
      <c r="F158" s="56">
        <f>240.302-40-60-100</f>
        <v>40.301999999999992</v>
      </c>
      <c r="G158" s="59">
        <v>40</v>
      </c>
      <c r="H158" s="56">
        <f>60+100</f>
        <v>160</v>
      </c>
      <c r="I158" s="56">
        <f t="shared" si="18"/>
        <v>0</v>
      </c>
      <c r="J158" s="59">
        <v>100</v>
      </c>
      <c r="K158" s="59">
        <v>300</v>
      </c>
      <c r="L158" s="56">
        <f t="shared" si="22"/>
        <v>1150</v>
      </c>
      <c r="M158" s="66">
        <v>600</v>
      </c>
      <c r="N158" s="56">
        <f>100</f>
        <v>100</v>
      </c>
      <c r="O158" s="59">
        <v>240</v>
      </c>
      <c r="P158" s="59">
        <v>40</v>
      </c>
      <c r="Q158" s="59">
        <f t="shared" si="23"/>
        <v>315</v>
      </c>
      <c r="R158" s="59">
        <f t="shared" si="24"/>
        <v>100</v>
      </c>
      <c r="S158" s="56">
        <f t="shared" si="25"/>
        <v>695</v>
      </c>
      <c r="T158" s="56">
        <f>50</f>
        <v>50</v>
      </c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</row>
    <row r="159" spans="1:30" ht="15.75" x14ac:dyDescent="0.25">
      <c r="A159" s="16">
        <v>46113</v>
      </c>
      <c r="B159" s="69">
        <v>30</v>
      </c>
      <c r="C159" s="56">
        <f>141.293</f>
        <v>141.29300000000001</v>
      </c>
      <c r="D159" s="56">
        <f>267.993</f>
        <v>267.99299999999999</v>
      </c>
      <c r="E159" s="64">
        <f>115.016</f>
        <v>115.01600000000001</v>
      </c>
      <c r="F159" s="56">
        <f>314.698-40-25-60-100</f>
        <v>89.697999999999979</v>
      </c>
      <c r="G159" s="59">
        <v>40</v>
      </c>
      <c r="H159" s="56">
        <f t="shared" ref="H159:H165" si="27">25+60+100</f>
        <v>185</v>
      </c>
      <c r="I159" s="56">
        <f t="shared" si="18"/>
        <v>0</v>
      </c>
      <c r="J159" s="59">
        <v>100</v>
      </c>
      <c r="K159" s="59">
        <v>300</v>
      </c>
      <c r="L159" s="56">
        <f t="shared" si="22"/>
        <v>1239</v>
      </c>
      <c r="M159" s="66">
        <v>600</v>
      </c>
      <c r="N159" s="56">
        <f>100</f>
        <v>100</v>
      </c>
      <c r="O159" s="59">
        <v>240</v>
      </c>
      <c r="P159" s="59">
        <v>160</v>
      </c>
      <c r="Q159" s="59">
        <f t="shared" si="23"/>
        <v>195</v>
      </c>
      <c r="R159" s="59">
        <f t="shared" si="24"/>
        <v>100</v>
      </c>
      <c r="S159" s="56">
        <f t="shared" si="25"/>
        <v>695</v>
      </c>
      <c r="T159" s="56">
        <f>50</f>
        <v>50</v>
      </c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</row>
    <row r="160" spans="1:30" ht="15.75" x14ac:dyDescent="0.25">
      <c r="A160" s="16">
        <v>46143</v>
      </c>
      <c r="B160" s="69">
        <v>31</v>
      </c>
      <c r="C160" s="56">
        <f>194.205</f>
        <v>194.20500000000001</v>
      </c>
      <c r="D160" s="56">
        <f>267.466</f>
        <v>267.46600000000001</v>
      </c>
      <c r="E160" s="64">
        <f>133.845</f>
        <v>133.845</v>
      </c>
      <c r="F160" s="56">
        <f>278.484-40-25-60-100</f>
        <v>53.48399999999998</v>
      </c>
      <c r="G160" s="59">
        <v>40</v>
      </c>
      <c r="H160" s="56">
        <f t="shared" si="27"/>
        <v>185</v>
      </c>
      <c r="I160" s="56">
        <f t="shared" si="18"/>
        <v>0</v>
      </c>
      <c r="J160" s="59">
        <v>100</v>
      </c>
      <c r="K160" s="59">
        <v>300</v>
      </c>
      <c r="L160" s="56">
        <f t="shared" si="22"/>
        <v>1274</v>
      </c>
      <c r="M160" s="66">
        <v>600</v>
      </c>
      <c r="N160" s="56">
        <f>75</f>
        <v>75</v>
      </c>
      <c r="O160" s="59">
        <v>240</v>
      </c>
      <c r="P160" s="59">
        <v>160</v>
      </c>
      <c r="Q160" s="59">
        <f t="shared" si="23"/>
        <v>195</v>
      </c>
      <c r="R160" s="59">
        <f t="shared" si="24"/>
        <v>100</v>
      </c>
      <c r="S160" s="56">
        <f t="shared" si="25"/>
        <v>695</v>
      </c>
      <c r="T160" s="56">
        <f>50</f>
        <v>50</v>
      </c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</row>
    <row r="161" spans="1:30" ht="15.75" x14ac:dyDescent="0.25">
      <c r="A161" s="16">
        <v>46174</v>
      </c>
      <c r="B161" s="69">
        <v>30</v>
      </c>
      <c r="C161" s="56">
        <f>194.205</f>
        <v>194.20500000000001</v>
      </c>
      <c r="D161" s="56">
        <f>267.466</f>
        <v>267.46600000000001</v>
      </c>
      <c r="E161" s="64">
        <f>133.845</f>
        <v>133.845</v>
      </c>
      <c r="F161" s="56">
        <f>278.484-40-25-60-100</f>
        <v>53.48399999999998</v>
      </c>
      <c r="G161" s="59">
        <v>40</v>
      </c>
      <c r="H161" s="56">
        <f t="shared" si="27"/>
        <v>185</v>
      </c>
      <c r="I161" s="56">
        <f t="shared" si="18"/>
        <v>0</v>
      </c>
      <c r="J161" s="59">
        <v>100</v>
      </c>
      <c r="K161" s="59">
        <v>300</v>
      </c>
      <c r="L161" s="56">
        <f t="shared" si="22"/>
        <v>1274</v>
      </c>
      <c r="M161" s="66">
        <v>600</v>
      </c>
      <c r="N161" s="56">
        <f>30</f>
        <v>30</v>
      </c>
      <c r="O161" s="59">
        <v>240</v>
      </c>
      <c r="P161" s="59">
        <v>160</v>
      </c>
      <c r="Q161" s="59">
        <f t="shared" si="23"/>
        <v>195</v>
      </c>
      <c r="R161" s="59">
        <f t="shared" si="24"/>
        <v>100</v>
      </c>
      <c r="S161" s="56">
        <f t="shared" si="25"/>
        <v>695</v>
      </c>
      <c r="T161" s="56">
        <f>50</f>
        <v>50</v>
      </c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</row>
    <row r="162" spans="1:30" ht="15.75" x14ac:dyDescent="0.25">
      <c r="A162" s="16">
        <v>46204</v>
      </c>
      <c r="B162" s="69">
        <v>31</v>
      </c>
      <c r="C162" s="56">
        <f>194.205</f>
        <v>194.20500000000001</v>
      </c>
      <c r="D162" s="56">
        <f>267.466</f>
        <v>267.46600000000001</v>
      </c>
      <c r="E162" s="64">
        <f>133.845</f>
        <v>133.845</v>
      </c>
      <c r="F162" s="56">
        <f>278.484-40-25-60-100</f>
        <v>53.48399999999998</v>
      </c>
      <c r="G162" s="59">
        <v>40</v>
      </c>
      <c r="H162" s="56">
        <f t="shared" si="27"/>
        <v>185</v>
      </c>
      <c r="I162" s="56">
        <f t="shared" si="18"/>
        <v>0</v>
      </c>
      <c r="J162" s="59">
        <v>100</v>
      </c>
      <c r="K162" s="59">
        <v>300</v>
      </c>
      <c r="L162" s="56">
        <f t="shared" si="22"/>
        <v>1274</v>
      </c>
      <c r="M162" s="66">
        <v>600</v>
      </c>
      <c r="N162" s="56">
        <f>30</f>
        <v>30</v>
      </c>
      <c r="O162" s="59">
        <v>240</v>
      </c>
      <c r="P162" s="59">
        <v>160</v>
      </c>
      <c r="Q162" s="59">
        <f t="shared" si="23"/>
        <v>195</v>
      </c>
      <c r="R162" s="59">
        <f t="shared" si="24"/>
        <v>100</v>
      </c>
      <c r="S162" s="56">
        <f t="shared" si="25"/>
        <v>695</v>
      </c>
      <c r="T162" s="56">
        <f>0</f>
        <v>0</v>
      </c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</row>
    <row r="163" spans="1:30" ht="15.75" x14ac:dyDescent="0.25">
      <c r="A163" s="16">
        <v>46235</v>
      </c>
      <c r="B163" s="69">
        <v>31</v>
      </c>
      <c r="C163" s="56">
        <f>194.205</f>
        <v>194.20500000000001</v>
      </c>
      <c r="D163" s="56">
        <f>267.466</f>
        <v>267.46600000000001</v>
      </c>
      <c r="E163" s="64">
        <f>133.845</f>
        <v>133.845</v>
      </c>
      <c r="F163" s="56">
        <f>278.484-40-25-60-100</f>
        <v>53.48399999999998</v>
      </c>
      <c r="G163" s="59">
        <v>40</v>
      </c>
      <c r="H163" s="56">
        <f t="shared" si="27"/>
        <v>185</v>
      </c>
      <c r="I163" s="56">
        <f t="shared" si="18"/>
        <v>0</v>
      </c>
      <c r="J163" s="59">
        <v>100</v>
      </c>
      <c r="K163" s="59">
        <v>300</v>
      </c>
      <c r="L163" s="56">
        <f t="shared" si="22"/>
        <v>1274</v>
      </c>
      <c r="M163" s="66">
        <v>600</v>
      </c>
      <c r="N163" s="56">
        <f>30</f>
        <v>30</v>
      </c>
      <c r="O163" s="59">
        <v>240</v>
      </c>
      <c r="P163" s="59">
        <v>160</v>
      </c>
      <c r="Q163" s="59">
        <f t="shared" si="23"/>
        <v>195</v>
      </c>
      <c r="R163" s="59">
        <f t="shared" si="24"/>
        <v>100</v>
      </c>
      <c r="S163" s="56">
        <f t="shared" si="25"/>
        <v>695</v>
      </c>
      <c r="T163" s="56">
        <f>0</f>
        <v>0</v>
      </c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</row>
    <row r="164" spans="1:30" ht="15.75" x14ac:dyDescent="0.25">
      <c r="A164" s="16">
        <v>46266</v>
      </c>
      <c r="B164" s="69">
        <v>30</v>
      </c>
      <c r="C164" s="56">
        <f>194.205</f>
        <v>194.20500000000001</v>
      </c>
      <c r="D164" s="56">
        <f>267.466</f>
        <v>267.46600000000001</v>
      </c>
      <c r="E164" s="64">
        <f>133.845</f>
        <v>133.845</v>
      </c>
      <c r="F164" s="56">
        <f>278.484-40-25-60-100</f>
        <v>53.48399999999998</v>
      </c>
      <c r="G164" s="59">
        <v>40</v>
      </c>
      <c r="H164" s="56">
        <f t="shared" si="27"/>
        <v>185</v>
      </c>
      <c r="I164" s="56">
        <f t="shared" si="18"/>
        <v>0</v>
      </c>
      <c r="J164" s="59">
        <v>100</v>
      </c>
      <c r="K164" s="59">
        <v>300</v>
      </c>
      <c r="L164" s="56">
        <f t="shared" si="22"/>
        <v>1274</v>
      </c>
      <c r="M164" s="66">
        <v>600</v>
      </c>
      <c r="N164" s="56">
        <f>30</f>
        <v>30</v>
      </c>
      <c r="O164" s="59">
        <v>240</v>
      </c>
      <c r="P164" s="59">
        <v>160</v>
      </c>
      <c r="Q164" s="59">
        <f t="shared" si="23"/>
        <v>195</v>
      </c>
      <c r="R164" s="59">
        <f t="shared" si="24"/>
        <v>100</v>
      </c>
      <c r="S164" s="56">
        <f t="shared" si="25"/>
        <v>695</v>
      </c>
      <c r="T164" s="56">
        <f>0</f>
        <v>0</v>
      </c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</row>
    <row r="165" spans="1:30" ht="15.75" x14ac:dyDescent="0.25">
      <c r="A165" s="16">
        <v>46296</v>
      </c>
      <c r="B165" s="69">
        <v>31</v>
      </c>
      <c r="C165" s="56">
        <f>131.881</f>
        <v>131.881</v>
      </c>
      <c r="D165" s="56">
        <f>277.167</f>
        <v>277.16699999999997</v>
      </c>
      <c r="E165" s="64">
        <f>79.08</f>
        <v>79.08</v>
      </c>
      <c r="F165" s="56">
        <f>350.872-40-25-60-100</f>
        <v>125.87200000000001</v>
      </c>
      <c r="G165" s="59">
        <v>40</v>
      </c>
      <c r="H165" s="56">
        <f t="shared" si="27"/>
        <v>185</v>
      </c>
      <c r="I165" s="56">
        <f t="shared" si="18"/>
        <v>0</v>
      </c>
      <c r="J165" s="59">
        <v>100</v>
      </c>
      <c r="K165" s="59">
        <v>300</v>
      </c>
      <c r="L165" s="56">
        <f t="shared" si="22"/>
        <v>1239</v>
      </c>
      <c r="M165" s="66">
        <v>600</v>
      </c>
      <c r="N165" s="56">
        <f>75</f>
        <v>75</v>
      </c>
      <c r="O165" s="59">
        <v>240</v>
      </c>
      <c r="P165" s="59">
        <v>160</v>
      </c>
      <c r="Q165" s="59">
        <f t="shared" si="23"/>
        <v>195</v>
      </c>
      <c r="R165" s="59">
        <f t="shared" si="24"/>
        <v>100</v>
      </c>
      <c r="S165" s="56">
        <f t="shared" si="25"/>
        <v>695</v>
      </c>
      <c r="T165" s="56">
        <f>0</f>
        <v>0</v>
      </c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</row>
    <row r="166" spans="1:30" ht="15.75" x14ac:dyDescent="0.25">
      <c r="A166" s="16">
        <v>46327</v>
      </c>
      <c r="B166" s="69">
        <v>30</v>
      </c>
      <c r="C166" s="56">
        <f>122.58</f>
        <v>122.58</v>
      </c>
      <c r="D166" s="56">
        <f>297.941</f>
        <v>297.94099999999997</v>
      </c>
      <c r="E166" s="64">
        <f>89.177</f>
        <v>89.177000000000007</v>
      </c>
      <c r="F166" s="56">
        <f>240.302-40-60-100</f>
        <v>40.301999999999992</v>
      </c>
      <c r="G166" s="59">
        <v>40</v>
      </c>
      <c r="H166" s="56">
        <f>60+100</f>
        <v>160</v>
      </c>
      <c r="I166" s="56">
        <f t="shared" si="18"/>
        <v>0</v>
      </c>
      <c r="J166" s="59">
        <v>100</v>
      </c>
      <c r="K166" s="59">
        <v>300</v>
      </c>
      <c r="L166" s="56">
        <f t="shared" si="22"/>
        <v>1150</v>
      </c>
      <c r="M166" s="66">
        <v>600</v>
      </c>
      <c r="N166" s="56">
        <f>100</f>
        <v>100</v>
      </c>
      <c r="O166" s="59">
        <v>240</v>
      </c>
      <c r="P166" s="59">
        <v>40</v>
      </c>
      <c r="Q166" s="59">
        <f t="shared" si="23"/>
        <v>315</v>
      </c>
      <c r="R166" s="59">
        <f t="shared" si="24"/>
        <v>100</v>
      </c>
      <c r="S166" s="56">
        <f t="shared" si="25"/>
        <v>695</v>
      </c>
      <c r="T166" s="56">
        <f>50</f>
        <v>50</v>
      </c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</row>
    <row r="167" spans="1:30" ht="15.75" x14ac:dyDescent="0.25">
      <c r="A167" s="16">
        <v>46357</v>
      </c>
      <c r="B167" s="69">
        <v>31</v>
      </c>
      <c r="C167" s="56">
        <f>122.58</f>
        <v>122.58</v>
      </c>
      <c r="D167" s="56">
        <f>297.941</f>
        <v>297.94099999999997</v>
      </c>
      <c r="E167" s="64">
        <f>89.177</f>
        <v>89.177000000000007</v>
      </c>
      <c r="F167" s="56">
        <f>240.302-40-60-100</f>
        <v>40.301999999999992</v>
      </c>
      <c r="G167" s="59">
        <v>40</v>
      </c>
      <c r="H167" s="56">
        <f>60+100</f>
        <v>160</v>
      </c>
      <c r="I167" s="56">
        <f t="shared" si="18"/>
        <v>0</v>
      </c>
      <c r="J167" s="59">
        <v>100</v>
      </c>
      <c r="K167" s="59">
        <v>300</v>
      </c>
      <c r="L167" s="56">
        <f t="shared" si="22"/>
        <v>1150</v>
      </c>
      <c r="M167" s="66">
        <v>600</v>
      </c>
      <c r="N167" s="56">
        <f>100</f>
        <v>100</v>
      </c>
      <c r="O167" s="59">
        <v>240</v>
      </c>
      <c r="P167" s="59">
        <v>40</v>
      </c>
      <c r="Q167" s="59">
        <f t="shared" si="23"/>
        <v>315</v>
      </c>
      <c r="R167" s="59">
        <f t="shared" si="24"/>
        <v>100</v>
      </c>
      <c r="S167" s="56">
        <f t="shared" si="25"/>
        <v>695</v>
      </c>
      <c r="T167" s="56">
        <f>50</f>
        <v>50</v>
      </c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</row>
    <row r="168" spans="1:30" ht="15.75" x14ac:dyDescent="0.25">
      <c r="A168" s="16">
        <v>46388</v>
      </c>
      <c r="B168" s="69">
        <v>31</v>
      </c>
      <c r="C168" s="56">
        <f>122.58</f>
        <v>122.58</v>
      </c>
      <c r="D168" s="56">
        <f>297.941</f>
        <v>297.94099999999997</v>
      </c>
      <c r="E168" s="64">
        <f>89.177</f>
        <v>89.177000000000007</v>
      </c>
      <c r="F168" s="56">
        <f>240.302-40-60-100</f>
        <v>40.301999999999992</v>
      </c>
      <c r="G168" s="59">
        <v>40</v>
      </c>
      <c r="H168" s="56">
        <f>60+100</f>
        <v>160</v>
      </c>
      <c r="I168" s="56">
        <f t="shared" ref="I168:I231" si="28">400-J168-K168</f>
        <v>0</v>
      </c>
      <c r="J168" s="59">
        <v>100</v>
      </c>
      <c r="K168" s="59">
        <v>300</v>
      </c>
      <c r="L168" s="56">
        <f t="shared" si="22"/>
        <v>1150</v>
      </c>
      <c r="M168" s="66">
        <v>600</v>
      </c>
      <c r="N168" s="56">
        <f>100</f>
        <v>100</v>
      </c>
      <c r="O168" s="59">
        <v>240</v>
      </c>
      <c r="P168" s="59">
        <v>40</v>
      </c>
      <c r="Q168" s="59">
        <f t="shared" si="23"/>
        <v>315</v>
      </c>
      <c r="R168" s="59">
        <f t="shared" si="24"/>
        <v>100</v>
      </c>
      <c r="S168" s="56">
        <f t="shared" si="25"/>
        <v>695</v>
      </c>
      <c r="T168" s="56">
        <f>50</f>
        <v>50</v>
      </c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</row>
    <row r="169" spans="1:30" ht="15.75" x14ac:dyDescent="0.25">
      <c r="A169" s="16">
        <v>46419</v>
      </c>
      <c r="B169" s="69">
        <v>28</v>
      </c>
      <c r="C169" s="56">
        <f>122.58</f>
        <v>122.58</v>
      </c>
      <c r="D169" s="56">
        <f>297.941</f>
        <v>297.94099999999997</v>
      </c>
      <c r="E169" s="64">
        <f>89.177</f>
        <v>89.177000000000007</v>
      </c>
      <c r="F169" s="56">
        <f>240.302-40-60-100</f>
        <v>40.301999999999992</v>
      </c>
      <c r="G169" s="59">
        <v>40</v>
      </c>
      <c r="H169" s="56">
        <f>60+100</f>
        <v>160</v>
      </c>
      <c r="I169" s="56">
        <f t="shared" si="28"/>
        <v>0</v>
      </c>
      <c r="J169" s="59">
        <v>100</v>
      </c>
      <c r="K169" s="59">
        <v>300</v>
      </c>
      <c r="L169" s="56">
        <f t="shared" si="22"/>
        <v>1150</v>
      </c>
      <c r="M169" s="66">
        <v>600</v>
      </c>
      <c r="N169" s="56">
        <f>100</f>
        <v>100</v>
      </c>
      <c r="O169" s="59">
        <v>240</v>
      </c>
      <c r="P169" s="59">
        <v>40</v>
      </c>
      <c r="Q169" s="59">
        <f t="shared" si="23"/>
        <v>315</v>
      </c>
      <c r="R169" s="59">
        <f t="shared" si="24"/>
        <v>100</v>
      </c>
      <c r="S169" s="56">
        <f t="shared" si="25"/>
        <v>695</v>
      </c>
      <c r="T169" s="56">
        <f>50</f>
        <v>50</v>
      </c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</row>
    <row r="170" spans="1:30" ht="15.75" x14ac:dyDescent="0.25">
      <c r="A170" s="16">
        <v>46447</v>
      </c>
      <c r="B170" s="69">
        <v>31</v>
      </c>
      <c r="C170" s="56">
        <f>122.58</f>
        <v>122.58</v>
      </c>
      <c r="D170" s="56">
        <f>297.941</f>
        <v>297.94099999999997</v>
      </c>
      <c r="E170" s="64">
        <f>89.177</f>
        <v>89.177000000000007</v>
      </c>
      <c r="F170" s="56">
        <f>240.302-40-60-100</f>
        <v>40.301999999999992</v>
      </c>
      <c r="G170" s="59">
        <v>40</v>
      </c>
      <c r="H170" s="56">
        <f>60+100</f>
        <v>160</v>
      </c>
      <c r="I170" s="56">
        <f t="shared" si="28"/>
        <v>0</v>
      </c>
      <c r="J170" s="59">
        <v>100</v>
      </c>
      <c r="K170" s="59">
        <v>300</v>
      </c>
      <c r="L170" s="56">
        <f t="shared" si="22"/>
        <v>1150</v>
      </c>
      <c r="M170" s="66">
        <v>600</v>
      </c>
      <c r="N170" s="56">
        <f>100</f>
        <v>100</v>
      </c>
      <c r="O170" s="59">
        <v>240</v>
      </c>
      <c r="P170" s="59">
        <v>40</v>
      </c>
      <c r="Q170" s="59">
        <f t="shared" si="23"/>
        <v>315</v>
      </c>
      <c r="R170" s="59">
        <f t="shared" si="24"/>
        <v>100</v>
      </c>
      <c r="S170" s="56">
        <f t="shared" si="25"/>
        <v>695</v>
      </c>
      <c r="T170" s="56">
        <f>50</f>
        <v>50</v>
      </c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</row>
    <row r="171" spans="1:30" ht="15.75" x14ac:dyDescent="0.25">
      <c r="A171" s="16">
        <v>46478</v>
      </c>
      <c r="B171" s="69">
        <v>30</v>
      </c>
      <c r="C171" s="56">
        <f>141.293</f>
        <v>141.29300000000001</v>
      </c>
      <c r="D171" s="56">
        <f>267.993</f>
        <v>267.99299999999999</v>
      </c>
      <c r="E171" s="64">
        <f>115.016</f>
        <v>115.01600000000001</v>
      </c>
      <c r="F171" s="56">
        <f>314.698-40-25-60-100</f>
        <v>89.697999999999979</v>
      </c>
      <c r="G171" s="59">
        <v>40</v>
      </c>
      <c r="H171" s="56">
        <f t="shared" ref="H171:H177" si="29">25+60+100</f>
        <v>185</v>
      </c>
      <c r="I171" s="56">
        <f t="shared" si="28"/>
        <v>0</v>
      </c>
      <c r="J171" s="59">
        <v>100</v>
      </c>
      <c r="K171" s="59">
        <v>300</v>
      </c>
      <c r="L171" s="56">
        <f t="shared" si="22"/>
        <v>1239</v>
      </c>
      <c r="M171" s="66">
        <v>600</v>
      </c>
      <c r="N171" s="56">
        <f>100</f>
        <v>100</v>
      </c>
      <c r="O171" s="59">
        <v>240</v>
      </c>
      <c r="P171" s="59">
        <v>160</v>
      </c>
      <c r="Q171" s="59">
        <f t="shared" si="23"/>
        <v>195</v>
      </c>
      <c r="R171" s="59">
        <f t="shared" si="24"/>
        <v>100</v>
      </c>
      <c r="S171" s="56">
        <f t="shared" si="25"/>
        <v>695</v>
      </c>
      <c r="T171" s="56">
        <f>50</f>
        <v>50</v>
      </c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</row>
    <row r="172" spans="1:30" ht="15.75" x14ac:dyDescent="0.25">
      <c r="A172" s="16">
        <v>46508</v>
      </c>
      <c r="B172" s="69">
        <v>31</v>
      </c>
      <c r="C172" s="56">
        <f>194.205</f>
        <v>194.20500000000001</v>
      </c>
      <c r="D172" s="56">
        <f>267.466</f>
        <v>267.46600000000001</v>
      </c>
      <c r="E172" s="64">
        <f>133.845</f>
        <v>133.845</v>
      </c>
      <c r="F172" s="56">
        <f>278.484-40-25-60-100</f>
        <v>53.48399999999998</v>
      </c>
      <c r="G172" s="59">
        <v>40</v>
      </c>
      <c r="H172" s="56">
        <f t="shared" si="29"/>
        <v>185</v>
      </c>
      <c r="I172" s="56">
        <f t="shared" si="28"/>
        <v>0</v>
      </c>
      <c r="J172" s="59">
        <v>100</v>
      </c>
      <c r="K172" s="59">
        <v>300</v>
      </c>
      <c r="L172" s="56">
        <f t="shared" si="22"/>
        <v>1274</v>
      </c>
      <c r="M172" s="66">
        <v>600</v>
      </c>
      <c r="N172" s="56">
        <f>75</f>
        <v>75</v>
      </c>
      <c r="O172" s="59">
        <v>240</v>
      </c>
      <c r="P172" s="59">
        <v>160</v>
      </c>
      <c r="Q172" s="59">
        <f t="shared" si="23"/>
        <v>195</v>
      </c>
      <c r="R172" s="59">
        <f t="shared" si="24"/>
        <v>100</v>
      </c>
      <c r="S172" s="56">
        <f t="shared" si="25"/>
        <v>695</v>
      </c>
      <c r="T172" s="56">
        <f>50</f>
        <v>50</v>
      </c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</row>
    <row r="173" spans="1:30" ht="15.75" x14ac:dyDescent="0.25">
      <c r="A173" s="16">
        <v>46539</v>
      </c>
      <c r="B173" s="69">
        <v>30</v>
      </c>
      <c r="C173" s="56">
        <f>194.205</f>
        <v>194.20500000000001</v>
      </c>
      <c r="D173" s="56">
        <f>267.466</f>
        <v>267.46600000000001</v>
      </c>
      <c r="E173" s="64">
        <f>133.845</f>
        <v>133.845</v>
      </c>
      <c r="F173" s="56">
        <f>278.484-40-25-60-100</f>
        <v>53.48399999999998</v>
      </c>
      <c r="G173" s="59">
        <v>40</v>
      </c>
      <c r="H173" s="56">
        <f t="shared" si="29"/>
        <v>185</v>
      </c>
      <c r="I173" s="56">
        <f t="shared" si="28"/>
        <v>0</v>
      </c>
      <c r="J173" s="59">
        <v>100</v>
      </c>
      <c r="K173" s="59">
        <v>300</v>
      </c>
      <c r="L173" s="56">
        <f t="shared" si="22"/>
        <v>1274</v>
      </c>
      <c r="M173" s="66">
        <v>600</v>
      </c>
      <c r="N173" s="56">
        <f>30</f>
        <v>30</v>
      </c>
      <c r="O173" s="59">
        <v>240</v>
      </c>
      <c r="P173" s="59">
        <v>160</v>
      </c>
      <c r="Q173" s="59">
        <f t="shared" si="23"/>
        <v>195</v>
      </c>
      <c r="R173" s="59">
        <f t="shared" si="24"/>
        <v>100</v>
      </c>
      <c r="S173" s="56">
        <f t="shared" si="25"/>
        <v>695</v>
      </c>
      <c r="T173" s="56">
        <f>50</f>
        <v>50</v>
      </c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</row>
    <row r="174" spans="1:30" ht="15.75" x14ac:dyDescent="0.25">
      <c r="A174" s="16">
        <v>46569</v>
      </c>
      <c r="B174" s="69">
        <v>31</v>
      </c>
      <c r="C174" s="56">
        <f>194.205</f>
        <v>194.20500000000001</v>
      </c>
      <c r="D174" s="56">
        <f>267.466</f>
        <v>267.46600000000001</v>
      </c>
      <c r="E174" s="64">
        <f>133.845</f>
        <v>133.845</v>
      </c>
      <c r="F174" s="56">
        <f>278.484-40-25-60-100</f>
        <v>53.48399999999998</v>
      </c>
      <c r="G174" s="59">
        <v>40</v>
      </c>
      <c r="H174" s="56">
        <f t="shared" si="29"/>
        <v>185</v>
      </c>
      <c r="I174" s="56">
        <f t="shared" si="28"/>
        <v>0</v>
      </c>
      <c r="J174" s="59">
        <v>100</v>
      </c>
      <c r="K174" s="59">
        <v>300</v>
      </c>
      <c r="L174" s="56">
        <f t="shared" si="22"/>
        <v>1274</v>
      </c>
      <c r="M174" s="66">
        <v>600</v>
      </c>
      <c r="N174" s="56">
        <f>30</f>
        <v>30</v>
      </c>
      <c r="O174" s="59">
        <v>240</v>
      </c>
      <c r="P174" s="59">
        <v>160</v>
      </c>
      <c r="Q174" s="59">
        <f t="shared" si="23"/>
        <v>195</v>
      </c>
      <c r="R174" s="59">
        <f t="shared" si="24"/>
        <v>100</v>
      </c>
      <c r="S174" s="56">
        <f t="shared" si="25"/>
        <v>695</v>
      </c>
      <c r="T174" s="56">
        <f>0</f>
        <v>0</v>
      </c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</row>
    <row r="175" spans="1:30" ht="15.75" x14ac:dyDescent="0.25">
      <c r="A175" s="16">
        <v>46600</v>
      </c>
      <c r="B175" s="69">
        <v>31</v>
      </c>
      <c r="C175" s="56">
        <f>194.205</f>
        <v>194.20500000000001</v>
      </c>
      <c r="D175" s="56">
        <f>267.466</f>
        <v>267.46600000000001</v>
      </c>
      <c r="E175" s="64">
        <f>133.845</f>
        <v>133.845</v>
      </c>
      <c r="F175" s="56">
        <f>278.484-40-25-60-100</f>
        <v>53.48399999999998</v>
      </c>
      <c r="G175" s="59">
        <v>40</v>
      </c>
      <c r="H175" s="56">
        <f t="shared" si="29"/>
        <v>185</v>
      </c>
      <c r="I175" s="56">
        <f t="shared" si="28"/>
        <v>0</v>
      </c>
      <c r="J175" s="59">
        <v>100</v>
      </c>
      <c r="K175" s="59">
        <v>300</v>
      </c>
      <c r="L175" s="56">
        <f t="shared" si="22"/>
        <v>1274</v>
      </c>
      <c r="M175" s="66">
        <v>600</v>
      </c>
      <c r="N175" s="56">
        <f>30</f>
        <v>30</v>
      </c>
      <c r="O175" s="59">
        <v>240</v>
      </c>
      <c r="P175" s="59">
        <v>160</v>
      </c>
      <c r="Q175" s="59">
        <f t="shared" si="23"/>
        <v>195</v>
      </c>
      <c r="R175" s="59">
        <f t="shared" si="24"/>
        <v>100</v>
      </c>
      <c r="S175" s="56">
        <f t="shared" si="25"/>
        <v>695</v>
      </c>
      <c r="T175" s="56">
        <f>0</f>
        <v>0</v>
      </c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</row>
    <row r="176" spans="1:30" ht="15.75" x14ac:dyDescent="0.25">
      <c r="A176" s="16">
        <v>46631</v>
      </c>
      <c r="B176" s="69">
        <v>30</v>
      </c>
      <c r="C176" s="56">
        <f>194.205</f>
        <v>194.20500000000001</v>
      </c>
      <c r="D176" s="56">
        <f>267.466</f>
        <v>267.46600000000001</v>
      </c>
      <c r="E176" s="64">
        <f>133.845</f>
        <v>133.845</v>
      </c>
      <c r="F176" s="56">
        <f>278.484-40-25-60-100</f>
        <v>53.48399999999998</v>
      </c>
      <c r="G176" s="59">
        <v>40</v>
      </c>
      <c r="H176" s="56">
        <f t="shared" si="29"/>
        <v>185</v>
      </c>
      <c r="I176" s="56">
        <f t="shared" si="28"/>
        <v>0</v>
      </c>
      <c r="J176" s="59">
        <v>100</v>
      </c>
      <c r="K176" s="59">
        <v>300</v>
      </c>
      <c r="L176" s="56">
        <f t="shared" si="22"/>
        <v>1274</v>
      </c>
      <c r="M176" s="66">
        <v>600</v>
      </c>
      <c r="N176" s="56">
        <f>30</f>
        <v>30</v>
      </c>
      <c r="O176" s="59">
        <v>240</v>
      </c>
      <c r="P176" s="59">
        <v>160</v>
      </c>
      <c r="Q176" s="59">
        <f t="shared" si="23"/>
        <v>195</v>
      </c>
      <c r="R176" s="59">
        <f t="shared" si="24"/>
        <v>100</v>
      </c>
      <c r="S176" s="56">
        <f t="shared" si="25"/>
        <v>695</v>
      </c>
      <c r="T176" s="56">
        <f>0</f>
        <v>0</v>
      </c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</row>
    <row r="177" spans="1:30" ht="15.75" x14ac:dyDescent="0.25">
      <c r="A177" s="16">
        <v>46661</v>
      </c>
      <c r="B177" s="69">
        <v>31</v>
      </c>
      <c r="C177" s="56">
        <f>131.881</f>
        <v>131.881</v>
      </c>
      <c r="D177" s="56">
        <f>277.167</f>
        <v>277.16699999999997</v>
      </c>
      <c r="E177" s="64">
        <f>79.08</f>
        <v>79.08</v>
      </c>
      <c r="F177" s="56">
        <f>350.872-40-25-60-100</f>
        <v>125.87200000000001</v>
      </c>
      <c r="G177" s="59">
        <v>40</v>
      </c>
      <c r="H177" s="56">
        <f t="shared" si="29"/>
        <v>185</v>
      </c>
      <c r="I177" s="56">
        <f t="shared" si="28"/>
        <v>0</v>
      </c>
      <c r="J177" s="59">
        <v>100</v>
      </c>
      <c r="K177" s="59">
        <v>300</v>
      </c>
      <c r="L177" s="56">
        <f t="shared" si="22"/>
        <v>1239</v>
      </c>
      <c r="M177" s="66">
        <v>600</v>
      </c>
      <c r="N177" s="56">
        <f>75</f>
        <v>75</v>
      </c>
      <c r="O177" s="59">
        <v>240</v>
      </c>
      <c r="P177" s="59">
        <v>160</v>
      </c>
      <c r="Q177" s="59">
        <f t="shared" si="23"/>
        <v>195</v>
      </c>
      <c r="R177" s="59">
        <f t="shared" si="24"/>
        <v>100</v>
      </c>
      <c r="S177" s="56">
        <f t="shared" si="25"/>
        <v>695</v>
      </c>
      <c r="T177" s="56">
        <f>0</f>
        <v>0</v>
      </c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</row>
    <row r="178" spans="1:30" ht="15.75" x14ac:dyDescent="0.25">
      <c r="A178" s="16">
        <v>46692</v>
      </c>
      <c r="B178" s="69">
        <v>30</v>
      </c>
      <c r="C178" s="56">
        <f>122.58</f>
        <v>122.58</v>
      </c>
      <c r="D178" s="56">
        <f>297.941</f>
        <v>297.94099999999997</v>
      </c>
      <c r="E178" s="64">
        <f>89.177</f>
        <v>89.177000000000007</v>
      </c>
      <c r="F178" s="56">
        <f>240.302-40-60-100</f>
        <v>40.301999999999992</v>
      </c>
      <c r="G178" s="59">
        <v>40</v>
      </c>
      <c r="H178" s="56">
        <f>60+100</f>
        <v>160</v>
      </c>
      <c r="I178" s="56">
        <f t="shared" si="28"/>
        <v>0</v>
      </c>
      <c r="J178" s="59">
        <v>100</v>
      </c>
      <c r="K178" s="59">
        <v>300</v>
      </c>
      <c r="L178" s="56">
        <f t="shared" si="22"/>
        <v>1150</v>
      </c>
      <c r="M178" s="66">
        <v>600</v>
      </c>
      <c r="N178" s="56">
        <f>100</f>
        <v>100</v>
      </c>
      <c r="O178" s="59">
        <v>240</v>
      </c>
      <c r="P178" s="59">
        <v>40</v>
      </c>
      <c r="Q178" s="59">
        <f t="shared" si="23"/>
        <v>315</v>
      </c>
      <c r="R178" s="59">
        <f t="shared" si="24"/>
        <v>100</v>
      </c>
      <c r="S178" s="56">
        <f t="shared" si="25"/>
        <v>695</v>
      </c>
      <c r="T178" s="56">
        <f>50</f>
        <v>50</v>
      </c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</row>
    <row r="179" spans="1:30" ht="15.75" x14ac:dyDescent="0.25">
      <c r="A179" s="16">
        <v>46722</v>
      </c>
      <c r="B179" s="69">
        <v>31</v>
      </c>
      <c r="C179" s="56">
        <f>122.58</f>
        <v>122.58</v>
      </c>
      <c r="D179" s="56">
        <f>297.941</f>
        <v>297.94099999999997</v>
      </c>
      <c r="E179" s="64">
        <f>89.177</f>
        <v>89.177000000000007</v>
      </c>
      <c r="F179" s="56">
        <f>240.302-40-60-100</f>
        <v>40.301999999999992</v>
      </c>
      <c r="G179" s="59">
        <v>40</v>
      </c>
      <c r="H179" s="56">
        <f>60+100</f>
        <v>160</v>
      </c>
      <c r="I179" s="56">
        <f t="shared" si="28"/>
        <v>0</v>
      </c>
      <c r="J179" s="59">
        <v>100</v>
      </c>
      <c r="K179" s="59">
        <v>300</v>
      </c>
      <c r="L179" s="56">
        <f t="shared" si="22"/>
        <v>1150</v>
      </c>
      <c r="M179" s="66">
        <v>600</v>
      </c>
      <c r="N179" s="56">
        <f>100</f>
        <v>100</v>
      </c>
      <c r="O179" s="59">
        <v>240</v>
      </c>
      <c r="P179" s="59">
        <v>40</v>
      </c>
      <c r="Q179" s="59">
        <f t="shared" si="23"/>
        <v>315</v>
      </c>
      <c r="R179" s="59">
        <f t="shared" si="24"/>
        <v>100</v>
      </c>
      <c r="S179" s="56">
        <f t="shared" si="25"/>
        <v>695</v>
      </c>
      <c r="T179" s="56">
        <f>50</f>
        <v>50</v>
      </c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</row>
    <row r="180" spans="1:30" ht="15.75" x14ac:dyDescent="0.25">
      <c r="A180" s="16">
        <v>46753</v>
      </c>
      <c r="B180" s="69">
        <v>31</v>
      </c>
      <c r="C180" s="56">
        <f>122.58</f>
        <v>122.58</v>
      </c>
      <c r="D180" s="56">
        <f>297.941</f>
        <v>297.94099999999997</v>
      </c>
      <c r="E180" s="64">
        <f>89.177</f>
        <v>89.177000000000007</v>
      </c>
      <c r="F180" s="56">
        <f>240.302-40-60-100</f>
        <v>40.301999999999992</v>
      </c>
      <c r="G180" s="59">
        <v>40</v>
      </c>
      <c r="H180" s="56">
        <f>60+100</f>
        <v>160</v>
      </c>
      <c r="I180" s="56">
        <f t="shared" si="28"/>
        <v>0</v>
      </c>
      <c r="J180" s="59">
        <v>100</v>
      </c>
      <c r="K180" s="59">
        <v>300</v>
      </c>
      <c r="L180" s="56">
        <f t="shared" si="22"/>
        <v>1150</v>
      </c>
      <c r="M180" s="66">
        <v>600</v>
      </c>
      <c r="N180" s="56">
        <f>100</f>
        <v>100</v>
      </c>
      <c r="O180" s="59">
        <v>240</v>
      </c>
      <c r="P180" s="59">
        <v>40</v>
      </c>
      <c r="Q180" s="59">
        <f t="shared" si="23"/>
        <v>315</v>
      </c>
      <c r="R180" s="59">
        <f t="shared" si="24"/>
        <v>100</v>
      </c>
      <c r="S180" s="56">
        <f t="shared" si="25"/>
        <v>695</v>
      </c>
      <c r="T180" s="56">
        <f>50</f>
        <v>50</v>
      </c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</row>
    <row r="181" spans="1:30" ht="15.75" x14ac:dyDescent="0.25">
      <c r="A181" s="16">
        <v>46784</v>
      </c>
      <c r="B181" s="69">
        <v>29</v>
      </c>
      <c r="C181" s="56">
        <f>122.58</f>
        <v>122.58</v>
      </c>
      <c r="D181" s="56">
        <f>297.941</f>
        <v>297.94099999999997</v>
      </c>
      <c r="E181" s="64">
        <f>89.177</f>
        <v>89.177000000000007</v>
      </c>
      <c r="F181" s="56">
        <f>240.302-40-60-100</f>
        <v>40.301999999999992</v>
      </c>
      <c r="G181" s="59">
        <v>40</v>
      </c>
      <c r="H181" s="56">
        <f>60+100</f>
        <v>160</v>
      </c>
      <c r="I181" s="56">
        <f t="shared" si="28"/>
        <v>0</v>
      </c>
      <c r="J181" s="59">
        <v>100</v>
      </c>
      <c r="K181" s="59">
        <v>300</v>
      </c>
      <c r="L181" s="56">
        <f t="shared" si="22"/>
        <v>1150</v>
      </c>
      <c r="M181" s="66">
        <v>600</v>
      </c>
      <c r="N181" s="56">
        <f>100</f>
        <v>100</v>
      </c>
      <c r="O181" s="59">
        <v>240</v>
      </c>
      <c r="P181" s="59">
        <v>40</v>
      </c>
      <c r="Q181" s="59">
        <f t="shared" si="23"/>
        <v>315</v>
      </c>
      <c r="R181" s="59">
        <f t="shared" si="24"/>
        <v>100</v>
      </c>
      <c r="S181" s="56">
        <f t="shared" si="25"/>
        <v>695</v>
      </c>
      <c r="T181" s="56">
        <f>50</f>
        <v>50</v>
      </c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</row>
    <row r="182" spans="1:30" ht="15.75" x14ac:dyDescent="0.25">
      <c r="A182" s="16">
        <v>46813</v>
      </c>
      <c r="B182" s="69">
        <v>31</v>
      </c>
      <c r="C182" s="56">
        <f>122.58</f>
        <v>122.58</v>
      </c>
      <c r="D182" s="56">
        <f>297.941</f>
        <v>297.94099999999997</v>
      </c>
      <c r="E182" s="64">
        <f>89.177</f>
        <v>89.177000000000007</v>
      </c>
      <c r="F182" s="56">
        <f>240.302-40-60-100</f>
        <v>40.301999999999992</v>
      </c>
      <c r="G182" s="59">
        <v>40</v>
      </c>
      <c r="H182" s="56">
        <f>60+100</f>
        <v>160</v>
      </c>
      <c r="I182" s="56">
        <f t="shared" si="28"/>
        <v>0</v>
      </c>
      <c r="J182" s="59">
        <v>100</v>
      </c>
      <c r="K182" s="59">
        <v>300</v>
      </c>
      <c r="L182" s="56">
        <f t="shared" si="22"/>
        <v>1150</v>
      </c>
      <c r="M182" s="66">
        <v>600</v>
      </c>
      <c r="N182" s="56">
        <f>100</f>
        <v>100</v>
      </c>
      <c r="O182" s="59">
        <v>240</v>
      </c>
      <c r="P182" s="59">
        <v>40</v>
      </c>
      <c r="Q182" s="59">
        <f t="shared" si="23"/>
        <v>315</v>
      </c>
      <c r="R182" s="59">
        <f t="shared" si="24"/>
        <v>100</v>
      </c>
      <c r="S182" s="56">
        <f t="shared" si="25"/>
        <v>695</v>
      </c>
      <c r="T182" s="56">
        <f>50</f>
        <v>50</v>
      </c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</row>
    <row r="183" spans="1:30" ht="15.75" x14ac:dyDescent="0.25">
      <c r="A183" s="16">
        <v>46844</v>
      </c>
      <c r="B183" s="69">
        <v>30</v>
      </c>
      <c r="C183" s="56">
        <f>141.293</f>
        <v>141.29300000000001</v>
      </c>
      <c r="D183" s="56">
        <f>267.993</f>
        <v>267.99299999999999</v>
      </c>
      <c r="E183" s="64">
        <f>115.016</f>
        <v>115.01600000000001</v>
      </c>
      <c r="F183" s="56">
        <f>314.698-40-25-60-100</f>
        <v>89.697999999999979</v>
      </c>
      <c r="G183" s="59">
        <v>40</v>
      </c>
      <c r="H183" s="56">
        <f t="shared" ref="H183:H189" si="30">25+60+100</f>
        <v>185</v>
      </c>
      <c r="I183" s="56">
        <f t="shared" si="28"/>
        <v>0</v>
      </c>
      <c r="J183" s="59">
        <v>100</v>
      </c>
      <c r="K183" s="59">
        <v>300</v>
      </c>
      <c r="L183" s="56">
        <f t="shared" si="22"/>
        <v>1239</v>
      </c>
      <c r="M183" s="66">
        <v>600</v>
      </c>
      <c r="N183" s="56">
        <f>100</f>
        <v>100</v>
      </c>
      <c r="O183" s="59">
        <v>240</v>
      </c>
      <c r="P183" s="59">
        <v>160</v>
      </c>
      <c r="Q183" s="59">
        <f t="shared" si="23"/>
        <v>195</v>
      </c>
      <c r="R183" s="59">
        <f t="shared" si="24"/>
        <v>100</v>
      </c>
      <c r="S183" s="56">
        <f t="shared" si="25"/>
        <v>695</v>
      </c>
      <c r="T183" s="56">
        <f>50</f>
        <v>50</v>
      </c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</row>
    <row r="184" spans="1:30" ht="15.75" x14ac:dyDescent="0.25">
      <c r="A184" s="16">
        <v>46874</v>
      </c>
      <c r="B184" s="69">
        <v>31</v>
      </c>
      <c r="C184" s="56">
        <f>194.205</f>
        <v>194.20500000000001</v>
      </c>
      <c r="D184" s="56">
        <f>267.466</f>
        <v>267.46600000000001</v>
      </c>
      <c r="E184" s="64">
        <f>133.845</f>
        <v>133.845</v>
      </c>
      <c r="F184" s="56">
        <f>278.484-40-25-60-100</f>
        <v>53.48399999999998</v>
      </c>
      <c r="G184" s="59">
        <v>40</v>
      </c>
      <c r="H184" s="56">
        <f t="shared" si="30"/>
        <v>185</v>
      </c>
      <c r="I184" s="56">
        <f t="shared" si="28"/>
        <v>0</v>
      </c>
      <c r="J184" s="59">
        <v>100</v>
      </c>
      <c r="K184" s="59">
        <v>300</v>
      </c>
      <c r="L184" s="56">
        <f t="shared" si="22"/>
        <v>1274</v>
      </c>
      <c r="M184" s="66">
        <v>600</v>
      </c>
      <c r="N184" s="56">
        <f>75</f>
        <v>75</v>
      </c>
      <c r="O184" s="59">
        <v>240</v>
      </c>
      <c r="P184" s="59">
        <v>160</v>
      </c>
      <c r="Q184" s="59">
        <f t="shared" si="23"/>
        <v>195</v>
      </c>
      <c r="R184" s="59">
        <f t="shared" si="24"/>
        <v>100</v>
      </c>
      <c r="S184" s="56">
        <f t="shared" si="25"/>
        <v>695</v>
      </c>
      <c r="T184" s="56">
        <f>50</f>
        <v>50</v>
      </c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</row>
    <row r="185" spans="1:30" ht="15.75" x14ac:dyDescent="0.25">
      <c r="A185" s="16">
        <v>46905</v>
      </c>
      <c r="B185" s="69">
        <v>30</v>
      </c>
      <c r="C185" s="56">
        <f>194.205</f>
        <v>194.20500000000001</v>
      </c>
      <c r="D185" s="56">
        <f>267.466</f>
        <v>267.46600000000001</v>
      </c>
      <c r="E185" s="64">
        <f>133.845</f>
        <v>133.845</v>
      </c>
      <c r="F185" s="56">
        <f>278.484-40-25-60-100</f>
        <v>53.48399999999998</v>
      </c>
      <c r="G185" s="59">
        <v>40</v>
      </c>
      <c r="H185" s="56">
        <f t="shared" si="30"/>
        <v>185</v>
      </c>
      <c r="I185" s="56">
        <f t="shared" si="28"/>
        <v>0</v>
      </c>
      <c r="J185" s="59">
        <v>100</v>
      </c>
      <c r="K185" s="59">
        <v>300</v>
      </c>
      <c r="L185" s="56">
        <f t="shared" si="22"/>
        <v>1274</v>
      </c>
      <c r="M185" s="66">
        <v>600</v>
      </c>
      <c r="N185" s="56">
        <f>30</f>
        <v>30</v>
      </c>
      <c r="O185" s="59">
        <v>240</v>
      </c>
      <c r="P185" s="59">
        <v>160</v>
      </c>
      <c r="Q185" s="59">
        <f t="shared" si="23"/>
        <v>195</v>
      </c>
      <c r="R185" s="59">
        <f t="shared" si="24"/>
        <v>100</v>
      </c>
      <c r="S185" s="56">
        <f t="shared" si="25"/>
        <v>695</v>
      </c>
      <c r="T185" s="56">
        <f>50</f>
        <v>50</v>
      </c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</row>
    <row r="186" spans="1:30" ht="15.75" x14ac:dyDescent="0.25">
      <c r="A186" s="16">
        <v>46935</v>
      </c>
      <c r="B186" s="69">
        <v>31</v>
      </c>
      <c r="C186" s="56">
        <f>194.205</f>
        <v>194.20500000000001</v>
      </c>
      <c r="D186" s="56">
        <f>267.466</f>
        <v>267.46600000000001</v>
      </c>
      <c r="E186" s="64">
        <f>133.845</f>
        <v>133.845</v>
      </c>
      <c r="F186" s="56">
        <f>278.484-40-25-60-100</f>
        <v>53.48399999999998</v>
      </c>
      <c r="G186" s="59">
        <v>40</v>
      </c>
      <c r="H186" s="56">
        <f t="shared" si="30"/>
        <v>185</v>
      </c>
      <c r="I186" s="56">
        <f t="shared" si="28"/>
        <v>0</v>
      </c>
      <c r="J186" s="59">
        <v>100</v>
      </c>
      <c r="K186" s="59">
        <v>300</v>
      </c>
      <c r="L186" s="56">
        <f t="shared" si="22"/>
        <v>1274</v>
      </c>
      <c r="M186" s="66">
        <v>600</v>
      </c>
      <c r="N186" s="56">
        <f>30</f>
        <v>30</v>
      </c>
      <c r="O186" s="59">
        <v>240</v>
      </c>
      <c r="P186" s="59">
        <v>160</v>
      </c>
      <c r="Q186" s="59">
        <f t="shared" si="23"/>
        <v>195</v>
      </c>
      <c r="R186" s="59">
        <f t="shared" si="24"/>
        <v>100</v>
      </c>
      <c r="S186" s="56">
        <f t="shared" si="25"/>
        <v>695</v>
      </c>
      <c r="T186" s="56">
        <f>0</f>
        <v>0</v>
      </c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</row>
    <row r="187" spans="1:30" ht="15.75" x14ac:dyDescent="0.25">
      <c r="A187" s="16">
        <v>46966</v>
      </c>
      <c r="B187" s="69">
        <v>31</v>
      </c>
      <c r="C187" s="56">
        <f>194.205</f>
        <v>194.20500000000001</v>
      </c>
      <c r="D187" s="56">
        <f>267.466</f>
        <v>267.46600000000001</v>
      </c>
      <c r="E187" s="64">
        <f>133.845</f>
        <v>133.845</v>
      </c>
      <c r="F187" s="56">
        <f>278.484-40-25-60-100</f>
        <v>53.48399999999998</v>
      </c>
      <c r="G187" s="59">
        <v>40</v>
      </c>
      <c r="H187" s="56">
        <f t="shared" si="30"/>
        <v>185</v>
      </c>
      <c r="I187" s="56">
        <f t="shared" si="28"/>
        <v>0</v>
      </c>
      <c r="J187" s="59">
        <v>100</v>
      </c>
      <c r="K187" s="59">
        <v>300</v>
      </c>
      <c r="L187" s="56">
        <f t="shared" si="22"/>
        <v>1274</v>
      </c>
      <c r="M187" s="66">
        <v>600</v>
      </c>
      <c r="N187" s="56">
        <f>30</f>
        <v>30</v>
      </c>
      <c r="O187" s="59">
        <v>240</v>
      </c>
      <c r="P187" s="59">
        <v>160</v>
      </c>
      <c r="Q187" s="59">
        <f t="shared" si="23"/>
        <v>195</v>
      </c>
      <c r="R187" s="59">
        <f t="shared" si="24"/>
        <v>100</v>
      </c>
      <c r="S187" s="56">
        <f t="shared" si="25"/>
        <v>695</v>
      </c>
      <c r="T187" s="56">
        <f>0</f>
        <v>0</v>
      </c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</row>
    <row r="188" spans="1:30" ht="15.75" x14ac:dyDescent="0.25">
      <c r="A188" s="16">
        <v>46997</v>
      </c>
      <c r="B188" s="69">
        <v>30</v>
      </c>
      <c r="C188" s="56">
        <f>194.205</f>
        <v>194.20500000000001</v>
      </c>
      <c r="D188" s="56">
        <f>267.466</f>
        <v>267.46600000000001</v>
      </c>
      <c r="E188" s="64">
        <f>133.845</f>
        <v>133.845</v>
      </c>
      <c r="F188" s="56">
        <f>278.484-40-25-60-100</f>
        <v>53.48399999999998</v>
      </c>
      <c r="G188" s="59">
        <v>40</v>
      </c>
      <c r="H188" s="56">
        <f t="shared" si="30"/>
        <v>185</v>
      </c>
      <c r="I188" s="56">
        <f t="shared" si="28"/>
        <v>0</v>
      </c>
      <c r="J188" s="59">
        <v>100</v>
      </c>
      <c r="K188" s="59">
        <v>300</v>
      </c>
      <c r="L188" s="56">
        <f t="shared" si="22"/>
        <v>1274</v>
      </c>
      <c r="M188" s="66">
        <v>600</v>
      </c>
      <c r="N188" s="56">
        <f>30</f>
        <v>30</v>
      </c>
      <c r="O188" s="59">
        <v>240</v>
      </c>
      <c r="P188" s="59">
        <v>160</v>
      </c>
      <c r="Q188" s="59">
        <f t="shared" si="23"/>
        <v>195</v>
      </c>
      <c r="R188" s="59">
        <f t="shared" si="24"/>
        <v>100</v>
      </c>
      <c r="S188" s="56">
        <f t="shared" si="25"/>
        <v>695</v>
      </c>
      <c r="T188" s="56">
        <f>0</f>
        <v>0</v>
      </c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</row>
    <row r="189" spans="1:30" ht="15.75" x14ac:dyDescent="0.25">
      <c r="A189" s="16">
        <v>47027</v>
      </c>
      <c r="B189" s="69">
        <v>31</v>
      </c>
      <c r="C189" s="56">
        <f>131.881</f>
        <v>131.881</v>
      </c>
      <c r="D189" s="56">
        <f>277.167</f>
        <v>277.16699999999997</v>
      </c>
      <c r="E189" s="64">
        <f>79.08</f>
        <v>79.08</v>
      </c>
      <c r="F189" s="56">
        <f>350.872-40-25-60-100</f>
        <v>125.87200000000001</v>
      </c>
      <c r="G189" s="59">
        <v>40</v>
      </c>
      <c r="H189" s="56">
        <f t="shared" si="30"/>
        <v>185</v>
      </c>
      <c r="I189" s="56">
        <f t="shared" si="28"/>
        <v>0</v>
      </c>
      <c r="J189" s="59">
        <v>100</v>
      </c>
      <c r="K189" s="59">
        <v>300</v>
      </c>
      <c r="L189" s="56">
        <f t="shared" si="22"/>
        <v>1239</v>
      </c>
      <c r="M189" s="66">
        <v>600</v>
      </c>
      <c r="N189" s="56">
        <f>75</f>
        <v>75</v>
      </c>
      <c r="O189" s="59">
        <v>240</v>
      </c>
      <c r="P189" s="59">
        <v>160</v>
      </c>
      <c r="Q189" s="59">
        <f t="shared" si="23"/>
        <v>195</v>
      </c>
      <c r="R189" s="59">
        <f t="shared" si="24"/>
        <v>100</v>
      </c>
      <c r="S189" s="56">
        <f t="shared" si="25"/>
        <v>695</v>
      </c>
      <c r="T189" s="56">
        <f>0</f>
        <v>0</v>
      </c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</row>
    <row r="190" spans="1:30" ht="15.75" x14ac:dyDescent="0.25">
      <c r="A190" s="16">
        <v>47058</v>
      </c>
      <c r="B190" s="69">
        <v>30</v>
      </c>
      <c r="C190" s="56">
        <f>122.58</f>
        <v>122.58</v>
      </c>
      <c r="D190" s="56">
        <f>297.941</f>
        <v>297.94099999999997</v>
      </c>
      <c r="E190" s="64">
        <f>89.177</f>
        <v>89.177000000000007</v>
      </c>
      <c r="F190" s="56">
        <f>240.302-40-60-100</f>
        <v>40.301999999999992</v>
      </c>
      <c r="G190" s="59">
        <v>40</v>
      </c>
      <c r="H190" s="56">
        <f>60+100</f>
        <v>160</v>
      </c>
      <c r="I190" s="56">
        <f t="shared" si="28"/>
        <v>0</v>
      </c>
      <c r="J190" s="59">
        <v>100</v>
      </c>
      <c r="K190" s="59">
        <v>300</v>
      </c>
      <c r="L190" s="56">
        <f t="shared" si="22"/>
        <v>1150</v>
      </c>
      <c r="M190" s="66">
        <v>600</v>
      </c>
      <c r="N190" s="56">
        <f>100</f>
        <v>100</v>
      </c>
      <c r="O190" s="59">
        <v>240</v>
      </c>
      <c r="P190" s="59">
        <v>40</v>
      </c>
      <c r="Q190" s="59">
        <f t="shared" si="23"/>
        <v>315</v>
      </c>
      <c r="R190" s="59">
        <f t="shared" si="24"/>
        <v>100</v>
      </c>
      <c r="S190" s="56">
        <f t="shared" si="25"/>
        <v>695</v>
      </c>
      <c r="T190" s="56">
        <f>50</f>
        <v>50</v>
      </c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</row>
    <row r="191" spans="1:30" ht="15.75" x14ac:dyDescent="0.25">
      <c r="A191" s="16">
        <v>47088</v>
      </c>
      <c r="B191" s="69">
        <v>31</v>
      </c>
      <c r="C191" s="56">
        <f>122.58</f>
        <v>122.58</v>
      </c>
      <c r="D191" s="56">
        <f>297.941</f>
        <v>297.94099999999997</v>
      </c>
      <c r="E191" s="64">
        <f>89.177</f>
        <v>89.177000000000007</v>
      </c>
      <c r="F191" s="56">
        <f>240.302-40-60-100</f>
        <v>40.301999999999992</v>
      </c>
      <c r="G191" s="59">
        <v>40</v>
      </c>
      <c r="H191" s="56">
        <f>60+100</f>
        <v>160</v>
      </c>
      <c r="I191" s="56">
        <f t="shared" si="28"/>
        <v>0</v>
      </c>
      <c r="J191" s="59">
        <v>100</v>
      </c>
      <c r="K191" s="59">
        <v>300</v>
      </c>
      <c r="L191" s="56">
        <f t="shared" si="22"/>
        <v>1150</v>
      </c>
      <c r="M191" s="66">
        <v>600</v>
      </c>
      <c r="N191" s="56">
        <f>100</f>
        <v>100</v>
      </c>
      <c r="O191" s="59">
        <v>240</v>
      </c>
      <c r="P191" s="59">
        <v>40</v>
      </c>
      <c r="Q191" s="59">
        <f t="shared" si="23"/>
        <v>315</v>
      </c>
      <c r="R191" s="59">
        <f t="shared" si="24"/>
        <v>100</v>
      </c>
      <c r="S191" s="56">
        <f t="shared" si="25"/>
        <v>695</v>
      </c>
      <c r="T191" s="56">
        <f>50</f>
        <v>50</v>
      </c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</row>
    <row r="192" spans="1:30" ht="15.75" x14ac:dyDescent="0.25">
      <c r="A192" s="16">
        <v>47119</v>
      </c>
      <c r="B192" s="69">
        <v>31</v>
      </c>
      <c r="C192" s="56">
        <f>122.58</f>
        <v>122.58</v>
      </c>
      <c r="D192" s="56">
        <f>297.941</f>
        <v>297.94099999999997</v>
      </c>
      <c r="E192" s="64">
        <f>89.177</f>
        <v>89.177000000000007</v>
      </c>
      <c r="F192" s="56">
        <f>240.302-40-60-100</f>
        <v>40.301999999999992</v>
      </c>
      <c r="G192" s="59">
        <v>40</v>
      </c>
      <c r="H192" s="56">
        <f>60+100</f>
        <v>160</v>
      </c>
      <c r="I192" s="56">
        <f t="shared" si="28"/>
        <v>0</v>
      </c>
      <c r="J192" s="59">
        <v>100</v>
      </c>
      <c r="K192" s="59">
        <v>300</v>
      </c>
      <c r="L192" s="56">
        <f t="shared" si="22"/>
        <v>1150</v>
      </c>
      <c r="M192" s="66">
        <v>600</v>
      </c>
      <c r="N192" s="56">
        <f>100</f>
        <v>100</v>
      </c>
      <c r="O192" s="59">
        <v>240</v>
      </c>
      <c r="P192" s="59">
        <v>40</v>
      </c>
      <c r="Q192" s="59">
        <f t="shared" si="23"/>
        <v>315</v>
      </c>
      <c r="R192" s="59">
        <f t="shared" si="24"/>
        <v>100</v>
      </c>
      <c r="S192" s="56">
        <f t="shared" si="25"/>
        <v>695</v>
      </c>
      <c r="T192" s="56">
        <f>50</f>
        <v>50</v>
      </c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</row>
    <row r="193" spans="1:30" ht="15.75" x14ac:dyDescent="0.25">
      <c r="A193" s="16">
        <v>47150</v>
      </c>
      <c r="B193" s="69">
        <v>28</v>
      </c>
      <c r="C193" s="56">
        <f>122.58</f>
        <v>122.58</v>
      </c>
      <c r="D193" s="56">
        <f>297.941</f>
        <v>297.94099999999997</v>
      </c>
      <c r="E193" s="64">
        <f>89.177</f>
        <v>89.177000000000007</v>
      </c>
      <c r="F193" s="56">
        <f>240.302-40-60-100</f>
        <v>40.301999999999992</v>
      </c>
      <c r="G193" s="59">
        <v>40</v>
      </c>
      <c r="H193" s="56">
        <f>60+100</f>
        <v>160</v>
      </c>
      <c r="I193" s="56">
        <f t="shared" si="28"/>
        <v>0</v>
      </c>
      <c r="J193" s="59">
        <v>100</v>
      </c>
      <c r="K193" s="59">
        <v>300</v>
      </c>
      <c r="L193" s="56">
        <f t="shared" si="22"/>
        <v>1150</v>
      </c>
      <c r="M193" s="66">
        <v>600</v>
      </c>
      <c r="N193" s="56">
        <f>100</f>
        <v>100</v>
      </c>
      <c r="O193" s="59">
        <v>240</v>
      </c>
      <c r="P193" s="59">
        <v>40</v>
      </c>
      <c r="Q193" s="59">
        <f t="shared" si="23"/>
        <v>315</v>
      </c>
      <c r="R193" s="59">
        <f t="shared" si="24"/>
        <v>100</v>
      </c>
      <c r="S193" s="56">
        <f t="shared" si="25"/>
        <v>695</v>
      </c>
      <c r="T193" s="56">
        <f>50</f>
        <v>50</v>
      </c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</row>
    <row r="194" spans="1:30" ht="15.75" x14ac:dyDescent="0.25">
      <c r="A194" s="16">
        <v>47178</v>
      </c>
      <c r="B194" s="69">
        <v>31</v>
      </c>
      <c r="C194" s="56">
        <f>122.58</f>
        <v>122.58</v>
      </c>
      <c r="D194" s="56">
        <f>297.941</f>
        <v>297.94099999999997</v>
      </c>
      <c r="E194" s="64">
        <f>89.177</f>
        <v>89.177000000000007</v>
      </c>
      <c r="F194" s="56">
        <f>240.302-40-60-100</f>
        <v>40.301999999999992</v>
      </c>
      <c r="G194" s="59">
        <v>40</v>
      </c>
      <c r="H194" s="56">
        <f>60+100</f>
        <v>160</v>
      </c>
      <c r="I194" s="56">
        <f t="shared" si="28"/>
        <v>0</v>
      </c>
      <c r="J194" s="59">
        <v>100</v>
      </c>
      <c r="K194" s="59">
        <v>300</v>
      </c>
      <c r="L194" s="56">
        <f t="shared" si="22"/>
        <v>1150</v>
      </c>
      <c r="M194" s="66">
        <v>600</v>
      </c>
      <c r="N194" s="56">
        <f>100</f>
        <v>100</v>
      </c>
      <c r="O194" s="59">
        <v>240</v>
      </c>
      <c r="P194" s="59">
        <v>40</v>
      </c>
      <c r="Q194" s="59">
        <f t="shared" si="23"/>
        <v>315</v>
      </c>
      <c r="R194" s="59">
        <f t="shared" si="24"/>
        <v>100</v>
      </c>
      <c r="S194" s="56">
        <f t="shared" si="25"/>
        <v>695</v>
      </c>
      <c r="T194" s="56">
        <f>50</f>
        <v>50</v>
      </c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</row>
    <row r="195" spans="1:30" ht="15.75" x14ac:dyDescent="0.25">
      <c r="A195" s="16">
        <v>47209</v>
      </c>
      <c r="B195" s="69">
        <v>30</v>
      </c>
      <c r="C195" s="56">
        <f>141.293</f>
        <v>141.29300000000001</v>
      </c>
      <c r="D195" s="56">
        <f>267.993</f>
        <v>267.99299999999999</v>
      </c>
      <c r="E195" s="64">
        <f>115.016</f>
        <v>115.01600000000001</v>
      </c>
      <c r="F195" s="56">
        <f>314.698-40-25-60-100</f>
        <v>89.697999999999979</v>
      </c>
      <c r="G195" s="59">
        <v>40</v>
      </c>
      <c r="H195" s="56">
        <f t="shared" ref="H195:H201" si="31">25+60+100</f>
        <v>185</v>
      </c>
      <c r="I195" s="56">
        <f t="shared" si="28"/>
        <v>0</v>
      </c>
      <c r="J195" s="59">
        <v>100</v>
      </c>
      <c r="K195" s="59">
        <v>300</v>
      </c>
      <c r="L195" s="56">
        <f t="shared" si="22"/>
        <v>1239</v>
      </c>
      <c r="M195" s="66">
        <v>600</v>
      </c>
      <c r="N195" s="56">
        <f>100</f>
        <v>100</v>
      </c>
      <c r="O195" s="59">
        <v>240</v>
      </c>
      <c r="P195" s="59">
        <v>160</v>
      </c>
      <c r="Q195" s="59">
        <f t="shared" si="23"/>
        <v>195</v>
      </c>
      <c r="R195" s="59">
        <f t="shared" si="24"/>
        <v>100</v>
      </c>
      <c r="S195" s="56">
        <f t="shared" si="25"/>
        <v>695</v>
      </c>
      <c r="T195" s="56">
        <f>50</f>
        <v>50</v>
      </c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</row>
    <row r="196" spans="1:30" ht="15.75" x14ac:dyDescent="0.25">
      <c r="A196" s="16">
        <v>47239</v>
      </c>
      <c r="B196" s="69">
        <v>31</v>
      </c>
      <c r="C196" s="56">
        <f>194.205</f>
        <v>194.20500000000001</v>
      </c>
      <c r="D196" s="56">
        <f>267.466</f>
        <v>267.46600000000001</v>
      </c>
      <c r="E196" s="64">
        <f>133.845</f>
        <v>133.845</v>
      </c>
      <c r="F196" s="56">
        <f>278.484-40-25-60-100</f>
        <v>53.48399999999998</v>
      </c>
      <c r="G196" s="59">
        <v>40</v>
      </c>
      <c r="H196" s="56">
        <f t="shared" si="31"/>
        <v>185</v>
      </c>
      <c r="I196" s="56">
        <f t="shared" si="28"/>
        <v>0</v>
      </c>
      <c r="J196" s="59">
        <v>100</v>
      </c>
      <c r="K196" s="59">
        <v>300</v>
      </c>
      <c r="L196" s="56">
        <f t="shared" si="22"/>
        <v>1274</v>
      </c>
      <c r="M196" s="66">
        <v>600</v>
      </c>
      <c r="N196" s="56">
        <f>75</f>
        <v>75</v>
      </c>
      <c r="O196" s="59">
        <v>240</v>
      </c>
      <c r="P196" s="59">
        <v>160</v>
      </c>
      <c r="Q196" s="59">
        <f t="shared" si="23"/>
        <v>195</v>
      </c>
      <c r="R196" s="59">
        <f t="shared" si="24"/>
        <v>100</v>
      </c>
      <c r="S196" s="56">
        <f t="shared" si="25"/>
        <v>695</v>
      </c>
      <c r="T196" s="56">
        <f>50</f>
        <v>50</v>
      </c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</row>
    <row r="197" spans="1:30" ht="15.75" x14ac:dyDescent="0.25">
      <c r="A197" s="16">
        <v>47270</v>
      </c>
      <c r="B197" s="69">
        <v>30</v>
      </c>
      <c r="C197" s="56">
        <f>194.205</f>
        <v>194.20500000000001</v>
      </c>
      <c r="D197" s="56">
        <f>267.466</f>
        <v>267.46600000000001</v>
      </c>
      <c r="E197" s="64">
        <f>133.845</f>
        <v>133.845</v>
      </c>
      <c r="F197" s="56">
        <f>278.484-40-25-60-100</f>
        <v>53.48399999999998</v>
      </c>
      <c r="G197" s="59">
        <v>40</v>
      </c>
      <c r="H197" s="56">
        <f t="shared" si="31"/>
        <v>185</v>
      </c>
      <c r="I197" s="56">
        <f t="shared" si="28"/>
        <v>0</v>
      </c>
      <c r="J197" s="59">
        <v>100</v>
      </c>
      <c r="K197" s="59">
        <v>300</v>
      </c>
      <c r="L197" s="56">
        <f t="shared" si="22"/>
        <v>1274</v>
      </c>
      <c r="M197" s="66">
        <v>600</v>
      </c>
      <c r="N197" s="56">
        <f>30</f>
        <v>30</v>
      </c>
      <c r="O197" s="59">
        <v>240</v>
      </c>
      <c r="P197" s="59">
        <v>160</v>
      </c>
      <c r="Q197" s="59">
        <f t="shared" si="23"/>
        <v>195</v>
      </c>
      <c r="R197" s="59">
        <f t="shared" si="24"/>
        <v>100</v>
      </c>
      <c r="S197" s="56">
        <f t="shared" si="25"/>
        <v>695</v>
      </c>
      <c r="T197" s="56">
        <f>50</f>
        <v>50</v>
      </c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</row>
    <row r="198" spans="1:30" ht="15.75" x14ac:dyDescent="0.25">
      <c r="A198" s="16">
        <v>47300</v>
      </c>
      <c r="B198" s="69">
        <v>31</v>
      </c>
      <c r="C198" s="56">
        <f>194.205</f>
        <v>194.20500000000001</v>
      </c>
      <c r="D198" s="56">
        <f>267.466</f>
        <v>267.46600000000001</v>
      </c>
      <c r="E198" s="64">
        <f>133.845</f>
        <v>133.845</v>
      </c>
      <c r="F198" s="56">
        <f>278.484-40-25-60-100</f>
        <v>53.48399999999998</v>
      </c>
      <c r="G198" s="59">
        <v>40</v>
      </c>
      <c r="H198" s="56">
        <f t="shared" si="31"/>
        <v>185</v>
      </c>
      <c r="I198" s="56">
        <f t="shared" si="28"/>
        <v>0</v>
      </c>
      <c r="J198" s="59">
        <v>100</v>
      </c>
      <c r="K198" s="59">
        <v>300</v>
      </c>
      <c r="L198" s="56">
        <f t="shared" si="22"/>
        <v>1274</v>
      </c>
      <c r="M198" s="66">
        <v>600</v>
      </c>
      <c r="N198" s="56">
        <f>30</f>
        <v>30</v>
      </c>
      <c r="O198" s="59">
        <v>240</v>
      </c>
      <c r="P198" s="59">
        <v>160</v>
      </c>
      <c r="Q198" s="59">
        <f t="shared" si="23"/>
        <v>195</v>
      </c>
      <c r="R198" s="59">
        <f t="shared" si="24"/>
        <v>100</v>
      </c>
      <c r="S198" s="56">
        <f t="shared" si="25"/>
        <v>695</v>
      </c>
      <c r="T198" s="56">
        <f>0</f>
        <v>0</v>
      </c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</row>
    <row r="199" spans="1:30" ht="15.75" x14ac:dyDescent="0.25">
      <c r="A199" s="16">
        <v>47331</v>
      </c>
      <c r="B199" s="69">
        <v>31</v>
      </c>
      <c r="C199" s="56">
        <f>194.205</f>
        <v>194.20500000000001</v>
      </c>
      <c r="D199" s="56">
        <f>267.466</f>
        <v>267.46600000000001</v>
      </c>
      <c r="E199" s="64">
        <f>133.845</f>
        <v>133.845</v>
      </c>
      <c r="F199" s="56">
        <f>278.484-40-25-60-100</f>
        <v>53.48399999999998</v>
      </c>
      <c r="G199" s="59">
        <v>40</v>
      </c>
      <c r="H199" s="56">
        <f t="shared" si="31"/>
        <v>185</v>
      </c>
      <c r="I199" s="56">
        <f t="shared" si="28"/>
        <v>0</v>
      </c>
      <c r="J199" s="59">
        <v>100</v>
      </c>
      <c r="K199" s="59">
        <v>300</v>
      </c>
      <c r="L199" s="56">
        <f t="shared" si="22"/>
        <v>1274</v>
      </c>
      <c r="M199" s="66">
        <v>600</v>
      </c>
      <c r="N199" s="56">
        <f>30</f>
        <v>30</v>
      </c>
      <c r="O199" s="59">
        <v>240</v>
      </c>
      <c r="P199" s="59">
        <v>160</v>
      </c>
      <c r="Q199" s="59">
        <f t="shared" si="23"/>
        <v>195</v>
      </c>
      <c r="R199" s="59">
        <f t="shared" si="24"/>
        <v>100</v>
      </c>
      <c r="S199" s="56">
        <f t="shared" si="25"/>
        <v>695</v>
      </c>
      <c r="T199" s="56">
        <f>0</f>
        <v>0</v>
      </c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</row>
    <row r="200" spans="1:30" ht="15.75" x14ac:dyDescent="0.25">
      <c r="A200" s="16">
        <v>47362</v>
      </c>
      <c r="B200" s="69">
        <v>30</v>
      </c>
      <c r="C200" s="56">
        <f>194.205</f>
        <v>194.20500000000001</v>
      </c>
      <c r="D200" s="56">
        <f>267.466</f>
        <v>267.46600000000001</v>
      </c>
      <c r="E200" s="64">
        <f>133.845</f>
        <v>133.845</v>
      </c>
      <c r="F200" s="56">
        <f>278.484-40-25-60-100</f>
        <v>53.48399999999998</v>
      </c>
      <c r="G200" s="59">
        <v>40</v>
      </c>
      <c r="H200" s="56">
        <f t="shared" si="31"/>
        <v>185</v>
      </c>
      <c r="I200" s="56">
        <f t="shared" si="28"/>
        <v>0</v>
      </c>
      <c r="J200" s="59">
        <v>100</v>
      </c>
      <c r="K200" s="59">
        <v>300</v>
      </c>
      <c r="L200" s="56">
        <f t="shared" si="22"/>
        <v>1274</v>
      </c>
      <c r="M200" s="66">
        <v>600</v>
      </c>
      <c r="N200" s="56">
        <f>30</f>
        <v>30</v>
      </c>
      <c r="O200" s="59">
        <v>240</v>
      </c>
      <c r="P200" s="59">
        <v>160</v>
      </c>
      <c r="Q200" s="59">
        <f t="shared" si="23"/>
        <v>195</v>
      </c>
      <c r="R200" s="59">
        <f t="shared" si="24"/>
        <v>100</v>
      </c>
      <c r="S200" s="56">
        <f t="shared" si="25"/>
        <v>695</v>
      </c>
      <c r="T200" s="56">
        <f>0</f>
        <v>0</v>
      </c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</row>
    <row r="201" spans="1:30" ht="15.75" x14ac:dyDescent="0.25">
      <c r="A201" s="16">
        <v>47392</v>
      </c>
      <c r="B201" s="69">
        <v>31</v>
      </c>
      <c r="C201" s="56">
        <f>131.881</f>
        <v>131.881</v>
      </c>
      <c r="D201" s="56">
        <f>277.167</f>
        <v>277.16699999999997</v>
      </c>
      <c r="E201" s="64">
        <f>79.08</f>
        <v>79.08</v>
      </c>
      <c r="F201" s="56">
        <f>350.872-40-25-60-100</f>
        <v>125.87200000000001</v>
      </c>
      <c r="G201" s="59">
        <v>40</v>
      </c>
      <c r="H201" s="56">
        <f t="shared" si="31"/>
        <v>185</v>
      </c>
      <c r="I201" s="56">
        <f t="shared" si="28"/>
        <v>0</v>
      </c>
      <c r="J201" s="59">
        <v>100</v>
      </c>
      <c r="K201" s="59">
        <v>300</v>
      </c>
      <c r="L201" s="56">
        <f t="shared" si="22"/>
        <v>1239</v>
      </c>
      <c r="M201" s="66">
        <v>600</v>
      </c>
      <c r="N201" s="56">
        <f>75</f>
        <v>75</v>
      </c>
      <c r="O201" s="59">
        <v>240</v>
      </c>
      <c r="P201" s="59">
        <v>160</v>
      </c>
      <c r="Q201" s="59">
        <f t="shared" si="23"/>
        <v>195</v>
      </c>
      <c r="R201" s="59">
        <f t="shared" si="24"/>
        <v>100</v>
      </c>
      <c r="S201" s="56">
        <f t="shared" si="25"/>
        <v>695</v>
      </c>
      <c r="T201" s="56">
        <f>0</f>
        <v>0</v>
      </c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</row>
    <row r="202" spans="1:30" ht="15.75" x14ac:dyDescent="0.25">
      <c r="A202" s="16">
        <v>47423</v>
      </c>
      <c r="B202" s="69">
        <v>30</v>
      </c>
      <c r="C202" s="56">
        <f>122.58</f>
        <v>122.58</v>
      </c>
      <c r="D202" s="56">
        <f>297.941</f>
        <v>297.94099999999997</v>
      </c>
      <c r="E202" s="64">
        <f>89.177</f>
        <v>89.177000000000007</v>
      </c>
      <c r="F202" s="56">
        <f>240.302-40-60-100</f>
        <v>40.301999999999992</v>
      </c>
      <c r="G202" s="59">
        <v>40</v>
      </c>
      <c r="H202" s="56">
        <f>60+100</f>
        <v>160</v>
      </c>
      <c r="I202" s="56">
        <f t="shared" si="28"/>
        <v>0</v>
      </c>
      <c r="J202" s="59">
        <v>100</v>
      </c>
      <c r="K202" s="59">
        <v>300</v>
      </c>
      <c r="L202" s="56">
        <f t="shared" si="22"/>
        <v>1150</v>
      </c>
      <c r="M202" s="66">
        <v>600</v>
      </c>
      <c r="N202" s="56">
        <f>100</f>
        <v>100</v>
      </c>
      <c r="O202" s="59">
        <v>240</v>
      </c>
      <c r="P202" s="59">
        <v>40</v>
      </c>
      <c r="Q202" s="59">
        <f t="shared" si="23"/>
        <v>315</v>
      </c>
      <c r="R202" s="59">
        <f t="shared" si="24"/>
        <v>100</v>
      </c>
      <c r="S202" s="56">
        <f t="shared" si="25"/>
        <v>695</v>
      </c>
      <c r="T202" s="56">
        <f>50</f>
        <v>50</v>
      </c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</row>
    <row r="203" spans="1:30" ht="15.75" x14ac:dyDescent="0.25">
      <c r="A203" s="16">
        <v>47453</v>
      </c>
      <c r="B203" s="69">
        <v>31</v>
      </c>
      <c r="C203" s="56">
        <f>122.58</f>
        <v>122.58</v>
      </c>
      <c r="D203" s="56">
        <f>297.941</f>
        <v>297.94099999999997</v>
      </c>
      <c r="E203" s="64">
        <f>89.177</f>
        <v>89.177000000000007</v>
      </c>
      <c r="F203" s="56">
        <f>240.302-40-60-100</f>
        <v>40.301999999999992</v>
      </c>
      <c r="G203" s="59">
        <v>40</v>
      </c>
      <c r="H203" s="56">
        <f>60+100</f>
        <v>160</v>
      </c>
      <c r="I203" s="56">
        <f t="shared" si="28"/>
        <v>0</v>
      </c>
      <c r="J203" s="59">
        <v>100</v>
      </c>
      <c r="K203" s="59">
        <v>300</v>
      </c>
      <c r="L203" s="56">
        <f t="shared" si="22"/>
        <v>1150</v>
      </c>
      <c r="M203" s="66">
        <v>600</v>
      </c>
      <c r="N203" s="56">
        <f>100</f>
        <v>100</v>
      </c>
      <c r="O203" s="59">
        <v>240</v>
      </c>
      <c r="P203" s="59">
        <v>40</v>
      </c>
      <c r="Q203" s="59">
        <f t="shared" si="23"/>
        <v>315</v>
      </c>
      <c r="R203" s="59">
        <f t="shared" si="24"/>
        <v>100</v>
      </c>
      <c r="S203" s="56">
        <f t="shared" si="25"/>
        <v>695</v>
      </c>
      <c r="T203" s="56">
        <f>50</f>
        <v>50</v>
      </c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</row>
    <row r="204" spans="1:30" ht="15.75" x14ac:dyDescent="0.25">
      <c r="A204" s="16">
        <v>47484</v>
      </c>
      <c r="B204" s="69">
        <v>31</v>
      </c>
      <c r="C204" s="56">
        <f>122.58</f>
        <v>122.58</v>
      </c>
      <c r="D204" s="56">
        <f>297.941</f>
        <v>297.94099999999997</v>
      </c>
      <c r="E204" s="64">
        <f>89.177</f>
        <v>89.177000000000007</v>
      </c>
      <c r="F204" s="56">
        <f>240.302-40-60-100</f>
        <v>40.301999999999992</v>
      </c>
      <c r="G204" s="59">
        <v>40</v>
      </c>
      <c r="H204" s="56">
        <f>60+100</f>
        <v>160</v>
      </c>
      <c r="I204" s="56">
        <f t="shared" si="28"/>
        <v>0</v>
      </c>
      <c r="J204" s="59">
        <v>100</v>
      </c>
      <c r="K204" s="59">
        <v>300</v>
      </c>
      <c r="L204" s="56">
        <f t="shared" si="22"/>
        <v>1150</v>
      </c>
      <c r="M204" s="66">
        <v>600</v>
      </c>
      <c r="N204" s="56">
        <f>100</f>
        <v>100</v>
      </c>
      <c r="O204" s="59">
        <v>240</v>
      </c>
      <c r="P204" s="59">
        <v>40</v>
      </c>
      <c r="Q204" s="59">
        <f t="shared" si="23"/>
        <v>315</v>
      </c>
      <c r="R204" s="59">
        <f t="shared" si="24"/>
        <v>100</v>
      </c>
      <c r="S204" s="56">
        <f t="shared" si="25"/>
        <v>695</v>
      </c>
      <c r="T204" s="56">
        <f>50</f>
        <v>50</v>
      </c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</row>
    <row r="205" spans="1:30" ht="15.75" x14ac:dyDescent="0.25">
      <c r="A205" s="16">
        <v>47515</v>
      </c>
      <c r="B205" s="69">
        <v>28</v>
      </c>
      <c r="C205" s="56">
        <f>122.58</f>
        <v>122.58</v>
      </c>
      <c r="D205" s="56">
        <f>297.941</f>
        <v>297.94099999999997</v>
      </c>
      <c r="E205" s="64">
        <f>89.177</f>
        <v>89.177000000000007</v>
      </c>
      <c r="F205" s="56">
        <f>240.302-40-60-100</f>
        <v>40.301999999999992</v>
      </c>
      <c r="G205" s="59">
        <v>40</v>
      </c>
      <c r="H205" s="56">
        <f>60+100</f>
        <v>160</v>
      </c>
      <c r="I205" s="56">
        <f t="shared" si="28"/>
        <v>0</v>
      </c>
      <c r="J205" s="59">
        <v>100</v>
      </c>
      <c r="K205" s="59">
        <v>300</v>
      </c>
      <c r="L205" s="56">
        <f t="shared" si="22"/>
        <v>1150</v>
      </c>
      <c r="M205" s="66">
        <v>600</v>
      </c>
      <c r="N205" s="56">
        <f>100</f>
        <v>100</v>
      </c>
      <c r="O205" s="59">
        <v>240</v>
      </c>
      <c r="P205" s="59">
        <v>40</v>
      </c>
      <c r="Q205" s="59">
        <f t="shared" si="23"/>
        <v>315</v>
      </c>
      <c r="R205" s="59">
        <f t="shared" si="24"/>
        <v>100</v>
      </c>
      <c r="S205" s="56">
        <f t="shared" si="25"/>
        <v>695</v>
      </c>
      <c r="T205" s="56">
        <f>50</f>
        <v>50</v>
      </c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</row>
    <row r="206" spans="1:30" ht="15.75" x14ac:dyDescent="0.25">
      <c r="A206" s="16">
        <v>47543</v>
      </c>
      <c r="B206" s="69">
        <v>31</v>
      </c>
      <c r="C206" s="56">
        <f>122.58</f>
        <v>122.58</v>
      </c>
      <c r="D206" s="56">
        <f>297.941</f>
        <v>297.94099999999997</v>
      </c>
      <c r="E206" s="64">
        <f>89.177</f>
        <v>89.177000000000007</v>
      </c>
      <c r="F206" s="56">
        <f>240.302-40-60-100</f>
        <v>40.301999999999992</v>
      </c>
      <c r="G206" s="59">
        <v>40</v>
      </c>
      <c r="H206" s="56">
        <f>60+100</f>
        <v>160</v>
      </c>
      <c r="I206" s="56">
        <f t="shared" si="28"/>
        <v>0</v>
      </c>
      <c r="J206" s="59">
        <v>100</v>
      </c>
      <c r="K206" s="59">
        <v>300</v>
      </c>
      <c r="L206" s="56">
        <f t="shared" si="22"/>
        <v>1150</v>
      </c>
      <c r="M206" s="66">
        <v>600</v>
      </c>
      <c r="N206" s="56">
        <f>100</f>
        <v>100</v>
      </c>
      <c r="O206" s="59">
        <v>240</v>
      </c>
      <c r="P206" s="59">
        <v>40</v>
      </c>
      <c r="Q206" s="59">
        <f t="shared" si="23"/>
        <v>315</v>
      </c>
      <c r="R206" s="59">
        <f t="shared" si="24"/>
        <v>100</v>
      </c>
      <c r="S206" s="56">
        <f t="shared" si="25"/>
        <v>695</v>
      </c>
      <c r="T206" s="56">
        <f>50</f>
        <v>50</v>
      </c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</row>
    <row r="207" spans="1:30" ht="15.75" x14ac:dyDescent="0.25">
      <c r="A207" s="16">
        <v>47574</v>
      </c>
      <c r="B207" s="69">
        <v>30</v>
      </c>
      <c r="C207" s="56">
        <f>141.293</f>
        <v>141.29300000000001</v>
      </c>
      <c r="D207" s="56">
        <f>267.993</f>
        <v>267.99299999999999</v>
      </c>
      <c r="E207" s="64">
        <f>115.016</f>
        <v>115.01600000000001</v>
      </c>
      <c r="F207" s="56">
        <f>314.698-40-25-60-100</f>
        <v>89.697999999999979</v>
      </c>
      <c r="G207" s="59">
        <v>40</v>
      </c>
      <c r="H207" s="56">
        <f t="shared" ref="H207:H213" si="32">25+60+100</f>
        <v>185</v>
      </c>
      <c r="I207" s="56">
        <f t="shared" si="28"/>
        <v>0</v>
      </c>
      <c r="J207" s="59">
        <v>100</v>
      </c>
      <c r="K207" s="59">
        <v>300</v>
      </c>
      <c r="L207" s="56">
        <f t="shared" si="22"/>
        <v>1239</v>
      </c>
      <c r="M207" s="66">
        <v>600</v>
      </c>
      <c r="N207" s="56">
        <f>100</f>
        <v>100</v>
      </c>
      <c r="O207" s="59">
        <v>240</v>
      </c>
      <c r="P207" s="59">
        <v>160</v>
      </c>
      <c r="Q207" s="59">
        <f t="shared" si="23"/>
        <v>195</v>
      </c>
      <c r="R207" s="59">
        <f t="shared" si="24"/>
        <v>100</v>
      </c>
      <c r="S207" s="56">
        <f t="shared" si="25"/>
        <v>695</v>
      </c>
      <c r="T207" s="56">
        <f>50</f>
        <v>50</v>
      </c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</row>
    <row r="208" spans="1:30" ht="15.75" x14ac:dyDescent="0.25">
      <c r="A208" s="16">
        <v>47604</v>
      </c>
      <c r="B208" s="69">
        <v>31</v>
      </c>
      <c r="C208" s="56">
        <f>194.205</f>
        <v>194.20500000000001</v>
      </c>
      <c r="D208" s="56">
        <f>267.466</f>
        <v>267.46600000000001</v>
      </c>
      <c r="E208" s="64">
        <f>133.845</f>
        <v>133.845</v>
      </c>
      <c r="F208" s="56">
        <f>278.484-40-25-60-100</f>
        <v>53.48399999999998</v>
      </c>
      <c r="G208" s="59">
        <v>40</v>
      </c>
      <c r="H208" s="56">
        <f t="shared" si="32"/>
        <v>185</v>
      </c>
      <c r="I208" s="56">
        <f t="shared" si="28"/>
        <v>0</v>
      </c>
      <c r="J208" s="59">
        <v>100</v>
      </c>
      <c r="K208" s="59">
        <v>300</v>
      </c>
      <c r="L208" s="56">
        <f t="shared" ref="L208:L271" si="33">SUM(C208:K208)</f>
        <v>1274</v>
      </c>
      <c r="M208" s="66">
        <v>600</v>
      </c>
      <c r="N208" s="56">
        <f>75</f>
        <v>75</v>
      </c>
      <c r="O208" s="59">
        <v>240</v>
      </c>
      <c r="P208" s="59">
        <v>160</v>
      </c>
      <c r="Q208" s="59">
        <f t="shared" ref="Q208:Q271" si="34">695-R208-O208-P208</f>
        <v>195</v>
      </c>
      <c r="R208" s="59">
        <f t="shared" ref="R208:R271" si="35">200-J208</f>
        <v>100</v>
      </c>
      <c r="S208" s="56">
        <f t="shared" ref="S208:S271" si="36">SUM(O208:R208)</f>
        <v>695</v>
      </c>
      <c r="T208" s="56">
        <f>50</f>
        <v>50</v>
      </c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</row>
    <row r="209" spans="1:30" ht="15.75" x14ac:dyDescent="0.25">
      <c r="A209" s="16">
        <v>47635</v>
      </c>
      <c r="B209" s="69">
        <v>30</v>
      </c>
      <c r="C209" s="56">
        <f>194.205</f>
        <v>194.20500000000001</v>
      </c>
      <c r="D209" s="56">
        <f>267.466</f>
        <v>267.46600000000001</v>
      </c>
      <c r="E209" s="64">
        <f>133.845</f>
        <v>133.845</v>
      </c>
      <c r="F209" s="56">
        <f>278.484-40-25-60-100</f>
        <v>53.48399999999998</v>
      </c>
      <c r="G209" s="59">
        <v>40</v>
      </c>
      <c r="H209" s="56">
        <f t="shared" si="32"/>
        <v>185</v>
      </c>
      <c r="I209" s="56">
        <f t="shared" si="28"/>
        <v>0</v>
      </c>
      <c r="J209" s="59">
        <v>100</v>
      </c>
      <c r="K209" s="59">
        <v>300</v>
      </c>
      <c r="L209" s="56">
        <f t="shared" si="33"/>
        <v>1274</v>
      </c>
      <c r="M209" s="66">
        <v>600</v>
      </c>
      <c r="N209" s="56">
        <f>30</f>
        <v>30</v>
      </c>
      <c r="O209" s="59">
        <v>240</v>
      </c>
      <c r="P209" s="59">
        <v>160</v>
      </c>
      <c r="Q209" s="59">
        <f t="shared" si="34"/>
        <v>195</v>
      </c>
      <c r="R209" s="59">
        <f t="shared" si="35"/>
        <v>100</v>
      </c>
      <c r="S209" s="56">
        <f t="shared" si="36"/>
        <v>695</v>
      </c>
      <c r="T209" s="56">
        <f>50</f>
        <v>50</v>
      </c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</row>
    <row r="210" spans="1:30" ht="15.75" x14ac:dyDescent="0.25">
      <c r="A210" s="16">
        <v>47665</v>
      </c>
      <c r="B210" s="69">
        <v>31</v>
      </c>
      <c r="C210" s="56">
        <f>194.205</f>
        <v>194.20500000000001</v>
      </c>
      <c r="D210" s="56">
        <f>267.466</f>
        <v>267.46600000000001</v>
      </c>
      <c r="E210" s="64">
        <f>133.845</f>
        <v>133.845</v>
      </c>
      <c r="F210" s="56">
        <f>278.484-40-25-60-100</f>
        <v>53.48399999999998</v>
      </c>
      <c r="G210" s="59">
        <v>40</v>
      </c>
      <c r="H210" s="56">
        <f t="shared" si="32"/>
        <v>185</v>
      </c>
      <c r="I210" s="56">
        <f t="shared" si="28"/>
        <v>0</v>
      </c>
      <c r="J210" s="59">
        <v>100</v>
      </c>
      <c r="K210" s="59">
        <v>300</v>
      </c>
      <c r="L210" s="56">
        <f t="shared" si="33"/>
        <v>1274</v>
      </c>
      <c r="M210" s="66">
        <v>600</v>
      </c>
      <c r="N210" s="56">
        <f>30</f>
        <v>30</v>
      </c>
      <c r="O210" s="59">
        <v>240</v>
      </c>
      <c r="P210" s="59">
        <v>160</v>
      </c>
      <c r="Q210" s="59">
        <f t="shared" si="34"/>
        <v>195</v>
      </c>
      <c r="R210" s="59">
        <f t="shared" si="35"/>
        <v>100</v>
      </c>
      <c r="S210" s="56">
        <f t="shared" si="36"/>
        <v>695</v>
      </c>
      <c r="T210" s="56">
        <f>0</f>
        <v>0</v>
      </c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</row>
    <row r="211" spans="1:30" ht="15.75" x14ac:dyDescent="0.25">
      <c r="A211" s="16">
        <v>47696</v>
      </c>
      <c r="B211" s="69">
        <v>31</v>
      </c>
      <c r="C211" s="56">
        <f>194.205</f>
        <v>194.20500000000001</v>
      </c>
      <c r="D211" s="56">
        <f>267.466</f>
        <v>267.46600000000001</v>
      </c>
      <c r="E211" s="64">
        <f>133.845</f>
        <v>133.845</v>
      </c>
      <c r="F211" s="56">
        <f>278.484-40-25-60-100</f>
        <v>53.48399999999998</v>
      </c>
      <c r="G211" s="59">
        <v>40</v>
      </c>
      <c r="H211" s="56">
        <f t="shared" si="32"/>
        <v>185</v>
      </c>
      <c r="I211" s="56">
        <f t="shared" si="28"/>
        <v>0</v>
      </c>
      <c r="J211" s="59">
        <v>100</v>
      </c>
      <c r="K211" s="59">
        <v>300</v>
      </c>
      <c r="L211" s="56">
        <f t="shared" si="33"/>
        <v>1274</v>
      </c>
      <c r="M211" s="66">
        <v>600</v>
      </c>
      <c r="N211" s="56">
        <f>30</f>
        <v>30</v>
      </c>
      <c r="O211" s="59">
        <v>240</v>
      </c>
      <c r="P211" s="59">
        <v>160</v>
      </c>
      <c r="Q211" s="59">
        <f t="shared" si="34"/>
        <v>195</v>
      </c>
      <c r="R211" s="59">
        <f t="shared" si="35"/>
        <v>100</v>
      </c>
      <c r="S211" s="56">
        <f t="shared" si="36"/>
        <v>695</v>
      </c>
      <c r="T211" s="56">
        <f>0</f>
        <v>0</v>
      </c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</row>
    <row r="212" spans="1:30" ht="15.75" x14ac:dyDescent="0.25">
      <c r="A212" s="16">
        <v>47727</v>
      </c>
      <c r="B212" s="69">
        <v>30</v>
      </c>
      <c r="C212" s="56">
        <f>194.205</f>
        <v>194.20500000000001</v>
      </c>
      <c r="D212" s="56">
        <f>267.466</f>
        <v>267.46600000000001</v>
      </c>
      <c r="E212" s="64">
        <f>133.845</f>
        <v>133.845</v>
      </c>
      <c r="F212" s="56">
        <f>278.484-40-25-60-100</f>
        <v>53.48399999999998</v>
      </c>
      <c r="G212" s="59">
        <v>40</v>
      </c>
      <c r="H212" s="56">
        <f t="shared" si="32"/>
        <v>185</v>
      </c>
      <c r="I212" s="56">
        <f t="shared" si="28"/>
        <v>0</v>
      </c>
      <c r="J212" s="59">
        <v>100</v>
      </c>
      <c r="K212" s="59">
        <v>300</v>
      </c>
      <c r="L212" s="56">
        <f t="shared" si="33"/>
        <v>1274</v>
      </c>
      <c r="M212" s="66">
        <v>600</v>
      </c>
      <c r="N212" s="56">
        <f>30</f>
        <v>30</v>
      </c>
      <c r="O212" s="59">
        <v>240</v>
      </c>
      <c r="P212" s="59">
        <v>160</v>
      </c>
      <c r="Q212" s="59">
        <f t="shared" si="34"/>
        <v>195</v>
      </c>
      <c r="R212" s="59">
        <f t="shared" si="35"/>
        <v>100</v>
      </c>
      <c r="S212" s="56">
        <f t="shared" si="36"/>
        <v>695</v>
      </c>
      <c r="T212" s="56">
        <f>0</f>
        <v>0</v>
      </c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</row>
    <row r="213" spans="1:30" ht="15.75" x14ac:dyDescent="0.25">
      <c r="A213" s="16">
        <v>47757</v>
      </c>
      <c r="B213" s="69">
        <v>31</v>
      </c>
      <c r="C213" s="56">
        <f>131.881</f>
        <v>131.881</v>
      </c>
      <c r="D213" s="56">
        <f>277.167</f>
        <v>277.16699999999997</v>
      </c>
      <c r="E213" s="64">
        <f>79.08</f>
        <v>79.08</v>
      </c>
      <c r="F213" s="56">
        <f>350.872-40-25-60-100</f>
        <v>125.87200000000001</v>
      </c>
      <c r="G213" s="59">
        <v>40</v>
      </c>
      <c r="H213" s="56">
        <f t="shared" si="32"/>
        <v>185</v>
      </c>
      <c r="I213" s="56">
        <f t="shared" si="28"/>
        <v>0</v>
      </c>
      <c r="J213" s="59">
        <v>100</v>
      </c>
      <c r="K213" s="59">
        <v>300</v>
      </c>
      <c r="L213" s="56">
        <f t="shared" si="33"/>
        <v>1239</v>
      </c>
      <c r="M213" s="66">
        <v>600</v>
      </c>
      <c r="N213" s="56">
        <f>75</f>
        <v>75</v>
      </c>
      <c r="O213" s="59">
        <v>240</v>
      </c>
      <c r="P213" s="59">
        <v>160</v>
      </c>
      <c r="Q213" s="59">
        <f t="shared" si="34"/>
        <v>195</v>
      </c>
      <c r="R213" s="59">
        <f t="shared" si="35"/>
        <v>100</v>
      </c>
      <c r="S213" s="56">
        <f t="shared" si="36"/>
        <v>695</v>
      </c>
      <c r="T213" s="56">
        <f>0</f>
        <v>0</v>
      </c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</row>
    <row r="214" spans="1:30" ht="15.75" x14ac:dyDescent="0.25">
      <c r="A214" s="16">
        <v>47788</v>
      </c>
      <c r="B214" s="69">
        <v>30</v>
      </c>
      <c r="C214" s="56">
        <f>122.58</f>
        <v>122.58</v>
      </c>
      <c r="D214" s="56">
        <f>297.941</f>
        <v>297.94099999999997</v>
      </c>
      <c r="E214" s="64">
        <f>89.177</f>
        <v>89.177000000000007</v>
      </c>
      <c r="F214" s="56">
        <f>240.302-40-60-100</f>
        <v>40.301999999999992</v>
      </c>
      <c r="G214" s="59">
        <v>40</v>
      </c>
      <c r="H214" s="56">
        <f>60+100</f>
        <v>160</v>
      </c>
      <c r="I214" s="56">
        <f t="shared" si="28"/>
        <v>0</v>
      </c>
      <c r="J214" s="59">
        <v>100</v>
      </c>
      <c r="K214" s="59">
        <v>300</v>
      </c>
      <c r="L214" s="56">
        <f t="shared" si="33"/>
        <v>1150</v>
      </c>
      <c r="M214" s="66">
        <v>600</v>
      </c>
      <c r="N214" s="56">
        <f>100</f>
        <v>100</v>
      </c>
      <c r="O214" s="59">
        <v>240</v>
      </c>
      <c r="P214" s="59">
        <v>40</v>
      </c>
      <c r="Q214" s="59">
        <f t="shared" si="34"/>
        <v>315</v>
      </c>
      <c r="R214" s="59">
        <f t="shared" si="35"/>
        <v>100</v>
      </c>
      <c r="S214" s="56">
        <f t="shared" si="36"/>
        <v>695</v>
      </c>
      <c r="T214" s="56">
        <f>50</f>
        <v>50</v>
      </c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</row>
    <row r="215" spans="1:30" ht="15.75" x14ac:dyDescent="0.25">
      <c r="A215" s="16">
        <v>47818</v>
      </c>
      <c r="B215" s="69">
        <v>31</v>
      </c>
      <c r="C215" s="56">
        <f>122.58</f>
        <v>122.58</v>
      </c>
      <c r="D215" s="56">
        <f>297.941</f>
        <v>297.94099999999997</v>
      </c>
      <c r="E215" s="64">
        <f>89.177</f>
        <v>89.177000000000007</v>
      </c>
      <c r="F215" s="56">
        <f>240.302-40-60-100</f>
        <v>40.301999999999992</v>
      </c>
      <c r="G215" s="59">
        <v>40</v>
      </c>
      <c r="H215" s="56">
        <f>60+100</f>
        <v>160</v>
      </c>
      <c r="I215" s="56">
        <f t="shared" si="28"/>
        <v>0</v>
      </c>
      <c r="J215" s="59">
        <v>100</v>
      </c>
      <c r="K215" s="59">
        <v>300</v>
      </c>
      <c r="L215" s="56">
        <f t="shared" si="33"/>
        <v>1150</v>
      </c>
      <c r="M215" s="66">
        <v>600</v>
      </c>
      <c r="N215" s="56">
        <f>100</f>
        <v>100</v>
      </c>
      <c r="O215" s="59">
        <v>240</v>
      </c>
      <c r="P215" s="59">
        <v>40</v>
      </c>
      <c r="Q215" s="59">
        <f t="shared" si="34"/>
        <v>315</v>
      </c>
      <c r="R215" s="59">
        <f t="shared" si="35"/>
        <v>100</v>
      </c>
      <c r="S215" s="56">
        <f t="shared" si="36"/>
        <v>695</v>
      </c>
      <c r="T215" s="56">
        <f>50</f>
        <v>50</v>
      </c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</row>
    <row r="216" spans="1:30" ht="15.75" x14ac:dyDescent="0.25">
      <c r="A216" s="16">
        <v>47849</v>
      </c>
      <c r="B216" s="69">
        <v>31</v>
      </c>
      <c r="C216" s="56">
        <f>122.58</f>
        <v>122.58</v>
      </c>
      <c r="D216" s="56">
        <f>297.941</f>
        <v>297.94099999999997</v>
      </c>
      <c r="E216" s="64">
        <f>89.177</f>
        <v>89.177000000000007</v>
      </c>
      <c r="F216" s="56">
        <f>240.302-40-60-100</f>
        <v>40.301999999999992</v>
      </c>
      <c r="G216" s="59">
        <v>40</v>
      </c>
      <c r="H216" s="56">
        <f>60+100</f>
        <v>160</v>
      </c>
      <c r="I216" s="56">
        <f t="shared" si="28"/>
        <v>0</v>
      </c>
      <c r="J216" s="59">
        <v>100</v>
      </c>
      <c r="K216" s="59">
        <v>300</v>
      </c>
      <c r="L216" s="56">
        <f t="shared" si="33"/>
        <v>1150</v>
      </c>
      <c r="M216" s="66">
        <v>600</v>
      </c>
      <c r="N216" s="56">
        <f>100</f>
        <v>100</v>
      </c>
      <c r="O216" s="59">
        <v>240</v>
      </c>
      <c r="P216" s="59">
        <v>40</v>
      </c>
      <c r="Q216" s="59">
        <f t="shared" si="34"/>
        <v>315</v>
      </c>
      <c r="R216" s="59">
        <f t="shared" si="35"/>
        <v>100</v>
      </c>
      <c r="S216" s="56">
        <f t="shared" si="36"/>
        <v>695</v>
      </c>
      <c r="T216" s="56">
        <f>50</f>
        <v>50</v>
      </c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</row>
    <row r="217" spans="1:30" ht="15.75" x14ac:dyDescent="0.25">
      <c r="A217" s="16">
        <v>47880</v>
      </c>
      <c r="B217" s="69">
        <v>28</v>
      </c>
      <c r="C217" s="56">
        <f>122.58</f>
        <v>122.58</v>
      </c>
      <c r="D217" s="56">
        <f>297.941</f>
        <v>297.94099999999997</v>
      </c>
      <c r="E217" s="64">
        <f>89.177</f>
        <v>89.177000000000007</v>
      </c>
      <c r="F217" s="56">
        <f>240.302-40-60-100</f>
        <v>40.301999999999992</v>
      </c>
      <c r="G217" s="59">
        <v>40</v>
      </c>
      <c r="H217" s="56">
        <f>60+100</f>
        <v>160</v>
      </c>
      <c r="I217" s="56">
        <f t="shared" si="28"/>
        <v>0</v>
      </c>
      <c r="J217" s="59">
        <v>100</v>
      </c>
      <c r="K217" s="59">
        <v>300</v>
      </c>
      <c r="L217" s="56">
        <f t="shared" si="33"/>
        <v>1150</v>
      </c>
      <c r="M217" s="66">
        <v>600</v>
      </c>
      <c r="N217" s="56">
        <f>100</f>
        <v>100</v>
      </c>
      <c r="O217" s="59">
        <v>240</v>
      </c>
      <c r="P217" s="59">
        <v>40</v>
      </c>
      <c r="Q217" s="59">
        <f t="shared" si="34"/>
        <v>315</v>
      </c>
      <c r="R217" s="59">
        <f t="shared" si="35"/>
        <v>100</v>
      </c>
      <c r="S217" s="56">
        <f t="shared" si="36"/>
        <v>695</v>
      </c>
      <c r="T217" s="56">
        <f>50</f>
        <v>50</v>
      </c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</row>
    <row r="218" spans="1:30" ht="15.75" x14ac:dyDescent="0.25">
      <c r="A218" s="16">
        <v>47908</v>
      </c>
      <c r="B218" s="69">
        <v>31</v>
      </c>
      <c r="C218" s="56">
        <f>122.58</f>
        <v>122.58</v>
      </c>
      <c r="D218" s="56">
        <f>297.941</f>
        <v>297.94099999999997</v>
      </c>
      <c r="E218" s="64">
        <f>89.177</f>
        <v>89.177000000000007</v>
      </c>
      <c r="F218" s="56">
        <f>240.302-40-60-100</f>
        <v>40.301999999999992</v>
      </c>
      <c r="G218" s="59">
        <v>40</v>
      </c>
      <c r="H218" s="56">
        <f>60+100</f>
        <v>160</v>
      </c>
      <c r="I218" s="56">
        <f t="shared" si="28"/>
        <v>0</v>
      </c>
      <c r="J218" s="59">
        <v>100</v>
      </c>
      <c r="K218" s="59">
        <v>300</v>
      </c>
      <c r="L218" s="56">
        <f t="shared" si="33"/>
        <v>1150</v>
      </c>
      <c r="M218" s="66">
        <v>600</v>
      </c>
      <c r="N218" s="56">
        <f>100</f>
        <v>100</v>
      </c>
      <c r="O218" s="59">
        <v>240</v>
      </c>
      <c r="P218" s="59">
        <v>40</v>
      </c>
      <c r="Q218" s="59">
        <f t="shared" si="34"/>
        <v>315</v>
      </c>
      <c r="R218" s="59">
        <f t="shared" si="35"/>
        <v>100</v>
      </c>
      <c r="S218" s="56">
        <f t="shared" si="36"/>
        <v>695</v>
      </c>
      <c r="T218" s="56">
        <f>50</f>
        <v>50</v>
      </c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</row>
    <row r="219" spans="1:30" ht="15.75" x14ac:dyDescent="0.25">
      <c r="A219" s="16">
        <v>47939</v>
      </c>
      <c r="B219" s="69">
        <v>30</v>
      </c>
      <c r="C219" s="56">
        <f>141.293</f>
        <v>141.29300000000001</v>
      </c>
      <c r="D219" s="56">
        <f>267.993</f>
        <v>267.99299999999999</v>
      </c>
      <c r="E219" s="64">
        <f>115.016</f>
        <v>115.01600000000001</v>
      </c>
      <c r="F219" s="56">
        <f>314.698-40-25-60-100</f>
        <v>89.697999999999979</v>
      </c>
      <c r="G219" s="59">
        <v>40</v>
      </c>
      <c r="H219" s="56">
        <f t="shared" ref="H219:H225" si="37">25+60+100</f>
        <v>185</v>
      </c>
      <c r="I219" s="56">
        <f t="shared" si="28"/>
        <v>0</v>
      </c>
      <c r="J219" s="59">
        <v>100</v>
      </c>
      <c r="K219" s="59">
        <v>300</v>
      </c>
      <c r="L219" s="56">
        <f t="shared" si="33"/>
        <v>1239</v>
      </c>
      <c r="M219" s="66">
        <v>600</v>
      </c>
      <c r="N219" s="56">
        <f>100</f>
        <v>100</v>
      </c>
      <c r="O219" s="59">
        <v>240</v>
      </c>
      <c r="P219" s="59">
        <v>160</v>
      </c>
      <c r="Q219" s="59">
        <f t="shared" si="34"/>
        <v>195</v>
      </c>
      <c r="R219" s="59">
        <f t="shared" si="35"/>
        <v>100</v>
      </c>
      <c r="S219" s="56">
        <f t="shared" si="36"/>
        <v>695</v>
      </c>
      <c r="T219" s="56">
        <f>50</f>
        <v>50</v>
      </c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</row>
    <row r="220" spans="1:30" ht="15.75" x14ac:dyDescent="0.25">
      <c r="A220" s="16">
        <v>47969</v>
      </c>
      <c r="B220" s="69">
        <v>31</v>
      </c>
      <c r="C220" s="56">
        <f>194.205</f>
        <v>194.20500000000001</v>
      </c>
      <c r="D220" s="56">
        <f>267.466</f>
        <v>267.46600000000001</v>
      </c>
      <c r="E220" s="64">
        <f>133.845</f>
        <v>133.845</v>
      </c>
      <c r="F220" s="56">
        <f>278.484-40-25-60-100</f>
        <v>53.48399999999998</v>
      </c>
      <c r="G220" s="59">
        <v>40</v>
      </c>
      <c r="H220" s="56">
        <f t="shared" si="37"/>
        <v>185</v>
      </c>
      <c r="I220" s="56">
        <f t="shared" si="28"/>
        <v>0</v>
      </c>
      <c r="J220" s="59">
        <v>100</v>
      </c>
      <c r="K220" s="59">
        <v>300</v>
      </c>
      <c r="L220" s="56">
        <f t="shared" si="33"/>
        <v>1274</v>
      </c>
      <c r="M220" s="66">
        <v>600</v>
      </c>
      <c r="N220" s="56">
        <f>75</f>
        <v>75</v>
      </c>
      <c r="O220" s="59">
        <v>240</v>
      </c>
      <c r="P220" s="59">
        <v>160</v>
      </c>
      <c r="Q220" s="59">
        <f t="shared" si="34"/>
        <v>195</v>
      </c>
      <c r="R220" s="59">
        <f t="shared" si="35"/>
        <v>100</v>
      </c>
      <c r="S220" s="56">
        <f t="shared" si="36"/>
        <v>695</v>
      </c>
      <c r="T220" s="56">
        <f>50</f>
        <v>50</v>
      </c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</row>
    <row r="221" spans="1:30" ht="15.75" x14ac:dyDescent="0.25">
      <c r="A221" s="16">
        <v>48000</v>
      </c>
      <c r="B221" s="69">
        <v>30</v>
      </c>
      <c r="C221" s="56">
        <f>194.205</f>
        <v>194.20500000000001</v>
      </c>
      <c r="D221" s="56">
        <f>267.466</f>
        <v>267.46600000000001</v>
      </c>
      <c r="E221" s="64">
        <f>133.845</f>
        <v>133.845</v>
      </c>
      <c r="F221" s="56">
        <f>278.484-40-25-60-100</f>
        <v>53.48399999999998</v>
      </c>
      <c r="G221" s="59">
        <v>40</v>
      </c>
      <c r="H221" s="56">
        <f t="shared" si="37"/>
        <v>185</v>
      </c>
      <c r="I221" s="56">
        <f t="shared" si="28"/>
        <v>0</v>
      </c>
      <c r="J221" s="59">
        <v>100</v>
      </c>
      <c r="K221" s="59">
        <v>300</v>
      </c>
      <c r="L221" s="56">
        <f t="shared" si="33"/>
        <v>1274</v>
      </c>
      <c r="M221" s="66">
        <v>600</v>
      </c>
      <c r="N221" s="56">
        <f>30</f>
        <v>30</v>
      </c>
      <c r="O221" s="59">
        <v>240</v>
      </c>
      <c r="P221" s="59">
        <v>160</v>
      </c>
      <c r="Q221" s="59">
        <f t="shared" si="34"/>
        <v>195</v>
      </c>
      <c r="R221" s="59">
        <f t="shared" si="35"/>
        <v>100</v>
      </c>
      <c r="S221" s="56">
        <f t="shared" si="36"/>
        <v>695</v>
      </c>
      <c r="T221" s="56">
        <f>50</f>
        <v>50</v>
      </c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</row>
    <row r="222" spans="1:30" ht="15.75" x14ac:dyDescent="0.25">
      <c r="A222" s="16">
        <v>48030</v>
      </c>
      <c r="B222" s="69">
        <v>31</v>
      </c>
      <c r="C222" s="56">
        <f>194.205</f>
        <v>194.20500000000001</v>
      </c>
      <c r="D222" s="56">
        <f>267.466</f>
        <v>267.46600000000001</v>
      </c>
      <c r="E222" s="64">
        <f>133.845</f>
        <v>133.845</v>
      </c>
      <c r="F222" s="56">
        <f>278.484-40-25-60-100</f>
        <v>53.48399999999998</v>
      </c>
      <c r="G222" s="59">
        <v>40</v>
      </c>
      <c r="H222" s="56">
        <f t="shared" si="37"/>
        <v>185</v>
      </c>
      <c r="I222" s="56">
        <f t="shared" si="28"/>
        <v>0</v>
      </c>
      <c r="J222" s="59">
        <v>100</v>
      </c>
      <c r="K222" s="59">
        <v>300</v>
      </c>
      <c r="L222" s="56">
        <f t="shared" si="33"/>
        <v>1274</v>
      </c>
      <c r="M222" s="66">
        <v>600</v>
      </c>
      <c r="N222" s="56">
        <f>30</f>
        <v>30</v>
      </c>
      <c r="O222" s="59">
        <v>240</v>
      </c>
      <c r="P222" s="59">
        <v>160</v>
      </c>
      <c r="Q222" s="59">
        <f t="shared" si="34"/>
        <v>195</v>
      </c>
      <c r="R222" s="59">
        <f t="shared" si="35"/>
        <v>100</v>
      </c>
      <c r="S222" s="56">
        <f t="shared" si="36"/>
        <v>695</v>
      </c>
      <c r="T222" s="56">
        <f>0</f>
        <v>0</v>
      </c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</row>
    <row r="223" spans="1:30" ht="15.75" x14ac:dyDescent="0.25">
      <c r="A223" s="16">
        <v>48061</v>
      </c>
      <c r="B223" s="69">
        <v>31</v>
      </c>
      <c r="C223" s="56">
        <f>194.205</f>
        <v>194.20500000000001</v>
      </c>
      <c r="D223" s="56">
        <f>267.466</f>
        <v>267.46600000000001</v>
      </c>
      <c r="E223" s="64">
        <f>133.845</f>
        <v>133.845</v>
      </c>
      <c r="F223" s="56">
        <f>278.484-40-25-60-100</f>
        <v>53.48399999999998</v>
      </c>
      <c r="G223" s="59">
        <v>40</v>
      </c>
      <c r="H223" s="56">
        <f t="shared" si="37"/>
        <v>185</v>
      </c>
      <c r="I223" s="56">
        <f t="shared" si="28"/>
        <v>0</v>
      </c>
      <c r="J223" s="59">
        <v>100</v>
      </c>
      <c r="K223" s="59">
        <v>300</v>
      </c>
      <c r="L223" s="56">
        <f t="shared" si="33"/>
        <v>1274</v>
      </c>
      <c r="M223" s="66">
        <v>600</v>
      </c>
      <c r="N223" s="56">
        <f>30</f>
        <v>30</v>
      </c>
      <c r="O223" s="59">
        <v>240</v>
      </c>
      <c r="P223" s="59">
        <v>160</v>
      </c>
      <c r="Q223" s="59">
        <f t="shared" si="34"/>
        <v>195</v>
      </c>
      <c r="R223" s="59">
        <f t="shared" si="35"/>
        <v>100</v>
      </c>
      <c r="S223" s="56">
        <f t="shared" si="36"/>
        <v>695</v>
      </c>
      <c r="T223" s="56">
        <f>0</f>
        <v>0</v>
      </c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</row>
    <row r="224" spans="1:30" ht="15.75" x14ac:dyDescent="0.25">
      <c r="A224" s="16">
        <v>48092</v>
      </c>
      <c r="B224" s="69">
        <v>30</v>
      </c>
      <c r="C224" s="56">
        <f>194.205</f>
        <v>194.20500000000001</v>
      </c>
      <c r="D224" s="56">
        <f>267.466</f>
        <v>267.46600000000001</v>
      </c>
      <c r="E224" s="64">
        <f>133.845</f>
        <v>133.845</v>
      </c>
      <c r="F224" s="56">
        <f>278.484-40-25-60-100</f>
        <v>53.48399999999998</v>
      </c>
      <c r="G224" s="59">
        <v>40</v>
      </c>
      <c r="H224" s="56">
        <f t="shared" si="37"/>
        <v>185</v>
      </c>
      <c r="I224" s="56">
        <f t="shared" si="28"/>
        <v>0</v>
      </c>
      <c r="J224" s="59">
        <v>100</v>
      </c>
      <c r="K224" s="59">
        <v>300</v>
      </c>
      <c r="L224" s="56">
        <f t="shared" si="33"/>
        <v>1274</v>
      </c>
      <c r="M224" s="66">
        <v>600</v>
      </c>
      <c r="N224" s="56">
        <f>30</f>
        <v>30</v>
      </c>
      <c r="O224" s="59">
        <v>240</v>
      </c>
      <c r="P224" s="59">
        <v>160</v>
      </c>
      <c r="Q224" s="59">
        <f t="shared" si="34"/>
        <v>195</v>
      </c>
      <c r="R224" s="59">
        <f t="shared" si="35"/>
        <v>100</v>
      </c>
      <c r="S224" s="56">
        <f t="shared" si="36"/>
        <v>695</v>
      </c>
      <c r="T224" s="56">
        <f>0</f>
        <v>0</v>
      </c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</row>
    <row r="225" spans="1:30" ht="15.75" x14ac:dyDescent="0.25">
      <c r="A225" s="16">
        <v>48122</v>
      </c>
      <c r="B225" s="69">
        <v>31</v>
      </c>
      <c r="C225" s="56">
        <f>131.881</f>
        <v>131.881</v>
      </c>
      <c r="D225" s="56">
        <f>277.167</f>
        <v>277.16699999999997</v>
      </c>
      <c r="E225" s="64">
        <f>79.08</f>
        <v>79.08</v>
      </c>
      <c r="F225" s="56">
        <f>350.872-40-25-60-100</f>
        <v>125.87200000000001</v>
      </c>
      <c r="G225" s="59">
        <v>40</v>
      </c>
      <c r="H225" s="56">
        <f t="shared" si="37"/>
        <v>185</v>
      </c>
      <c r="I225" s="56">
        <f t="shared" si="28"/>
        <v>0</v>
      </c>
      <c r="J225" s="59">
        <v>100</v>
      </c>
      <c r="K225" s="59">
        <v>300</v>
      </c>
      <c r="L225" s="56">
        <f t="shared" si="33"/>
        <v>1239</v>
      </c>
      <c r="M225" s="66">
        <v>600</v>
      </c>
      <c r="N225" s="56">
        <f>75</f>
        <v>75</v>
      </c>
      <c r="O225" s="59">
        <v>240</v>
      </c>
      <c r="P225" s="59">
        <v>160</v>
      </c>
      <c r="Q225" s="59">
        <f t="shared" si="34"/>
        <v>195</v>
      </c>
      <c r="R225" s="59">
        <f t="shared" si="35"/>
        <v>100</v>
      </c>
      <c r="S225" s="56">
        <f t="shared" si="36"/>
        <v>695</v>
      </c>
      <c r="T225" s="56">
        <f>0</f>
        <v>0</v>
      </c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</row>
    <row r="226" spans="1:30" ht="15.75" x14ac:dyDescent="0.25">
      <c r="A226" s="16">
        <v>48153</v>
      </c>
      <c r="B226" s="69">
        <v>30</v>
      </c>
      <c r="C226" s="56">
        <f>122.58</f>
        <v>122.58</v>
      </c>
      <c r="D226" s="56">
        <f>297.941</f>
        <v>297.94099999999997</v>
      </c>
      <c r="E226" s="64">
        <f>89.177</f>
        <v>89.177000000000007</v>
      </c>
      <c r="F226" s="56">
        <f>240.302-40-60-100</f>
        <v>40.301999999999992</v>
      </c>
      <c r="G226" s="59">
        <v>40</v>
      </c>
      <c r="H226" s="56">
        <f>60+100</f>
        <v>160</v>
      </c>
      <c r="I226" s="56">
        <f t="shared" si="28"/>
        <v>0</v>
      </c>
      <c r="J226" s="59">
        <v>100</v>
      </c>
      <c r="K226" s="59">
        <v>300</v>
      </c>
      <c r="L226" s="56">
        <f t="shared" si="33"/>
        <v>1150</v>
      </c>
      <c r="M226" s="66">
        <v>600</v>
      </c>
      <c r="N226" s="56">
        <f>100</f>
        <v>100</v>
      </c>
      <c r="O226" s="59">
        <v>240</v>
      </c>
      <c r="P226" s="59">
        <v>40</v>
      </c>
      <c r="Q226" s="59">
        <f t="shared" si="34"/>
        <v>315</v>
      </c>
      <c r="R226" s="59">
        <f t="shared" si="35"/>
        <v>100</v>
      </c>
      <c r="S226" s="56">
        <f t="shared" si="36"/>
        <v>695</v>
      </c>
      <c r="T226" s="56">
        <f>50</f>
        <v>50</v>
      </c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</row>
    <row r="227" spans="1:30" ht="15.75" x14ac:dyDescent="0.25">
      <c r="A227" s="16">
        <v>48183</v>
      </c>
      <c r="B227" s="69">
        <v>31</v>
      </c>
      <c r="C227" s="56">
        <f>122.58</f>
        <v>122.58</v>
      </c>
      <c r="D227" s="56">
        <f>297.941</f>
        <v>297.94099999999997</v>
      </c>
      <c r="E227" s="64">
        <f>89.177</f>
        <v>89.177000000000007</v>
      </c>
      <c r="F227" s="56">
        <f>240.302-40-60-100</f>
        <v>40.301999999999992</v>
      </c>
      <c r="G227" s="59">
        <v>40</v>
      </c>
      <c r="H227" s="56">
        <f>60+100</f>
        <v>160</v>
      </c>
      <c r="I227" s="56">
        <f t="shared" si="28"/>
        <v>0</v>
      </c>
      <c r="J227" s="59">
        <v>100</v>
      </c>
      <c r="K227" s="59">
        <v>300</v>
      </c>
      <c r="L227" s="56">
        <f t="shared" si="33"/>
        <v>1150</v>
      </c>
      <c r="M227" s="66">
        <v>600</v>
      </c>
      <c r="N227" s="56">
        <f>100</f>
        <v>100</v>
      </c>
      <c r="O227" s="59">
        <v>240</v>
      </c>
      <c r="P227" s="59">
        <v>40</v>
      </c>
      <c r="Q227" s="59">
        <f t="shared" si="34"/>
        <v>315</v>
      </c>
      <c r="R227" s="59">
        <f t="shared" si="35"/>
        <v>100</v>
      </c>
      <c r="S227" s="56">
        <f t="shared" si="36"/>
        <v>695</v>
      </c>
      <c r="T227" s="56">
        <f>50</f>
        <v>50</v>
      </c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</row>
    <row r="228" spans="1:30" ht="15.75" x14ac:dyDescent="0.25">
      <c r="A228" s="16">
        <v>48214</v>
      </c>
      <c r="B228" s="69">
        <v>31</v>
      </c>
      <c r="C228" s="56">
        <f>122.58</f>
        <v>122.58</v>
      </c>
      <c r="D228" s="56">
        <f>297.941</f>
        <v>297.94099999999997</v>
      </c>
      <c r="E228" s="64">
        <f>89.177</f>
        <v>89.177000000000007</v>
      </c>
      <c r="F228" s="56">
        <f>240.302-40-60-100</f>
        <v>40.301999999999992</v>
      </c>
      <c r="G228" s="59">
        <v>40</v>
      </c>
      <c r="H228" s="56">
        <f>60+100</f>
        <v>160</v>
      </c>
      <c r="I228" s="56">
        <f t="shared" si="28"/>
        <v>0</v>
      </c>
      <c r="J228" s="59">
        <v>100</v>
      </c>
      <c r="K228" s="59">
        <v>300</v>
      </c>
      <c r="L228" s="56">
        <f t="shared" si="33"/>
        <v>1150</v>
      </c>
      <c r="M228" s="66">
        <v>600</v>
      </c>
      <c r="N228" s="56">
        <f>100</f>
        <v>100</v>
      </c>
      <c r="O228" s="59">
        <v>240</v>
      </c>
      <c r="P228" s="59">
        <v>40</v>
      </c>
      <c r="Q228" s="59">
        <f t="shared" si="34"/>
        <v>315</v>
      </c>
      <c r="R228" s="59">
        <f t="shared" si="35"/>
        <v>100</v>
      </c>
      <c r="S228" s="56">
        <f t="shared" si="36"/>
        <v>695</v>
      </c>
      <c r="T228" s="56">
        <f>50</f>
        <v>50</v>
      </c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</row>
    <row r="229" spans="1:30" ht="15.75" x14ac:dyDescent="0.25">
      <c r="A229" s="16">
        <v>48245</v>
      </c>
      <c r="B229" s="69">
        <v>29</v>
      </c>
      <c r="C229" s="56">
        <f>122.58</f>
        <v>122.58</v>
      </c>
      <c r="D229" s="56">
        <f>297.941</f>
        <v>297.94099999999997</v>
      </c>
      <c r="E229" s="64">
        <f>89.177</f>
        <v>89.177000000000007</v>
      </c>
      <c r="F229" s="56">
        <f>240.302-40-60-100</f>
        <v>40.301999999999992</v>
      </c>
      <c r="G229" s="59">
        <v>40</v>
      </c>
      <c r="H229" s="56">
        <f>60+100</f>
        <v>160</v>
      </c>
      <c r="I229" s="56">
        <f t="shared" si="28"/>
        <v>0</v>
      </c>
      <c r="J229" s="59">
        <v>100</v>
      </c>
      <c r="K229" s="59">
        <v>300</v>
      </c>
      <c r="L229" s="56">
        <f t="shared" si="33"/>
        <v>1150</v>
      </c>
      <c r="M229" s="66">
        <v>600</v>
      </c>
      <c r="N229" s="56">
        <f>100</f>
        <v>100</v>
      </c>
      <c r="O229" s="59">
        <v>240</v>
      </c>
      <c r="P229" s="59">
        <v>40</v>
      </c>
      <c r="Q229" s="59">
        <f t="shared" si="34"/>
        <v>315</v>
      </c>
      <c r="R229" s="59">
        <f t="shared" si="35"/>
        <v>100</v>
      </c>
      <c r="S229" s="56">
        <f t="shared" si="36"/>
        <v>695</v>
      </c>
      <c r="T229" s="56">
        <f>50</f>
        <v>50</v>
      </c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</row>
    <row r="230" spans="1:30" ht="15.75" x14ac:dyDescent="0.25">
      <c r="A230" s="16">
        <v>48274</v>
      </c>
      <c r="B230" s="69">
        <v>31</v>
      </c>
      <c r="C230" s="56">
        <f>122.58</f>
        <v>122.58</v>
      </c>
      <c r="D230" s="56">
        <f>297.941</f>
        <v>297.94099999999997</v>
      </c>
      <c r="E230" s="64">
        <f>89.177</f>
        <v>89.177000000000007</v>
      </c>
      <c r="F230" s="56">
        <f>240.302-40-60-100</f>
        <v>40.301999999999992</v>
      </c>
      <c r="G230" s="59">
        <v>40</v>
      </c>
      <c r="H230" s="56">
        <f>60+100</f>
        <v>160</v>
      </c>
      <c r="I230" s="56">
        <f t="shared" si="28"/>
        <v>0</v>
      </c>
      <c r="J230" s="59">
        <v>100</v>
      </c>
      <c r="K230" s="59">
        <v>300</v>
      </c>
      <c r="L230" s="56">
        <f t="shared" si="33"/>
        <v>1150</v>
      </c>
      <c r="M230" s="66">
        <v>600</v>
      </c>
      <c r="N230" s="56">
        <f>100</f>
        <v>100</v>
      </c>
      <c r="O230" s="59">
        <v>240</v>
      </c>
      <c r="P230" s="59">
        <v>40</v>
      </c>
      <c r="Q230" s="59">
        <f t="shared" si="34"/>
        <v>315</v>
      </c>
      <c r="R230" s="59">
        <f t="shared" si="35"/>
        <v>100</v>
      </c>
      <c r="S230" s="56">
        <f t="shared" si="36"/>
        <v>695</v>
      </c>
      <c r="T230" s="56">
        <f>50</f>
        <v>50</v>
      </c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</row>
    <row r="231" spans="1:30" ht="15.75" x14ac:dyDescent="0.25">
      <c r="A231" s="16">
        <v>48305</v>
      </c>
      <c r="B231" s="69">
        <v>30</v>
      </c>
      <c r="C231" s="56">
        <f>141.293</f>
        <v>141.29300000000001</v>
      </c>
      <c r="D231" s="56">
        <f>267.993</f>
        <v>267.99299999999999</v>
      </c>
      <c r="E231" s="64">
        <f>115.016</f>
        <v>115.01600000000001</v>
      </c>
      <c r="F231" s="56">
        <f>314.698-40-25-60-100</f>
        <v>89.697999999999979</v>
      </c>
      <c r="G231" s="59">
        <v>40</v>
      </c>
      <c r="H231" s="56">
        <f t="shared" ref="H231:H237" si="38">25+60+100</f>
        <v>185</v>
      </c>
      <c r="I231" s="56">
        <f t="shared" si="28"/>
        <v>0</v>
      </c>
      <c r="J231" s="59">
        <v>100</v>
      </c>
      <c r="K231" s="59">
        <v>300</v>
      </c>
      <c r="L231" s="56">
        <f t="shared" si="33"/>
        <v>1239</v>
      </c>
      <c r="M231" s="66">
        <v>600</v>
      </c>
      <c r="N231" s="56">
        <f>100</f>
        <v>100</v>
      </c>
      <c r="O231" s="59">
        <v>240</v>
      </c>
      <c r="P231" s="59">
        <v>160</v>
      </c>
      <c r="Q231" s="59">
        <f t="shared" si="34"/>
        <v>195</v>
      </c>
      <c r="R231" s="59">
        <f t="shared" si="35"/>
        <v>100</v>
      </c>
      <c r="S231" s="56">
        <f t="shared" si="36"/>
        <v>695</v>
      </c>
      <c r="T231" s="56">
        <f>50</f>
        <v>50</v>
      </c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</row>
    <row r="232" spans="1:30" ht="15.75" x14ac:dyDescent="0.25">
      <c r="A232" s="16">
        <v>48335</v>
      </c>
      <c r="B232" s="69">
        <v>31</v>
      </c>
      <c r="C232" s="56">
        <f>194.205</f>
        <v>194.20500000000001</v>
      </c>
      <c r="D232" s="56">
        <f>267.466</f>
        <v>267.46600000000001</v>
      </c>
      <c r="E232" s="64">
        <f>133.845</f>
        <v>133.845</v>
      </c>
      <c r="F232" s="56">
        <f>278.484-40-25-60-100</f>
        <v>53.48399999999998</v>
      </c>
      <c r="G232" s="59">
        <v>40</v>
      </c>
      <c r="H232" s="56">
        <f t="shared" si="38"/>
        <v>185</v>
      </c>
      <c r="I232" s="56">
        <f t="shared" ref="I232:I295" si="39">400-J232-K232</f>
        <v>0</v>
      </c>
      <c r="J232" s="59">
        <v>100</v>
      </c>
      <c r="K232" s="59">
        <v>300</v>
      </c>
      <c r="L232" s="56">
        <f t="shared" si="33"/>
        <v>1274</v>
      </c>
      <c r="M232" s="66">
        <v>600</v>
      </c>
      <c r="N232" s="56">
        <f>75</f>
        <v>75</v>
      </c>
      <c r="O232" s="59">
        <v>240</v>
      </c>
      <c r="P232" s="59">
        <v>160</v>
      </c>
      <c r="Q232" s="59">
        <f t="shared" si="34"/>
        <v>195</v>
      </c>
      <c r="R232" s="59">
        <f t="shared" si="35"/>
        <v>100</v>
      </c>
      <c r="S232" s="56">
        <f t="shared" si="36"/>
        <v>695</v>
      </c>
      <c r="T232" s="56">
        <f>50</f>
        <v>50</v>
      </c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</row>
    <row r="233" spans="1:30" ht="15.75" x14ac:dyDescent="0.25">
      <c r="A233" s="16">
        <v>48366</v>
      </c>
      <c r="B233" s="69">
        <v>30</v>
      </c>
      <c r="C233" s="56">
        <f>194.205</f>
        <v>194.20500000000001</v>
      </c>
      <c r="D233" s="56">
        <f>267.466</f>
        <v>267.46600000000001</v>
      </c>
      <c r="E233" s="64">
        <f>133.845</f>
        <v>133.845</v>
      </c>
      <c r="F233" s="56">
        <f>278.484-40-25-60-100</f>
        <v>53.48399999999998</v>
      </c>
      <c r="G233" s="59">
        <v>40</v>
      </c>
      <c r="H233" s="56">
        <f t="shared" si="38"/>
        <v>185</v>
      </c>
      <c r="I233" s="56">
        <f t="shared" si="39"/>
        <v>0</v>
      </c>
      <c r="J233" s="59">
        <v>100</v>
      </c>
      <c r="K233" s="59">
        <v>300</v>
      </c>
      <c r="L233" s="56">
        <f t="shared" si="33"/>
        <v>1274</v>
      </c>
      <c r="M233" s="66">
        <v>600</v>
      </c>
      <c r="N233" s="56">
        <f>30</f>
        <v>30</v>
      </c>
      <c r="O233" s="59">
        <v>240</v>
      </c>
      <c r="P233" s="59">
        <v>160</v>
      </c>
      <c r="Q233" s="59">
        <f t="shared" si="34"/>
        <v>195</v>
      </c>
      <c r="R233" s="59">
        <f t="shared" si="35"/>
        <v>100</v>
      </c>
      <c r="S233" s="56">
        <f t="shared" si="36"/>
        <v>695</v>
      </c>
      <c r="T233" s="56">
        <f>50</f>
        <v>50</v>
      </c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</row>
    <row r="234" spans="1:30" ht="15.75" x14ac:dyDescent="0.25">
      <c r="A234" s="16">
        <v>48396</v>
      </c>
      <c r="B234" s="69">
        <v>31</v>
      </c>
      <c r="C234" s="56">
        <f>194.205</f>
        <v>194.20500000000001</v>
      </c>
      <c r="D234" s="56">
        <f>267.466</f>
        <v>267.46600000000001</v>
      </c>
      <c r="E234" s="64">
        <f>133.845</f>
        <v>133.845</v>
      </c>
      <c r="F234" s="56">
        <f>278.484-40-25-60-100</f>
        <v>53.48399999999998</v>
      </c>
      <c r="G234" s="59">
        <v>40</v>
      </c>
      <c r="H234" s="56">
        <f t="shared" si="38"/>
        <v>185</v>
      </c>
      <c r="I234" s="56">
        <f t="shared" si="39"/>
        <v>0</v>
      </c>
      <c r="J234" s="59">
        <v>100</v>
      </c>
      <c r="K234" s="59">
        <v>300</v>
      </c>
      <c r="L234" s="56">
        <f t="shared" si="33"/>
        <v>1274</v>
      </c>
      <c r="M234" s="66">
        <v>600</v>
      </c>
      <c r="N234" s="56">
        <f>30</f>
        <v>30</v>
      </c>
      <c r="O234" s="59">
        <v>240</v>
      </c>
      <c r="P234" s="59">
        <v>160</v>
      </c>
      <c r="Q234" s="59">
        <f t="shared" si="34"/>
        <v>195</v>
      </c>
      <c r="R234" s="59">
        <f t="shared" si="35"/>
        <v>100</v>
      </c>
      <c r="S234" s="56">
        <f t="shared" si="36"/>
        <v>695</v>
      </c>
      <c r="T234" s="56">
        <f>0</f>
        <v>0</v>
      </c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</row>
    <row r="235" spans="1:30" ht="15.75" x14ac:dyDescent="0.25">
      <c r="A235" s="16">
        <v>48427</v>
      </c>
      <c r="B235" s="69">
        <v>31</v>
      </c>
      <c r="C235" s="56">
        <f>194.205</f>
        <v>194.20500000000001</v>
      </c>
      <c r="D235" s="56">
        <f>267.466</f>
        <v>267.46600000000001</v>
      </c>
      <c r="E235" s="64">
        <f>133.845</f>
        <v>133.845</v>
      </c>
      <c r="F235" s="56">
        <f>278.484-40-25-60-100</f>
        <v>53.48399999999998</v>
      </c>
      <c r="G235" s="59">
        <v>40</v>
      </c>
      <c r="H235" s="56">
        <f t="shared" si="38"/>
        <v>185</v>
      </c>
      <c r="I235" s="56">
        <f t="shared" si="39"/>
        <v>0</v>
      </c>
      <c r="J235" s="59">
        <v>100</v>
      </c>
      <c r="K235" s="59">
        <v>300</v>
      </c>
      <c r="L235" s="56">
        <f t="shared" si="33"/>
        <v>1274</v>
      </c>
      <c r="M235" s="66">
        <v>600</v>
      </c>
      <c r="N235" s="56">
        <f>30</f>
        <v>30</v>
      </c>
      <c r="O235" s="59">
        <v>240</v>
      </c>
      <c r="P235" s="59">
        <v>160</v>
      </c>
      <c r="Q235" s="59">
        <f t="shared" si="34"/>
        <v>195</v>
      </c>
      <c r="R235" s="59">
        <f t="shared" si="35"/>
        <v>100</v>
      </c>
      <c r="S235" s="56">
        <f t="shared" si="36"/>
        <v>695</v>
      </c>
      <c r="T235" s="56">
        <f>0</f>
        <v>0</v>
      </c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</row>
    <row r="236" spans="1:30" ht="15.75" x14ac:dyDescent="0.25">
      <c r="A236" s="16">
        <v>48458</v>
      </c>
      <c r="B236" s="69">
        <v>30</v>
      </c>
      <c r="C236" s="56">
        <f>194.205</f>
        <v>194.20500000000001</v>
      </c>
      <c r="D236" s="56">
        <f>267.466</f>
        <v>267.46600000000001</v>
      </c>
      <c r="E236" s="64">
        <f>133.845</f>
        <v>133.845</v>
      </c>
      <c r="F236" s="56">
        <f>278.484-40-25-60-100</f>
        <v>53.48399999999998</v>
      </c>
      <c r="G236" s="59">
        <v>40</v>
      </c>
      <c r="H236" s="56">
        <f t="shared" si="38"/>
        <v>185</v>
      </c>
      <c r="I236" s="56">
        <f t="shared" si="39"/>
        <v>0</v>
      </c>
      <c r="J236" s="59">
        <v>100</v>
      </c>
      <c r="K236" s="59">
        <v>300</v>
      </c>
      <c r="L236" s="56">
        <f t="shared" si="33"/>
        <v>1274</v>
      </c>
      <c r="M236" s="66">
        <v>600</v>
      </c>
      <c r="N236" s="56">
        <f>30</f>
        <v>30</v>
      </c>
      <c r="O236" s="59">
        <v>240</v>
      </c>
      <c r="P236" s="59">
        <v>160</v>
      </c>
      <c r="Q236" s="59">
        <f t="shared" si="34"/>
        <v>195</v>
      </c>
      <c r="R236" s="59">
        <f t="shared" si="35"/>
        <v>100</v>
      </c>
      <c r="S236" s="56">
        <f t="shared" si="36"/>
        <v>695</v>
      </c>
      <c r="T236" s="56">
        <f>0</f>
        <v>0</v>
      </c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</row>
    <row r="237" spans="1:30" ht="15.75" x14ac:dyDescent="0.25">
      <c r="A237" s="16">
        <v>48488</v>
      </c>
      <c r="B237" s="69">
        <v>31</v>
      </c>
      <c r="C237" s="56">
        <f>131.881</f>
        <v>131.881</v>
      </c>
      <c r="D237" s="56">
        <f>277.167</f>
        <v>277.16699999999997</v>
      </c>
      <c r="E237" s="64">
        <f>79.08</f>
        <v>79.08</v>
      </c>
      <c r="F237" s="56">
        <f>350.872-40-25-60-100</f>
        <v>125.87200000000001</v>
      </c>
      <c r="G237" s="59">
        <v>40</v>
      </c>
      <c r="H237" s="56">
        <f t="shared" si="38"/>
        <v>185</v>
      </c>
      <c r="I237" s="56">
        <f t="shared" si="39"/>
        <v>0</v>
      </c>
      <c r="J237" s="59">
        <v>100</v>
      </c>
      <c r="K237" s="59">
        <v>300</v>
      </c>
      <c r="L237" s="56">
        <f t="shared" si="33"/>
        <v>1239</v>
      </c>
      <c r="M237" s="66">
        <v>600</v>
      </c>
      <c r="N237" s="56">
        <f>75</f>
        <v>75</v>
      </c>
      <c r="O237" s="59">
        <v>240</v>
      </c>
      <c r="P237" s="59">
        <v>160</v>
      </c>
      <c r="Q237" s="59">
        <f t="shared" si="34"/>
        <v>195</v>
      </c>
      <c r="R237" s="59">
        <f t="shared" si="35"/>
        <v>100</v>
      </c>
      <c r="S237" s="56">
        <f t="shared" si="36"/>
        <v>695</v>
      </c>
      <c r="T237" s="56">
        <f>0</f>
        <v>0</v>
      </c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</row>
    <row r="238" spans="1:30" ht="15.75" x14ac:dyDescent="0.25">
      <c r="A238" s="16">
        <v>48519</v>
      </c>
      <c r="B238" s="69">
        <v>30</v>
      </c>
      <c r="C238" s="56">
        <f>122.58</f>
        <v>122.58</v>
      </c>
      <c r="D238" s="56">
        <f>297.941</f>
        <v>297.94099999999997</v>
      </c>
      <c r="E238" s="64">
        <f>89.177</f>
        <v>89.177000000000007</v>
      </c>
      <c r="F238" s="56">
        <f>240.302-40-60-100</f>
        <v>40.301999999999992</v>
      </c>
      <c r="G238" s="59">
        <v>40</v>
      </c>
      <c r="H238" s="56">
        <f>60+100</f>
        <v>160</v>
      </c>
      <c r="I238" s="56">
        <f t="shared" si="39"/>
        <v>0</v>
      </c>
      <c r="J238" s="59">
        <v>100</v>
      </c>
      <c r="K238" s="59">
        <v>300</v>
      </c>
      <c r="L238" s="56">
        <f t="shared" si="33"/>
        <v>1150</v>
      </c>
      <c r="M238" s="66">
        <v>600</v>
      </c>
      <c r="N238" s="56">
        <f>100</f>
        <v>100</v>
      </c>
      <c r="O238" s="59">
        <v>240</v>
      </c>
      <c r="P238" s="59">
        <v>40</v>
      </c>
      <c r="Q238" s="59">
        <f t="shared" si="34"/>
        <v>315</v>
      </c>
      <c r="R238" s="59">
        <f t="shared" si="35"/>
        <v>100</v>
      </c>
      <c r="S238" s="56">
        <f t="shared" si="36"/>
        <v>695</v>
      </c>
      <c r="T238" s="56">
        <f>50</f>
        <v>50</v>
      </c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</row>
    <row r="239" spans="1:30" ht="15.75" x14ac:dyDescent="0.25">
      <c r="A239" s="16">
        <v>48549</v>
      </c>
      <c r="B239" s="69">
        <v>31</v>
      </c>
      <c r="C239" s="56">
        <f>122.58</f>
        <v>122.58</v>
      </c>
      <c r="D239" s="56">
        <f>297.941</f>
        <v>297.94099999999997</v>
      </c>
      <c r="E239" s="64">
        <f>89.177</f>
        <v>89.177000000000007</v>
      </c>
      <c r="F239" s="56">
        <f>240.302-40-60-100</f>
        <v>40.301999999999992</v>
      </c>
      <c r="G239" s="59">
        <v>40</v>
      </c>
      <c r="H239" s="56">
        <f>60+100</f>
        <v>160</v>
      </c>
      <c r="I239" s="56">
        <f t="shared" si="39"/>
        <v>0</v>
      </c>
      <c r="J239" s="59">
        <v>100</v>
      </c>
      <c r="K239" s="59">
        <v>300</v>
      </c>
      <c r="L239" s="56">
        <f t="shared" si="33"/>
        <v>1150</v>
      </c>
      <c r="M239" s="66">
        <v>600</v>
      </c>
      <c r="N239" s="56">
        <f>100</f>
        <v>100</v>
      </c>
      <c r="O239" s="59">
        <v>240</v>
      </c>
      <c r="P239" s="59">
        <v>40</v>
      </c>
      <c r="Q239" s="59">
        <f t="shared" si="34"/>
        <v>315</v>
      </c>
      <c r="R239" s="59">
        <f t="shared" si="35"/>
        <v>100</v>
      </c>
      <c r="S239" s="56">
        <f t="shared" si="36"/>
        <v>695</v>
      </c>
      <c r="T239" s="56">
        <f>50</f>
        <v>50</v>
      </c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</row>
    <row r="240" spans="1:30" ht="15.75" x14ac:dyDescent="0.25">
      <c r="A240" s="16">
        <v>48580</v>
      </c>
      <c r="B240" s="69">
        <v>31</v>
      </c>
      <c r="C240" s="56">
        <f>122.58</f>
        <v>122.58</v>
      </c>
      <c r="D240" s="56">
        <f>297.941</f>
        <v>297.94099999999997</v>
      </c>
      <c r="E240" s="64">
        <f>89.177</f>
        <v>89.177000000000007</v>
      </c>
      <c r="F240" s="56">
        <f>240.302-40-60-100</f>
        <v>40.301999999999992</v>
      </c>
      <c r="G240" s="59">
        <v>40</v>
      </c>
      <c r="H240" s="56">
        <f>60+100</f>
        <v>160</v>
      </c>
      <c r="I240" s="56">
        <f t="shared" si="39"/>
        <v>0</v>
      </c>
      <c r="J240" s="59">
        <v>100</v>
      </c>
      <c r="K240" s="59">
        <v>300</v>
      </c>
      <c r="L240" s="56">
        <f t="shared" si="33"/>
        <v>1150</v>
      </c>
      <c r="M240" s="66">
        <v>600</v>
      </c>
      <c r="N240" s="56">
        <f>100</f>
        <v>100</v>
      </c>
      <c r="O240" s="59">
        <v>240</v>
      </c>
      <c r="P240" s="59">
        <v>40</v>
      </c>
      <c r="Q240" s="59">
        <f t="shared" si="34"/>
        <v>315</v>
      </c>
      <c r="R240" s="59">
        <f t="shared" si="35"/>
        <v>100</v>
      </c>
      <c r="S240" s="56">
        <f t="shared" si="36"/>
        <v>695</v>
      </c>
      <c r="T240" s="56">
        <f>50</f>
        <v>50</v>
      </c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</row>
    <row r="241" spans="1:30" ht="15.75" x14ac:dyDescent="0.25">
      <c r="A241" s="16">
        <v>48611</v>
      </c>
      <c r="B241" s="69">
        <v>28</v>
      </c>
      <c r="C241" s="56">
        <f>122.58</f>
        <v>122.58</v>
      </c>
      <c r="D241" s="56">
        <f>297.941</f>
        <v>297.94099999999997</v>
      </c>
      <c r="E241" s="64">
        <f>89.177</f>
        <v>89.177000000000007</v>
      </c>
      <c r="F241" s="56">
        <f>240.302-40-60-100</f>
        <v>40.301999999999992</v>
      </c>
      <c r="G241" s="59">
        <v>40</v>
      </c>
      <c r="H241" s="56">
        <f>60+100</f>
        <v>160</v>
      </c>
      <c r="I241" s="56">
        <f t="shared" si="39"/>
        <v>0</v>
      </c>
      <c r="J241" s="59">
        <v>100</v>
      </c>
      <c r="K241" s="59">
        <v>300</v>
      </c>
      <c r="L241" s="56">
        <f t="shared" si="33"/>
        <v>1150</v>
      </c>
      <c r="M241" s="66">
        <v>600</v>
      </c>
      <c r="N241" s="56">
        <f>100</f>
        <v>100</v>
      </c>
      <c r="O241" s="59">
        <v>240</v>
      </c>
      <c r="P241" s="59">
        <v>40</v>
      </c>
      <c r="Q241" s="59">
        <f t="shared" si="34"/>
        <v>315</v>
      </c>
      <c r="R241" s="59">
        <f t="shared" si="35"/>
        <v>100</v>
      </c>
      <c r="S241" s="56">
        <f t="shared" si="36"/>
        <v>695</v>
      </c>
      <c r="T241" s="56">
        <f>50</f>
        <v>50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</row>
    <row r="242" spans="1:30" ht="15.75" x14ac:dyDescent="0.25">
      <c r="A242" s="16">
        <v>48639</v>
      </c>
      <c r="B242" s="69">
        <v>31</v>
      </c>
      <c r="C242" s="56">
        <f>122.58</f>
        <v>122.58</v>
      </c>
      <c r="D242" s="56">
        <f>297.941</f>
        <v>297.94099999999997</v>
      </c>
      <c r="E242" s="64">
        <f>89.177</f>
        <v>89.177000000000007</v>
      </c>
      <c r="F242" s="56">
        <f>240.302-40-60-100</f>
        <v>40.301999999999992</v>
      </c>
      <c r="G242" s="59">
        <v>40</v>
      </c>
      <c r="H242" s="56">
        <f>60+100</f>
        <v>160</v>
      </c>
      <c r="I242" s="56">
        <f t="shared" si="39"/>
        <v>0</v>
      </c>
      <c r="J242" s="59">
        <v>100</v>
      </c>
      <c r="K242" s="59">
        <v>300</v>
      </c>
      <c r="L242" s="56">
        <f t="shared" si="33"/>
        <v>1150</v>
      </c>
      <c r="M242" s="66">
        <v>600</v>
      </c>
      <c r="N242" s="56">
        <f>100</f>
        <v>100</v>
      </c>
      <c r="O242" s="59">
        <v>240</v>
      </c>
      <c r="P242" s="59">
        <v>40</v>
      </c>
      <c r="Q242" s="59">
        <f t="shared" si="34"/>
        <v>315</v>
      </c>
      <c r="R242" s="59">
        <f t="shared" si="35"/>
        <v>100</v>
      </c>
      <c r="S242" s="56">
        <f t="shared" si="36"/>
        <v>695</v>
      </c>
      <c r="T242" s="56">
        <f>50</f>
        <v>50</v>
      </c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</row>
    <row r="243" spans="1:30" ht="15.75" x14ac:dyDescent="0.25">
      <c r="A243" s="16">
        <v>48670</v>
      </c>
      <c r="B243" s="69">
        <v>30</v>
      </c>
      <c r="C243" s="56">
        <f>141.293</f>
        <v>141.29300000000001</v>
      </c>
      <c r="D243" s="56">
        <f>267.993</f>
        <v>267.99299999999999</v>
      </c>
      <c r="E243" s="64">
        <f>115.016</f>
        <v>115.01600000000001</v>
      </c>
      <c r="F243" s="56">
        <f>314.698-40-25-60-100</f>
        <v>89.697999999999979</v>
      </c>
      <c r="G243" s="59">
        <v>40</v>
      </c>
      <c r="H243" s="56">
        <f t="shared" ref="H243:H249" si="40">25+60+100</f>
        <v>185</v>
      </c>
      <c r="I243" s="56">
        <f t="shared" si="39"/>
        <v>0</v>
      </c>
      <c r="J243" s="59">
        <v>100</v>
      </c>
      <c r="K243" s="59">
        <v>300</v>
      </c>
      <c r="L243" s="56">
        <f t="shared" si="33"/>
        <v>1239</v>
      </c>
      <c r="M243" s="66">
        <v>600</v>
      </c>
      <c r="N243" s="56">
        <f>100</f>
        <v>100</v>
      </c>
      <c r="O243" s="59">
        <v>240</v>
      </c>
      <c r="P243" s="59">
        <v>160</v>
      </c>
      <c r="Q243" s="59">
        <f t="shared" si="34"/>
        <v>195</v>
      </c>
      <c r="R243" s="59">
        <f t="shared" si="35"/>
        <v>100</v>
      </c>
      <c r="S243" s="56">
        <f t="shared" si="36"/>
        <v>695</v>
      </c>
      <c r="T243" s="56">
        <f>50</f>
        <v>50</v>
      </c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</row>
    <row r="244" spans="1:30" ht="15.75" x14ac:dyDescent="0.25">
      <c r="A244" s="16">
        <v>48700</v>
      </c>
      <c r="B244" s="69">
        <v>31</v>
      </c>
      <c r="C244" s="56">
        <f>194.205</f>
        <v>194.20500000000001</v>
      </c>
      <c r="D244" s="56">
        <f>267.466</f>
        <v>267.46600000000001</v>
      </c>
      <c r="E244" s="64">
        <f>133.845</f>
        <v>133.845</v>
      </c>
      <c r="F244" s="56">
        <f>278.484-40-25-60-100</f>
        <v>53.48399999999998</v>
      </c>
      <c r="G244" s="59">
        <v>40</v>
      </c>
      <c r="H244" s="56">
        <f t="shared" si="40"/>
        <v>185</v>
      </c>
      <c r="I244" s="56">
        <f t="shared" si="39"/>
        <v>0</v>
      </c>
      <c r="J244" s="59">
        <v>100</v>
      </c>
      <c r="K244" s="59">
        <v>300</v>
      </c>
      <c r="L244" s="56">
        <f t="shared" si="33"/>
        <v>1274</v>
      </c>
      <c r="M244" s="66">
        <v>600</v>
      </c>
      <c r="N244" s="56">
        <f>75</f>
        <v>75</v>
      </c>
      <c r="O244" s="59">
        <v>240</v>
      </c>
      <c r="P244" s="59">
        <v>160</v>
      </c>
      <c r="Q244" s="59">
        <f t="shared" si="34"/>
        <v>195</v>
      </c>
      <c r="R244" s="59">
        <f t="shared" si="35"/>
        <v>100</v>
      </c>
      <c r="S244" s="56">
        <f t="shared" si="36"/>
        <v>695</v>
      </c>
      <c r="T244" s="56">
        <f>50</f>
        <v>50</v>
      </c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</row>
    <row r="245" spans="1:30" ht="15.75" x14ac:dyDescent="0.25">
      <c r="A245" s="16">
        <v>48731</v>
      </c>
      <c r="B245" s="69">
        <v>30</v>
      </c>
      <c r="C245" s="56">
        <f>194.205</f>
        <v>194.20500000000001</v>
      </c>
      <c r="D245" s="56">
        <f>267.466</f>
        <v>267.46600000000001</v>
      </c>
      <c r="E245" s="64">
        <f>133.845</f>
        <v>133.845</v>
      </c>
      <c r="F245" s="56">
        <f>278.484-40-25-60-100</f>
        <v>53.48399999999998</v>
      </c>
      <c r="G245" s="59">
        <v>40</v>
      </c>
      <c r="H245" s="56">
        <f t="shared" si="40"/>
        <v>185</v>
      </c>
      <c r="I245" s="56">
        <f t="shared" si="39"/>
        <v>0</v>
      </c>
      <c r="J245" s="59">
        <v>100</v>
      </c>
      <c r="K245" s="59">
        <v>300</v>
      </c>
      <c r="L245" s="56">
        <f t="shared" si="33"/>
        <v>1274</v>
      </c>
      <c r="M245" s="66">
        <v>600</v>
      </c>
      <c r="N245" s="56">
        <f>30</f>
        <v>30</v>
      </c>
      <c r="O245" s="59">
        <v>240</v>
      </c>
      <c r="P245" s="59">
        <v>160</v>
      </c>
      <c r="Q245" s="59">
        <f t="shared" si="34"/>
        <v>195</v>
      </c>
      <c r="R245" s="59">
        <f t="shared" si="35"/>
        <v>100</v>
      </c>
      <c r="S245" s="56">
        <f t="shared" si="36"/>
        <v>695</v>
      </c>
      <c r="T245" s="56">
        <f>50</f>
        <v>50</v>
      </c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</row>
    <row r="246" spans="1:30" ht="15.75" x14ac:dyDescent="0.25">
      <c r="A246" s="16">
        <v>48761</v>
      </c>
      <c r="B246" s="69">
        <v>31</v>
      </c>
      <c r="C246" s="56">
        <f>194.205</f>
        <v>194.20500000000001</v>
      </c>
      <c r="D246" s="56">
        <f>267.466</f>
        <v>267.46600000000001</v>
      </c>
      <c r="E246" s="64">
        <f>133.845</f>
        <v>133.845</v>
      </c>
      <c r="F246" s="56">
        <f>278.484-40-25-60-100</f>
        <v>53.48399999999998</v>
      </c>
      <c r="G246" s="59">
        <v>40</v>
      </c>
      <c r="H246" s="56">
        <f t="shared" si="40"/>
        <v>185</v>
      </c>
      <c r="I246" s="56">
        <f t="shared" si="39"/>
        <v>0</v>
      </c>
      <c r="J246" s="59">
        <v>100</v>
      </c>
      <c r="K246" s="59">
        <v>300</v>
      </c>
      <c r="L246" s="56">
        <f t="shared" si="33"/>
        <v>1274</v>
      </c>
      <c r="M246" s="66">
        <v>600</v>
      </c>
      <c r="N246" s="56">
        <f>30</f>
        <v>30</v>
      </c>
      <c r="O246" s="59">
        <v>240</v>
      </c>
      <c r="P246" s="59">
        <v>160</v>
      </c>
      <c r="Q246" s="59">
        <f t="shared" si="34"/>
        <v>195</v>
      </c>
      <c r="R246" s="59">
        <f t="shared" si="35"/>
        <v>100</v>
      </c>
      <c r="S246" s="56">
        <f t="shared" si="36"/>
        <v>695</v>
      </c>
      <c r="T246" s="56">
        <f>0</f>
        <v>0</v>
      </c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</row>
    <row r="247" spans="1:30" ht="15.75" x14ac:dyDescent="0.25">
      <c r="A247" s="16">
        <v>48792</v>
      </c>
      <c r="B247" s="69">
        <v>31</v>
      </c>
      <c r="C247" s="56">
        <f>194.205</f>
        <v>194.20500000000001</v>
      </c>
      <c r="D247" s="56">
        <f>267.466</f>
        <v>267.46600000000001</v>
      </c>
      <c r="E247" s="64">
        <f>133.845</f>
        <v>133.845</v>
      </c>
      <c r="F247" s="56">
        <f>278.484-40-25-60-100</f>
        <v>53.48399999999998</v>
      </c>
      <c r="G247" s="59">
        <v>40</v>
      </c>
      <c r="H247" s="56">
        <f t="shared" si="40"/>
        <v>185</v>
      </c>
      <c r="I247" s="56">
        <f t="shared" si="39"/>
        <v>0</v>
      </c>
      <c r="J247" s="59">
        <v>100</v>
      </c>
      <c r="K247" s="59">
        <v>300</v>
      </c>
      <c r="L247" s="56">
        <f t="shared" si="33"/>
        <v>1274</v>
      </c>
      <c r="M247" s="66">
        <v>600</v>
      </c>
      <c r="N247" s="56">
        <f>30</f>
        <v>30</v>
      </c>
      <c r="O247" s="59">
        <v>240</v>
      </c>
      <c r="P247" s="59">
        <v>160</v>
      </c>
      <c r="Q247" s="59">
        <f t="shared" si="34"/>
        <v>195</v>
      </c>
      <c r="R247" s="59">
        <f t="shared" si="35"/>
        <v>100</v>
      </c>
      <c r="S247" s="56">
        <f t="shared" si="36"/>
        <v>695</v>
      </c>
      <c r="T247" s="56">
        <f>0</f>
        <v>0</v>
      </c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</row>
    <row r="248" spans="1:30" ht="15.75" x14ac:dyDescent="0.25">
      <c r="A248" s="16">
        <v>48823</v>
      </c>
      <c r="B248" s="69">
        <v>30</v>
      </c>
      <c r="C248" s="56">
        <f>194.205</f>
        <v>194.20500000000001</v>
      </c>
      <c r="D248" s="56">
        <f>267.466</f>
        <v>267.46600000000001</v>
      </c>
      <c r="E248" s="64">
        <f>133.845</f>
        <v>133.845</v>
      </c>
      <c r="F248" s="56">
        <f>278.484-40-25-60-100</f>
        <v>53.48399999999998</v>
      </c>
      <c r="G248" s="59">
        <v>40</v>
      </c>
      <c r="H248" s="56">
        <f t="shared" si="40"/>
        <v>185</v>
      </c>
      <c r="I248" s="56">
        <f t="shared" si="39"/>
        <v>0</v>
      </c>
      <c r="J248" s="59">
        <v>100</v>
      </c>
      <c r="K248" s="59">
        <v>300</v>
      </c>
      <c r="L248" s="56">
        <f t="shared" si="33"/>
        <v>1274</v>
      </c>
      <c r="M248" s="66">
        <v>600</v>
      </c>
      <c r="N248" s="56">
        <f>30</f>
        <v>30</v>
      </c>
      <c r="O248" s="59">
        <v>240</v>
      </c>
      <c r="P248" s="59">
        <v>160</v>
      </c>
      <c r="Q248" s="59">
        <f t="shared" si="34"/>
        <v>195</v>
      </c>
      <c r="R248" s="59">
        <f t="shared" si="35"/>
        <v>100</v>
      </c>
      <c r="S248" s="56">
        <f t="shared" si="36"/>
        <v>695</v>
      </c>
      <c r="T248" s="56">
        <f>0</f>
        <v>0</v>
      </c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</row>
    <row r="249" spans="1:30" ht="15.75" x14ac:dyDescent="0.25">
      <c r="A249" s="16">
        <v>48853</v>
      </c>
      <c r="B249" s="69">
        <v>31</v>
      </c>
      <c r="C249" s="56">
        <f>131.881</f>
        <v>131.881</v>
      </c>
      <c r="D249" s="56">
        <f>277.167</f>
        <v>277.16699999999997</v>
      </c>
      <c r="E249" s="64">
        <f>79.08</f>
        <v>79.08</v>
      </c>
      <c r="F249" s="56">
        <f>350.872-40-25-60-100</f>
        <v>125.87200000000001</v>
      </c>
      <c r="G249" s="59">
        <v>40</v>
      </c>
      <c r="H249" s="56">
        <f t="shared" si="40"/>
        <v>185</v>
      </c>
      <c r="I249" s="56">
        <f t="shared" si="39"/>
        <v>0</v>
      </c>
      <c r="J249" s="59">
        <v>100</v>
      </c>
      <c r="K249" s="59">
        <v>300</v>
      </c>
      <c r="L249" s="56">
        <f t="shared" si="33"/>
        <v>1239</v>
      </c>
      <c r="M249" s="66">
        <v>600</v>
      </c>
      <c r="N249" s="56">
        <f>75</f>
        <v>75</v>
      </c>
      <c r="O249" s="59">
        <v>240</v>
      </c>
      <c r="P249" s="59">
        <v>160</v>
      </c>
      <c r="Q249" s="59">
        <f t="shared" si="34"/>
        <v>195</v>
      </c>
      <c r="R249" s="59">
        <f t="shared" si="35"/>
        <v>100</v>
      </c>
      <c r="S249" s="56">
        <f t="shared" si="36"/>
        <v>695</v>
      </c>
      <c r="T249" s="56">
        <f>0</f>
        <v>0</v>
      </c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</row>
    <row r="250" spans="1:30" ht="15.75" x14ac:dyDescent="0.25">
      <c r="A250" s="16">
        <v>48884</v>
      </c>
      <c r="B250" s="69">
        <v>30</v>
      </c>
      <c r="C250" s="56">
        <f>122.58</f>
        <v>122.58</v>
      </c>
      <c r="D250" s="56">
        <f>297.941</f>
        <v>297.94099999999997</v>
      </c>
      <c r="E250" s="64">
        <f>89.177</f>
        <v>89.177000000000007</v>
      </c>
      <c r="F250" s="56">
        <f>240.302-40-60-100</f>
        <v>40.301999999999992</v>
      </c>
      <c r="G250" s="59">
        <v>40</v>
      </c>
      <c r="H250" s="56">
        <f>60+100</f>
        <v>160</v>
      </c>
      <c r="I250" s="56">
        <f t="shared" si="39"/>
        <v>0</v>
      </c>
      <c r="J250" s="59">
        <v>100</v>
      </c>
      <c r="K250" s="59">
        <v>300</v>
      </c>
      <c r="L250" s="56">
        <f t="shared" si="33"/>
        <v>1150</v>
      </c>
      <c r="M250" s="66">
        <v>600</v>
      </c>
      <c r="N250" s="56">
        <f>100</f>
        <v>100</v>
      </c>
      <c r="O250" s="59">
        <v>240</v>
      </c>
      <c r="P250" s="59">
        <v>40</v>
      </c>
      <c r="Q250" s="59">
        <f t="shared" si="34"/>
        <v>315</v>
      </c>
      <c r="R250" s="59">
        <f t="shared" si="35"/>
        <v>100</v>
      </c>
      <c r="S250" s="56">
        <f t="shared" si="36"/>
        <v>695</v>
      </c>
      <c r="T250" s="56">
        <f>50</f>
        <v>50</v>
      </c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</row>
    <row r="251" spans="1:30" ht="15.75" x14ac:dyDescent="0.25">
      <c r="A251" s="16">
        <v>48914</v>
      </c>
      <c r="B251" s="69">
        <v>31</v>
      </c>
      <c r="C251" s="56">
        <f>122.58</f>
        <v>122.58</v>
      </c>
      <c r="D251" s="56">
        <f>297.941</f>
        <v>297.94099999999997</v>
      </c>
      <c r="E251" s="64">
        <f>89.177</f>
        <v>89.177000000000007</v>
      </c>
      <c r="F251" s="56">
        <f>240.302-40-60-100</f>
        <v>40.301999999999992</v>
      </c>
      <c r="G251" s="59">
        <v>40</v>
      </c>
      <c r="H251" s="56">
        <f>60+100</f>
        <v>160</v>
      </c>
      <c r="I251" s="56">
        <f t="shared" si="39"/>
        <v>0</v>
      </c>
      <c r="J251" s="59">
        <v>100</v>
      </c>
      <c r="K251" s="59">
        <v>300</v>
      </c>
      <c r="L251" s="56">
        <f t="shared" si="33"/>
        <v>1150</v>
      </c>
      <c r="M251" s="66">
        <v>600</v>
      </c>
      <c r="N251" s="56">
        <f>100</f>
        <v>100</v>
      </c>
      <c r="O251" s="59">
        <v>240</v>
      </c>
      <c r="P251" s="59">
        <v>40</v>
      </c>
      <c r="Q251" s="59">
        <f t="shared" si="34"/>
        <v>315</v>
      </c>
      <c r="R251" s="59">
        <f t="shared" si="35"/>
        <v>100</v>
      </c>
      <c r="S251" s="56">
        <f t="shared" si="36"/>
        <v>695</v>
      </c>
      <c r="T251" s="56">
        <f>50</f>
        <v>50</v>
      </c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</row>
    <row r="252" spans="1:30" ht="15.75" x14ac:dyDescent="0.25">
      <c r="A252" s="16">
        <v>48945</v>
      </c>
      <c r="B252" s="69">
        <v>31</v>
      </c>
      <c r="C252" s="56">
        <f>122.58</f>
        <v>122.58</v>
      </c>
      <c r="D252" s="56">
        <f>297.941</f>
        <v>297.94099999999997</v>
      </c>
      <c r="E252" s="64">
        <f>89.177</f>
        <v>89.177000000000007</v>
      </c>
      <c r="F252" s="56">
        <f>240.302-40-60-100</f>
        <v>40.301999999999992</v>
      </c>
      <c r="G252" s="59">
        <v>40</v>
      </c>
      <c r="H252" s="56">
        <f>60+100</f>
        <v>160</v>
      </c>
      <c r="I252" s="56">
        <f t="shared" si="39"/>
        <v>0</v>
      </c>
      <c r="J252" s="59">
        <v>100</v>
      </c>
      <c r="K252" s="59">
        <v>300</v>
      </c>
      <c r="L252" s="56">
        <f t="shared" si="33"/>
        <v>1150</v>
      </c>
      <c r="M252" s="66">
        <v>600</v>
      </c>
      <c r="N252" s="56">
        <f>100</f>
        <v>100</v>
      </c>
      <c r="O252" s="59">
        <v>240</v>
      </c>
      <c r="P252" s="59">
        <v>40</v>
      </c>
      <c r="Q252" s="59">
        <f t="shared" si="34"/>
        <v>315</v>
      </c>
      <c r="R252" s="59">
        <f t="shared" si="35"/>
        <v>100</v>
      </c>
      <c r="S252" s="56">
        <f t="shared" si="36"/>
        <v>695</v>
      </c>
      <c r="T252" s="56">
        <f>50</f>
        <v>50</v>
      </c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</row>
    <row r="253" spans="1:30" ht="15.75" x14ac:dyDescent="0.25">
      <c r="A253" s="16">
        <v>48976</v>
      </c>
      <c r="B253" s="69">
        <v>28</v>
      </c>
      <c r="C253" s="56">
        <f>122.58</f>
        <v>122.58</v>
      </c>
      <c r="D253" s="56">
        <f>297.941</f>
        <v>297.94099999999997</v>
      </c>
      <c r="E253" s="64">
        <f>89.177</f>
        <v>89.177000000000007</v>
      </c>
      <c r="F253" s="56">
        <f>240.302-40-60-100</f>
        <v>40.301999999999992</v>
      </c>
      <c r="G253" s="59">
        <v>40</v>
      </c>
      <c r="H253" s="56">
        <f>60+100</f>
        <v>160</v>
      </c>
      <c r="I253" s="56">
        <f t="shared" si="39"/>
        <v>0</v>
      </c>
      <c r="J253" s="59">
        <v>100</v>
      </c>
      <c r="K253" s="59">
        <v>300</v>
      </c>
      <c r="L253" s="56">
        <f t="shared" si="33"/>
        <v>1150</v>
      </c>
      <c r="M253" s="66">
        <v>600</v>
      </c>
      <c r="N253" s="56">
        <f>100</f>
        <v>100</v>
      </c>
      <c r="O253" s="59">
        <v>240</v>
      </c>
      <c r="P253" s="59">
        <v>40</v>
      </c>
      <c r="Q253" s="59">
        <f t="shared" si="34"/>
        <v>315</v>
      </c>
      <c r="R253" s="59">
        <f t="shared" si="35"/>
        <v>100</v>
      </c>
      <c r="S253" s="56">
        <f t="shared" si="36"/>
        <v>695</v>
      </c>
      <c r="T253" s="56">
        <f>50</f>
        <v>50</v>
      </c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</row>
    <row r="254" spans="1:30" ht="15.75" x14ac:dyDescent="0.25">
      <c r="A254" s="16">
        <v>49004</v>
      </c>
      <c r="B254" s="69">
        <v>31</v>
      </c>
      <c r="C254" s="56">
        <f>122.58</f>
        <v>122.58</v>
      </c>
      <c r="D254" s="56">
        <f>297.941</f>
        <v>297.94099999999997</v>
      </c>
      <c r="E254" s="64">
        <f>89.177</f>
        <v>89.177000000000007</v>
      </c>
      <c r="F254" s="56">
        <f>240.302-40-60-100</f>
        <v>40.301999999999992</v>
      </c>
      <c r="G254" s="59">
        <v>40</v>
      </c>
      <c r="H254" s="56">
        <f>60+100</f>
        <v>160</v>
      </c>
      <c r="I254" s="56">
        <f t="shared" si="39"/>
        <v>0</v>
      </c>
      <c r="J254" s="59">
        <v>100</v>
      </c>
      <c r="K254" s="59">
        <v>300</v>
      </c>
      <c r="L254" s="56">
        <f t="shared" si="33"/>
        <v>1150</v>
      </c>
      <c r="M254" s="66">
        <v>600</v>
      </c>
      <c r="N254" s="56">
        <f>100</f>
        <v>100</v>
      </c>
      <c r="O254" s="59">
        <v>240</v>
      </c>
      <c r="P254" s="59">
        <v>40</v>
      </c>
      <c r="Q254" s="59">
        <f t="shared" si="34"/>
        <v>315</v>
      </c>
      <c r="R254" s="59">
        <f t="shared" si="35"/>
        <v>100</v>
      </c>
      <c r="S254" s="56">
        <f t="shared" si="36"/>
        <v>695</v>
      </c>
      <c r="T254" s="56">
        <f>50</f>
        <v>50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</row>
    <row r="255" spans="1:30" ht="15.75" x14ac:dyDescent="0.25">
      <c r="A255" s="16">
        <v>49035</v>
      </c>
      <c r="B255" s="69">
        <v>30</v>
      </c>
      <c r="C255" s="56">
        <f>141.293</f>
        <v>141.29300000000001</v>
      </c>
      <c r="D255" s="56">
        <f>267.993</f>
        <v>267.99299999999999</v>
      </c>
      <c r="E255" s="64">
        <f>115.016</f>
        <v>115.01600000000001</v>
      </c>
      <c r="F255" s="56">
        <f>314.698-40-25-60-100</f>
        <v>89.697999999999979</v>
      </c>
      <c r="G255" s="59">
        <v>40</v>
      </c>
      <c r="H255" s="56">
        <f t="shared" ref="H255:H261" si="41">25+60+100</f>
        <v>185</v>
      </c>
      <c r="I255" s="56">
        <f t="shared" si="39"/>
        <v>0</v>
      </c>
      <c r="J255" s="59">
        <v>100</v>
      </c>
      <c r="K255" s="59">
        <v>300</v>
      </c>
      <c r="L255" s="56">
        <f t="shared" si="33"/>
        <v>1239</v>
      </c>
      <c r="M255" s="66">
        <v>600</v>
      </c>
      <c r="N255" s="56">
        <f>100</f>
        <v>100</v>
      </c>
      <c r="O255" s="59">
        <v>240</v>
      </c>
      <c r="P255" s="59">
        <v>160</v>
      </c>
      <c r="Q255" s="59">
        <f t="shared" si="34"/>
        <v>195</v>
      </c>
      <c r="R255" s="59">
        <f t="shared" si="35"/>
        <v>100</v>
      </c>
      <c r="S255" s="56">
        <f t="shared" si="36"/>
        <v>695</v>
      </c>
      <c r="T255" s="56">
        <f>50</f>
        <v>50</v>
      </c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</row>
    <row r="256" spans="1:30" ht="15.75" x14ac:dyDescent="0.25">
      <c r="A256" s="16">
        <v>49065</v>
      </c>
      <c r="B256" s="69">
        <v>31</v>
      </c>
      <c r="C256" s="56">
        <f>194.205</f>
        <v>194.20500000000001</v>
      </c>
      <c r="D256" s="56">
        <f>267.466</f>
        <v>267.46600000000001</v>
      </c>
      <c r="E256" s="64">
        <f>133.845</f>
        <v>133.845</v>
      </c>
      <c r="F256" s="56">
        <f>278.484-40-25-60-100</f>
        <v>53.48399999999998</v>
      </c>
      <c r="G256" s="59">
        <v>40</v>
      </c>
      <c r="H256" s="56">
        <f t="shared" si="41"/>
        <v>185</v>
      </c>
      <c r="I256" s="56">
        <f t="shared" si="39"/>
        <v>0</v>
      </c>
      <c r="J256" s="59">
        <v>100</v>
      </c>
      <c r="K256" s="59">
        <v>300</v>
      </c>
      <c r="L256" s="56">
        <f t="shared" si="33"/>
        <v>1274</v>
      </c>
      <c r="M256" s="66">
        <v>600</v>
      </c>
      <c r="N256" s="56">
        <f>75</f>
        <v>75</v>
      </c>
      <c r="O256" s="59">
        <v>240</v>
      </c>
      <c r="P256" s="59">
        <v>160</v>
      </c>
      <c r="Q256" s="59">
        <f t="shared" si="34"/>
        <v>195</v>
      </c>
      <c r="R256" s="59">
        <f t="shared" si="35"/>
        <v>100</v>
      </c>
      <c r="S256" s="56">
        <f t="shared" si="36"/>
        <v>695</v>
      </c>
      <c r="T256" s="56">
        <f>50</f>
        <v>50</v>
      </c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</row>
    <row r="257" spans="1:30" ht="15.75" x14ac:dyDescent="0.25">
      <c r="A257" s="16">
        <v>49096</v>
      </c>
      <c r="B257" s="69">
        <v>30</v>
      </c>
      <c r="C257" s="56">
        <f>194.205</f>
        <v>194.20500000000001</v>
      </c>
      <c r="D257" s="56">
        <f>267.466</f>
        <v>267.46600000000001</v>
      </c>
      <c r="E257" s="64">
        <f>133.845</f>
        <v>133.845</v>
      </c>
      <c r="F257" s="56">
        <f>278.484-40-25-60-100</f>
        <v>53.48399999999998</v>
      </c>
      <c r="G257" s="59">
        <v>40</v>
      </c>
      <c r="H257" s="56">
        <f t="shared" si="41"/>
        <v>185</v>
      </c>
      <c r="I257" s="56">
        <f t="shared" si="39"/>
        <v>0</v>
      </c>
      <c r="J257" s="59">
        <v>100</v>
      </c>
      <c r="K257" s="59">
        <v>300</v>
      </c>
      <c r="L257" s="56">
        <f t="shared" si="33"/>
        <v>1274</v>
      </c>
      <c r="M257" s="66">
        <v>600</v>
      </c>
      <c r="N257" s="56">
        <f>30</f>
        <v>30</v>
      </c>
      <c r="O257" s="59">
        <v>240</v>
      </c>
      <c r="P257" s="59">
        <v>160</v>
      </c>
      <c r="Q257" s="59">
        <f t="shared" si="34"/>
        <v>195</v>
      </c>
      <c r="R257" s="59">
        <f t="shared" si="35"/>
        <v>100</v>
      </c>
      <c r="S257" s="56">
        <f t="shared" si="36"/>
        <v>695</v>
      </c>
      <c r="T257" s="56">
        <f>50</f>
        <v>50</v>
      </c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</row>
    <row r="258" spans="1:30" ht="15.75" x14ac:dyDescent="0.25">
      <c r="A258" s="16">
        <v>49126</v>
      </c>
      <c r="B258" s="69">
        <v>31</v>
      </c>
      <c r="C258" s="56">
        <f>194.205</f>
        <v>194.20500000000001</v>
      </c>
      <c r="D258" s="56">
        <f>267.466</f>
        <v>267.46600000000001</v>
      </c>
      <c r="E258" s="64">
        <f>133.845</f>
        <v>133.845</v>
      </c>
      <c r="F258" s="56">
        <f>278.484-40-25-60-100</f>
        <v>53.48399999999998</v>
      </c>
      <c r="G258" s="59">
        <v>40</v>
      </c>
      <c r="H258" s="56">
        <f t="shared" si="41"/>
        <v>185</v>
      </c>
      <c r="I258" s="56">
        <f t="shared" si="39"/>
        <v>0</v>
      </c>
      <c r="J258" s="59">
        <v>100</v>
      </c>
      <c r="K258" s="59">
        <v>300</v>
      </c>
      <c r="L258" s="56">
        <f t="shared" si="33"/>
        <v>1274</v>
      </c>
      <c r="M258" s="66">
        <v>600</v>
      </c>
      <c r="N258" s="56">
        <f>30</f>
        <v>30</v>
      </c>
      <c r="O258" s="59">
        <v>240</v>
      </c>
      <c r="P258" s="59">
        <v>160</v>
      </c>
      <c r="Q258" s="59">
        <f t="shared" si="34"/>
        <v>195</v>
      </c>
      <c r="R258" s="59">
        <f t="shared" si="35"/>
        <v>100</v>
      </c>
      <c r="S258" s="56">
        <f t="shared" si="36"/>
        <v>695</v>
      </c>
      <c r="T258" s="56">
        <f>0</f>
        <v>0</v>
      </c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</row>
    <row r="259" spans="1:30" ht="15.75" x14ac:dyDescent="0.25">
      <c r="A259" s="16">
        <v>49157</v>
      </c>
      <c r="B259" s="69">
        <v>31</v>
      </c>
      <c r="C259" s="56">
        <f>194.205</f>
        <v>194.20500000000001</v>
      </c>
      <c r="D259" s="56">
        <f>267.466</f>
        <v>267.46600000000001</v>
      </c>
      <c r="E259" s="64">
        <f>133.845</f>
        <v>133.845</v>
      </c>
      <c r="F259" s="56">
        <f>278.484-40-25-60-100</f>
        <v>53.48399999999998</v>
      </c>
      <c r="G259" s="59">
        <v>40</v>
      </c>
      <c r="H259" s="56">
        <f t="shared" si="41"/>
        <v>185</v>
      </c>
      <c r="I259" s="56">
        <f t="shared" si="39"/>
        <v>0</v>
      </c>
      <c r="J259" s="59">
        <v>100</v>
      </c>
      <c r="K259" s="59">
        <v>300</v>
      </c>
      <c r="L259" s="56">
        <f t="shared" si="33"/>
        <v>1274</v>
      </c>
      <c r="M259" s="66">
        <v>600</v>
      </c>
      <c r="N259" s="56">
        <f>30</f>
        <v>30</v>
      </c>
      <c r="O259" s="59">
        <v>240</v>
      </c>
      <c r="P259" s="59">
        <v>160</v>
      </c>
      <c r="Q259" s="59">
        <f t="shared" si="34"/>
        <v>195</v>
      </c>
      <c r="R259" s="59">
        <f t="shared" si="35"/>
        <v>100</v>
      </c>
      <c r="S259" s="56">
        <f t="shared" si="36"/>
        <v>695</v>
      </c>
      <c r="T259" s="56">
        <f>0</f>
        <v>0</v>
      </c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</row>
    <row r="260" spans="1:30" ht="15.75" x14ac:dyDescent="0.25">
      <c r="A260" s="16">
        <v>49188</v>
      </c>
      <c r="B260" s="69">
        <v>30</v>
      </c>
      <c r="C260" s="56">
        <f>194.205</f>
        <v>194.20500000000001</v>
      </c>
      <c r="D260" s="56">
        <f>267.466</f>
        <v>267.46600000000001</v>
      </c>
      <c r="E260" s="64">
        <f>133.845</f>
        <v>133.845</v>
      </c>
      <c r="F260" s="56">
        <f>278.484-40-25-60-100</f>
        <v>53.48399999999998</v>
      </c>
      <c r="G260" s="59">
        <v>40</v>
      </c>
      <c r="H260" s="56">
        <f t="shared" si="41"/>
        <v>185</v>
      </c>
      <c r="I260" s="56">
        <f t="shared" si="39"/>
        <v>0</v>
      </c>
      <c r="J260" s="59">
        <v>100</v>
      </c>
      <c r="K260" s="59">
        <v>300</v>
      </c>
      <c r="L260" s="56">
        <f t="shared" si="33"/>
        <v>1274</v>
      </c>
      <c r="M260" s="66">
        <v>600</v>
      </c>
      <c r="N260" s="56">
        <f>30</f>
        <v>30</v>
      </c>
      <c r="O260" s="59">
        <v>240</v>
      </c>
      <c r="P260" s="59">
        <v>160</v>
      </c>
      <c r="Q260" s="59">
        <f t="shared" si="34"/>
        <v>195</v>
      </c>
      <c r="R260" s="59">
        <f t="shared" si="35"/>
        <v>100</v>
      </c>
      <c r="S260" s="56">
        <f t="shared" si="36"/>
        <v>695</v>
      </c>
      <c r="T260" s="56">
        <f>0</f>
        <v>0</v>
      </c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</row>
    <row r="261" spans="1:30" ht="15.75" x14ac:dyDescent="0.25">
      <c r="A261" s="16">
        <v>49218</v>
      </c>
      <c r="B261" s="69">
        <v>31</v>
      </c>
      <c r="C261" s="56">
        <f>131.881</f>
        <v>131.881</v>
      </c>
      <c r="D261" s="56">
        <f>277.167</f>
        <v>277.16699999999997</v>
      </c>
      <c r="E261" s="64">
        <f>79.08</f>
        <v>79.08</v>
      </c>
      <c r="F261" s="56">
        <f>350.872-40-25-60-100</f>
        <v>125.87200000000001</v>
      </c>
      <c r="G261" s="59">
        <v>40</v>
      </c>
      <c r="H261" s="56">
        <f t="shared" si="41"/>
        <v>185</v>
      </c>
      <c r="I261" s="56">
        <f t="shared" si="39"/>
        <v>0</v>
      </c>
      <c r="J261" s="59">
        <v>100</v>
      </c>
      <c r="K261" s="59">
        <v>300</v>
      </c>
      <c r="L261" s="56">
        <f t="shared" si="33"/>
        <v>1239</v>
      </c>
      <c r="M261" s="66">
        <v>600</v>
      </c>
      <c r="N261" s="56">
        <f>75</f>
        <v>75</v>
      </c>
      <c r="O261" s="59">
        <v>240</v>
      </c>
      <c r="P261" s="59">
        <v>160</v>
      </c>
      <c r="Q261" s="59">
        <f t="shared" si="34"/>
        <v>195</v>
      </c>
      <c r="R261" s="59">
        <f t="shared" si="35"/>
        <v>100</v>
      </c>
      <c r="S261" s="56">
        <f t="shared" si="36"/>
        <v>695</v>
      </c>
      <c r="T261" s="56">
        <f>0</f>
        <v>0</v>
      </c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</row>
    <row r="262" spans="1:30" ht="15.75" x14ac:dyDescent="0.25">
      <c r="A262" s="16">
        <v>49249</v>
      </c>
      <c r="B262" s="69">
        <v>30</v>
      </c>
      <c r="C262" s="56">
        <f>122.58</f>
        <v>122.58</v>
      </c>
      <c r="D262" s="56">
        <f>297.941</f>
        <v>297.94099999999997</v>
      </c>
      <c r="E262" s="64">
        <f>89.177</f>
        <v>89.177000000000007</v>
      </c>
      <c r="F262" s="56">
        <f>240.302-40-60-100</f>
        <v>40.301999999999992</v>
      </c>
      <c r="G262" s="59">
        <v>40</v>
      </c>
      <c r="H262" s="56">
        <f>60+100</f>
        <v>160</v>
      </c>
      <c r="I262" s="56">
        <f t="shared" si="39"/>
        <v>0</v>
      </c>
      <c r="J262" s="59">
        <v>100</v>
      </c>
      <c r="K262" s="59">
        <v>300</v>
      </c>
      <c r="L262" s="56">
        <f t="shared" si="33"/>
        <v>1150</v>
      </c>
      <c r="M262" s="66">
        <v>600</v>
      </c>
      <c r="N262" s="56">
        <f>100</f>
        <v>100</v>
      </c>
      <c r="O262" s="59">
        <v>240</v>
      </c>
      <c r="P262" s="59">
        <v>40</v>
      </c>
      <c r="Q262" s="59">
        <f t="shared" si="34"/>
        <v>315</v>
      </c>
      <c r="R262" s="59">
        <f t="shared" si="35"/>
        <v>100</v>
      </c>
      <c r="S262" s="56">
        <f t="shared" si="36"/>
        <v>695</v>
      </c>
      <c r="T262" s="56">
        <f>50</f>
        <v>50</v>
      </c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</row>
    <row r="263" spans="1:30" ht="15.75" x14ac:dyDescent="0.25">
      <c r="A263" s="16">
        <v>49279</v>
      </c>
      <c r="B263" s="69">
        <v>31</v>
      </c>
      <c r="C263" s="56">
        <f>122.58</f>
        <v>122.58</v>
      </c>
      <c r="D263" s="56">
        <f>297.941</f>
        <v>297.94099999999997</v>
      </c>
      <c r="E263" s="64">
        <f>89.177</f>
        <v>89.177000000000007</v>
      </c>
      <c r="F263" s="56">
        <f>240.302-40-60-100</f>
        <v>40.301999999999992</v>
      </c>
      <c r="G263" s="59">
        <v>40</v>
      </c>
      <c r="H263" s="56">
        <f>60+100</f>
        <v>160</v>
      </c>
      <c r="I263" s="56">
        <f t="shared" si="39"/>
        <v>0</v>
      </c>
      <c r="J263" s="59">
        <v>100</v>
      </c>
      <c r="K263" s="59">
        <v>300</v>
      </c>
      <c r="L263" s="56">
        <f t="shared" si="33"/>
        <v>1150</v>
      </c>
      <c r="M263" s="66">
        <v>600</v>
      </c>
      <c r="N263" s="56">
        <f>100</f>
        <v>100</v>
      </c>
      <c r="O263" s="59">
        <v>240</v>
      </c>
      <c r="P263" s="59">
        <v>40</v>
      </c>
      <c r="Q263" s="59">
        <f t="shared" si="34"/>
        <v>315</v>
      </c>
      <c r="R263" s="59">
        <f t="shared" si="35"/>
        <v>100</v>
      </c>
      <c r="S263" s="56">
        <f t="shared" si="36"/>
        <v>695</v>
      </c>
      <c r="T263" s="56">
        <f>50</f>
        <v>50</v>
      </c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</row>
    <row r="264" spans="1:30" ht="15.75" x14ac:dyDescent="0.25">
      <c r="A264" s="16">
        <v>49310</v>
      </c>
      <c r="B264" s="69">
        <v>31</v>
      </c>
      <c r="C264" s="56">
        <f>122.58</f>
        <v>122.58</v>
      </c>
      <c r="D264" s="56">
        <f>297.941</f>
        <v>297.94099999999997</v>
      </c>
      <c r="E264" s="64">
        <f>89.177</f>
        <v>89.177000000000007</v>
      </c>
      <c r="F264" s="56">
        <f>240.302-40-60-100</f>
        <v>40.301999999999992</v>
      </c>
      <c r="G264" s="59">
        <v>40</v>
      </c>
      <c r="H264" s="56">
        <f>60+100</f>
        <v>160</v>
      </c>
      <c r="I264" s="56">
        <f t="shared" si="39"/>
        <v>0</v>
      </c>
      <c r="J264" s="59">
        <v>100</v>
      </c>
      <c r="K264" s="59">
        <v>300</v>
      </c>
      <c r="L264" s="56">
        <f t="shared" si="33"/>
        <v>1150</v>
      </c>
      <c r="M264" s="66">
        <v>600</v>
      </c>
      <c r="N264" s="56">
        <f>100</f>
        <v>100</v>
      </c>
      <c r="O264" s="59">
        <v>240</v>
      </c>
      <c r="P264" s="59">
        <v>40</v>
      </c>
      <c r="Q264" s="59">
        <f t="shared" si="34"/>
        <v>315</v>
      </c>
      <c r="R264" s="59">
        <f t="shared" si="35"/>
        <v>100</v>
      </c>
      <c r="S264" s="56">
        <f t="shared" si="36"/>
        <v>695</v>
      </c>
      <c r="T264" s="56">
        <f>50</f>
        <v>50</v>
      </c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</row>
    <row r="265" spans="1:30" ht="15.75" x14ac:dyDescent="0.25">
      <c r="A265" s="16">
        <v>49341</v>
      </c>
      <c r="B265" s="69">
        <v>28</v>
      </c>
      <c r="C265" s="56">
        <f>122.58</f>
        <v>122.58</v>
      </c>
      <c r="D265" s="56">
        <f>297.941</f>
        <v>297.94099999999997</v>
      </c>
      <c r="E265" s="64">
        <f>89.177</f>
        <v>89.177000000000007</v>
      </c>
      <c r="F265" s="56">
        <f>240.302-40-60-100</f>
        <v>40.301999999999992</v>
      </c>
      <c r="G265" s="59">
        <v>40</v>
      </c>
      <c r="H265" s="56">
        <f>60+100</f>
        <v>160</v>
      </c>
      <c r="I265" s="56">
        <f t="shared" si="39"/>
        <v>0</v>
      </c>
      <c r="J265" s="59">
        <v>100</v>
      </c>
      <c r="K265" s="59">
        <v>300</v>
      </c>
      <c r="L265" s="56">
        <f t="shared" si="33"/>
        <v>1150</v>
      </c>
      <c r="M265" s="66">
        <v>600</v>
      </c>
      <c r="N265" s="56">
        <f>100</f>
        <v>100</v>
      </c>
      <c r="O265" s="59">
        <v>240</v>
      </c>
      <c r="P265" s="59">
        <v>40</v>
      </c>
      <c r="Q265" s="59">
        <f t="shared" si="34"/>
        <v>315</v>
      </c>
      <c r="R265" s="59">
        <f t="shared" si="35"/>
        <v>100</v>
      </c>
      <c r="S265" s="56">
        <f t="shared" si="36"/>
        <v>695</v>
      </c>
      <c r="T265" s="56">
        <f>50</f>
        <v>50</v>
      </c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</row>
    <row r="266" spans="1:30" ht="15.75" x14ac:dyDescent="0.25">
      <c r="A266" s="16">
        <v>49369</v>
      </c>
      <c r="B266" s="69">
        <v>31</v>
      </c>
      <c r="C266" s="56">
        <f>122.58</f>
        <v>122.58</v>
      </c>
      <c r="D266" s="56">
        <f>297.941</f>
        <v>297.94099999999997</v>
      </c>
      <c r="E266" s="64">
        <f>89.177</f>
        <v>89.177000000000007</v>
      </c>
      <c r="F266" s="56">
        <f>240.302-40-60-100</f>
        <v>40.301999999999992</v>
      </c>
      <c r="G266" s="59">
        <v>40</v>
      </c>
      <c r="H266" s="56">
        <f>60+100</f>
        <v>160</v>
      </c>
      <c r="I266" s="56">
        <f t="shared" si="39"/>
        <v>0</v>
      </c>
      <c r="J266" s="59">
        <v>100</v>
      </c>
      <c r="K266" s="59">
        <v>300</v>
      </c>
      <c r="L266" s="56">
        <f t="shared" si="33"/>
        <v>1150</v>
      </c>
      <c r="M266" s="66">
        <v>600</v>
      </c>
      <c r="N266" s="56">
        <f>100</f>
        <v>100</v>
      </c>
      <c r="O266" s="59">
        <v>240</v>
      </c>
      <c r="P266" s="59">
        <v>40</v>
      </c>
      <c r="Q266" s="59">
        <f t="shared" si="34"/>
        <v>315</v>
      </c>
      <c r="R266" s="59">
        <f t="shared" si="35"/>
        <v>100</v>
      </c>
      <c r="S266" s="56">
        <f t="shared" si="36"/>
        <v>695</v>
      </c>
      <c r="T266" s="56">
        <f>50</f>
        <v>50</v>
      </c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</row>
    <row r="267" spans="1:30" ht="15.75" x14ac:dyDescent="0.25">
      <c r="A267" s="16">
        <v>49400</v>
      </c>
      <c r="B267" s="69">
        <v>30</v>
      </c>
      <c r="C267" s="56">
        <f>141.293</f>
        <v>141.29300000000001</v>
      </c>
      <c r="D267" s="56">
        <f>267.993</f>
        <v>267.99299999999999</v>
      </c>
      <c r="E267" s="64">
        <f>115.016</f>
        <v>115.01600000000001</v>
      </c>
      <c r="F267" s="56">
        <f>314.698-40-25-60-100</f>
        <v>89.697999999999979</v>
      </c>
      <c r="G267" s="59">
        <v>40</v>
      </c>
      <c r="H267" s="56">
        <f t="shared" ref="H267:H273" si="42">25+60+100</f>
        <v>185</v>
      </c>
      <c r="I267" s="56">
        <f t="shared" si="39"/>
        <v>0</v>
      </c>
      <c r="J267" s="59">
        <v>100</v>
      </c>
      <c r="K267" s="59">
        <v>300</v>
      </c>
      <c r="L267" s="56">
        <f t="shared" si="33"/>
        <v>1239</v>
      </c>
      <c r="M267" s="66">
        <v>600</v>
      </c>
      <c r="N267" s="56">
        <f>100</f>
        <v>100</v>
      </c>
      <c r="O267" s="59">
        <v>240</v>
      </c>
      <c r="P267" s="59">
        <v>160</v>
      </c>
      <c r="Q267" s="59">
        <f t="shared" si="34"/>
        <v>195</v>
      </c>
      <c r="R267" s="59">
        <f t="shared" si="35"/>
        <v>100</v>
      </c>
      <c r="S267" s="56">
        <f t="shared" si="36"/>
        <v>695</v>
      </c>
      <c r="T267" s="56">
        <f>50</f>
        <v>50</v>
      </c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</row>
    <row r="268" spans="1:30" ht="15.75" x14ac:dyDescent="0.25">
      <c r="A268" s="16">
        <v>49430</v>
      </c>
      <c r="B268" s="69">
        <v>31</v>
      </c>
      <c r="C268" s="56">
        <f>194.205</f>
        <v>194.20500000000001</v>
      </c>
      <c r="D268" s="56">
        <f>267.466</f>
        <v>267.46600000000001</v>
      </c>
      <c r="E268" s="64">
        <f>133.845</f>
        <v>133.845</v>
      </c>
      <c r="F268" s="56">
        <f>278.484-40-25-60-100</f>
        <v>53.48399999999998</v>
      </c>
      <c r="G268" s="59">
        <v>40</v>
      </c>
      <c r="H268" s="56">
        <f t="shared" si="42"/>
        <v>185</v>
      </c>
      <c r="I268" s="56">
        <f t="shared" si="39"/>
        <v>0</v>
      </c>
      <c r="J268" s="59">
        <v>100</v>
      </c>
      <c r="K268" s="59">
        <v>300</v>
      </c>
      <c r="L268" s="56">
        <f t="shared" si="33"/>
        <v>1274</v>
      </c>
      <c r="M268" s="66">
        <v>600</v>
      </c>
      <c r="N268" s="56">
        <f>75</f>
        <v>75</v>
      </c>
      <c r="O268" s="59">
        <v>240</v>
      </c>
      <c r="P268" s="59">
        <v>160</v>
      </c>
      <c r="Q268" s="59">
        <f t="shared" si="34"/>
        <v>195</v>
      </c>
      <c r="R268" s="59">
        <f t="shared" si="35"/>
        <v>100</v>
      </c>
      <c r="S268" s="56">
        <f t="shared" si="36"/>
        <v>695</v>
      </c>
      <c r="T268" s="56">
        <f>50</f>
        <v>50</v>
      </c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</row>
    <row r="269" spans="1:30" ht="15.75" x14ac:dyDescent="0.25">
      <c r="A269" s="15">
        <v>49461</v>
      </c>
      <c r="B269" s="69">
        <v>30</v>
      </c>
      <c r="C269" s="56">
        <f>194.205</f>
        <v>194.20500000000001</v>
      </c>
      <c r="D269" s="56">
        <f>267.466</f>
        <v>267.46600000000001</v>
      </c>
      <c r="E269" s="64">
        <f>133.845</f>
        <v>133.845</v>
      </c>
      <c r="F269" s="56">
        <f>278.484-40-25-60-100</f>
        <v>53.48399999999998</v>
      </c>
      <c r="G269" s="59">
        <v>40</v>
      </c>
      <c r="H269" s="56">
        <f t="shared" si="42"/>
        <v>185</v>
      </c>
      <c r="I269" s="56">
        <f t="shared" si="39"/>
        <v>0</v>
      </c>
      <c r="J269" s="59">
        <v>100</v>
      </c>
      <c r="K269" s="59">
        <v>300</v>
      </c>
      <c r="L269" s="56">
        <f t="shared" si="33"/>
        <v>1274</v>
      </c>
      <c r="M269" s="66">
        <v>600</v>
      </c>
      <c r="N269" s="56">
        <f>30</f>
        <v>30</v>
      </c>
      <c r="O269" s="59">
        <v>240</v>
      </c>
      <c r="P269" s="59">
        <v>160</v>
      </c>
      <c r="Q269" s="59">
        <f t="shared" si="34"/>
        <v>195</v>
      </c>
      <c r="R269" s="59">
        <f t="shared" si="35"/>
        <v>100</v>
      </c>
      <c r="S269" s="56">
        <f t="shared" si="36"/>
        <v>695</v>
      </c>
      <c r="T269" s="56">
        <f>50</f>
        <v>50</v>
      </c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</row>
    <row r="270" spans="1:30" ht="15.75" x14ac:dyDescent="0.25">
      <c r="A270" s="15">
        <v>49491</v>
      </c>
      <c r="B270" s="69">
        <v>31</v>
      </c>
      <c r="C270" s="56">
        <f>194.205</f>
        <v>194.20500000000001</v>
      </c>
      <c r="D270" s="56">
        <f>267.466</f>
        <v>267.46600000000001</v>
      </c>
      <c r="E270" s="64">
        <f>133.845</f>
        <v>133.845</v>
      </c>
      <c r="F270" s="56">
        <f>278.484-40-25-60-100</f>
        <v>53.48399999999998</v>
      </c>
      <c r="G270" s="59">
        <v>40</v>
      </c>
      <c r="H270" s="56">
        <f t="shared" si="42"/>
        <v>185</v>
      </c>
      <c r="I270" s="56">
        <f t="shared" si="39"/>
        <v>0</v>
      </c>
      <c r="J270" s="59">
        <v>100</v>
      </c>
      <c r="K270" s="59">
        <v>300</v>
      </c>
      <c r="L270" s="56">
        <f t="shared" si="33"/>
        <v>1274</v>
      </c>
      <c r="M270" s="66">
        <v>600</v>
      </c>
      <c r="N270" s="56">
        <f>30</f>
        <v>30</v>
      </c>
      <c r="O270" s="59">
        <v>240</v>
      </c>
      <c r="P270" s="59">
        <v>160</v>
      </c>
      <c r="Q270" s="59">
        <f t="shared" si="34"/>
        <v>195</v>
      </c>
      <c r="R270" s="59">
        <f t="shared" si="35"/>
        <v>100</v>
      </c>
      <c r="S270" s="56">
        <f t="shared" si="36"/>
        <v>695</v>
      </c>
      <c r="T270" s="56">
        <f>0</f>
        <v>0</v>
      </c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</row>
    <row r="271" spans="1:30" ht="15.75" x14ac:dyDescent="0.25">
      <c r="A271" s="15">
        <v>49522</v>
      </c>
      <c r="B271" s="69">
        <v>31</v>
      </c>
      <c r="C271" s="56">
        <f>194.205</f>
        <v>194.20500000000001</v>
      </c>
      <c r="D271" s="56">
        <f>267.466</f>
        <v>267.46600000000001</v>
      </c>
      <c r="E271" s="64">
        <f>133.845</f>
        <v>133.845</v>
      </c>
      <c r="F271" s="56">
        <f>278.484-40-25-60-100</f>
        <v>53.48399999999998</v>
      </c>
      <c r="G271" s="59">
        <v>40</v>
      </c>
      <c r="H271" s="56">
        <f t="shared" si="42"/>
        <v>185</v>
      </c>
      <c r="I271" s="56">
        <f t="shared" si="39"/>
        <v>0</v>
      </c>
      <c r="J271" s="59">
        <v>100</v>
      </c>
      <c r="K271" s="59">
        <v>300</v>
      </c>
      <c r="L271" s="56">
        <f t="shared" si="33"/>
        <v>1274</v>
      </c>
      <c r="M271" s="66">
        <v>600</v>
      </c>
      <c r="N271" s="56">
        <f>30</f>
        <v>30</v>
      </c>
      <c r="O271" s="59">
        <v>240</v>
      </c>
      <c r="P271" s="59">
        <v>160</v>
      </c>
      <c r="Q271" s="59">
        <f t="shared" si="34"/>
        <v>195</v>
      </c>
      <c r="R271" s="59">
        <f t="shared" si="35"/>
        <v>100</v>
      </c>
      <c r="S271" s="56">
        <f t="shared" si="36"/>
        <v>695</v>
      </c>
      <c r="T271" s="56">
        <f>0</f>
        <v>0</v>
      </c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</row>
    <row r="272" spans="1:30" ht="15.75" x14ac:dyDescent="0.25">
      <c r="A272" s="15">
        <v>49553</v>
      </c>
      <c r="B272" s="69">
        <v>30</v>
      </c>
      <c r="C272" s="56">
        <f>194.205</f>
        <v>194.20500000000001</v>
      </c>
      <c r="D272" s="56">
        <f>267.466</f>
        <v>267.46600000000001</v>
      </c>
      <c r="E272" s="64">
        <f>133.845</f>
        <v>133.845</v>
      </c>
      <c r="F272" s="56">
        <f>278.484-40-25-60-100</f>
        <v>53.48399999999998</v>
      </c>
      <c r="G272" s="59">
        <v>40</v>
      </c>
      <c r="H272" s="56">
        <f t="shared" si="42"/>
        <v>185</v>
      </c>
      <c r="I272" s="56">
        <f t="shared" si="39"/>
        <v>0</v>
      </c>
      <c r="J272" s="59">
        <v>100</v>
      </c>
      <c r="K272" s="59">
        <v>300</v>
      </c>
      <c r="L272" s="56">
        <f t="shared" ref="L272:L335" si="43">SUM(C272:K272)</f>
        <v>1274</v>
      </c>
      <c r="M272" s="66">
        <v>600</v>
      </c>
      <c r="N272" s="56">
        <f>30</f>
        <v>30</v>
      </c>
      <c r="O272" s="59">
        <v>240</v>
      </c>
      <c r="P272" s="59">
        <v>160</v>
      </c>
      <c r="Q272" s="59">
        <f t="shared" ref="Q272:Q335" si="44">695-R272-O272-P272</f>
        <v>195</v>
      </c>
      <c r="R272" s="59">
        <f t="shared" ref="R272:R335" si="45">200-J272</f>
        <v>100</v>
      </c>
      <c r="S272" s="56">
        <f t="shared" ref="S272:S335" si="46">SUM(O272:R272)</f>
        <v>695</v>
      </c>
      <c r="T272" s="56">
        <f>0</f>
        <v>0</v>
      </c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</row>
    <row r="273" spans="1:30" ht="15.75" x14ac:dyDescent="0.25">
      <c r="A273" s="15">
        <v>49583</v>
      </c>
      <c r="B273" s="69">
        <v>31</v>
      </c>
      <c r="C273" s="56">
        <f>131.881</f>
        <v>131.881</v>
      </c>
      <c r="D273" s="56">
        <f>277.167</f>
        <v>277.16699999999997</v>
      </c>
      <c r="E273" s="64">
        <f>79.08</f>
        <v>79.08</v>
      </c>
      <c r="F273" s="56">
        <f>350.872-40-25-60-100</f>
        <v>125.87200000000001</v>
      </c>
      <c r="G273" s="59">
        <v>40</v>
      </c>
      <c r="H273" s="56">
        <f t="shared" si="42"/>
        <v>185</v>
      </c>
      <c r="I273" s="56">
        <f t="shared" si="39"/>
        <v>0</v>
      </c>
      <c r="J273" s="59">
        <v>100</v>
      </c>
      <c r="K273" s="59">
        <v>300</v>
      </c>
      <c r="L273" s="56">
        <f t="shared" si="43"/>
        <v>1239</v>
      </c>
      <c r="M273" s="66">
        <v>600</v>
      </c>
      <c r="N273" s="56">
        <f>75</f>
        <v>75</v>
      </c>
      <c r="O273" s="59">
        <v>240</v>
      </c>
      <c r="P273" s="59">
        <v>160</v>
      </c>
      <c r="Q273" s="59">
        <f t="shared" si="44"/>
        <v>195</v>
      </c>
      <c r="R273" s="59">
        <f t="shared" si="45"/>
        <v>100</v>
      </c>
      <c r="S273" s="56">
        <f t="shared" si="46"/>
        <v>695</v>
      </c>
      <c r="T273" s="56">
        <f>0</f>
        <v>0</v>
      </c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</row>
    <row r="274" spans="1:30" ht="15.75" x14ac:dyDescent="0.25">
      <c r="A274" s="15">
        <v>49614</v>
      </c>
      <c r="B274" s="69">
        <v>30</v>
      </c>
      <c r="C274" s="56">
        <f>122.58</f>
        <v>122.58</v>
      </c>
      <c r="D274" s="56">
        <f>297.941</f>
        <v>297.94099999999997</v>
      </c>
      <c r="E274" s="64">
        <f>89.177</f>
        <v>89.177000000000007</v>
      </c>
      <c r="F274" s="56">
        <f>240.302-40-60-100</f>
        <v>40.301999999999992</v>
      </c>
      <c r="G274" s="59">
        <v>40</v>
      </c>
      <c r="H274" s="56">
        <f>60+100</f>
        <v>160</v>
      </c>
      <c r="I274" s="56">
        <f t="shared" si="39"/>
        <v>0</v>
      </c>
      <c r="J274" s="59">
        <v>100</v>
      </c>
      <c r="K274" s="59">
        <v>300</v>
      </c>
      <c r="L274" s="56">
        <f t="shared" si="43"/>
        <v>1150</v>
      </c>
      <c r="M274" s="66">
        <v>600</v>
      </c>
      <c r="N274" s="56">
        <f>100</f>
        <v>100</v>
      </c>
      <c r="O274" s="59">
        <v>240</v>
      </c>
      <c r="P274" s="59">
        <v>40</v>
      </c>
      <c r="Q274" s="59">
        <f t="shared" si="44"/>
        <v>315</v>
      </c>
      <c r="R274" s="59">
        <f t="shared" si="45"/>
        <v>100</v>
      </c>
      <c r="S274" s="56">
        <f t="shared" si="46"/>
        <v>695</v>
      </c>
      <c r="T274" s="56">
        <f>50</f>
        <v>50</v>
      </c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</row>
    <row r="275" spans="1:30" ht="15.75" x14ac:dyDescent="0.25">
      <c r="A275" s="15">
        <v>49644</v>
      </c>
      <c r="B275" s="69">
        <v>31</v>
      </c>
      <c r="C275" s="56">
        <f>122.58</f>
        <v>122.58</v>
      </c>
      <c r="D275" s="56">
        <f>297.941</f>
        <v>297.94099999999997</v>
      </c>
      <c r="E275" s="64">
        <f>89.177</f>
        <v>89.177000000000007</v>
      </c>
      <c r="F275" s="56">
        <f>240.302-40-60-100</f>
        <v>40.301999999999992</v>
      </c>
      <c r="G275" s="59">
        <v>40</v>
      </c>
      <c r="H275" s="56">
        <f>60+100</f>
        <v>160</v>
      </c>
      <c r="I275" s="56">
        <f t="shared" si="39"/>
        <v>0</v>
      </c>
      <c r="J275" s="59">
        <v>100</v>
      </c>
      <c r="K275" s="59">
        <v>300</v>
      </c>
      <c r="L275" s="56">
        <f t="shared" si="43"/>
        <v>1150</v>
      </c>
      <c r="M275" s="66">
        <v>600</v>
      </c>
      <c r="N275" s="56">
        <f>100</f>
        <v>100</v>
      </c>
      <c r="O275" s="59">
        <v>240</v>
      </c>
      <c r="P275" s="59">
        <v>40</v>
      </c>
      <c r="Q275" s="59">
        <f t="shared" si="44"/>
        <v>315</v>
      </c>
      <c r="R275" s="59">
        <f t="shared" si="45"/>
        <v>100</v>
      </c>
      <c r="S275" s="56">
        <f t="shared" si="46"/>
        <v>695</v>
      </c>
      <c r="T275" s="56">
        <f>50</f>
        <v>50</v>
      </c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</row>
    <row r="276" spans="1:30" ht="15.75" x14ac:dyDescent="0.25">
      <c r="A276" s="15">
        <v>49675</v>
      </c>
      <c r="B276" s="69">
        <v>31</v>
      </c>
      <c r="C276" s="56">
        <f>122.58</f>
        <v>122.58</v>
      </c>
      <c r="D276" s="56">
        <f>297.941</f>
        <v>297.94099999999997</v>
      </c>
      <c r="E276" s="64">
        <f>89.177</f>
        <v>89.177000000000007</v>
      </c>
      <c r="F276" s="56">
        <f>240.302-40-60-100</f>
        <v>40.301999999999992</v>
      </c>
      <c r="G276" s="59">
        <v>40</v>
      </c>
      <c r="H276" s="56">
        <f>60+100</f>
        <v>160</v>
      </c>
      <c r="I276" s="56">
        <f t="shared" si="39"/>
        <v>0</v>
      </c>
      <c r="J276" s="59">
        <v>100</v>
      </c>
      <c r="K276" s="59">
        <v>300</v>
      </c>
      <c r="L276" s="56">
        <f t="shared" si="43"/>
        <v>1150</v>
      </c>
      <c r="M276" s="66">
        <v>600</v>
      </c>
      <c r="N276" s="56">
        <f>100</f>
        <v>100</v>
      </c>
      <c r="O276" s="59">
        <v>240</v>
      </c>
      <c r="P276" s="59">
        <v>40</v>
      </c>
      <c r="Q276" s="59">
        <f t="shared" si="44"/>
        <v>315</v>
      </c>
      <c r="R276" s="59">
        <f t="shared" si="45"/>
        <v>100</v>
      </c>
      <c r="S276" s="56">
        <f t="shared" si="46"/>
        <v>695</v>
      </c>
      <c r="T276" s="56">
        <f>50</f>
        <v>50</v>
      </c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</row>
    <row r="277" spans="1:30" ht="15.75" x14ac:dyDescent="0.25">
      <c r="A277" s="15">
        <v>49706</v>
      </c>
      <c r="B277" s="69">
        <v>29</v>
      </c>
      <c r="C277" s="56">
        <f>122.58</f>
        <v>122.58</v>
      </c>
      <c r="D277" s="56">
        <f>297.941</f>
        <v>297.94099999999997</v>
      </c>
      <c r="E277" s="64">
        <f>89.177</f>
        <v>89.177000000000007</v>
      </c>
      <c r="F277" s="56">
        <f>240.302-40-60-100</f>
        <v>40.301999999999992</v>
      </c>
      <c r="G277" s="59">
        <v>40</v>
      </c>
      <c r="H277" s="56">
        <f>60+100</f>
        <v>160</v>
      </c>
      <c r="I277" s="56">
        <f t="shared" si="39"/>
        <v>0</v>
      </c>
      <c r="J277" s="59">
        <v>100</v>
      </c>
      <c r="K277" s="59">
        <v>300</v>
      </c>
      <c r="L277" s="56">
        <f t="shared" si="43"/>
        <v>1150</v>
      </c>
      <c r="M277" s="66">
        <v>600</v>
      </c>
      <c r="N277" s="56">
        <f>100</f>
        <v>100</v>
      </c>
      <c r="O277" s="59">
        <v>240</v>
      </c>
      <c r="P277" s="59">
        <v>40</v>
      </c>
      <c r="Q277" s="59">
        <f t="shared" si="44"/>
        <v>315</v>
      </c>
      <c r="R277" s="59">
        <f t="shared" si="45"/>
        <v>100</v>
      </c>
      <c r="S277" s="56">
        <f t="shared" si="46"/>
        <v>695</v>
      </c>
      <c r="T277" s="56">
        <f>50</f>
        <v>50</v>
      </c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</row>
    <row r="278" spans="1:30" ht="15.75" x14ac:dyDescent="0.25">
      <c r="A278" s="15">
        <v>49735</v>
      </c>
      <c r="B278" s="69">
        <v>31</v>
      </c>
      <c r="C278" s="56">
        <f>122.58</f>
        <v>122.58</v>
      </c>
      <c r="D278" s="56">
        <f>297.941</f>
        <v>297.94099999999997</v>
      </c>
      <c r="E278" s="64">
        <f>89.177</f>
        <v>89.177000000000007</v>
      </c>
      <c r="F278" s="56">
        <f>240.302-40-60-100</f>
        <v>40.301999999999992</v>
      </c>
      <c r="G278" s="59">
        <v>40</v>
      </c>
      <c r="H278" s="56">
        <f>60+100</f>
        <v>160</v>
      </c>
      <c r="I278" s="56">
        <f t="shared" si="39"/>
        <v>0</v>
      </c>
      <c r="J278" s="59">
        <v>100</v>
      </c>
      <c r="K278" s="59">
        <v>300</v>
      </c>
      <c r="L278" s="56">
        <f t="shared" si="43"/>
        <v>1150</v>
      </c>
      <c r="M278" s="66">
        <v>600</v>
      </c>
      <c r="N278" s="56">
        <f>100</f>
        <v>100</v>
      </c>
      <c r="O278" s="59">
        <v>240</v>
      </c>
      <c r="P278" s="59">
        <v>40</v>
      </c>
      <c r="Q278" s="59">
        <f t="shared" si="44"/>
        <v>315</v>
      </c>
      <c r="R278" s="59">
        <f t="shared" si="45"/>
        <v>100</v>
      </c>
      <c r="S278" s="56">
        <f t="shared" si="46"/>
        <v>695</v>
      </c>
      <c r="T278" s="56">
        <f>50</f>
        <v>50</v>
      </c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</row>
    <row r="279" spans="1:30" ht="15.75" x14ac:dyDescent="0.25">
      <c r="A279" s="15">
        <v>49766</v>
      </c>
      <c r="B279" s="69">
        <v>30</v>
      </c>
      <c r="C279" s="56">
        <f>141.293</f>
        <v>141.29300000000001</v>
      </c>
      <c r="D279" s="56">
        <f>267.993</f>
        <v>267.99299999999999</v>
      </c>
      <c r="E279" s="64">
        <f>115.016</f>
        <v>115.01600000000001</v>
      </c>
      <c r="F279" s="56">
        <f>314.698-40-25-60-100</f>
        <v>89.697999999999979</v>
      </c>
      <c r="G279" s="59">
        <v>40</v>
      </c>
      <c r="H279" s="56">
        <f t="shared" ref="H279:H285" si="47">25+60+100</f>
        <v>185</v>
      </c>
      <c r="I279" s="56">
        <f t="shared" si="39"/>
        <v>0</v>
      </c>
      <c r="J279" s="59">
        <v>100</v>
      </c>
      <c r="K279" s="59">
        <v>300</v>
      </c>
      <c r="L279" s="56">
        <f t="shared" si="43"/>
        <v>1239</v>
      </c>
      <c r="M279" s="66">
        <v>600</v>
      </c>
      <c r="N279" s="56">
        <f>100</f>
        <v>100</v>
      </c>
      <c r="O279" s="59">
        <v>240</v>
      </c>
      <c r="P279" s="59">
        <v>160</v>
      </c>
      <c r="Q279" s="59">
        <f t="shared" si="44"/>
        <v>195</v>
      </c>
      <c r="R279" s="59">
        <f t="shared" si="45"/>
        <v>100</v>
      </c>
      <c r="S279" s="56">
        <f t="shared" si="46"/>
        <v>695</v>
      </c>
      <c r="T279" s="56">
        <f>50</f>
        <v>50</v>
      </c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</row>
    <row r="280" spans="1:30" ht="15.75" x14ac:dyDescent="0.25">
      <c r="A280" s="15">
        <v>49796</v>
      </c>
      <c r="B280" s="69">
        <v>31</v>
      </c>
      <c r="C280" s="56">
        <f>194.205</f>
        <v>194.20500000000001</v>
      </c>
      <c r="D280" s="56">
        <f>267.466</f>
        <v>267.46600000000001</v>
      </c>
      <c r="E280" s="64">
        <f>133.845</f>
        <v>133.845</v>
      </c>
      <c r="F280" s="56">
        <f>278.484-40-25-60-100</f>
        <v>53.48399999999998</v>
      </c>
      <c r="G280" s="59">
        <v>40</v>
      </c>
      <c r="H280" s="56">
        <f t="shared" si="47"/>
        <v>185</v>
      </c>
      <c r="I280" s="56">
        <f t="shared" si="39"/>
        <v>0</v>
      </c>
      <c r="J280" s="59">
        <v>100</v>
      </c>
      <c r="K280" s="59">
        <v>300</v>
      </c>
      <c r="L280" s="56">
        <f t="shared" si="43"/>
        <v>1274</v>
      </c>
      <c r="M280" s="66">
        <v>600</v>
      </c>
      <c r="N280" s="56">
        <f>75</f>
        <v>75</v>
      </c>
      <c r="O280" s="59">
        <v>240</v>
      </c>
      <c r="P280" s="59">
        <v>160</v>
      </c>
      <c r="Q280" s="59">
        <f t="shared" si="44"/>
        <v>195</v>
      </c>
      <c r="R280" s="59">
        <f t="shared" si="45"/>
        <v>100</v>
      </c>
      <c r="S280" s="56">
        <f t="shared" si="46"/>
        <v>695</v>
      </c>
      <c r="T280" s="56">
        <f>50</f>
        <v>50</v>
      </c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</row>
    <row r="281" spans="1:30" ht="15.75" x14ac:dyDescent="0.25">
      <c r="A281" s="15">
        <v>49827</v>
      </c>
      <c r="B281" s="69">
        <v>30</v>
      </c>
      <c r="C281" s="56">
        <f>194.205</f>
        <v>194.20500000000001</v>
      </c>
      <c r="D281" s="56">
        <f>267.466</f>
        <v>267.46600000000001</v>
      </c>
      <c r="E281" s="64">
        <f>133.845</f>
        <v>133.845</v>
      </c>
      <c r="F281" s="56">
        <f>278.484-40-25-60-100</f>
        <v>53.48399999999998</v>
      </c>
      <c r="G281" s="59">
        <v>40</v>
      </c>
      <c r="H281" s="56">
        <f t="shared" si="47"/>
        <v>185</v>
      </c>
      <c r="I281" s="56">
        <f t="shared" si="39"/>
        <v>0</v>
      </c>
      <c r="J281" s="59">
        <v>100</v>
      </c>
      <c r="K281" s="59">
        <v>300</v>
      </c>
      <c r="L281" s="56">
        <f t="shared" si="43"/>
        <v>1274</v>
      </c>
      <c r="M281" s="66">
        <v>600</v>
      </c>
      <c r="N281" s="56">
        <f>30</f>
        <v>30</v>
      </c>
      <c r="O281" s="59">
        <v>240</v>
      </c>
      <c r="P281" s="59">
        <v>160</v>
      </c>
      <c r="Q281" s="59">
        <f t="shared" si="44"/>
        <v>195</v>
      </c>
      <c r="R281" s="59">
        <f t="shared" si="45"/>
        <v>100</v>
      </c>
      <c r="S281" s="56">
        <f t="shared" si="46"/>
        <v>695</v>
      </c>
      <c r="T281" s="56">
        <f>50</f>
        <v>50</v>
      </c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</row>
    <row r="282" spans="1:30" ht="15.75" x14ac:dyDescent="0.25">
      <c r="A282" s="15">
        <v>49857</v>
      </c>
      <c r="B282" s="69">
        <v>31</v>
      </c>
      <c r="C282" s="56">
        <f>194.205</f>
        <v>194.20500000000001</v>
      </c>
      <c r="D282" s="56">
        <f>267.466</f>
        <v>267.46600000000001</v>
      </c>
      <c r="E282" s="64">
        <f>133.845</f>
        <v>133.845</v>
      </c>
      <c r="F282" s="56">
        <f>278.484-40-25-60-100</f>
        <v>53.48399999999998</v>
      </c>
      <c r="G282" s="59">
        <v>40</v>
      </c>
      <c r="H282" s="56">
        <f t="shared" si="47"/>
        <v>185</v>
      </c>
      <c r="I282" s="56">
        <f t="shared" si="39"/>
        <v>0</v>
      </c>
      <c r="J282" s="59">
        <v>100</v>
      </c>
      <c r="K282" s="59">
        <v>300</v>
      </c>
      <c r="L282" s="56">
        <f t="shared" si="43"/>
        <v>1274</v>
      </c>
      <c r="M282" s="66">
        <v>600</v>
      </c>
      <c r="N282" s="56">
        <f>30</f>
        <v>30</v>
      </c>
      <c r="O282" s="59">
        <v>240</v>
      </c>
      <c r="P282" s="59">
        <v>160</v>
      </c>
      <c r="Q282" s="59">
        <f t="shared" si="44"/>
        <v>195</v>
      </c>
      <c r="R282" s="59">
        <f t="shared" si="45"/>
        <v>100</v>
      </c>
      <c r="S282" s="56">
        <f t="shared" si="46"/>
        <v>695</v>
      </c>
      <c r="T282" s="56">
        <f>0</f>
        <v>0</v>
      </c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</row>
    <row r="283" spans="1:30" ht="15.75" x14ac:dyDescent="0.25">
      <c r="A283" s="15">
        <v>49888</v>
      </c>
      <c r="B283" s="69">
        <v>31</v>
      </c>
      <c r="C283" s="56">
        <f>194.205</f>
        <v>194.20500000000001</v>
      </c>
      <c r="D283" s="56">
        <f>267.466</f>
        <v>267.46600000000001</v>
      </c>
      <c r="E283" s="64">
        <f>133.845</f>
        <v>133.845</v>
      </c>
      <c r="F283" s="56">
        <f>278.484-40-25-60-100</f>
        <v>53.48399999999998</v>
      </c>
      <c r="G283" s="59">
        <v>40</v>
      </c>
      <c r="H283" s="56">
        <f t="shared" si="47"/>
        <v>185</v>
      </c>
      <c r="I283" s="56">
        <f t="shared" si="39"/>
        <v>0</v>
      </c>
      <c r="J283" s="59">
        <v>100</v>
      </c>
      <c r="K283" s="59">
        <v>300</v>
      </c>
      <c r="L283" s="56">
        <f t="shared" si="43"/>
        <v>1274</v>
      </c>
      <c r="M283" s="66">
        <v>600</v>
      </c>
      <c r="N283" s="56">
        <f>30</f>
        <v>30</v>
      </c>
      <c r="O283" s="59">
        <v>240</v>
      </c>
      <c r="P283" s="59">
        <v>160</v>
      </c>
      <c r="Q283" s="59">
        <f t="shared" si="44"/>
        <v>195</v>
      </c>
      <c r="R283" s="59">
        <f t="shared" si="45"/>
        <v>100</v>
      </c>
      <c r="S283" s="56">
        <f t="shared" si="46"/>
        <v>695</v>
      </c>
      <c r="T283" s="56">
        <f>0</f>
        <v>0</v>
      </c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</row>
    <row r="284" spans="1:30" ht="15.75" x14ac:dyDescent="0.25">
      <c r="A284" s="15">
        <v>49919</v>
      </c>
      <c r="B284" s="69">
        <v>30</v>
      </c>
      <c r="C284" s="56">
        <f>194.205</f>
        <v>194.20500000000001</v>
      </c>
      <c r="D284" s="56">
        <f>267.466</f>
        <v>267.46600000000001</v>
      </c>
      <c r="E284" s="64">
        <f>133.845</f>
        <v>133.845</v>
      </c>
      <c r="F284" s="56">
        <f>278.484-40-25-60-100</f>
        <v>53.48399999999998</v>
      </c>
      <c r="G284" s="59">
        <v>40</v>
      </c>
      <c r="H284" s="56">
        <f t="shared" si="47"/>
        <v>185</v>
      </c>
      <c r="I284" s="56">
        <f t="shared" si="39"/>
        <v>0</v>
      </c>
      <c r="J284" s="59">
        <v>100</v>
      </c>
      <c r="K284" s="59">
        <v>300</v>
      </c>
      <c r="L284" s="56">
        <f t="shared" si="43"/>
        <v>1274</v>
      </c>
      <c r="M284" s="66">
        <v>600</v>
      </c>
      <c r="N284" s="56">
        <f>30</f>
        <v>30</v>
      </c>
      <c r="O284" s="59">
        <v>240</v>
      </c>
      <c r="P284" s="59">
        <v>160</v>
      </c>
      <c r="Q284" s="59">
        <f t="shared" si="44"/>
        <v>195</v>
      </c>
      <c r="R284" s="59">
        <f t="shared" si="45"/>
        <v>100</v>
      </c>
      <c r="S284" s="56">
        <f t="shared" si="46"/>
        <v>695</v>
      </c>
      <c r="T284" s="56">
        <f>0</f>
        <v>0</v>
      </c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</row>
    <row r="285" spans="1:30" ht="15.75" x14ac:dyDescent="0.25">
      <c r="A285" s="15">
        <v>49949</v>
      </c>
      <c r="B285" s="69">
        <v>31</v>
      </c>
      <c r="C285" s="56">
        <f>131.881</f>
        <v>131.881</v>
      </c>
      <c r="D285" s="56">
        <f>277.167</f>
        <v>277.16699999999997</v>
      </c>
      <c r="E285" s="64">
        <f>79.08</f>
        <v>79.08</v>
      </c>
      <c r="F285" s="56">
        <f>350.872-40-25-60-100</f>
        <v>125.87200000000001</v>
      </c>
      <c r="G285" s="59">
        <v>40</v>
      </c>
      <c r="H285" s="56">
        <f t="shared" si="47"/>
        <v>185</v>
      </c>
      <c r="I285" s="56">
        <f t="shared" si="39"/>
        <v>0</v>
      </c>
      <c r="J285" s="59">
        <v>100</v>
      </c>
      <c r="K285" s="59">
        <v>300</v>
      </c>
      <c r="L285" s="56">
        <f t="shared" si="43"/>
        <v>1239</v>
      </c>
      <c r="M285" s="66">
        <v>600</v>
      </c>
      <c r="N285" s="56">
        <f>75</f>
        <v>75</v>
      </c>
      <c r="O285" s="59">
        <v>240</v>
      </c>
      <c r="P285" s="59">
        <v>160</v>
      </c>
      <c r="Q285" s="59">
        <f t="shared" si="44"/>
        <v>195</v>
      </c>
      <c r="R285" s="59">
        <f t="shared" si="45"/>
        <v>100</v>
      </c>
      <c r="S285" s="56">
        <f t="shared" si="46"/>
        <v>695</v>
      </c>
      <c r="T285" s="56">
        <f>0</f>
        <v>0</v>
      </c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</row>
    <row r="286" spans="1:30" ht="15.75" x14ac:dyDescent="0.25">
      <c r="A286" s="15">
        <v>49980</v>
      </c>
      <c r="B286" s="69">
        <v>30</v>
      </c>
      <c r="C286" s="56">
        <f>122.58</f>
        <v>122.58</v>
      </c>
      <c r="D286" s="56">
        <f>297.941</f>
        <v>297.94099999999997</v>
      </c>
      <c r="E286" s="64">
        <f>89.177</f>
        <v>89.177000000000007</v>
      </c>
      <c r="F286" s="56">
        <f>240.302-40-60-100</f>
        <v>40.301999999999992</v>
      </c>
      <c r="G286" s="59">
        <v>40</v>
      </c>
      <c r="H286" s="56">
        <f>60+100</f>
        <v>160</v>
      </c>
      <c r="I286" s="56">
        <f t="shared" si="39"/>
        <v>0</v>
      </c>
      <c r="J286" s="59">
        <v>100</v>
      </c>
      <c r="K286" s="59">
        <v>300</v>
      </c>
      <c r="L286" s="56">
        <f t="shared" si="43"/>
        <v>1150</v>
      </c>
      <c r="M286" s="66">
        <v>600</v>
      </c>
      <c r="N286" s="56">
        <f>100</f>
        <v>100</v>
      </c>
      <c r="O286" s="59">
        <v>240</v>
      </c>
      <c r="P286" s="59">
        <v>40</v>
      </c>
      <c r="Q286" s="59">
        <f t="shared" si="44"/>
        <v>315</v>
      </c>
      <c r="R286" s="59">
        <f t="shared" si="45"/>
        <v>100</v>
      </c>
      <c r="S286" s="56">
        <f t="shared" si="46"/>
        <v>695</v>
      </c>
      <c r="T286" s="56">
        <f>50</f>
        <v>50</v>
      </c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</row>
    <row r="287" spans="1:30" ht="15.75" x14ac:dyDescent="0.25">
      <c r="A287" s="15">
        <v>50010</v>
      </c>
      <c r="B287" s="69">
        <v>31</v>
      </c>
      <c r="C287" s="56">
        <f>122.58</f>
        <v>122.58</v>
      </c>
      <c r="D287" s="56">
        <f>297.941</f>
        <v>297.94099999999997</v>
      </c>
      <c r="E287" s="64">
        <f>89.177</f>
        <v>89.177000000000007</v>
      </c>
      <c r="F287" s="56">
        <f>240.302-40-60-100</f>
        <v>40.301999999999992</v>
      </c>
      <c r="G287" s="59">
        <v>40</v>
      </c>
      <c r="H287" s="56">
        <f>60+100</f>
        <v>160</v>
      </c>
      <c r="I287" s="56">
        <f t="shared" si="39"/>
        <v>0</v>
      </c>
      <c r="J287" s="59">
        <v>100</v>
      </c>
      <c r="K287" s="59">
        <v>300</v>
      </c>
      <c r="L287" s="56">
        <f t="shared" si="43"/>
        <v>1150</v>
      </c>
      <c r="M287" s="66">
        <v>600</v>
      </c>
      <c r="N287" s="56">
        <f>100</f>
        <v>100</v>
      </c>
      <c r="O287" s="59">
        <v>240</v>
      </c>
      <c r="P287" s="59">
        <v>40</v>
      </c>
      <c r="Q287" s="59">
        <f t="shared" si="44"/>
        <v>315</v>
      </c>
      <c r="R287" s="59">
        <f t="shared" si="45"/>
        <v>100</v>
      </c>
      <c r="S287" s="56">
        <f t="shared" si="46"/>
        <v>695</v>
      </c>
      <c r="T287" s="56">
        <f>50</f>
        <v>50</v>
      </c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</row>
    <row r="288" spans="1:30" ht="15.75" x14ac:dyDescent="0.25">
      <c r="A288" s="15">
        <v>50041</v>
      </c>
      <c r="B288" s="69">
        <v>31</v>
      </c>
      <c r="C288" s="56">
        <f>122.58</f>
        <v>122.58</v>
      </c>
      <c r="D288" s="56">
        <f>297.941</f>
        <v>297.94099999999997</v>
      </c>
      <c r="E288" s="64">
        <f>89.177</f>
        <v>89.177000000000007</v>
      </c>
      <c r="F288" s="56">
        <f>240.302-40-60-100</f>
        <v>40.301999999999992</v>
      </c>
      <c r="G288" s="59">
        <v>40</v>
      </c>
      <c r="H288" s="56">
        <f>60+100</f>
        <v>160</v>
      </c>
      <c r="I288" s="56">
        <f t="shared" si="39"/>
        <v>0</v>
      </c>
      <c r="J288" s="59">
        <v>100</v>
      </c>
      <c r="K288" s="59">
        <v>300</v>
      </c>
      <c r="L288" s="56">
        <f t="shared" si="43"/>
        <v>1150</v>
      </c>
      <c r="M288" s="66">
        <v>600</v>
      </c>
      <c r="N288" s="56">
        <f>100</f>
        <v>100</v>
      </c>
      <c r="O288" s="59">
        <v>240</v>
      </c>
      <c r="P288" s="59">
        <v>40</v>
      </c>
      <c r="Q288" s="59">
        <f t="shared" si="44"/>
        <v>315</v>
      </c>
      <c r="R288" s="59">
        <f t="shared" si="45"/>
        <v>100</v>
      </c>
      <c r="S288" s="56">
        <f t="shared" si="46"/>
        <v>695</v>
      </c>
      <c r="T288" s="56">
        <f>50</f>
        <v>50</v>
      </c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</row>
    <row r="289" spans="1:30" ht="15.75" x14ac:dyDescent="0.25">
      <c r="A289" s="15">
        <v>50072</v>
      </c>
      <c r="B289" s="69">
        <v>28</v>
      </c>
      <c r="C289" s="56">
        <f>122.58</f>
        <v>122.58</v>
      </c>
      <c r="D289" s="56">
        <f>297.941</f>
        <v>297.94099999999997</v>
      </c>
      <c r="E289" s="64">
        <f>89.177</f>
        <v>89.177000000000007</v>
      </c>
      <c r="F289" s="56">
        <f>240.302-40-60-100</f>
        <v>40.301999999999992</v>
      </c>
      <c r="G289" s="59">
        <v>40</v>
      </c>
      <c r="H289" s="56">
        <f>60+100</f>
        <v>160</v>
      </c>
      <c r="I289" s="56">
        <f t="shared" si="39"/>
        <v>0</v>
      </c>
      <c r="J289" s="59">
        <v>100</v>
      </c>
      <c r="K289" s="59">
        <v>300</v>
      </c>
      <c r="L289" s="56">
        <f t="shared" si="43"/>
        <v>1150</v>
      </c>
      <c r="M289" s="66">
        <v>600</v>
      </c>
      <c r="N289" s="56">
        <f>100</f>
        <v>100</v>
      </c>
      <c r="O289" s="59">
        <v>240</v>
      </c>
      <c r="P289" s="59">
        <v>40</v>
      </c>
      <c r="Q289" s="59">
        <f t="shared" si="44"/>
        <v>315</v>
      </c>
      <c r="R289" s="59">
        <f t="shared" si="45"/>
        <v>100</v>
      </c>
      <c r="S289" s="56">
        <f t="shared" si="46"/>
        <v>695</v>
      </c>
      <c r="T289" s="56">
        <f>50</f>
        <v>50</v>
      </c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</row>
    <row r="290" spans="1:30" ht="15.75" x14ac:dyDescent="0.25">
      <c r="A290" s="15">
        <v>50100</v>
      </c>
      <c r="B290" s="69">
        <v>31</v>
      </c>
      <c r="C290" s="56">
        <f>122.58</f>
        <v>122.58</v>
      </c>
      <c r="D290" s="56">
        <f>297.941</f>
        <v>297.94099999999997</v>
      </c>
      <c r="E290" s="64">
        <f>89.177</f>
        <v>89.177000000000007</v>
      </c>
      <c r="F290" s="56">
        <f>240.302-40-60-100</f>
        <v>40.301999999999992</v>
      </c>
      <c r="G290" s="59">
        <v>40</v>
      </c>
      <c r="H290" s="56">
        <f>60+100</f>
        <v>160</v>
      </c>
      <c r="I290" s="56">
        <f t="shared" si="39"/>
        <v>0</v>
      </c>
      <c r="J290" s="59">
        <v>100</v>
      </c>
      <c r="K290" s="59">
        <v>300</v>
      </c>
      <c r="L290" s="56">
        <f t="shared" si="43"/>
        <v>1150</v>
      </c>
      <c r="M290" s="66">
        <v>600</v>
      </c>
      <c r="N290" s="56">
        <f>100</f>
        <v>100</v>
      </c>
      <c r="O290" s="59">
        <v>240</v>
      </c>
      <c r="P290" s="59">
        <v>40</v>
      </c>
      <c r="Q290" s="59">
        <f t="shared" si="44"/>
        <v>315</v>
      </c>
      <c r="R290" s="59">
        <f t="shared" si="45"/>
        <v>100</v>
      </c>
      <c r="S290" s="56">
        <f t="shared" si="46"/>
        <v>695</v>
      </c>
      <c r="T290" s="56">
        <f>50</f>
        <v>50</v>
      </c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</row>
    <row r="291" spans="1:30" ht="15.75" x14ac:dyDescent="0.25">
      <c r="A291" s="15">
        <v>50131</v>
      </c>
      <c r="B291" s="69">
        <v>30</v>
      </c>
      <c r="C291" s="56">
        <f>141.293</f>
        <v>141.29300000000001</v>
      </c>
      <c r="D291" s="56">
        <f>267.993</f>
        <v>267.99299999999999</v>
      </c>
      <c r="E291" s="64">
        <f>115.016</f>
        <v>115.01600000000001</v>
      </c>
      <c r="F291" s="56">
        <f>314.698-40-25-60-100</f>
        <v>89.697999999999979</v>
      </c>
      <c r="G291" s="59">
        <v>40</v>
      </c>
      <c r="H291" s="56">
        <f t="shared" ref="H291:H297" si="48">25+60+100</f>
        <v>185</v>
      </c>
      <c r="I291" s="56">
        <f t="shared" si="39"/>
        <v>0</v>
      </c>
      <c r="J291" s="59">
        <v>100</v>
      </c>
      <c r="K291" s="59">
        <v>300</v>
      </c>
      <c r="L291" s="56">
        <f t="shared" si="43"/>
        <v>1239</v>
      </c>
      <c r="M291" s="66">
        <v>600</v>
      </c>
      <c r="N291" s="56">
        <f>100</f>
        <v>100</v>
      </c>
      <c r="O291" s="59">
        <v>240</v>
      </c>
      <c r="P291" s="59">
        <v>160</v>
      </c>
      <c r="Q291" s="59">
        <f t="shared" si="44"/>
        <v>195</v>
      </c>
      <c r="R291" s="59">
        <f t="shared" si="45"/>
        <v>100</v>
      </c>
      <c r="S291" s="56">
        <f t="shared" si="46"/>
        <v>695</v>
      </c>
      <c r="T291" s="56">
        <f>50</f>
        <v>50</v>
      </c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</row>
    <row r="292" spans="1:30" ht="15.75" x14ac:dyDescent="0.25">
      <c r="A292" s="15">
        <v>50161</v>
      </c>
      <c r="B292" s="69">
        <v>31</v>
      </c>
      <c r="C292" s="56">
        <f>194.205</f>
        <v>194.20500000000001</v>
      </c>
      <c r="D292" s="56">
        <f>267.466</f>
        <v>267.46600000000001</v>
      </c>
      <c r="E292" s="64">
        <f>133.845</f>
        <v>133.845</v>
      </c>
      <c r="F292" s="56">
        <f>278.484-40-25-60-100</f>
        <v>53.48399999999998</v>
      </c>
      <c r="G292" s="59">
        <v>40</v>
      </c>
      <c r="H292" s="56">
        <f t="shared" si="48"/>
        <v>185</v>
      </c>
      <c r="I292" s="56">
        <f t="shared" si="39"/>
        <v>0</v>
      </c>
      <c r="J292" s="59">
        <v>100</v>
      </c>
      <c r="K292" s="59">
        <v>300</v>
      </c>
      <c r="L292" s="56">
        <f t="shared" si="43"/>
        <v>1274</v>
      </c>
      <c r="M292" s="66">
        <v>600</v>
      </c>
      <c r="N292" s="56">
        <f>75</f>
        <v>75</v>
      </c>
      <c r="O292" s="59">
        <v>240</v>
      </c>
      <c r="P292" s="59">
        <v>160</v>
      </c>
      <c r="Q292" s="59">
        <f t="shared" si="44"/>
        <v>195</v>
      </c>
      <c r="R292" s="59">
        <f t="shared" si="45"/>
        <v>100</v>
      </c>
      <c r="S292" s="56">
        <f t="shared" si="46"/>
        <v>695</v>
      </c>
      <c r="T292" s="56">
        <f>50</f>
        <v>50</v>
      </c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</row>
    <row r="293" spans="1:30" ht="15.75" x14ac:dyDescent="0.25">
      <c r="A293" s="15">
        <v>50192</v>
      </c>
      <c r="B293" s="69">
        <v>30</v>
      </c>
      <c r="C293" s="56">
        <f>194.205</f>
        <v>194.20500000000001</v>
      </c>
      <c r="D293" s="56">
        <f>267.466</f>
        <v>267.46600000000001</v>
      </c>
      <c r="E293" s="64">
        <f>133.845</f>
        <v>133.845</v>
      </c>
      <c r="F293" s="56">
        <f>278.484-40-25-60-100</f>
        <v>53.48399999999998</v>
      </c>
      <c r="G293" s="59">
        <v>40</v>
      </c>
      <c r="H293" s="56">
        <f t="shared" si="48"/>
        <v>185</v>
      </c>
      <c r="I293" s="56">
        <f t="shared" si="39"/>
        <v>0</v>
      </c>
      <c r="J293" s="59">
        <v>100</v>
      </c>
      <c r="K293" s="59">
        <v>300</v>
      </c>
      <c r="L293" s="56">
        <f t="shared" si="43"/>
        <v>1274</v>
      </c>
      <c r="M293" s="66">
        <v>600</v>
      </c>
      <c r="N293" s="56">
        <f>30</f>
        <v>30</v>
      </c>
      <c r="O293" s="59">
        <v>240</v>
      </c>
      <c r="P293" s="59">
        <v>160</v>
      </c>
      <c r="Q293" s="59">
        <f t="shared" si="44"/>
        <v>195</v>
      </c>
      <c r="R293" s="59">
        <f t="shared" si="45"/>
        <v>100</v>
      </c>
      <c r="S293" s="56">
        <f t="shared" si="46"/>
        <v>695</v>
      </c>
      <c r="T293" s="56">
        <f>50</f>
        <v>50</v>
      </c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</row>
    <row r="294" spans="1:30" ht="15.75" x14ac:dyDescent="0.25">
      <c r="A294" s="15">
        <v>50222</v>
      </c>
      <c r="B294" s="69">
        <v>31</v>
      </c>
      <c r="C294" s="56">
        <f>194.205</f>
        <v>194.20500000000001</v>
      </c>
      <c r="D294" s="56">
        <f>267.466</f>
        <v>267.46600000000001</v>
      </c>
      <c r="E294" s="64">
        <f>133.845</f>
        <v>133.845</v>
      </c>
      <c r="F294" s="56">
        <f>278.484-40-25-60-100</f>
        <v>53.48399999999998</v>
      </c>
      <c r="G294" s="59">
        <v>40</v>
      </c>
      <c r="H294" s="56">
        <f t="shared" si="48"/>
        <v>185</v>
      </c>
      <c r="I294" s="56">
        <f t="shared" si="39"/>
        <v>0</v>
      </c>
      <c r="J294" s="59">
        <v>100</v>
      </c>
      <c r="K294" s="59">
        <v>300</v>
      </c>
      <c r="L294" s="56">
        <f t="shared" si="43"/>
        <v>1274</v>
      </c>
      <c r="M294" s="66">
        <v>600</v>
      </c>
      <c r="N294" s="56">
        <f>30</f>
        <v>30</v>
      </c>
      <c r="O294" s="59">
        <v>240</v>
      </c>
      <c r="P294" s="59">
        <v>160</v>
      </c>
      <c r="Q294" s="59">
        <f t="shared" si="44"/>
        <v>195</v>
      </c>
      <c r="R294" s="59">
        <f t="shared" si="45"/>
        <v>100</v>
      </c>
      <c r="S294" s="56">
        <f t="shared" si="46"/>
        <v>695</v>
      </c>
      <c r="T294" s="56">
        <f>0</f>
        <v>0</v>
      </c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</row>
    <row r="295" spans="1:30" ht="15.75" x14ac:dyDescent="0.25">
      <c r="A295" s="15">
        <v>50253</v>
      </c>
      <c r="B295" s="69">
        <v>31</v>
      </c>
      <c r="C295" s="56">
        <f>194.205</f>
        <v>194.20500000000001</v>
      </c>
      <c r="D295" s="56">
        <f>267.466</f>
        <v>267.46600000000001</v>
      </c>
      <c r="E295" s="64">
        <f>133.845</f>
        <v>133.845</v>
      </c>
      <c r="F295" s="56">
        <f>278.484-40-25-60-100</f>
        <v>53.48399999999998</v>
      </c>
      <c r="G295" s="59">
        <v>40</v>
      </c>
      <c r="H295" s="56">
        <f t="shared" si="48"/>
        <v>185</v>
      </c>
      <c r="I295" s="56">
        <f t="shared" si="39"/>
        <v>0</v>
      </c>
      <c r="J295" s="59">
        <v>100</v>
      </c>
      <c r="K295" s="59">
        <v>300</v>
      </c>
      <c r="L295" s="56">
        <f t="shared" si="43"/>
        <v>1274</v>
      </c>
      <c r="M295" s="66">
        <v>600</v>
      </c>
      <c r="N295" s="56">
        <f>30</f>
        <v>30</v>
      </c>
      <c r="O295" s="59">
        <v>240</v>
      </c>
      <c r="P295" s="59">
        <v>160</v>
      </c>
      <c r="Q295" s="59">
        <f t="shared" si="44"/>
        <v>195</v>
      </c>
      <c r="R295" s="59">
        <f t="shared" si="45"/>
        <v>100</v>
      </c>
      <c r="S295" s="56">
        <f t="shared" si="46"/>
        <v>695</v>
      </c>
      <c r="T295" s="56">
        <f>0</f>
        <v>0</v>
      </c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</row>
    <row r="296" spans="1:30" ht="15.75" x14ac:dyDescent="0.25">
      <c r="A296" s="15">
        <v>50284</v>
      </c>
      <c r="B296" s="69">
        <v>30</v>
      </c>
      <c r="C296" s="56">
        <f>194.205</f>
        <v>194.20500000000001</v>
      </c>
      <c r="D296" s="56">
        <f>267.466</f>
        <v>267.46600000000001</v>
      </c>
      <c r="E296" s="64">
        <f>133.845</f>
        <v>133.845</v>
      </c>
      <c r="F296" s="56">
        <f>278.484-40-25-60-100</f>
        <v>53.48399999999998</v>
      </c>
      <c r="G296" s="59">
        <v>40</v>
      </c>
      <c r="H296" s="56">
        <f t="shared" si="48"/>
        <v>185</v>
      </c>
      <c r="I296" s="56">
        <f t="shared" ref="I296:I359" si="49">400-J296-K296</f>
        <v>0</v>
      </c>
      <c r="J296" s="59">
        <v>100</v>
      </c>
      <c r="K296" s="59">
        <v>300</v>
      </c>
      <c r="L296" s="56">
        <f t="shared" si="43"/>
        <v>1274</v>
      </c>
      <c r="M296" s="66">
        <v>600</v>
      </c>
      <c r="N296" s="56">
        <f>30</f>
        <v>30</v>
      </c>
      <c r="O296" s="59">
        <v>240</v>
      </c>
      <c r="P296" s="59">
        <v>160</v>
      </c>
      <c r="Q296" s="59">
        <f t="shared" si="44"/>
        <v>195</v>
      </c>
      <c r="R296" s="59">
        <f t="shared" si="45"/>
        <v>100</v>
      </c>
      <c r="S296" s="56">
        <f t="shared" si="46"/>
        <v>695</v>
      </c>
      <c r="T296" s="56">
        <f>0</f>
        <v>0</v>
      </c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</row>
    <row r="297" spans="1:30" ht="15.75" x14ac:dyDescent="0.25">
      <c r="A297" s="15">
        <v>50314</v>
      </c>
      <c r="B297" s="69">
        <v>31</v>
      </c>
      <c r="C297" s="56">
        <f>131.881</f>
        <v>131.881</v>
      </c>
      <c r="D297" s="56">
        <f>277.167</f>
        <v>277.16699999999997</v>
      </c>
      <c r="E297" s="64">
        <f>79.08</f>
        <v>79.08</v>
      </c>
      <c r="F297" s="56">
        <f>350.872-40-25-60-100</f>
        <v>125.87200000000001</v>
      </c>
      <c r="G297" s="59">
        <v>40</v>
      </c>
      <c r="H297" s="56">
        <f t="shared" si="48"/>
        <v>185</v>
      </c>
      <c r="I297" s="56">
        <f t="shared" si="49"/>
        <v>0</v>
      </c>
      <c r="J297" s="59">
        <v>100</v>
      </c>
      <c r="K297" s="59">
        <v>300</v>
      </c>
      <c r="L297" s="56">
        <f t="shared" si="43"/>
        <v>1239</v>
      </c>
      <c r="M297" s="66">
        <v>600</v>
      </c>
      <c r="N297" s="56">
        <f>75</f>
        <v>75</v>
      </c>
      <c r="O297" s="59">
        <v>240</v>
      </c>
      <c r="P297" s="59">
        <v>160</v>
      </c>
      <c r="Q297" s="59">
        <f t="shared" si="44"/>
        <v>195</v>
      </c>
      <c r="R297" s="59">
        <f t="shared" si="45"/>
        <v>100</v>
      </c>
      <c r="S297" s="56">
        <f t="shared" si="46"/>
        <v>695</v>
      </c>
      <c r="T297" s="56">
        <f>0</f>
        <v>0</v>
      </c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</row>
    <row r="298" spans="1:30" ht="15.75" x14ac:dyDescent="0.25">
      <c r="A298" s="15">
        <v>50345</v>
      </c>
      <c r="B298" s="69">
        <v>30</v>
      </c>
      <c r="C298" s="56">
        <f>122.58</f>
        <v>122.58</v>
      </c>
      <c r="D298" s="56">
        <f>297.941</f>
        <v>297.94099999999997</v>
      </c>
      <c r="E298" s="64">
        <f>89.177</f>
        <v>89.177000000000007</v>
      </c>
      <c r="F298" s="56">
        <f>240.302-40-60-100</f>
        <v>40.301999999999992</v>
      </c>
      <c r="G298" s="59">
        <v>40</v>
      </c>
      <c r="H298" s="56">
        <f>60+100</f>
        <v>160</v>
      </c>
      <c r="I298" s="56">
        <f t="shared" si="49"/>
        <v>0</v>
      </c>
      <c r="J298" s="59">
        <v>100</v>
      </c>
      <c r="K298" s="59">
        <v>300</v>
      </c>
      <c r="L298" s="56">
        <f t="shared" si="43"/>
        <v>1150</v>
      </c>
      <c r="M298" s="66">
        <v>600</v>
      </c>
      <c r="N298" s="56">
        <f>100</f>
        <v>100</v>
      </c>
      <c r="O298" s="59">
        <v>240</v>
      </c>
      <c r="P298" s="59">
        <v>40</v>
      </c>
      <c r="Q298" s="59">
        <f t="shared" si="44"/>
        <v>315</v>
      </c>
      <c r="R298" s="59">
        <f t="shared" si="45"/>
        <v>100</v>
      </c>
      <c r="S298" s="56">
        <f t="shared" si="46"/>
        <v>695</v>
      </c>
      <c r="T298" s="56">
        <f>50</f>
        <v>50</v>
      </c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</row>
    <row r="299" spans="1:30" ht="15.75" x14ac:dyDescent="0.25">
      <c r="A299" s="15">
        <v>50375</v>
      </c>
      <c r="B299" s="69">
        <v>31</v>
      </c>
      <c r="C299" s="56">
        <f>122.58</f>
        <v>122.58</v>
      </c>
      <c r="D299" s="56">
        <f>297.941</f>
        <v>297.94099999999997</v>
      </c>
      <c r="E299" s="64">
        <f>89.177</f>
        <v>89.177000000000007</v>
      </c>
      <c r="F299" s="56">
        <f>240.302-40-60-100</f>
        <v>40.301999999999992</v>
      </c>
      <c r="G299" s="59">
        <v>40</v>
      </c>
      <c r="H299" s="56">
        <f>60+100</f>
        <v>160</v>
      </c>
      <c r="I299" s="56">
        <f t="shared" si="49"/>
        <v>0</v>
      </c>
      <c r="J299" s="59">
        <v>100</v>
      </c>
      <c r="K299" s="59">
        <v>300</v>
      </c>
      <c r="L299" s="56">
        <f t="shared" si="43"/>
        <v>1150</v>
      </c>
      <c r="M299" s="66">
        <v>600</v>
      </c>
      <c r="N299" s="56">
        <f>100</f>
        <v>100</v>
      </c>
      <c r="O299" s="59">
        <v>240</v>
      </c>
      <c r="P299" s="59">
        <v>40</v>
      </c>
      <c r="Q299" s="59">
        <f t="shared" si="44"/>
        <v>315</v>
      </c>
      <c r="R299" s="59">
        <f t="shared" si="45"/>
        <v>100</v>
      </c>
      <c r="S299" s="56">
        <f t="shared" si="46"/>
        <v>695</v>
      </c>
      <c r="T299" s="56">
        <f>50</f>
        <v>50</v>
      </c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</row>
    <row r="300" spans="1:30" ht="15.75" x14ac:dyDescent="0.25">
      <c r="A300" s="14">
        <v>50436</v>
      </c>
      <c r="B300" s="68">
        <v>31</v>
      </c>
      <c r="C300" s="56">
        <f>122.58</f>
        <v>122.58</v>
      </c>
      <c r="D300" s="56">
        <f>297.941</f>
        <v>297.94099999999997</v>
      </c>
      <c r="E300" s="64">
        <f>89.177</f>
        <v>89.177000000000007</v>
      </c>
      <c r="F300" s="56">
        <f>240.302-40-60-100</f>
        <v>40.301999999999992</v>
      </c>
      <c r="G300" s="59">
        <v>40</v>
      </c>
      <c r="H300" s="56">
        <f>60+100</f>
        <v>160</v>
      </c>
      <c r="I300" s="56">
        <f t="shared" si="49"/>
        <v>0</v>
      </c>
      <c r="J300" s="59">
        <v>100</v>
      </c>
      <c r="K300" s="59">
        <v>300</v>
      </c>
      <c r="L300" s="56">
        <f t="shared" si="43"/>
        <v>1150</v>
      </c>
      <c r="M300" s="66">
        <v>600</v>
      </c>
      <c r="N300" s="56">
        <f>100</f>
        <v>100</v>
      </c>
      <c r="O300" s="59">
        <v>240</v>
      </c>
      <c r="P300" s="59">
        <v>40</v>
      </c>
      <c r="Q300" s="59">
        <f t="shared" si="44"/>
        <v>315</v>
      </c>
      <c r="R300" s="59">
        <f t="shared" si="45"/>
        <v>100</v>
      </c>
      <c r="S300" s="56">
        <f t="shared" si="46"/>
        <v>695</v>
      </c>
      <c r="T300" s="56">
        <f>50</f>
        <v>50</v>
      </c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</row>
    <row r="301" spans="1:30" ht="15.75" x14ac:dyDescent="0.25">
      <c r="A301" s="14">
        <v>50464</v>
      </c>
      <c r="B301" s="68">
        <v>28</v>
      </c>
      <c r="C301" s="56">
        <f>122.58</f>
        <v>122.58</v>
      </c>
      <c r="D301" s="56">
        <f>297.941</f>
        <v>297.94099999999997</v>
      </c>
      <c r="E301" s="64">
        <f>89.177</f>
        <v>89.177000000000007</v>
      </c>
      <c r="F301" s="56">
        <f>240.302-40-60-100</f>
        <v>40.301999999999992</v>
      </c>
      <c r="G301" s="59">
        <v>40</v>
      </c>
      <c r="H301" s="56">
        <f>60+100</f>
        <v>160</v>
      </c>
      <c r="I301" s="56">
        <f t="shared" si="49"/>
        <v>0</v>
      </c>
      <c r="J301" s="59">
        <v>100</v>
      </c>
      <c r="K301" s="59">
        <v>300</v>
      </c>
      <c r="L301" s="56">
        <f t="shared" si="43"/>
        <v>1150</v>
      </c>
      <c r="M301" s="66">
        <v>600</v>
      </c>
      <c r="N301" s="56">
        <f>100</f>
        <v>100</v>
      </c>
      <c r="O301" s="59">
        <v>240</v>
      </c>
      <c r="P301" s="59">
        <v>40</v>
      </c>
      <c r="Q301" s="59">
        <f t="shared" si="44"/>
        <v>315</v>
      </c>
      <c r="R301" s="59">
        <f t="shared" si="45"/>
        <v>100</v>
      </c>
      <c r="S301" s="56">
        <f t="shared" si="46"/>
        <v>695</v>
      </c>
      <c r="T301" s="56">
        <f>50</f>
        <v>50</v>
      </c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</row>
    <row r="302" spans="1:30" ht="15.75" x14ac:dyDescent="0.25">
      <c r="A302" s="14">
        <v>50495</v>
      </c>
      <c r="B302" s="68">
        <v>31</v>
      </c>
      <c r="C302" s="56">
        <f>122.58</f>
        <v>122.58</v>
      </c>
      <c r="D302" s="56">
        <f>297.941</f>
        <v>297.94099999999997</v>
      </c>
      <c r="E302" s="64">
        <f>89.177</f>
        <v>89.177000000000007</v>
      </c>
      <c r="F302" s="56">
        <f>240.302-40-60-100</f>
        <v>40.301999999999992</v>
      </c>
      <c r="G302" s="59">
        <v>40</v>
      </c>
      <c r="H302" s="56">
        <f>60+100</f>
        <v>160</v>
      </c>
      <c r="I302" s="56">
        <f t="shared" si="49"/>
        <v>0</v>
      </c>
      <c r="J302" s="59">
        <v>100</v>
      </c>
      <c r="K302" s="59">
        <v>300</v>
      </c>
      <c r="L302" s="56">
        <f t="shared" si="43"/>
        <v>1150</v>
      </c>
      <c r="M302" s="66">
        <v>600</v>
      </c>
      <c r="N302" s="56">
        <f>100</f>
        <v>100</v>
      </c>
      <c r="O302" s="59">
        <v>240</v>
      </c>
      <c r="P302" s="59">
        <v>40</v>
      </c>
      <c r="Q302" s="59">
        <f t="shared" si="44"/>
        <v>315</v>
      </c>
      <c r="R302" s="59">
        <f t="shared" si="45"/>
        <v>100</v>
      </c>
      <c r="S302" s="56">
        <f t="shared" si="46"/>
        <v>695</v>
      </c>
      <c r="T302" s="56">
        <f>50</f>
        <v>50</v>
      </c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</row>
    <row r="303" spans="1:30" ht="15.75" x14ac:dyDescent="0.25">
      <c r="A303" s="14">
        <v>50525</v>
      </c>
      <c r="B303" s="68">
        <v>30</v>
      </c>
      <c r="C303" s="56">
        <f>141.293</f>
        <v>141.29300000000001</v>
      </c>
      <c r="D303" s="56">
        <f>267.993</f>
        <v>267.99299999999999</v>
      </c>
      <c r="E303" s="64">
        <f>115.016</f>
        <v>115.01600000000001</v>
      </c>
      <c r="F303" s="56">
        <f>314.698-40-25-60-100</f>
        <v>89.697999999999979</v>
      </c>
      <c r="G303" s="59">
        <v>40</v>
      </c>
      <c r="H303" s="56">
        <f t="shared" ref="H303:H309" si="50">25+60+100</f>
        <v>185</v>
      </c>
      <c r="I303" s="56">
        <f t="shared" si="49"/>
        <v>0</v>
      </c>
      <c r="J303" s="59">
        <v>100</v>
      </c>
      <c r="K303" s="59">
        <v>300</v>
      </c>
      <c r="L303" s="56">
        <f t="shared" si="43"/>
        <v>1239</v>
      </c>
      <c r="M303" s="66">
        <v>600</v>
      </c>
      <c r="N303" s="56">
        <f>100</f>
        <v>100</v>
      </c>
      <c r="O303" s="59">
        <v>240</v>
      </c>
      <c r="P303" s="59">
        <v>160</v>
      </c>
      <c r="Q303" s="59">
        <f t="shared" si="44"/>
        <v>195</v>
      </c>
      <c r="R303" s="59">
        <f t="shared" si="45"/>
        <v>100</v>
      </c>
      <c r="S303" s="56">
        <f t="shared" si="46"/>
        <v>695</v>
      </c>
      <c r="T303" s="56">
        <f>50</f>
        <v>50</v>
      </c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</row>
    <row r="304" spans="1:30" ht="15.75" x14ac:dyDescent="0.25">
      <c r="A304" s="14">
        <v>50556</v>
      </c>
      <c r="B304" s="68">
        <v>31</v>
      </c>
      <c r="C304" s="56">
        <f>194.205</f>
        <v>194.20500000000001</v>
      </c>
      <c r="D304" s="56">
        <f>267.466</f>
        <v>267.46600000000001</v>
      </c>
      <c r="E304" s="64">
        <f>133.845</f>
        <v>133.845</v>
      </c>
      <c r="F304" s="56">
        <f>278.484-40-25-60-100</f>
        <v>53.48399999999998</v>
      </c>
      <c r="G304" s="59">
        <v>40</v>
      </c>
      <c r="H304" s="56">
        <f t="shared" si="50"/>
        <v>185</v>
      </c>
      <c r="I304" s="56">
        <f t="shared" si="49"/>
        <v>0</v>
      </c>
      <c r="J304" s="59">
        <v>100</v>
      </c>
      <c r="K304" s="59">
        <v>300</v>
      </c>
      <c r="L304" s="56">
        <f t="shared" si="43"/>
        <v>1274</v>
      </c>
      <c r="M304" s="66">
        <v>600</v>
      </c>
      <c r="N304" s="56">
        <f>75</f>
        <v>75</v>
      </c>
      <c r="O304" s="59">
        <v>240</v>
      </c>
      <c r="P304" s="59">
        <v>160</v>
      </c>
      <c r="Q304" s="59">
        <f t="shared" si="44"/>
        <v>195</v>
      </c>
      <c r="R304" s="59">
        <f t="shared" si="45"/>
        <v>100</v>
      </c>
      <c r="S304" s="56">
        <f t="shared" si="46"/>
        <v>695</v>
      </c>
      <c r="T304" s="56">
        <f>50</f>
        <v>50</v>
      </c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</row>
    <row r="305" spans="1:30" ht="15.75" x14ac:dyDescent="0.25">
      <c r="A305" s="14">
        <v>50586</v>
      </c>
      <c r="B305" s="68">
        <v>30</v>
      </c>
      <c r="C305" s="56">
        <f>194.205</f>
        <v>194.20500000000001</v>
      </c>
      <c r="D305" s="56">
        <f>267.466</f>
        <v>267.46600000000001</v>
      </c>
      <c r="E305" s="64">
        <f>133.845</f>
        <v>133.845</v>
      </c>
      <c r="F305" s="56">
        <f>278.484-40-25-60-100</f>
        <v>53.48399999999998</v>
      </c>
      <c r="G305" s="59">
        <v>40</v>
      </c>
      <c r="H305" s="56">
        <f t="shared" si="50"/>
        <v>185</v>
      </c>
      <c r="I305" s="56">
        <f t="shared" si="49"/>
        <v>0</v>
      </c>
      <c r="J305" s="59">
        <v>100</v>
      </c>
      <c r="K305" s="59">
        <v>300</v>
      </c>
      <c r="L305" s="56">
        <f t="shared" si="43"/>
        <v>1274</v>
      </c>
      <c r="M305" s="66">
        <v>600</v>
      </c>
      <c r="N305" s="56">
        <f>30</f>
        <v>30</v>
      </c>
      <c r="O305" s="59">
        <v>240</v>
      </c>
      <c r="P305" s="59">
        <v>160</v>
      </c>
      <c r="Q305" s="59">
        <f t="shared" si="44"/>
        <v>195</v>
      </c>
      <c r="R305" s="59">
        <f t="shared" si="45"/>
        <v>100</v>
      </c>
      <c r="S305" s="56">
        <f t="shared" si="46"/>
        <v>695</v>
      </c>
      <c r="T305" s="56">
        <f>50</f>
        <v>50</v>
      </c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</row>
    <row r="306" spans="1:30" ht="15.75" x14ac:dyDescent="0.25">
      <c r="A306" s="14">
        <v>50617</v>
      </c>
      <c r="B306" s="68">
        <v>31</v>
      </c>
      <c r="C306" s="56">
        <f>194.205</f>
        <v>194.20500000000001</v>
      </c>
      <c r="D306" s="56">
        <f>267.466</f>
        <v>267.46600000000001</v>
      </c>
      <c r="E306" s="64">
        <f>133.845</f>
        <v>133.845</v>
      </c>
      <c r="F306" s="56">
        <f>278.484-40-25-60-100</f>
        <v>53.48399999999998</v>
      </c>
      <c r="G306" s="59">
        <v>40</v>
      </c>
      <c r="H306" s="56">
        <f t="shared" si="50"/>
        <v>185</v>
      </c>
      <c r="I306" s="56">
        <f t="shared" si="49"/>
        <v>0</v>
      </c>
      <c r="J306" s="59">
        <v>100</v>
      </c>
      <c r="K306" s="59">
        <v>300</v>
      </c>
      <c r="L306" s="56">
        <f t="shared" si="43"/>
        <v>1274</v>
      </c>
      <c r="M306" s="66">
        <v>600</v>
      </c>
      <c r="N306" s="56">
        <f>30</f>
        <v>30</v>
      </c>
      <c r="O306" s="59">
        <v>240</v>
      </c>
      <c r="P306" s="59">
        <v>160</v>
      </c>
      <c r="Q306" s="59">
        <f t="shared" si="44"/>
        <v>195</v>
      </c>
      <c r="R306" s="59">
        <f t="shared" si="45"/>
        <v>100</v>
      </c>
      <c r="S306" s="56">
        <f t="shared" si="46"/>
        <v>695</v>
      </c>
      <c r="T306" s="56">
        <f>0</f>
        <v>0</v>
      </c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</row>
    <row r="307" spans="1:30" ht="15.75" x14ac:dyDescent="0.25">
      <c r="A307" s="14">
        <v>50648</v>
      </c>
      <c r="B307" s="68">
        <v>31</v>
      </c>
      <c r="C307" s="56">
        <f>194.205</f>
        <v>194.20500000000001</v>
      </c>
      <c r="D307" s="56">
        <f>267.466</f>
        <v>267.46600000000001</v>
      </c>
      <c r="E307" s="64">
        <f>133.845</f>
        <v>133.845</v>
      </c>
      <c r="F307" s="56">
        <f>278.484-40-25-60-100</f>
        <v>53.48399999999998</v>
      </c>
      <c r="G307" s="59">
        <v>40</v>
      </c>
      <c r="H307" s="56">
        <f t="shared" si="50"/>
        <v>185</v>
      </c>
      <c r="I307" s="56">
        <f t="shared" si="49"/>
        <v>0</v>
      </c>
      <c r="J307" s="59">
        <v>100</v>
      </c>
      <c r="K307" s="59">
        <v>300</v>
      </c>
      <c r="L307" s="56">
        <f t="shared" si="43"/>
        <v>1274</v>
      </c>
      <c r="M307" s="66">
        <v>600</v>
      </c>
      <c r="N307" s="56">
        <f>30</f>
        <v>30</v>
      </c>
      <c r="O307" s="59">
        <v>240</v>
      </c>
      <c r="P307" s="59">
        <v>160</v>
      </c>
      <c r="Q307" s="59">
        <f t="shared" si="44"/>
        <v>195</v>
      </c>
      <c r="R307" s="59">
        <f t="shared" si="45"/>
        <v>100</v>
      </c>
      <c r="S307" s="56">
        <f t="shared" si="46"/>
        <v>695</v>
      </c>
      <c r="T307" s="56">
        <f>0</f>
        <v>0</v>
      </c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</row>
    <row r="308" spans="1:30" ht="15.75" x14ac:dyDescent="0.25">
      <c r="A308" s="14">
        <v>50678</v>
      </c>
      <c r="B308" s="68">
        <v>30</v>
      </c>
      <c r="C308" s="56">
        <f>194.205</f>
        <v>194.20500000000001</v>
      </c>
      <c r="D308" s="56">
        <f>267.466</f>
        <v>267.46600000000001</v>
      </c>
      <c r="E308" s="64">
        <f>133.845</f>
        <v>133.845</v>
      </c>
      <c r="F308" s="56">
        <f>278.484-40-25-60-100</f>
        <v>53.48399999999998</v>
      </c>
      <c r="G308" s="59">
        <v>40</v>
      </c>
      <c r="H308" s="56">
        <f t="shared" si="50"/>
        <v>185</v>
      </c>
      <c r="I308" s="56">
        <f t="shared" si="49"/>
        <v>0</v>
      </c>
      <c r="J308" s="59">
        <v>100</v>
      </c>
      <c r="K308" s="59">
        <v>300</v>
      </c>
      <c r="L308" s="56">
        <f t="shared" si="43"/>
        <v>1274</v>
      </c>
      <c r="M308" s="66">
        <v>600</v>
      </c>
      <c r="N308" s="56">
        <f>30</f>
        <v>30</v>
      </c>
      <c r="O308" s="59">
        <v>240</v>
      </c>
      <c r="P308" s="59">
        <v>160</v>
      </c>
      <c r="Q308" s="59">
        <f t="shared" si="44"/>
        <v>195</v>
      </c>
      <c r="R308" s="59">
        <f t="shared" si="45"/>
        <v>100</v>
      </c>
      <c r="S308" s="56">
        <f t="shared" si="46"/>
        <v>695</v>
      </c>
      <c r="T308" s="56">
        <f>0</f>
        <v>0</v>
      </c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</row>
    <row r="309" spans="1:30" ht="15.75" x14ac:dyDescent="0.25">
      <c r="A309" s="14">
        <v>50709</v>
      </c>
      <c r="B309" s="68">
        <v>31</v>
      </c>
      <c r="C309" s="56">
        <f>131.881</f>
        <v>131.881</v>
      </c>
      <c r="D309" s="56">
        <f>277.167</f>
        <v>277.16699999999997</v>
      </c>
      <c r="E309" s="64">
        <f>79.08</f>
        <v>79.08</v>
      </c>
      <c r="F309" s="56">
        <f>350.872-40-25-60-100</f>
        <v>125.87200000000001</v>
      </c>
      <c r="G309" s="59">
        <v>40</v>
      </c>
      <c r="H309" s="56">
        <f t="shared" si="50"/>
        <v>185</v>
      </c>
      <c r="I309" s="56">
        <f t="shared" si="49"/>
        <v>0</v>
      </c>
      <c r="J309" s="59">
        <v>100</v>
      </c>
      <c r="K309" s="59">
        <v>300</v>
      </c>
      <c r="L309" s="56">
        <f t="shared" si="43"/>
        <v>1239</v>
      </c>
      <c r="M309" s="66">
        <v>600</v>
      </c>
      <c r="N309" s="56">
        <f>75</f>
        <v>75</v>
      </c>
      <c r="O309" s="59">
        <v>240</v>
      </c>
      <c r="P309" s="59">
        <v>160</v>
      </c>
      <c r="Q309" s="59">
        <f t="shared" si="44"/>
        <v>195</v>
      </c>
      <c r="R309" s="59">
        <f t="shared" si="45"/>
        <v>100</v>
      </c>
      <c r="S309" s="56">
        <f t="shared" si="46"/>
        <v>695</v>
      </c>
      <c r="T309" s="56">
        <f>0</f>
        <v>0</v>
      </c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</row>
    <row r="310" spans="1:30" ht="15.75" x14ac:dyDescent="0.25">
      <c r="A310" s="14">
        <v>50739</v>
      </c>
      <c r="B310" s="68">
        <v>30</v>
      </c>
      <c r="C310" s="56">
        <f>122.58</f>
        <v>122.58</v>
      </c>
      <c r="D310" s="56">
        <f>297.941</f>
        <v>297.94099999999997</v>
      </c>
      <c r="E310" s="64">
        <f>89.177</f>
        <v>89.177000000000007</v>
      </c>
      <c r="F310" s="56">
        <f>240.302-40-60-100</f>
        <v>40.301999999999992</v>
      </c>
      <c r="G310" s="59">
        <v>40</v>
      </c>
      <c r="H310" s="56">
        <f>60+100</f>
        <v>160</v>
      </c>
      <c r="I310" s="56">
        <f t="shared" si="49"/>
        <v>0</v>
      </c>
      <c r="J310" s="59">
        <v>100</v>
      </c>
      <c r="K310" s="59">
        <v>300</v>
      </c>
      <c r="L310" s="56">
        <f t="shared" si="43"/>
        <v>1150</v>
      </c>
      <c r="M310" s="66">
        <v>600</v>
      </c>
      <c r="N310" s="56">
        <f>100</f>
        <v>100</v>
      </c>
      <c r="O310" s="59">
        <v>240</v>
      </c>
      <c r="P310" s="59">
        <v>40</v>
      </c>
      <c r="Q310" s="59">
        <f t="shared" si="44"/>
        <v>315</v>
      </c>
      <c r="R310" s="59">
        <f t="shared" si="45"/>
        <v>100</v>
      </c>
      <c r="S310" s="56">
        <f t="shared" si="46"/>
        <v>695</v>
      </c>
      <c r="T310" s="56">
        <f>50</f>
        <v>50</v>
      </c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</row>
    <row r="311" spans="1:30" ht="15.75" x14ac:dyDescent="0.25">
      <c r="A311" s="14">
        <v>50770</v>
      </c>
      <c r="B311" s="68">
        <v>31</v>
      </c>
      <c r="C311" s="56">
        <f>122.58</f>
        <v>122.58</v>
      </c>
      <c r="D311" s="56">
        <f>297.941</f>
        <v>297.94099999999997</v>
      </c>
      <c r="E311" s="64">
        <f>89.177</f>
        <v>89.177000000000007</v>
      </c>
      <c r="F311" s="56">
        <f>240.302-40-60-100</f>
        <v>40.301999999999992</v>
      </c>
      <c r="G311" s="59">
        <v>40</v>
      </c>
      <c r="H311" s="56">
        <f>60+100</f>
        <v>160</v>
      </c>
      <c r="I311" s="56">
        <f t="shared" si="49"/>
        <v>0</v>
      </c>
      <c r="J311" s="59">
        <v>100</v>
      </c>
      <c r="K311" s="59">
        <v>300</v>
      </c>
      <c r="L311" s="56">
        <f t="shared" si="43"/>
        <v>1150</v>
      </c>
      <c r="M311" s="66">
        <v>600</v>
      </c>
      <c r="N311" s="56">
        <f>100</f>
        <v>100</v>
      </c>
      <c r="O311" s="59">
        <v>240</v>
      </c>
      <c r="P311" s="59">
        <v>40</v>
      </c>
      <c r="Q311" s="59">
        <f t="shared" si="44"/>
        <v>315</v>
      </c>
      <c r="R311" s="59">
        <f t="shared" si="45"/>
        <v>100</v>
      </c>
      <c r="S311" s="56">
        <f t="shared" si="46"/>
        <v>695</v>
      </c>
      <c r="T311" s="56">
        <f>50</f>
        <v>50</v>
      </c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</row>
    <row r="312" spans="1:30" ht="15.75" x14ac:dyDescent="0.25">
      <c r="A312" s="14">
        <v>50801</v>
      </c>
      <c r="B312" s="68">
        <v>31</v>
      </c>
      <c r="C312" s="56">
        <f>122.58</f>
        <v>122.58</v>
      </c>
      <c r="D312" s="56">
        <f>297.941</f>
        <v>297.94099999999997</v>
      </c>
      <c r="E312" s="64">
        <f>89.177</f>
        <v>89.177000000000007</v>
      </c>
      <c r="F312" s="56">
        <f>240.302-40-60-100</f>
        <v>40.301999999999992</v>
      </c>
      <c r="G312" s="59">
        <v>40</v>
      </c>
      <c r="H312" s="56">
        <f>60+100</f>
        <v>160</v>
      </c>
      <c r="I312" s="56">
        <f t="shared" si="49"/>
        <v>0</v>
      </c>
      <c r="J312" s="59">
        <v>100</v>
      </c>
      <c r="K312" s="59">
        <v>300</v>
      </c>
      <c r="L312" s="56">
        <f t="shared" si="43"/>
        <v>1150</v>
      </c>
      <c r="M312" s="66">
        <v>600</v>
      </c>
      <c r="N312" s="56">
        <f>100</f>
        <v>100</v>
      </c>
      <c r="O312" s="59">
        <v>240</v>
      </c>
      <c r="P312" s="59">
        <v>40</v>
      </c>
      <c r="Q312" s="59">
        <f t="shared" si="44"/>
        <v>315</v>
      </c>
      <c r="R312" s="59">
        <f t="shared" si="45"/>
        <v>100</v>
      </c>
      <c r="S312" s="56">
        <f t="shared" si="46"/>
        <v>695</v>
      </c>
      <c r="T312" s="56">
        <f>50</f>
        <v>50</v>
      </c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</row>
    <row r="313" spans="1:30" ht="15.75" x14ac:dyDescent="0.25">
      <c r="A313" s="14">
        <v>50829</v>
      </c>
      <c r="B313" s="68">
        <v>28</v>
      </c>
      <c r="C313" s="56">
        <f>122.58</f>
        <v>122.58</v>
      </c>
      <c r="D313" s="56">
        <f>297.941</f>
        <v>297.94099999999997</v>
      </c>
      <c r="E313" s="64">
        <f>89.177</f>
        <v>89.177000000000007</v>
      </c>
      <c r="F313" s="56">
        <f>240.302-40-60-100</f>
        <v>40.301999999999992</v>
      </c>
      <c r="G313" s="59">
        <v>40</v>
      </c>
      <c r="H313" s="56">
        <f>60+100</f>
        <v>160</v>
      </c>
      <c r="I313" s="56">
        <f t="shared" si="49"/>
        <v>0</v>
      </c>
      <c r="J313" s="59">
        <v>100</v>
      </c>
      <c r="K313" s="59">
        <v>300</v>
      </c>
      <c r="L313" s="56">
        <f t="shared" si="43"/>
        <v>1150</v>
      </c>
      <c r="M313" s="66">
        <v>600</v>
      </c>
      <c r="N313" s="56">
        <f>100</f>
        <v>100</v>
      </c>
      <c r="O313" s="59">
        <v>240</v>
      </c>
      <c r="P313" s="59">
        <v>40</v>
      </c>
      <c r="Q313" s="59">
        <f t="shared" si="44"/>
        <v>315</v>
      </c>
      <c r="R313" s="59">
        <f t="shared" si="45"/>
        <v>100</v>
      </c>
      <c r="S313" s="56">
        <f t="shared" si="46"/>
        <v>695</v>
      </c>
      <c r="T313" s="56">
        <f>50</f>
        <v>50</v>
      </c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</row>
    <row r="314" spans="1:30" ht="15.75" x14ac:dyDescent="0.25">
      <c r="A314" s="14">
        <v>50860</v>
      </c>
      <c r="B314" s="68">
        <v>31</v>
      </c>
      <c r="C314" s="56">
        <f>122.58</f>
        <v>122.58</v>
      </c>
      <c r="D314" s="56">
        <f>297.941</f>
        <v>297.94099999999997</v>
      </c>
      <c r="E314" s="64">
        <f>89.177</f>
        <v>89.177000000000007</v>
      </c>
      <c r="F314" s="56">
        <f>240.302-40-60-100</f>
        <v>40.301999999999992</v>
      </c>
      <c r="G314" s="59">
        <v>40</v>
      </c>
      <c r="H314" s="56">
        <f>60+100</f>
        <v>160</v>
      </c>
      <c r="I314" s="56">
        <f t="shared" si="49"/>
        <v>0</v>
      </c>
      <c r="J314" s="59">
        <v>100</v>
      </c>
      <c r="K314" s="59">
        <v>300</v>
      </c>
      <c r="L314" s="56">
        <f t="shared" si="43"/>
        <v>1150</v>
      </c>
      <c r="M314" s="66">
        <v>600</v>
      </c>
      <c r="N314" s="56">
        <f>100</f>
        <v>100</v>
      </c>
      <c r="O314" s="59">
        <v>240</v>
      </c>
      <c r="P314" s="59">
        <v>40</v>
      </c>
      <c r="Q314" s="59">
        <f t="shared" si="44"/>
        <v>315</v>
      </c>
      <c r="R314" s="59">
        <f t="shared" si="45"/>
        <v>100</v>
      </c>
      <c r="S314" s="56">
        <f t="shared" si="46"/>
        <v>695</v>
      </c>
      <c r="T314" s="56">
        <f>50</f>
        <v>50</v>
      </c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</row>
    <row r="315" spans="1:30" ht="15.75" x14ac:dyDescent="0.25">
      <c r="A315" s="14">
        <v>50890</v>
      </c>
      <c r="B315" s="68">
        <v>30</v>
      </c>
      <c r="C315" s="56">
        <f>141.293</f>
        <v>141.29300000000001</v>
      </c>
      <c r="D315" s="56">
        <f>267.993</f>
        <v>267.99299999999999</v>
      </c>
      <c r="E315" s="64">
        <f>115.016</f>
        <v>115.01600000000001</v>
      </c>
      <c r="F315" s="56">
        <f>314.698-40-25-60-100</f>
        <v>89.697999999999979</v>
      </c>
      <c r="G315" s="59">
        <v>40</v>
      </c>
      <c r="H315" s="56">
        <f t="shared" ref="H315:H321" si="51">25+60+100</f>
        <v>185</v>
      </c>
      <c r="I315" s="56">
        <f t="shared" si="49"/>
        <v>0</v>
      </c>
      <c r="J315" s="59">
        <v>100</v>
      </c>
      <c r="K315" s="59">
        <v>300</v>
      </c>
      <c r="L315" s="56">
        <f t="shared" si="43"/>
        <v>1239</v>
      </c>
      <c r="M315" s="66">
        <v>600</v>
      </c>
      <c r="N315" s="56">
        <f>100</f>
        <v>100</v>
      </c>
      <c r="O315" s="59">
        <v>240</v>
      </c>
      <c r="P315" s="59">
        <v>160</v>
      </c>
      <c r="Q315" s="59">
        <f t="shared" si="44"/>
        <v>195</v>
      </c>
      <c r="R315" s="59">
        <f t="shared" si="45"/>
        <v>100</v>
      </c>
      <c r="S315" s="56">
        <f t="shared" si="46"/>
        <v>695</v>
      </c>
      <c r="T315" s="56">
        <f>50</f>
        <v>50</v>
      </c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</row>
    <row r="316" spans="1:30" ht="15.75" x14ac:dyDescent="0.25">
      <c r="A316" s="14">
        <v>50921</v>
      </c>
      <c r="B316" s="68">
        <v>31</v>
      </c>
      <c r="C316" s="56">
        <f>194.205</f>
        <v>194.20500000000001</v>
      </c>
      <c r="D316" s="56">
        <f>267.466</f>
        <v>267.46600000000001</v>
      </c>
      <c r="E316" s="64">
        <f>133.845</f>
        <v>133.845</v>
      </c>
      <c r="F316" s="56">
        <f>278.484-40-25-60-100</f>
        <v>53.48399999999998</v>
      </c>
      <c r="G316" s="59">
        <v>40</v>
      </c>
      <c r="H316" s="56">
        <f t="shared" si="51"/>
        <v>185</v>
      </c>
      <c r="I316" s="56">
        <f t="shared" si="49"/>
        <v>0</v>
      </c>
      <c r="J316" s="59">
        <v>100</v>
      </c>
      <c r="K316" s="59">
        <v>300</v>
      </c>
      <c r="L316" s="56">
        <f t="shared" si="43"/>
        <v>1274</v>
      </c>
      <c r="M316" s="66">
        <v>600</v>
      </c>
      <c r="N316" s="56">
        <f>75</f>
        <v>75</v>
      </c>
      <c r="O316" s="59">
        <v>240</v>
      </c>
      <c r="P316" s="59">
        <v>160</v>
      </c>
      <c r="Q316" s="59">
        <f t="shared" si="44"/>
        <v>195</v>
      </c>
      <c r="R316" s="59">
        <f t="shared" si="45"/>
        <v>100</v>
      </c>
      <c r="S316" s="56">
        <f t="shared" si="46"/>
        <v>695</v>
      </c>
      <c r="T316" s="56">
        <f>50</f>
        <v>50</v>
      </c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</row>
    <row r="317" spans="1:30" ht="15.75" x14ac:dyDescent="0.25">
      <c r="A317" s="14">
        <v>50951</v>
      </c>
      <c r="B317" s="68">
        <v>30</v>
      </c>
      <c r="C317" s="56">
        <f>194.205</f>
        <v>194.20500000000001</v>
      </c>
      <c r="D317" s="56">
        <f>267.466</f>
        <v>267.46600000000001</v>
      </c>
      <c r="E317" s="64">
        <f>133.845</f>
        <v>133.845</v>
      </c>
      <c r="F317" s="56">
        <f>278.484-40-25-60-100</f>
        <v>53.48399999999998</v>
      </c>
      <c r="G317" s="59">
        <v>40</v>
      </c>
      <c r="H317" s="56">
        <f t="shared" si="51"/>
        <v>185</v>
      </c>
      <c r="I317" s="56">
        <f t="shared" si="49"/>
        <v>0</v>
      </c>
      <c r="J317" s="59">
        <v>100</v>
      </c>
      <c r="K317" s="59">
        <v>300</v>
      </c>
      <c r="L317" s="56">
        <f t="shared" si="43"/>
        <v>1274</v>
      </c>
      <c r="M317" s="66">
        <v>600</v>
      </c>
      <c r="N317" s="56">
        <f>30</f>
        <v>30</v>
      </c>
      <c r="O317" s="59">
        <v>240</v>
      </c>
      <c r="P317" s="59">
        <v>160</v>
      </c>
      <c r="Q317" s="59">
        <f t="shared" si="44"/>
        <v>195</v>
      </c>
      <c r="R317" s="59">
        <f t="shared" si="45"/>
        <v>100</v>
      </c>
      <c r="S317" s="56">
        <f t="shared" si="46"/>
        <v>695</v>
      </c>
      <c r="T317" s="56">
        <f>50</f>
        <v>50</v>
      </c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</row>
    <row r="318" spans="1:30" ht="15.75" x14ac:dyDescent="0.25">
      <c r="A318" s="14">
        <v>50982</v>
      </c>
      <c r="B318" s="68">
        <v>31</v>
      </c>
      <c r="C318" s="56">
        <f>194.205</f>
        <v>194.20500000000001</v>
      </c>
      <c r="D318" s="56">
        <f>267.466</f>
        <v>267.46600000000001</v>
      </c>
      <c r="E318" s="64">
        <f>133.845</f>
        <v>133.845</v>
      </c>
      <c r="F318" s="56">
        <f>278.484-40-25-60-100</f>
        <v>53.48399999999998</v>
      </c>
      <c r="G318" s="59">
        <v>40</v>
      </c>
      <c r="H318" s="56">
        <f t="shared" si="51"/>
        <v>185</v>
      </c>
      <c r="I318" s="56">
        <f t="shared" si="49"/>
        <v>0</v>
      </c>
      <c r="J318" s="59">
        <v>100</v>
      </c>
      <c r="K318" s="59">
        <v>300</v>
      </c>
      <c r="L318" s="56">
        <f t="shared" si="43"/>
        <v>1274</v>
      </c>
      <c r="M318" s="66">
        <v>600</v>
      </c>
      <c r="N318" s="56">
        <f>30</f>
        <v>30</v>
      </c>
      <c r="O318" s="59">
        <v>240</v>
      </c>
      <c r="P318" s="59">
        <v>160</v>
      </c>
      <c r="Q318" s="59">
        <f t="shared" si="44"/>
        <v>195</v>
      </c>
      <c r="R318" s="59">
        <f t="shared" si="45"/>
        <v>100</v>
      </c>
      <c r="S318" s="56">
        <f t="shared" si="46"/>
        <v>695</v>
      </c>
      <c r="T318" s="56">
        <f>0</f>
        <v>0</v>
      </c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</row>
    <row r="319" spans="1:30" ht="15.75" x14ac:dyDescent="0.25">
      <c r="A319" s="14">
        <v>51013</v>
      </c>
      <c r="B319" s="68">
        <v>31</v>
      </c>
      <c r="C319" s="56">
        <f>194.205</f>
        <v>194.20500000000001</v>
      </c>
      <c r="D319" s="56">
        <f>267.466</f>
        <v>267.46600000000001</v>
      </c>
      <c r="E319" s="64">
        <f>133.845</f>
        <v>133.845</v>
      </c>
      <c r="F319" s="56">
        <f>278.484-40-25-60-100</f>
        <v>53.48399999999998</v>
      </c>
      <c r="G319" s="59">
        <v>40</v>
      </c>
      <c r="H319" s="56">
        <f t="shared" si="51"/>
        <v>185</v>
      </c>
      <c r="I319" s="56">
        <f t="shared" si="49"/>
        <v>0</v>
      </c>
      <c r="J319" s="59">
        <v>100</v>
      </c>
      <c r="K319" s="59">
        <v>300</v>
      </c>
      <c r="L319" s="56">
        <f t="shared" si="43"/>
        <v>1274</v>
      </c>
      <c r="M319" s="66">
        <v>600</v>
      </c>
      <c r="N319" s="56">
        <f>30</f>
        <v>30</v>
      </c>
      <c r="O319" s="59">
        <v>240</v>
      </c>
      <c r="P319" s="59">
        <v>160</v>
      </c>
      <c r="Q319" s="59">
        <f t="shared" si="44"/>
        <v>195</v>
      </c>
      <c r="R319" s="59">
        <f t="shared" si="45"/>
        <v>100</v>
      </c>
      <c r="S319" s="56">
        <f t="shared" si="46"/>
        <v>695</v>
      </c>
      <c r="T319" s="56">
        <f>0</f>
        <v>0</v>
      </c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</row>
    <row r="320" spans="1:30" ht="15.75" x14ac:dyDescent="0.25">
      <c r="A320" s="14">
        <v>51043</v>
      </c>
      <c r="B320" s="68">
        <v>30</v>
      </c>
      <c r="C320" s="56">
        <f>194.205</f>
        <v>194.20500000000001</v>
      </c>
      <c r="D320" s="56">
        <f>267.466</f>
        <v>267.46600000000001</v>
      </c>
      <c r="E320" s="64">
        <f>133.845</f>
        <v>133.845</v>
      </c>
      <c r="F320" s="56">
        <f>278.484-40-25-60-100</f>
        <v>53.48399999999998</v>
      </c>
      <c r="G320" s="59">
        <v>40</v>
      </c>
      <c r="H320" s="56">
        <f t="shared" si="51"/>
        <v>185</v>
      </c>
      <c r="I320" s="56">
        <f t="shared" si="49"/>
        <v>0</v>
      </c>
      <c r="J320" s="59">
        <v>100</v>
      </c>
      <c r="K320" s="59">
        <v>300</v>
      </c>
      <c r="L320" s="56">
        <f t="shared" si="43"/>
        <v>1274</v>
      </c>
      <c r="M320" s="66">
        <v>600</v>
      </c>
      <c r="N320" s="56">
        <f>30</f>
        <v>30</v>
      </c>
      <c r="O320" s="59">
        <v>240</v>
      </c>
      <c r="P320" s="59">
        <v>160</v>
      </c>
      <c r="Q320" s="59">
        <f t="shared" si="44"/>
        <v>195</v>
      </c>
      <c r="R320" s="59">
        <f t="shared" si="45"/>
        <v>100</v>
      </c>
      <c r="S320" s="56">
        <f t="shared" si="46"/>
        <v>695</v>
      </c>
      <c r="T320" s="56">
        <f>0</f>
        <v>0</v>
      </c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</row>
    <row r="321" spans="1:30" ht="15.75" x14ac:dyDescent="0.25">
      <c r="A321" s="14">
        <v>51074</v>
      </c>
      <c r="B321" s="68">
        <v>31</v>
      </c>
      <c r="C321" s="56">
        <f>131.881</f>
        <v>131.881</v>
      </c>
      <c r="D321" s="56">
        <f>277.167</f>
        <v>277.16699999999997</v>
      </c>
      <c r="E321" s="64">
        <f>79.08</f>
        <v>79.08</v>
      </c>
      <c r="F321" s="56">
        <f>350.872-40-25-60-100</f>
        <v>125.87200000000001</v>
      </c>
      <c r="G321" s="59">
        <v>40</v>
      </c>
      <c r="H321" s="56">
        <f t="shared" si="51"/>
        <v>185</v>
      </c>
      <c r="I321" s="56">
        <f t="shared" si="49"/>
        <v>0</v>
      </c>
      <c r="J321" s="59">
        <v>100</v>
      </c>
      <c r="K321" s="59">
        <v>300</v>
      </c>
      <c r="L321" s="56">
        <f t="shared" si="43"/>
        <v>1239</v>
      </c>
      <c r="M321" s="66">
        <v>600</v>
      </c>
      <c r="N321" s="56">
        <f>75</f>
        <v>75</v>
      </c>
      <c r="O321" s="59">
        <v>240</v>
      </c>
      <c r="P321" s="59">
        <v>160</v>
      </c>
      <c r="Q321" s="59">
        <f t="shared" si="44"/>
        <v>195</v>
      </c>
      <c r="R321" s="59">
        <f t="shared" si="45"/>
        <v>100</v>
      </c>
      <c r="S321" s="56">
        <f t="shared" si="46"/>
        <v>695</v>
      </c>
      <c r="T321" s="56">
        <f>0</f>
        <v>0</v>
      </c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</row>
    <row r="322" spans="1:30" ht="15.75" x14ac:dyDescent="0.25">
      <c r="A322" s="14">
        <v>51104</v>
      </c>
      <c r="B322" s="68">
        <v>30</v>
      </c>
      <c r="C322" s="56">
        <f>122.58</f>
        <v>122.58</v>
      </c>
      <c r="D322" s="56">
        <f>297.941</f>
        <v>297.94099999999997</v>
      </c>
      <c r="E322" s="64">
        <f>89.177</f>
        <v>89.177000000000007</v>
      </c>
      <c r="F322" s="56">
        <f>240.302-40-60-100</f>
        <v>40.301999999999992</v>
      </c>
      <c r="G322" s="59">
        <v>40</v>
      </c>
      <c r="H322" s="56">
        <f>60+100</f>
        <v>160</v>
      </c>
      <c r="I322" s="56">
        <f t="shared" si="49"/>
        <v>0</v>
      </c>
      <c r="J322" s="59">
        <v>100</v>
      </c>
      <c r="K322" s="59">
        <v>300</v>
      </c>
      <c r="L322" s="56">
        <f t="shared" si="43"/>
        <v>1150</v>
      </c>
      <c r="M322" s="66">
        <v>600</v>
      </c>
      <c r="N322" s="56">
        <f>100</f>
        <v>100</v>
      </c>
      <c r="O322" s="59">
        <v>240</v>
      </c>
      <c r="P322" s="59">
        <v>40</v>
      </c>
      <c r="Q322" s="59">
        <f t="shared" si="44"/>
        <v>315</v>
      </c>
      <c r="R322" s="59">
        <f t="shared" si="45"/>
        <v>100</v>
      </c>
      <c r="S322" s="56">
        <f t="shared" si="46"/>
        <v>695</v>
      </c>
      <c r="T322" s="56">
        <f>50</f>
        <v>50</v>
      </c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</row>
    <row r="323" spans="1:30" ht="15.75" x14ac:dyDescent="0.25">
      <c r="A323" s="14">
        <v>51135</v>
      </c>
      <c r="B323" s="68">
        <v>31</v>
      </c>
      <c r="C323" s="56">
        <f>122.58</f>
        <v>122.58</v>
      </c>
      <c r="D323" s="56">
        <f>297.941</f>
        <v>297.94099999999997</v>
      </c>
      <c r="E323" s="64">
        <f>89.177</f>
        <v>89.177000000000007</v>
      </c>
      <c r="F323" s="56">
        <f>240.302-40-60-100</f>
        <v>40.301999999999992</v>
      </c>
      <c r="G323" s="59">
        <v>40</v>
      </c>
      <c r="H323" s="56">
        <f>60+100</f>
        <v>160</v>
      </c>
      <c r="I323" s="56">
        <f t="shared" si="49"/>
        <v>0</v>
      </c>
      <c r="J323" s="59">
        <v>100</v>
      </c>
      <c r="K323" s="59">
        <v>300</v>
      </c>
      <c r="L323" s="56">
        <f t="shared" si="43"/>
        <v>1150</v>
      </c>
      <c r="M323" s="66">
        <v>600</v>
      </c>
      <c r="N323" s="56">
        <f>100</f>
        <v>100</v>
      </c>
      <c r="O323" s="59">
        <v>240</v>
      </c>
      <c r="P323" s="59">
        <v>40</v>
      </c>
      <c r="Q323" s="59">
        <f t="shared" si="44"/>
        <v>315</v>
      </c>
      <c r="R323" s="59">
        <f t="shared" si="45"/>
        <v>100</v>
      </c>
      <c r="S323" s="56">
        <f t="shared" si="46"/>
        <v>695</v>
      </c>
      <c r="T323" s="56">
        <f>50</f>
        <v>50</v>
      </c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</row>
    <row r="324" spans="1:30" ht="15.75" x14ac:dyDescent="0.25">
      <c r="A324" s="14">
        <v>51166</v>
      </c>
      <c r="B324" s="68">
        <v>31</v>
      </c>
      <c r="C324" s="56">
        <f>122.58</f>
        <v>122.58</v>
      </c>
      <c r="D324" s="56">
        <f>297.941</f>
        <v>297.94099999999997</v>
      </c>
      <c r="E324" s="64">
        <f>89.177</f>
        <v>89.177000000000007</v>
      </c>
      <c r="F324" s="56">
        <f>240.302-40-60-100</f>
        <v>40.301999999999992</v>
      </c>
      <c r="G324" s="59">
        <v>40</v>
      </c>
      <c r="H324" s="56">
        <f>60+100</f>
        <v>160</v>
      </c>
      <c r="I324" s="56">
        <f t="shared" si="49"/>
        <v>0</v>
      </c>
      <c r="J324" s="59">
        <v>100</v>
      </c>
      <c r="K324" s="59">
        <v>300</v>
      </c>
      <c r="L324" s="56">
        <f t="shared" si="43"/>
        <v>1150</v>
      </c>
      <c r="M324" s="66">
        <v>600</v>
      </c>
      <c r="N324" s="56">
        <f>100</f>
        <v>100</v>
      </c>
      <c r="O324" s="59">
        <v>240</v>
      </c>
      <c r="P324" s="59">
        <v>40</v>
      </c>
      <c r="Q324" s="59">
        <f t="shared" si="44"/>
        <v>315</v>
      </c>
      <c r="R324" s="59">
        <f t="shared" si="45"/>
        <v>100</v>
      </c>
      <c r="S324" s="56">
        <f t="shared" si="46"/>
        <v>695</v>
      </c>
      <c r="T324" s="56">
        <f>50</f>
        <v>50</v>
      </c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</row>
    <row r="325" spans="1:30" ht="15.75" x14ac:dyDescent="0.25">
      <c r="A325" s="14">
        <v>51194</v>
      </c>
      <c r="B325" s="68">
        <v>29</v>
      </c>
      <c r="C325" s="56">
        <f>122.58</f>
        <v>122.58</v>
      </c>
      <c r="D325" s="56">
        <f>297.941</f>
        <v>297.94099999999997</v>
      </c>
      <c r="E325" s="64">
        <f>89.177</f>
        <v>89.177000000000007</v>
      </c>
      <c r="F325" s="56">
        <f>240.302-40-60-100</f>
        <v>40.301999999999992</v>
      </c>
      <c r="G325" s="59">
        <v>40</v>
      </c>
      <c r="H325" s="56">
        <f>60+100</f>
        <v>160</v>
      </c>
      <c r="I325" s="56">
        <f t="shared" si="49"/>
        <v>0</v>
      </c>
      <c r="J325" s="59">
        <v>100</v>
      </c>
      <c r="K325" s="59">
        <v>300</v>
      </c>
      <c r="L325" s="56">
        <f t="shared" si="43"/>
        <v>1150</v>
      </c>
      <c r="M325" s="66">
        <v>600</v>
      </c>
      <c r="N325" s="56">
        <f>100</f>
        <v>100</v>
      </c>
      <c r="O325" s="59">
        <v>240</v>
      </c>
      <c r="P325" s="59">
        <v>40</v>
      </c>
      <c r="Q325" s="59">
        <f t="shared" si="44"/>
        <v>315</v>
      </c>
      <c r="R325" s="59">
        <f t="shared" si="45"/>
        <v>100</v>
      </c>
      <c r="S325" s="56">
        <f t="shared" si="46"/>
        <v>695</v>
      </c>
      <c r="T325" s="56">
        <f>50</f>
        <v>50</v>
      </c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</row>
    <row r="326" spans="1:30" ht="15.75" x14ac:dyDescent="0.25">
      <c r="A326" s="14">
        <v>51226</v>
      </c>
      <c r="B326" s="68">
        <v>31</v>
      </c>
      <c r="C326" s="56">
        <f>122.58</f>
        <v>122.58</v>
      </c>
      <c r="D326" s="56">
        <f>297.941</f>
        <v>297.94099999999997</v>
      </c>
      <c r="E326" s="64">
        <f>89.177</f>
        <v>89.177000000000007</v>
      </c>
      <c r="F326" s="56">
        <f>240.302-40-60-100</f>
        <v>40.301999999999992</v>
      </c>
      <c r="G326" s="59">
        <v>40</v>
      </c>
      <c r="H326" s="56">
        <f>60+100</f>
        <v>160</v>
      </c>
      <c r="I326" s="56">
        <f t="shared" si="49"/>
        <v>0</v>
      </c>
      <c r="J326" s="59">
        <v>100</v>
      </c>
      <c r="K326" s="59">
        <v>300</v>
      </c>
      <c r="L326" s="56">
        <f t="shared" si="43"/>
        <v>1150</v>
      </c>
      <c r="M326" s="66">
        <v>600</v>
      </c>
      <c r="N326" s="56">
        <f>100</f>
        <v>100</v>
      </c>
      <c r="O326" s="59">
        <v>240</v>
      </c>
      <c r="P326" s="59">
        <v>40</v>
      </c>
      <c r="Q326" s="59">
        <f t="shared" si="44"/>
        <v>315</v>
      </c>
      <c r="R326" s="59">
        <f t="shared" si="45"/>
        <v>100</v>
      </c>
      <c r="S326" s="56">
        <f t="shared" si="46"/>
        <v>695</v>
      </c>
      <c r="T326" s="56">
        <f>50</f>
        <v>50</v>
      </c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</row>
    <row r="327" spans="1:30" ht="15.75" x14ac:dyDescent="0.25">
      <c r="A327" s="14">
        <v>51256</v>
      </c>
      <c r="B327" s="68">
        <v>30</v>
      </c>
      <c r="C327" s="56">
        <f>141.293</f>
        <v>141.29300000000001</v>
      </c>
      <c r="D327" s="56">
        <f>267.993</f>
        <v>267.99299999999999</v>
      </c>
      <c r="E327" s="64">
        <f>115.016</f>
        <v>115.01600000000001</v>
      </c>
      <c r="F327" s="56">
        <f>314.698-40-25-60-100</f>
        <v>89.697999999999979</v>
      </c>
      <c r="G327" s="59">
        <v>40</v>
      </c>
      <c r="H327" s="56">
        <f t="shared" ref="H327:H333" si="52">25+60+100</f>
        <v>185</v>
      </c>
      <c r="I327" s="56">
        <f t="shared" si="49"/>
        <v>0</v>
      </c>
      <c r="J327" s="59">
        <v>100</v>
      </c>
      <c r="K327" s="59">
        <v>300</v>
      </c>
      <c r="L327" s="56">
        <f t="shared" si="43"/>
        <v>1239</v>
      </c>
      <c r="M327" s="66">
        <v>600</v>
      </c>
      <c r="N327" s="56">
        <f>100</f>
        <v>100</v>
      </c>
      <c r="O327" s="59">
        <v>240</v>
      </c>
      <c r="P327" s="59">
        <v>160</v>
      </c>
      <c r="Q327" s="59">
        <f t="shared" si="44"/>
        <v>195</v>
      </c>
      <c r="R327" s="59">
        <f t="shared" si="45"/>
        <v>100</v>
      </c>
      <c r="S327" s="56">
        <f t="shared" si="46"/>
        <v>695</v>
      </c>
      <c r="T327" s="56">
        <f>50</f>
        <v>50</v>
      </c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</row>
    <row r="328" spans="1:30" ht="15.75" x14ac:dyDescent="0.25">
      <c r="A328" s="14">
        <v>51287</v>
      </c>
      <c r="B328" s="68">
        <v>31</v>
      </c>
      <c r="C328" s="56">
        <f>194.205</f>
        <v>194.20500000000001</v>
      </c>
      <c r="D328" s="56">
        <f>267.466</f>
        <v>267.46600000000001</v>
      </c>
      <c r="E328" s="64">
        <f>133.845</f>
        <v>133.845</v>
      </c>
      <c r="F328" s="56">
        <f>278.484-40-25-60-100</f>
        <v>53.48399999999998</v>
      </c>
      <c r="G328" s="59">
        <v>40</v>
      </c>
      <c r="H328" s="56">
        <f t="shared" si="52"/>
        <v>185</v>
      </c>
      <c r="I328" s="56">
        <f t="shared" si="49"/>
        <v>0</v>
      </c>
      <c r="J328" s="59">
        <v>100</v>
      </c>
      <c r="K328" s="59">
        <v>300</v>
      </c>
      <c r="L328" s="56">
        <f t="shared" si="43"/>
        <v>1274</v>
      </c>
      <c r="M328" s="66">
        <v>600</v>
      </c>
      <c r="N328" s="56">
        <f>75</f>
        <v>75</v>
      </c>
      <c r="O328" s="59">
        <v>240</v>
      </c>
      <c r="P328" s="59">
        <v>160</v>
      </c>
      <c r="Q328" s="59">
        <f t="shared" si="44"/>
        <v>195</v>
      </c>
      <c r="R328" s="59">
        <f t="shared" si="45"/>
        <v>100</v>
      </c>
      <c r="S328" s="56">
        <f t="shared" si="46"/>
        <v>695</v>
      </c>
      <c r="T328" s="56">
        <f>50</f>
        <v>50</v>
      </c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</row>
    <row r="329" spans="1:30" ht="15.75" x14ac:dyDescent="0.25">
      <c r="A329" s="14">
        <v>51317</v>
      </c>
      <c r="B329" s="68">
        <v>30</v>
      </c>
      <c r="C329" s="56">
        <f>194.205</f>
        <v>194.20500000000001</v>
      </c>
      <c r="D329" s="56">
        <f>267.466</f>
        <v>267.46600000000001</v>
      </c>
      <c r="E329" s="64">
        <f>133.845</f>
        <v>133.845</v>
      </c>
      <c r="F329" s="56">
        <f>278.484-40-25-60-100</f>
        <v>53.48399999999998</v>
      </c>
      <c r="G329" s="59">
        <v>40</v>
      </c>
      <c r="H329" s="56">
        <f t="shared" si="52"/>
        <v>185</v>
      </c>
      <c r="I329" s="56">
        <f t="shared" si="49"/>
        <v>0</v>
      </c>
      <c r="J329" s="59">
        <v>100</v>
      </c>
      <c r="K329" s="59">
        <v>300</v>
      </c>
      <c r="L329" s="56">
        <f t="shared" si="43"/>
        <v>1274</v>
      </c>
      <c r="M329" s="66">
        <v>600</v>
      </c>
      <c r="N329" s="56">
        <f>30</f>
        <v>30</v>
      </c>
      <c r="O329" s="59">
        <v>240</v>
      </c>
      <c r="P329" s="59">
        <v>160</v>
      </c>
      <c r="Q329" s="59">
        <f t="shared" si="44"/>
        <v>195</v>
      </c>
      <c r="R329" s="59">
        <f t="shared" si="45"/>
        <v>100</v>
      </c>
      <c r="S329" s="56">
        <f t="shared" si="46"/>
        <v>695</v>
      </c>
      <c r="T329" s="56">
        <f>50</f>
        <v>50</v>
      </c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</row>
    <row r="330" spans="1:30" ht="15.75" x14ac:dyDescent="0.25">
      <c r="A330" s="14">
        <v>51348</v>
      </c>
      <c r="B330" s="68">
        <v>31</v>
      </c>
      <c r="C330" s="56">
        <f>194.205</f>
        <v>194.20500000000001</v>
      </c>
      <c r="D330" s="56">
        <f>267.466</f>
        <v>267.46600000000001</v>
      </c>
      <c r="E330" s="64">
        <f>133.845</f>
        <v>133.845</v>
      </c>
      <c r="F330" s="56">
        <f>278.484-40-25-60-100</f>
        <v>53.48399999999998</v>
      </c>
      <c r="G330" s="59">
        <v>40</v>
      </c>
      <c r="H330" s="56">
        <f t="shared" si="52"/>
        <v>185</v>
      </c>
      <c r="I330" s="56">
        <f t="shared" si="49"/>
        <v>0</v>
      </c>
      <c r="J330" s="59">
        <v>100</v>
      </c>
      <c r="K330" s="59">
        <v>300</v>
      </c>
      <c r="L330" s="56">
        <f t="shared" si="43"/>
        <v>1274</v>
      </c>
      <c r="M330" s="66">
        <v>600</v>
      </c>
      <c r="N330" s="56">
        <f>30</f>
        <v>30</v>
      </c>
      <c r="O330" s="59">
        <v>240</v>
      </c>
      <c r="P330" s="59">
        <v>160</v>
      </c>
      <c r="Q330" s="59">
        <f t="shared" si="44"/>
        <v>195</v>
      </c>
      <c r="R330" s="59">
        <f t="shared" si="45"/>
        <v>100</v>
      </c>
      <c r="S330" s="56">
        <f t="shared" si="46"/>
        <v>695</v>
      </c>
      <c r="T330" s="56">
        <f>0</f>
        <v>0</v>
      </c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</row>
    <row r="331" spans="1:30" ht="15.75" x14ac:dyDescent="0.25">
      <c r="A331" s="14">
        <v>51379</v>
      </c>
      <c r="B331" s="68">
        <v>31</v>
      </c>
      <c r="C331" s="56">
        <f>194.205</f>
        <v>194.20500000000001</v>
      </c>
      <c r="D331" s="56">
        <f>267.466</f>
        <v>267.46600000000001</v>
      </c>
      <c r="E331" s="64">
        <f>133.845</f>
        <v>133.845</v>
      </c>
      <c r="F331" s="56">
        <f>278.484-40-25-60-100</f>
        <v>53.48399999999998</v>
      </c>
      <c r="G331" s="59">
        <v>40</v>
      </c>
      <c r="H331" s="56">
        <f t="shared" si="52"/>
        <v>185</v>
      </c>
      <c r="I331" s="56">
        <f t="shared" si="49"/>
        <v>0</v>
      </c>
      <c r="J331" s="59">
        <v>100</v>
      </c>
      <c r="K331" s="59">
        <v>300</v>
      </c>
      <c r="L331" s="56">
        <f t="shared" si="43"/>
        <v>1274</v>
      </c>
      <c r="M331" s="66">
        <v>600</v>
      </c>
      <c r="N331" s="56">
        <f>30</f>
        <v>30</v>
      </c>
      <c r="O331" s="59">
        <v>240</v>
      </c>
      <c r="P331" s="59">
        <v>160</v>
      </c>
      <c r="Q331" s="59">
        <f t="shared" si="44"/>
        <v>195</v>
      </c>
      <c r="R331" s="59">
        <f t="shared" si="45"/>
        <v>100</v>
      </c>
      <c r="S331" s="56">
        <f t="shared" si="46"/>
        <v>695</v>
      </c>
      <c r="T331" s="56">
        <f>0</f>
        <v>0</v>
      </c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</row>
    <row r="332" spans="1:30" ht="15.75" x14ac:dyDescent="0.25">
      <c r="A332" s="14">
        <v>51409</v>
      </c>
      <c r="B332" s="68">
        <v>30</v>
      </c>
      <c r="C332" s="56">
        <f>194.205</f>
        <v>194.20500000000001</v>
      </c>
      <c r="D332" s="56">
        <f>267.466</f>
        <v>267.46600000000001</v>
      </c>
      <c r="E332" s="64">
        <f>133.845</f>
        <v>133.845</v>
      </c>
      <c r="F332" s="56">
        <f>278.484-40-25-60-100</f>
        <v>53.48399999999998</v>
      </c>
      <c r="G332" s="59">
        <v>40</v>
      </c>
      <c r="H332" s="56">
        <f t="shared" si="52"/>
        <v>185</v>
      </c>
      <c r="I332" s="56">
        <f t="shared" si="49"/>
        <v>0</v>
      </c>
      <c r="J332" s="59">
        <v>100</v>
      </c>
      <c r="K332" s="59">
        <v>300</v>
      </c>
      <c r="L332" s="56">
        <f t="shared" si="43"/>
        <v>1274</v>
      </c>
      <c r="M332" s="66">
        <v>600</v>
      </c>
      <c r="N332" s="56">
        <f>30</f>
        <v>30</v>
      </c>
      <c r="O332" s="59">
        <v>240</v>
      </c>
      <c r="P332" s="59">
        <v>160</v>
      </c>
      <c r="Q332" s="59">
        <f t="shared" si="44"/>
        <v>195</v>
      </c>
      <c r="R332" s="59">
        <f t="shared" si="45"/>
        <v>100</v>
      </c>
      <c r="S332" s="56">
        <f t="shared" si="46"/>
        <v>695</v>
      </c>
      <c r="T332" s="56">
        <f>0</f>
        <v>0</v>
      </c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</row>
    <row r="333" spans="1:30" ht="15.75" x14ac:dyDescent="0.25">
      <c r="A333" s="14">
        <v>51440</v>
      </c>
      <c r="B333" s="68">
        <v>31</v>
      </c>
      <c r="C333" s="56">
        <f>131.881</f>
        <v>131.881</v>
      </c>
      <c r="D333" s="56">
        <f>277.167</f>
        <v>277.16699999999997</v>
      </c>
      <c r="E333" s="64">
        <f>79.08</f>
        <v>79.08</v>
      </c>
      <c r="F333" s="56">
        <f>350.872-40-25-60-100</f>
        <v>125.87200000000001</v>
      </c>
      <c r="G333" s="59">
        <v>40</v>
      </c>
      <c r="H333" s="56">
        <f t="shared" si="52"/>
        <v>185</v>
      </c>
      <c r="I333" s="56">
        <f t="shared" si="49"/>
        <v>0</v>
      </c>
      <c r="J333" s="59">
        <v>100</v>
      </c>
      <c r="K333" s="59">
        <v>300</v>
      </c>
      <c r="L333" s="56">
        <f t="shared" si="43"/>
        <v>1239</v>
      </c>
      <c r="M333" s="66">
        <v>600</v>
      </c>
      <c r="N333" s="56">
        <f>75</f>
        <v>75</v>
      </c>
      <c r="O333" s="59">
        <v>240</v>
      </c>
      <c r="P333" s="59">
        <v>160</v>
      </c>
      <c r="Q333" s="59">
        <f t="shared" si="44"/>
        <v>195</v>
      </c>
      <c r="R333" s="59">
        <f t="shared" si="45"/>
        <v>100</v>
      </c>
      <c r="S333" s="56">
        <f t="shared" si="46"/>
        <v>695</v>
      </c>
      <c r="T333" s="56">
        <f>0</f>
        <v>0</v>
      </c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</row>
    <row r="334" spans="1:30" ht="15.75" x14ac:dyDescent="0.25">
      <c r="A334" s="14">
        <v>51470</v>
      </c>
      <c r="B334" s="68">
        <v>30</v>
      </c>
      <c r="C334" s="56">
        <f>122.58</f>
        <v>122.58</v>
      </c>
      <c r="D334" s="56">
        <f>297.941</f>
        <v>297.94099999999997</v>
      </c>
      <c r="E334" s="64">
        <f>89.177</f>
        <v>89.177000000000007</v>
      </c>
      <c r="F334" s="56">
        <f>240.302-40-60-100</f>
        <v>40.301999999999992</v>
      </c>
      <c r="G334" s="59">
        <v>40</v>
      </c>
      <c r="H334" s="56">
        <f>60+100</f>
        <v>160</v>
      </c>
      <c r="I334" s="56">
        <f t="shared" si="49"/>
        <v>0</v>
      </c>
      <c r="J334" s="59">
        <v>100</v>
      </c>
      <c r="K334" s="59">
        <v>300</v>
      </c>
      <c r="L334" s="56">
        <f t="shared" si="43"/>
        <v>1150</v>
      </c>
      <c r="M334" s="66">
        <v>600</v>
      </c>
      <c r="N334" s="56">
        <f>100</f>
        <v>100</v>
      </c>
      <c r="O334" s="59">
        <v>240</v>
      </c>
      <c r="P334" s="59">
        <v>40</v>
      </c>
      <c r="Q334" s="59">
        <f t="shared" si="44"/>
        <v>315</v>
      </c>
      <c r="R334" s="59">
        <f t="shared" si="45"/>
        <v>100</v>
      </c>
      <c r="S334" s="56">
        <f t="shared" si="46"/>
        <v>695</v>
      </c>
      <c r="T334" s="56">
        <f>50</f>
        <v>50</v>
      </c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</row>
    <row r="335" spans="1:30" ht="15.75" x14ac:dyDescent="0.25">
      <c r="A335" s="14">
        <v>51501</v>
      </c>
      <c r="B335" s="68">
        <v>31</v>
      </c>
      <c r="C335" s="56">
        <f>122.58</f>
        <v>122.58</v>
      </c>
      <c r="D335" s="56">
        <f>297.941</f>
        <v>297.94099999999997</v>
      </c>
      <c r="E335" s="64">
        <f>89.177</f>
        <v>89.177000000000007</v>
      </c>
      <c r="F335" s="56">
        <f>240.302-40-60-100</f>
        <v>40.301999999999992</v>
      </c>
      <c r="G335" s="59">
        <v>40</v>
      </c>
      <c r="H335" s="56">
        <f>60+100</f>
        <v>160</v>
      </c>
      <c r="I335" s="56">
        <f t="shared" si="49"/>
        <v>0</v>
      </c>
      <c r="J335" s="59">
        <v>100</v>
      </c>
      <c r="K335" s="59">
        <v>300</v>
      </c>
      <c r="L335" s="56">
        <f t="shared" si="43"/>
        <v>1150</v>
      </c>
      <c r="M335" s="66">
        <v>600</v>
      </c>
      <c r="N335" s="56">
        <f>100</f>
        <v>100</v>
      </c>
      <c r="O335" s="59">
        <v>240</v>
      </c>
      <c r="P335" s="59">
        <v>40</v>
      </c>
      <c r="Q335" s="59">
        <f t="shared" si="44"/>
        <v>315</v>
      </c>
      <c r="R335" s="59">
        <f t="shared" si="45"/>
        <v>100</v>
      </c>
      <c r="S335" s="56">
        <f t="shared" si="46"/>
        <v>695</v>
      </c>
      <c r="T335" s="56">
        <f>50</f>
        <v>50</v>
      </c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</row>
    <row r="336" spans="1:30" ht="15.75" x14ac:dyDescent="0.25">
      <c r="A336" s="14">
        <v>51532</v>
      </c>
      <c r="B336" s="68">
        <v>31</v>
      </c>
      <c r="C336" s="56">
        <f>122.58</f>
        <v>122.58</v>
      </c>
      <c r="D336" s="56">
        <f>297.941</f>
        <v>297.94099999999997</v>
      </c>
      <c r="E336" s="64">
        <f>89.177</f>
        <v>89.177000000000007</v>
      </c>
      <c r="F336" s="56">
        <f>240.302-40-60-100</f>
        <v>40.301999999999992</v>
      </c>
      <c r="G336" s="59">
        <v>40</v>
      </c>
      <c r="H336" s="56">
        <f>60+100</f>
        <v>160</v>
      </c>
      <c r="I336" s="56">
        <f t="shared" si="49"/>
        <v>0</v>
      </c>
      <c r="J336" s="59">
        <v>100</v>
      </c>
      <c r="K336" s="59">
        <v>300</v>
      </c>
      <c r="L336" s="56">
        <f t="shared" ref="L336:L399" si="53">SUM(C336:K336)</f>
        <v>1150</v>
      </c>
      <c r="M336" s="66">
        <v>600</v>
      </c>
      <c r="N336" s="56">
        <f>100</f>
        <v>100</v>
      </c>
      <c r="O336" s="59">
        <v>240</v>
      </c>
      <c r="P336" s="59">
        <v>40</v>
      </c>
      <c r="Q336" s="59">
        <f t="shared" ref="Q336:Q399" si="54">695-R336-O336-P336</f>
        <v>315</v>
      </c>
      <c r="R336" s="59">
        <f t="shared" ref="R336:R399" si="55">200-J336</f>
        <v>100</v>
      </c>
      <c r="S336" s="56">
        <f t="shared" ref="S336:S399" si="56">SUM(O336:R336)</f>
        <v>695</v>
      </c>
      <c r="T336" s="56">
        <f>50</f>
        <v>50</v>
      </c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</row>
    <row r="337" spans="1:30" ht="15.75" x14ac:dyDescent="0.25">
      <c r="A337" s="14">
        <v>51560</v>
      </c>
      <c r="B337" s="68">
        <v>28</v>
      </c>
      <c r="C337" s="56">
        <f>122.58</f>
        <v>122.58</v>
      </c>
      <c r="D337" s="56">
        <f>297.941</f>
        <v>297.94099999999997</v>
      </c>
      <c r="E337" s="64">
        <f>89.177</f>
        <v>89.177000000000007</v>
      </c>
      <c r="F337" s="56">
        <f>240.302-40-60-100</f>
        <v>40.301999999999992</v>
      </c>
      <c r="G337" s="59">
        <v>40</v>
      </c>
      <c r="H337" s="56">
        <f>60+100</f>
        <v>160</v>
      </c>
      <c r="I337" s="56">
        <f t="shared" si="49"/>
        <v>0</v>
      </c>
      <c r="J337" s="59">
        <v>100</v>
      </c>
      <c r="K337" s="59">
        <v>300</v>
      </c>
      <c r="L337" s="56">
        <f t="shared" si="53"/>
        <v>1150</v>
      </c>
      <c r="M337" s="66">
        <v>600</v>
      </c>
      <c r="N337" s="56">
        <f>100</f>
        <v>100</v>
      </c>
      <c r="O337" s="59">
        <v>240</v>
      </c>
      <c r="P337" s="59">
        <v>40</v>
      </c>
      <c r="Q337" s="59">
        <f t="shared" si="54"/>
        <v>315</v>
      </c>
      <c r="R337" s="59">
        <f t="shared" si="55"/>
        <v>100</v>
      </c>
      <c r="S337" s="56">
        <f t="shared" si="56"/>
        <v>695</v>
      </c>
      <c r="T337" s="56">
        <f>50</f>
        <v>50</v>
      </c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</row>
    <row r="338" spans="1:30" ht="15.75" x14ac:dyDescent="0.25">
      <c r="A338" s="14">
        <v>51591</v>
      </c>
      <c r="B338" s="68">
        <v>31</v>
      </c>
      <c r="C338" s="56">
        <f>122.58</f>
        <v>122.58</v>
      </c>
      <c r="D338" s="56">
        <f>297.941</f>
        <v>297.94099999999997</v>
      </c>
      <c r="E338" s="64">
        <f>89.177</f>
        <v>89.177000000000007</v>
      </c>
      <c r="F338" s="56">
        <f>240.302-40-60-100</f>
        <v>40.301999999999992</v>
      </c>
      <c r="G338" s="59">
        <v>40</v>
      </c>
      <c r="H338" s="56">
        <f>60+100</f>
        <v>160</v>
      </c>
      <c r="I338" s="56">
        <f t="shared" si="49"/>
        <v>0</v>
      </c>
      <c r="J338" s="59">
        <v>100</v>
      </c>
      <c r="K338" s="59">
        <v>300</v>
      </c>
      <c r="L338" s="56">
        <f t="shared" si="53"/>
        <v>1150</v>
      </c>
      <c r="M338" s="66">
        <v>600</v>
      </c>
      <c r="N338" s="56">
        <f>100</f>
        <v>100</v>
      </c>
      <c r="O338" s="59">
        <v>240</v>
      </c>
      <c r="P338" s="59">
        <v>40</v>
      </c>
      <c r="Q338" s="59">
        <f t="shared" si="54"/>
        <v>315</v>
      </c>
      <c r="R338" s="59">
        <f t="shared" si="55"/>
        <v>100</v>
      </c>
      <c r="S338" s="56">
        <f t="shared" si="56"/>
        <v>695</v>
      </c>
      <c r="T338" s="56">
        <f>50</f>
        <v>50</v>
      </c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</row>
    <row r="339" spans="1:30" ht="15.75" x14ac:dyDescent="0.25">
      <c r="A339" s="14">
        <v>51621</v>
      </c>
      <c r="B339" s="68">
        <v>30</v>
      </c>
      <c r="C339" s="56">
        <f>141.293</f>
        <v>141.29300000000001</v>
      </c>
      <c r="D339" s="56">
        <f>267.993</f>
        <v>267.99299999999999</v>
      </c>
      <c r="E339" s="64">
        <f>115.016</f>
        <v>115.01600000000001</v>
      </c>
      <c r="F339" s="56">
        <f>314.698-40-25-60-100</f>
        <v>89.697999999999979</v>
      </c>
      <c r="G339" s="59">
        <v>40</v>
      </c>
      <c r="H339" s="56">
        <f t="shared" ref="H339:H345" si="57">25+60+100</f>
        <v>185</v>
      </c>
      <c r="I339" s="56">
        <f t="shared" si="49"/>
        <v>0</v>
      </c>
      <c r="J339" s="59">
        <v>100</v>
      </c>
      <c r="K339" s="59">
        <v>300</v>
      </c>
      <c r="L339" s="56">
        <f t="shared" si="53"/>
        <v>1239</v>
      </c>
      <c r="M339" s="66">
        <v>600</v>
      </c>
      <c r="N339" s="56">
        <f>100</f>
        <v>100</v>
      </c>
      <c r="O339" s="59">
        <v>240</v>
      </c>
      <c r="P339" s="59">
        <v>160</v>
      </c>
      <c r="Q339" s="59">
        <f t="shared" si="54"/>
        <v>195</v>
      </c>
      <c r="R339" s="59">
        <f t="shared" si="55"/>
        <v>100</v>
      </c>
      <c r="S339" s="56">
        <f t="shared" si="56"/>
        <v>695</v>
      </c>
      <c r="T339" s="56">
        <f>50</f>
        <v>50</v>
      </c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</row>
    <row r="340" spans="1:30" ht="15.75" x14ac:dyDescent="0.25">
      <c r="A340" s="14">
        <v>51652</v>
      </c>
      <c r="B340" s="68">
        <v>31</v>
      </c>
      <c r="C340" s="56">
        <f>194.205</f>
        <v>194.20500000000001</v>
      </c>
      <c r="D340" s="56">
        <f>267.466</f>
        <v>267.46600000000001</v>
      </c>
      <c r="E340" s="64">
        <f>133.845</f>
        <v>133.845</v>
      </c>
      <c r="F340" s="56">
        <f>278.484-40-25-60-100</f>
        <v>53.48399999999998</v>
      </c>
      <c r="G340" s="59">
        <v>40</v>
      </c>
      <c r="H340" s="56">
        <f t="shared" si="57"/>
        <v>185</v>
      </c>
      <c r="I340" s="56">
        <f t="shared" si="49"/>
        <v>0</v>
      </c>
      <c r="J340" s="59">
        <v>100</v>
      </c>
      <c r="K340" s="59">
        <v>300</v>
      </c>
      <c r="L340" s="56">
        <f t="shared" si="53"/>
        <v>1274</v>
      </c>
      <c r="M340" s="66">
        <v>600</v>
      </c>
      <c r="N340" s="56">
        <f>75</f>
        <v>75</v>
      </c>
      <c r="O340" s="59">
        <v>240</v>
      </c>
      <c r="P340" s="59">
        <v>160</v>
      </c>
      <c r="Q340" s="59">
        <f t="shared" si="54"/>
        <v>195</v>
      </c>
      <c r="R340" s="59">
        <f t="shared" si="55"/>
        <v>100</v>
      </c>
      <c r="S340" s="56">
        <f t="shared" si="56"/>
        <v>695</v>
      </c>
      <c r="T340" s="56">
        <f>50</f>
        <v>50</v>
      </c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</row>
    <row r="341" spans="1:30" ht="15.75" x14ac:dyDescent="0.25">
      <c r="A341" s="14">
        <v>51682</v>
      </c>
      <c r="B341" s="68">
        <v>30</v>
      </c>
      <c r="C341" s="56">
        <f>194.205</f>
        <v>194.20500000000001</v>
      </c>
      <c r="D341" s="56">
        <f>267.466</f>
        <v>267.46600000000001</v>
      </c>
      <c r="E341" s="64">
        <f>133.845</f>
        <v>133.845</v>
      </c>
      <c r="F341" s="56">
        <f>278.484-40-25-60-100</f>
        <v>53.48399999999998</v>
      </c>
      <c r="G341" s="59">
        <v>40</v>
      </c>
      <c r="H341" s="56">
        <f t="shared" si="57"/>
        <v>185</v>
      </c>
      <c r="I341" s="56">
        <f t="shared" si="49"/>
        <v>0</v>
      </c>
      <c r="J341" s="59">
        <v>100</v>
      </c>
      <c r="K341" s="59">
        <v>300</v>
      </c>
      <c r="L341" s="56">
        <f t="shared" si="53"/>
        <v>1274</v>
      </c>
      <c r="M341" s="66">
        <v>600</v>
      </c>
      <c r="N341" s="56">
        <f>30</f>
        <v>30</v>
      </c>
      <c r="O341" s="59">
        <v>240</v>
      </c>
      <c r="P341" s="59">
        <v>160</v>
      </c>
      <c r="Q341" s="59">
        <f t="shared" si="54"/>
        <v>195</v>
      </c>
      <c r="R341" s="59">
        <f t="shared" si="55"/>
        <v>100</v>
      </c>
      <c r="S341" s="56">
        <f t="shared" si="56"/>
        <v>695</v>
      </c>
      <c r="T341" s="56">
        <f>50</f>
        <v>50</v>
      </c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</row>
    <row r="342" spans="1:30" ht="15.75" x14ac:dyDescent="0.25">
      <c r="A342" s="14">
        <v>51713</v>
      </c>
      <c r="B342" s="68">
        <v>31</v>
      </c>
      <c r="C342" s="56">
        <f>194.205</f>
        <v>194.20500000000001</v>
      </c>
      <c r="D342" s="56">
        <f>267.466</f>
        <v>267.46600000000001</v>
      </c>
      <c r="E342" s="64">
        <f>133.845</f>
        <v>133.845</v>
      </c>
      <c r="F342" s="56">
        <f>278.484-40-25-60-100</f>
        <v>53.48399999999998</v>
      </c>
      <c r="G342" s="59">
        <v>40</v>
      </c>
      <c r="H342" s="56">
        <f t="shared" si="57"/>
        <v>185</v>
      </c>
      <c r="I342" s="56">
        <f t="shared" si="49"/>
        <v>0</v>
      </c>
      <c r="J342" s="59">
        <v>100</v>
      </c>
      <c r="K342" s="59">
        <v>300</v>
      </c>
      <c r="L342" s="56">
        <f t="shared" si="53"/>
        <v>1274</v>
      </c>
      <c r="M342" s="66">
        <v>600</v>
      </c>
      <c r="N342" s="56">
        <f>30</f>
        <v>30</v>
      </c>
      <c r="O342" s="59">
        <v>240</v>
      </c>
      <c r="P342" s="59">
        <v>160</v>
      </c>
      <c r="Q342" s="59">
        <f t="shared" si="54"/>
        <v>195</v>
      </c>
      <c r="R342" s="59">
        <f t="shared" si="55"/>
        <v>100</v>
      </c>
      <c r="S342" s="56">
        <f t="shared" si="56"/>
        <v>695</v>
      </c>
      <c r="T342" s="56">
        <f>0</f>
        <v>0</v>
      </c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</row>
    <row r="343" spans="1:30" ht="15.75" x14ac:dyDescent="0.25">
      <c r="A343" s="14">
        <v>51744</v>
      </c>
      <c r="B343" s="68">
        <v>31</v>
      </c>
      <c r="C343" s="56">
        <f>194.205</f>
        <v>194.20500000000001</v>
      </c>
      <c r="D343" s="56">
        <f>267.466</f>
        <v>267.46600000000001</v>
      </c>
      <c r="E343" s="64">
        <f>133.845</f>
        <v>133.845</v>
      </c>
      <c r="F343" s="56">
        <f>278.484-40-25-60-100</f>
        <v>53.48399999999998</v>
      </c>
      <c r="G343" s="59">
        <v>40</v>
      </c>
      <c r="H343" s="56">
        <f t="shared" si="57"/>
        <v>185</v>
      </c>
      <c r="I343" s="56">
        <f t="shared" si="49"/>
        <v>0</v>
      </c>
      <c r="J343" s="59">
        <v>100</v>
      </c>
      <c r="K343" s="59">
        <v>300</v>
      </c>
      <c r="L343" s="56">
        <f t="shared" si="53"/>
        <v>1274</v>
      </c>
      <c r="M343" s="66">
        <v>600</v>
      </c>
      <c r="N343" s="56">
        <f>30</f>
        <v>30</v>
      </c>
      <c r="O343" s="59">
        <v>240</v>
      </c>
      <c r="P343" s="59">
        <v>160</v>
      </c>
      <c r="Q343" s="59">
        <f t="shared" si="54"/>
        <v>195</v>
      </c>
      <c r="R343" s="59">
        <f t="shared" si="55"/>
        <v>100</v>
      </c>
      <c r="S343" s="56">
        <f t="shared" si="56"/>
        <v>695</v>
      </c>
      <c r="T343" s="56">
        <f>0</f>
        <v>0</v>
      </c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</row>
    <row r="344" spans="1:30" ht="15.75" x14ac:dyDescent="0.25">
      <c r="A344" s="14">
        <v>51774</v>
      </c>
      <c r="B344" s="68">
        <v>30</v>
      </c>
      <c r="C344" s="56">
        <f>194.205</f>
        <v>194.20500000000001</v>
      </c>
      <c r="D344" s="56">
        <f>267.466</f>
        <v>267.46600000000001</v>
      </c>
      <c r="E344" s="64">
        <f>133.845</f>
        <v>133.845</v>
      </c>
      <c r="F344" s="56">
        <f>278.484-40-25-60-100</f>
        <v>53.48399999999998</v>
      </c>
      <c r="G344" s="59">
        <v>40</v>
      </c>
      <c r="H344" s="56">
        <f t="shared" si="57"/>
        <v>185</v>
      </c>
      <c r="I344" s="56">
        <f t="shared" si="49"/>
        <v>0</v>
      </c>
      <c r="J344" s="59">
        <v>100</v>
      </c>
      <c r="K344" s="59">
        <v>300</v>
      </c>
      <c r="L344" s="56">
        <f t="shared" si="53"/>
        <v>1274</v>
      </c>
      <c r="M344" s="66">
        <v>600</v>
      </c>
      <c r="N344" s="56">
        <f>30</f>
        <v>30</v>
      </c>
      <c r="O344" s="59">
        <v>240</v>
      </c>
      <c r="P344" s="59">
        <v>160</v>
      </c>
      <c r="Q344" s="59">
        <f t="shared" si="54"/>
        <v>195</v>
      </c>
      <c r="R344" s="59">
        <f t="shared" si="55"/>
        <v>100</v>
      </c>
      <c r="S344" s="56">
        <f t="shared" si="56"/>
        <v>695</v>
      </c>
      <c r="T344" s="56">
        <f>0</f>
        <v>0</v>
      </c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</row>
    <row r="345" spans="1:30" ht="15.75" x14ac:dyDescent="0.25">
      <c r="A345" s="14">
        <v>51805</v>
      </c>
      <c r="B345" s="68">
        <v>31</v>
      </c>
      <c r="C345" s="56">
        <f>131.881</f>
        <v>131.881</v>
      </c>
      <c r="D345" s="56">
        <f>277.167</f>
        <v>277.16699999999997</v>
      </c>
      <c r="E345" s="64">
        <f>79.08</f>
        <v>79.08</v>
      </c>
      <c r="F345" s="56">
        <f>350.872-40-25-60-100</f>
        <v>125.87200000000001</v>
      </c>
      <c r="G345" s="59">
        <v>40</v>
      </c>
      <c r="H345" s="56">
        <f t="shared" si="57"/>
        <v>185</v>
      </c>
      <c r="I345" s="56">
        <f t="shared" si="49"/>
        <v>0</v>
      </c>
      <c r="J345" s="59">
        <v>100</v>
      </c>
      <c r="K345" s="59">
        <v>300</v>
      </c>
      <c r="L345" s="56">
        <f t="shared" si="53"/>
        <v>1239</v>
      </c>
      <c r="M345" s="66">
        <v>600</v>
      </c>
      <c r="N345" s="56">
        <f>75</f>
        <v>75</v>
      </c>
      <c r="O345" s="59">
        <v>240</v>
      </c>
      <c r="P345" s="59">
        <v>160</v>
      </c>
      <c r="Q345" s="59">
        <f t="shared" si="54"/>
        <v>195</v>
      </c>
      <c r="R345" s="59">
        <f t="shared" si="55"/>
        <v>100</v>
      </c>
      <c r="S345" s="56">
        <f t="shared" si="56"/>
        <v>695</v>
      </c>
      <c r="T345" s="56">
        <f>0</f>
        <v>0</v>
      </c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</row>
    <row r="346" spans="1:30" ht="15.75" x14ac:dyDescent="0.25">
      <c r="A346" s="14">
        <v>51835</v>
      </c>
      <c r="B346" s="68">
        <v>30</v>
      </c>
      <c r="C346" s="56">
        <f>122.58</f>
        <v>122.58</v>
      </c>
      <c r="D346" s="56">
        <f>297.941</f>
        <v>297.94099999999997</v>
      </c>
      <c r="E346" s="64">
        <f>89.177</f>
        <v>89.177000000000007</v>
      </c>
      <c r="F346" s="56">
        <f>240.302-40-60-100</f>
        <v>40.301999999999992</v>
      </c>
      <c r="G346" s="59">
        <v>40</v>
      </c>
      <c r="H346" s="56">
        <f>60+100</f>
        <v>160</v>
      </c>
      <c r="I346" s="56">
        <f t="shared" si="49"/>
        <v>0</v>
      </c>
      <c r="J346" s="59">
        <v>100</v>
      </c>
      <c r="K346" s="59">
        <v>300</v>
      </c>
      <c r="L346" s="56">
        <f t="shared" si="53"/>
        <v>1150</v>
      </c>
      <c r="M346" s="66">
        <v>600</v>
      </c>
      <c r="N346" s="56">
        <f>100</f>
        <v>100</v>
      </c>
      <c r="O346" s="59">
        <v>240</v>
      </c>
      <c r="P346" s="59">
        <v>40</v>
      </c>
      <c r="Q346" s="59">
        <f t="shared" si="54"/>
        <v>315</v>
      </c>
      <c r="R346" s="59">
        <f t="shared" si="55"/>
        <v>100</v>
      </c>
      <c r="S346" s="56">
        <f t="shared" si="56"/>
        <v>695</v>
      </c>
      <c r="T346" s="56">
        <f>50</f>
        <v>50</v>
      </c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</row>
    <row r="347" spans="1:30" ht="15.75" x14ac:dyDescent="0.25">
      <c r="A347" s="14">
        <v>51866</v>
      </c>
      <c r="B347" s="68">
        <v>31</v>
      </c>
      <c r="C347" s="56">
        <f>122.58</f>
        <v>122.58</v>
      </c>
      <c r="D347" s="56">
        <f>297.941</f>
        <v>297.94099999999997</v>
      </c>
      <c r="E347" s="64">
        <f>89.177</f>
        <v>89.177000000000007</v>
      </c>
      <c r="F347" s="56">
        <f>240.302-40-60-100</f>
        <v>40.301999999999992</v>
      </c>
      <c r="G347" s="59">
        <v>40</v>
      </c>
      <c r="H347" s="56">
        <f>60+100</f>
        <v>160</v>
      </c>
      <c r="I347" s="56">
        <f t="shared" si="49"/>
        <v>0</v>
      </c>
      <c r="J347" s="59">
        <v>100</v>
      </c>
      <c r="K347" s="59">
        <v>300</v>
      </c>
      <c r="L347" s="56">
        <f t="shared" si="53"/>
        <v>1150</v>
      </c>
      <c r="M347" s="66">
        <v>600</v>
      </c>
      <c r="N347" s="56">
        <f>100</f>
        <v>100</v>
      </c>
      <c r="O347" s="59">
        <v>240</v>
      </c>
      <c r="P347" s="59">
        <v>40</v>
      </c>
      <c r="Q347" s="59">
        <f t="shared" si="54"/>
        <v>315</v>
      </c>
      <c r="R347" s="59">
        <f t="shared" si="55"/>
        <v>100</v>
      </c>
      <c r="S347" s="56">
        <f t="shared" si="56"/>
        <v>695</v>
      </c>
      <c r="T347" s="56">
        <f>50</f>
        <v>50</v>
      </c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</row>
    <row r="348" spans="1:30" ht="15.75" x14ac:dyDescent="0.25">
      <c r="A348" s="14">
        <v>51897</v>
      </c>
      <c r="B348" s="68">
        <v>31</v>
      </c>
      <c r="C348" s="56">
        <f>122.58</f>
        <v>122.58</v>
      </c>
      <c r="D348" s="56">
        <f>297.941</f>
        <v>297.94099999999997</v>
      </c>
      <c r="E348" s="64">
        <f>89.177</f>
        <v>89.177000000000007</v>
      </c>
      <c r="F348" s="56">
        <f>240.302-40-60-100</f>
        <v>40.301999999999992</v>
      </c>
      <c r="G348" s="59">
        <v>40</v>
      </c>
      <c r="H348" s="56">
        <f>60+100</f>
        <v>160</v>
      </c>
      <c r="I348" s="56">
        <f t="shared" si="49"/>
        <v>0</v>
      </c>
      <c r="J348" s="59">
        <v>100</v>
      </c>
      <c r="K348" s="59">
        <v>300</v>
      </c>
      <c r="L348" s="56">
        <f t="shared" si="53"/>
        <v>1150</v>
      </c>
      <c r="M348" s="66">
        <v>600</v>
      </c>
      <c r="N348" s="56">
        <f>100</f>
        <v>100</v>
      </c>
      <c r="O348" s="59">
        <v>240</v>
      </c>
      <c r="P348" s="59">
        <v>40</v>
      </c>
      <c r="Q348" s="59">
        <f t="shared" si="54"/>
        <v>315</v>
      </c>
      <c r="R348" s="59">
        <f t="shared" si="55"/>
        <v>100</v>
      </c>
      <c r="S348" s="56">
        <f t="shared" si="56"/>
        <v>695</v>
      </c>
      <c r="T348" s="56">
        <f>50</f>
        <v>50</v>
      </c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</row>
    <row r="349" spans="1:30" ht="15.75" x14ac:dyDescent="0.25">
      <c r="A349" s="14">
        <v>51925</v>
      </c>
      <c r="B349" s="68">
        <v>28</v>
      </c>
      <c r="C349" s="56">
        <f>122.58</f>
        <v>122.58</v>
      </c>
      <c r="D349" s="56">
        <f>297.941</f>
        <v>297.94099999999997</v>
      </c>
      <c r="E349" s="64">
        <f>89.177</f>
        <v>89.177000000000007</v>
      </c>
      <c r="F349" s="56">
        <f>240.302-40-60-100</f>
        <v>40.301999999999992</v>
      </c>
      <c r="G349" s="59">
        <v>40</v>
      </c>
      <c r="H349" s="56">
        <f>60+100</f>
        <v>160</v>
      </c>
      <c r="I349" s="56">
        <f t="shared" si="49"/>
        <v>0</v>
      </c>
      <c r="J349" s="59">
        <v>100</v>
      </c>
      <c r="K349" s="59">
        <v>300</v>
      </c>
      <c r="L349" s="56">
        <f t="shared" si="53"/>
        <v>1150</v>
      </c>
      <c r="M349" s="66">
        <v>600</v>
      </c>
      <c r="N349" s="56">
        <f>100</f>
        <v>100</v>
      </c>
      <c r="O349" s="59">
        <v>240</v>
      </c>
      <c r="P349" s="59">
        <v>40</v>
      </c>
      <c r="Q349" s="59">
        <f t="shared" si="54"/>
        <v>315</v>
      </c>
      <c r="R349" s="59">
        <f t="shared" si="55"/>
        <v>100</v>
      </c>
      <c r="S349" s="56">
        <f t="shared" si="56"/>
        <v>695</v>
      </c>
      <c r="T349" s="56">
        <f>50</f>
        <v>50</v>
      </c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</row>
    <row r="350" spans="1:30" ht="15.75" x14ac:dyDescent="0.25">
      <c r="A350" s="14">
        <v>51956</v>
      </c>
      <c r="B350" s="68">
        <v>31</v>
      </c>
      <c r="C350" s="56">
        <f>122.58</f>
        <v>122.58</v>
      </c>
      <c r="D350" s="56">
        <f>297.941</f>
        <v>297.94099999999997</v>
      </c>
      <c r="E350" s="64">
        <f>89.177</f>
        <v>89.177000000000007</v>
      </c>
      <c r="F350" s="56">
        <f>240.302-40-60-100</f>
        <v>40.301999999999992</v>
      </c>
      <c r="G350" s="59">
        <v>40</v>
      </c>
      <c r="H350" s="56">
        <f>60+100</f>
        <v>160</v>
      </c>
      <c r="I350" s="56">
        <f t="shared" si="49"/>
        <v>0</v>
      </c>
      <c r="J350" s="59">
        <v>100</v>
      </c>
      <c r="K350" s="59">
        <v>300</v>
      </c>
      <c r="L350" s="56">
        <f t="shared" si="53"/>
        <v>1150</v>
      </c>
      <c r="M350" s="66">
        <v>600</v>
      </c>
      <c r="N350" s="56">
        <f>100</f>
        <v>100</v>
      </c>
      <c r="O350" s="59">
        <v>240</v>
      </c>
      <c r="P350" s="59">
        <v>40</v>
      </c>
      <c r="Q350" s="59">
        <f t="shared" si="54"/>
        <v>315</v>
      </c>
      <c r="R350" s="59">
        <f t="shared" si="55"/>
        <v>100</v>
      </c>
      <c r="S350" s="56">
        <f t="shared" si="56"/>
        <v>695</v>
      </c>
      <c r="T350" s="56">
        <f>50</f>
        <v>50</v>
      </c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</row>
    <row r="351" spans="1:30" ht="15.75" x14ac:dyDescent="0.25">
      <c r="A351" s="14">
        <v>51986</v>
      </c>
      <c r="B351" s="68">
        <v>30</v>
      </c>
      <c r="C351" s="56">
        <f>141.293</f>
        <v>141.29300000000001</v>
      </c>
      <c r="D351" s="56">
        <f>267.993</f>
        <v>267.99299999999999</v>
      </c>
      <c r="E351" s="64">
        <f>115.016</f>
        <v>115.01600000000001</v>
      </c>
      <c r="F351" s="56">
        <f>314.698-40-25-60-100</f>
        <v>89.697999999999979</v>
      </c>
      <c r="G351" s="59">
        <v>40</v>
      </c>
      <c r="H351" s="56">
        <f t="shared" ref="H351:H357" si="58">25+60+100</f>
        <v>185</v>
      </c>
      <c r="I351" s="56">
        <f t="shared" si="49"/>
        <v>0</v>
      </c>
      <c r="J351" s="59">
        <v>100</v>
      </c>
      <c r="K351" s="59">
        <v>300</v>
      </c>
      <c r="L351" s="56">
        <f t="shared" si="53"/>
        <v>1239</v>
      </c>
      <c r="M351" s="66">
        <v>600</v>
      </c>
      <c r="N351" s="56">
        <f>100</f>
        <v>100</v>
      </c>
      <c r="O351" s="59">
        <v>240</v>
      </c>
      <c r="P351" s="59">
        <v>160</v>
      </c>
      <c r="Q351" s="59">
        <f t="shared" si="54"/>
        <v>195</v>
      </c>
      <c r="R351" s="59">
        <f t="shared" si="55"/>
        <v>100</v>
      </c>
      <c r="S351" s="56">
        <f t="shared" si="56"/>
        <v>695</v>
      </c>
      <c r="T351" s="56">
        <f>50</f>
        <v>50</v>
      </c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</row>
    <row r="352" spans="1:30" ht="15.75" x14ac:dyDescent="0.25">
      <c r="A352" s="14">
        <v>52017</v>
      </c>
      <c r="B352" s="68">
        <v>31</v>
      </c>
      <c r="C352" s="56">
        <f>194.205</f>
        <v>194.20500000000001</v>
      </c>
      <c r="D352" s="56">
        <f>267.466</f>
        <v>267.46600000000001</v>
      </c>
      <c r="E352" s="64">
        <f>133.845</f>
        <v>133.845</v>
      </c>
      <c r="F352" s="56">
        <f>278.484-40-25-60-100</f>
        <v>53.48399999999998</v>
      </c>
      <c r="G352" s="59">
        <v>40</v>
      </c>
      <c r="H352" s="56">
        <f t="shared" si="58"/>
        <v>185</v>
      </c>
      <c r="I352" s="56">
        <f t="shared" si="49"/>
        <v>0</v>
      </c>
      <c r="J352" s="59">
        <v>100</v>
      </c>
      <c r="K352" s="59">
        <v>300</v>
      </c>
      <c r="L352" s="56">
        <f t="shared" si="53"/>
        <v>1274</v>
      </c>
      <c r="M352" s="66">
        <v>600</v>
      </c>
      <c r="N352" s="56">
        <f>75</f>
        <v>75</v>
      </c>
      <c r="O352" s="59">
        <v>240</v>
      </c>
      <c r="P352" s="59">
        <v>160</v>
      </c>
      <c r="Q352" s="59">
        <f t="shared" si="54"/>
        <v>195</v>
      </c>
      <c r="R352" s="59">
        <f t="shared" si="55"/>
        <v>100</v>
      </c>
      <c r="S352" s="56">
        <f t="shared" si="56"/>
        <v>695</v>
      </c>
      <c r="T352" s="56">
        <f>50</f>
        <v>50</v>
      </c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</row>
    <row r="353" spans="1:30" ht="15.75" x14ac:dyDescent="0.25">
      <c r="A353" s="14">
        <v>52047</v>
      </c>
      <c r="B353" s="68">
        <v>30</v>
      </c>
      <c r="C353" s="56">
        <f>194.205</f>
        <v>194.20500000000001</v>
      </c>
      <c r="D353" s="56">
        <f>267.466</f>
        <v>267.46600000000001</v>
      </c>
      <c r="E353" s="64">
        <f>133.845</f>
        <v>133.845</v>
      </c>
      <c r="F353" s="56">
        <f>278.484-40-25-60-100</f>
        <v>53.48399999999998</v>
      </c>
      <c r="G353" s="59">
        <v>40</v>
      </c>
      <c r="H353" s="56">
        <f t="shared" si="58"/>
        <v>185</v>
      </c>
      <c r="I353" s="56">
        <f t="shared" si="49"/>
        <v>0</v>
      </c>
      <c r="J353" s="59">
        <v>100</v>
      </c>
      <c r="K353" s="59">
        <v>300</v>
      </c>
      <c r="L353" s="56">
        <f t="shared" si="53"/>
        <v>1274</v>
      </c>
      <c r="M353" s="66">
        <v>600</v>
      </c>
      <c r="N353" s="56">
        <f>30</f>
        <v>30</v>
      </c>
      <c r="O353" s="59">
        <v>240</v>
      </c>
      <c r="P353" s="59">
        <v>160</v>
      </c>
      <c r="Q353" s="59">
        <f t="shared" si="54"/>
        <v>195</v>
      </c>
      <c r="R353" s="59">
        <f t="shared" si="55"/>
        <v>100</v>
      </c>
      <c r="S353" s="56">
        <f t="shared" si="56"/>
        <v>695</v>
      </c>
      <c r="T353" s="56">
        <f>50</f>
        <v>50</v>
      </c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</row>
    <row r="354" spans="1:30" ht="15.75" x14ac:dyDescent="0.25">
      <c r="A354" s="14">
        <v>52078</v>
      </c>
      <c r="B354" s="68">
        <v>31</v>
      </c>
      <c r="C354" s="56">
        <f>194.205</f>
        <v>194.20500000000001</v>
      </c>
      <c r="D354" s="56">
        <f>267.466</f>
        <v>267.46600000000001</v>
      </c>
      <c r="E354" s="64">
        <f>133.845</f>
        <v>133.845</v>
      </c>
      <c r="F354" s="56">
        <f>278.484-40-25-60-100</f>
        <v>53.48399999999998</v>
      </c>
      <c r="G354" s="59">
        <v>40</v>
      </c>
      <c r="H354" s="56">
        <f t="shared" si="58"/>
        <v>185</v>
      </c>
      <c r="I354" s="56">
        <f t="shared" si="49"/>
        <v>0</v>
      </c>
      <c r="J354" s="59">
        <v>100</v>
      </c>
      <c r="K354" s="59">
        <v>300</v>
      </c>
      <c r="L354" s="56">
        <f t="shared" si="53"/>
        <v>1274</v>
      </c>
      <c r="M354" s="66">
        <v>600</v>
      </c>
      <c r="N354" s="56">
        <f>30</f>
        <v>30</v>
      </c>
      <c r="O354" s="59">
        <v>240</v>
      </c>
      <c r="P354" s="59">
        <v>160</v>
      </c>
      <c r="Q354" s="59">
        <f t="shared" si="54"/>
        <v>195</v>
      </c>
      <c r="R354" s="59">
        <f t="shared" si="55"/>
        <v>100</v>
      </c>
      <c r="S354" s="56">
        <f t="shared" si="56"/>
        <v>695</v>
      </c>
      <c r="T354" s="56">
        <f>0</f>
        <v>0</v>
      </c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</row>
    <row r="355" spans="1:30" ht="15.75" x14ac:dyDescent="0.25">
      <c r="A355" s="14">
        <v>52109</v>
      </c>
      <c r="B355" s="68">
        <v>31</v>
      </c>
      <c r="C355" s="56">
        <f>194.205</f>
        <v>194.20500000000001</v>
      </c>
      <c r="D355" s="56">
        <f>267.466</f>
        <v>267.46600000000001</v>
      </c>
      <c r="E355" s="64">
        <f>133.845</f>
        <v>133.845</v>
      </c>
      <c r="F355" s="56">
        <f>278.484-40-25-60-100</f>
        <v>53.48399999999998</v>
      </c>
      <c r="G355" s="59">
        <v>40</v>
      </c>
      <c r="H355" s="56">
        <f t="shared" si="58"/>
        <v>185</v>
      </c>
      <c r="I355" s="56">
        <f t="shared" si="49"/>
        <v>0</v>
      </c>
      <c r="J355" s="59">
        <v>100</v>
      </c>
      <c r="K355" s="59">
        <v>300</v>
      </c>
      <c r="L355" s="56">
        <f t="shared" si="53"/>
        <v>1274</v>
      </c>
      <c r="M355" s="66">
        <v>600</v>
      </c>
      <c r="N355" s="56">
        <f>30</f>
        <v>30</v>
      </c>
      <c r="O355" s="59">
        <v>240</v>
      </c>
      <c r="P355" s="59">
        <v>160</v>
      </c>
      <c r="Q355" s="59">
        <f t="shared" si="54"/>
        <v>195</v>
      </c>
      <c r="R355" s="59">
        <f t="shared" si="55"/>
        <v>100</v>
      </c>
      <c r="S355" s="56">
        <f t="shared" si="56"/>
        <v>695</v>
      </c>
      <c r="T355" s="56">
        <f>0</f>
        <v>0</v>
      </c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</row>
    <row r="356" spans="1:30" ht="15.75" x14ac:dyDescent="0.25">
      <c r="A356" s="14">
        <v>52139</v>
      </c>
      <c r="B356" s="68">
        <v>30</v>
      </c>
      <c r="C356" s="56">
        <f>194.205</f>
        <v>194.20500000000001</v>
      </c>
      <c r="D356" s="56">
        <f>267.466</f>
        <v>267.46600000000001</v>
      </c>
      <c r="E356" s="64">
        <f>133.845</f>
        <v>133.845</v>
      </c>
      <c r="F356" s="56">
        <f>278.484-40-25-60-100</f>
        <v>53.48399999999998</v>
      </c>
      <c r="G356" s="59">
        <v>40</v>
      </c>
      <c r="H356" s="56">
        <f t="shared" si="58"/>
        <v>185</v>
      </c>
      <c r="I356" s="56">
        <f t="shared" si="49"/>
        <v>0</v>
      </c>
      <c r="J356" s="59">
        <v>100</v>
      </c>
      <c r="K356" s="59">
        <v>300</v>
      </c>
      <c r="L356" s="56">
        <f t="shared" si="53"/>
        <v>1274</v>
      </c>
      <c r="M356" s="66">
        <v>600</v>
      </c>
      <c r="N356" s="56">
        <f>30</f>
        <v>30</v>
      </c>
      <c r="O356" s="59">
        <v>240</v>
      </c>
      <c r="P356" s="59">
        <v>160</v>
      </c>
      <c r="Q356" s="59">
        <f t="shared" si="54"/>
        <v>195</v>
      </c>
      <c r="R356" s="59">
        <f t="shared" si="55"/>
        <v>100</v>
      </c>
      <c r="S356" s="56">
        <f t="shared" si="56"/>
        <v>695</v>
      </c>
      <c r="T356" s="56">
        <f>0</f>
        <v>0</v>
      </c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</row>
    <row r="357" spans="1:30" ht="15.75" x14ac:dyDescent="0.25">
      <c r="A357" s="14">
        <v>52170</v>
      </c>
      <c r="B357" s="68">
        <v>31</v>
      </c>
      <c r="C357" s="56">
        <f>131.881</f>
        <v>131.881</v>
      </c>
      <c r="D357" s="56">
        <f>277.167</f>
        <v>277.16699999999997</v>
      </c>
      <c r="E357" s="64">
        <f>79.08</f>
        <v>79.08</v>
      </c>
      <c r="F357" s="56">
        <f>350.872-40-25-60-100</f>
        <v>125.87200000000001</v>
      </c>
      <c r="G357" s="59">
        <v>40</v>
      </c>
      <c r="H357" s="56">
        <f t="shared" si="58"/>
        <v>185</v>
      </c>
      <c r="I357" s="56">
        <f t="shared" si="49"/>
        <v>0</v>
      </c>
      <c r="J357" s="59">
        <v>100</v>
      </c>
      <c r="K357" s="59">
        <v>300</v>
      </c>
      <c r="L357" s="56">
        <f t="shared" si="53"/>
        <v>1239</v>
      </c>
      <c r="M357" s="66">
        <v>600</v>
      </c>
      <c r="N357" s="56">
        <f>75</f>
        <v>75</v>
      </c>
      <c r="O357" s="59">
        <v>240</v>
      </c>
      <c r="P357" s="59">
        <v>160</v>
      </c>
      <c r="Q357" s="59">
        <f t="shared" si="54"/>
        <v>195</v>
      </c>
      <c r="R357" s="59">
        <f t="shared" si="55"/>
        <v>100</v>
      </c>
      <c r="S357" s="56">
        <f t="shared" si="56"/>
        <v>695</v>
      </c>
      <c r="T357" s="56">
        <f>0</f>
        <v>0</v>
      </c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</row>
    <row r="358" spans="1:30" ht="15.75" x14ac:dyDescent="0.25">
      <c r="A358" s="14">
        <v>52200</v>
      </c>
      <c r="B358" s="68">
        <v>30</v>
      </c>
      <c r="C358" s="56">
        <f>122.58</f>
        <v>122.58</v>
      </c>
      <c r="D358" s="56">
        <f>297.941</f>
        <v>297.94099999999997</v>
      </c>
      <c r="E358" s="64">
        <f>89.177</f>
        <v>89.177000000000007</v>
      </c>
      <c r="F358" s="56">
        <f>240.302-40-60-100</f>
        <v>40.301999999999992</v>
      </c>
      <c r="G358" s="59">
        <v>40</v>
      </c>
      <c r="H358" s="56">
        <f>60+100</f>
        <v>160</v>
      </c>
      <c r="I358" s="56">
        <f t="shared" si="49"/>
        <v>0</v>
      </c>
      <c r="J358" s="59">
        <v>100</v>
      </c>
      <c r="K358" s="59">
        <v>300</v>
      </c>
      <c r="L358" s="56">
        <f t="shared" si="53"/>
        <v>1150</v>
      </c>
      <c r="M358" s="66">
        <v>600</v>
      </c>
      <c r="N358" s="56">
        <f>100</f>
        <v>100</v>
      </c>
      <c r="O358" s="59">
        <v>240</v>
      </c>
      <c r="P358" s="59">
        <v>40</v>
      </c>
      <c r="Q358" s="59">
        <f t="shared" si="54"/>
        <v>315</v>
      </c>
      <c r="R358" s="59">
        <f t="shared" si="55"/>
        <v>100</v>
      </c>
      <c r="S358" s="56">
        <f t="shared" si="56"/>
        <v>695</v>
      </c>
      <c r="T358" s="56">
        <f>50</f>
        <v>50</v>
      </c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</row>
    <row r="359" spans="1:30" ht="15.75" x14ac:dyDescent="0.25">
      <c r="A359" s="14">
        <v>52231</v>
      </c>
      <c r="B359" s="68">
        <v>31</v>
      </c>
      <c r="C359" s="56">
        <f>122.58</f>
        <v>122.58</v>
      </c>
      <c r="D359" s="56">
        <f>297.941</f>
        <v>297.94099999999997</v>
      </c>
      <c r="E359" s="64">
        <f>89.177</f>
        <v>89.177000000000007</v>
      </c>
      <c r="F359" s="56">
        <f>240.302-40-60-100</f>
        <v>40.301999999999992</v>
      </c>
      <c r="G359" s="59">
        <v>40</v>
      </c>
      <c r="H359" s="56">
        <f>60+100</f>
        <v>160</v>
      </c>
      <c r="I359" s="56">
        <f t="shared" si="49"/>
        <v>0</v>
      </c>
      <c r="J359" s="59">
        <v>100</v>
      </c>
      <c r="K359" s="59">
        <v>300</v>
      </c>
      <c r="L359" s="56">
        <f t="shared" si="53"/>
        <v>1150</v>
      </c>
      <c r="M359" s="66">
        <v>600</v>
      </c>
      <c r="N359" s="56">
        <f>100</f>
        <v>100</v>
      </c>
      <c r="O359" s="59">
        <v>240</v>
      </c>
      <c r="P359" s="59">
        <v>40</v>
      </c>
      <c r="Q359" s="59">
        <f t="shared" si="54"/>
        <v>315</v>
      </c>
      <c r="R359" s="59">
        <f t="shared" si="55"/>
        <v>100</v>
      </c>
      <c r="S359" s="56">
        <f t="shared" si="56"/>
        <v>695</v>
      </c>
      <c r="T359" s="56">
        <f>50</f>
        <v>50</v>
      </c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</row>
    <row r="360" spans="1:30" ht="15.75" x14ac:dyDescent="0.25">
      <c r="A360" s="14">
        <v>52262</v>
      </c>
      <c r="B360" s="68">
        <v>31</v>
      </c>
      <c r="C360" s="56">
        <f>122.58</f>
        <v>122.58</v>
      </c>
      <c r="D360" s="56">
        <f>297.941</f>
        <v>297.94099999999997</v>
      </c>
      <c r="E360" s="64">
        <f>89.177</f>
        <v>89.177000000000007</v>
      </c>
      <c r="F360" s="56">
        <f>240.302-40-60-100</f>
        <v>40.301999999999992</v>
      </c>
      <c r="G360" s="59">
        <v>40</v>
      </c>
      <c r="H360" s="56">
        <f>60+100</f>
        <v>160</v>
      </c>
      <c r="I360" s="56">
        <f t="shared" ref="I360:I423" si="59">400-J360-K360</f>
        <v>0</v>
      </c>
      <c r="J360" s="59">
        <v>100</v>
      </c>
      <c r="K360" s="59">
        <v>300</v>
      </c>
      <c r="L360" s="56">
        <f t="shared" si="53"/>
        <v>1150</v>
      </c>
      <c r="M360" s="66">
        <v>600</v>
      </c>
      <c r="N360" s="56">
        <f>100</f>
        <v>100</v>
      </c>
      <c r="O360" s="59">
        <v>240</v>
      </c>
      <c r="P360" s="59">
        <v>40</v>
      </c>
      <c r="Q360" s="59">
        <f t="shared" si="54"/>
        <v>315</v>
      </c>
      <c r="R360" s="59">
        <f t="shared" si="55"/>
        <v>100</v>
      </c>
      <c r="S360" s="56">
        <f t="shared" si="56"/>
        <v>695</v>
      </c>
      <c r="T360" s="56">
        <f>50</f>
        <v>50</v>
      </c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</row>
    <row r="361" spans="1:30" ht="15.75" x14ac:dyDescent="0.25">
      <c r="A361" s="14">
        <v>52290</v>
      </c>
      <c r="B361" s="68">
        <v>28</v>
      </c>
      <c r="C361" s="56">
        <f>122.58</f>
        <v>122.58</v>
      </c>
      <c r="D361" s="56">
        <f>297.941</f>
        <v>297.94099999999997</v>
      </c>
      <c r="E361" s="64">
        <f>89.177</f>
        <v>89.177000000000007</v>
      </c>
      <c r="F361" s="56">
        <f>240.302-40-60-100</f>
        <v>40.301999999999992</v>
      </c>
      <c r="G361" s="59">
        <v>40</v>
      </c>
      <c r="H361" s="56">
        <f>60+100</f>
        <v>160</v>
      </c>
      <c r="I361" s="56">
        <f t="shared" si="59"/>
        <v>0</v>
      </c>
      <c r="J361" s="59">
        <v>100</v>
      </c>
      <c r="K361" s="59">
        <v>300</v>
      </c>
      <c r="L361" s="56">
        <f t="shared" si="53"/>
        <v>1150</v>
      </c>
      <c r="M361" s="66">
        <v>600</v>
      </c>
      <c r="N361" s="56">
        <f>100</f>
        <v>100</v>
      </c>
      <c r="O361" s="59">
        <v>240</v>
      </c>
      <c r="P361" s="59">
        <v>40</v>
      </c>
      <c r="Q361" s="59">
        <f t="shared" si="54"/>
        <v>315</v>
      </c>
      <c r="R361" s="59">
        <f t="shared" si="55"/>
        <v>100</v>
      </c>
      <c r="S361" s="56">
        <f t="shared" si="56"/>
        <v>695</v>
      </c>
      <c r="T361" s="56">
        <f>50</f>
        <v>50</v>
      </c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</row>
    <row r="362" spans="1:30" ht="15.75" x14ac:dyDescent="0.25">
      <c r="A362" s="14">
        <v>52321</v>
      </c>
      <c r="B362" s="68">
        <v>31</v>
      </c>
      <c r="C362" s="56">
        <f>122.58</f>
        <v>122.58</v>
      </c>
      <c r="D362" s="56">
        <f>297.941</f>
        <v>297.94099999999997</v>
      </c>
      <c r="E362" s="64">
        <f>89.177</f>
        <v>89.177000000000007</v>
      </c>
      <c r="F362" s="56">
        <f>240.302-40-60-100</f>
        <v>40.301999999999992</v>
      </c>
      <c r="G362" s="59">
        <v>40</v>
      </c>
      <c r="H362" s="56">
        <f>60+100</f>
        <v>160</v>
      </c>
      <c r="I362" s="56">
        <f t="shared" si="59"/>
        <v>0</v>
      </c>
      <c r="J362" s="59">
        <v>100</v>
      </c>
      <c r="K362" s="59">
        <v>300</v>
      </c>
      <c r="L362" s="56">
        <f t="shared" si="53"/>
        <v>1150</v>
      </c>
      <c r="M362" s="66">
        <v>600</v>
      </c>
      <c r="N362" s="56">
        <f>100</f>
        <v>100</v>
      </c>
      <c r="O362" s="59">
        <v>240</v>
      </c>
      <c r="P362" s="59">
        <v>40</v>
      </c>
      <c r="Q362" s="59">
        <f t="shared" si="54"/>
        <v>315</v>
      </c>
      <c r="R362" s="59">
        <f t="shared" si="55"/>
        <v>100</v>
      </c>
      <c r="S362" s="56">
        <f t="shared" si="56"/>
        <v>695</v>
      </c>
      <c r="T362" s="56">
        <f>50</f>
        <v>50</v>
      </c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</row>
    <row r="363" spans="1:30" ht="15.75" x14ac:dyDescent="0.25">
      <c r="A363" s="14">
        <v>52351</v>
      </c>
      <c r="B363" s="68">
        <v>30</v>
      </c>
      <c r="C363" s="56">
        <f>141.293</f>
        <v>141.29300000000001</v>
      </c>
      <c r="D363" s="56">
        <f>267.993</f>
        <v>267.99299999999999</v>
      </c>
      <c r="E363" s="64">
        <f>115.016</f>
        <v>115.01600000000001</v>
      </c>
      <c r="F363" s="56">
        <f>314.698-40-25-60-100</f>
        <v>89.697999999999979</v>
      </c>
      <c r="G363" s="59">
        <v>40</v>
      </c>
      <c r="H363" s="56">
        <f t="shared" ref="H363:H369" si="60">25+60+100</f>
        <v>185</v>
      </c>
      <c r="I363" s="56">
        <f t="shared" si="59"/>
        <v>0</v>
      </c>
      <c r="J363" s="59">
        <v>100</v>
      </c>
      <c r="K363" s="59">
        <v>300</v>
      </c>
      <c r="L363" s="56">
        <f t="shared" si="53"/>
        <v>1239</v>
      </c>
      <c r="M363" s="66">
        <v>600</v>
      </c>
      <c r="N363" s="56">
        <f>100</f>
        <v>100</v>
      </c>
      <c r="O363" s="59">
        <v>240</v>
      </c>
      <c r="P363" s="59">
        <v>160</v>
      </c>
      <c r="Q363" s="59">
        <f t="shared" si="54"/>
        <v>195</v>
      </c>
      <c r="R363" s="59">
        <f t="shared" si="55"/>
        <v>100</v>
      </c>
      <c r="S363" s="56">
        <f t="shared" si="56"/>
        <v>695</v>
      </c>
      <c r="T363" s="56">
        <f>50</f>
        <v>50</v>
      </c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</row>
    <row r="364" spans="1:30" ht="15.75" x14ac:dyDescent="0.25">
      <c r="A364" s="14">
        <v>52382</v>
      </c>
      <c r="B364" s="68">
        <v>31</v>
      </c>
      <c r="C364" s="56">
        <f>194.205</f>
        <v>194.20500000000001</v>
      </c>
      <c r="D364" s="56">
        <f>267.466</f>
        <v>267.46600000000001</v>
      </c>
      <c r="E364" s="64">
        <f>133.845</f>
        <v>133.845</v>
      </c>
      <c r="F364" s="56">
        <f>278.484-40-25-60-100</f>
        <v>53.48399999999998</v>
      </c>
      <c r="G364" s="59">
        <v>40</v>
      </c>
      <c r="H364" s="56">
        <f t="shared" si="60"/>
        <v>185</v>
      </c>
      <c r="I364" s="56">
        <f t="shared" si="59"/>
        <v>0</v>
      </c>
      <c r="J364" s="59">
        <v>100</v>
      </c>
      <c r="K364" s="59">
        <v>300</v>
      </c>
      <c r="L364" s="56">
        <f t="shared" si="53"/>
        <v>1274</v>
      </c>
      <c r="M364" s="66">
        <v>600</v>
      </c>
      <c r="N364" s="56">
        <f>75</f>
        <v>75</v>
      </c>
      <c r="O364" s="59">
        <v>240</v>
      </c>
      <c r="P364" s="59">
        <v>160</v>
      </c>
      <c r="Q364" s="59">
        <f t="shared" si="54"/>
        <v>195</v>
      </c>
      <c r="R364" s="59">
        <f t="shared" si="55"/>
        <v>100</v>
      </c>
      <c r="S364" s="56">
        <f t="shared" si="56"/>
        <v>695</v>
      </c>
      <c r="T364" s="56">
        <f>50</f>
        <v>50</v>
      </c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</row>
    <row r="365" spans="1:30" ht="15.75" x14ac:dyDescent="0.25">
      <c r="A365" s="14">
        <v>52412</v>
      </c>
      <c r="B365" s="68">
        <v>30</v>
      </c>
      <c r="C365" s="56">
        <f>194.205</f>
        <v>194.20500000000001</v>
      </c>
      <c r="D365" s="56">
        <f>267.466</f>
        <v>267.46600000000001</v>
      </c>
      <c r="E365" s="64">
        <f>133.845</f>
        <v>133.845</v>
      </c>
      <c r="F365" s="56">
        <f>278.484-40-25-60-100</f>
        <v>53.48399999999998</v>
      </c>
      <c r="G365" s="59">
        <v>40</v>
      </c>
      <c r="H365" s="56">
        <f t="shared" si="60"/>
        <v>185</v>
      </c>
      <c r="I365" s="56">
        <f t="shared" si="59"/>
        <v>0</v>
      </c>
      <c r="J365" s="59">
        <v>100</v>
      </c>
      <c r="K365" s="59">
        <v>300</v>
      </c>
      <c r="L365" s="56">
        <f t="shared" si="53"/>
        <v>1274</v>
      </c>
      <c r="M365" s="66">
        <v>600</v>
      </c>
      <c r="N365" s="56">
        <f>30</f>
        <v>30</v>
      </c>
      <c r="O365" s="59">
        <v>240</v>
      </c>
      <c r="P365" s="59">
        <v>160</v>
      </c>
      <c r="Q365" s="59">
        <f t="shared" si="54"/>
        <v>195</v>
      </c>
      <c r="R365" s="59">
        <f t="shared" si="55"/>
        <v>100</v>
      </c>
      <c r="S365" s="56">
        <f t="shared" si="56"/>
        <v>695</v>
      </c>
      <c r="T365" s="56">
        <f>50</f>
        <v>50</v>
      </c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</row>
    <row r="366" spans="1:30" ht="15.75" x14ac:dyDescent="0.25">
      <c r="A366" s="14">
        <v>52443</v>
      </c>
      <c r="B366" s="68">
        <v>31</v>
      </c>
      <c r="C366" s="56">
        <f>194.205</f>
        <v>194.20500000000001</v>
      </c>
      <c r="D366" s="56">
        <f>267.466</f>
        <v>267.46600000000001</v>
      </c>
      <c r="E366" s="64">
        <f>133.845</f>
        <v>133.845</v>
      </c>
      <c r="F366" s="56">
        <f>278.484-40-25-60-100</f>
        <v>53.48399999999998</v>
      </c>
      <c r="G366" s="59">
        <v>40</v>
      </c>
      <c r="H366" s="56">
        <f t="shared" si="60"/>
        <v>185</v>
      </c>
      <c r="I366" s="56">
        <f t="shared" si="59"/>
        <v>0</v>
      </c>
      <c r="J366" s="59">
        <v>100</v>
      </c>
      <c r="K366" s="59">
        <v>300</v>
      </c>
      <c r="L366" s="56">
        <f t="shared" si="53"/>
        <v>1274</v>
      </c>
      <c r="M366" s="66">
        <v>600</v>
      </c>
      <c r="N366" s="56">
        <f>30</f>
        <v>30</v>
      </c>
      <c r="O366" s="59">
        <v>240</v>
      </c>
      <c r="P366" s="59">
        <v>160</v>
      </c>
      <c r="Q366" s="59">
        <f t="shared" si="54"/>
        <v>195</v>
      </c>
      <c r="R366" s="59">
        <f t="shared" si="55"/>
        <v>100</v>
      </c>
      <c r="S366" s="56">
        <f t="shared" si="56"/>
        <v>695</v>
      </c>
      <c r="T366" s="56">
        <f>0</f>
        <v>0</v>
      </c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</row>
    <row r="367" spans="1:30" ht="15.75" x14ac:dyDescent="0.25">
      <c r="A367" s="14">
        <v>52474</v>
      </c>
      <c r="B367" s="68">
        <v>31</v>
      </c>
      <c r="C367" s="56">
        <f>194.205</f>
        <v>194.20500000000001</v>
      </c>
      <c r="D367" s="56">
        <f>267.466</f>
        <v>267.46600000000001</v>
      </c>
      <c r="E367" s="64">
        <f>133.845</f>
        <v>133.845</v>
      </c>
      <c r="F367" s="56">
        <f>278.484-40-25-60-100</f>
        <v>53.48399999999998</v>
      </c>
      <c r="G367" s="59">
        <v>40</v>
      </c>
      <c r="H367" s="56">
        <f t="shared" si="60"/>
        <v>185</v>
      </c>
      <c r="I367" s="56">
        <f t="shared" si="59"/>
        <v>0</v>
      </c>
      <c r="J367" s="59">
        <v>100</v>
      </c>
      <c r="K367" s="59">
        <v>300</v>
      </c>
      <c r="L367" s="56">
        <f t="shared" si="53"/>
        <v>1274</v>
      </c>
      <c r="M367" s="66">
        <v>600</v>
      </c>
      <c r="N367" s="56">
        <f>30</f>
        <v>30</v>
      </c>
      <c r="O367" s="59">
        <v>240</v>
      </c>
      <c r="P367" s="59">
        <v>160</v>
      </c>
      <c r="Q367" s="59">
        <f t="shared" si="54"/>
        <v>195</v>
      </c>
      <c r="R367" s="59">
        <f t="shared" si="55"/>
        <v>100</v>
      </c>
      <c r="S367" s="56">
        <f t="shared" si="56"/>
        <v>695</v>
      </c>
      <c r="T367" s="56">
        <f>0</f>
        <v>0</v>
      </c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</row>
    <row r="368" spans="1:30" ht="15.75" x14ac:dyDescent="0.25">
      <c r="A368" s="14">
        <v>52504</v>
      </c>
      <c r="B368" s="68">
        <v>30</v>
      </c>
      <c r="C368" s="56">
        <f>194.205</f>
        <v>194.20500000000001</v>
      </c>
      <c r="D368" s="56">
        <f>267.466</f>
        <v>267.46600000000001</v>
      </c>
      <c r="E368" s="64">
        <f>133.845</f>
        <v>133.845</v>
      </c>
      <c r="F368" s="56">
        <f>278.484-40-25-60-100</f>
        <v>53.48399999999998</v>
      </c>
      <c r="G368" s="59">
        <v>40</v>
      </c>
      <c r="H368" s="56">
        <f t="shared" si="60"/>
        <v>185</v>
      </c>
      <c r="I368" s="56">
        <f t="shared" si="59"/>
        <v>0</v>
      </c>
      <c r="J368" s="59">
        <v>100</v>
      </c>
      <c r="K368" s="59">
        <v>300</v>
      </c>
      <c r="L368" s="56">
        <f t="shared" si="53"/>
        <v>1274</v>
      </c>
      <c r="M368" s="66">
        <v>600</v>
      </c>
      <c r="N368" s="56">
        <f>30</f>
        <v>30</v>
      </c>
      <c r="O368" s="59">
        <v>240</v>
      </c>
      <c r="P368" s="59">
        <v>160</v>
      </c>
      <c r="Q368" s="59">
        <f t="shared" si="54"/>
        <v>195</v>
      </c>
      <c r="R368" s="59">
        <f t="shared" si="55"/>
        <v>100</v>
      </c>
      <c r="S368" s="56">
        <f t="shared" si="56"/>
        <v>695</v>
      </c>
      <c r="T368" s="56">
        <f>0</f>
        <v>0</v>
      </c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</row>
    <row r="369" spans="1:30" ht="15.75" x14ac:dyDescent="0.25">
      <c r="A369" s="14">
        <v>52535</v>
      </c>
      <c r="B369" s="68">
        <v>31</v>
      </c>
      <c r="C369" s="56">
        <f>131.881</f>
        <v>131.881</v>
      </c>
      <c r="D369" s="56">
        <f>277.167</f>
        <v>277.16699999999997</v>
      </c>
      <c r="E369" s="64">
        <f>79.08</f>
        <v>79.08</v>
      </c>
      <c r="F369" s="56">
        <f>350.872-40-25-60-100</f>
        <v>125.87200000000001</v>
      </c>
      <c r="G369" s="59">
        <v>40</v>
      </c>
      <c r="H369" s="56">
        <f t="shared" si="60"/>
        <v>185</v>
      </c>
      <c r="I369" s="56">
        <f t="shared" si="59"/>
        <v>0</v>
      </c>
      <c r="J369" s="59">
        <v>100</v>
      </c>
      <c r="K369" s="59">
        <v>300</v>
      </c>
      <c r="L369" s="56">
        <f t="shared" si="53"/>
        <v>1239</v>
      </c>
      <c r="M369" s="66">
        <v>600</v>
      </c>
      <c r="N369" s="56">
        <f>75</f>
        <v>75</v>
      </c>
      <c r="O369" s="59">
        <v>240</v>
      </c>
      <c r="P369" s="59">
        <v>160</v>
      </c>
      <c r="Q369" s="59">
        <f t="shared" si="54"/>
        <v>195</v>
      </c>
      <c r="R369" s="59">
        <f t="shared" si="55"/>
        <v>100</v>
      </c>
      <c r="S369" s="56">
        <f t="shared" si="56"/>
        <v>695</v>
      </c>
      <c r="T369" s="56">
        <f>0</f>
        <v>0</v>
      </c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</row>
    <row r="370" spans="1:30" ht="15.75" x14ac:dyDescent="0.25">
      <c r="A370" s="14">
        <v>52565</v>
      </c>
      <c r="B370" s="68">
        <v>30</v>
      </c>
      <c r="C370" s="56">
        <f>122.58</f>
        <v>122.58</v>
      </c>
      <c r="D370" s="56">
        <f>297.941</f>
        <v>297.94099999999997</v>
      </c>
      <c r="E370" s="64">
        <f>89.177</f>
        <v>89.177000000000007</v>
      </c>
      <c r="F370" s="56">
        <f>240.302-40-60-100</f>
        <v>40.301999999999992</v>
      </c>
      <c r="G370" s="59">
        <v>40</v>
      </c>
      <c r="H370" s="56">
        <f>60+100</f>
        <v>160</v>
      </c>
      <c r="I370" s="56">
        <f t="shared" si="59"/>
        <v>0</v>
      </c>
      <c r="J370" s="59">
        <v>100</v>
      </c>
      <c r="K370" s="59">
        <v>300</v>
      </c>
      <c r="L370" s="56">
        <f t="shared" si="53"/>
        <v>1150</v>
      </c>
      <c r="M370" s="66">
        <v>600</v>
      </c>
      <c r="N370" s="56">
        <f>100</f>
        <v>100</v>
      </c>
      <c r="O370" s="59">
        <v>240</v>
      </c>
      <c r="P370" s="59">
        <v>40</v>
      </c>
      <c r="Q370" s="59">
        <f t="shared" si="54"/>
        <v>315</v>
      </c>
      <c r="R370" s="59">
        <f t="shared" si="55"/>
        <v>100</v>
      </c>
      <c r="S370" s="56">
        <f t="shared" si="56"/>
        <v>695</v>
      </c>
      <c r="T370" s="56">
        <f>50</f>
        <v>50</v>
      </c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</row>
    <row r="371" spans="1:30" ht="15.75" x14ac:dyDescent="0.25">
      <c r="A371" s="14">
        <v>52596</v>
      </c>
      <c r="B371" s="68">
        <v>31</v>
      </c>
      <c r="C371" s="56">
        <f>122.58</f>
        <v>122.58</v>
      </c>
      <c r="D371" s="56">
        <f>297.941</f>
        <v>297.94099999999997</v>
      </c>
      <c r="E371" s="64">
        <f>89.177</f>
        <v>89.177000000000007</v>
      </c>
      <c r="F371" s="56">
        <f>240.302-40-60-100</f>
        <v>40.301999999999992</v>
      </c>
      <c r="G371" s="59">
        <v>40</v>
      </c>
      <c r="H371" s="56">
        <f>60+100</f>
        <v>160</v>
      </c>
      <c r="I371" s="56">
        <f t="shared" si="59"/>
        <v>0</v>
      </c>
      <c r="J371" s="59">
        <v>100</v>
      </c>
      <c r="K371" s="59">
        <v>300</v>
      </c>
      <c r="L371" s="56">
        <f t="shared" si="53"/>
        <v>1150</v>
      </c>
      <c r="M371" s="66">
        <v>600</v>
      </c>
      <c r="N371" s="56">
        <f>100</f>
        <v>100</v>
      </c>
      <c r="O371" s="59">
        <v>240</v>
      </c>
      <c r="P371" s="59">
        <v>40</v>
      </c>
      <c r="Q371" s="59">
        <f t="shared" si="54"/>
        <v>315</v>
      </c>
      <c r="R371" s="59">
        <f t="shared" si="55"/>
        <v>100</v>
      </c>
      <c r="S371" s="56">
        <f t="shared" si="56"/>
        <v>695</v>
      </c>
      <c r="T371" s="56">
        <f>50</f>
        <v>50</v>
      </c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</row>
    <row r="372" spans="1:30" ht="15.75" x14ac:dyDescent="0.25">
      <c r="A372" s="14">
        <v>52627</v>
      </c>
      <c r="B372" s="68">
        <v>31</v>
      </c>
      <c r="C372" s="56">
        <f>122.58</f>
        <v>122.58</v>
      </c>
      <c r="D372" s="56">
        <f>297.941</f>
        <v>297.94099999999997</v>
      </c>
      <c r="E372" s="64">
        <f>89.177</f>
        <v>89.177000000000007</v>
      </c>
      <c r="F372" s="56">
        <f>240.302-40-60-100</f>
        <v>40.301999999999992</v>
      </c>
      <c r="G372" s="59">
        <v>40</v>
      </c>
      <c r="H372" s="56">
        <f>60+100</f>
        <v>160</v>
      </c>
      <c r="I372" s="56">
        <f t="shared" si="59"/>
        <v>0</v>
      </c>
      <c r="J372" s="59">
        <v>100</v>
      </c>
      <c r="K372" s="59">
        <v>300</v>
      </c>
      <c r="L372" s="56">
        <f t="shared" si="53"/>
        <v>1150</v>
      </c>
      <c r="M372" s="66">
        <v>600</v>
      </c>
      <c r="N372" s="56">
        <f>100</f>
        <v>100</v>
      </c>
      <c r="O372" s="59">
        <v>240</v>
      </c>
      <c r="P372" s="59">
        <v>40</v>
      </c>
      <c r="Q372" s="59">
        <f t="shared" si="54"/>
        <v>315</v>
      </c>
      <c r="R372" s="59">
        <f t="shared" si="55"/>
        <v>100</v>
      </c>
      <c r="S372" s="56">
        <f t="shared" si="56"/>
        <v>695</v>
      </c>
      <c r="T372" s="56">
        <f>50</f>
        <v>50</v>
      </c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</row>
    <row r="373" spans="1:30" ht="15.75" x14ac:dyDescent="0.25">
      <c r="A373" s="14">
        <v>52655</v>
      </c>
      <c r="B373" s="68">
        <v>29</v>
      </c>
      <c r="C373" s="56">
        <f>122.58</f>
        <v>122.58</v>
      </c>
      <c r="D373" s="56">
        <f>297.941</f>
        <v>297.94099999999997</v>
      </c>
      <c r="E373" s="64">
        <f>89.177</f>
        <v>89.177000000000007</v>
      </c>
      <c r="F373" s="56">
        <f>240.302-40-60-100</f>
        <v>40.301999999999992</v>
      </c>
      <c r="G373" s="59">
        <v>40</v>
      </c>
      <c r="H373" s="56">
        <f>60+100</f>
        <v>160</v>
      </c>
      <c r="I373" s="56">
        <f t="shared" si="59"/>
        <v>0</v>
      </c>
      <c r="J373" s="59">
        <v>100</v>
      </c>
      <c r="K373" s="59">
        <v>300</v>
      </c>
      <c r="L373" s="56">
        <f t="shared" si="53"/>
        <v>1150</v>
      </c>
      <c r="M373" s="66">
        <v>600</v>
      </c>
      <c r="N373" s="56">
        <f>100</f>
        <v>100</v>
      </c>
      <c r="O373" s="59">
        <v>240</v>
      </c>
      <c r="P373" s="59">
        <v>40</v>
      </c>
      <c r="Q373" s="59">
        <f t="shared" si="54"/>
        <v>315</v>
      </c>
      <c r="R373" s="59">
        <f t="shared" si="55"/>
        <v>100</v>
      </c>
      <c r="S373" s="56">
        <f t="shared" si="56"/>
        <v>695</v>
      </c>
      <c r="T373" s="56">
        <f>50</f>
        <v>50</v>
      </c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</row>
    <row r="374" spans="1:30" ht="15.75" x14ac:dyDescent="0.25">
      <c r="A374" s="14">
        <v>52687</v>
      </c>
      <c r="B374" s="68">
        <v>31</v>
      </c>
      <c r="C374" s="56">
        <f>122.58</f>
        <v>122.58</v>
      </c>
      <c r="D374" s="56">
        <f>297.941</f>
        <v>297.94099999999997</v>
      </c>
      <c r="E374" s="64">
        <f>89.177</f>
        <v>89.177000000000007</v>
      </c>
      <c r="F374" s="56">
        <f>240.302-40-60-100</f>
        <v>40.301999999999992</v>
      </c>
      <c r="G374" s="59">
        <v>40</v>
      </c>
      <c r="H374" s="56">
        <f>60+100</f>
        <v>160</v>
      </c>
      <c r="I374" s="56">
        <f t="shared" si="59"/>
        <v>0</v>
      </c>
      <c r="J374" s="59">
        <v>100</v>
      </c>
      <c r="K374" s="59">
        <v>300</v>
      </c>
      <c r="L374" s="56">
        <f t="shared" si="53"/>
        <v>1150</v>
      </c>
      <c r="M374" s="66">
        <v>600</v>
      </c>
      <c r="N374" s="56">
        <f>100</f>
        <v>100</v>
      </c>
      <c r="O374" s="59">
        <v>240</v>
      </c>
      <c r="P374" s="59">
        <v>40</v>
      </c>
      <c r="Q374" s="59">
        <f t="shared" si="54"/>
        <v>315</v>
      </c>
      <c r="R374" s="59">
        <f t="shared" si="55"/>
        <v>100</v>
      </c>
      <c r="S374" s="56">
        <f t="shared" si="56"/>
        <v>695</v>
      </c>
      <c r="T374" s="56">
        <f>50</f>
        <v>50</v>
      </c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</row>
    <row r="375" spans="1:30" ht="15.75" x14ac:dyDescent="0.25">
      <c r="A375" s="14">
        <v>52717</v>
      </c>
      <c r="B375" s="68">
        <v>30</v>
      </c>
      <c r="C375" s="56">
        <f>141.293</f>
        <v>141.29300000000001</v>
      </c>
      <c r="D375" s="56">
        <f>267.993</f>
        <v>267.99299999999999</v>
      </c>
      <c r="E375" s="64">
        <f>115.016</f>
        <v>115.01600000000001</v>
      </c>
      <c r="F375" s="56">
        <f>314.698-40-25-60-100</f>
        <v>89.697999999999979</v>
      </c>
      <c r="G375" s="59">
        <v>40</v>
      </c>
      <c r="H375" s="56">
        <f t="shared" ref="H375:H381" si="61">25+60+100</f>
        <v>185</v>
      </c>
      <c r="I375" s="56">
        <f t="shared" si="59"/>
        <v>0</v>
      </c>
      <c r="J375" s="59">
        <v>100</v>
      </c>
      <c r="K375" s="59">
        <v>300</v>
      </c>
      <c r="L375" s="56">
        <f t="shared" si="53"/>
        <v>1239</v>
      </c>
      <c r="M375" s="66">
        <v>600</v>
      </c>
      <c r="N375" s="56">
        <f>100</f>
        <v>100</v>
      </c>
      <c r="O375" s="59">
        <v>240</v>
      </c>
      <c r="P375" s="59">
        <v>160</v>
      </c>
      <c r="Q375" s="59">
        <f t="shared" si="54"/>
        <v>195</v>
      </c>
      <c r="R375" s="59">
        <f t="shared" si="55"/>
        <v>100</v>
      </c>
      <c r="S375" s="56">
        <f t="shared" si="56"/>
        <v>695</v>
      </c>
      <c r="T375" s="56">
        <f>50</f>
        <v>50</v>
      </c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</row>
    <row r="376" spans="1:30" ht="15.75" x14ac:dyDescent="0.25">
      <c r="A376" s="14">
        <v>52748</v>
      </c>
      <c r="B376" s="68">
        <v>31</v>
      </c>
      <c r="C376" s="56">
        <f>194.205</f>
        <v>194.20500000000001</v>
      </c>
      <c r="D376" s="56">
        <f>267.466</f>
        <v>267.46600000000001</v>
      </c>
      <c r="E376" s="64">
        <f>133.845</f>
        <v>133.845</v>
      </c>
      <c r="F376" s="56">
        <f>278.484-40-25-60-100</f>
        <v>53.48399999999998</v>
      </c>
      <c r="G376" s="59">
        <v>40</v>
      </c>
      <c r="H376" s="56">
        <f t="shared" si="61"/>
        <v>185</v>
      </c>
      <c r="I376" s="56">
        <f t="shared" si="59"/>
        <v>0</v>
      </c>
      <c r="J376" s="59">
        <v>100</v>
      </c>
      <c r="K376" s="59">
        <v>300</v>
      </c>
      <c r="L376" s="56">
        <f t="shared" si="53"/>
        <v>1274</v>
      </c>
      <c r="M376" s="66">
        <v>600</v>
      </c>
      <c r="N376" s="56">
        <f>75</f>
        <v>75</v>
      </c>
      <c r="O376" s="59">
        <v>240</v>
      </c>
      <c r="P376" s="59">
        <v>160</v>
      </c>
      <c r="Q376" s="59">
        <f t="shared" si="54"/>
        <v>195</v>
      </c>
      <c r="R376" s="59">
        <f t="shared" si="55"/>
        <v>100</v>
      </c>
      <c r="S376" s="56">
        <f t="shared" si="56"/>
        <v>695</v>
      </c>
      <c r="T376" s="56">
        <f>50</f>
        <v>50</v>
      </c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</row>
    <row r="377" spans="1:30" ht="15.75" x14ac:dyDescent="0.25">
      <c r="A377" s="14">
        <v>52778</v>
      </c>
      <c r="B377" s="68">
        <v>30</v>
      </c>
      <c r="C377" s="56">
        <f>194.205</f>
        <v>194.20500000000001</v>
      </c>
      <c r="D377" s="56">
        <f>267.466</f>
        <v>267.46600000000001</v>
      </c>
      <c r="E377" s="64">
        <f>133.845</f>
        <v>133.845</v>
      </c>
      <c r="F377" s="56">
        <f>278.484-40-25-60-100</f>
        <v>53.48399999999998</v>
      </c>
      <c r="G377" s="59">
        <v>40</v>
      </c>
      <c r="H377" s="56">
        <f t="shared" si="61"/>
        <v>185</v>
      </c>
      <c r="I377" s="56">
        <f t="shared" si="59"/>
        <v>0</v>
      </c>
      <c r="J377" s="59">
        <v>100</v>
      </c>
      <c r="K377" s="59">
        <v>300</v>
      </c>
      <c r="L377" s="56">
        <f t="shared" si="53"/>
        <v>1274</v>
      </c>
      <c r="M377" s="66">
        <v>600</v>
      </c>
      <c r="N377" s="56">
        <f>30</f>
        <v>30</v>
      </c>
      <c r="O377" s="59">
        <v>240</v>
      </c>
      <c r="P377" s="59">
        <v>160</v>
      </c>
      <c r="Q377" s="59">
        <f t="shared" si="54"/>
        <v>195</v>
      </c>
      <c r="R377" s="59">
        <f t="shared" si="55"/>
        <v>100</v>
      </c>
      <c r="S377" s="56">
        <f t="shared" si="56"/>
        <v>695</v>
      </c>
      <c r="T377" s="56">
        <f>50</f>
        <v>50</v>
      </c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</row>
    <row r="378" spans="1:30" ht="15.75" x14ac:dyDescent="0.25">
      <c r="A378" s="14">
        <v>52809</v>
      </c>
      <c r="B378" s="68">
        <v>31</v>
      </c>
      <c r="C378" s="56">
        <f>194.205</f>
        <v>194.20500000000001</v>
      </c>
      <c r="D378" s="56">
        <f>267.466</f>
        <v>267.46600000000001</v>
      </c>
      <c r="E378" s="64">
        <f>133.845</f>
        <v>133.845</v>
      </c>
      <c r="F378" s="56">
        <f>278.484-40-25-60-100</f>
        <v>53.48399999999998</v>
      </c>
      <c r="G378" s="59">
        <v>40</v>
      </c>
      <c r="H378" s="56">
        <f t="shared" si="61"/>
        <v>185</v>
      </c>
      <c r="I378" s="56">
        <f t="shared" si="59"/>
        <v>0</v>
      </c>
      <c r="J378" s="59">
        <v>100</v>
      </c>
      <c r="K378" s="59">
        <v>300</v>
      </c>
      <c r="L378" s="56">
        <f t="shared" si="53"/>
        <v>1274</v>
      </c>
      <c r="M378" s="66">
        <v>600</v>
      </c>
      <c r="N378" s="56">
        <f>30</f>
        <v>30</v>
      </c>
      <c r="O378" s="59">
        <v>240</v>
      </c>
      <c r="P378" s="59">
        <v>160</v>
      </c>
      <c r="Q378" s="59">
        <f t="shared" si="54"/>
        <v>195</v>
      </c>
      <c r="R378" s="59">
        <f t="shared" si="55"/>
        <v>100</v>
      </c>
      <c r="S378" s="56">
        <f t="shared" si="56"/>
        <v>695</v>
      </c>
      <c r="T378" s="56">
        <f>0</f>
        <v>0</v>
      </c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</row>
    <row r="379" spans="1:30" ht="15.75" x14ac:dyDescent="0.25">
      <c r="A379" s="14">
        <v>52840</v>
      </c>
      <c r="B379" s="68">
        <v>31</v>
      </c>
      <c r="C379" s="56">
        <f>194.205</f>
        <v>194.20500000000001</v>
      </c>
      <c r="D379" s="56">
        <f>267.466</f>
        <v>267.46600000000001</v>
      </c>
      <c r="E379" s="64">
        <f>133.845</f>
        <v>133.845</v>
      </c>
      <c r="F379" s="56">
        <f>278.484-40-25-60-100</f>
        <v>53.48399999999998</v>
      </c>
      <c r="G379" s="59">
        <v>40</v>
      </c>
      <c r="H379" s="56">
        <f t="shared" si="61"/>
        <v>185</v>
      </c>
      <c r="I379" s="56">
        <f t="shared" si="59"/>
        <v>0</v>
      </c>
      <c r="J379" s="59">
        <v>100</v>
      </c>
      <c r="K379" s="59">
        <v>300</v>
      </c>
      <c r="L379" s="56">
        <f t="shared" si="53"/>
        <v>1274</v>
      </c>
      <c r="M379" s="66">
        <v>600</v>
      </c>
      <c r="N379" s="56">
        <f>30</f>
        <v>30</v>
      </c>
      <c r="O379" s="59">
        <v>240</v>
      </c>
      <c r="P379" s="59">
        <v>160</v>
      </c>
      <c r="Q379" s="59">
        <f t="shared" si="54"/>
        <v>195</v>
      </c>
      <c r="R379" s="59">
        <f t="shared" si="55"/>
        <v>100</v>
      </c>
      <c r="S379" s="56">
        <f t="shared" si="56"/>
        <v>695</v>
      </c>
      <c r="T379" s="56">
        <f>0</f>
        <v>0</v>
      </c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</row>
    <row r="380" spans="1:30" ht="15.75" x14ac:dyDescent="0.25">
      <c r="A380" s="14">
        <v>52870</v>
      </c>
      <c r="B380" s="68">
        <v>30</v>
      </c>
      <c r="C380" s="56">
        <f>194.205</f>
        <v>194.20500000000001</v>
      </c>
      <c r="D380" s="56">
        <f>267.466</f>
        <v>267.46600000000001</v>
      </c>
      <c r="E380" s="64">
        <f>133.845</f>
        <v>133.845</v>
      </c>
      <c r="F380" s="56">
        <f>278.484-40-25-60-100</f>
        <v>53.48399999999998</v>
      </c>
      <c r="G380" s="59">
        <v>40</v>
      </c>
      <c r="H380" s="56">
        <f t="shared" si="61"/>
        <v>185</v>
      </c>
      <c r="I380" s="56">
        <f t="shared" si="59"/>
        <v>0</v>
      </c>
      <c r="J380" s="59">
        <v>100</v>
      </c>
      <c r="K380" s="59">
        <v>300</v>
      </c>
      <c r="L380" s="56">
        <f t="shared" si="53"/>
        <v>1274</v>
      </c>
      <c r="M380" s="66">
        <v>600</v>
      </c>
      <c r="N380" s="56">
        <f>30</f>
        <v>30</v>
      </c>
      <c r="O380" s="59">
        <v>240</v>
      </c>
      <c r="P380" s="59">
        <v>160</v>
      </c>
      <c r="Q380" s="59">
        <f t="shared" si="54"/>
        <v>195</v>
      </c>
      <c r="R380" s="59">
        <f t="shared" si="55"/>
        <v>100</v>
      </c>
      <c r="S380" s="56">
        <f t="shared" si="56"/>
        <v>695</v>
      </c>
      <c r="T380" s="56">
        <f>0</f>
        <v>0</v>
      </c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</row>
    <row r="381" spans="1:30" ht="15.75" x14ac:dyDescent="0.25">
      <c r="A381" s="14">
        <v>52901</v>
      </c>
      <c r="B381" s="68">
        <v>31</v>
      </c>
      <c r="C381" s="56">
        <f>131.881</f>
        <v>131.881</v>
      </c>
      <c r="D381" s="56">
        <f>277.167</f>
        <v>277.16699999999997</v>
      </c>
      <c r="E381" s="64">
        <f>79.08</f>
        <v>79.08</v>
      </c>
      <c r="F381" s="56">
        <f>350.872-40-25-60-100</f>
        <v>125.87200000000001</v>
      </c>
      <c r="G381" s="59">
        <v>40</v>
      </c>
      <c r="H381" s="56">
        <f t="shared" si="61"/>
        <v>185</v>
      </c>
      <c r="I381" s="56">
        <f t="shared" si="59"/>
        <v>0</v>
      </c>
      <c r="J381" s="59">
        <v>100</v>
      </c>
      <c r="K381" s="59">
        <v>300</v>
      </c>
      <c r="L381" s="56">
        <f t="shared" si="53"/>
        <v>1239</v>
      </c>
      <c r="M381" s="66">
        <v>600</v>
      </c>
      <c r="N381" s="56">
        <f>75</f>
        <v>75</v>
      </c>
      <c r="O381" s="59">
        <v>240</v>
      </c>
      <c r="P381" s="59">
        <v>160</v>
      </c>
      <c r="Q381" s="59">
        <f t="shared" si="54"/>
        <v>195</v>
      </c>
      <c r="R381" s="59">
        <f t="shared" si="55"/>
        <v>100</v>
      </c>
      <c r="S381" s="56">
        <f t="shared" si="56"/>
        <v>695</v>
      </c>
      <c r="T381" s="56">
        <f>0</f>
        <v>0</v>
      </c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</row>
    <row r="382" spans="1:30" ht="15.75" x14ac:dyDescent="0.25">
      <c r="A382" s="14">
        <v>52931</v>
      </c>
      <c r="B382" s="68">
        <v>30</v>
      </c>
      <c r="C382" s="56">
        <f>122.58</f>
        <v>122.58</v>
      </c>
      <c r="D382" s="56">
        <f>297.941</f>
        <v>297.94099999999997</v>
      </c>
      <c r="E382" s="64">
        <f>89.177</f>
        <v>89.177000000000007</v>
      </c>
      <c r="F382" s="56">
        <f>240.302-40-60-100</f>
        <v>40.301999999999992</v>
      </c>
      <c r="G382" s="59">
        <v>40</v>
      </c>
      <c r="H382" s="56">
        <f>60+100</f>
        <v>160</v>
      </c>
      <c r="I382" s="56">
        <f t="shared" si="59"/>
        <v>0</v>
      </c>
      <c r="J382" s="59">
        <v>100</v>
      </c>
      <c r="K382" s="59">
        <v>300</v>
      </c>
      <c r="L382" s="56">
        <f t="shared" si="53"/>
        <v>1150</v>
      </c>
      <c r="M382" s="66">
        <v>600</v>
      </c>
      <c r="N382" s="56">
        <f>100</f>
        <v>100</v>
      </c>
      <c r="O382" s="59">
        <v>240</v>
      </c>
      <c r="P382" s="59">
        <v>40</v>
      </c>
      <c r="Q382" s="59">
        <f t="shared" si="54"/>
        <v>315</v>
      </c>
      <c r="R382" s="59">
        <f t="shared" si="55"/>
        <v>100</v>
      </c>
      <c r="S382" s="56">
        <f t="shared" si="56"/>
        <v>695</v>
      </c>
      <c r="T382" s="56">
        <f>50</f>
        <v>50</v>
      </c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</row>
    <row r="383" spans="1:30" ht="15.75" x14ac:dyDescent="0.25">
      <c r="A383" s="14">
        <v>52962</v>
      </c>
      <c r="B383" s="68">
        <v>31</v>
      </c>
      <c r="C383" s="56">
        <f>122.58</f>
        <v>122.58</v>
      </c>
      <c r="D383" s="56">
        <f>297.941</f>
        <v>297.94099999999997</v>
      </c>
      <c r="E383" s="64">
        <f>89.177</f>
        <v>89.177000000000007</v>
      </c>
      <c r="F383" s="56">
        <f>240.302-40-60-100</f>
        <v>40.301999999999992</v>
      </c>
      <c r="G383" s="59">
        <v>40</v>
      </c>
      <c r="H383" s="56">
        <f>60+100</f>
        <v>160</v>
      </c>
      <c r="I383" s="56">
        <f t="shared" si="59"/>
        <v>0</v>
      </c>
      <c r="J383" s="59">
        <v>100</v>
      </c>
      <c r="K383" s="59">
        <v>300</v>
      </c>
      <c r="L383" s="56">
        <f t="shared" si="53"/>
        <v>1150</v>
      </c>
      <c r="M383" s="66">
        <v>600</v>
      </c>
      <c r="N383" s="56">
        <f>100</f>
        <v>100</v>
      </c>
      <c r="O383" s="59">
        <v>240</v>
      </c>
      <c r="P383" s="59">
        <v>40</v>
      </c>
      <c r="Q383" s="59">
        <f t="shared" si="54"/>
        <v>315</v>
      </c>
      <c r="R383" s="59">
        <f t="shared" si="55"/>
        <v>100</v>
      </c>
      <c r="S383" s="56">
        <f t="shared" si="56"/>
        <v>695</v>
      </c>
      <c r="T383" s="56">
        <f>50</f>
        <v>50</v>
      </c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</row>
    <row r="384" spans="1:30" ht="15.75" x14ac:dyDescent="0.25">
      <c r="A384" s="14">
        <v>52993</v>
      </c>
      <c r="B384" s="68">
        <v>31</v>
      </c>
      <c r="C384" s="56">
        <f>122.58</f>
        <v>122.58</v>
      </c>
      <c r="D384" s="56">
        <f>297.941</f>
        <v>297.94099999999997</v>
      </c>
      <c r="E384" s="64">
        <f>89.177</f>
        <v>89.177000000000007</v>
      </c>
      <c r="F384" s="56">
        <f>240.302-40-60-100</f>
        <v>40.301999999999992</v>
      </c>
      <c r="G384" s="59">
        <v>40</v>
      </c>
      <c r="H384" s="56">
        <f>60+100</f>
        <v>160</v>
      </c>
      <c r="I384" s="56">
        <f t="shared" si="59"/>
        <v>0</v>
      </c>
      <c r="J384" s="59">
        <v>100</v>
      </c>
      <c r="K384" s="59">
        <v>300</v>
      </c>
      <c r="L384" s="56">
        <f t="shared" si="53"/>
        <v>1150</v>
      </c>
      <c r="M384" s="66">
        <v>600</v>
      </c>
      <c r="N384" s="56">
        <f>100</f>
        <v>100</v>
      </c>
      <c r="O384" s="59">
        <v>240</v>
      </c>
      <c r="P384" s="59">
        <v>40</v>
      </c>
      <c r="Q384" s="59">
        <f t="shared" si="54"/>
        <v>315</v>
      </c>
      <c r="R384" s="59">
        <f t="shared" si="55"/>
        <v>100</v>
      </c>
      <c r="S384" s="56">
        <f t="shared" si="56"/>
        <v>695</v>
      </c>
      <c r="T384" s="56">
        <f>50</f>
        <v>50</v>
      </c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</row>
    <row r="385" spans="1:30" ht="15.75" x14ac:dyDescent="0.25">
      <c r="A385" s="14">
        <v>53021</v>
      </c>
      <c r="B385" s="68">
        <v>28</v>
      </c>
      <c r="C385" s="56">
        <f>122.58</f>
        <v>122.58</v>
      </c>
      <c r="D385" s="56">
        <f>297.941</f>
        <v>297.94099999999997</v>
      </c>
      <c r="E385" s="64">
        <f>89.177</f>
        <v>89.177000000000007</v>
      </c>
      <c r="F385" s="56">
        <f>240.302-40-60-100</f>
        <v>40.301999999999992</v>
      </c>
      <c r="G385" s="59">
        <v>40</v>
      </c>
      <c r="H385" s="56">
        <f>60+100</f>
        <v>160</v>
      </c>
      <c r="I385" s="56">
        <f t="shared" si="59"/>
        <v>0</v>
      </c>
      <c r="J385" s="59">
        <v>100</v>
      </c>
      <c r="K385" s="59">
        <v>300</v>
      </c>
      <c r="L385" s="56">
        <f t="shared" si="53"/>
        <v>1150</v>
      </c>
      <c r="M385" s="66">
        <v>600</v>
      </c>
      <c r="N385" s="56">
        <f>100</f>
        <v>100</v>
      </c>
      <c r="O385" s="59">
        <v>240</v>
      </c>
      <c r="P385" s="59">
        <v>40</v>
      </c>
      <c r="Q385" s="59">
        <f t="shared" si="54"/>
        <v>315</v>
      </c>
      <c r="R385" s="59">
        <f t="shared" si="55"/>
        <v>100</v>
      </c>
      <c r="S385" s="56">
        <f t="shared" si="56"/>
        <v>695</v>
      </c>
      <c r="T385" s="56">
        <f>50</f>
        <v>50</v>
      </c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</row>
    <row r="386" spans="1:30" ht="15.75" x14ac:dyDescent="0.25">
      <c r="A386" s="14">
        <v>53052</v>
      </c>
      <c r="B386" s="68">
        <v>31</v>
      </c>
      <c r="C386" s="56">
        <f>122.58</f>
        <v>122.58</v>
      </c>
      <c r="D386" s="56">
        <f>297.941</f>
        <v>297.94099999999997</v>
      </c>
      <c r="E386" s="64">
        <f>89.177</f>
        <v>89.177000000000007</v>
      </c>
      <c r="F386" s="56">
        <f>240.302-40-60-100</f>
        <v>40.301999999999992</v>
      </c>
      <c r="G386" s="59">
        <v>40</v>
      </c>
      <c r="H386" s="56">
        <f>60+100</f>
        <v>160</v>
      </c>
      <c r="I386" s="56">
        <f t="shared" si="59"/>
        <v>0</v>
      </c>
      <c r="J386" s="59">
        <v>100</v>
      </c>
      <c r="K386" s="59">
        <v>300</v>
      </c>
      <c r="L386" s="56">
        <f t="shared" si="53"/>
        <v>1150</v>
      </c>
      <c r="M386" s="66">
        <v>600</v>
      </c>
      <c r="N386" s="56">
        <f>100</f>
        <v>100</v>
      </c>
      <c r="O386" s="59">
        <v>240</v>
      </c>
      <c r="P386" s="59">
        <v>40</v>
      </c>
      <c r="Q386" s="59">
        <f t="shared" si="54"/>
        <v>315</v>
      </c>
      <c r="R386" s="59">
        <f t="shared" si="55"/>
        <v>100</v>
      </c>
      <c r="S386" s="56">
        <f t="shared" si="56"/>
        <v>695</v>
      </c>
      <c r="T386" s="56">
        <f>50</f>
        <v>50</v>
      </c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</row>
    <row r="387" spans="1:30" ht="15.75" x14ac:dyDescent="0.25">
      <c r="A387" s="14">
        <v>53082</v>
      </c>
      <c r="B387" s="68">
        <v>30</v>
      </c>
      <c r="C387" s="56">
        <f>141.293</f>
        <v>141.29300000000001</v>
      </c>
      <c r="D387" s="56">
        <f>267.993</f>
        <v>267.99299999999999</v>
      </c>
      <c r="E387" s="64">
        <f>115.016</f>
        <v>115.01600000000001</v>
      </c>
      <c r="F387" s="56">
        <f>314.698-40-25-60-100</f>
        <v>89.697999999999979</v>
      </c>
      <c r="G387" s="59">
        <v>40</v>
      </c>
      <c r="H387" s="56">
        <f t="shared" ref="H387:H393" si="62">25+60+100</f>
        <v>185</v>
      </c>
      <c r="I387" s="56">
        <f t="shared" si="59"/>
        <v>0</v>
      </c>
      <c r="J387" s="59">
        <v>100</v>
      </c>
      <c r="K387" s="59">
        <v>300</v>
      </c>
      <c r="L387" s="56">
        <f t="shared" si="53"/>
        <v>1239</v>
      </c>
      <c r="M387" s="66">
        <v>600</v>
      </c>
      <c r="N387" s="56">
        <f>100</f>
        <v>100</v>
      </c>
      <c r="O387" s="59">
        <v>240</v>
      </c>
      <c r="P387" s="59">
        <v>160</v>
      </c>
      <c r="Q387" s="59">
        <f t="shared" si="54"/>
        <v>195</v>
      </c>
      <c r="R387" s="59">
        <f t="shared" si="55"/>
        <v>100</v>
      </c>
      <c r="S387" s="56">
        <f t="shared" si="56"/>
        <v>695</v>
      </c>
      <c r="T387" s="56">
        <f>50</f>
        <v>50</v>
      </c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</row>
    <row r="388" spans="1:30" ht="15.75" x14ac:dyDescent="0.25">
      <c r="A388" s="14">
        <v>53113</v>
      </c>
      <c r="B388" s="68">
        <v>31</v>
      </c>
      <c r="C388" s="56">
        <f>194.205</f>
        <v>194.20500000000001</v>
      </c>
      <c r="D388" s="56">
        <f>267.466</f>
        <v>267.46600000000001</v>
      </c>
      <c r="E388" s="64">
        <f>133.845</f>
        <v>133.845</v>
      </c>
      <c r="F388" s="56">
        <f>278.484-40-25-60-100</f>
        <v>53.48399999999998</v>
      </c>
      <c r="G388" s="59">
        <v>40</v>
      </c>
      <c r="H388" s="56">
        <f t="shared" si="62"/>
        <v>185</v>
      </c>
      <c r="I388" s="56">
        <f t="shared" si="59"/>
        <v>0</v>
      </c>
      <c r="J388" s="59">
        <v>100</v>
      </c>
      <c r="K388" s="59">
        <v>300</v>
      </c>
      <c r="L388" s="56">
        <f t="shared" si="53"/>
        <v>1274</v>
      </c>
      <c r="M388" s="66">
        <v>600</v>
      </c>
      <c r="N388" s="56">
        <f>75</f>
        <v>75</v>
      </c>
      <c r="O388" s="59">
        <v>240</v>
      </c>
      <c r="P388" s="59">
        <v>160</v>
      </c>
      <c r="Q388" s="59">
        <f t="shared" si="54"/>
        <v>195</v>
      </c>
      <c r="R388" s="59">
        <f t="shared" si="55"/>
        <v>100</v>
      </c>
      <c r="S388" s="56">
        <f t="shared" si="56"/>
        <v>695</v>
      </c>
      <c r="T388" s="56">
        <f>50</f>
        <v>50</v>
      </c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</row>
    <row r="389" spans="1:30" ht="15.75" x14ac:dyDescent="0.25">
      <c r="A389" s="14">
        <v>53143</v>
      </c>
      <c r="B389" s="68">
        <v>30</v>
      </c>
      <c r="C389" s="56">
        <f>194.205</f>
        <v>194.20500000000001</v>
      </c>
      <c r="D389" s="56">
        <f>267.466</f>
        <v>267.46600000000001</v>
      </c>
      <c r="E389" s="64">
        <f>133.845</f>
        <v>133.845</v>
      </c>
      <c r="F389" s="56">
        <f>278.484-40-25-60-100</f>
        <v>53.48399999999998</v>
      </c>
      <c r="G389" s="59">
        <v>40</v>
      </c>
      <c r="H389" s="56">
        <f t="shared" si="62"/>
        <v>185</v>
      </c>
      <c r="I389" s="56">
        <f t="shared" si="59"/>
        <v>0</v>
      </c>
      <c r="J389" s="59">
        <v>100</v>
      </c>
      <c r="K389" s="59">
        <v>300</v>
      </c>
      <c r="L389" s="56">
        <f t="shared" si="53"/>
        <v>1274</v>
      </c>
      <c r="M389" s="66">
        <v>600</v>
      </c>
      <c r="N389" s="56">
        <f>30</f>
        <v>30</v>
      </c>
      <c r="O389" s="59">
        <v>240</v>
      </c>
      <c r="P389" s="59">
        <v>160</v>
      </c>
      <c r="Q389" s="59">
        <f t="shared" si="54"/>
        <v>195</v>
      </c>
      <c r="R389" s="59">
        <f t="shared" si="55"/>
        <v>100</v>
      </c>
      <c r="S389" s="56">
        <f t="shared" si="56"/>
        <v>695</v>
      </c>
      <c r="T389" s="56">
        <f>50</f>
        <v>50</v>
      </c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</row>
    <row r="390" spans="1:30" ht="15.75" x14ac:dyDescent="0.25">
      <c r="A390" s="14">
        <v>53174</v>
      </c>
      <c r="B390" s="68">
        <v>31</v>
      </c>
      <c r="C390" s="56">
        <f>194.205</f>
        <v>194.20500000000001</v>
      </c>
      <c r="D390" s="56">
        <f>267.466</f>
        <v>267.46600000000001</v>
      </c>
      <c r="E390" s="64">
        <f>133.845</f>
        <v>133.845</v>
      </c>
      <c r="F390" s="56">
        <f>278.484-40-25-60-100</f>
        <v>53.48399999999998</v>
      </c>
      <c r="G390" s="59">
        <v>40</v>
      </c>
      <c r="H390" s="56">
        <f t="shared" si="62"/>
        <v>185</v>
      </c>
      <c r="I390" s="56">
        <f t="shared" si="59"/>
        <v>0</v>
      </c>
      <c r="J390" s="59">
        <v>100</v>
      </c>
      <c r="K390" s="59">
        <v>300</v>
      </c>
      <c r="L390" s="56">
        <f t="shared" si="53"/>
        <v>1274</v>
      </c>
      <c r="M390" s="66">
        <v>600</v>
      </c>
      <c r="N390" s="56">
        <f>30</f>
        <v>30</v>
      </c>
      <c r="O390" s="59">
        <v>240</v>
      </c>
      <c r="P390" s="59">
        <v>160</v>
      </c>
      <c r="Q390" s="59">
        <f t="shared" si="54"/>
        <v>195</v>
      </c>
      <c r="R390" s="59">
        <f t="shared" si="55"/>
        <v>100</v>
      </c>
      <c r="S390" s="56">
        <f t="shared" si="56"/>
        <v>695</v>
      </c>
      <c r="T390" s="56">
        <f>0</f>
        <v>0</v>
      </c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</row>
    <row r="391" spans="1:30" ht="15.75" x14ac:dyDescent="0.25">
      <c r="A391" s="14">
        <v>53205</v>
      </c>
      <c r="B391" s="68">
        <v>31</v>
      </c>
      <c r="C391" s="56">
        <f>194.205</f>
        <v>194.20500000000001</v>
      </c>
      <c r="D391" s="56">
        <f>267.466</f>
        <v>267.46600000000001</v>
      </c>
      <c r="E391" s="64">
        <f>133.845</f>
        <v>133.845</v>
      </c>
      <c r="F391" s="56">
        <f>278.484-40-25-60-100</f>
        <v>53.48399999999998</v>
      </c>
      <c r="G391" s="59">
        <v>40</v>
      </c>
      <c r="H391" s="56">
        <f t="shared" si="62"/>
        <v>185</v>
      </c>
      <c r="I391" s="56">
        <f t="shared" si="59"/>
        <v>0</v>
      </c>
      <c r="J391" s="59">
        <v>100</v>
      </c>
      <c r="K391" s="59">
        <v>300</v>
      </c>
      <c r="L391" s="56">
        <f t="shared" si="53"/>
        <v>1274</v>
      </c>
      <c r="M391" s="66">
        <v>600</v>
      </c>
      <c r="N391" s="56">
        <f>30</f>
        <v>30</v>
      </c>
      <c r="O391" s="59">
        <v>240</v>
      </c>
      <c r="P391" s="59">
        <v>160</v>
      </c>
      <c r="Q391" s="59">
        <f t="shared" si="54"/>
        <v>195</v>
      </c>
      <c r="R391" s="59">
        <f t="shared" si="55"/>
        <v>100</v>
      </c>
      <c r="S391" s="56">
        <f t="shared" si="56"/>
        <v>695</v>
      </c>
      <c r="T391" s="56">
        <f>0</f>
        <v>0</v>
      </c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</row>
    <row r="392" spans="1:30" ht="15.75" x14ac:dyDescent="0.25">
      <c r="A392" s="14">
        <v>53235</v>
      </c>
      <c r="B392" s="68">
        <v>30</v>
      </c>
      <c r="C392" s="56">
        <f>194.205</f>
        <v>194.20500000000001</v>
      </c>
      <c r="D392" s="56">
        <f>267.466</f>
        <v>267.46600000000001</v>
      </c>
      <c r="E392" s="64">
        <f>133.845</f>
        <v>133.845</v>
      </c>
      <c r="F392" s="56">
        <f>278.484-40-25-60-100</f>
        <v>53.48399999999998</v>
      </c>
      <c r="G392" s="59">
        <v>40</v>
      </c>
      <c r="H392" s="56">
        <f t="shared" si="62"/>
        <v>185</v>
      </c>
      <c r="I392" s="56">
        <f t="shared" si="59"/>
        <v>0</v>
      </c>
      <c r="J392" s="59">
        <v>100</v>
      </c>
      <c r="K392" s="59">
        <v>300</v>
      </c>
      <c r="L392" s="56">
        <f t="shared" si="53"/>
        <v>1274</v>
      </c>
      <c r="M392" s="66">
        <v>600</v>
      </c>
      <c r="N392" s="56">
        <f>30</f>
        <v>30</v>
      </c>
      <c r="O392" s="59">
        <v>240</v>
      </c>
      <c r="P392" s="59">
        <v>160</v>
      </c>
      <c r="Q392" s="59">
        <f t="shared" si="54"/>
        <v>195</v>
      </c>
      <c r="R392" s="59">
        <f t="shared" si="55"/>
        <v>100</v>
      </c>
      <c r="S392" s="56">
        <f t="shared" si="56"/>
        <v>695</v>
      </c>
      <c r="T392" s="56">
        <f>0</f>
        <v>0</v>
      </c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</row>
    <row r="393" spans="1:30" ht="15.75" x14ac:dyDescent="0.25">
      <c r="A393" s="14">
        <v>53266</v>
      </c>
      <c r="B393" s="68">
        <v>31</v>
      </c>
      <c r="C393" s="56">
        <f>131.881</f>
        <v>131.881</v>
      </c>
      <c r="D393" s="56">
        <f>277.167</f>
        <v>277.16699999999997</v>
      </c>
      <c r="E393" s="64">
        <f>79.08</f>
        <v>79.08</v>
      </c>
      <c r="F393" s="56">
        <f>350.872-40-25-60-100</f>
        <v>125.87200000000001</v>
      </c>
      <c r="G393" s="59">
        <v>40</v>
      </c>
      <c r="H393" s="56">
        <f t="shared" si="62"/>
        <v>185</v>
      </c>
      <c r="I393" s="56">
        <f t="shared" si="59"/>
        <v>0</v>
      </c>
      <c r="J393" s="59">
        <v>100</v>
      </c>
      <c r="K393" s="59">
        <v>300</v>
      </c>
      <c r="L393" s="56">
        <f t="shared" si="53"/>
        <v>1239</v>
      </c>
      <c r="M393" s="66">
        <v>600</v>
      </c>
      <c r="N393" s="56">
        <f>75</f>
        <v>75</v>
      </c>
      <c r="O393" s="59">
        <v>240</v>
      </c>
      <c r="P393" s="59">
        <v>160</v>
      </c>
      <c r="Q393" s="59">
        <f t="shared" si="54"/>
        <v>195</v>
      </c>
      <c r="R393" s="59">
        <f t="shared" si="55"/>
        <v>100</v>
      </c>
      <c r="S393" s="56">
        <f t="shared" si="56"/>
        <v>695</v>
      </c>
      <c r="T393" s="56">
        <f>0</f>
        <v>0</v>
      </c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</row>
    <row r="394" spans="1:30" ht="15.75" x14ac:dyDescent="0.25">
      <c r="A394" s="14">
        <v>53296</v>
      </c>
      <c r="B394" s="68">
        <v>30</v>
      </c>
      <c r="C394" s="56">
        <f>122.58</f>
        <v>122.58</v>
      </c>
      <c r="D394" s="56">
        <f>297.941</f>
        <v>297.94099999999997</v>
      </c>
      <c r="E394" s="64">
        <f>89.177</f>
        <v>89.177000000000007</v>
      </c>
      <c r="F394" s="56">
        <f>240.302-40-60-100</f>
        <v>40.301999999999992</v>
      </c>
      <c r="G394" s="59">
        <v>40</v>
      </c>
      <c r="H394" s="56">
        <f>60+100</f>
        <v>160</v>
      </c>
      <c r="I394" s="56">
        <f t="shared" si="59"/>
        <v>0</v>
      </c>
      <c r="J394" s="59">
        <v>100</v>
      </c>
      <c r="K394" s="59">
        <v>300</v>
      </c>
      <c r="L394" s="56">
        <f t="shared" si="53"/>
        <v>1150</v>
      </c>
      <c r="M394" s="66">
        <v>600</v>
      </c>
      <c r="N394" s="56">
        <f>100</f>
        <v>100</v>
      </c>
      <c r="O394" s="59">
        <v>240</v>
      </c>
      <c r="P394" s="59">
        <v>40</v>
      </c>
      <c r="Q394" s="59">
        <f t="shared" si="54"/>
        <v>315</v>
      </c>
      <c r="R394" s="59">
        <f t="shared" si="55"/>
        <v>100</v>
      </c>
      <c r="S394" s="56">
        <f t="shared" si="56"/>
        <v>695</v>
      </c>
      <c r="T394" s="56">
        <f>50</f>
        <v>50</v>
      </c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</row>
    <row r="395" spans="1:30" ht="15.75" x14ac:dyDescent="0.25">
      <c r="A395" s="14">
        <v>53327</v>
      </c>
      <c r="B395" s="68">
        <v>31</v>
      </c>
      <c r="C395" s="56">
        <f>122.58</f>
        <v>122.58</v>
      </c>
      <c r="D395" s="56">
        <f>297.941</f>
        <v>297.94099999999997</v>
      </c>
      <c r="E395" s="64">
        <f>89.177</f>
        <v>89.177000000000007</v>
      </c>
      <c r="F395" s="56">
        <f>240.302-40-60-100</f>
        <v>40.301999999999992</v>
      </c>
      <c r="G395" s="59">
        <v>40</v>
      </c>
      <c r="H395" s="56">
        <f>60+100</f>
        <v>160</v>
      </c>
      <c r="I395" s="56">
        <f t="shared" si="59"/>
        <v>0</v>
      </c>
      <c r="J395" s="59">
        <v>100</v>
      </c>
      <c r="K395" s="59">
        <v>300</v>
      </c>
      <c r="L395" s="56">
        <f t="shared" si="53"/>
        <v>1150</v>
      </c>
      <c r="M395" s="66">
        <v>600</v>
      </c>
      <c r="N395" s="56">
        <f>100</f>
        <v>100</v>
      </c>
      <c r="O395" s="59">
        <v>240</v>
      </c>
      <c r="P395" s="59">
        <v>40</v>
      </c>
      <c r="Q395" s="59">
        <f t="shared" si="54"/>
        <v>315</v>
      </c>
      <c r="R395" s="59">
        <f t="shared" si="55"/>
        <v>100</v>
      </c>
      <c r="S395" s="56">
        <f t="shared" si="56"/>
        <v>695</v>
      </c>
      <c r="T395" s="56">
        <f>50</f>
        <v>50</v>
      </c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</row>
    <row r="396" spans="1:30" ht="15.75" x14ac:dyDescent="0.25">
      <c r="A396" s="14">
        <v>53358</v>
      </c>
      <c r="B396" s="68">
        <v>31</v>
      </c>
      <c r="C396" s="56">
        <f>122.58</f>
        <v>122.58</v>
      </c>
      <c r="D396" s="56">
        <f>297.941</f>
        <v>297.94099999999997</v>
      </c>
      <c r="E396" s="64">
        <f>89.177</f>
        <v>89.177000000000007</v>
      </c>
      <c r="F396" s="56">
        <f>240.302-40-60-100</f>
        <v>40.301999999999992</v>
      </c>
      <c r="G396" s="59">
        <v>40</v>
      </c>
      <c r="H396" s="56">
        <f>60+100</f>
        <v>160</v>
      </c>
      <c r="I396" s="56">
        <f t="shared" si="59"/>
        <v>0</v>
      </c>
      <c r="J396" s="59">
        <v>100</v>
      </c>
      <c r="K396" s="59">
        <v>300</v>
      </c>
      <c r="L396" s="56">
        <f t="shared" si="53"/>
        <v>1150</v>
      </c>
      <c r="M396" s="66">
        <v>600</v>
      </c>
      <c r="N396" s="56">
        <f>100</f>
        <v>100</v>
      </c>
      <c r="O396" s="59">
        <v>240</v>
      </c>
      <c r="P396" s="59">
        <v>40</v>
      </c>
      <c r="Q396" s="59">
        <f t="shared" si="54"/>
        <v>315</v>
      </c>
      <c r="R396" s="59">
        <f t="shared" si="55"/>
        <v>100</v>
      </c>
      <c r="S396" s="56">
        <f t="shared" si="56"/>
        <v>695</v>
      </c>
      <c r="T396" s="56">
        <f>50</f>
        <v>50</v>
      </c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</row>
    <row r="397" spans="1:30" ht="15.75" x14ac:dyDescent="0.25">
      <c r="A397" s="14">
        <v>53386</v>
      </c>
      <c r="B397" s="68">
        <v>28</v>
      </c>
      <c r="C397" s="56">
        <f>122.58</f>
        <v>122.58</v>
      </c>
      <c r="D397" s="56">
        <f>297.941</f>
        <v>297.94099999999997</v>
      </c>
      <c r="E397" s="64">
        <f>89.177</f>
        <v>89.177000000000007</v>
      </c>
      <c r="F397" s="56">
        <f>240.302-40-60-100</f>
        <v>40.301999999999992</v>
      </c>
      <c r="G397" s="59">
        <v>40</v>
      </c>
      <c r="H397" s="56">
        <f>60+100</f>
        <v>160</v>
      </c>
      <c r="I397" s="56">
        <f t="shared" si="59"/>
        <v>0</v>
      </c>
      <c r="J397" s="59">
        <v>100</v>
      </c>
      <c r="K397" s="59">
        <v>300</v>
      </c>
      <c r="L397" s="56">
        <f t="shared" si="53"/>
        <v>1150</v>
      </c>
      <c r="M397" s="66">
        <v>600</v>
      </c>
      <c r="N397" s="56">
        <f>100</f>
        <v>100</v>
      </c>
      <c r="O397" s="59">
        <v>240</v>
      </c>
      <c r="P397" s="59">
        <v>40</v>
      </c>
      <c r="Q397" s="59">
        <f t="shared" si="54"/>
        <v>315</v>
      </c>
      <c r="R397" s="59">
        <f t="shared" si="55"/>
        <v>100</v>
      </c>
      <c r="S397" s="56">
        <f t="shared" si="56"/>
        <v>695</v>
      </c>
      <c r="T397" s="56">
        <f>50</f>
        <v>50</v>
      </c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</row>
    <row r="398" spans="1:30" ht="15.75" x14ac:dyDescent="0.25">
      <c r="A398" s="14">
        <v>53417</v>
      </c>
      <c r="B398" s="68">
        <v>31</v>
      </c>
      <c r="C398" s="56">
        <f>122.58</f>
        <v>122.58</v>
      </c>
      <c r="D398" s="56">
        <f>297.941</f>
        <v>297.94099999999997</v>
      </c>
      <c r="E398" s="64">
        <f>89.177</f>
        <v>89.177000000000007</v>
      </c>
      <c r="F398" s="56">
        <f>240.302-40-60-100</f>
        <v>40.301999999999992</v>
      </c>
      <c r="G398" s="59">
        <v>40</v>
      </c>
      <c r="H398" s="56">
        <f>60+100</f>
        <v>160</v>
      </c>
      <c r="I398" s="56">
        <f t="shared" si="59"/>
        <v>0</v>
      </c>
      <c r="J398" s="59">
        <v>100</v>
      </c>
      <c r="K398" s="59">
        <v>300</v>
      </c>
      <c r="L398" s="56">
        <f t="shared" si="53"/>
        <v>1150</v>
      </c>
      <c r="M398" s="66">
        <v>600</v>
      </c>
      <c r="N398" s="56">
        <f>100</f>
        <v>100</v>
      </c>
      <c r="O398" s="59">
        <v>240</v>
      </c>
      <c r="P398" s="59">
        <v>40</v>
      </c>
      <c r="Q398" s="59">
        <f t="shared" si="54"/>
        <v>315</v>
      </c>
      <c r="R398" s="59">
        <f t="shared" si="55"/>
        <v>100</v>
      </c>
      <c r="S398" s="56">
        <f t="shared" si="56"/>
        <v>695</v>
      </c>
      <c r="T398" s="56">
        <f>50</f>
        <v>50</v>
      </c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</row>
    <row r="399" spans="1:30" ht="15.75" x14ac:dyDescent="0.25">
      <c r="A399" s="14">
        <v>53447</v>
      </c>
      <c r="B399" s="68">
        <v>30</v>
      </c>
      <c r="C399" s="56">
        <f>141.293</f>
        <v>141.29300000000001</v>
      </c>
      <c r="D399" s="56">
        <f>267.993</f>
        <v>267.99299999999999</v>
      </c>
      <c r="E399" s="64">
        <f>115.016</f>
        <v>115.01600000000001</v>
      </c>
      <c r="F399" s="56">
        <f>314.698-40-25-60-100</f>
        <v>89.697999999999979</v>
      </c>
      <c r="G399" s="59">
        <v>40</v>
      </c>
      <c r="H399" s="56">
        <f t="shared" ref="H399:H405" si="63">25+60+100</f>
        <v>185</v>
      </c>
      <c r="I399" s="56">
        <f t="shared" si="59"/>
        <v>0</v>
      </c>
      <c r="J399" s="59">
        <v>100</v>
      </c>
      <c r="K399" s="59">
        <v>300</v>
      </c>
      <c r="L399" s="56">
        <f t="shared" si="53"/>
        <v>1239</v>
      </c>
      <c r="M399" s="66">
        <v>600</v>
      </c>
      <c r="N399" s="56">
        <f>100</f>
        <v>100</v>
      </c>
      <c r="O399" s="59">
        <v>240</v>
      </c>
      <c r="P399" s="59">
        <v>160</v>
      </c>
      <c r="Q399" s="59">
        <f t="shared" si="54"/>
        <v>195</v>
      </c>
      <c r="R399" s="59">
        <f t="shared" si="55"/>
        <v>100</v>
      </c>
      <c r="S399" s="56">
        <f t="shared" si="56"/>
        <v>695</v>
      </c>
      <c r="T399" s="56">
        <f>50</f>
        <v>50</v>
      </c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</row>
    <row r="400" spans="1:30" ht="15.75" x14ac:dyDescent="0.25">
      <c r="A400" s="14">
        <v>53478</v>
      </c>
      <c r="B400" s="68">
        <v>31</v>
      </c>
      <c r="C400" s="56">
        <f>194.205</f>
        <v>194.20500000000001</v>
      </c>
      <c r="D400" s="56">
        <f>267.466</f>
        <v>267.46600000000001</v>
      </c>
      <c r="E400" s="64">
        <f>133.845</f>
        <v>133.845</v>
      </c>
      <c r="F400" s="56">
        <f>278.484-40-25-60-100</f>
        <v>53.48399999999998</v>
      </c>
      <c r="G400" s="59">
        <v>40</v>
      </c>
      <c r="H400" s="56">
        <f t="shared" si="63"/>
        <v>185</v>
      </c>
      <c r="I400" s="56">
        <f t="shared" si="59"/>
        <v>0</v>
      </c>
      <c r="J400" s="59">
        <v>100</v>
      </c>
      <c r="K400" s="59">
        <v>300</v>
      </c>
      <c r="L400" s="56">
        <f t="shared" ref="L400:L463" si="64">SUM(C400:K400)</f>
        <v>1274</v>
      </c>
      <c r="M400" s="66">
        <v>600</v>
      </c>
      <c r="N400" s="56">
        <f>75</f>
        <v>75</v>
      </c>
      <c r="O400" s="59">
        <v>240</v>
      </c>
      <c r="P400" s="59">
        <v>160</v>
      </c>
      <c r="Q400" s="59">
        <f t="shared" ref="Q400:Q463" si="65">695-R400-O400-P400</f>
        <v>195</v>
      </c>
      <c r="R400" s="59">
        <f t="shared" ref="R400:R463" si="66">200-J400</f>
        <v>100</v>
      </c>
      <c r="S400" s="56">
        <f t="shared" ref="S400:S463" si="67">SUM(O400:R400)</f>
        <v>695</v>
      </c>
      <c r="T400" s="56">
        <f>50</f>
        <v>50</v>
      </c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</row>
    <row r="401" spans="1:30" ht="15.75" x14ac:dyDescent="0.25">
      <c r="A401" s="14">
        <v>53508</v>
      </c>
      <c r="B401" s="68">
        <v>30</v>
      </c>
      <c r="C401" s="56">
        <f>194.205</f>
        <v>194.20500000000001</v>
      </c>
      <c r="D401" s="56">
        <f>267.466</f>
        <v>267.46600000000001</v>
      </c>
      <c r="E401" s="64">
        <f>133.845</f>
        <v>133.845</v>
      </c>
      <c r="F401" s="56">
        <f>278.484-40-25-60-100</f>
        <v>53.48399999999998</v>
      </c>
      <c r="G401" s="59">
        <v>40</v>
      </c>
      <c r="H401" s="56">
        <f t="shared" si="63"/>
        <v>185</v>
      </c>
      <c r="I401" s="56">
        <f t="shared" si="59"/>
        <v>0</v>
      </c>
      <c r="J401" s="59">
        <v>100</v>
      </c>
      <c r="K401" s="59">
        <v>300</v>
      </c>
      <c r="L401" s="56">
        <f t="shared" si="64"/>
        <v>1274</v>
      </c>
      <c r="M401" s="66">
        <v>600</v>
      </c>
      <c r="N401" s="56">
        <f>30</f>
        <v>30</v>
      </c>
      <c r="O401" s="59">
        <v>240</v>
      </c>
      <c r="P401" s="59">
        <v>160</v>
      </c>
      <c r="Q401" s="59">
        <f t="shared" si="65"/>
        <v>195</v>
      </c>
      <c r="R401" s="59">
        <f t="shared" si="66"/>
        <v>100</v>
      </c>
      <c r="S401" s="56">
        <f t="shared" si="67"/>
        <v>695</v>
      </c>
      <c r="T401" s="56">
        <f>50</f>
        <v>50</v>
      </c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</row>
    <row r="402" spans="1:30" ht="15.75" x14ac:dyDescent="0.25">
      <c r="A402" s="14">
        <v>53539</v>
      </c>
      <c r="B402" s="68">
        <v>31</v>
      </c>
      <c r="C402" s="56">
        <f>194.205</f>
        <v>194.20500000000001</v>
      </c>
      <c r="D402" s="56">
        <f>267.466</f>
        <v>267.46600000000001</v>
      </c>
      <c r="E402" s="64">
        <f>133.845</f>
        <v>133.845</v>
      </c>
      <c r="F402" s="56">
        <f>278.484-40-25-60-100</f>
        <v>53.48399999999998</v>
      </c>
      <c r="G402" s="59">
        <v>40</v>
      </c>
      <c r="H402" s="56">
        <f t="shared" si="63"/>
        <v>185</v>
      </c>
      <c r="I402" s="56">
        <f t="shared" si="59"/>
        <v>0</v>
      </c>
      <c r="J402" s="59">
        <v>100</v>
      </c>
      <c r="K402" s="59">
        <v>300</v>
      </c>
      <c r="L402" s="56">
        <f t="shared" si="64"/>
        <v>1274</v>
      </c>
      <c r="M402" s="66">
        <v>600</v>
      </c>
      <c r="N402" s="56">
        <f>30</f>
        <v>30</v>
      </c>
      <c r="O402" s="59">
        <v>240</v>
      </c>
      <c r="P402" s="59">
        <v>160</v>
      </c>
      <c r="Q402" s="59">
        <f t="shared" si="65"/>
        <v>195</v>
      </c>
      <c r="R402" s="59">
        <f t="shared" si="66"/>
        <v>100</v>
      </c>
      <c r="S402" s="56">
        <f t="shared" si="67"/>
        <v>695</v>
      </c>
      <c r="T402" s="56">
        <f>0</f>
        <v>0</v>
      </c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</row>
    <row r="403" spans="1:30" ht="15.75" x14ac:dyDescent="0.25">
      <c r="A403" s="14">
        <v>53570</v>
      </c>
      <c r="B403" s="68">
        <v>31</v>
      </c>
      <c r="C403" s="56">
        <f>194.205</f>
        <v>194.20500000000001</v>
      </c>
      <c r="D403" s="56">
        <f>267.466</f>
        <v>267.46600000000001</v>
      </c>
      <c r="E403" s="64">
        <f>133.845</f>
        <v>133.845</v>
      </c>
      <c r="F403" s="56">
        <f>278.484-40-25-60-100</f>
        <v>53.48399999999998</v>
      </c>
      <c r="G403" s="59">
        <v>40</v>
      </c>
      <c r="H403" s="56">
        <f t="shared" si="63"/>
        <v>185</v>
      </c>
      <c r="I403" s="56">
        <f t="shared" si="59"/>
        <v>0</v>
      </c>
      <c r="J403" s="59">
        <v>100</v>
      </c>
      <c r="K403" s="59">
        <v>300</v>
      </c>
      <c r="L403" s="56">
        <f t="shared" si="64"/>
        <v>1274</v>
      </c>
      <c r="M403" s="66">
        <v>600</v>
      </c>
      <c r="N403" s="56">
        <f>30</f>
        <v>30</v>
      </c>
      <c r="O403" s="59">
        <v>240</v>
      </c>
      <c r="P403" s="59">
        <v>160</v>
      </c>
      <c r="Q403" s="59">
        <f t="shared" si="65"/>
        <v>195</v>
      </c>
      <c r="R403" s="59">
        <f t="shared" si="66"/>
        <v>100</v>
      </c>
      <c r="S403" s="56">
        <f t="shared" si="67"/>
        <v>695</v>
      </c>
      <c r="T403" s="56">
        <f>0</f>
        <v>0</v>
      </c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</row>
    <row r="404" spans="1:30" ht="15.75" x14ac:dyDescent="0.25">
      <c r="A404" s="14">
        <v>53600</v>
      </c>
      <c r="B404" s="68">
        <v>30</v>
      </c>
      <c r="C404" s="56">
        <f>194.205</f>
        <v>194.20500000000001</v>
      </c>
      <c r="D404" s="56">
        <f>267.466</f>
        <v>267.46600000000001</v>
      </c>
      <c r="E404" s="64">
        <f>133.845</f>
        <v>133.845</v>
      </c>
      <c r="F404" s="56">
        <f>278.484-40-25-60-100</f>
        <v>53.48399999999998</v>
      </c>
      <c r="G404" s="59">
        <v>40</v>
      </c>
      <c r="H404" s="56">
        <f t="shared" si="63"/>
        <v>185</v>
      </c>
      <c r="I404" s="56">
        <f t="shared" si="59"/>
        <v>0</v>
      </c>
      <c r="J404" s="59">
        <v>100</v>
      </c>
      <c r="K404" s="59">
        <v>300</v>
      </c>
      <c r="L404" s="56">
        <f t="shared" si="64"/>
        <v>1274</v>
      </c>
      <c r="M404" s="66">
        <v>600</v>
      </c>
      <c r="N404" s="56">
        <f>30</f>
        <v>30</v>
      </c>
      <c r="O404" s="59">
        <v>240</v>
      </c>
      <c r="P404" s="59">
        <v>160</v>
      </c>
      <c r="Q404" s="59">
        <f t="shared" si="65"/>
        <v>195</v>
      </c>
      <c r="R404" s="59">
        <f t="shared" si="66"/>
        <v>100</v>
      </c>
      <c r="S404" s="56">
        <f t="shared" si="67"/>
        <v>695</v>
      </c>
      <c r="T404" s="56">
        <f>0</f>
        <v>0</v>
      </c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</row>
    <row r="405" spans="1:30" ht="15.75" x14ac:dyDescent="0.25">
      <c r="A405" s="14">
        <v>53631</v>
      </c>
      <c r="B405" s="68">
        <v>31</v>
      </c>
      <c r="C405" s="56">
        <f>131.881</f>
        <v>131.881</v>
      </c>
      <c r="D405" s="56">
        <f>277.167</f>
        <v>277.16699999999997</v>
      </c>
      <c r="E405" s="64">
        <f>79.08</f>
        <v>79.08</v>
      </c>
      <c r="F405" s="56">
        <f>350.872-40-25-60-100</f>
        <v>125.87200000000001</v>
      </c>
      <c r="G405" s="59">
        <v>40</v>
      </c>
      <c r="H405" s="56">
        <f t="shared" si="63"/>
        <v>185</v>
      </c>
      <c r="I405" s="56">
        <f t="shared" si="59"/>
        <v>0</v>
      </c>
      <c r="J405" s="59">
        <v>100</v>
      </c>
      <c r="K405" s="59">
        <v>300</v>
      </c>
      <c r="L405" s="56">
        <f t="shared" si="64"/>
        <v>1239</v>
      </c>
      <c r="M405" s="66">
        <v>600</v>
      </c>
      <c r="N405" s="56">
        <f>75</f>
        <v>75</v>
      </c>
      <c r="O405" s="59">
        <v>240</v>
      </c>
      <c r="P405" s="59">
        <v>160</v>
      </c>
      <c r="Q405" s="59">
        <f t="shared" si="65"/>
        <v>195</v>
      </c>
      <c r="R405" s="59">
        <f t="shared" si="66"/>
        <v>100</v>
      </c>
      <c r="S405" s="56">
        <f t="shared" si="67"/>
        <v>695</v>
      </c>
      <c r="T405" s="56">
        <f>0</f>
        <v>0</v>
      </c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</row>
    <row r="406" spans="1:30" ht="15.75" x14ac:dyDescent="0.25">
      <c r="A406" s="14">
        <v>53661</v>
      </c>
      <c r="B406" s="68">
        <v>30</v>
      </c>
      <c r="C406" s="56">
        <f>122.58</f>
        <v>122.58</v>
      </c>
      <c r="D406" s="56">
        <f>297.941</f>
        <v>297.94099999999997</v>
      </c>
      <c r="E406" s="64">
        <f>89.177</f>
        <v>89.177000000000007</v>
      </c>
      <c r="F406" s="56">
        <f>240.302-40-60-100</f>
        <v>40.301999999999992</v>
      </c>
      <c r="G406" s="59">
        <v>40</v>
      </c>
      <c r="H406" s="56">
        <f>60+100</f>
        <v>160</v>
      </c>
      <c r="I406" s="56">
        <f t="shared" si="59"/>
        <v>0</v>
      </c>
      <c r="J406" s="59">
        <v>100</v>
      </c>
      <c r="K406" s="59">
        <v>300</v>
      </c>
      <c r="L406" s="56">
        <f t="shared" si="64"/>
        <v>1150</v>
      </c>
      <c r="M406" s="66">
        <v>600</v>
      </c>
      <c r="N406" s="56">
        <f>100</f>
        <v>100</v>
      </c>
      <c r="O406" s="59">
        <v>240</v>
      </c>
      <c r="P406" s="59">
        <v>40</v>
      </c>
      <c r="Q406" s="59">
        <f t="shared" si="65"/>
        <v>315</v>
      </c>
      <c r="R406" s="59">
        <f t="shared" si="66"/>
        <v>100</v>
      </c>
      <c r="S406" s="56">
        <f t="shared" si="67"/>
        <v>695</v>
      </c>
      <c r="T406" s="56">
        <f>50</f>
        <v>50</v>
      </c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</row>
    <row r="407" spans="1:30" ht="15.75" x14ac:dyDescent="0.25">
      <c r="A407" s="14">
        <v>53692</v>
      </c>
      <c r="B407" s="68">
        <v>31</v>
      </c>
      <c r="C407" s="56">
        <f>122.58</f>
        <v>122.58</v>
      </c>
      <c r="D407" s="56">
        <f>297.941</f>
        <v>297.94099999999997</v>
      </c>
      <c r="E407" s="64">
        <f>89.177</f>
        <v>89.177000000000007</v>
      </c>
      <c r="F407" s="56">
        <f>240.302-40-60-100</f>
        <v>40.301999999999992</v>
      </c>
      <c r="G407" s="59">
        <v>40</v>
      </c>
      <c r="H407" s="56">
        <f>60+100</f>
        <v>160</v>
      </c>
      <c r="I407" s="56">
        <f t="shared" si="59"/>
        <v>0</v>
      </c>
      <c r="J407" s="59">
        <v>100</v>
      </c>
      <c r="K407" s="59">
        <v>300</v>
      </c>
      <c r="L407" s="56">
        <f t="shared" si="64"/>
        <v>1150</v>
      </c>
      <c r="M407" s="66">
        <v>600</v>
      </c>
      <c r="N407" s="56">
        <f>100</f>
        <v>100</v>
      </c>
      <c r="O407" s="59">
        <v>240</v>
      </c>
      <c r="P407" s="59">
        <v>40</v>
      </c>
      <c r="Q407" s="59">
        <f t="shared" si="65"/>
        <v>315</v>
      </c>
      <c r="R407" s="59">
        <f t="shared" si="66"/>
        <v>100</v>
      </c>
      <c r="S407" s="56">
        <f t="shared" si="67"/>
        <v>695</v>
      </c>
      <c r="T407" s="56">
        <f>50</f>
        <v>50</v>
      </c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</row>
    <row r="408" spans="1:30" ht="15.75" x14ac:dyDescent="0.25">
      <c r="A408" s="14">
        <v>53723</v>
      </c>
      <c r="B408" s="68">
        <v>31</v>
      </c>
      <c r="C408" s="56">
        <f>122.58</f>
        <v>122.58</v>
      </c>
      <c r="D408" s="56">
        <f>297.941</f>
        <v>297.94099999999997</v>
      </c>
      <c r="E408" s="64">
        <f>89.177</f>
        <v>89.177000000000007</v>
      </c>
      <c r="F408" s="56">
        <f>240.302-40-60-100</f>
        <v>40.301999999999992</v>
      </c>
      <c r="G408" s="59">
        <v>40</v>
      </c>
      <c r="H408" s="56">
        <f>60+100</f>
        <v>160</v>
      </c>
      <c r="I408" s="56">
        <f t="shared" si="59"/>
        <v>0</v>
      </c>
      <c r="J408" s="59">
        <v>100</v>
      </c>
      <c r="K408" s="59">
        <v>300</v>
      </c>
      <c r="L408" s="56">
        <f t="shared" si="64"/>
        <v>1150</v>
      </c>
      <c r="M408" s="66">
        <v>600</v>
      </c>
      <c r="N408" s="56">
        <f>100</f>
        <v>100</v>
      </c>
      <c r="O408" s="59">
        <v>240</v>
      </c>
      <c r="P408" s="59">
        <v>40</v>
      </c>
      <c r="Q408" s="59">
        <f t="shared" si="65"/>
        <v>315</v>
      </c>
      <c r="R408" s="59">
        <f t="shared" si="66"/>
        <v>100</v>
      </c>
      <c r="S408" s="56">
        <f t="shared" si="67"/>
        <v>695</v>
      </c>
      <c r="T408" s="56">
        <f>50</f>
        <v>50</v>
      </c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</row>
    <row r="409" spans="1:30" ht="15.75" x14ac:dyDescent="0.25">
      <c r="A409" s="14">
        <v>53751</v>
      </c>
      <c r="B409" s="68">
        <v>28</v>
      </c>
      <c r="C409" s="56">
        <f>122.58</f>
        <v>122.58</v>
      </c>
      <c r="D409" s="56">
        <f>297.941</f>
        <v>297.94099999999997</v>
      </c>
      <c r="E409" s="64">
        <f>89.177</f>
        <v>89.177000000000007</v>
      </c>
      <c r="F409" s="56">
        <f>240.302-40-60-100</f>
        <v>40.301999999999992</v>
      </c>
      <c r="G409" s="59">
        <v>40</v>
      </c>
      <c r="H409" s="56">
        <f>60+100</f>
        <v>160</v>
      </c>
      <c r="I409" s="56">
        <f t="shared" si="59"/>
        <v>0</v>
      </c>
      <c r="J409" s="59">
        <v>100</v>
      </c>
      <c r="K409" s="59">
        <v>300</v>
      </c>
      <c r="L409" s="56">
        <f t="shared" si="64"/>
        <v>1150</v>
      </c>
      <c r="M409" s="66">
        <v>600</v>
      </c>
      <c r="N409" s="56">
        <f>100</f>
        <v>100</v>
      </c>
      <c r="O409" s="59">
        <v>240</v>
      </c>
      <c r="P409" s="59">
        <v>40</v>
      </c>
      <c r="Q409" s="59">
        <f t="shared" si="65"/>
        <v>315</v>
      </c>
      <c r="R409" s="59">
        <f t="shared" si="66"/>
        <v>100</v>
      </c>
      <c r="S409" s="56">
        <f t="shared" si="67"/>
        <v>695</v>
      </c>
      <c r="T409" s="56">
        <f>50</f>
        <v>50</v>
      </c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</row>
    <row r="410" spans="1:30" ht="15.75" x14ac:dyDescent="0.25">
      <c r="A410" s="14">
        <v>53782</v>
      </c>
      <c r="B410" s="68">
        <v>31</v>
      </c>
      <c r="C410" s="56">
        <f>122.58</f>
        <v>122.58</v>
      </c>
      <c r="D410" s="56">
        <f>297.941</f>
        <v>297.94099999999997</v>
      </c>
      <c r="E410" s="64">
        <f>89.177</f>
        <v>89.177000000000007</v>
      </c>
      <c r="F410" s="56">
        <f>240.302-40-60-100</f>
        <v>40.301999999999992</v>
      </c>
      <c r="G410" s="59">
        <v>40</v>
      </c>
      <c r="H410" s="56">
        <f>60+100</f>
        <v>160</v>
      </c>
      <c r="I410" s="56">
        <f t="shared" si="59"/>
        <v>0</v>
      </c>
      <c r="J410" s="59">
        <v>100</v>
      </c>
      <c r="K410" s="59">
        <v>300</v>
      </c>
      <c r="L410" s="56">
        <f t="shared" si="64"/>
        <v>1150</v>
      </c>
      <c r="M410" s="66">
        <v>600</v>
      </c>
      <c r="N410" s="56">
        <f>100</f>
        <v>100</v>
      </c>
      <c r="O410" s="59">
        <v>240</v>
      </c>
      <c r="P410" s="59">
        <v>40</v>
      </c>
      <c r="Q410" s="59">
        <f t="shared" si="65"/>
        <v>315</v>
      </c>
      <c r="R410" s="59">
        <f t="shared" si="66"/>
        <v>100</v>
      </c>
      <c r="S410" s="56">
        <f t="shared" si="67"/>
        <v>695</v>
      </c>
      <c r="T410" s="56">
        <f>50</f>
        <v>50</v>
      </c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</row>
    <row r="411" spans="1:30" ht="15.75" x14ac:dyDescent="0.25">
      <c r="A411" s="14">
        <v>53812</v>
      </c>
      <c r="B411" s="68">
        <v>30</v>
      </c>
      <c r="C411" s="56">
        <f>141.293</f>
        <v>141.29300000000001</v>
      </c>
      <c r="D411" s="56">
        <f>267.993</f>
        <v>267.99299999999999</v>
      </c>
      <c r="E411" s="64">
        <f>115.016</f>
        <v>115.01600000000001</v>
      </c>
      <c r="F411" s="56">
        <f>314.698-40-25-60-100</f>
        <v>89.697999999999979</v>
      </c>
      <c r="G411" s="59">
        <v>40</v>
      </c>
      <c r="H411" s="56">
        <f t="shared" ref="H411:H417" si="68">25+60+100</f>
        <v>185</v>
      </c>
      <c r="I411" s="56">
        <f t="shared" si="59"/>
        <v>0</v>
      </c>
      <c r="J411" s="59">
        <v>100</v>
      </c>
      <c r="K411" s="59">
        <v>300</v>
      </c>
      <c r="L411" s="56">
        <f t="shared" si="64"/>
        <v>1239</v>
      </c>
      <c r="M411" s="66">
        <v>600</v>
      </c>
      <c r="N411" s="56">
        <f>100</f>
        <v>100</v>
      </c>
      <c r="O411" s="59">
        <v>240</v>
      </c>
      <c r="P411" s="59">
        <v>160</v>
      </c>
      <c r="Q411" s="59">
        <f t="shared" si="65"/>
        <v>195</v>
      </c>
      <c r="R411" s="59">
        <f t="shared" si="66"/>
        <v>100</v>
      </c>
      <c r="S411" s="56">
        <f t="shared" si="67"/>
        <v>695</v>
      </c>
      <c r="T411" s="56">
        <f>50</f>
        <v>50</v>
      </c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</row>
    <row r="412" spans="1:30" ht="15.75" x14ac:dyDescent="0.25">
      <c r="A412" s="14">
        <v>53843</v>
      </c>
      <c r="B412" s="68">
        <v>31</v>
      </c>
      <c r="C412" s="56">
        <f>194.205</f>
        <v>194.20500000000001</v>
      </c>
      <c r="D412" s="56">
        <f>267.466</f>
        <v>267.46600000000001</v>
      </c>
      <c r="E412" s="64">
        <f>133.845</f>
        <v>133.845</v>
      </c>
      <c r="F412" s="56">
        <f>278.484-40-25-60-100</f>
        <v>53.48399999999998</v>
      </c>
      <c r="G412" s="59">
        <v>40</v>
      </c>
      <c r="H412" s="56">
        <f t="shared" si="68"/>
        <v>185</v>
      </c>
      <c r="I412" s="56">
        <f t="shared" si="59"/>
        <v>0</v>
      </c>
      <c r="J412" s="59">
        <v>100</v>
      </c>
      <c r="K412" s="59">
        <v>300</v>
      </c>
      <c r="L412" s="56">
        <f t="shared" si="64"/>
        <v>1274</v>
      </c>
      <c r="M412" s="66">
        <v>600</v>
      </c>
      <c r="N412" s="56">
        <f>75</f>
        <v>75</v>
      </c>
      <c r="O412" s="59">
        <v>240</v>
      </c>
      <c r="P412" s="59">
        <v>160</v>
      </c>
      <c r="Q412" s="59">
        <f t="shared" si="65"/>
        <v>195</v>
      </c>
      <c r="R412" s="59">
        <f t="shared" si="66"/>
        <v>100</v>
      </c>
      <c r="S412" s="56">
        <f t="shared" si="67"/>
        <v>695</v>
      </c>
      <c r="T412" s="56">
        <f>50</f>
        <v>50</v>
      </c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</row>
    <row r="413" spans="1:30" ht="15.75" x14ac:dyDescent="0.25">
      <c r="A413" s="14">
        <v>53873</v>
      </c>
      <c r="B413" s="68">
        <v>30</v>
      </c>
      <c r="C413" s="56">
        <f>194.205</f>
        <v>194.20500000000001</v>
      </c>
      <c r="D413" s="56">
        <f>267.466</f>
        <v>267.46600000000001</v>
      </c>
      <c r="E413" s="64">
        <f>133.845</f>
        <v>133.845</v>
      </c>
      <c r="F413" s="56">
        <f>278.484-40-25-60-100</f>
        <v>53.48399999999998</v>
      </c>
      <c r="G413" s="59">
        <v>40</v>
      </c>
      <c r="H413" s="56">
        <f t="shared" si="68"/>
        <v>185</v>
      </c>
      <c r="I413" s="56">
        <f t="shared" si="59"/>
        <v>0</v>
      </c>
      <c r="J413" s="59">
        <v>100</v>
      </c>
      <c r="K413" s="59">
        <v>300</v>
      </c>
      <c r="L413" s="56">
        <f t="shared" si="64"/>
        <v>1274</v>
      </c>
      <c r="M413" s="66">
        <v>600</v>
      </c>
      <c r="N413" s="56">
        <f>30</f>
        <v>30</v>
      </c>
      <c r="O413" s="59">
        <v>240</v>
      </c>
      <c r="P413" s="59">
        <v>160</v>
      </c>
      <c r="Q413" s="59">
        <f t="shared" si="65"/>
        <v>195</v>
      </c>
      <c r="R413" s="59">
        <f t="shared" si="66"/>
        <v>100</v>
      </c>
      <c r="S413" s="56">
        <f t="shared" si="67"/>
        <v>695</v>
      </c>
      <c r="T413" s="56">
        <f>50</f>
        <v>50</v>
      </c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</row>
    <row r="414" spans="1:30" ht="15.75" x14ac:dyDescent="0.25">
      <c r="A414" s="14">
        <v>53904</v>
      </c>
      <c r="B414" s="68">
        <v>31</v>
      </c>
      <c r="C414" s="56">
        <f>194.205</f>
        <v>194.20500000000001</v>
      </c>
      <c r="D414" s="56">
        <f>267.466</f>
        <v>267.46600000000001</v>
      </c>
      <c r="E414" s="64">
        <f>133.845</f>
        <v>133.845</v>
      </c>
      <c r="F414" s="56">
        <f>278.484-40-25-60-100</f>
        <v>53.48399999999998</v>
      </c>
      <c r="G414" s="59">
        <v>40</v>
      </c>
      <c r="H414" s="56">
        <f t="shared" si="68"/>
        <v>185</v>
      </c>
      <c r="I414" s="56">
        <f t="shared" si="59"/>
        <v>0</v>
      </c>
      <c r="J414" s="59">
        <v>100</v>
      </c>
      <c r="K414" s="59">
        <v>300</v>
      </c>
      <c r="L414" s="56">
        <f t="shared" si="64"/>
        <v>1274</v>
      </c>
      <c r="M414" s="66">
        <v>600</v>
      </c>
      <c r="N414" s="56">
        <f>30</f>
        <v>30</v>
      </c>
      <c r="O414" s="59">
        <v>240</v>
      </c>
      <c r="P414" s="59">
        <v>160</v>
      </c>
      <c r="Q414" s="59">
        <f t="shared" si="65"/>
        <v>195</v>
      </c>
      <c r="R414" s="59">
        <f t="shared" si="66"/>
        <v>100</v>
      </c>
      <c r="S414" s="56">
        <f t="shared" si="67"/>
        <v>695</v>
      </c>
      <c r="T414" s="56">
        <f>0</f>
        <v>0</v>
      </c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</row>
    <row r="415" spans="1:30" ht="15.75" x14ac:dyDescent="0.25">
      <c r="A415" s="14">
        <v>53935</v>
      </c>
      <c r="B415" s="68">
        <v>31</v>
      </c>
      <c r="C415" s="56">
        <f>194.205</f>
        <v>194.20500000000001</v>
      </c>
      <c r="D415" s="56">
        <f>267.466</f>
        <v>267.46600000000001</v>
      </c>
      <c r="E415" s="64">
        <f>133.845</f>
        <v>133.845</v>
      </c>
      <c r="F415" s="56">
        <f>278.484-40-25-60-100</f>
        <v>53.48399999999998</v>
      </c>
      <c r="G415" s="59">
        <v>40</v>
      </c>
      <c r="H415" s="56">
        <f t="shared" si="68"/>
        <v>185</v>
      </c>
      <c r="I415" s="56">
        <f t="shared" si="59"/>
        <v>0</v>
      </c>
      <c r="J415" s="59">
        <v>100</v>
      </c>
      <c r="K415" s="59">
        <v>300</v>
      </c>
      <c r="L415" s="56">
        <f t="shared" si="64"/>
        <v>1274</v>
      </c>
      <c r="M415" s="66">
        <v>600</v>
      </c>
      <c r="N415" s="56">
        <f>30</f>
        <v>30</v>
      </c>
      <c r="O415" s="59">
        <v>240</v>
      </c>
      <c r="P415" s="59">
        <v>160</v>
      </c>
      <c r="Q415" s="59">
        <f t="shared" si="65"/>
        <v>195</v>
      </c>
      <c r="R415" s="59">
        <f t="shared" si="66"/>
        <v>100</v>
      </c>
      <c r="S415" s="56">
        <f t="shared" si="67"/>
        <v>695</v>
      </c>
      <c r="T415" s="56">
        <f>0</f>
        <v>0</v>
      </c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</row>
    <row r="416" spans="1:30" ht="15.75" x14ac:dyDescent="0.25">
      <c r="A416" s="14">
        <v>53965</v>
      </c>
      <c r="B416" s="68">
        <v>30</v>
      </c>
      <c r="C416" s="56">
        <f>194.205</f>
        <v>194.20500000000001</v>
      </c>
      <c r="D416" s="56">
        <f>267.466</f>
        <v>267.46600000000001</v>
      </c>
      <c r="E416" s="64">
        <f>133.845</f>
        <v>133.845</v>
      </c>
      <c r="F416" s="56">
        <f>278.484-40-25-60-100</f>
        <v>53.48399999999998</v>
      </c>
      <c r="G416" s="59">
        <v>40</v>
      </c>
      <c r="H416" s="56">
        <f t="shared" si="68"/>
        <v>185</v>
      </c>
      <c r="I416" s="56">
        <f t="shared" si="59"/>
        <v>0</v>
      </c>
      <c r="J416" s="59">
        <v>100</v>
      </c>
      <c r="K416" s="59">
        <v>300</v>
      </c>
      <c r="L416" s="56">
        <f t="shared" si="64"/>
        <v>1274</v>
      </c>
      <c r="M416" s="66">
        <v>600</v>
      </c>
      <c r="N416" s="56">
        <f>30</f>
        <v>30</v>
      </c>
      <c r="O416" s="59">
        <v>240</v>
      </c>
      <c r="P416" s="59">
        <v>160</v>
      </c>
      <c r="Q416" s="59">
        <f t="shared" si="65"/>
        <v>195</v>
      </c>
      <c r="R416" s="59">
        <f t="shared" si="66"/>
        <v>100</v>
      </c>
      <c r="S416" s="56">
        <f t="shared" si="67"/>
        <v>695</v>
      </c>
      <c r="T416" s="56">
        <f>0</f>
        <v>0</v>
      </c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</row>
    <row r="417" spans="1:30" ht="15.75" x14ac:dyDescent="0.25">
      <c r="A417" s="14">
        <v>53996</v>
      </c>
      <c r="B417" s="68">
        <v>31</v>
      </c>
      <c r="C417" s="56">
        <f>131.881</f>
        <v>131.881</v>
      </c>
      <c r="D417" s="56">
        <f>277.167</f>
        <v>277.16699999999997</v>
      </c>
      <c r="E417" s="64">
        <f>79.08</f>
        <v>79.08</v>
      </c>
      <c r="F417" s="56">
        <f>350.872-40-25-60-100</f>
        <v>125.87200000000001</v>
      </c>
      <c r="G417" s="59">
        <v>40</v>
      </c>
      <c r="H417" s="56">
        <f t="shared" si="68"/>
        <v>185</v>
      </c>
      <c r="I417" s="56">
        <f t="shared" si="59"/>
        <v>0</v>
      </c>
      <c r="J417" s="59">
        <v>100</v>
      </c>
      <c r="K417" s="59">
        <v>300</v>
      </c>
      <c r="L417" s="56">
        <f t="shared" si="64"/>
        <v>1239</v>
      </c>
      <c r="M417" s="66">
        <v>600</v>
      </c>
      <c r="N417" s="56">
        <f>75</f>
        <v>75</v>
      </c>
      <c r="O417" s="59">
        <v>240</v>
      </c>
      <c r="P417" s="59">
        <v>160</v>
      </c>
      <c r="Q417" s="59">
        <f t="shared" si="65"/>
        <v>195</v>
      </c>
      <c r="R417" s="59">
        <f t="shared" si="66"/>
        <v>100</v>
      </c>
      <c r="S417" s="56">
        <f t="shared" si="67"/>
        <v>695</v>
      </c>
      <c r="T417" s="56">
        <f>0</f>
        <v>0</v>
      </c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</row>
    <row r="418" spans="1:30" ht="15.75" x14ac:dyDescent="0.25">
      <c r="A418" s="14">
        <v>54026</v>
      </c>
      <c r="B418" s="68">
        <v>30</v>
      </c>
      <c r="C418" s="56">
        <f>122.58</f>
        <v>122.58</v>
      </c>
      <c r="D418" s="56">
        <f>297.941</f>
        <v>297.94099999999997</v>
      </c>
      <c r="E418" s="64">
        <f>89.177</f>
        <v>89.177000000000007</v>
      </c>
      <c r="F418" s="56">
        <f>240.302-40-60-100</f>
        <v>40.301999999999992</v>
      </c>
      <c r="G418" s="59">
        <v>40</v>
      </c>
      <c r="H418" s="56">
        <f>60+100</f>
        <v>160</v>
      </c>
      <c r="I418" s="56">
        <f t="shared" si="59"/>
        <v>0</v>
      </c>
      <c r="J418" s="59">
        <v>100</v>
      </c>
      <c r="K418" s="59">
        <v>300</v>
      </c>
      <c r="L418" s="56">
        <f t="shared" si="64"/>
        <v>1150</v>
      </c>
      <c r="M418" s="66">
        <v>600</v>
      </c>
      <c r="N418" s="56">
        <f>100</f>
        <v>100</v>
      </c>
      <c r="O418" s="59">
        <v>240</v>
      </c>
      <c r="P418" s="59">
        <v>40</v>
      </c>
      <c r="Q418" s="59">
        <f t="shared" si="65"/>
        <v>315</v>
      </c>
      <c r="R418" s="59">
        <f t="shared" si="66"/>
        <v>100</v>
      </c>
      <c r="S418" s="56">
        <f t="shared" si="67"/>
        <v>695</v>
      </c>
      <c r="T418" s="56">
        <f>50</f>
        <v>50</v>
      </c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</row>
    <row r="419" spans="1:30" ht="15.75" x14ac:dyDescent="0.25">
      <c r="A419" s="14">
        <v>54057</v>
      </c>
      <c r="B419" s="68">
        <v>31</v>
      </c>
      <c r="C419" s="56">
        <f>122.58</f>
        <v>122.58</v>
      </c>
      <c r="D419" s="56">
        <f>297.941</f>
        <v>297.94099999999997</v>
      </c>
      <c r="E419" s="64">
        <f>89.177</f>
        <v>89.177000000000007</v>
      </c>
      <c r="F419" s="56">
        <f>240.302-40-60-100</f>
        <v>40.301999999999992</v>
      </c>
      <c r="G419" s="59">
        <v>40</v>
      </c>
      <c r="H419" s="56">
        <f>60+100</f>
        <v>160</v>
      </c>
      <c r="I419" s="56">
        <f t="shared" si="59"/>
        <v>0</v>
      </c>
      <c r="J419" s="59">
        <v>100</v>
      </c>
      <c r="K419" s="59">
        <v>300</v>
      </c>
      <c r="L419" s="56">
        <f t="shared" si="64"/>
        <v>1150</v>
      </c>
      <c r="M419" s="66">
        <v>600</v>
      </c>
      <c r="N419" s="56">
        <f>100</f>
        <v>100</v>
      </c>
      <c r="O419" s="59">
        <v>240</v>
      </c>
      <c r="P419" s="59">
        <v>40</v>
      </c>
      <c r="Q419" s="59">
        <f t="shared" si="65"/>
        <v>315</v>
      </c>
      <c r="R419" s="59">
        <f t="shared" si="66"/>
        <v>100</v>
      </c>
      <c r="S419" s="56">
        <f t="shared" si="67"/>
        <v>695</v>
      </c>
      <c r="T419" s="56">
        <f>50</f>
        <v>50</v>
      </c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</row>
    <row r="420" spans="1:30" ht="15.75" x14ac:dyDescent="0.25">
      <c r="A420" s="14">
        <v>54088</v>
      </c>
      <c r="B420" s="68">
        <v>31</v>
      </c>
      <c r="C420" s="56">
        <f>122.58</f>
        <v>122.58</v>
      </c>
      <c r="D420" s="56">
        <f>297.941</f>
        <v>297.94099999999997</v>
      </c>
      <c r="E420" s="64">
        <f>89.177</f>
        <v>89.177000000000007</v>
      </c>
      <c r="F420" s="56">
        <f>240.302-40-60-100</f>
        <v>40.301999999999992</v>
      </c>
      <c r="G420" s="59">
        <v>40</v>
      </c>
      <c r="H420" s="56">
        <f>60+100</f>
        <v>160</v>
      </c>
      <c r="I420" s="56">
        <f t="shared" si="59"/>
        <v>0</v>
      </c>
      <c r="J420" s="59">
        <v>100</v>
      </c>
      <c r="K420" s="59">
        <v>300</v>
      </c>
      <c r="L420" s="56">
        <f t="shared" si="64"/>
        <v>1150</v>
      </c>
      <c r="M420" s="66">
        <v>600</v>
      </c>
      <c r="N420" s="56">
        <f>100</f>
        <v>100</v>
      </c>
      <c r="O420" s="59">
        <v>240</v>
      </c>
      <c r="P420" s="59">
        <v>40</v>
      </c>
      <c r="Q420" s="59">
        <f t="shared" si="65"/>
        <v>315</v>
      </c>
      <c r="R420" s="59">
        <f t="shared" si="66"/>
        <v>100</v>
      </c>
      <c r="S420" s="56">
        <f t="shared" si="67"/>
        <v>695</v>
      </c>
      <c r="T420" s="56">
        <f>50</f>
        <v>50</v>
      </c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</row>
    <row r="421" spans="1:30" ht="15.75" x14ac:dyDescent="0.25">
      <c r="A421" s="14">
        <v>54116</v>
      </c>
      <c r="B421" s="68">
        <v>29</v>
      </c>
      <c r="C421" s="56">
        <f>122.58</f>
        <v>122.58</v>
      </c>
      <c r="D421" s="56">
        <f>297.941</f>
        <v>297.94099999999997</v>
      </c>
      <c r="E421" s="64">
        <f>89.177</f>
        <v>89.177000000000007</v>
      </c>
      <c r="F421" s="56">
        <f>240.302-40-60-100</f>
        <v>40.301999999999992</v>
      </c>
      <c r="G421" s="59">
        <v>40</v>
      </c>
      <c r="H421" s="56">
        <f>60+100</f>
        <v>160</v>
      </c>
      <c r="I421" s="56">
        <f t="shared" si="59"/>
        <v>0</v>
      </c>
      <c r="J421" s="59">
        <v>100</v>
      </c>
      <c r="K421" s="59">
        <v>300</v>
      </c>
      <c r="L421" s="56">
        <f t="shared" si="64"/>
        <v>1150</v>
      </c>
      <c r="M421" s="66">
        <v>600</v>
      </c>
      <c r="N421" s="56">
        <f>100</f>
        <v>100</v>
      </c>
      <c r="O421" s="59">
        <v>240</v>
      </c>
      <c r="P421" s="59">
        <v>40</v>
      </c>
      <c r="Q421" s="59">
        <f t="shared" si="65"/>
        <v>315</v>
      </c>
      <c r="R421" s="59">
        <f t="shared" si="66"/>
        <v>100</v>
      </c>
      <c r="S421" s="56">
        <f t="shared" si="67"/>
        <v>695</v>
      </c>
      <c r="T421" s="56">
        <f>50</f>
        <v>50</v>
      </c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</row>
    <row r="422" spans="1:30" ht="15.75" x14ac:dyDescent="0.25">
      <c r="A422" s="14">
        <v>54148</v>
      </c>
      <c r="B422" s="68">
        <v>31</v>
      </c>
      <c r="C422" s="56">
        <f>122.58</f>
        <v>122.58</v>
      </c>
      <c r="D422" s="56">
        <f>297.941</f>
        <v>297.94099999999997</v>
      </c>
      <c r="E422" s="64">
        <f>89.177</f>
        <v>89.177000000000007</v>
      </c>
      <c r="F422" s="56">
        <f>240.302-40-60-100</f>
        <v>40.301999999999992</v>
      </c>
      <c r="G422" s="59">
        <v>40</v>
      </c>
      <c r="H422" s="56">
        <f>60+100</f>
        <v>160</v>
      </c>
      <c r="I422" s="56">
        <f t="shared" si="59"/>
        <v>0</v>
      </c>
      <c r="J422" s="59">
        <v>100</v>
      </c>
      <c r="K422" s="59">
        <v>300</v>
      </c>
      <c r="L422" s="56">
        <f t="shared" si="64"/>
        <v>1150</v>
      </c>
      <c r="M422" s="66">
        <v>600</v>
      </c>
      <c r="N422" s="56">
        <f>100</f>
        <v>100</v>
      </c>
      <c r="O422" s="59">
        <v>240</v>
      </c>
      <c r="P422" s="59">
        <v>40</v>
      </c>
      <c r="Q422" s="59">
        <f t="shared" si="65"/>
        <v>315</v>
      </c>
      <c r="R422" s="59">
        <f t="shared" si="66"/>
        <v>100</v>
      </c>
      <c r="S422" s="56">
        <f t="shared" si="67"/>
        <v>695</v>
      </c>
      <c r="T422" s="56">
        <f>50</f>
        <v>50</v>
      </c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</row>
    <row r="423" spans="1:30" ht="15.75" x14ac:dyDescent="0.25">
      <c r="A423" s="14">
        <v>54178</v>
      </c>
      <c r="B423" s="68">
        <v>30</v>
      </c>
      <c r="C423" s="56">
        <f>141.293</f>
        <v>141.29300000000001</v>
      </c>
      <c r="D423" s="56">
        <f>267.993</f>
        <v>267.99299999999999</v>
      </c>
      <c r="E423" s="64">
        <f>115.016</f>
        <v>115.01600000000001</v>
      </c>
      <c r="F423" s="56">
        <f>314.698-40-25-60-100</f>
        <v>89.697999999999979</v>
      </c>
      <c r="G423" s="59">
        <v>40</v>
      </c>
      <c r="H423" s="56">
        <f t="shared" ref="H423:H429" si="69">25+60+100</f>
        <v>185</v>
      </c>
      <c r="I423" s="56">
        <f t="shared" si="59"/>
        <v>0</v>
      </c>
      <c r="J423" s="59">
        <v>100</v>
      </c>
      <c r="K423" s="59">
        <v>300</v>
      </c>
      <c r="L423" s="56">
        <f t="shared" si="64"/>
        <v>1239</v>
      </c>
      <c r="M423" s="66">
        <v>600</v>
      </c>
      <c r="N423" s="56">
        <f>100</f>
        <v>100</v>
      </c>
      <c r="O423" s="59">
        <v>240</v>
      </c>
      <c r="P423" s="59">
        <v>160</v>
      </c>
      <c r="Q423" s="59">
        <f t="shared" si="65"/>
        <v>195</v>
      </c>
      <c r="R423" s="59">
        <f t="shared" si="66"/>
        <v>100</v>
      </c>
      <c r="S423" s="56">
        <f t="shared" si="67"/>
        <v>695</v>
      </c>
      <c r="T423" s="56">
        <f>50</f>
        <v>50</v>
      </c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</row>
    <row r="424" spans="1:30" ht="15.75" x14ac:dyDescent="0.25">
      <c r="A424" s="14">
        <v>54209</v>
      </c>
      <c r="B424" s="68">
        <v>31</v>
      </c>
      <c r="C424" s="56">
        <f>194.205</f>
        <v>194.20500000000001</v>
      </c>
      <c r="D424" s="56">
        <f>267.466</f>
        <v>267.46600000000001</v>
      </c>
      <c r="E424" s="64">
        <f>133.845</f>
        <v>133.845</v>
      </c>
      <c r="F424" s="56">
        <f>278.484-40-25-60-100</f>
        <v>53.48399999999998</v>
      </c>
      <c r="G424" s="59">
        <v>40</v>
      </c>
      <c r="H424" s="56">
        <f t="shared" si="69"/>
        <v>185</v>
      </c>
      <c r="I424" s="56">
        <f t="shared" ref="I424:I487" si="70">400-J424-K424</f>
        <v>0</v>
      </c>
      <c r="J424" s="59">
        <v>100</v>
      </c>
      <c r="K424" s="59">
        <v>300</v>
      </c>
      <c r="L424" s="56">
        <f t="shared" si="64"/>
        <v>1274</v>
      </c>
      <c r="M424" s="66">
        <v>600</v>
      </c>
      <c r="N424" s="56">
        <f>75</f>
        <v>75</v>
      </c>
      <c r="O424" s="59">
        <v>240</v>
      </c>
      <c r="P424" s="59">
        <v>160</v>
      </c>
      <c r="Q424" s="59">
        <f t="shared" si="65"/>
        <v>195</v>
      </c>
      <c r="R424" s="59">
        <f t="shared" si="66"/>
        <v>100</v>
      </c>
      <c r="S424" s="56">
        <f t="shared" si="67"/>
        <v>695</v>
      </c>
      <c r="T424" s="56">
        <f>50</f>
        <v>50</v>
      </c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</row>
    <row r="425" spans="1:30" ht="15.75" x14ac:dyDescent="0.25">
      <c r="A425" s="14">
        <v>54239</v>
      </c>
      <c r="B425" s="68">
        <v>30</v>
      </c>
      <c r="C425" s="56">
        <f>194.205</f>
        <v>194.20500000000001</v>
      </c>
      <c r="D425" s="56">
        <f>267.466</f>
        <v>267.46600000000001</v>
      </c>
      <c r="E425" s="64">
        <f>133.845</f>
        <v>133.845</v>
      </c>
      <c r="F425" s="56">
        <f>278.484-40-25-60-100</f>
        <v>53.48399999999998</v>
      </c>
      <c r="G425" s="59">
        <v>40</v>
      </c>
      <c r="H425" s="56">
        <f t="shared" si="69"/>
        <v>185</v>
      </c>
      <c r="I425" s="56">
        <f t="shared" si="70"/>
        <v>0</v>
      </c>
      <c r="J425" s="59">
        <v>100</v>
      </c>
      <c r="K425" s="59">
        <v>300</v>
      </c>
      <c r="L425" s="56">
        <f t="shared" si="64"/>
        <v>1274</v>
      </c>
      <c r="M425" s="66">
        <v>600</v>
      </c>
      <c r="N425" s="56">
        <f>30</f>
        <v>30</v>
      </c>
      <c r="O425" s="59">
        <v>240</v>
      </c>
      <c r="P425" s="59">
        <v>160</v>
      </c>
      <c r="Q425" s="59">
        <f t="shared" si="65"/>
        <v>195</v>
      </c>
      <c r="R425" s="59">
        <f t="shared" si="66"/>
        <v>100</v>
      </c>
      <c r="S425" s="56">
        <f t="shared" si="67"/>
        <v>695</v>
      </c>
      <c r="T425" s="56">
        <f>50</f>
        <v>50</v>
      </c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</row>
    <row r="426" spans="1:30" ht="15.75" x14ac:dyDescent="0.25">
      <c r="A426" s="14">
        <v>54270</v>
      </c>
      <c r="B426" s="68">
        <v>31</v>
      </c>
      <c r="C426" s="56">
        <f>194.205</f>
        <v>194.20500000000001</v>
      </c>
      <c r="D426" s="56">
        <f>267.466</f>
        <v>267.46600000000001</v>
      </c>
      <c r="E426" s="64">
        <f>133.845</f>
        <v>133.845</v>
      </c>
      <c r="F426" s="56">
        <f>278.484-40-25-60-100</f>
        <v>53.48399999999998</v>
      </c>
      <c r="G426" s="59">
        <v>40</v>
      </c>
      <c r="H426" s="56">
        <f t="shared" si="69"/>
        <v>185</v>
      </c>
      <c r="I426" s="56">
        <f t="shared" si="70"/>
        <v>0</v>
      </c>
      <c r="J426" s="59">
        <v>100</v>
      </c>
      <c r="K426" s="59">
        <v>300</v>
      </c>
      <c r="L426" s="56">
        <f t="shared" si="64"/>
        <v>1274</v>
      </c>
      <c r="M426" s="66">
        <v>600</v>
      </c>
      <c r="N426" s="56">
        <f>30</f>
        <v>30</v>
      </c>
      <c r="O426" s="59">
        <v>240</v>
      </c>
      <c r="P426" s="59">
        <v>160</v>
      </c>
      <c r="Q426" s="59">
        <f t="shared" si="65"/>
        <v>195</v>
      </c>
      <c r="R426" s="59">
        <f t="shared" si="66"/>
        <v>100</v>
      </c>
      <c r="S426" s="56">
        <f t="shared" si="67"/>
        <v>695</v>
      </c>
      <c r="T426" s="56">
        <f>0</f>
        <v>0</v>
      </c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</row>
    <row r="427" spans="1:30" ht="15.75" x14ac:dyDescent="0.25">
      <c r="A427" s="14">
        <v>54301</v>
      </c>
      <c r="B427" s="68">
        <v>31</v>
      </c>
      <c r="C427" s="56">
        <f>194.205</f>
        <v>194.20500000000001</v>
      </c>
      <c r="D427" s="56">
        <f>267.466</f>
        <v>267.46600000000001</v>
      </c>
      <c r="E427" s="64">
        <f>133.845</f>
        <v>133.845</v>
      </c>
      <c r="F427" s="56">
        <f>278.484-40-25-60-100</f>
        <v>53.48399999999998</v>
      </c>
      <c r="G427" s="59">
        <v>40</v>
      </c>
      <c r="H427" s="56">
        <f t="shared" si="69"/>
        <v>185</v>
      </c>
      <c r="I427" s="56">
        <f t="shared" si="70"/>
        <v>0</v>
      </c>
      <c r="J427" s="59">
        <v>100</v>
      </c>
      <c r="K427" s="59">
        <v>300</v>
      </c>
      <c r="L427" s="56">
        <f t="shared" si="64"/>
        <v>1274</v>
      </c>
      <c r="M427" s="66">
        <v>600</v>
      </c>
      <c r="N427" s="56">
        <f>30</f>
        <v>30</v>
      </c>
      <c r="O427" s="59">
        <v>240</v>
      </c>
      <c r="P427" s="59">
        <v>160</v>
      </c>
      <c r="Q427" s="59">
        <f t="shared" si="65"/>
        <v>195</v>
      </c>
      <c r="R427" s="59">
        <f t="shared" si="66"/>
        <v>100</v>
      </c>
      <c r="S427" s="56">
        <f t="shared" si="67"/>
        <v>695</v>
      </c>
      <c r="T427" s="56">
        <f>0</f>
        <v>0</v>
      </c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</row>
    <row r="428" spans="1:30" ht="15.75" x14ac:dyDescent="0.25">
      <c r="A428" s="14">
        <v>54331</v>
      </c>
      <c r="B428" s="68">
        <v>30</v>
      </c>
      <c r="C428" s="56">
        <f>194.205</f>
        <v>194.20500000000001</v>
      </c>
      <c r="D428" s="56">
        <f>267.466</f>
        <v>267.46600000000001</v>
      </c>
      <c r="E428" s="64">
        <f>133.845</f>
        <v>133.845</v>
      </c>
      <c r="F428" s="56">
        <f>278.484-40-25-60-100</f>
        <v>53.48399999999998</v>
      </c>
      <c r="G428" s="59">
        <v>40</v>
      </c>
      <c r="H428" s="56">
        <f t="shared" si="69"/>
        <v>185</v>
      </c>
      <c r="I428" s="56">
        <f t="shared" si="70"/>
        <v>0</v>
      </c>
      <c r="J428" s="59">
        <v>100</v>
      </c>
      <c r="K428" s="59">
        <v>300</v>
      </c>
      <c r="L428" s="56">
        <f t="shared" si="64"/>
        <v>1274</v>
      </c>
      <c r="M428" s="66">
        <v>600</v>
      </c>
      <c r="N428" s="56">
        <f>30</f>
        <v>30</v>
      </c>
      <c r="O428" s="59">
        <v>240</v>
      </c>
      <c r="P428" s="59">
        <v>160</v>
      </c>
      <c r="Q428" s="59">
        <f t="shared" si="65"/>
        <v>195</v>
      </c>
      <c r="R428" s="59">
        <f t="shared" si="66"/>
        <v>100</v>
      </c>
      <c r="S428" s="56">
        <f t="shared" si="67"/>
        <v>695</v>
      </c>
      <c r="T428" s="56">
        <f>0</f>
        <v>0</v>
      </c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</row>
    <row r="429" spans="1:30" ht="15.75" x14ac:dyDescent="0.25">
      <c r="A429" s="14">
        <v>54362</v>
      </c>
      <c r="B429" s="68">
        <v>31</v>
      </c>
      <c r="C429" s="56">
        <f>131.881</f>
        <v>131.881</v>
      </c>
      <c r="D429" s="56">
        <f>277.167</f>
        <v>277.16699999999997</v>
      </c>
      <c r="E429" s="64">
        <f>79.08</f>
        <v>79.08</v>
      </c>
      <c r="F429" s="56">
        <f>350.872-40-25-60-100</f>
        <v>125.87200000000001</v>
      </c>
      <c r="G429" s="59">
        <v>40</v>
      </c>
      <c r="H429" s="56">
        <f t="shared" si="69"/>
        <v>185</v>
      </c>
      <c r="I429" s="56">
        <f t="shared" si="70"/>
        <v>0</v>
      </c>
      <c r="J429" s="59">
        <v>100</v>
      </c>
      <c r="K429" s="59">
        <v>300</v>
      </c>
      <c r="L429" s="56">
        <f t="shared" si="64"/>
        <v>1239</v>
      </c>
      <c r="M429" s="66">
        <v>600</v>
      </c>
      <c r="N429" s="56">
        <f>75</f>
        <v>75</v>
      </c>
      <c r="O429" s="59">
        <v>240</v>
      </c>
      <c r="P429" s="59">
        <v>160</v>
      </c>
      <c r="Q429" s="59">
        <f t="shared" si="65"/>
        <v>195</v>
      </c>
      <c r="R429" s="59">
        <f t="shared" si="66"/>
        <v>100</v>
      </c>
      <c r="S429" s="56">
        <f t="shared" si="67"/>
        <v>695</v>
      </c>
      <c r="T429" s="56">
        <f>0</f>
        <v>0</v>
      </c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</row>
    <row r="430" spans="1:30" ht="15.75" x14ac:dyDescent="0.25">
      <c r="A430" s="14">
        <v>54392</v>
      </c>
      <c r="B430" s="68">
        <v>30</v>
      </c>
      <c r="C430" s="56">
        <f>122.58</f>
        <v>122.58</v>
      </c>
      <c r="D430" s="56">
        <f>297.941</f>
        <v>297.94099999999997</v>
      </c>
      <c r="E430" s="64">
        <f>89.177</f>
        <v>89.177000000000007</v>
      </c>
      <c r="F430" s="56">
        <f>240.302-40-60-100</f>
        <v>40.301999999999992</v>
      </c>
      <c r="G430" s="59">
        <v>40</v>
      </c>
      <c r="H430" s="56">
        <f>60+100</f>
        <v>160</v>
      </c>
      <c r="I430" s="56">
        <f t="shared" si="70"/>
        <v>0</v>
      </c>
      <c r="J430" s="59">
        <v>100</v>
      </c>
      <c r="K430" s="59">
        <v>300</v>
      </c>
      <c r="L430" s="56">
        <f t="shared" si="64"/>
        <v>1150</v>
      </c>
      <c r="M430" s="66">
        <v>600</v>
      </c>
      <c r="N430" s="56">
        <f>100</f>
        <v>100</v>
      </c>
      <c r="O430" s="59">
        <v>240</v>
      </c>
      <c r="P430" s="59">
        <v>40</v>
      </c>
      <c r="Q430" s="59">
        <f t="shared" si="65"/>
        <v>315</v>
      </c>
      <c r="R430" s="59">
        <f t="shared" si="66"/>
        <v>100</v>
      </c>
      <c r="S430" s="56">
        <f t="shared" si="67"/>
        <v>695</v>
      </c>
      <c r="T430" s="56">
        <f>50</f>
        <v>50</v>
      </c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</row>
    <row r="431" spans="1:30" ht="15.75" x14ac:dyDescent="0.25">
      <c r="A431" s="14">
        <v>54423</v>
      </c>
      <c r="B431" s="68">
        <v>31</v>
      </c>
      <c r="C431" s="56">
        <f>122.58</f>
        <v>122.58</v>
      </c>
      <c r="D431" s="56">
        <f>297.941</f>
        <v>297.94099999999997</v>
      </c>
      <c r="E431" s="64">
        <f>89.177</f>
        <v>89.177000000000007</v>
      </c>
      <c r="F431" s="56">
        <f>240.302-40-60-100</f>
        <v>40.301999999999992</v>
      </c>
      <c r="G431" s="59">
        <v>40</v>
      </c>
      <c r="H431" s="56">
        <f>60+100</f>
        <v>160</v>
      </c>
      <c r="I431" s="56">
        <f t="shared" si="70"/>
        <v>0</v>
      </c>
      <c r="J431" s="59">
        <v>100</v>
      </c>
      <c r="K431" s="59">
        <v>300</v>
      </c>
      <c r="L431" s="56">
        <f t="shared" si="64"/>
        <v>1150</v>
      </c>
      <c r="M431" s="66">
        <v>600</v>
      </c>
      <c r="N431" s="56">
        <f>100</f>
        <v>100</v>
      </c>
      <c r="O431" s="59">
        <v>240</v>
      </c>
      <c r="P431" s="59">
        <v>40</v>
      </c>
      <c r="Q431" s="59">
        <f t="shared" si="65"/>
        <v>315</v>
      </c>
      <c r="R431" s="59">
        <f t="shared" si="66"/>
        <v>100</v>
      </c>
      <c r="S431" s="56">
        <f t="shared" si="67"/>
        <v>695</v>
      </c>
      <c r="T431" s="56">
        <f>50</f>
        <v>50</v>
      </c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</row>
    <row r="432" spans="1:30" ht="15.75" x14ac:dyDescent="0.25">
      <c r="A432" s="14">
        <v>54454</v>
      </c>
      <c r="B432" s="68">
        <v>31</v>
      </c>
      <c r="C432" s="56">
        <f>122.58</f>
        <v>122.58</v>
      </c>
      <c r="D432" s="56">
        <f>297.941</f>
        <v>297.94099999999997</v>
      </c>
      <c r="E432" s="64">
        <f>89.177</f>
        <v>89.177000000000007</v>
      </c>
      <c r="F432" s="56">
        <f>240.302-40-60-100</f>
        <v>40.301999999999992</v>
      </c>
      <c r="G432" s="59">
        <v>40</v>
      </c>
      <c r="H432" s="56">
        <f>60+100</f>
        <v>160</v>
      </c>
      <c r="I432" s="56">
        <f t="shared" si="70"/>
        <v>0</v>
      </c>
      <c r="J432" s="59">
        <v>100</v>
      </c>
      <c r="K432" s="59">
        <v>300</v>
      </c>
      <c r="L432" s="56">
        <f t="shared" si="64"/>
        <v>1150</v>
      </c>
      <c r="M432" s="66">
        <v>600</v>
      </c>
      <c r="N432" s="56">
        <f>100</f>
        <v>100</v>
      </c>
      <c r="O432" s="59">
        <v>240</v>
      </c>
      <c r="P432" s="59">
        <v>40</v>
      </c>
      <c r="Q432" s="59">
        <f t="shared" si="65"/>
        <v>315</v>
      </c>
      <c r="R432" s="59">
        <f t="shared" si="66"/>
        <v>100</v>
      </c>
      <c r="S432" s="56">
        <f t="shared" si="67"/>
        <v>695</v>
      </c>
      <c r="T432" s="56">
        <f>50</f>
        <v>50</v>
      </c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</row>
    <row r="433" spans="1:30" ht="15.75" x14ac:dyDescent="0.25">
      <c r="A433" s="14">
        <v>54482</v>
      </c>
      <c r="B433" s="68">
        <v>28</v>
      </c>
      <c r="C433" s="56">
        <f>122.58</f>
        <v>122.58</v>
      </c>
      <c r="D433" s="56">
        <f>297.941</f>
        <v>297.94099999999997</v>
      </c>
      <c r="E433" s="64">
        <f>89.177</f>
        <v>89.177000000000007</v>
      </c>
      <c r="F433" s="56">
        <f>240.302-40-60-100</f>
        <v>40.301999999999992</v>
      </c>
      <c r="G433" s="59">
        <v>40</v>
      </c>
      <c r="H433" s="56">
        <f>60+100</f>
        <v>160</v>
      </c>
      <c r="I433" s="56">
        <f t="shared" si="70"/>
        <v>0</v>
      </c>
      <c r="J433" s="59">
        <v>100</v>
      </c>
      <c r="K433" s="59">
        <v>300</v>
      </c>
      <c r="L433" s="56">
        <f t="shared" si="64"/>
        <v>1150</v>
      </c>
      <c r="M433" s="66">
        <v>600</v>
      </c>
      <c r="N433" s="56">
        <f>100</f>
        <v>100</v>
      </c>
      <c r="O433" s="59">
        <v>240</v>
      </c>
      <c r="P433" s="59">
        <v>40</v>
      </c>
      <c r="Q433" s="59">
        <f t="shared" si="65"/>
        <v>315</v>
      </c>
      <c r="R433" s="59">
        <f t="shared" si="66"/>
        <v>100</v>
      </c>
      <c r="S433" s="56">
        <f t="shared" si="67"/>
        <v>695</v>
      </c>
      <c r="T433" s="56">
        <f>50</f>
        <v>50</v>
      </c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</row>
    <row r="434" spans="1:30" ht="15.75" x14ac:dyDescent="0.25">
      <c r="A434" s="14">
        <v>54513</v>
      </c>
      <c r="B434" s="68">
        <v>31</v>
      </c>
      <c r="C434" s="56">
        <f>122.58</f>
        <v>122.58</v>
      </c>
      <c r="D434" s="56">
        <f>297.941</f>
        <v>297.94099999999997</v>
      </c>
      <c r="E434" s="64">
        <f>89.177</f>
        <v>89.177000000000007</v>
      </c>
      <c r="F434" s="56">
        <f>240.302-40-60-100</f>
        <v>40.301999999999992</v>
      </c>
      <c r="G434" s="59">
        <v>40</v>
      </c>
      <c r="H434" s="56">
        <f>60+100</f>
        <v>160</v>
      </c>
      <c r="I434" s="56">
        <f t="shared" si="70"/>
        <v>0</v>
      </c>
      <c r="J434" s="59">
        <v>100</v>
      </c>
      <c r="K434" s="59">
        <v>300</v>
      </c>
      <c r="L434" s="56">
        <f t="shared" si="64"/>
        <v>1150</v>
      </c>
      <c r="M434" s="66">
        <v>600</v>
      </c>
      <c r="N434" s="56">
        <f>100</f>
        <v>100</v>
      </c>
      <c r="O434" s="59">
        <v>240</v>
      </c>
      <c r="P434" s="59">
        <v>40</v>
      </c>
      <c r="Q434" s="59">
        <f t="shared" si="65"/>
        <v>315</v>
      </c>
      <c r="R434" s="59">
        <f t="shared" si="66"/>
        <v>100</v>
      </c>
      <c r="S434" s="56">
        <f t="shared" si="67"/>
        <v>695</v>
      </c>
      <c r="T434" s="56">
        <f>50</f>
        <v>50</v>
      </c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</row>
    <row r="435" spans="1:30" ht="15.75" x14ac:dyDescent="0.25">
      <c r="A435" s="14">
        <v>54543</v>
      </c>
      <c r="B435" s="68">
        <v>30</v>
      </c>
      <c r="C435" s="56">
        <f>141.293</f>
        <v>141.29300000000001</v>
      </c>
      <c r="D435" s="56">
        <f>267.993</f>
        <v>267.99299999999999</v>
      </c>
      <c r="E435" s="64">
        <f>115.016</f>
        <v>115.01600000000001</v>
      </c>
      <c r="F435" s="56">
        <f>314.698-40-25-60-100</f>
        <v>89.697999999999979</v>
      </c>
      <c r="G435" s="59">
        <v>40</v>
      </c>
      <c r="H435" s="56">
        <f t="shared" ref="H435:H441" si="71">25+60+100</f>
        <v>185</v>
      </c>
      <c r="I435" s="56">
        <f t="shared" si="70"/>
        <v>0</v>
      </c>
      <c r="J435" s="59">
        <v>100</v>
      </c>
      <c r="K435" s="59">
        <v>300</v>
      </c>
      <c r="L435" s="56">
        <f t="shared" si="64"/>
        <v>1239</v>
      </c>
      <c r="M435" s="66">
        <v>600</v>
      </c>
      <c r="N435" s="56">
        <f>100</f>
        <v>100</v>
      </c>
      <c r="O435" s="59">
        <v>240</v>
      </c>
      <c r="P435" s="59">
        <v>160</v>
      </c>
      <c r="Q435" s="59">
        <f t="shared" si="65"/>
        <v>195</v>
      </c>
      <c r="R435" s="59">
        <f t="shared" si="66"/>
        <v>100</v>
      </c>
      <c r="S435" s="56">
        <f t="shared" si="67"/>
        <v>695</v>
      </c>
      <c r="T435" s="56">
        <f>50</f>
        <v>50</v>
      </c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</row>
    <row r="436" spans="1:30" ht="15.75" x14ac:dyDescent="0.25">
      <c r="A436" s="14">
        <v>54574</v>
      </c>
      <c r="B436" s="68">
        <v>31</v>
      </c>
      <c r="C436" s="56">
        <f>194.205</f>
        <v>194.20500000000001</v>
      </c>
      <c r="D436" s="56">
        <f>267.466</f>
        <v>267.46600000000001</v>
      </c>
      <c r="E436" s="64">
        <f>133.845</f>
        <v>133.845</v>
      </c>
      <c r="F436" s="56">
        <f>278.484-40-25-60-100</f>
        <v>53.48399999999998</v>
      </c>
      <c r="G436" s="59">
        <v>40</v>
      </c>
      <c r="H436" s="56">
        <f t="shared" si="71"/>
        <v>185</v>
      </c>
      <c r="I436" s="56">
        <f t="shared" si="70"/>
        <v>0</v>
      </c>
      <c r="J436" s="59">
        <v>100</v>
      </c>
      <c r="K436" s="59">
        <v>300</v>
      </c>
      <c r="L436" s="56">
        <f t="shared" si="64"/>
        <v>1274</v>
      </c>
      <c r="M436" s="66">
        <v>600</v>
      </c>
      <c r="N436" s="56">
        <f>75</f>
        <v>75</v>
      </c>
      <c r="O436" s="59">
        <v>240</v>
      </c>
      <c r="P436" s="59">
        <v>160</v>
      </c>
      <c r="Q436" s="59">
        <f t="shared" si="65"/>
        <v>195</v>
      </c>
      <c r="R436" s="59">
        <f t="shared" si="66"/>
        <v>100</v>
      </c>
      <c r="S436" s="56">
        <f t="shared" si="67"/>
        <v>695</v>
      </c>
      <c r="T436" s="56">
        <f>50</f>
        <v>50</v>
      </c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</row>
    <row r="437" spans="1:30" ht="15.75" x14ac:dyDescent="0.25">
      <c r="A437" s="14">
        <v>54604</v>
      </c>
      <c r="B437" s="68">
        <v>30</v>
      </c>
      <c r="C437" s="56">
        <f>194.205</f>
        <v>194.20500000000001</v>
      </c>
      <c r="D437" s="56">
        <f>267.466</f>
        <v>267.46600000000001</v>
      </c>
      <c r="E437" s="64">
        <f>133.845</f>
        <v>133.845</v>
      </c>
      <c r="F437" s="56">
        <f>278.484-40-25-60-100</f>
        <v>53.48399999999998</v>
      </c>
      <c r="G437" s="59">
        <v>40</v>
      </c>
      <c r="H437" s="56">
        <f t="shared" si="71"/>
        <v>185</v>
      </c>
      <c r="I437" s="56">
        <f t="shared" si="70"/>
        <v>0</v>
      </c>
      <c r="J437" s="59">
        <v>100</v>
      </c>
      <c r="K437" s="59">
        <v>300</v>
      </c>
      <c r="L437" s="56">
        <f t="shared" si="64"/>
        <v>1274</v>
      </c>
      <c r="M437" s="66">
        <v>600</v>
      </c>
      <c r="N437" s="56">
        <f>30</f>
        <v>30</v>
      </c>
      <c r="O437" s="59">
        <v>240</v>
      </c>
      <c r="P437" s="59">
        <v>160</v>
      </c>
      <c r="Q437" s="59">
        <f t="shared" si="65"/>
        <v>195</v>
      </c>
      <c r="R437" s="59">
        <f t="shared" si="66"/>
        <v>100</v>
      </c>
      <c r="S437" s="56">
        <f t="shared" si="67"/>
        <v>695</v>
      </c>
      <c r="T437" s="56">
        <f>50</f>
        <v>50</v>
      </c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</row>
    <row r="438" spans="1:30" ht="15.75" x14ac:dyDescent="0.25">
      <c r="A438" s="14">
        <v>54635</v>
      </c>
      <c r="B438" s="68">
        <v>31</v>
      </c>
      <c r="C438" s="56">
        <f>194.205</f>
        <v>194.20500000000001</v>
      </c>
      <c r="D438" s="56">
        <f>267.466</f>
        <v>267.46600000000001</v>
      </c>
      <c r="E438" s="64">
        <f>133.845</f>
        <v>133.845</v>
      </c>
      <c r="F438" s="56">
        <f>278.484-40-25-60-100</f>
        <v>53.48399999999998</v>
      </c>
      <c r="G438" s="59">
        <v>40</v>
      </c>
      <c r="H438" s="56">
        <f t="shared" si="71"/>
        <v>185</v>
      </c>
      <c r="I438" s="56">
        <f t="shared" si="70"/>
        <v>0</v>
      </c>
      <c r="J438" s="59">
        <v>100</v>
      </c>
      <c r="K438" s="59">
        <v>300</v>
      </c>
      <c r="L438" s="56">
        <f t="shared" si="64"/>
        <v>1274</v>
      </c>
      <c r="M438" s="66">
        <v>600</v>
      </c>
      <c r="N438" s="56">
        <f>30</f>
        <v>30</v>
      </c>
      <c r="O438" s="59">
        <v>240</v>
      </c>
      <c r="P438" s="59">
        <v>160</v>
      </c>
      <c r="Q438" s="59">
        <f t="shared" si="65"/>
        <v>195</v>
      </c>
      <c r="R438" s="59">
        <f t="shared" si="66"/>
        <v>100</v>
      </c>
      <c r="S438" s="56">
        <f t="shared" si="67"/>
        <v>695</v>
      </c>
      <c r="T438" s="56">
        <f>0</f>
        <v>0</v>
      </c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</row>
    <row r="439" spans="1:30" ht="15.75" x14ac:dyDescent="0.25">
      <c r="A439" s="14">
        <v>54666</v>
      </c>
      <c r="B439" s="68">
        <v>31</v>
      </c>
      <c r="C439" s="56">
        <f>194.205</f>
        <v>194.20500000000001</v>
      </c>
      <c r="D439" s="56">
        <f>267.466</f>
        <v>267.46600000000001</v>
      </c>
      <c r="E439" s="64">
        <f>133.845</f>
        <v>133.845</v>
      </c>
      <c r="F439" s="56">
        <f>278.484-40-25-60-100</f>
        <v>53.48399999999998</v>
      </c>
      <c r="G439" s="59">
        <v>40</v>
      </c>
      <c r="H439" s="56">
        <f t="shared" si="71"/>
        <v>185</v>
      </c>
      <c r="I439" s="56">
        <f t="shared" si="70"/>
        <v>0</v>
      </c>
      <c r="J439" s="59">
        <v>100</v>
      </c>
      <c r="K439" s="59">
        <v>300</v>
      </c>
      <c r="L439" s="56">
        <f t="shared" si="64"/>
        <v>1274</v>
      </c>
      <c r="M439" s="66">
        <v>600</v>
      </c>
      <c r="N439" s="56">
        <f>30</f>
        <v>30</v>
      </c>
      <c r="O439" s="59">
        <v>240</v>
      </c>
      <c r="P439" s="59">
        <v>160</v>
      </c>
      <c r="Q439" s="59">
        <f t="shared" si="65"/>
        <v>195</v>
      </c>
      <c r="R439" s="59">
        <f t="shared" si="66"/>
        <v>100</v>
      </c>
      <c r="S439" s="56">
        <f t="shared" si="67"/>
        <v>695</v>
      </c>
      <c r="T439" s="56">
        <f>0</f>
        <v>0</v>
      </c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</row>
    <row r="440" spans="1:30" ht="15.75" x14ac:dyDescent="0.25">
      <c r="A440" s="14">
        <v>54696</v>
      </c>
      <c r="B440" s="68">
        <v>30</v>
      </c>
      <c r="C440" s="56">
        <f>194.205</f>
        <v>194.20500000000001</v>
      </c>
      <c r="D440" s="56">
        <f>267.466</f>
        <v>267.46600000000001</v>
      </c>
      <c r="E440" s="64">
        <f>133.845</f>
        <v>133.845</v>
      </c>
      <c r="F440" s="56">
        <f>278.484-40-25-60-100</f>
        <v>53.48399999999998</v>
      </c>
      <c r="G440" s="59">
        <v>40</v>
      </c>
      <c r="H440" s="56">
        <f t="shared" si="71"/>
        <v>185</v>
      </c>
      <c r="I440" s="56">
        <f t="shared" si="70"/>
        <v>0</v>
      </c>
      <c r="J440" s="59">
        <v>100</v>
      </c>
      <c r="K440" s="59">
        <v>300</v>
      </c>
      <c r="L440" s="56">
        <f t="shared" si="64"/>
        <v>1274</v>
      </c>
      <c r="M440" s="66">
        <v>600</v>
      </c>
      <c r="N440" s="56">
        <f>30</f>
        <v>30</v>
      </c>
      <c r="O440" s="59">
        <v>240</v>
      </c>
      <c r="P440" s="59">
        <v>160</v>
      </c>
      <c r="Q440" s="59">
        <f t="shared" si="65"/>
        <v>195</v>
      </c>
      <c r="R440" s="59">
        <f t="shared" si="66"/>
        <v>100</v>
      </c>
      <c r="S440" s="56">
        <f t="shared" si="67"/>
        <v>695</v>
      </c>
      <c r="T440" s="56">
        <f>0</f>
        <v>0</v>
      </c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</row>
    <row r="441" spans="1:30" ht="15.75" x14ac:dyDescent="0.25">
      <c r="A441" s="14">
        <v>54727</v>
      </c>
      <c r="B441" s="68">
        <v>31</v>
      </c>
      <c r="C441" s="56">
        <f>131.881</f>
        <v>131.881</v>
      </c>
      <c r="D441" s="56">
        <f>277.167</f>
        <v>277.16699999999997</v>
      </c>
      <c r="E441" s="64">
        <f>79.08</f>
        <v>79.08</v>
      </c>
      <c r="F441" s="56">
        <f>350.872-40-25-60-100</f>
        <v>125.87200000000001</v>
      </c>
      <c r="G441" s="59">
        <v>40</v>
      </c>
      <c r="H441" s="56">
        <f t="shared" si="71"/>
        <v>185</v>
      </c>
      <c r="I441" s="56">
        <f t="shared" si="70"/>
        <v>0</v>
      </c>
      <c r="J441" s="59">
        <v>100</v>
      </c>
      <c r="K441" s="59">
        <v>300</v>
      </c>
      <c r="L441" s="56">
        <f t="shared" si="64"/>
        <v>1239</v>
      </c>
      <c r="M441" s="66">
        <v>600</v>
      </c>
      <c r="N441" s="56">
        <f>75</f>
        <v>75</v>
      </c>
      <c r="O441" s="59">
        <v>240</v>
      </c>
      <c r="P441" s="59">
        <v>160</v>
      </c>
      <c r="Q441" s="59">
        <f t="shared" si="65"/>
        <v>195</v>
      </c>
      <c r="R441" s="59">
        <f t="shared" si="66"/>
        <v>100</v>
      </c>
      <c r="S441" s="56">
        <f t="shared" si="67"/>
        <v>695</v>
      </c>
      <c r="T441" s="56">
        <f>0</f>
        <v>0</v>
      </c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</row>
    <row r="442" spans="1:30" ht="15.75" x14ac:dyDescent="0.25">
      <c r="A442" s="14">
        <v>54757</v>
      </c>
      <c r="B442" s="68">
        <v>30</v>
      </c>
      <c r="C442" s="56">
        <f>122.58</f>
        <v>122.58</v>
      </c>
      <c r="D442" s="56">
        <f>297.941</f>
        <v>297.94099999999997</v>
      </c>
      <c r="E442" s="64">
        <f>89.177</f>
        <v>89.177000000000007</v>
      </c>
      <c r="F442" s="56">
        <f>240.302-40-60-100</f>
        <v>40.301999999999992</v>
      </c>
      <c r="G442" s="59">
        <v>40</v>
      </c>
      <c r="H442" s="56">
        <f>60+100</f>
        <v>160</v>
      </c>
      <c r="I442" s="56">
        <f t="shared" si="70"/>
        <v>0</v>
      </c>
      <c r="J442" s="59">
        <v>100</v>
      </c>
      <c r="K442" s="59">
        <v>300</v>
      </c>
      <c r="L442" s="56">
        <f t="shared" si="64"/>
        <v>1150</v>
      </c>
      <c r="M442" s="66">
        <v>600</v>
      </c>
      <c r="N442" s="56">
        <f>100</f>
        <v>100</v>
      </c>
      <c r="O442" s="59">
        <v>240</v>
      </c>
      <c r="P442" s="59">
        <v>40</v>
      </c>
      <c r="Q442" s="59">
        <f t="shared" si="65"/>
        <v>315</v>
      </c>
      <c r="R442" s="59">
        <f t="shared" si="66"/>
        <v>100</v>
      </c>
      <c r="S442" s="56">
        <f t="shared" si="67"/>
        <v>695</v>
      </c>
      <c r="T442" s="56">
        <f>50</f>
        <v>50</v>
      </c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</row>
    <row r="443" spans="1:30" ht="15.75" x14ac:dyDescent="0.25">
      <c r="A443" s="14">
        <v>54788</v>
      </c>
      <c r="B443" s="68">
        <v>31</v>
      </c>
      <c r="C443" s="56">
        <f>122.58</f>
        <v>122.58</v>
      </c>
      <c r="D443" s="56">
        <f>297.941</f>
        <v>297.94099999999997</v>
      </c>
      <c r="E443" s="64">
        <f>89.177</f>
        <v>89.177000000000007</v>
      </c>
      <c r="F443" s="56">
        <f>240.302-40-60-100</f>
        <v>40.301999999999992</v>
      </c>
      <c r="G443" s="59">
        <v>40</v>
      </c>
      <c r="H443" s="56">
        <f>60+100</f>
        <v>160</v>
      </c>
      <c r="I443" s="56">
        <f t="shared" si="70"/>
        <v>0</v>
      </c>
      <c r="J443" s="59">
        <v>100</v>
      </c>
      <c r="K443" s="59">
        <v>300</v>
      </c>
      <c r="L443" s="56">
        <f t="shared" si="64"/>
        <v>1150</v>
      </c>
      <c r="M443" s="66">
        <v>600</v>
      </c>
      <c r="N443" s="56">
        <f>100</f>
        <v>100</v>
      </c>
      <c r="O443" s="59">
        <v>240</v>
      </c>
      <c r="P443" s="59">
        <v>40</v>
      </c>
      <c r="Q443" s="59">
        <f t="shared" si="65"/>
        <v>315</v>
      </c>
      <c r="R443" s="59">
        <f t="shared" si="66"/>
        <v>100</v>
      </c>
      <c r="S443" s="56">
        <f t="shared" si="67"/>
        <v>695</v>
      </c>
      <c r="T443" s="56">
        <f>50</f>
        <v>50</v>
      </c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</row>
    <row r="444" spans="1:30" ht="15.75" x14ac:dyDescent="0.25">
      <c r="A444" s="14">
        <v>54819</v>
      </c>
      <c r="B444" s="68">
        <v>31</v>
      </c>
      <c r="C444" s="56">
        <f>122.58</f>
        <v>122.58</v>
      </c>
      <c r="D444" s="56">
        <f>297.941</f>
        <v>297.94099999999997</v>
      </c>
      <c r="E444" s="64">
        <f>89.177</f>
        <v>89.177000000000007</v>
      </c>
      <c r="F444" s="56">
        <f>240.302-40-60-100</f>
        <v>40.301999999999992</v>
      </c>
      <c r="G444" s="59">
        <v>40</v>
      </c>
      <c r="H444" s="56">
        <f>60+100</f>
        <v>160</v>
      </c>
      <c r="I444" s="56">
        <f t="shared" si="70"/>
        <v>0</v>
      </c>
      <c r="J444" s="59">
        <v>100</v>
      </c>
      <c r="K444" s="59">
        <v>300</v>
      </c>
      <c r="L444" s="56">
        <f t="shared" si="64"/>
        <v>1150</v>
      </c>
      <c r="M444" s="66">
        <v>600</v>
      </c>
      <c r="N444" s="56">
        <f>100</f>
        <v>100</v>
      </c>
      <c r="O444" s="59">
        <v>240</v>
      </c>
      <c r="P444" s="59">
        <v>40</v>
      </c>
      <c r="Q444" s="59">
        <f t="shared" si="65"/>
        <v>315</v>
      </c>
      <c r="R444" s="59">
        <f t="shared" si="66"/>
        <v>100</v>
      </c>
      <c r="S444" s="56">
        <f t="shared" si="67"/>
        <v>695</v>
      </c>
      <c r="T444" s="56">
        <f>50</f>
        <v>50</v>
      </c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</row>
    <row r="445" spans="1:30" ht="15.75" x14ac:dyDescent="0.25">
      <c r="A445" s="14">
        <v>54847</v>
      </c>
      <c r="B445" s="68">
        <v>28</v>
      </c>
      <c r="C445" s="56">
        <f>122.58</f>
        <v>122.58</v>
      </c>
      <c r="D445" s="56">
        <f>297.941</f>
        <v>297.94099999999997</v>
      </c>
      <c r="E445" s="64">
        <f>89.177</f>
        <v>89.177000000000007</v>
      </c>
      <c r="F445" s="56">
        <f>240.302-40-60-100</f>
        <v>40.301999999999992</v>
      </c>
      <c r="G445" s="59">
        <v>40</v>
      </c>
      <c r="H445" s="56">
        <f>60+100</f>
        <v>160</v>
      </c>
      <c r="I445" s="56">
        <f t="shared" si="70"/>
        <v>0</v>
      </c>
      <c r="J445" s="59">
        <v>100</v>
      </c>
      <c r="K445" s="59">
        <v>300</v>
      </c>
      <c r="L445" s="56">
        <f t="shared" si="64"/>
        <v>1150</v>
      </c>
      <c r="M445" s="66">
        <v>600</v>
      </c>
      <c r="N445" s="56">
        <f>100</f>
        <v>100</v>
      </c>
      <c r="O445" s="59">
        <v>240</v>
      </c>
      <c r="P445" s="59">
        <v>40</v>
      </c>
      <c r="Q445" s="59">
        <f t="shared" si="65"/>
        <v>315</v>
      </c>
      <c r="R445" s="59">
        <f t="shared" si="66"/>
        <v>100</v>
      </c>
      <c r="S445" s="56">
        <f t="shared" si="67"/>
        <v>695</v>
      </c>
      <c r="T445" s="56">
        <f>50</f>
        <v>50</v>
      </c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</row>
    <row r="446" spans="1:30" ht="15.75" x14ac:dyDescent="0.25">
      <c r="A446" s="14">
        <v>54878</v>
      </c>
      <c r="B446" s="68">
        <v>31</v>
      </c>
      <c r="C446" s="56">
        <f>122.58</f>
        <v>122.58</v>
      </c>
      <c r="D446" s="56">
        <f>297.941</f>
        <v>297.94099999999997</v>
      </c>
      <c r="E446" s="64">
        <f>89.177</f>
        <v>89.177000000000007</v>
      </c>
      <c r="F446" s="56">
        <f>240.302-40-60-100</f>
        <v>40.301999999999992</v>
      </c>
      <c r="G446" s="59">
        <v>40</v>
      </c>
      <c r="H446" s="56">
        <f>60+100</f>
        <v>160</v>
      </c>
      <c r="I446" s="56">
        <f t="shared" si="70"/>
        <v>0</v>
      </c>
      <c r="J446" s="59">
        <v>100</v>
      </c>
      <c r="K446" s="59">
        <v>300</v>
      </c>
      <c r="L446" s="56">
        <f t="shared" si="64"/>
        <v>1150</v>
      </c>
      <c r="M446" s="66">
        <v>600</v>
      </c>
      <c r="N446" s="56">
        <f>100</f>
        <v>100</v>
      </c>
      <c r="O446" s="59">
        <v>240</v>
      </c>
      <c r="P446" s="59">
        <v>40</v>
      </c>
      <c r="Q446" s="59">
        <f t="shared" si="65"/>
        <v>315</v>
      </c>
      <c r="R446" s="59">
        <f t="shared" si="66"/>
        <v>100</v>
      </c>
      <c r="S446" s="56">
        <f t="shared" si="67"/>
        <v>695</v>
      </c>
      <c r="T446" s="56">
        <f>50</f>
        <v>50</v>
      </c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</row>
    <row r="447" spans="1:30" ht="15.75" x14ac:dyDescent="0.25">
      <c r="A447" s="14">
        <v>54908</v>
      </c>
      <c r="B447" s="68">
        <v>30</v>
      </c>
      <c r="C447" s="56">
        <f>141.293</f>
        <v>141.29300000000001</v>
      </c>
      <c r="D447" s="56">
        <f>267.993</f>
        <v>267.99299999999999</v>
      </c>
      <c r="E447" s="64">
        <f>115.016</f>
        <v>115.01600000000001</v>
      </c>
      <c r="F447" s="56">
        <f>314.698-40-25-60-100</f>
        <v>89.697999999999979</v>
      </c>
      <c r="G447" s="59">
        <v>40</v>
      </c>
      <c r="H447" s="56">
        <f t="shared" ref="H447:H453" si="72">25+60+100</f>
        <v>185</v>
      </c>
      <c r="I447" s="56">
        <f t="shared" si="70"/>
        <v>0</v>
      </c>
      <c r="J447" s="59">
        <v>100</v>
      </c>
      <c r="K447" s="59">
        <v>300</v>
      </c>
      <c r="L447" s="56">
        <f t="shared" si="64"/>
        <v>1239</v>
      </c>
      <c r="M447" s="66">
        <v>600</v>
      </c>
      <c r="N447" s="56">
        <f>100</f>
        <v>100</v>
      </c>
      <c r="O447" s="59">
        <v>240</v>
      </c>
      <c r="P447" s="59">
        <v>160</v>
      </c>
      <c r="Q447" s="59">
        <f t="shared" si="65"/>
        <v>195</v>
      </c>
      <c r="R447" s="59">
        <f t="shared" si="66"/>
        <v>100</v>
      </c>
      <c r="S447" s="56">
        <f t="shared" si="67"/>
        <v>695</v>
      </c>
      <c r="T447" s="56">
        <f>50</f>
        <v>50</v>
      </c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</row>
    <row r="448" spans="1:30" ht="15.75" x14ac:dyDescent="0.25">
      <c r="A448" s="14">
        <v>54939</v>
      </c>
      <c r="B448" s="68">
        <v>31</v>
      </c>
      <c r="C448" s="56">
        <f>194.205</f>
        <v>194.20500000000001</v>
      </c>
      <c r="D448" s="56">
        <f>267.466</f>
        <v>267.46600000000001</v>
      </c>
      <c r="E448" s="64">
        <f>133.845</f>
        <v>133.845</v>
      </c>
      <c r="F448" s="56">
        <f>278.484-40-25-60-100</f>
        <v>53.48399999999998</v>
      </c>
      <c r="G448" s="59">
        <v>40</v>
      </c>
      <c r="H448" s="56">
        <f t="shared" si="72"/>
        <v>185</v>
      </c>
      <c r="I448" s="56">
        <f t="shared" si="70"/>
        <v>0</v>
      </c>
      <c r="J448" s="59">
        <v>100</v>
      </c>
      <c r="K448" s="59">
        <v>300</v>
      </c>
      <c r="L448" s="56">
        <f t="shared" si="64"/>
        <v>1274</v>
      </c>
      <c r="M448" s="66">
        <v>600</v>
      </c>
      <c r="N448" s="56">
        <f>75</f>
        <v>75</v>
      </c>
      <c r="O448" s="59">
        <v>240</v>
      </c>
      <c r="P448" s="59">
        <v>160</v>
      </c>
      <c r="Q448" s="59">
        <f t="shared" si="65"/>
        <v>195</v>
      </c>
      <c r="R448" s="59">
        <f t="shared" si="66"/>
        <v>100</v>
      </c>
      <c r="S448" s="56">
        <f t="shared" si="67"/>
        <v>695</v>
      </c>
      <c r="T448" s="56">
        <f>50</f>
        <v>50</v>
      </c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</row>
    <row r="449" spans="1:30" ht="15.75" x14ac:dyDescent="0.25">
      <c r="A449" s="14">
        <v>54969</v>
      </c>
      <c r="B449" s="68">
        <v>30</v>
      </c>
      <c r="C449" s="56">
        <f>194.205</f>
        <v>194.20500000000001</v>
      </c>
      <c r="D449" s="56">
        <f>267.466</f>
        <v>267.46600000000001</v>
      </c>
      <c r="E449" s="64">
        <f>133.845</f>
        <v>133.845</v>
      </c>
      <c r="F449" s="56">
        <f>278.484-40-25-60-100</f>
        <v>53.48399999999998</v>
      </c>
      <c r="G449" s="59">
        <v>40</v>
      </c>
      <c r="H449" s="56">
        <f t="shared" si="72"/>
        <v>185</v>
      </c>
      <c r="I449" s="56">
        <f t="shared" si="70"/>
        <v>0</v>
      </c>
      <c r="J449" s="59">
        <v>100</v>
      </c>
      <c r="K449" s="59">
        <v>300</v>
      </c>
      <c r="L449" s="56">
        <f t="shared" si="64"/>
        <v>1274</v>
      </c>
      <c r="M449" s="66">
        <v>600</v>
      </c>
      <c r="N449" s="56">
        <f>30</f>
        <v>30</v>
      </c>
      <c r="O449" s="59">
        <v>240</v>
      </c>
      <c r="P449" s="59">
        <v>160</v>
      </c>
      <c r="Q449" s="59">
        <f t="shared" si="65"/>
        <v>195</v>
      </c>
      <c r="R449" s="59">
        <f t="shared" si="66"/>
        <v>100</v>
      </c>
      <c r="S449" s="56">
        <f t="shared" si="67"/>
        <v>695</v>
      </c>
      <c r="T449" s="56">
        <f>50</f>
        <v>50</v>
      </c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</row>
    <row r="450" spans="1:30" ht="15.75" x14ac:dyDescent="0.25">
      <c r="A450" s="14">
        <v>55000</v>
      </c>
      <c r="B450" s="68">
        <v>31</v>
      </c>
      <c r="C450" s="56">
        <f>194.205</f>
        <v>194.20500000000001</v>
      </c>
      <c r="D450" s="56">
        <f>267.466</f>
        <v>267.46600000000001</v>
      </c>
      <c r="E450" s="64">
        <f>133.845</f>
        <v>133.845</v>
      </c>
      <c r="F450" s="56">
        <f>278.484-40-25-60-100</f>
        <v>53.48399999999998</v>
      </c>
      <c r="G450" s="59">
        <v>40</v>
      </c>
      <c r="H450" s="56">
        <f t="shared" si="72"/>
        <v>185</v>
      </c>
      <c r="I450" s="56">
        <f t="shared" si="70"/>
        <v>0</v>
      </c>
      <c r="J450" s="59">
        <v>100</v>
      </c>
      <c r="K450" s="59">
        <v>300</v>
      </c>
      <c r="L450" s="56">
        <f t="shared" si="64"/>
        <v>1274</v>
      </c>
      <c r="M450" s="66">
        <v>600</v>
      </c>
      <c r="N450" s="56">
        <f>30</f>
        <v>30</v>
      </c>
      <c r="O450" s="59">
        <v>240</v>
      </c>
      <c r="P450" s="59">
        <v>160</v>
      </c>
      <c r="Q450" s="59">
        <f t="shared" si="65"/>
        <v>195</v>
      </c>
      <c r="R450" s="59">
        <f t="shared" si="66"/>
        <v>100</v>
      </c>
      <c r="S450" s="56">
        <f t="shared" si="67"/>
        <v>695</v>
      </c>
      <c r="T450" s="56">
        <f>0</f>
        <v>0</v>
      </c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</row>
    <row r="451" spans="1:30" ht="15.75" x14ac:dyDescent="0.25">
      <c r="A451" s="14">
        <v>55031</v>
      </c>
      <c r="B451" s="68">
        <v>31</v>
      </c>
      <c r="C451" s="56">
        <f>194.205</f>
        <v>194.20500000000001</v>
      </c>
      <c r="D451" s="56">
        <f>267.466</f>
        <v>267.46600000000001</v>
      </c>
      <c r="E451" s="64">
        <f>133.845</f>
        <v>133.845</v>
      </c>
      <c r="F451" s="56">
        <f>278.484-40-25-60-100</f>
        <v>53.48399999999998</v>
      </c>
      <c r="G451" s="59">
        <v>40</v>
      </c>
      <c r="H451" s="56">
        <f t="shared" si="72"/>
        <v>185</v>
      </c>
      <c r="I451" s="56">
        <f t="shared" si="70"/>
        <v>0</v>
      </c>
      <c r="J451" s="59">
        <v>100</v>
      </c>
      <c r="K451" s="59">
        <v>300</v>
      </c>
      <c r="L451" s="56">
        <f t="shared" si="64"/>
        <v>1274</v>
      </c>
      <c r="M451" s="66">
        <v>600</v>
      </c>
      <c r="N451" s="56">
        <f>30</f>
        <v>30</v>
      </c>
      <c r="O451" s="59">
        <v>240</v>
      </c>
      <c r="P451" s="59">
        <v>160</v>
      </c>
      <c r="Q451" s="59">
        <f t="shared" si="65"/>
        <v>195</v>
      </c>
      <c r="R451" s="59">
        <f t="shared" si="66"/>
        <v>100</v>
      </c>
      <c r="S451" s="56">
        <f t="shared" si="67"/>
        <v>695</v>
      </c>
      <c r="T451" s="56">
        <f>0</f>
        <v>0</v>
      </c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</row>
    <row r="452" spans="1:30" ht="15.75" x14ac:dyDescent="0.25">
      <c r="A452" s="14">
        <v>55061</v>
      </c>
      <c r="B452" s="68">
        <v>30</v>
      </c>
      <c r="C452" s="56">
        <f>194.205</f>
        <v>194.20500000000001</v>
      </c>
      <c r="D452" s="56">
        <f>267.466</f>
        <v>267.46600000000001</v>
      </c>
      <c r="E452" s="64">
        <f>133.845</f>
        <v>133.845</v>
      </c>
      <c r="F452" s="56">
        <f>278.484-40-25-60-100</f>
        <v>53.48399999999998</v>
      </c>
      <c r="G452" s="59">
        <v>40</v>
      </c>
      <c r="H452" s="56">
        <f t="shared" si="72"/>
        <v>185</v>
      </c>
      <c r="I452" s="56">
        <f t="shared" si="70"/>
        <v>0</v>
      </c>
      <c r="J452" s="59">
        <v>100</v>
      </c>
      <c r="K452" s="59">
        <v>300</v>
      </c>
      <c r="L452" s="56">
        <f t="shared" si="64"/>
        <v>1274</v>
      </c>
      <c r="M452" s="66">
        <v>600</v>
      </c>
      <c r="N452" s="56">
        <f>30</f>
        <v>30</v>
      </c>
      <c r="O452" s="59">
        <v>240</v>
      </c>
      <c r="P452" s="59">
        <v>160</v>
      </c>
      <c r="Q452" s="59">
        <f t="shared" si="65"/>
        <v>195</v>
      </c>
      <c r="R452" s="59">
        <f t="shared" si="66"/>
        <v>100</v>
      </c>
      <c r="S452" s="56">
        <f t="shared" si="67"/>
        <v>695</v>
      </c>
      <c r="T452" s="56">
        <f>0</f>
        <v>0</v>
      </c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</row>
    <row r="453" spans="1:30" ht="15.75" x14ac:dyDescent="0.25">
      <c r="A453" s="14">
        <v>55092</v>
      </c>
      <c r="B453" s="68">
        <v>31</v>
      </c>
      <c r="C453" s="56">
        <f>131.881</f>
        <v>131.881</v>
      </c>
      <c r="D453" s="56">
        <f>277.167</f>
        <v>277.16699999999997</v>
      </c>
      <c r="E453" s="64">
        <f>79.08</f>
        <v>79.08</v>
      </c>
      <c r="F453" s="56">
        <f>350.872-40-25-60-100</f>
        <v>125.87200000000001</v>
      </c>
      <c r="G453" s="59">
        <v>40</v>
      </c>
      <c r="H453" s="56">
        <f t="shared" si="72"/>
        <v>185</v>
      </c>
      <c r="I453" s="56">
        <f t="shared" si="70"/>
        <v>0</v>
      </c>
      <c r="J453" s="59">
        <v>100</v>
      </c>
      <c r="K453" s="59">
        <v>300</v>
      </c>
      <c r="L453" s="56">
        <f t="shared" si="64"/>
        <v>1239</v>
      </c>
      <c r="M453" s="66">
        <v>600</v>
      </c>
      <c r="N453" s="56">
        <f>75</f>
        <v>75</v>
      </c>
      <c r="O453" s="59">
        <v>240</v>
      </c>
      <c r="P453" s="59">
        <v>160</v>
      </c>
      <c r="Q453" s="59">
        <f t="shared" si="65"/>
        <v>195</v>
      </c>
      <c r="R453" s="59">
        <f t="shared" si="66"/>
        <v>100</v>
      </c>
      <c r="S453" s="56">
        <f t="shared" si="67"/>
        <v>695</v>
      </c>
      <c r="T453" s="56">
        <f>0</f>
        <v>0</v>
      </c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</row>
    <row r="454" spans="1:30" ht="15.75" x14ac:dyDescent="0.25">
      <c r="A454" s="14">
        <v>55122</v>
      </c>
      <c r="B454" s="68">
        <v>30</v>
      </c>
      <c r="C454" s="56">
        <f>122.58</f>
        <v>122.58</v>
      </c>
      <c r="D454" s="56">
        <f>297.941</f>
        <v>297.94099999999997</v>
      </c>
      <c r="E454" s="64">
        <f>89.177</f>
        <v>89.177000000000007</v>
      </c>
      <c r="F454" s="56">
        <f>240.302-40-60-100</f>
        <v>40.301999999999992</v>
      </c>
      <c r="G454" s="59">
        <v>40</v>
      </c>
      <c r="H454" s="56">
        <f>60+100</f>
        <v>160</v>
      </c>
      <c r="I454" s="56">
        <f t="shared" si="70"/>
        <v>0</v>
      </c>
      <c r="J454" s="59">
        <v>100</v>
      </c>
      <c r="K454" s="59">
        <v>300</v>
      </c>
      <c r="L454" s="56">
        <f t="shared" si="64"/>
        <v>1150</v>
      </c>
      <c r="M454" s="66">
        <v>600</v>
      </c>
      <c r="N454" s="56">
        <f>100</f>
        <v>100</v>
      </c>
      <c r="O454" s="59">
        <v>240</v>
      </c>
      <c r="P454" s="59">
        <v>40</v>
      </c>
      <c r="Q454" s="59">
        <f t="shared" si="65"/>
        <v>315</v>
      </c>
      <c r="R454" s="59">
        <f t="shared" si="66"/>
        <v>100</v>
      </c>
      <c r="S454" s="56">
        <f t="shared" si="67"/>
        <v>695</v>
      </c>
      <c r="T454" s="56">
        <f>50</f>
        <v>50</v>
      </c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</row>
    <row r="455" spans="1:30" ht="15.75" x14ac:dyDescent="0.25">
      <c r="A455" s="14">
        <v>55153</v>
      </c>
      <c r="B455" s="68">
        <v>31</v>
      </c>
      <c r="C455" s="56">
        <f>122.58</f>
        <v>122.58</v>
      </c>
      <c r="D455" s="56">
        <f>297.941</f>
        <v>297.94099999999997</v>
      </c>
      <c r="E455" s="64">
        <f>89.177</f>
        <v>89.177000000000007</v>
      </c>
      <c r="F455" s="56">
        <f>240.302-40-60-100</f>
        <v>40.301999999999992</v>
      </c>
      <c r="G455" s="59">
        <v>40</v>
      </c>
      <c r="H455" s="56">
        <f>60+100</f>
        <v>160</v>
      </c>
      <c r="I455" s="56">
        <f t="shared" si="70"/>
        <v>0</v>
      </c>
      <c r="J455" s="59">
        <v>100</v>
      </c>
      <c r="K455" s="59">
        <v>300</v>
      </c>
      <c r="L455" s="56">
        <f t="shared" si="64"/>
        <v>1150</v>
      </c>
      <c r="M455" s="66">
        <v>600</v>
      </c>
      <c r="N455" s="56">
        <f>100</f>
        <v>100</v>
      </c>
      <c r="O455" s="59">
        <v>240</v>
      </c>
      <c r="P455" s="59">
        <v>40</v>
      </c>
      <c r="Q455" s="59">
        <f t="shared" si="65"/>
        <v>315</v>
      </c>
      <c r="R455" s="59">
        <f t="shared" si="66"/>
        <v>100</v>
      </c>
      <c r="S455" s="56">
        <f t="shared" si="67"/>
        <v>695</v>
      </c>
      <c r="T455" s="56">
        <f>50</f>
        <v>50</v>
      </c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</row>
    <row r="456" spans="1:30" ht="15.75" x14ac:dyDescent="0.25">
      <c r="A456" s="14">
        <v>55184</v>
      </c>
      <c r="B456" s="68">
        <v>31</v>
      </c>
      <c r="C456" s="56">
        <f>122.58</f>
        <v>122.58</v>
      </c>
      <c r="D456" s="56">
        <f>297.941</f>
        <v>297.94099999999997</v>
      </c>
      <c r="E456" s="64">
        <f>89.177</f>
        <v>89.177000000000007</v>
      </c>
      <c r="F456" s="56">
        <f>240.302-40-60-100</f>
        <v>40.301999999999992</v>
      </c>
      <c r="G456" s="59">
        <v>40</v>
      </c>
      <c r="H456" s="56">
        <f>60+100</f>
        <v>160</v>
      </c>
      <c r="I456" s="56">
        <f t="shared" si="70"/>
        <v>0</v>
      </c>
      <c r="J456" s="59">
        <v>100</v>
      </c>
      <c r="K456" s="59">
        <v>300</v>
      </c>
      <c r="L456" s="56">
        <f t="shared" si="64"/>
        <v>1150</v>
      </c>
      <c r="M456" s="66">
        <v>600</v>
      </c>
      <c r="N456" s="56">
        <f>100</f>
        <v>100</v>
      </c>
      <c r="O456" s="59">
        <v>240</v>
      </c>
      <c r="P456" s="59">
        <v>40</v>
      </c>
      <c r="Q456" s="59">
        <f t="shared" si="65"/>
        <v>315</v>
      </c>
      <c r="R456" s="59">
        <f t="shared" si="66"/>
        <v>100</v>
      </c>
      <c r="S456" s="56">
        <f t="shared" si="67"/>
        <v>695</v>
      </c>
      <c r="T456" s="56">
        <f>50</f>
        <v>50</v>
      </c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</row>
    <row r="457" spans="1:30" ht="15.75" x14ac:dyDescent="0.25">
      <c r="A457" s="14">
        <v>55212</v>
      </c>
      <c r="B457" s="68">
        <v>28</v>
      </c>
      <c r="C457" s="56">
        <f>122.58</f>
        <v>122.58</v>
      </c>
      <c r="D457" s="56">
        <f>297.941</f>
        <v>297.94099999999997</v>
      </c>
      <c r="E457" s="64">
        <f>89.177</f>
        <v>89.177000000000007</v>
      </c>
      <c r="F457" s="56">
        <f>240.302-40-60-100</f>
        <v>40.301999999999992</v>
      </c>
      <c r="G457" s="59">
        <v>40</v>
      </c>
      <c r="H457" s="56">
        <f>60+100</f>
        <v>160</v>
      </c>
      <c r="I457" s="56">
        <f t="shared" si="70"/>
        <v>0</v>
      </c>
      <c r="J457" s="59">
        <v>100</v>
      </c>
      <c r="K457" s="59">
        <v>300</v>
      </c>
      <c r="L457" s="56">
        <f t="shared" si="64"/>
        <v>1150</v>
      </c>
      <c r="M457" s="66">
        <v>600</v>
      </c>
      <c r="N457" s="56">
        <f>100</f>
        <v>100</v>
      </c>
      <c r="O457" s="59">
        <v>240</v>
      </c>
      <c r="P457" s="59">
        <v>40</v>
      </c>
      <c r="Q457" s="59">
        <f t="shared" si="65"/>
        <v>315</v>
      </c>
      <c r="R457" s="59">
        <f t="shared" si="66"/>
        <v>100</v>
      </c>
      <c r="S457" s="56">
        <f t="shared" si="67"/>
        <v>695</v>
      </c>
      <c r="T457" s="56">
        <f>50</f>
        <v>50</v>
      </c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</row>
    <row r="458" spans="1:30" ht="15.75" x14ac:dyDescent="0.25">
      <c r="A458" s="14">
        <v>55243</v>
      </c>
      <c r="B458" s="68">
        <v>31</v>
      </c>
      <c r="C458" s="56">
        <f>122.58</f>
        <v>122.58</v>
      </c>
      <c r="D458" s="56">
        <f>297.941</f>
        <v>297.94099999999997</v>
      </c>
      <c r="E458" s="64">
        <f>89.177</f>
        <v>89.177000000000007</v>
      </c>
      <c r="F458" s="56">
        <f>240.302-40-60-100</f>
        <v>40.301999999999992</v>
      </c>
      <c r="G458" s="59">
        <v>40</v>
      </c>
      <c r="H458" s="56">
        <f>60+100</f>
        <v>160</v>
      </c>
      <c r="I458" s="56">
        <f t="shared" si="70"/>
        <v>0</v>
      </c>
      <c r="J458" s="59">
        <v>100</v>
      </c>
      <c r="K458" s="59">
        <v>300</v>
      </c>
      <c r="L458" s="56">
        <f t="shared" si="64"/>
        <v>1150</v>
      </c>
      <c r="M458" s="66">
        <v>600</v>
      </c>
      <c r="N458" s="56">
        <f>100</f>
        <v>100</v>
      </c>
      <c r="O458" s="59">
        <v>240</v>
      </c>
      <c r="P458" s="59">
        <v>40</v>
      </c>
      <c r="Q458" s="59">
        <f t="shared" si="65"/>
        <v>315</v>
      </c>
      <c r="R458" s="59">
        <f t="shared" si="66"/>
        <v>100</v>
      </c>
      <c r="S458" s="56">
        <f t="shared" si="67"/>
        <v>695</v>
      </c>
      <c r="T458" s="56">
        <f>50</f>
        <v>50</v>
      </c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</row>
    <row r="459" spans="1:30" ht="15.75" x14ac:dyDescent="0.25">
      <c r="A459" s="14">
        <v>55273</v>
      </c>
      <c r="B459" s="68">
        <v>30</v>
      </c>
      <c r="C459" s="56">
        <f>141.293</f>
        <v>141.29300000000001</v>
      </c>
      <c r="D459" s="56">
        <f>267.993</f>
        <v>267.99299999999999</v>
      </c>
      <c r="E459" s="64">
        <f>115.016</f>
        <v>115.01600000000001</v>
      </c>
      <c r="F459" s="56">
        <f>314.698-40-25-60-100</f>
        <v>89.697999999999979</v>
      </c>
      <c r="G459" s="59">
        <v>40</v>
      </c>
      <c r="H459" s="56">
        <f t="shared" ref="H459:H465" si="73">25+60+100</f>
        <v>185</v>
      </c>
      <c r="I459" s="56">
        <f t="shared" si="70"/>
        <v>0</v>
      </c>
      <c r="J459" s="59">
        <v>100</v>
      </c>
      <c r="K459" s="59">
        <v>300</v>
      </c>
      <c r="L459" s="56">
        <f t="shared" si="64"/>
        <v>1239</v>
      </c>
      <c r="M459" s="66">
        <v>600</v>
      </c>
      <c r="N459" s="56">
        <f>100</f>
        <v>100</v>
      </c>
      <c r="O459" s="59">
        <v>240</v>
      </c>
      <c r="P459" s="59">
        <v>160</v>
      </c>
      <c r="Q459" s="59">
        <f t="shared" si="65"/>
        <v>195</v>
      </c>
      <c r="R459" s="59">
        <f t="shared" si="66"/>
        <v>100</v>
      </c>
      <c r="S459" s="56">
        <f t="shared" si="67"/>
        <v>695</v>
      </c>
      <c r="T459" s="56">
        <f>50</f>
        <v>50</v>
      </c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</row>
    <row r="460" spans="1:30" ht="15.75" x14ac:dyDescent="0.25">
      <c r="A460" s="14">
        <v>55304</v>
      </c>
      <c r="B460" s="68">
        <v>31</v>
      </c>
      <c r="C460" s="56">
        <f>194.205</f>
        <v>194.20500000000001</v>
      </c>
      <c r="D460" s="56">
        <f>267.466</f>
        <v>267.46600000000001</v>
      </c>
      <c r="E460" s="64">
        <f>133.845</f>
        <v>133.845</v>
      </c>
      <c r="F460" s="56">
        <f>278.484-40-25-60-100</f>
        <v>53.48399999999998</v>
      </c>
      <c r="G460" s="59">
        <v>40</v>
      </c>
      <c r="H460" s="56">
        <f t="shared" si="73"/>
        <v>185</v>
      </c>
      <c r="I460" s="56">
        <f t="shared" si="70"/>
        <v>0</v>
      </c>
      <c r="J460" s="59">
        <v>100</v>
      </c>
      <c r="K460" s="59">
        <v>300</v>
      </c>
      <c r="L460" s="56">
        <f t="shared" si="64"/>
        <v>1274</v>
      </c>
      <c r="M460" s="66">
        <v>600</v>
      </c>
      <c r="N460" s="56">
        <f>75</f>
        <v>75</v>
      </c>
      <c r="O460" s="59">
        <v>240</v>
      </c>
      <c r="P460" s="59">
        <v>160</v>
      </c>
      <c r="Q460" s="59">
        <f t="shared" si="65"/>
        <v>195</v>
      </c>
      <c r="R460" s="59">
        <f t="shared" si="66"/>
        <v>100</v>
      </c>
      <c r="S460" s="56">
        <f t="shared" si="67"/>
        <v>695</v>
      </c>
      <c r="T460" s="56">
        <f>50</f>
        <v>50</v>
      </c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</row>
    <row r="461" spans="1:30" ht="15.75" x14ac:dyDescent="0.25">
      <c r="A461" s="14">
        <v>55334</v>
      </c>
      <c r="B461" s="68">
        <v>30</v>
      </c>
      <c r="C461" s="56">
        <f>194.205</f>
        <v>194.20500000000001</v>
      </c>
      <c r="D461" s="56">
        <f>267.466</f>
        <v>267.46600000000001</v>
      </c>
      <c r="E461" s="64">
        <f>133.845</f>
        <v>133.845</v>
      </c>
      <c r="F461" s="56">
        <f>278.484-40-25-60-100</f>
        <v>53.48399999999998</v>
      </c>
      <c r="G461" s="59">
        <v>40</v>
      </c>
      <c r="H461" s="56">
        <f t="shared" si="73"/>
        <v>185</v>
      </c>
      <c r="I461" s="56">
        <f t="shared" si="70"/>
        <v>0</v>
      </c>
      <c r="J461" s="59">
        <v>100</v>
      </c>
      <c r="K461" s="59">
        <v>300</v>
      </c>
      <c r="L461" s="56">
        <f t="shared" si="64"/>
        <v>1274</v>
      </c>
      <c r="M461" s="66">
        <v>600</v>
      </c>
      <c r="N461" s="56">
        <f>30</f>
        <v>30</v>
      </c>
      <c r="O461" s="59">
        <v>240</v>
      </c>
      <c r="P461" s="59">
        <v>160</v>
      </c>
      <c r="Q461" s="59">
        <f t="shared" si="65"/>
        <v>195</v>
      </c>
      <c r="R461" s="59">
        <f t="shared" si="66"/>
        <v>100</v>
      </c>
      <c r="S461" s="56">
        <f t="shared" si="67"/>
        <v>695</v>
      </c>
      <c r="T461" s="56">
        <f>50</f>
        <v>50</v>
      </c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</row>
    <row r="462" spans="1:30" ht="15.75" x14ac:dyDescent="0.25">
      <c r="A462" s="14">
        <v>55365</v>
      </c>
      <c r="B462" s="68">
        <v>31</v>
      </c>
      <c r="C462" s="56">
        <f>194.205</f>
        <v>194.20500000000001</v>
      </c>
      <c r="D462" s="56">
        <f>267.466</f>
        <v>267.46600000000001</v>
      </c>
      <c r="E462" s="64">
        <f>133.845</f>
        <v>133.845</v>
      </c>
      <c r="F462" s="56">
        <f>278.484-40-25-60-100</f>
        <v>53.48399999999998</v>
      </c>
      <c r="G462" s="59">
        <v>40</v>
      </c>
      <c r="H462" s="56">
        <f t="shared" si="73"/>
        <v>185</v>
      </c>
      <c r="I462" s="56">
        <f t="shared" si="70"/>
        <v>0</v>
      </c>
      <c r="J462" s="59">
        <v>100</v>
      </c>
      <c r="K462" s="59">
        <v>300</v>
      </c>
      <c r="L462" s="56">
        <f t="shared" si="64"/>
        <v>1274</v>
      </c>
      <c r="M462" s="66">
        <v>600</v>
      </c>
      <c r="N462" s="56">
        <f>30</f>
        <v>30</v>
      </c>
      <c r="O462" s="59">
        <v>240</v>
      </c>
      <c r="P462" s="59">
        <v>160</v>
      </c>
      <c r="Q462" s="59">
        <f t="shared" si="65"/>
        <v>195</v>
      </c>
      <c r="R462" s="59">
        <f t="shared" si="66"/>
        <v>100</v>
      </c>
      <c r="S462" s="56">
        <f t="shared" si="67"/>
        <v>695</v>
      </c>
      <c r="T462" s="56">
        <f>0</f>
        <v>0</v>
      </c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</row>
    <row r="463" spans="1:30" ht="15.75" x14ac:dyDescent="0.25">
      <c r="A463" s="14">
        <v>55396</v>
      </c>
      <c r="B463" s="68">
        <v>31</v>
      </c>
      <c r="C463" s="56">
        <f>194.205</f>
        <v>194.20500000000001</v>
      </c>
      <c r="D463" s="56">
        <f>267.466</f>
        <v>267.46600000000001</v>
      </c>
      <c r="E463" s="64">
        <f>133.845</f>
        <v>133.845</v>
      </c>
      <c r="F463" s="56">
        <f>278.484-40-25-60-100</f>
        <v>53.48399999999998</v>
      </c>
      <c r="G463" s="59">
        <v>40</v>
      </c>
      <c r="H463" s="56">
        <f t="shared" si="73"/>
        <v>185</v>
      </c>
      <c r="I463" s="56">
        <f t="shared" si="70"/>
        <v>0</v>
      </c>
      <c r="J463" s="59">
        <v>100</v>
      </c>
      <c r="K463" s="59">
        <v>300</v>
      </c>
      <c r="L463" s="56">
        <f t="shared" si="64"/>
        <v>1274</v>
      </c>
      <c r="M463" s="66">
        <v>600</v>
      </c>
      <c r="N463" s="56">
        <f>30</f>
        <v>30</v>
      </c>
      <c r="O463" s="59">
        <v>240</v>
      </c>
      <c r="P463" s="59">
        <v>160</v>
      </c>
      <c r="Q463" s="59">
        <f t="shared" si="65"/>
        <v>195</v>
      </c>
      <c r="R463" s="59">
        <f t="shared" si="66"/>
        <v>100</v>
      </c>
      <c r="S463" s="56">
        <f t="shared" si="67"/>
        <v>695</v>
      </c>
      <c r="T463" s="56">
        <f>0</f>
        <v>0</v>
      </c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</row>
    <row r="464" spans="1:30" ht="15.75" x14ac:dyDescent="0.25">
      <c r="A464" s="14">
        <v>55426</v>
      </c>
      <c r="B464" s="68">
        <v>30</v>
      </c>
      <c r="C464" s="56">
        <f>194.205</f>
        <v>194.20500000000001</v>
      </c>
      <c r="D464" s="56">
        <f>267.466</f>
        <v>267.46600000000001</v>
      </c>
      <c r="E464" s="64">
        <f>133.845</f>
        <v>133.845</v>
      </c>
      <c r="F464" s="56">
        <f>278.484-40-25-60-100</f>
        <v>53.48399999999998</v>
      </c>
      <c r="G464" s="59">
        <v>40</v>
      </c>
      <c r="H464" s="56">
        <f t="shared" si="73"/>
        <v>185</v>
      </c>
      <c r="I464" s="56">
        <f t="shared" si="70"/>
        <v>0</v>
      </c>
      <c r="J464" s="59">
        <v>100</v>
      </c>
      <c r="K464" s="59">
        <v>300</v>
      </c>
      <c r="L464" s="56">
        <f t="shared" ref="L464:L527" si="74">SUM(C464:K464)</f>
        <v>1274</v>
      </c>
      <c r="M464" s="66">
        <v>600</v>
      </c>
      <c r="N464" s="56">
        <f>30</f>
        <v>30</v>
      </c>
      <c r="O464" s="59">
        <v>240</v>
      </c>
      <c r="P464" s="59">
        <v>160</v>
      </c>
      <c r="Q464" s="59">
        <f t="shared" ref="Q464:Q527" si="75">695-R464-O464-P464</f>
        <v>195</v>
      </c>
      <c r="R464" s="59">
        <f t="shared" ref="R464:R527" si="76">200-J464</f>
        <v>100</v>
      </c>
      <c r="S464" s="56">
        <f t="shared" ref="S464:S527" si="77">SUM(O464:R464)</f>
        <v>695</v>
      </c>
      <c r="T464" s="56">
        <f>0</f>
        <v>0</v>
      </c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</row>
    <row r="465" spans="1:30" ht="15.75" x14ac:dyDescent="0.25">
      <c r="A465" s="14">
        <v>55457</v>
      </c>
      <c r="B465" s="68">
        <v>31</v>
      </c>
      <c r="C465" s="56">
        <f>131.881</f>
        <v>131.881</v>
      </c>
      <c r="D465" s="56">
        <f>277.167</f>
        <v>277.16699999999997</v>
      </c>
      <c r="E465" s="64">
        <f>79.08</f>
        <v>79.08</v>
      </c>
      <c r="F465" s="56">
        <f>350.872-40-25-60-100</f>
        <v>125.87200000000001</v>
      </c>
      <c r="G465" s="59">
        <v>40</v>
      </c>
      <c r="H465" s="56">
        <f t="shared" si="73"/>
        <v>185</v>
      </c>
      <c r="I465" s="56">
        <f t="shared" si="70"/>
        <v>0</v>
      </c>
      <c r="J465" s="59">
        <v>100</v>
      </c>
      <c r="K465" s="59">
        <v>300</v>
      </c>
      <c r="L465" s="56">
        <f t="shared" si="74"/>
        <v>1239</v>
      </c>
      <c r="M465" s="66">
        <v>600</v>
      </c>
      <c r="N465" s="56">
        <f>75</f>
        <v>75</v>
      </c>
      <c r="O465" s="59">
        <v>240</v>
      </c>
      <c r="P465" s="59">
        <v>160</v>
      </c>
      <c r="Q465" s="59">
        <f t="shared" si="75"/>
        <v>195</v>
      </c>
      <c r="R465" s="59">
        <f t="shared" si="76"/>
        <v>100</v>
      </c>
      <c r="S465" s="56">
        <f t="shared" si="77"/>
        <v>695</v>
      </c>
      <c r="T465" s="56">
        <f>0</f>
        <v>0</v>
      </c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</row>
    <row r="466" spans="1:30" ht="15.75" x14ac:dyDescent="0.25">
      <c r="A466" s="14">
        <v>55487</v>
      </c>
      <c r="B466" s="68">
        <v>30</v>
      </c>
      <c r="C466" s="56">
        <f>122.58</f>
        <v>122.58</v>
      </c>
      <c r="D466" s="56">
        <f>297.941</f>
        <v>297.94099999999997</v>
      </c>
      <c r="E466" s="64">
        <f>89.177</f>
        <v>89.177000000000007</v>
      </c>
      <c r="F466" s="56">
        <f>240.302-40-60-100</f>
        <v>40.301999999999992</v>
      </c>
      <c r="G466" s="59">
        <v>40</v>
      </c>
      <c r="H466" s="56">
        <f>60+100</f>
        <v>160</v>
      </c>
      <c r="I466" s="56">
        <f t="shared" si="70"/>
        <v>0</v>
      </c>
      <c r="J466" s="59">
        <v>100</v>
      </c>
      <c r="K466" s="59">
        <v>300</v>
      </c>
      <c r="L466" s="56">
        <f t="shared" si="74"/>
        <v>1150</v>
      </c>
      <c r="M466" s="66">
        <v>600</v>
      </c>
      <c r="N466" s="56">
        <f>100</f>
        <v>100</v>
      </c>
      <c r="O466" s="59">
        <v>240</v>
      </c>
      <c r="P466" s="59">
        <v>40</v>
      </c>
      <c r="Q466" s="59">
        <f t="shared" si="75"/>
        <v>315</v>
      </c>
      <c r="R466" s="59">
        <f t="shared" si="76"/>
        <v>100</v>
      </c>
      <c r="S466" s="56">
        <f t="shared" si="77"/>
        <v>695</v>
      </c>
      <c r="T466" s="56">
        <f>50</f>
        <v>50</v>
      </c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</row>
    <row r="467" spans="1:30" ht="15.75" x14ac:dyDescent="0.25">
      <c r="A467" s="14">
        <v>55518</v>
      </c>
      <c r="B467" s="68">
        <v>31</v>
      </c>
      <c r="C467" s="56">
        <f>122.58</f>
        <v>122.58</v>
      </c>
      <c r="D467" s="56">
        <f>297.941</f>
        <v>297.94099999999997</v>
      </c>
      <c r="E467" s="64">
        <f>89.177</f>
        <v>89.177000000000007</v>
      </c>
      <c r="F467" s="56">
        <f>240.302-40-60-100</f>
        <v>40.301999999999992</v>
      </c>
      <c r="G467" s="59">
        <v>40</v>
      </c>
      <c r="H467" s="56">
        <f>60+100</f>
        <v>160</v>
      </c>
      <c r="I467" s="56">
        <f t="shared" si="70"/>
        <v>0</v>
      </c>
      <c r="J467" s="59">
        <v>100</v>
      </c>
      <c r="K467" s="59">
        <v>300</v>
      </c>
      <c r="L467" s="56">
        <f t="shared" si="74"/>
        <v>1150</v>
      </c>
      <c r="M467" s="66">
        <v>600</v>
      </c>
      <c r="N467" s="56">
        <f>100</f>
        <v>100</v>
      </c>
      <c r="O467" s="59">
        <v>240</v>
      </c>
      <c r="P467" s="59">
        <v>40</v>
      </c>
      <c r="Q467" s="59">
        <f t="shared" si="75"/>
        <v>315</v>
      </c>
      <c r="R467" s="59">
        <f t="shared" si="76"/>
        <v>100</v>
      </c>
      <c r="S467" s="56">
        <f t="shared" si="77"/>
        <v>695</v>
      </c>
      <c r="T467" s="56">
        <f>50</f>
        <v>50</v>
      </c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</row>
    <row r="468" spans="1:30" ht="15.75" x14ac:dyDescent="0.25">
      <c r="A468" s="14">
        <v>55549</v>
      </c>
      <c r="B468" s="68">
        <v>31</v>
      </c>
      <c r="C468" s="56">
        <f>122.58</f>
        <v>122.58</v>
      </c>
      <c r="D468" s="56">
        <f>297.941</f>
        <v>297.94099999999997</v>
      </c>
      <c r="E468" s="64">
        <f>89.177</f>
        <v>89.177000000000007</v>
      </c>
      <c r="F468" s="56">
        <f>240.302-40-60-100</f>
        <v>40.301999999999992</v>
      </c>
      <c r="G468" s="59">
        <v>40</v>
      </c>
      <c r="H468" s="56">
        <f>60+100</f>
        <v>160</v>
      </c>
      <c r="I468" s="56">
        <f t="shared" si="70"/>
        <v>0</v>
      </c>
      <c r="J468" s="59">
        <v>100</v>
      </c>
      <c r="K468" s="59">
        <v>300</v>
      </c>
      <c r="L468" s="56">
        <f t="shared" si="74"/>
        <v>1150</v>
      </c>
      <c r="M468" s="66">
        <v>600</v>
      </c>
      <c r="N468" s="56">
        <f>100</f>
        <v>100</v>
      </c>
      <c r="O468" s="59">
        <v>240</v>
      </c>
      <c r="P468" s="59">
        <v>40</v>
      </c>
      <c r="Q468" s="59">
        <f t="shared" si="75"/>
        <v>315</v>
      </c>
      <c r="R468" s="59">
        <f t="shared" si="76"/>
        <v>100</v>
      </c>
      <c r="S468" s="56">
        <f t="shared" si="77"/>
        <v>695</v>
      </c>
      <c r="T468" s="56">
        <f>50</f>
        <v>50</v>
      </c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</row>
    <row r="469" spans="1:30" ht="15.75" x14ac:dyDescent="0.25">
      <c r="A469" s="14">
        <v>55577</v>
      </c>
      <c r="B469" s="68">
        <v>29</v>
      </c>
      <c r="C469" s="56">
        <f>122.58</f>
        <v>122.58</v>
      </c>
      <c r="D469" s="56">
        <f>297.941</f>
        <v>297.94099999999997</v>
      </c>
      <c r="E469" s="64">
        <f>89.177</f>
        <v>89.177000000000007</v>
      </c>
      <c r="F469" s="56">
        <f>240.302-40-60-100</f>
        <v>40.301999999999992</v>
      </c>
      <c r="G469" s="59">
        <v>40</v>
      </c>
      <c r="H469" s="56">
        <f>60+100</f>
        <v>160</v>
      </c>
      <c r="I469" s="56">
        <f t="shared" si="70"/>
        <v>0</v>
      </c>
      <c r="J469" s="59">
        <v>100</v>
      </c>
      <c r="K469" s="59">
        <v>300</v>
      </c>
      <c r="L469" s="56">
        <f t="shared" si="74"/>
        <v>1150</v>
      </c>
      <c r="M469" s="66">
        <v>600</v>
      </c>
      <c r="N469" s="56">
        <f>100</f>
        <v>100</v>
      </c>
      <c r="O469" s="59">
        <v>240</v>
      </c>
      <c r="P469" s="59">
        <v>40</v>
      </c>
      <c r="Q469" s="59">
        <f t="shared" si="75"/>
        <v>315</v>
      </c>
      <c r="R469" s="59">
        <f t="shared" si="76"/>
        <v>100</v>
      </c>
      <c r="S469" s="56">
        <f t="shared" si="77"/>
        <v>695</v>
      </c>
      <c r="T469" s="56">
        <f>50</f>
        <v>50</v>
      </c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</row>
    <row r="470" spans="1:30" ht="15.75" x14ac:dyDescent="0.25">
      <c r="A470" s="14">
        <v>55609</v>
      </c>
      <c r="B470" s="68">
        <v>31</v>
      </c>
      <c r="C470" s="56">
        <f>122.58</f>
        <v>122.58</v>
      </c>
      <c r="D470" s="56">
        <f>297.941</f>
        <v>297.94099999999997</v>
      </c>
      <c r="E470" s="64">
        <f>89.177</f>
        <v>89.177000000000007</v>
      </c>
      <c r="F470" s="56">
        <f>240.302-40-60-100</f>
        <v>40.301999999999992</v>
      </c>
      <c r="G470" s="59">
        <v>40</v>
      </c>
      <c r="H470" s="56">
        <f>60+100</f>
        <v>160</v>
      </c>
      <c r="I470" s="56">
        <f t="shared" si="70"/>
        <v>0</v>
      </c>
      <c r="J470" s="59">
        <v>100</v>
      </c>
      <c r="K470" s="59">
        <v>300</v>
      </c>
      <c r="L470" s="56">
        <f t="shared" si="74"/>
        <v>1150</v>
      </c>
      <c r="M470" s="66">
        <v>600</v>
      </c>
      <c r="N470" s="56">
        <f>100</f>
        <v>100</v>
      </c>
      <c r="O470" s="59">
        <v>240</v>
      </c>
      <c r="P470" s="59">
        <v>40</v>
      </c>
      <c r="Q470" s="59">
        <f t="shared" si="75"/>
        <v>315</v>
      </c>
      <c r="R470" s="59">
        <f t="shared" si="76"/>
        <v>100</v>
      </c>
      <c r="S470" s="56">
        <f t="shared" si="77"/>
        <v>695</v>
      </c>
      <c r="T470" s="56">
        <f>50</f>
        <v>50</v>
      </c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</row>
    <row r="471" spans="1:30" ht="15.75" x14ac:dyDescent="0.25">
      <c r="A471" s="14">
        <v>55639</v>
      </c>
      <c r="B471" s="68">
        <v>30</v>
      </c>
      <c r="C471" s="56">
        <f>141.293</f>
        <v>141.29300000000001</v>
      </c>
      <c r="D471" s="56">
        <f>267.993</f>
        <v>267.99299999999999</v>
      </c>
      <c r="E471" s="64">
        <f>115.016</f>
        <v>115.01600000000001</v>
      </c>
      <c r="F471" s="56">
        <f>314.698-40-25-60-100</f>
        <v>89.697999999999979</v>
      </c>
      <c r="G471" s="59">
        <v>40</v>
      </c>
      <c r="H471" s="56">
        <f t="shared" ref="H471:H477" si="78">25+60+100</f>
        <v>185</v>
      </c>
      <c r="I471" s="56">
        <f t="shared" si="70"/>
        <v>0</v>
      </c>
      <c r="J471" s="59">
        <v>100</v>
      </c>
      <c r="K471" s="59">
        <v>300</v>
      </c>
      <c r="L471" s="56">
        <f t="shared" si="74"/>
        <v>1239</v>
      </c>
      <c r="M471" s="66">
        <v>600</v>
      </c>
      <c r="N471" s="56">
        <f>100</f>
        <v>100</v>
      </c>
      <c r="O471" s="59">
        <v>240</v>
      </c>
      <c r="P471" s="59">
        <v>160</v>
      </c>
      <c r="Q471" s="59">
        <f t="shared" si="75"/>
        <v>195</v>
      </c>
      <c r="R471" s="59">
        <f t="shared" si="76"/>
        <v>100</v>
      </c>
      <c r="S471" s="56">
        <f t="shared" si="77"/>
        <v>695</v>
      </c>
      <c r="T471" s="56">
        <f>50</f>
        <v>50</v>
      </c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</row>
    <row r="472" spans="1:30" ht="15.75" x14ac:dyDescent="0.25">
      <c r="A472" s="14">
        <v>55670</v>
      </c>
      <c r="B472" s="68">
        <v>31</v>
      </c>
      <c r="C472" s="56">
        <f>194.205</f>
        <v>194.20500000000001</v>
      </c>
      <c r="D472" s="56">
        <f>267.466</f>
        <v>267.46600000000001</v>
      </c>
      <c r="E472" s="64">
        <f>133.845</f>
        <v>133.845</v>
      </c>
      <c r="F472" s="56">
        <f>278.484-40-25-60-100</f>
        <v>53.48399999999998</v>
      </c>
      <c r="G472" s="59">
        <v>40</v>
      </c>
      <c r="H472" s="56">
        <f t="shared" si="78"/>
        <v>185</v>
      </c>
      <c r="I472" s="56">
        <f t="shared" si="70"/>
        <v>0</v>
      </c>
      <c r="J472" s="59">
        <v>100</v>
      </c>
      <c r="K472" s="59">
        <v>300</v>
      </c>
      <c r="L472" s="56">
        <f t="shared" si="74"/>
        <v>1274</v>
      </c>
      <c r="M472" s="66">
        <v>600</v>
      </c>
      <c r="N472" s="56">
        <f>75</f>
        <v>75</v>
      </c>
      <c r="O472" s="59">
        <v>240</v>
      </c>
      <c r="P472" s="59">
        <v>160</v>
      </c>
      <c r="Q472" s="59">
        <f t="shared" si="75"/>
        <v>195</v>
      </c>
      <c r="R472" s="59">
        <f t="shared" si="76"/>
        <v>100</v>
      </c>
      <c r="S472" s="56">
        <f t="shared" si="77"/>
        <v>695</v>
      </c>
      <c r="T472" s="56">
        <f>50</f>
        <v>50</v>
      </c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</row>
    <row r="473" spans="1:30" ht="15.75" x14ac:dyDescent="0.25">
      <c r="A473" s="14">
        <v>55700</v>
      </c>
      <c r="B473" s="68">
        <v>30</v>
      </c>
      <c r="C473" s="56">
        <f>194.205</f>
        <v>194.20500000000001</v>
      </c>
      <c r="D473" s="56">
        <f>267.466</f>
        <v>267.46600000000001</v>
      </c>
      <c r="E473" s="64">
        <f>133.845</f>
        <v>133.845</v>
      </c>
      <c r="F473" s="56">
        <f>278.484-40-25-60-100</f>
        <v>53.48399999999998</v>
      </c>
      <c r="G473" s="59">
        <v>40</v>
      </c>
      <c r="H473" s="56">
        <f t="shared" si="78"/>
        <v>185</v>
      </c>
      <c r="I473" s="56">
        <f t="shared" si="70"/>
        <v>0</v>
      </c>
      <c r="J473" s="59">
        <v>100</v>
      </c>
      <c r="K473" s="59">
        <v>300</v>
      </c>
      <c r="L473" s="56">
        <f t="shared" si="74"/>
        <v>1274</v>
      </c>
      <c r="M473" s="66">
        <v>600</v>
      </c>
      <c r="N473" s="56">
        <f>30</f>
        <v>30</v>
      </c>
      <c r="O473" s="59">
        <v>240</v>
      </c>
      <c r="P473" s="59">
        <v>160</v>
      </c>
      <c r="Q473" s="59">
        <f t="shared" si="75"/>
        <v>195</v>
      </c>
      <c r="R473" s="59">
        <f t="shared" si="76"/>
        <v>100</v>
      </c>
      <c r="S473" s="56">
        <f t="shared" si="77"/>
        <v>695</v>
      </c>
      <c r="T473" s="56">
        <f>50</f>
        <v>50</v>
      </c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</row>
    <row r="474" spans="1:30" ht="15.75" x14ac:dyDescent="0.25">
      <c r="A474" s="14">
        <v>55731</v>
      </c>
      <c r="B474" s="68">
        <v>31</v>
      </c>
      <c r="C474" s="56">
        <f>194.205</f>
        <v>194.20500000000001</v>
      </c>
      <c r="D474" s="56">
        <f>267.466</f>
        <v>267.46600000000001</v>
      </c>
      <c r="E474" s="64">
        <f>133.845</f>
        <v>133.845</v>
      </c>
      <c r="F474" s="56">
        <f>278.484-40-25-60-100</f>
        <v>53.48399999999998</v>
      </c>
      <c r="G474" s="59">
        <v>40</v>
      </c>
      <c r="H474" s="56">
        <f t="shared" si="78"/>
        <v>185</v>
      </c>
      <c r="I474" s="56">
        <f t="shared" si="70"/>
        <v>0</v>
      </c>
      <c r="J474" s="59">
        <v>100</v>
      </c>
      <c r="K474" s="59">
        <v>300</v>
      </c>
      <c r="L474" s="56">
        <f t="shared" si="74"/>
        <v>1274</v>
      </c>
      <c r="M474" s="66">
        <v>600</v>
      </c>
      <c r="N474" s="56">
        <f>30</f>
        <v>30</v>
      </c>
      <c r="O474" s="59">
        <v>240</v>
      </c>
      <c r="P474" s="59">
        <v>160</v>
      </c>
      <c r="Q474" s="59">
        <f t="shared" si="75"/>
        <v>195</v>
      </c>
      <c r="R474" s="59">
        <f t="shared" si="76"/>
        <v>100</v>
      </c>
      <c r="S474" s="56">
        <f t="shared" si="77"/>
        <v>695</v>
      </c>
      <c r="T474" s="56">
        <f>0</f>
        <v>0</v>
      </c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</row>
    <row r="475" spans="1:30" ht="15.75" x14ac:dyDescent="0.25">
      <c r="A475" s="14">
        <v>55762</v>
      </c>
      <c r="B475" s="68">
        <v>31</v>
      </c>
      <c r="C475" s="56">
        <f>194.205</f>
        <v>194.20500000000001</v>
      </c>
      <c r="D475" s="56">
        <f>267.466</f>
        <v>267.46600000000001</v>
      </c>
      <c r="E475" s="64">
        <f>133.845</f>
        <v>133.845</v>
      </c>
      <c r="F475" s="56">
        <f>278.484-40-25-60-100</f>
        <v>53.48399999999998</v>
      </c>
      <c r="G475" s="59">
        <v>40</v>
      </c>
      <c r="H475" s="56">
        <f t="shared" si="78"/>
        <v>185</v>
      </c>
      <c r="I475" s="56">
        <f t="shared" si="70"/>
        <v>0</v>
      </c>
      <c r="J475" s="59">
        <v>100</v>
      </c>
      <c r="K475" s="59">
        <v>300</v>
      </c>
      <c r="L475" s="56">
        <f t="shared" si="74"/>
        <v>1274</v>
      </c>
      <c r="M475" s="66">
        <v>600</v>
      </c>
      <c r="N475" s="56">
        <f>30</f>
        <v>30</v>
      </c>
      <c r="O475" s="59">
        <v>240</v>
      </c>
      <c r="P475" s="59">
        <v>160</v>
      </c>
      <c r="Q475" s="59">
        <f t="shared" si="75"/>
        <v>195</v>
      </c>
      <c r="R475" s="59">
        <f t="shared" si="76"/>
        <v>100</v>
      </c>
      <c r="S475" s="56">
        <f t="shared" si="77"/>
        <v>695</v>
      </c>
      <c r="T475" s="56">
        <f>0</f>
        <v>0</v>
      </c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</row>
    <row r="476" spans="1:30" ht="15.75" x14ac:dyDescent="0.25">
      <c r="A476" s="14">
        <v>55792</v>
      </c>
      <c r="B476" s="68">
        <v>30</v>
      </c>
      <c r="C476" s="56">
        <f>194.205</f>
        <v>194.20500000000001</v>
      </c>
      <c r="D476" s="56">
        <f>267.466</f>
        <v>267.46600000000001</v>
      </c>
      <c r="E476" s="64">
        <f>133.845</f>
        <v>133.845</v>
      </c>
      <c r="F476" s="56">
        <f>278.484-40-25-60-100</f>
        <v>53.48399999999998</v>
      </c>
      <c r="G476" s="59">
        <v>40</v>
      </c>
      <c r="H476" s="56">
        <f t="shared" si="78"/>
        <v>185</v>
      </c>
      <c r="I476" s="56">
        <f t="shared" si="70"/>
        <v>0</v>
      </c>
      <c r="J476" s="59">
        <v>100</v>
      </c>
      <c r="K476" s="59">
        <v>300</v>
      </c>
      <c r="L476" s="56">
        <f t="shared" si="74"/>
        <v>1274</v>
      </c>
      <c r="M476" s="66">
        <v>600</v>
      </c>
      <c r="N476" s="56">
        <f>30</f>
        <v>30</v>
      </c>
      <c r="O476" s="59">
        <v>240</v>
      </c>
      <c r="P476" s="59">
        <v>160</v>
      </c>
      <c r="Q476" s="59">
        <f t="shared" si="75"/>
        <v>195</v>
      </c>
      <c r="R476" s="59">
        <f t="shared" si="76"/>
        <v>100</v>
      </c>
      <c r="S476" s="56">
        <f t="shared" si="77"/>
        <v>695</v>
      </c>
      <c r="T476" s="56">
        <f>0</f>
        <v>0</v>
      </c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</row>
    <row r="477" spans="1:30" ht="15.75" x14ac:dyDescent="0.25">
      <c r="A477" s="14">
        <v>55823</v>
      </c>
      <c r="B477" s="68">
        <v>31</v>
      </c>
      <c r="C477" s="56">
        <f>131.881</f>
        <v>131.881</v>
      </c>
      <c r="D477" s="56">
        <f>277.167</f>
        <v>277.16699999999997</v>
      </c>
      <c r="E477" s="64">
        <f>79.08</f>
        <v>79.08</v>
      </c>
      <c r="F477" s="56">
        <f>350.872-40-25-60-100</f>
        <v>125.87200000000001</v>
      </c>
      <c r="G477" s="59">
        <v>40</v>
      </c>
      <c r="H477" s="56">
        <f t="shared" si="78"/>
        <v>185</v>
      </c>
      <c r="I477" s="56">
        <f t="shared" si="70"/>
        <v>0</v>
      </c>
      <c r="J477" s="59">
        <v>100</v>
      </c>
      <c r="K477" s="59">
        <v>300</v>
      </c>
      <c r="L477" s="56">
        <f t="shared" si="74"/>
        <v>1239</v>
      </c>
      <c r="M477" s="66">
        <v>600</v>
      </c>
      <c r="N477" s="56">
        <f>75</f>
        <v>75</v>
      </c>
      <c r="O477" s="59">
        <v>240</v>
      </c>
      <c r="P477" s="59">
        <v>160</v>
      </c>
      <c r="Q477" s="59">
        <f t="shared" si="75"/>
        <v>195</v>
      </c>
      <c r="R477" s="59">
        <f t="shared" si="76"/>
        <v>100</v>
      </c>
      <c r="S477" s="56">
        <f t="shared" si="77"/>
        <v>695</v>
      </c>
      <c r="T477" s="56">
        <f>0</f>
        <v>0</v>
      </c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</row>
    <row r="478" spans="1:30" ht="15.75" x14ac:dyDescent="0.25">
      <c r="A478" s="14">
        <v>55853</v>
      </c>
      <c r="B478" s="68">
        <v>30</v>
      </c>
      <c r="C478" s="56">
        <f>122.58</f>
        <v>122.58</v>
      </c>
      <c r="D478" s="56">
        <f>297.941</f>
        <v>297.94099999999997</v>
      </c>
      <c r="E478" s="64">
        <f>89.177</f>
        <v>89.177000000000007</v>
      </c>
      <c r="F478" s="56">
        <f>240.302-40-60-100</f>
        <v>40.301999999999992</v>
      </c>
      <c r="G478" s="59">
        <v>40</v>
      </c>
      <c r="H478" s="56">
        <f>60+100</f>
        <v>160</v>
      </c>
      <c r="I478" s="56">
        <f t="shared" si="70"/>
        <v>0</v>
      </c>
      <c r="J478" s="59">
        <v>100</v>
      </c>
      <c r="K478" s="59">
        <v>300</v>
      </c>
      <c r="L478" s="56">
        <f t="shared" si="74"/>
        <v>1150</v>
      </c>
      <c r="M478" s="66">
        <v>600</v>
      </c>
      <c r="N478" s="56">
        <f>100</f>
        <v>100</v>
      </c>
      <c r="O478" s="59">
        <v>240</v>
      </c>
      <c r="P478" s="59">
        <v>40</v>
      </c>
      <c r="Q478" s="59">
        <f t="shared" si="75"/>
        <v>315</v>
      </c>
      <c r="R478" s="59">
        <f t="shared" si="76"/>
        <v>100</v>
      </c>
      <c r="S478" s="56">
        <f t="shared" si="77"/>
        <v>695</v>
      </c>
      <c r="T478" s="56">
        <f>50</f>
        <v>50</v>
      </c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</row>
    <row r="479" spans="1:30" ht="15.75" x14ac:dyDescent="0.25">
      <c r="A479" s="14">
        <v>55884</v>
      </c>
      <c r="B479" s="68">
        <v>31</v>
      </c>
      <c r="C479" s="56">
        <f>122.58</f>
        <v>122.58</v>
      </c>
      <c r="D479" s="56">
        <f>297.941</f>
        <v>297.94099999999997</v>
      </c>
      <c r="E479" s="64">
        <f>89.177</f>
        <v>89.177000000000007</v>
      </c>
      <c r="F479" s="56">
        <f>240.302-40-60-100</f>
        <v>40.301999999999992</v>
      </c>
      <c r="G479" s="59">
        <v>40</v>
      </c>
      <c r="H479" s="56">
        <f>60+100</f>
        <v>160</v>
      </c>
      <c r="I479" s="56">
        <f t="shared" si="70"/>
        <v>0</v>
      </c>
      <c r="J479" s="59">
        <v>100</v>
      </c>
      <c r="K479" s="59">
        <v>300</v>
      </c>
      <c r="L479" s="56">
        <f t="shared" si="74"/>
        <v>1150</v>
      </c>
      <c r="M479" s="66">
        <v>600</v>
      </c>
      <c r="N479" s="56">
        <f>100</f>
        <v>100</v>
      </c>
      <c r="O479" s="59">
        <v>240</v>
      </c>
      <c r="P479" s="59">
        <v>40</v>
      </c>
      <c r="Q479" s="59">
        <f t="shared" si="75"/>
        <v>315</v>
      </c>
      <c r="R479" s="59">
        <f t="shared" si="76"/>
        <v>100</v>
      </c>
      <c r="S479" s="56">
        <f t="shared" si="77"/>
        <v>695</v>
      </c>
      <c r="T479" s="56">
        <f>50</f>
        <v>50</v>
      </c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</row>
    <row r="480" spans="1:30" ht="15.75" x14ac:dyDescent="0.25">
      <c r="A480" s="14">
        <v>55915</v>
      </c>
      <c r="B480" s="68">
        <v>31</v>
      </c>
      <c r="C480" s="56">
        <f>122.58</f>
        <v>122.58</v>
      </c>
      <c r="D480" s="56">
        <f>297.941</f>
        <v>297.94099999999997</v>
      </c>
      <c r="E480" s="64">
        <f>89.177</f>
        <v>89.177000000000007</v>
      </c>
      <c r="F480" s="56">
        <f>240.302-40-60-100</f>
        <v>40.301999999999992</v>
      </c>
      <c r="G480" s="59">
        <v>40</v>
      </c>
      <c r="H480" s="56">
        <f>60+100</f>
        <v>160</v>
      </c>
      <c r="I480" s="56">
        <f t="shared" si="70"/>
        <v>0</v>
      </c>
      <c r="J480" s="59">
        <v>100</v>
      </c>
      <c r="K480" s="59">
        <v>300</v>
      </c>
      <c r="L480" s="56">
        <f t="shared" si="74"/>
        <v>1150</v>
      </c>
      <c r="M480" s="66">
        <v>600</v>
      </c>
      <c r="N480" s="56">
        <f>100</f>
        <v>100</v>
      </c>
      <c r="O480" s="59">
        <v>240</v>
      </c>
      <c r="P480" s="59">
        <v>40</v>
      </c>
      <c r="Q480" s="59">
        <f t="shared" si="75"/>
        <v>315</v>
      </c>
      <c r="R480" s="59">
        <f t="shared" si="76"/>
        <v>100</v>
      </c>
      <c r="S480" s="56">
        <f t="shared" si="77"/>
        <v>695</v>
      </c>
      <c r="T480" s="56">
        <f>50</f>
        <v>50</v>
      </c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</row>
    <row r="481" spans="1:30" ht="15.75" x14ac:dyDescent="0.25">
      <c r="A481" s="14">
        <v>55943</v>
      </c>
      <c r="B481" s="68">
        <v>28</v>
      </c>
      <c r="C481" s="56">
        <f>122.58</f>
        <v>122.58</v>
      </c>
      <c r="D481" s="56">
        <f>297.941</f>
        <v>297.94099999999997</v>
      </c>
      <c r="E481" s="64">
        <f>89.177</f>
        <v>89.177000000000007</v>
      </c>
      <c r="F481" s="56">
        <f>240.302-40-60-100</f>
        <v>40.301999999999992</v>
      </c>
      <c r="G481" s="59">
        <v>40</v>
      </c>
      <c r="H481" s="56">
        <f>60+100</f>
        <v>160</v>
      </c>
      <c r="I481" s="56">
        <f t="shared" si="70"/>
        <v>0</v>
      </c>
      <c r="J481" s="59">
        <v>100</v>
      </c>
      <c r="K481" s="59">
        <v>300</v>
      </c>
      <c r="L481" s="56">
        <f t="shared" si="74"/>
        <v>1150</v>
      </c>
      <c r="M481" s="66">
        <v>600</v>
      </c>
      <c r="N481" s="56">
        <f>100</f>
        <v>100</v>
      </c>
      <c r="O481" s="59">
        <v>240</v>
      </c>
      <c r="P481" s="59">
        <v>40</v>
      </c>
      <c r="Q481" s="59">
        <f t="shared" si="75"/>
        <v>315</v>
      </c>
      <c r="R481" s="59">
        <f t="shared" si="76"/>
        <v>100</v>
      </c>
      <c r="S481" s="56">
        <f t="shared" si="77"/>
        <v>695</v>
      </c>
      <c r="T481" s="56">
        <f>50</f>
        <v>50</v>
      </c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</row>
    <row r="482" spans="1:30" ht="15.75" x14ac:dyDescent="0.25">
      <c r="A482" s="14">
        <v>55974</v>
      </c>
      <c r="B482" s="68">
        <v>31</v>
      </c>
      <c r="C482" s="56">
        <f>122.58</f>
        <v>122.58</v>
      </c>
      <c r="D482" s="56">
        <f>297.941</f>
        <v>297.94099999999997</v>
      </c>
      <c r="E482" s="64">
        <f>89.177</f>
        <v>89.177000000000007</v>
      </c>
      <c r="F482" s="56">
        <f>240.302-40-60-100</f>
        <v>40.301999999999992</v>
      </c>
      <c r="G482" s="59">
        <v>40</v>
      </c>
      <c r="H482" s="56">
        <f>60+100</f>
        <v>160</v>
      </c>
      <c r="I482" s="56">
        <f t="shared" si="70"/>
        <v>0</v>
      </c>
      <c r="J482" s="59">
        <v>100</v>
      </c>
      <c r="K482" s="59">
        <v>300</v>
      </c>
      <c r="L482" s="56">
        <f t="shared" si="74"/>
        <v>1150</v>
      </c>
      <c r="M482" s="66">
        <v>600</v>
      </c>
      <c r="N482" s="56">
        <f>100</f>
        <v>100</v>
      </c>
      <c r="O482" s="59">
        <v>240</v>
      </c>
      <c r="P482" s="59">
        <v>40</v>
      </c>
      <c r="Q482" s="59">
        <f t="shared" si="75"/>
        <v>315</v>
      </c>
      <c r="R482" s="59">
        <f t="shared" si="76"/>
        <v>100</v>
      </c>
      <c r="S482" s="56">
        <f t="shared" si="77"/>
        <v>695</v>
      </c>
      <c r="T482" s="56">
        <f>50</f>
        <v>50</v>
      </c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</row>
    <row r="483" spans="1:30" ht="15.75" x14ac:dyDescent="0.25">
      <c r="A483" s="14">
        <v>56004</v>
      </c>
      <c r="B483" s="68">
        <v>30</v>
      </c>
      <c r="C483" s="56">
        <f>141.293</f>
        <v>141.29300000000001</v>
      </c>
      <c r="D483" s="56">
        <f>267.993</f>
        <v>267.99299999999999</v>
      </c>
      <c r="E483" s="64">
        <f>115.016</f>
        <v>115.01600000000001</v>
      </c>
      <c r="F483" s="56">
        <f>314.698-40-25-60-100</f>
        <v>89.697999999999979</v>
      </c>
      <c r="G483" s="59">
        <v>40</v>
      </c>
      <c r="H483" s="56">
        <f t="shared" ref="H483:H489" si="79">25+60+100</f>
        <v>185</v>
      </c>
      <c r="I483" s="56">
        <f t="shared" si="70"/>
        <v>0</v>
      </c>
      <c r="J483" s="59">
        <v>100</v>
      </c>
      <c r="K483" s="59">
        <v>300</v>
      </c>
      <c r="L483" s="56">
        <f t="shared" si="74"/>
        <v>1239</v>
      </c>
      <c r="M483" s="66">
        <v>600</v>
      </c>
      <c r="N483" s="56">
        <f>100</f>
        <v>100</v>
      </c>
      <c r="O483" s="59">
        <v>240</v>
      </c>
      <c r="P483" s="59">
        <v>160</v>
      </c>
      <c r="Q483" s="59">
        <f t="shared" si="75"/>
        <v>195</v>
      </c>
      <c r="R483" s="59">
        <f t="shared" si="76"/>
        <v>100</v>
      </c>
      <c r="S483" s="56">
        <f t="shared" si="77"/>
        <v>695</v>
      </c>
      <c r="T483" s="56">
        <f>50</f>
        <v>50</v>
      </c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</row>
    <row r="484" spans="1:30" ht="15.75" x14ac:dyDescent="0.25">
      <c r="A484" s="14">
        <v>56035</v>
      </c>
      <c r="B484" s="68">
        <v>31</v>
      </c>
      <c r="C484" s="56">
        <f>194.205</f>
        <v>194.20500000000001</v>
      </c>
      <c r="D484" s="56">
        <f>267.466</f>
        <v>267.46600000000001</v>
      </c>
      <c r="E484" s="64">
        <f>133.845</f>
        <v>133.845</v>
      </c>
      <c r="F484" s="56">
        <f>278.484-40-25-60-100</f>
        <v>53.48399999999998</v>
      </c>
      <c r="G484" s="59">
        <v>40</v>
      </c>
      <c r="H484" s="56">
        <f t="shared" si="79"/>
        <v>185</v>
      </c>
      <c r="I484" s="56">
        <f t="shared" si="70"/>
        <v>0</v>
      </c>
      <c r="J484" s="59">
        <v>100</v>
      </c>
      <c r="K484" s="59">
        <v>300</v>
      </c>
      <c r="L484" s="56">
        <f t="shared" si="74"/>
        <v>1274</v>
      </c>
      <c r="M484" s="66">
        <v>600</v>
      </c>
      <c r="N484" s="56">
        <f>75</f>
        <v>75</v>
      </c>
      <c r="O484" s="59">
        <v>240</v>
      </c>
      <c r="P484" s="59">
        <v>160</v>
      </c>
      <c r="Q484" s="59">
        <f t="shared" si="75"/>
        <v>195</v>
      </c>
      <c r="R484" s="59">
        <f t="shared" si="76"/>
        <v>100</v>
      </c>
      <c r="S484" s="56">
        <f t="shared" si="77"/>
        <v>695</v>
      </c>
      <c r="T484" s="56">
        <f>50</f>
        <v>50</v>
      </c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</row>
    <row r="485" spans="1:30" ht="15.75" x14ac:dyDescent="0.25">
      <c r="A485" s="14">
        <v>56065</v>
      </c>
      <c r="B485" s="68">
        <v>30</v>
      </c>
      <c r="C485" s="56">
        <f>194.205</f>
        <v>194.20500000000001</v>
      </c>
      <c r="D485" s="56">
        <f>267.466</f>
        <v>267.46600000000001</v>
      </c>
      <c r="E485" s="64">
        <f>133.845</f>
        <v>133.845</v>
      </c>
      <c r="F485" s="56">
        <f>278.484-40-25-60-100</f>
        <v>53.48399999999998</v>
      </c>
      <c r="G485" s="59">
        <v>40</v>
      </c>
      <c r="H485" s="56">
        <f t="shared" si="79"/>
        <v>185</v>
      </c>
      <c r="I485" s="56">
        <f t="shared" si="70"/>
        <v>0</v>
      </c>
      <c r="J485" s="59">
        <v>100</v>
      </c>
      <c r="K485" s="59">
        <v>300</v>
      </c>
      <c r="L485" s="56">
        <f t="shared" si="74"/>
        <v>1274</v>
      </c>
      <c r="M485" s="66">
        <v>600</v>
      </c>
      <c r="N485" s="56">
        <f>30</f>
        <v>30</v>
      </c>
      <c r="O485" s="59">
        <v>240</v>
      </c>
      <c r="P485" s="59">
        <v>160</v>
      </c>
      <c r="Q485" s="59">
        <f t="shared" si="75"/>
        <v>195</v>
      </c>
      <c r="R485" s="59">
        <f t="shared" si="76"/>
        <v>100</v>
      </c>
      <c r="S485" s="56">
        <f t="shared" si="77"/>
        <v>695</v>
      </c>
      <c r="T485" s="56">
        <f>50</f>
        <v>50</v>
      </c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</row>
    <row r="486" spans="1:30" ht="15.75" x14ac:dyDescent="0.25">
      <c r="A486" s="14">
        <v>56096</v>
      </c>
      <c r="B486" s="68">
        <v>31</v>
      </c>
      <c r="C486" s="56">
        <f>194.205</f>
        <v>194.20500000000001</v>
      </c>
      <c r="D486" s="56">
        <f>267.466</f>
        <v>267.46600000000001</v>
      </c>
      <c r="E486" s="64">
        <f>133.845</f>
        <v>133.845</v>
      </c>
      <c r="F486" s="56">
        <f>278.484-40-25-60-100</f>
        <v>53.48399999999998</v>
      </c>
      <c r="G486" s="59">
        <v>40</v>
      </c>
      <c r="H486" s="56">
        <f t="shared" si="79"/>
        <v>185</v>
      </c>
      <c r="I486" s="56">
        <f t="shared" si="70"/>
        <v>0</v>
      </c>
      <c r="J486" s="59">
        <v>100</v>
      </c>
      <c r="K486" s="59">
        <v>300</v>
      </c>
      <c r="L486" s="56">
        <f t="shared" si="74"/>
        <v>1274</v>
      </c>
      <c r="M486" s="66">
        <v>600</v>
      </c>
      <c r="N486" s="56">
        <f>30</f>
        <v>30</v>
      </c>
      <c r="O486" s="59">
        <v>240</v>
      </c>
      <c r="P486" s="59">
        <v>160</v>
      </c>
      <c r="Q486" s="59">
        <f t="shared" si="75"/>
        <v>195</v>
      </c>
      <c r="R486" s="59">
        <f t="shared" si="76"/>
        <v>100</v>
      </c>
      <c r="S486" s="56">
        <f t="shared" si="77"/>
        <v>695</v>
      </c>
      <c r="T486" s="56">
        <f>0</f>
        <v>0</v>
      </c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</row>
    <row r="487" spans="1:30" ht="15.75" x14ac:dyDescent="0.25">
      <c r="A487" s="14">
        <v>56127</v>
      </c>
      <c r="B487" s="68">
        <v>31</v>
      </c>
      <c r="C487" s="56">
        <f>194.205</f>
        <v>194.20500000000001</v>
      </c>
      <c r="D487" s="56">
        <f>267.466</f>
        <v>267.46600000000001</v>
      </c>
      <c r="E487" s="64">
        <f>133.845</f>
        <v>133.845</v>
      </c>
      <c r="F487" s="56">
        <f>278.484-40-25-60-100</f>
        <v>53.48399999999998</v>
      </c>
      <c r="G487" s="59">
        <v>40</v>
      </c>
      <c r="H487" s="56">
        <f t="shared" si="79"/>
        <v>185</v>
      </c>
      <c r="I487" s="56">
        <f t="shared" si="70"/>
        <v>0</v>
      </c>
      <c r="J487" s="59">
        <v>100</v>
      </c>
      <c r="K487" s="59">
        <v>300</v>
      </c>
      <c r="L487" s="56">
        <f t="shared" si="74"/>
        <v>1274</v>
      </c>
      <c r="M487" s="66">
        <v>600</v>
      </c>
      <c r="N487" s="56">
        <f>30</f>
        <v>30</v>
      </c>
      <c r="O487" s="59">
        <v>240</v>
      </c>
      <c r="P487" s="59">
        <v>160</v>
      </c>
      <c r="Q487" s="59">
        <f t="shared" si="75"/>
        <v>195</v>
      </c>
      <c r="R487" s="59">
        <f t="shared" si="76"/>
        <v>100</v>
      </c>
      <c r="S487" s="56">
        <f t="shared" si="77"/>
        <v>695</v>
      </c>
      <c r="T487" s="56">
        <f>0</f>
        <v>0</v>
      </c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</row>
    <row r="488" spans="1:30" ht="15.75" x14ac:dyDescent="0.25">
      <c r="A488" s="14">
        <v>56157</v>
      </c>
      <c r="B488" s="68">
        <v>30</v>
      </c>
      <c r="C488" s="56">
        <f>194.205</f>
        <v>194.20500000000001</v>
      </c>
      <c r="D488" s="56">
        <f>267.466</f>
        <v>267.46600000000001</v>
      </c>
      <c r="E488" s="64">
        <f>133.845</f>
        <v>133.845</v>
      </c>
      <c r="F488" s="56">
        <f>278.484-40-25-60-100</f>
        <v>53.48399999999998</v>
      </c>
      <c r="G488" s="59">
        <v>40</v>
      </c>
      <c r="H488" s="56">
        <f t="shared" si="79"/>
        <v>185</v>
      </c>
      <c r="I488" s="56">
        <f t="shared" ref="I488:I551" si="80">400-J488-K488</f>
        <v>0</v>
      </c>
      <c r="J488" s="59">
        <v>100</v>
      </c>
      <c r="K488" s="59">
        <v>300</v>
      </c>
      <c r="L488" s="56">
        <f t="shared" si="74"/>
        <v>1274</v>
      </c>
      <c r="M488" s="66">
        <v>600</v>
      </c>
      <c r="N488" s="56">
        <f>30</f>
        <v>30</v>
      </c>
      <c r="O488" s="59">
        <v>240</v>
      </c>
      <c r="P488" s="59">
        <v>160</v>
      </c>
      <c r="Q488" s="59">
        <f t="shared" si="75"/>
        <v>195</v>
      </c>
      <c r="R488" s="59">
        <f t="shared" si="76"/>
        <v>100</v>
      </c>
      <c r="S488" s="56">
        <f t="shared" si="77"/>
        <v>695</v>
      </c>
      <c r="T488" s="56">
        <f>0</f>
        <v>0</v>
      </c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</row>
    <row r="489" spans="1:30" ht="15.75" x14ac:dyDescent="0.25">
      <c r="A489" s="14">
        <v>56188</v>
      </c>
      <c r="B489" s="68">
        <v>31</v>
      </c>
      <c r="C489" s="56">
        <f>131.881</f>
        <v>131.881</v>
      </c>
      <c r="D489" s="56">
        <f>277.167</f>
        <v>277.16699999999997</v>
      </c>
      <c r="E489" s="64">
        <f>79.08</f>
        <v>79.08</v>
      </c>
      <c r="F489" s="56">
        <f>350.872-40-25-60-100</f>
        <v>125.87200000000001</v>
      </c>
      <c r="G489" s="59">
        <v>40</v>
      </c>
      <c r="H489" s="56">
        <f t="shared" si="79"/>
        <v>185</v>
      </c>
      <c r="I489" s="56">
        <f t="shared" si="80"/>
        <v>0</v>
      </c>
      <c r="J489" s="59">
        <v>100</v>
      </c>
      <c r="K489" s="59">
        <v>300</v>
      </c>
      <c r="L489" s="56">
        <f t="shared" si="74"/>
        <v>1239</v>
      </c>
      <c r="M489" s="66">
        <v>600</v>
      </c>
      <c r="N489" s="56">
        <f>75</f>
        <v>75</v>
      </c>
      <c r="O489" s="59">
        <v>240</v>
      </c>
      <c r="P489" s="59">
        <v>160</v>
      </c>
      <c r="Q489" s="59">
        <f t="shared" si="75"/>
        <v>195</v>
      </c>
      <c r="R489" s="59">
        <f t="shared" si="76"/>
        <v>100</v>
      </c>
      <c r="S489" s="56">
        <f t="shared" si="77"/>
        <v>695</v>
      </c>
      <c r="T489" s="56">
        <f>0</f>
        <v>0</v>
      </c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</row>
    <row r="490" spans="1:30" ht="15.75" x14ac:dyDescent="0.25">
      <c r="A490" s="14">
        <v>56218</v>
      </c>
      <c r="B490" s="68">
        <v>30</v>
      </c>
      <c r="C490" s="56">
        <f>122.58</f>
        <v>122.58</v>
      </c>
      <c r="D490" s="56">
        <f>297.941</f>
        <v>297.94099999999997</v>
      </c>
      <c r="E490" s="64">
        <f>89.177</f>
        <v>89.177000000000007</v>
      </c>
      <c r="F490" s="56">
        <f>240.302-40-60-100</f>
        <v>40.301999999999992</v>
      </c>
      <c r="G490" s="59">
        <v>40</v>
      </c>
      <c r="H490" s="56">
        <f>60+100</f>
        <v>160</v>
      </c>
      <c r="I490" s="56">
        <f t="shared" si="80"/>
        <v>0</v>
      </c>
      <c r="J490" s="59">
        <v>100</v>
      </c>
      <c r="K490" s="59">
        <v>300</v>
      </c>
      <c r="L490" s="56">
        <f t="shared" si="74"/>
        <v>1150</v>
      </c>
      <c r="M490" s="66">
        <v>600</v>
      </c>
      <c r="N490" s="56">
        <f>100</f>
        <v>100</v>
      </c>
      <c r="O490" s="59">
        <v>240</v>
      </c>
      <c r="P490" s="59">
        <v>40</v>
      </c>
      <c r="Q490" s="59">
        <f t="shared" si="75"/>
        <v>315</v>
      </c>
      <c r="R490" s="59">
        <f t="shared" si="76"/>
        <v>100</v>
      </c>
      <c r="S490" s="56">
        <f t="shared" si="77"/>
        <v>695</v>
      </c>
      <c r="T490" s="56">
        <f>50</f>
        <v>50</v>
      </c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</row>
    <row r="491" spans="1:30" ht="15.75" x14ac:dyDescent="0.25">
      <c r="A491" s="14">
        <v>56249</v>
      </c>
      <c r="B491" s="68">
        <v>31</v>
      </c>
      <c r="C491" s="56">
        <f>122.58</f>
        <v>122.58</v>
      </c>
      <c r="D491" s="56">
        <f>297.941</f>
        <v>297.94099999999997</v>
      </c>
      <c r="E491" s="64">
        <f>89.177</f>
        <v>89.177000000000007</v>
      </c>
      <c r="F491" s="56">
        <f>240.302-40-60-100</f>
        <v>40.301999999999992</v>
      </c>
      <c r="G491" s="59">
        <v>40</v>
      </c>
      <c r="H491" s="56">
        <f>60+100</f>
        <v>160</v>
      </c>
      <c r="I491" s="56">
        <f t="shared" si="80"/>
        <v>0</v>
      </c>
      <c r="J491" s="59">
        <v>100</v>
      </c>
      <c r="K491" s="59">
        <v>300</v>
      </c>
      <c r="L491" s="56">
        <f t="shared" si="74"/>
        <v>1150</v>
      </c>
      <c r="M491" s="66">
        <v>600</v>
      </c>
      <c r="N491" s="56">
        <f>100</f>
        <v>100</v>
      </c>
      <c r="O491" s="59">
        <v>240</v>
      </c>
      <c r="P491" s="59">
        <v>40</v>
      </c>
      <c r="Q491" s="59">
        <f t="shared" si="75"/>
        <v>315</v>
      </c>
      <c r="R491" s="59">
        <f t="shared" si="76"/>
        <v>100</v>
      </c>
      <c r="S491" s="56">
        <f t="shared" si="77"/>
        <v>695</v>
      </c>
      <c r="T491" s="56">
        <f>50</f>
        <v>50</v>
      </c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</row>
    <row r="492" spans="1:30" ht="15.75" x14ac:dyDescent="0.25">
      <c r="A492" s="14">
        <v>56280</v>
      </c>
      <c r="B492" s="68">
        <v>31</v>
      </c>
      <c r="C492" s="56">
        <f>122.58</f>
        <v>122.58</v>
      </c>
      <c r="D492" s="56">
        <f>297.941</f>
        <v>297.94099999999997</v>
      </c>
      <c r="E492" s="64">
        <f>89.177</f>
        <v>89.177000000000007</v>
      </c>
      <c r="F492" s="56">
        <f>240.302-40-60-100</f>
        <v>40.301999999999992</v>
      </c>
      <c r="G492" s="59">
        <v>40</v>
      </c>
      <c r="H492" s="56">
        <f>60+100</f>
        <v>160</v>
      </c>
      <c r="I492" s="56">
        <f t="shared" si="80"/>
        <v>0</v>
      </c>
      <c r="J492" s="59">
        <v>100</v>
      </c>
      <c r="K492" s="59">
        <v>300</v>
      </c>
      <c r="L492" s="56">
        <f t="shared" si="74"/>
        <v>1150</v>
      </c>
      <c r="M492" s="66">
        <v>600</v>
      </c>
      <c r="N492" s="56">
        <f>100</f>
        <v>100</v>
      </c>
      <c r="O492" s="59">
        <v>240</v>
      </c>
      <c r="P492" s="59">
        <v>40</v>
      </c>
      <c r="Q492" s="59">
        <f t="shared" si="75"/>
        <v>315</v>
      </c>
      <c r="R492" s="59">
        <f t="shared" si="76"/>
        <v>100</v>
      </c>
      <c r="S492" s="56">
        <f t="shared" si="77"/>
        <v>695</v>
      </c>
      <c r="T492" s="56">
        <f>50</f>
        <v>50</v>
      </c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</row>
    <row r="493" spans="1:30" ht="15.75" x14ac:dyDescent="0.25">
      <c r="A493" s="14">
        <v>56308</v>
      </c>
      <c r="B493" s="68">
        <v>28</v>
      </c>
      <c r="C493" s="56">
        <f>122.58</f>
        <v>122.58</v>
      </c>
      <c r="D493" s="56">
        <f>297.941</f>
        <v>297.94099999999997</v>
      </c>
      <c r="E493" s="64">
        <f>89.177</f>
        <v>89.177000000000007</v>
      </c>
      <c r="F493" s="56">
        <f>240.302-40-60-100</f>
        <v>40.301999999999992</v>
      </c>
      <c r="G493" s="59">
        <v>40</v>
      </c>
      <c r="H493" s="56">
        <f>60+100</f>
        <v>160</v>
      </c>
      <c r="I493" s="56">
        <f t="shared" si="80"/>
        <v>0</v>
      </c>
      <c r="J493" s="59">
        <v>100</v>
      </c>
      <c r="K493" s="59">
        <v>300</v>
      </c>
      <c r="L493" s="56">
        <f t="shared" si="74"/>
        <v>1150</v>
      </c>
      <c r="M493" s="66">
        <v>600</v>
      </c>
      <c r="N493" s="56">
        <f>100</f>
        <v>100</v>
      </c>
      <c r="O493" s="59">
        <v>240</v>
      </c>
      <c r="P493" s="59">
        <v>40</v>
      </c>
      <c r="Q493" s="59">
        <f t="shared" si="75"/>
        <v>315</v>
      </c>
      <c r="R493" s="59">
        <f t="shared" si="76"/>
        <v>100</v>
      </c>
      <c r="S493" s="56">
        <f t="shared" si="77"/>
        <v>695</v>
      </c>
      <c r="T493" s="56">
        <f>50</f>
        <v>50</v>
      </c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</row>
    <row r="494" spans="1:30" ht="15.75" x14ac:dyDescent="0.25">
      <c r="A494" s="14">
        <v>56339</v>
      </c>
      <c r="B494" s="68">
        <v>31</v>
      </c>
      <c r="C494" s="56">
        <f>122.58</f>
        <v>122.58</v>
      </c>
      <c r="D494" s="56">
        <f>297.941</f>
        <v>297.94099999999997</v>
      </c>
      <c r="E494" s="64">
        <f>89.177</f>
        <v>89.177000000000007</v>
      </c>
      <c r="F494" s="56">
        <f>240.302-40-60-100</f>
        <v>40.301999999999992</v>
      </c>
      <c r="G494" s="59">
        <v>40</v>
      </c>
      <c r="H494" s="56">
        <f>60+100</f>
        <v>160</v>
      </c>
      <c r="I494" s="56">
        <f t="shared" si="80"/>
        <v>0</v>
      </c>
      <c r="J494" s="59">
        <v>100</v>
      </c>
      <c r="K494" s="59">
        <v>300</v>
      </c>
      <c r="L494" s="56">
        <f t="shared" si="74"/>
        <v>1150</v>
      </c>
      <c r="M494" s="66">
        <v>600</v>
      </c>
      <c r="N494" s="56">
        <f>100</f>
        <v>100</v>
      </c>
      <c r="O494" s="59">
        <v>240</v>
      </c>
      <c r="P494" s="59">
        <v>40</v>
      </c>
      <c r="Q494" s="59">
        <f t="shared" si="75"/>
        <v>315</v>
      </c>
      <c r="R494" s="59">
        <f t="shared" si="76"/>
        <v>100</v>
      </c>
      <c r="S494" s="56">
        <f t="shared" si="77"/>
        <v>695</v>
      </c>
      <c r="T494" s="56">
        <f>50</f>
        <v>50</v>
      </c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</row>
    <row r="495" spans="1:30" ht="15.75" x14ac:dyDescent="0.25">
      <c r="A495" s="14">
        <v>56369</v>
      </c>
      <c r="B495" s="68">
        <v>30</v>
      </c>
      <c r="C495" s="56">
        <f>141.293</f>
        <v>141.29300000000001</v>
      </c>
      <c r="D495" s="56">
        <f>267.993</f>
        <v>267.99299999999999</v>
      </c>
      <c r="E495" s="64">
        <f>115.016</f>
        <v>115.01600000000001</v>
      </c>
      <c r="F495" s="56">
        <f>314.698-40-25-60-100</f>
        <v>89.697999999999979</v>
      </c>
      <c r="G495" s="59">
        <v>40</v>
      </c>
      <c r="H495" s="56">
        <f t="shared" ref="H495:H501" si="81">25+60+100</f>
        <v>185</v>
      </c>
      <c r="I495" s="56">
        <f t="shared" si="80"/>
        <v>0</v>
      </c>
      <c r="J495" s="59">
        <v>100</v>
      </c>
      <c r="K495" s="59">
        <v>300</v>
      </c>
      <c r="L495" s="56">
        <f t="shared" si="74"/>
        <v>1239</v>
      </c>
      <c r="M495" s="66">
        <v>600</v>
      </c>
      <c r="N495" s="56">
        <f>100</f>
        <v>100</v>
      </c>
      <c r="O495" s="59">
        <v>240</v>
      </c>
      <c r="P495" s="59">
        <v>160</v>
      </c>
      <c r="Q495" s="59">
        <f t="shared" si="75"/>
        <v>195</v>
      </c>
      <c r="R495" s="59">
        <f t="shared" si="76"/>
        <v>100</v>
      </c>
      <c r="S495" s="56">
        <f t="shared" si="77"/>
        <v>695</v>
      </c>
      <c r="T495" s="56">
        <f>50</f>
        <v>50</v>
      </c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</row>
    <row r="496" spans="1:30" ht="15.75" x14ac:dyDescent="0.25">
      <c r="A496" s="14">
        <v>56400</v>
      </c>
      <c r="B496" s="68">
        <v>31</v>
      </c>
      <c r="C496" s="56">
        <f>194.205</f>
        <v>194.20500000000001</v>
      </c>
      <c r="D496" s="56">
        <f>267.466</f>
        <v>267.46600000000001</v>
      </c>
      <c r="E496" s="64">
        <f>133.845</f>
        <v>133.845</v>
      </c>
      <c r="F496" s="56">
        <f>278.484-40-25-60-100</f>
        <v>53.48399999999998</v>
      </c>
      <c r="G496" s="59">
        <v>40</v>
      </c>
      <c r="H496" s="56">
        <f t="shared" si="81"/>
        <v>185</v>
      </c>
      <c r="I496" s="56">
        <f t="shared" si="80"/>
        <v>0</v>
      </c>
      <c r="J496" s="59">
        <v>100</v>
      </c>
      <c r="K496" s="59">
        <v>300</v>
      </c>
      <c r="L496" s="56">
        <f t="shared" si="74"/>
        <v>1274</v>
      </c>
      <c r="M496" s="66">
        <v>600</v>
      </c>
      <c r="N496" s="56">
        <f>75</f>
        <v>75</v>
      </c>
      <c r="O496" s="59">
        <v>240</v>
      </c>
      <c r="P496" s="59">
        <v>160</v>
      </c>
      <c r="Q496" s="59">
        <f t="shared" si="75"/>
        <v>195</v>
      </c>
      <c r="R496" s="59">
        <f t="shared" si="76"/>
        <v>100</v>
      </c>
      <c r="S496" s="56">
        <f t="shared" si="77"/>
        <v>695</v>
      </c>
      <c r="T496" s="56">
        <f>50</f>
        <v>50</v>
      </c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</row>
    <row r="497" spans="1:30" ht="15.75" x14ac:dyDescent="0.25">
      <c r="A497" s="14">
        <v>56430</v>
      </c>
      <c r="B497" s="68">
        <v>30</v>
      </c>
      <c r="C497" s="56">
        <f>194.205</f>
        <v>194.20500000000001</v>
      </c>
      <c r="D497" s="56">
        <f>267.466</f>
        <v>267.46600000000001</v>
      </c>
      <c r="E497" s="64">
        <f>133.845</f>
        <v>133.845</v>
      </c>
      <c r="F497" s="56">
        <f>278.484-40-25-60-100</f>
        <v>53.48399999999998</v>
      </c>
      <c r="G497" s="59">
        <v>40</v>
      </c>
      <c r="H497" s="56">
        <f t="shared" si="81"/>
        <v>185</v>
      </c>
      <c r="I497" s="56">
        <f t="shared" si="80"/>
        <v>0</v>
      </c>
      <c r="J497" s="59">
        <v>100</v>
      </c>
      <c r="K497" s="59">
        <v>300</v>
      </c>
      <c r="L497" s="56">
        <f t="shared" si="74"/>
        <v>1274</v>
      </c>
      <c r="M497" s="66">
        <v>600</v>
      </c>
      <c r="N497" s="56">
        <f>30</f>
        <v>30</v>
      </c>
      <c r="O497" s="59">
        <v>240</v>
      </c>
      <c r="P497" s="59">
        <v>160</v>
      </c>
      <c r="Q497" s="59">
        <f t="shared" si="75"/>
        <v>195</v>
      </c>
      <c r="R497" s="59">
        <f t="shared" si="76"/>
        <v>100</v>
      </c>
      <c r="S497" s="56">
        <f t="shared" si="77"/>
        <v>695</v>
      </c>
      <c r="T497" s="56">
        <f>50</f>
        <v>50</v>
      </c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</row>
    <row r="498" spans="1:30" ht="15.75" x14ac:dyDescent="0.25">
      <c r="A498" s="14">
        <v>56461</v>
      </c>
      <c r="B498" s="68">
        <v>31</v>
      </c>
      <c r="C498" s="56">
        <f>194.205</f>
        <v>194.20500000000001</v>
      </c>
      <c r="D498" s="56">
        <f>267.466</f>
        <v>267.46600000000001</v>
      </c>
      <c r="E498" s="64">
        <f>133.845</f>
        <v>133.845</v>
      </c>
      <c r="F498" s="56">
        <f>278.484-40-25-60-100</f>
        <v>53.48399999999998</v>
      </c>
      <c r="G498" s="59">
        <v>40</v>
      </c>
      <c r="H498" s="56">
        <f t="shared" si="81"/>
        <v>185</v>
      </c>
      <c r="I498" s="56">
        <f t="shared" si="80"/>
        <v>0</v>
      </c>
      <c r="J498" s="59">
        <v>100</v>
      </c>
      <c r="K498" s="59">
        <v>300</v>
      </c>
      <c r="L498" s="56">
        <f t="shared" si="74"/>
        <v>1274</v>
      </c>
      <c r="M498" s="66">
        <v>600</v>
      </c>
      <c r="N498" s="56">
        <f>30</f>
        <v>30</v>
      </c>
      <c r="O498" s="59">
        <v>240</v>
      </c>
      <c r="P498" s="59">
        <v>160</v>
      </c>
      <c r="Q498" s="59">
        <f t="shared" si="75"/>
        <v>195</v>
      </c>
      <c r="R498" s="59">
        <f t="shared" si="76"/>
        <v>100</v>
      </c>
      <c r="S498" s="56">
        <f t="shared" si="77"/>
        <v>695</v>
      </c>
      <c r="T498" s="56">
        <f>0</f>
        <v>0</v>
      </c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</row>
    <row r="499" spans="1:30" ht="15.75" x14ac:dyDescent="0.25">
      <c r="A499" s="14">
        <v>56492</v>
      </c>
      <c r="B499" s="68">
        <v>31</v>
      </c>
      <c r="C499" s="56">
        <f>194.205</f>
        <v>194.20500000000001</v>
      </c>
      <c r="D499" s="56">
        <f>267.466</f>
        <v>267.46600000000001</v>
      </c>
      <c r="E499" s="64">
        <f>133.845</f>
        <v>133.845</v>
      </c>
      <c r="F499" s="56">
        <f>278.484-40-25-60-100</f>
        <v>53.48399999999998</v>
      </c>
      <c r="G499" s="59">
        <v>40</v>
      </c>
      <c r="H499" s="56">
        <f t="shared" si="81"/>
        <v>185</v>
      </c>
      <c r="I499" s="56">
        <f t="shared" si="80"/>
        <v>0</v>
      </c>
      <c r="J499" s="59">
        <v>100</v>
      </c>
      <c r="K499" s="59">
        <v>300</v>
      </c>
      <c r="L499" s="56">
        <f t="shared" si="74"/>
        <v>1274</v>
      </c>
      <c r="M499" s="66">
        <v>600</v>
      </c>
      <c r="N499" s="56">
        <f>30</f>
        <v>30</v>
      </c>
      <c r="O499" s="59">
        <v>240</v>
      </c>
      <c r="P499" s="59">
        <v>160</v>
      </c>
      <c r="Q499" s="59">
        <f t="shared" si="75"/>
        <v>195</v>
      </c>
      <c r="R499" s="59">
        <f t="shared" si="76"/>
        <v>100</v>
      </c>
      <c r="S499" s="56">
        <f t="shared" si="77"/>
        <v>695</v>
      </c>
      <c r="T499" s="56">
        <f>0</f>
        <v>0</v>
      </c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</row>
    <row r="500" spans="1:30" ht="15.75" x14ac:dyDescent="0.25">
      <c r="A500" s="14">
        <v>56522</v>
      </c>
      <c r="B500" s="68">
        <v>30</v>
      </c>
      <c r="C500" s="56">
        <f>194.205</f>
        <v>194.20500000000001</v>
      </c>
      <c r="D500" s="56">
        <f>267.466</f>
        <v>267.46600000000001</v>
      </c>
      <c r="E500" s="64">
        <f>133.845</f>
        <v>133.845</v>
      </c>
      <c r="F500" s="56">
        <f>278.484-40-25-60-100</f>
        <v>53.48399999999998</v>
      </c>
      <c r="G500" s="59">
        <v>40</v>
      </c>
      <c r="H500" s="56">
        <f t="shared" si="81"/>
        <v>185</v>
      </c>
      <c r="I500" s="56">
        <f t="shared" si="80"/>
        <v>0</v>
      </c>
      <c r="J500" s="59">
        <v>100</v>
      </c>
      <c r="K500" s="59">
        <v>300</v>
      </c>
      <c r="L500" s="56">
        <f t="shared" si="74"/>
        <v>1274</v>
      </c>
      <c r="M500" s="66">
        <v>600</v>
      </c>
      <c r="N500" s="56">
        <f>30</f>
        <v>30</v>
      </c>
      <c r="O500" s="59">
        <v>240</v>
      </c>
      <c r="P500" s="59">
        <v>160</v>
      </c>
      <c r="Q500" s="59">
        <f t="shared" si="75"/>
        <v>195</v>
      </c>
      <c r="R500" s="59">
        <f t="shared" si="76"/>
        <v>100</v>
      </c>
      <c r="S500" s="56">
        <f t="shared" si="77"/>
        <v>695</v>
      </c>
      <c r="T500" s="56">
        <f>0</f>
        <v>0</v>
      </c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</row>
    <row r="501" spans="1:30" ht="15.75" x14ac:dyDescent="0.25">
      <c r="A501" s="14">
        <v>56553</v>
      </c>
      <c r="B501" s="68">
        <v>31</v>
      </c>
      <c r="C501" s="56">
        <f>131.881</f>
        <v>131.881</v>
      </c>
      <c r="D501" s="56">
        <f>277.167</f>
        <v>277.16699999999997</v>
      </c>
      <c r="E501" s="64">
        <f>79.08</f>
        <v>79.08</v>
      </c>
      <c r="F501" s="56">
        <f>350.872-40-25-60-100</f>
        <v>125.87200000000001</v>
      </c>
      <c r="G501" s="59">
        <v>40</v>
      </c>
      <c r="H501" s="56">
        <f t="shared" si="81"/>
        <v>185</v>
      </c>
      <c r="I501" s="56">
        <f t="shared" si="80"/>
        <v>0</v>
      </c>
      <c r="J501" s="59">
        <v>100</v>
      </c>
      <c r="K501" s="59">
        <v>300</v>
      </c>
      <c r="L501" s="56">
        <f t="shared" si="74"/>
        <v>1239</v>
      </c>
      <c r="M501" s="66">
        <v>600</v>
      </c>
      <c r="N501" s="56">
        <f>75</f>
        <v>75</v>
      </c>
      <c r="O501" s="59">
        <v>240</v>
      </c>
      <c r="P501" s="59">
        <v>160</v>
      </c>
      <c r="Q501" s="59">
        <f t="shared" si="75"/>
        <v>195</v>
      </c>
      <c r="R501" s="59">
        <f t="shared" si="76"/>
        <v>100</v>
      </c>
      <c r="S501" s="56">
        <f t="shared" si="77"/>
        <v>695</v>
      </c>
      <c r="T501" s="56">
        <f>0</f>
        <v>0</v>
      </c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</row>
    <row r="502" spans="1:30" ht="15.75" x14ac:dyDescent="0.25">
      <c r="A502" s="14">
        <v>56583</v>
      </c>
      <c r="B502" s="68">
        <v>30</v>
      </c>
      <c r="C502" s="56">
        <f>122.58</f>
        <v>122.58</v>
      </c>
      <c r="D502" s="56">
        <f>297.941</f>
        <v>297.94099999999997</v>
      </c>
      <c r="E502" s="64">
        <f>89.177</f>
        <v>89.177000000000007</v>
      </c>
      <c r="F502" s="56">
        <f>240.302-40-60-100</f>
        <v>40.301999999999992</v>
      </c>
      <c r="G502" s="59">
        <v>40</v>
      </c>
      <c r="H502" s="56">
        <f>60+100</f>
        <v>160</v>
      </c>
      <c r="I502" s="56">
        <f t="shared" si="80"/>
        <v>0</v>
      </c>
      <c r="J502" s="59">
        <v>100</v>
      </c>
      <c r="K502" s="59">
        <v>300</v>
      </c>
      <c r="L502" s="56">
        <f t="shared" si="74"/>
        <v>1150</v>
      </c>
      <c r="M502" s="66">
        <v>600</v>
      </c>
      <c r="N502" s="56">
        <f>100</f>
        <v>100</v>
      </c>
      <c r="O502" s="59">
        <v>240</v>
      </c>
      <c r="P502" s="59">
        <v>40</v>
      </c>
      <c r="Q502" s="59">
        <f t="shared" si="75"/>
        <v>315</v>
      </c>
      <c r="R502" s="59">
        <f t="shared" si="76"/>
        <v>100</v>
      </c>
      <c r="S502" s="56">
        <f t="shared" si="77"/>
        <v>695</v>
      </c>
      <c r="T502" s="56">
        <f>50</f>
        <v>50</v>
      </c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</row>
    <row r="503" spans="1:30" ht="15.75" x14ac:dyDescent="0.25">
      <c r="A503" s="14">
        <v>56614</v>
      </c>
      <c r="B503" s="68">
        <v>31</v>
      </c>
      <c r="C503" s="56">
        <f>122.58</f>
        <v>122.58</v>
      </c>
      <c r="D503" s="56">
        <f>297.941</f>
        <v>297.94099999999997</v>
      </c>
      <c r="E503" s="64">
        <f>89.177</f>
        <v>89.177000000000007</v>
      </c>
      <c r="F503" s="56">
        <f>240.302-40-60-100</f>
        <v>40.301999999999992</v>
      </c>
      <c r="G503" s="59">
        <v>40</v>
      </c>
      <c r="H503" s="56">
        <f>60+100</f>
        <v>160</v>
      </c>
      <c r="I503" s="56">
        <f t="shared" si="80"/>
        <v>0</v>
      </c>
      <c r="J503" s="59">
        <v>100</v>
      </c>
      <c r="K503" s="59">
        <v>300</v>
      </c>
      <c r="L503" s="56">
        <f t="shared" si="74"/>
        <v>1150</v>
      </c>
      <c r="M503" s="66">
        <v>600</v>
      </c>
      <c r="N503" s="56">
        <f>100</f>
        <v>100</v>
      </c>
      <c r="O503" s="59">
        <v>240</v>
      </c>
      <c r="P503" s="59">
        <v>40</v>
      </c>
      <c r="Q503" s="59">
        <f t="shared" si="75"/>
        <v>315</v>
      </c>
      <c r="R503" s="59">
        <f t="shared" si="76"/>
        <v>100</v>
      </c>
      <c r="S503" s="56">
        <f t="shared" si="77"/>
        <v>695</v>
      </c>
      <c r="T503" s="56">
        <f>50</f>
        <v>50</v>
      </c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</row>
    <row r="504" spans="1:30" ht="15.75" x14ac:dyDescent="0.25">
      <c r="A504" s="13">
        <v>56645</v>
      </c>
      <c r="B504" s="67">
        <v>31</v>
      </c>
      <c r="C504" s="56">
        <f>122.58</f>
        <v>122.58</v>
      </c>
      <c r="D504" s="56">
        <f>297.941</f>
        <v>297.94099999999997</v>
      </c>
      <c r="E504" s="64">
        <f>89.177</f>
        <v>89.177000000000007</v>
      </c>
      <c r="F504" s="56">
        <f>240.302-40-60-100</f>
        <v>40.301999999999992</v>
      </c>
      <c r="G504" s="59">
        <v>40</v>
      </c>
      <c r="H504" s="56">
        <f>60+100</f>
        <v>160</v>
      </c>
      <c r="I504" s="56">
        <f t="shared" si="80"/>
        <v>0</v>
      </c>
      <c r="J504" s="59">
        <v>100</v>
      </c>
      <c r="K504" s="59">
        <v>300</v>
      </c>
      <c r="L504" s="56">
        <f t="shared" si="74"/>
        <v>1150</v>
      </c>
      <c r="M504" s="66">
        <v>600</v>
      </c>
      <c r="N504" s="56">
        <f>100</f>
        <v>100</v>
      </c>
      <c r="O504" s="59">
        <v>240</v>
      </c>
      <c r="P504" s="59">
        <v>40</v>
      </c>
      <c r="Q504" s="59">
        <f t="shared" si="75"/>
        <v>315</v>
      </c>
      <c r="R504" s="59">
        <f t="shared" si="76"/>
        <v>100</v>
      </c>
      <c r="S504" s="56">
        <f t="shared" si="77"/>
        <v>695</v>
      </c>
      <c r="T504" s="56">
        <f>50</f>
        <v>50</v>
      </c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</row>
    <row r="505" spans="1:30" ht="15.75" x14ac:dyDescent="0.25">
      <c r="A505" s="13">
        <v>56673</v>
      </c>
      <c r="B505" s="67">
        <v>28</v>
      </c>
      <c r="C505" s="56">
        <f>122.58</f>
        <v>122.58</v>
      </c>
      <c r="D505" s="56">
        <f>297.941</f>
        <v>297.94099999999997</v>
      </c>
      <c r="E505" s="64">
        <f>89.177</f>
        <v>89.177000000000007</v>
      </c>
      <c r="F505" s="56">
        <f>240.302-40-60-100</f>
        <v>40.301999999999992</v>
      </c>
      <c r="G505" s="59">
        <v>40</v>
      </c>
      <c r="H505" s="56">
        <f>60+100</f>
        <v>160</v>
      </c>
      <c r="I505" s="56">
        <f t="shared" si="80"/>
        <v>0</v>
      </c>
      <c r="J505" s="59">
        <v>100</v>
      </c>
      <c r="K505" s="59">
        <v>300</v>
      </c>
      <c r="L505" s="56">
        <f t="shared" si="74"/>
        <v>1150</v>
      </c>
      <c r="M505" s="66">
        <v>600</v>
      </c>
      <c r="N505" s="56">
        <f>100</f>
        <v>100</v>
      </c>
      <c r="O505" s="59">
        <v>240</v>
      </c>
      <c r="P505" s="59">
        <v>40</v>
      </c>
      <c r="Q505" s="59">
        <f t="shared" si="75"/>
        <v>315</v>
      </c>
      <c r="R505" s="59">
        <f t="shared" si="76"/>
        <v>100</v>
      </c>
      <c r="S505" s="56">
        <f t="shared" si="77"/>
        <v>695</v>
      </c>
      <c r="T505" s="56">
        <f>50</f>
        <v>50</v>
      </c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</row>
    <row r="506" spans="1:30" ht="15.75" x14ac:dyDescent="0.25">
      <c r="A506" s="13">
        <v>56704</v>
      </c>
      <c r="B506" s="67">
        <v>31</v>
      </c>
      <c r="C506" s="56">
        <f>122.58</f>
        <v>122.58</v>
      </c>
      <c r="D506" s="56">
        <f>297.941</f>
        <v>297.94099999999997</v>
      </c>
      <c r="E506" s="64">
        <f>89.177</f>
        <v>89.177000000000007</v>
      </c>
      <c r="F506" s="56">
        <f>240.302-40-60-100</f>
        <v>40.301999999999992</v>
      </c>
      <c r="G506" s="59">
        <v>40</v>
      </c>
      <c r="H506" s="56">
        <f>60+100</f>
        <v>160</v>
      </c>
      <c r="I506" s="56">
        <f t="shared" si="80"/>
        <v>0</v>
      </c>
      <c r="J506" s="59">
        <v>100</v>
      </c>
      <c r="K506" s="59">
        <v>300</v>
      </c>
      <c r="L506" s="56">
        <f t="shared" si="74"/>
        <v>1150</v>
      </c>
      <c r="M506" s="66">
        <v>600</v>
      </c>
      <c r="N506" s="56">
        <f>100</f>
        <v>100</v>
      </c>
      <c r="O506" s="59">
        <v>240</v>
      </c>
      <c r="P506" s="59">
        <v>40</v>
      </c>
      <c r="Q506" s="59">
        <f t="shared" si="75"/>
        <v>315</v>
      </c>
      <c r="R506" s="59">
        <f t="shared" si="76"/>
        <v>100</v>
      </c>
      <c r="S506" s="56">
        <f t="shared" si="77"/>
        <v>695</v>
      </c>
      <c r="T506" s="56">
        <f>50</f>
        <v>50</v>
      </c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</row>
    <row r="507" spans="1:30" ht="15.75" x14ac:dyDescent="0.25">
      <c r="A507" s="13">
        <v>56734</v>
      </c>
      <c r="B507" s="67">
        <v>30</v>
      </c>
      <c r="C507" s="56">
        <f>141.293</f>
        <v>141.29300000000001</v>
      </c>
      <c r="D507" s="56">
        <f>267.993</f>
        <v>267.99299999999999</v>
      </c>
      <c r="E507" s="64">
        <f>115.016</f>
        <v>115.01600000000001</v>
      </c>
      <c r="F507" s="56">
        <f>314.698-40-25-60-100</f>
        <v>89.697999999999979</v>
      </c>
      <c r="G507" s="59">
        <v>40</v>
      </c>
      <c r="H507" s="56">
        <f t="shared" ref="H507:H513" si="82">25+60+100</f>
        <v>185</v>
      </c>
      <c r="I507" s="56">
        <f t="shared" si="80"/>
        <v>0</v>
      </c>
      <c r="J507" s="59">
        <v>100</v>
      </c>
      <c r="K507" s="59">
        <v>300</v>
      </c>
      <c r="L507" s="56">
        <f t="shared" si="74"/>
        <v>1239</v>
      </c>
      <c r="M507" s="66">
        <v>600</v>
      </c>
      <c r="N507" s="56">
        <f>100</f>
        <v>100</v>
      </c>
      <c r="O507" s="59">
        <v>240</v>
      </c>
      <c r="P507" s="59">
        <v>160</v>
      </c>
      <c r="Q507" s="59">
        <f t="shared" si="75"/>
        <v>195</v>
      </c>
      <c r="R507" s="59">
        <f t="shared" si="76"/>
        <v>100</v>
      </c>
      <c r="S507" s="56">
        <f t="shared" si="77"/>
        <v>695</v>
      </c>
      <c r="T507" s="56">
        <f>50</f>
        <v>50</v>
      </c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</row>
    <row r="508" spans="1:30" ht="15.75" x14ac:dyDescent="0.25">
      <c r="A508" s="13">
        <v>56765</v>
      </c>
      <c r="B508" s="67">
        <v>31</v>
      </c>
      <c r="C508" s="56">
        <f>194.205</f>
        <v>194.20500000000001</v>
      </c>
      <c r="D508" s="56">
        <f>267.466</f>
        <v>267.46600000000001</v>
      </c>
      <c r="E508" s="64">
        <f>133.845</f>
        <v>133.845</v>
      </c>
      <c r="F508" s="56">
        <f>278.484-40-25-60-100</f>
        <v>53.48399999999998</v>
      </c>
      <c r="G508" s="59">
        <v>40</v>
      </c>
      <c r="H508" s="56">
        <f t="shared" si="82"/>
        <v>185</v>
      </c>
      <c r="I508" s="56">
        <f t="shared" si="80"/>
        <v>0</v>
      </c>
      <c r="J508" s="59">
        <v>100</v>
      </c>
      <c r="K508" s="59">
        <v>300</v>
      </c>
      <c r="L508" s="56">
        <f t="shared" si="74"/>
        <v>1274</v>
      </c>
      <c r="M508" s="66">
        <v>600</v>
      </c>
      <c r="N508" s="56">
        <f>75</f>
        <v>75</v>
      </c>
      <c r="O508" s="59">
        <v>240</v>
      </c>
      <c r="P508" s="59">
        <v>160</v>
      </c>
      <c r="Q508" s="59">
        <f t="shared" si="75"/>
        <v>195</v>
      </c>
      <c r="R508" s="59">
        <f t="shared" si="76"/>
        <v>100</v>
      </c>
      <c r="S508" s="56">
        <f t="shared" si="77"/>
        <v>695</v>
      </c>
      <c r="T508" s="56">
        <f>50</f>
        <v>50</v>
      </c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</row>
    <row r="509" spans="1:30" ht="15.75" x14ac:dyDescent="0.25">
      <c r="A509" s="13">
        <v>56795</v>
      </c>
      <c r="B509" s="67">
        <v>30</v>
      </c>
      <c r="C509" s="56">
        <f>194.205</f>
        <v>194.20500000000001</v>
      </c>
      <c r="D509" s="56">
        <f>267.466</f>
        <v>267.46600000000001</v>
      </c>
      <c r="E509" s="64">
        <f>133.845</f>
        <v>133.845</v>
      </c>
      <c r="F509" s="56">
        <f>278.484-40-25-60-100</f>
        <v>53.48399999999998</v>
      </c>
      <c r="G509" s="59">
        <v>40</v>
      </c>
      <c r="H509" s="56">
        <f t="shared" si="82"/>
        <v>185</v>
      </c>
      <c r="I509" s="56">
        <f t="shared" si="80"/>
        <v>0</v>
      </c>
      <c r="J509" s="59">
        <v>100</v>
      </c>
      <c r="K509" s="59">
        <v>300</v>
      </c>
      <c r="L509" s="56">
        <f t="shared" si="74"/>
        <v>1274</v>
      </c>
      <c r="M509" s="66">
        <v>600</v>
      </c>
      <c r="N509" s="56">
        <f>30</f>
        <v>30</v>
      </c>
      <c r="O509" s="59">
        <v>240</v>
      </c>
      <c r="P509" s="59">
        <v>160</v>
      </c>
      <c r="Q509" s="59">
        <f t="shared" si="75"/>
        <v>195</v>
      </c>
      <c r="R509" s="59">
        <f t="shared" si="76"/>
        <v>100</v>
      </c>
      <c r="S509" s="56">
        <f t="shared" si="77"/>
        <v>695</v>
      </c>
      <c r="T509" s="56">
        <f>50</f>
        <v>50</v>
      </c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</row>
    <row r="510" spans="1:30" ht="15.75" x14ac:dyDescent="0.25">
      <c r="A510" s="13">
        <v>56826</v>
      </c>
      <c r="B510" s="67">
        <v>31</v>
      </c>
      <c r="C510" s="56">
        <f>194.205</f>
        <v>194.20500000000001</v>
      </c>
      <c r="D510" s="56">
        <f>267.466</f>
        <v>267.46600000000001</v>
      </c>
      <c r="E510" s="64">
        <f>133.845</f>
        <v>133.845</v>
      </c>
      <c r="F510" s="56">
        <f>278.484-40-25-60-100</f>
        <v>53.48399999999998</v>
      </c>
      <c r="G510" s="59">
        <v>40</v>
      </c>
      <c r="H510" s="56">
        <f t="shared" si="82"/>
        <v>185</v>
      </c>
      <c r="I510" s="56">
        <f t="shared" si="80"/>
        <v>0</v>
      </c>
      <c r="J510" s="59">
        <v>100</v>
      </c>
      <c r="K510" s="59">
        <v>300</v>
      </c>
      <c r="L510" s="56">
        <f t="shared" si="74"/>
        <v>1274</v>
      </c>
      <c r="M510" s="66">
        <v>600</v>
      </c>
      <c r="N510" s="56">
        <f>30</f>
        <v>30</v>
      </c>
      <c r="O510" s="59">
        <v>240</v>
      </c>
      <c r="P510" s="59">
        <v>160</v>
      </c>
      <c r="Q510" s="59">
        <f t="shared" si="75"/>
        <v>195</v>
      </c>
      <c r="R510" s="59">
        <f t="shared" si="76"/>
        <v>100</v>
      </c>
      <c r="S510" s="56">
        <f t="shared" si="77"/>
        <v>695</v>
      </c>
      <c r="T510" s="56">
        <f>0</f>
        <v>0</v>
      </c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</row>
    <row r="511" spans="1:30" ht="15.75" x14ac:dyDescent="0.25">
      <c r="A511" s="13">
        <v>56857</v>
      </c>
      <c r="B511" s="67">
        <v>31</v>
      </c>
      <c r="C511" s="56">
        <f>194.205</f>
        <v>194.20500000000001</v>
      </c>
      <c r="D511" s="56">
        <f>267.466</f>
        <v>267.46600000000001</v>
      </c>
      <c r="E511" s="64">
        <f>133.845</f>
        <v>133.845</v>
      </c>
      <c r="F511" s="56">
        <f>278.484-40-25-60-100</f>
        <v>53.48399999999998</v>
      </c>
      <c r="G511" s="59">
        <v>40</v>
      </c>
      <c r="H511" s="56">
        <f t="shared" si="82"/>
        <v>185</v>
      </c>
      <c r="I511" s="56">
        <f t="shared" si="80"/>
        <v>0</v>
      </c>
      <c r="J511" s="59">
        <v>100</v>
      </c>
      <c r="K511" s="59">
        <v>300</v>
      </c>
      <c r="L511" s="56">
        <f t="shared" si="74"/>
        <v>1274</v>
      </c>
      <c r="M511" s="66">
        <v>600</v>
      </c>
      <c r="N511" s="56">
        <f>30</f>
        <v>30</v>
      </c>
      <c r="O511" s="59">
        <v>240</v>
      </c>
      <c r="P511" s="59">
        <v>160</v>
      </c>
      <c r="Q511" s="59">
        <f t="shared" si="75"/>
        <v>195</v>
      </c>
      <c r="R511" s="59">
        <f t="shared" si="76"/>
        <v>100</v>
      </c>
      <c r="S511" s="56">
        <f t="shared" si="77"/>
        <v>695</v>
      </c>
      <c r="T511" s="56">
        <f>0</f>
        <v>0</v>
      </c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</row>
    <row r="512" spans="1:30" ht="15.75" x14ac:dyDescent="0.25">
      <c r="A512" s="13">
        <v>56887</v>
      </c>
      <c r="B512" s="67">
        <v>30</v>
      </c>
      <c r="C512" s="56">
        <f>194.205</f>
        <v>194.20500000000001</v>
      </c>
      <c r="D512" s="56">
        <f>267.466</f>
        <v>267.46600000000001</v>
      </c>
      <c r="E512" s="64">
        <f>133.845</f>
        <v>133.845</v>
      </c>
      <c r="F512" s="56">
        <f>278.484-40-25-60-100</f>
        <v>53.48399999999998</v>
      </c>
      <c r="G512" s="59">
        <v>40</v>
      </c>
      <c r="H512" s="56">
        <f t="shared" si="82"/>
        <v>185</v>
      </c>
      <c r="I512" s="56">
        <f t="shared" si="80"/>
        <v>0</v>
      </c>
      <c r="J512" s="59">
        <v>100</v>
      </c>
      <c r="K512" s="59">
        <v>300</v>
      </c>
      <c r="L512" s="56">
        <f t="shared" si="74"/>
        <v>1274</v>
      </c>
      <c r="M512" s="66">
        <v>600</v>
      </c>
      <c r="N512" s="56">
        <f>30</f>
        <v>30</v>
      </c>
      <c r="O512" s="59">
        <v>240</v>
      </c>
      <c r="P512" s="59">
        <v>160</v>
      </c>
      <c r="Q512" s="59">
        <f t="shared" si="75"/>
        <v>195</v>
      </c>
      <c r="R512" s="59">
        <f t="shared" si="76"/>
        <v>100</v>
      </c>
      <c r="S512" s="56">
        <f t="shared" si="77"/>
        <v>695</v>
      </c>
      <c r="T512" s="56">
        <f>0</f>
        <v>0</v>
      </c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</row>
    <row r="513" spans="1:30" ht="15.75" x14ac:dyDescent="0.25">
      <c r="A513" s="13">
        <v>56918</v>
      </c>
      <c r="B513" s="67">
        <v>31</v>
      </c>
      <c r="C513" s="56">
        <f>131.881</f>
        <v>131.881</v>
      </c>
      <c r="D513" s="56">
        <f>277.167</f>
        <v>277.16699999999997</v>
      </c>
      <c r="E513" s="64">
        <f>79.08</f>
        <v>79.08</v>
      </c>
      <c r="F513" s="56">
        <f>350.872-40-25-60-100</f>
        <v>125.87200000000001</v>
      </c>
      <c r="G513" s="59">
        <v>40</v>
      </c>
      <c r="H513" s="56">
        <f t="shared" si="82"/>
        <v>185</v>
      </c>
      <c r="I513" s="56">
        <f t="shared" si="80"/>
        <v>0</v>
      </c>
      <c r="J513" s="59">
        <v>100</v>
      </c>
      <c r="K513" s="59">
        <v>300</v>
      </c>
      <c r="L513" s="56">
        <f t="shared" si="74"/>
        <v>1239</v>
      </c>
      <c r="M513" s="66">
        <v>600</v>
      </c>
      <c r="N513" s="56">
        <f>75</f>
        <v>75</v>
      </c>
      <c r="O513" s="59">
        <v>240</v>
      </c>
      <c r="P513" s="59">
        <v>160</v>
      </c>
      <c r="Q513" s="59">
        <f t="shared" si="75"/>
        <v>195</v>
      </c>
      <c r="R513" s="59">
        <f t="shared" si="76"/>
        <v>100</v>
      </c>
      <c r="S513" s="56">
        <f t="shared" si="77"/>
        <v>695</v>
      </c>
      <c r="T513" s="56">
        <f>0</f>
        <v>0</v>
      </c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</row>
    <row r="514" spans="1:30" ht="15.75" x14ac:dyDescent="0.25">
      <c r="A514" s="13">
        <v>56948</v>
      </c>
      <c r="B514" s="67">
        <v>30</v>
      </c>
      <c r="C514" s="56">
        <f>122.58</f>
        <v>122.58</v>
      </c>
      <c r="D514" s="56">
        <f>297.941</f>
        <v>297.94099999999997</v>
      </c>
      <c r="E514" s="64">
        <f>89.177</f>
        <v>89.177000000000007</v>
      </c>
      <c r="F514" s="56">
        <f>240.302-40-60-100</f>
        <v>40.301999999999992</v>
      </c>
      <c r="G514" s="59">
        <v>40</v>
      </c>
      <c r="H514" s="56">
        <f>60+100</f>
        <v>160</v>
      </c>
      <c r="I514" s="56">
        <f t="shared" si="80"/>
        <v>0</v>
      </c>
      <c r="J514" s="59">
        <v>100</v>
      </c>
      <c r="K514" s="59">
        <v>300</v>
      </c>
      <c r="L514" s="56">
        <f t="shared" si="74"/>
        <v>1150</v>
      </c>
      <c r="M514" s="66">
        <v>600</v>
      </c>
      <c r="N514" s="56">
        <f>100</f>
        <v>100</v>
      </c>
      <c r="O514" s="59">
        <v>240</v>
      </c>
      <c r="P514" s="59">
        <v>40</v>
      </c>
      <c r="Q514" s="59">
        <f t="shared" si="75"/>
        <v>315</v>
      </c>
      <c r="R514" s="59">
        <f t="shared" si="76"/>
        <v>100</v>
      </c>
      <c r="S514" s="56">
        <f t="shared" si="77"/>
        <v>695</v>
      </c>
      <c r="T514" s="56">
        <f>50</f>
        <v>50</v>
      </c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</row>
    <row r="515" spans="1:30" ht="15.75" x14ac:dyDescent="0.25">
      <c r="A515" s="13">
        <v>56979</v>
      </c>
      <c r="B515" s="67">
        <v>31</v>
      </c>
      <c r="C515" s="56">
        <f>122.58</f>
        <v>122.58</v>
      </c>
      <c r="D515" s="56">
        <f>297.941</f>
        <v>297.94099999999997</v>
      </c>
      <c r="E515" s="64">
        <f>89.177</f>
        <v>89.177000000000007</v>
      </c>
      <c r="F515" s="56">
        <f>240.302-40-60-100</f>
        <v>40.301999999999992</v>
      </c>
      <c r="G515" s="59">
        <v>40</v>
      </c>
      <c r="H515" s="56">
        <f>60+100</f>
        <v>160</v>
      </c>
      <c r="I515" s="56">
        <f t="shared" si="80"/>
        <v>0</v>
      </c>
      <c r="J515" s="59">
        <v>100</v>
      </c>
      <c r="K515" s="59">
        <v>300</v>
      </c>
      <c r="L515" s="56">
        <f t="shared" si="74"/>
        <v>1150</v>
      </c>
      <c r="M515" s="66">
        <v>600</v>
      </c>
      <c r="N515" s="56">
        <f>100</f>
        <v>100</v>
      </c>
      <c r="O515" s="59">
        <v>240</v>
      </c>
      <c r="P515" s="59">
        <v>40</v>
      </c>
      <c r="Q515" s="59">
        <f t="shared" si="75"/>
        <v>315</v>
      </c>
      <c r="R515" s="59">
        <f t="shared" si="76"/>
        <v>100</v>
      </c>
      <c r="S515" s="56">
        <f t="shared" si="77"/>
        <v>695</v>
      </c>
      <c r="T515" s="56">
        <f>50</f>
        <v>50</v>
      </c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</row>
    <row r="516" spans="1:30" ht="15.75" x14ac:dyDescent="0.25">
      <c r="A516" s="13">
        <v>57010</v>
      </c>
      <c r="B516" s="67">
        <v>31</v>
      </c>
      <c r="C516" s="56">
        <f>122.58</f>
        <v>122.58</v>
      </c>
      <c r="D516" s="56">
        <f>297.941</f>
        <v>297.94099999999997</v>
      </c>
      <c r="E516" s="64">
        <f>89.177</f>
        <v>89.177000000000007</v>
      </c>
      <c r="F516" s="56">
        <f>240.302-40-60-100</f>
        <v>40.301999999999992</v>
      </c>
      <c r="G516" s="59">
        <v>40</v>
      </c>
      <c r="H516" s="56">
        <f>60+100</f>
        <v>160</v>
      </c>
      <c r="I516" s="56">
        <f t="shared" si="80"/>
        <v>0</v>
      </c>
      <c r="J516" s="59">
        <v>100</v>
      </c>
      <c r="K516" s="59">
        <v>300</v>
      </c>
      <c r="L516" s="56">
        <f t="shared" si="74"/>
        <v>1150</v>
      </c>
      <c r="M516" s="66">
        <v>600</v>
      </c>
      <c r="N516" s="56">
        <f>100</f>
        <v>100</v>
      </c>
      <c r="O516" s="59">
        <v>240</v>
      </c>
      <c r="P516" s="59">
        <v>40</v>
      </c>
      <c r="Q516" s="59">
        <f t="shared" si="75"/>
        <v>315</v>
      </c>
      <c r="R516" s="59">
        <f t="shared" si="76"/>
        <v>100</v>
      </c>
      <c r="S516" s="56">
        <f t="shared" si="77"/>
        <v>695</v>
      </c>
      <c r="T516" s="56">
        <f>50</f>
        <v>50</v>
      </c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</row>
    <row r="517" spans="1:30" ht="15.75" x14ac:dyDescent="0.25">
      <c r="A517" s="13">
        <v>57038</v>
      </c>
      <c r="B517" s="67">
        <v>29</v>
      </c>
      <c r="C517" s="56">
        <f>122.58</f>
        <v>122.58</v>
      </c>
      <c r="D517" s="56">
        <f>297.941</f>
        <v>297.94099999999997</v>
      </c>
      <c r="E517" s="64">
        <f>89.177</f>
        <v>89.177000000000007</v>
      </c>
      <c r="F517" s="56">
        <f>240.302-40-60-100</f>
        <v>40.301999999999992</v>
      </c>
      <c r="G517" s="59">
        <v>40</v>
      </c>
      <c r="H517" s="56">
        <f>60+100</f>
        <v>160</v>
      </c>
      <c r="I517" s="56">
        <f t="shared" si="80"/>
        <v>0</v>
      </c>
      <c r="J517" s="59">
        <v>100</v>
      </c>
      <c r="K517" s="59">
        <v>300</v>
      </c>
      <c r="L517" s="56">
        <f t="shared" si="74"/>
        <v>1150</v>
      </c>
      <c r="M517" s="66">
        <v>600</v>
      </c>
      <c r="N517" s="56">
        <f>100</f>
        <v>100</v>
      </c>
      <c r="O517" s="59">
        <v>240</v>
      </c>
      <c r="P517" s="59">
        <v>40</v>
      </c>
      <c r="Q517" s="59">
        <f t="shared" si="75"/>
        <v>315</v>
      </c>
      <c r="R517" s="59">
        <f t="shared" si="76"/>
        <v>100</v>
      </c>
      <c r="S517" s="56">
        <f t="shared" si="77"/>
        <v>695</v>
      </c>
      <c r="T517" s="56">
        <f>50</f>
        <v>50</v>
      </c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</row>
    <row r="518" spans="1:30" ht="15.75" x14ac:dyDescent="0.25">
      <c r="A518" s="13">
        <v>57070</v>
      </c>
      <c r="B518" s="67">
        <v>31</v>
      </c>
      <c r="C518" s="56">
        <f>122.58</f>
        <v>122.58</v>
      </c>
      <c r="D518" s="56">
        <f>297.941</f>
        <v>297.94099999999997</v>
      </c>
      <c r="E518" s="64">
        <f>89.177</f>
        <v>89.177000000000007</v>
      </c>
      <c r="F518" s="56">
        <f>240.302-40-60-100</f>
        <v>40.301999999999992</v>
      </c>
      <c r="G518" s="59">
        <v>40</v>
      </c>
      <c r="H518" s="56">
        <f>60+100</f>
        <v>160</v>
      </c>
      <c r="I518" s="56">
        <f t="shared" si="80"/>
        <v>0</v>
      </c>
      <c r="J518" s="59">
        <v>100</v>
      </c>
      <c r="K518" s="59">
        <v>300</v>
      </c>
      <c r="L518" s="56">
        <f t="shared" si="74"/>
        <v>1150</v>
      </c>
      <c r="M518" s="66">
        <v>600</v>
      </c>
      <c r="N518" s="56">
        <f>100</f>
        <v>100</v>
      </c>
      <c r="O518" s="59">
        <v>240</v>
      </c>
      <c r="P518" s="59">
        <v>40</v>
      </c>
      <c r="Q518" s="59">
        <f t="shared" si="75"/>
        <v>315</v>
      </c>
      <c r="R518" s="59">
        <f t="shared" si="76"/>
        <v>100</v>
      </c>
      <c r="S518" s="56">
        <f t="shared" si="77"/>
        <v>695</v>
      </c>
      <c r="T518" s="56">
        <f>50</f>
        <v>50</v>
      </c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</row>
    <row r="519" spans="1:30" ht="15.75" x14ac:dyDescent="0.25">
      <c r="A519" s="13">
        <v>57100</v>
      </c>
      <c r="B519" s="67">
        <v>30</v>
      </c>
      <c r="C519" s="56">
        <f>141.293</f>
        <v>141.29300000000001</v>
      </c>
      <c r="D519" s="56">
        <f>267.993</f>
        <v>267.99299999999999</v>
      </c>
      <c r="E519" s="64">
        <f>115.016</f>
        <v>115.01600000000001</v>
      </c>
      <c r="F519" s="56">
        <f>314.698-40-25-60-100</f>
        <v>89.697999999999979</v>
      </c>
      <c r="G519" s="59">
        <v>40</v>
      </c>
      <c r="H519" s="56">
        <f t="shared" ref="H519:H525" si="83">25+60+100</f>
        <v>185</v>
      </c>
      <c r="I519" s="56">
        <f t="shared" si="80"/>
        <v>0</v>
      </c>
      <c r="J519" s="59">
        <v>100</v>
      </c>
      <c r="K519" s="59">
        <v>300</v>
      </c>
      <c r="L519" s="56">
        <f t="shared" si="74"/>
        <v>1239</v>
      </c>
      <c r="M519" s="66">
        <v>600</v>
      </c>
      <c r="N519" s="56">
        <f>100</f>
        <v>100</v>
      </c>
      <c r="O519" s="59">
        <v>240</v>
      </c>
      <c r="P519" s="59">
        <v>160</v>
      </c>
      <c r="Q519" s="59">
        <f t="shared" si="75"/>
        <v>195</v>
      </c>
      <c r="R519" s="59">
        <f t="shared" si="76"/>
        <v>100</v>
      </c>
      <c r="S519" s="56">
        <f t="shared" si="77"/>
        <v>695</v>
      </c>
      <c r="T519" s="56">
        <f>50</f>
        <v>50</v>
      </c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</row>
    <row r="520" spans="1:30" ht="15.75" x14ac:dyDescent="0.25">
      <c r="A520" s="13">
        <v>57131</v>
      </c>
      <c r="B520" s="67">
        <v>31</v>
      </c>
      <c r="C520" s="56">
        <f>194.205</f>
        <v>194.20500000000001</v>
      </c>
      <c r="D520" s="56">
        <f>267.466</f>
        <v>267.46600000000001</v>
      </c>
      <c r="E520" s="64">
        <f>133.845</f>
        <v>133.845</v>
      </c>
      <c r="F520" s="56">
        <f>278.484-40-25-60-100</f>
        <v>53.48399999999998</v>
      </c>
      <c r="G520" s="59">
        <v>40</v>
      </c>
      <c r="H520" s="56">
        <f t="shared" si="83"/>
        <v>185</v>
      </c>
      <c r="I520" s="56">
        <f t="shared" si="80"/>
        <v>0</v>
      </c>
      <c r="J520" s="59">
        <v>100</v>
      </c>
      <c r="K520" s="59">
        <v>300</v>
      </c>
      <c r="L520" s="56">
        <f t="shared" si="74"/>
        <v>1274</v>
      </c>
      <c r="M520" s="66">
        <v>600</v>
      </c>
      <c r="N520" s="56">
        <f>75</f>
        <v>75</v>
      </c>
      <c r="O520" s="59">
        <v>240</v>
      </c>
      <c r="P520" s="59">
        <v>160</v>
      </c>
      <c r="Q520" s="59">
        <f t="shared" si="75"/>
        <v>195</v>
      </c>
      <c r="R520" s="59">
        <f t="shared" si="76"/>
        <v>100</v>
      </c>
      <c r="S520" s="56">
        <f t="shared" si="77"/>
        <v>695</v>
      </c>
      <c r="T520" s="56">
        <f>50</f>
        <v>50</v>
      </c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</row>
    <row r="521" spans="1:30" ht="15.75" x14ac:dyDescent="0.25">
      <c r="A521" s="13">
        <v>57161</v>
      </c>
      <c r="B521" s="67">
        <v>30</v>
      </c>
      <c r="C521" s="56">
        <f>194.205</f>
        <v>194.20500000000001</v>
      </c>
      <c r="D521" s="56">
        <f>267.466</f>
        <v>267.46600000000001</v>
      </c>
      <c r="E521" s="64">
        <f>133.845</f>
        <v>133.845</v>
      </c>
      <c r="F521" s="56">
        <f>278.484-40-25-60-100</f>
        <v>53.48399999999998</v>
      </c>
      <c r="G521" s="59">
        <v>40</v>
      </c>
      <c r="H521" s="56">
        <f t="shared" si="83"/>
        <v>185</v>
      </c>
      <c r="I521" s="56">
        <f t="shared" si="80"/>
        <v>0</v>
      </c>
      <c r="J521" s="59">
        <v>100</v>
      </c>
      <c r="K521" s="59">
        <v>300</v>
      </c>
      <c r="L521" s="56">
        <f t="shared" si="74"/>
        <v>1274</v>
      </c>
      <c r="M521" s="66">
        <v>600</v>
      </c>
      <c r="N521" s="56">
        <f>30</f>
        <v>30</v>
      </c>
      <c r="O521" s="59">
        <v>240</v>
      </c>
      <c r="P521" s="59">
        <v>160</v>
      </c>
      <c r="Q521" s="59">
        <f t="shared" si="75"/>
        <v>195</v>
      </c>
      <c r="R521" s="59">
        <f t="shared" si="76"/>
        <v>100</v>
      </c>
      <c r="S521" s="56">
        <f t="shared" si="77"/>
        <v>695</v>
      </c>
      <c r="T521" s="56">
        <f>50</f>
        <v>50</v>
      </c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</row>
    <row r="522" spans="1:30" ht="15.75" x14ac:dyDescent="0.25">
      <c r="A522" s="13">
        <v>57192</v>
      </c>
      <c r="B522" s="67">
        <v>31</v>
      </c>
      <c r="C522" s="56">
        <f>194.205</f>
        <v>194.20500000000001</v>
      </c>
      <c r="D522" s="56">
        <f>267.466</f>
        <v>267.46600000000001</v>
      </c>
      <c r="E522" s="64">
        <f>133.845</f>
        <v>133.845</v>
      </c>
      <c r="F522" s="56">
        <f>278.484-40-25-60-100</f>
        <v>53.48399999999998</v>
      </c>
      <c r="G522" s="59">
        <v>40</v>
      </c>
      <c r="H522" s="56">
        <f t="shared" si="83"/>
        <v>185</v>
      </c>
      <c r="I522" s="56">
        <f t="shared" si="80"/>
        <v>0</v>
      </c>
      <c r="J522" s="59">
        <v>100</v>
      </c>
      <c r="K522" s="59">
        <v>300</v>
      </c>
      <c r="L522" s="56">
        <f t="shared" si="74"/>
        <v>1274</v>
      </c>
      <c r="M522" s="66">
        <v>600</v>
      </c>
      <c r="N522" s="56">
        <f>30</f>
        <v>30</v>
      </c>
      <c r="O522" s="59">
        <v>240</v>
      </c>
      <c r="P522" s="59">
        <v>160</v>
      </c>
      <c r="Q522" s="59">
        <f t="shared" si="75"/>
        <v>195</v>
      </c>
      <c r="R522" s="59">
        <f t="shared" si="76"/>
        <v>100</v>
      </c>
      <c r="S522" s="56">
        <f t="shared" si="77"/>
        <v>695</v>
      </c>
      <c r="T522" s="56">
        <f>0</f>
        <v>0</v>
      </c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</row>
    <row r="523" spans="1:30" ht="15.75" x14ac:dyDescent="0.25">
      <c r="A523" s="13">
        <v>57223</v>
      </c>
      <c r="B523" s="67">
        <v>31</v>
      </c>
      <c r="C523" s="56">
        <f>194.205</f>
        <v>194.20500000000001</v>
      </c>
      <c r="D523" s="56">
        <f>267.466</f>
        <v>267.46600000000001</v>
      </c>
      <c r="E523" s="64">
        <f>133.845</f>
        <v>133.845</v>
      </c>
      <c r="F523" s="56">
        <f>278.484-40-25-60-100</f>
        <v>53.48399999999998</v>
      </c>
      <c r="G523" s="59">
        <v>40</v>
      </c>
      <c r="H523" s="56">
        <f t="shared" si="83"/>
        <v>185</v>
      </c>
      <c r="I523" s="56">
        <f t="shared" si="80"/>
        <v>0</v>
      </c>
      <c r="J523" s="59">
        <v>100</v>
      </c>
      <c r="K523" s="59">
        <v>300</v>
      </c>
      <c r="L523" s="56">
        <f t="shared" si="74"/>
        <v>1274</v>
      </c>
      <c r="M523" s="66">
        <v>600</v>
      </c>
      <c r="N523" s="56">
        <f>30</f>
        <v>30</v>
      </c>
      <c r="O523" s="59">
        <v>240</v>
      </c>
      <c r="P523" s="59">
        <v>160</v>
      </c>
      <c r="Q523" s="59">
        <f t="shared" si="75"/>
        <v>195</v>
      </c>
      <c r="R523" s="59">
        <f t="shared" si="76"/>
        <v>100</v>
      </c>
      <c r="S523" s="56">
        <f t="shared" si="77"/>
        <v>695</v>
      </c>
      <c r="T523" s="56">
        <f>0</f>
        <v>0</v>
      </c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</row>
    <row r="524" spans="1:30" ht="15.75" x14ac:dyDescent="0.25">
      <c r="A524" s="13">
        <v>57253</v>
      </c>
      <c r="B524" s="67">
        <v>30</v>
      </c>
      <c r="C524" s="56">
        <f>194.205</f>
        <v>194.20500000000001</v>
      </c>
      <c r="D524" s="56">
        <f>267.466</f>
        <v>267.46600000000001</v>
      </c>
      <c r="E524" s="64">
        <f>133.845</f>
        <v>133.845</v>
      </c>
      <c r="F524" s="56">
        <f>278.484-40-25-60-100</f>
        <v>53.48399999999998</v>
      </c>
      <c r="G524" s="59">
        <v>40</v>
      </c>
      <c r="H524" s="56">
        <f t="shared" si="83"/>
        <v>185</v>
      </c>
      <c r="I524" s="56">
        <f t="shared" si="80"/>
        <v>0</v>
      </c>
      <c r="J524" s="59">
        <v>100</v>
      </c>
      <c r="K524" s="59">
        <v>300</v>
      </c>
      <c r="L524" s="56">
        <f t="shared" si="74"/>
        <v>1274</v>
      </c>
      <c r="M524" s="66">
        <v>600</v>
      </c>
      <c r="N524" s="56">
        <f>30</f>
        <v>30</v>
      </c>
      <c r="O524" s="59">
        <v>240</v>
      </c>
      <c r="P524" s="59">
        <v>160</v>
      </c>
      <c r="Q524" s="59">
        <f t="shared" si="75"/>
        <v>195</v>
      </c>
      <c r="R524" s="59">
        <f t="shared" si="76"/>
        <v>100</v>
      </c>
      <c r="S524" s="56">
        <f t="shared" si="77"/>
        <v>695</v>
      </c>
      <c r="T524" s="56">
        <f>0</f>
        <v>0</v>
      </c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</row>
    <row r="525" spans="1:30" ht="15.75" x14ac:dyDescent="0.25">
      <c r="A525" s="13">
        <v>57284</v>
      </c>
      <c r="B525" s="67">
        <v>31</v>
      </c>
      <c r="C525" s="56">
        <f>131.881</f>
        <v>131.881</v>
      </c>
      <c r="D525" s="56">
        <f>277.167</f>
        <v>277.16699999999997</v>
      </c>
      <c r="E525" s="64">
        <f>79.08</f>
        <v>79.08</v>
      </c>
      <c r="F525" s="56">
        <f>350.872-40-25-60-100</f>
        <v>125.87200000000001</v>
      </c>
      <c r="G525" s="59">
        <v>40</v>
      </c>
      <c r="H525" s="56">
        <f t="shared" si="83"/>
        <v>185</v>
      </c>
      <c r="I525" s="56">
        <f t="shared" si="80"/>
        <v>0</v>
      </c>
      <c r="J525" s="59">
        <v>100</v>
      </c>
      <c r="K525" s="59">
        <v>300</v>
      </c>
      <c r="L525" s="56">
        <f t="shared" si="74"/>
        <v>1239</v>
      </c>
      <c r="M525" s="66">
        <v>600</v>
      </c>
      <c r="N525" s="56">
        <f>75</f>
        <v>75</v>
      </c>
      <c r="O525" s="59">
        <v>240</v>
      </c>
      <c r="P525" s="59">
        <v>160</v>
      </c>
      <c r="Q525" s="59">
        <f t="shared" si="75"/>
        <v>195</v>
      </c>
      <c r="R525" s="59">
        <f t="shared" si="76"/>
        <v>100</v>
      </c>
      <c r="S525" s="56">
        <f t="shared" si="77"/>
        <v>695</v>
      </c>
      <c r="T525" s="56">
        <f>0</f>
        <v>0</v>
      </c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</row>
    <row r="526" spans="1:30" ht="15.75" x14ac:dyDescent="0.25">
      <c r="A526" s="13">
        <v>57314</v>
      </c>
      <c r="B526" s="67">
        <v>30</v>
      </c>
      <c r="C526" s="56">
        <f>122.58</f>
        <v>122.58</v>
      </c>
      <c r="D526" s="56">
        <f>297.941</f>
        <v>297.94099999999997</v>
      </c>
      <c r="E526" s="64">
        <f>89.177</f>
        <v>89.177000000000007</v>
      </c>
      <c r="F526" s="56">
        <f>240.302-40-60-100</f>
        <v>40.301999999999992</v>
      </c>
      <c r="G526" s="59">
        <v>40</v>
      </c>
      <c r="H526" s="56">
        <f>60+100</f>
        <v>160</v>
      </c>
      <c r="I526" s="56">
        <f t="shared" si="80"/>
        <v>0</v>
      </c>
      <c r="J526" s="59">
        <v>100</v>
      </c>
      <c r="K526" s="59">
        <v>300</v>
      </c>
      <c r="L526" s="56">
        <f t="shared" si="74"/>
        <v>1150</v>
      </c>
      <c r="M526" s="66">
        <v>600</v>
      </c>
      <c r="N526" s="56">
        <f>100</f>
        <v>100</v>
      </c>
      <c r="O526" s="59">
        <v>240</v>
      </c>
      <c r="P526" s="59">
        <v>40</v>
      </c>
      <c r="Q526" s="59">
        <f t="shared" si="75"/>
        <v>315</v>
      </c>
      <c r="R526" s="59">
        <f t="shared" si="76"/>
        <v>100</v>
      </c>
      <c r="S526" s="56">
        <f t="shared" si="77"/>
        <v>695</v>
      </c>
      <c r="T526" s="56">
        <f>50</f>
        <v>50</v>
      </c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</row>
    <row r="527" spans="1:30" ht="15.75" x14ac:dyDescent="0.25">
      <c r="A527" s="13">
        <v>57345</v>
      </c>
      <c r="B527" s="67">
        <v>31</v>
      </c>
      <c r="C527" s="56">
        <f>122.58</f>
        <v>122.58</v>
      </c>
      <c r="D527" s="56">
        <f>297.941</f>
        <v>297.94099999999997</v>
      </c>
      <c r="E527" s="64">
        <f>89.177</f>
        <v>89.177000000000007</v>
      </c>
      <c r="F527" s="56">
        <f>240.302-40-60-100</f>
        <v>40.301999999999992</v>
      </c>
      <c r="G527" s="59">
        <v>40</v>
      </c>
      <c r="H527" s="56">
        <f>60+100</f>
        <v>160</v>
      </c>
      <c r="I527" s="56">
        <f t="shared" si="80"/>
        <v>0</v>
      </c>
      <c r="J527" s="59">
        <v>100</v>
      </c>
      <c r="K527" s="59">
        <v>300</v>
      </c>
      <c r="L527" s="56">
        <f t="shared" si="74"/>
        <v>1150</v>
      </c>
      <c r="M527" s="66">
        <v>600</v>
      </c>
      <c r="N527" s="56">
        <f>100</f>
        <v>100</v>
      </c>
      <c r="O527" s="59">
        <v>240</v>
      </c>
      <c r="P527" s="59">
        <v>40</v>
      </c>
      <c r="Q527" s="59">
        <f t="shared" si="75"/>
        <v>315</v>
      </c>
      <c r="R527" s="59">
        <f t="shared" si="76"/>
        <v>100</v>
      </c>
      <c r="S527" s="56">
        <f t="shared" si="77"/>
        <v>695</v>
      </c>
      <c r="T527" s="56">
        <f>50</f>
        <v>50</v>
      </c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</row>
    <row r="528" spans="1:30" ht="15.75" x14ac:dyDescent="0.25">
      <c r="A528" s="13">
        <v>57376</v>
      </c>
      <c r="B528" s="67">
        <v>31</v>
      </c>
      <c r="C528" s="56">
        <f>122.58</f>
        <v>122.58</v>
      </c>
      <c r="D528" s="56">
        <f>297.941</f>
        <v>297.94099999999997</v>
      </c>
      <c r="E528" s="64">
        <f>89.177</f>
        <v>89.177000000000007</v>
      </c>
      <c r="F528" s="56">
        <f>240.302-40-60-100</f>
        <v>40.301999999999992</v>
      </c>
      <c r="G528" s="59">
        <v>40</v>
      </c>
      <c r="H528" s="56">
        <f>60+100</f>
        <v>160</v>
      </c>
      <c r="I528" s="56">
        <f t="shared" si="80"/>
        <v>0</v>
      </c>
      <c r="J528" s="59">
        <v>100</v>
      </c>
      <c r="K528" s="59">
        <v>300</v>
      </c>
      <c r="L528" s="56">
        <f t="shared" ref="L528:L591" si="84">SUM(C528:K528)</f>
        <v>1150</v>
      </c>
      <c r="M528" s="66">
        <v>600</v>
      </c>
      <c r="N528" s="56">
        <f>100</f>
        <v>100</v>
      </c>
      <c r="O528" s="59">
        <v>240</v>
      </c>
      <c r="P528" s="59">
        <v>40</v>
      </c>
      <c r="Q528" s="59">
        <f t="shared" ref="Q528:Q591" si="85">695-R528-O528-P528</f>
        <v>315</v>
      </c>
      <c r="R528" s="59">
        <f t="shared" ref="R528:R591" si="86">200-J528</f>
        <v>100</v>
      </c>
      <c r="S528" s="56">
        <f t="shared" ref="S528:S591" si="87">SUM(O528:R528)</f>
        <v>695</v>
      </c>
      <c r="T528" s="56">
        <f>50</f>
        <v>50</v>
      </c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</row>
    <row r="529" spans="1:30" ht="15.75" x14ac:dyDescent="0.25">
      <c r="A529" s="13">
        <v>57404</v>
      </c>
      <c r="B529" s="67">
        <v>28</v>
      </c>
      <c r="C529" s="56">
        <f>122.58</f>
        <v>122.58</v>
      </c>
      <c r="D529" s="56">
        <f>297.941</f>
        <v>297.94099999999997</v>
      </c>
      <c r="E529" s="64">
        <f>89.177</f>
        <v>89.177000000000007</v>
      </c>
      <c r="F529" s="56">
        <f>240.302-40-60-100</f>
        <v>40.301999999999992</v>
      </c>
      <c r="G529" s="59">
        <v>40</v>
      </c>
      <c r="H529" s="56">
        <f>60+100</f>
        <v>160</v>
      </c>
      <c r="I529" s="56">
        <f t="shared" si="80"/>
        <v>0</v>
      </c>
      <c r="J529" s="59">
        <v>100</v>
      </c>
      <c r="K529" s="59">
        <v>300</v>
      </c>
      <c r="L529" s="56">
        <f t="shared" si="84"/>
        <v>1150</v>
      </c>
      <c r="M529" s="66">
        <v>600</v>
      </c>
      <c r="N529" s="56">
        <f>100</f>
        <v>100</v>
      </c>
      <c r="O529" s="59">
        <v>240</v>
      </c>
      <c r="P529" s="59">
        <v>40</v>
      </c>
      <c r="Q529" s="59">
        <f t="shared" si="85"/>
        <v>315</v>
      </c>
      <c r="R529" s="59">
        <f t="shared" si="86"/>
        <v>100</v>
      </c>
      <c r="S529" s="56">
        <f t="shared" si="87"/>
        <v>695</v>
      </c>
      <c r="T529" s="56">
        <f>50</f>
        <v>50</v>
      </c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</row>
    <row r="530" spans="1:30" ht="15.75" x14ac:dyDescent="0.25">
      <c r="A530" s="13">
        <v>57435</v>
      </c>
      <c r="B530" s="67">
        <v>31</v>
      </c>
      <c r="C530" s="56">
        <f>122.58</f>
        <v>122.58</v>
      </c>
      <c r="D530" s="56">
        <f>297.941</f>
        <v>297.94099999999997</v>
      </c>
      <c r="E530" s="64">
        <f>89.177</f>
        <v>89.177000000000007</v>
      </c>
      <c r="F530" s="56">
        <f>240.302-40-60-100</f>
        <v>40.301999999999992</v>
      </c>
      <c r="G530" s="59">
        <v>40</v>
      </c>
      <c r="H530" s="56">
        <f>60+100</f>
        <v>160</v>
      </c>
      <c r="I530" s="56">
        <f t="shared" si="80"/>
        <v>0</v>
      </c>
      <c r="J530" s="59">
        <v>100</v>
      </c>
      <c r="K530" s="59">
        <v>300</v>
      </c>
      <c r="L530" s="56">
        <f t="shared" si="84"/>
        <v>1150</v>
      </c>
      <c r="M530" s="66">
        <v>600</v>
      </c>
      <c r="N530" s="56">
        <f>100</f>
        <v>100</v>
      </c>
      <c r="O530" s="59">
        <v>240</v>
      </c>
      <c r="P530" s="59">
        <v>40</v>
      </c>
      <c r="Q530" s="59">
        <f t="shared" si="85"/>
        <v>315</v>
      </c>
      <c r="R530" s="59">
        <f t="shared" si="86"/>
        <v>100</v>
      </c>
      <c r="S530" s="56">
        <f t="shared" si="87"/>
        <v>695</v>
      </c>
      <c r="T530" s="56">
        <f>50</f>
        <v>50</v>
      </c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</row>
    <row r="531" spans="1:30" ht="15.75" x14ac:dyDescent="0.25">
      <c r="A531" s="13">
        <v>57465</v>
      </c>
      <c r="B531" s="67">
        <v>30</v>
      </c>
      <c r="C531" s="56">
        <f>141.293</f>
        <v>141.29300000000001</v>
      </c>
      <c r="D531" s="56">
        <f>267.993</f>
        <v>267.99299999999999</v>
      </c>
      <c r="E531" s="64">
        <f>115.016</f>
        <v>115.01600000000001</v>
      </c>
      <c r="F531" s="56">
        <f>314.698-40-25-60-100</f>
        <v>89.697999999999979</v>
      </c>
      <c r="G531" s="59">
        <v>40</v>
      </c>
      <c r="H531" s="56">
        <f t="shared" ref="H531:H537" si="88">25+60+100</f>
        <v>185</v>
      </c>
      <c r="I531" s="56">
        <f t="shared" si="80"/>
        <v>0</v>
      </c>
      <c r="J531" s="59">
        <v>100</v>
      </c>
      <c r="K531" s="59">
        <v>300</v>
      </c>
      <c r="L531" s="56">
        <f t="shared" si="84"/>
        <v>1239</v>
      </c>
      <c r="M531" s="66">
        <v>600</v>
      </c>
      <c r="N531" s="56">
        <f>100</f>
        <v>100</v>
      </c>
      <c r="O531" s="59">
        <v>240</v>
      </c>
      <c r="P531" s="59">
        <v>160</v>
      </c>
      <c r="Q531" s="59">
        <f t="shared" si="85"/>
        <v>195</v>
      </c>
      <c r="R531" s="59">
        <f t="shared" si="86"/>
        <v>100</v>
      </c>
      <c r="S531" s="56">
        <f t="shared" si="87"/>
        <v>695</v>
      </c>
      <c r="T531" s="56">
        <f>50</f>
        <v>50</v>
      </c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</row>
    <row r="532" spans="1:30" ht="15.75" x14ac:dyDescent="0.25">
      <c r="A532" s="13">
        <v>57496</v>
      </c>
      <c r="B532" s="67">
        <v>31</v>
      </c>
      <c r="C532" s="56">
        <f>194.205</f>
        <v>194.20500000000001</v>
      </c>
      <c r="D532" s="56">
        <f>267.466</f>
        <v>267.46600000000001</v>
      </c>
      <c r="E532" s="64">
        <f>133.845</f>
        <v>133.845</v>
      </c>
      <c r="F532" s="56">
        <f>278.484-40-25-60-100</f>
        <v>53.48399999999998</v>
      </c>
      <c r="G532" s="59">
        <v>40</v>
      </c>
      <c r="H532" s="56">
        <f t="shared" si="88"/>
        <v>185</v>
      </c>
      <c r="I532" s="56">
        <f t="shared" si="80"/>
        <v>0</v>
      </c>
      <c r="J532" s="59">
        <v>100</v>
      </c>
      <c r="K532" s="59">
        <v>300</v>
      </c>
      <c r="L532" s="56">
        <f t="shared" si="84"/>
        <v>1274</v>
      </c>
      <c r="M532" s="66">
        <v>600</v>
      </c>
      <c r="N532" s="56">
        <f>75</f>
        <v>75</v>
      </c>
      <c r="O532" s="59">
        <v>240</v>
      </c>
      <c r="P532" s="59">
        <v>160</v>
      </c>
      <c r="Q532" s="59">
        <f t="shared" si="85"/>
        <v>195</v>
      </c>
      <c r="R532" s="59">
        <f t="shared" si="86"/>
        <v>100</v>
      </c>
      <c r="S532" s="56">
        <f t="shared" si="87"/>
        <v>695</v>
      </c>
      <c r="T532" s="56">
        <f>50</f>
        <v>50</v>
      </c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</row>
    <row r="533" spans="1:30" ht="15.75" x14ac:dyDescent="0.25">
      <c r="A533" s="13">
        <v>57526</v>
      </c>
      <c r="B533" s="67">
        <v>30</v>
      </c>
      <c r="C533" s="56">
        <f>194.205</f>
        <v>194.20500000000001</v>
      </c>
      <c r="D533" s="56">
        <f>267.466</f>
        <v>267.46600000000001</v>
      </c>
      <c r="E533" s="64">
        <f>133.845</f>
        <v>133.845</v>
      </c>
      <c r="F533" s="56">
        <f>278.484-40-25-60-100</f>
        <v>53.48399999999998</v>
      </c>
      <c r="G533" s="59">
        <v>40</v>
      </c>
      <c r="H533" s="56">
        <f t="shared" si="88"/>
        <v>185</v>
      </c>
      <c r="I533" s="56">
        <f t="shared" si="80"/>
        <v>0</v>
      </c>
      <c r="J533" s="59">
        <v>100</v>
      </c>
      <c r="K533" s="59">
        <v>300</v>
      </c>
      <c r="L533" s="56">
        <f t="shared" si="84"/>
        <v>1274</v>
      </c>
      <c r="M533" s="66">
        <v>600</v>
      </c>
      <c r="N533" s="56">
        <f>30</f>
        <v>30</v>
      </c>
      <c r="O533" s="59">
        <v>240</v>
      </c>
      <c r="P533" s="59">
        <v>160</v>
      </c>
      <c r="Q533" s="59">
        <f t="shared" si="85"/>
        <v>195</v>
      </c>
      <c r="R533" s="59">
        <f t="shared" si="86"/>
        <v>100</v>
      </c>
      <c r="S533" s="56">
        <f t="shared" si="87"/>
        <v>695</v>
      </c>
      <c r="T533" s="56">
        <f>50</f>
        <v>50</v>
      </c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</row>
    <row r="534" spans="1:30" ht="15.75" x14ac:dyDescent="0.25">
      <c r="A534" s="13">
        <v>57557</v>
      </c>
      <c r="B534" s="67">
        <v>31</v>
      </c>
      <c r="C534" s="56">
        <f>194.205</f>
        <v>194.20500000000001</v>
      </c>
      <c r="D534" s="56">
        <f>267.466</f>
        <v>267.46600000000001</v>
      </c>
      <c r="E534" s="64">
        <f>133.845</f>
        <v>133.845</v>
      </c>
      <c r="F534" s="56">
        <f>278.484-40-25-60-100</f>
        <v>53.48399999999998</v>
      </c>
      <c r="G534" s="59">
        <v>40</v>
      </c>
      <c r="H534" s="56">
        <f t="shared" si="88"/>
        <v>185</v>
      </c>
      <c r="I534" s="56">
        <f t="shared" si="80"/>
        <v>0</v>
      </c>
      <c r="J534" s="59">
        <v>100</v>
      </c>
      <c r="K534" s="59">
        <v>300</v>
      </c>
      <c r="L534" s="56">
        <f t="shared" si="84"/>
        <v>1274</v>
      </c>
      <c r="M534" s="66">
        <v>600</v>
      </c>
      <c r="N534" s="56">
        <f>30</f>
        <v>30</v>
      </c>
      <c r="O534" s="59">
        <v>240</v>
      </c>
      <c r="P534" s="59">
        <v>160</v>
      </c>
      <c r="Q534" s="59">
        <f t="shared" si="85"/>
        <v>195</v>
      </c>
      <c r="R534" s="59">
        <f t="shared" si="86"/>
        <v>100</v>
      </c>
      <c r="S534" s="56">
        <f t="shared" si="87"/>
        <v>695</v>
      </c>
      <c r="T534" s="56">
        <f>0</f>
        <v>0</v>
      </c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</row>
    <row r="535" spans="1:30" ht="15.75" x14ac:dyDescent="0.25">
      <c r="A535" s="13">
        <v>57588</v>
      </c>
      <c r="B535" s="67">
        <v>31</v>
      </c>
      <c r="C535" s="56">
        <f>194.205</f>
        <v>194.20500000000001</v>
      </c>
      <c r="D535" s="56">
        <f>267.466</f>
        <v>267.46600000000001</v>
      </c>
      <c r="E535" s="64">
        <f>133.845</f>
        <v>133.845</v>
      </c>
      <c r="F535" s="56">
        <f>278.484-40-25-60-100</f>
        <v>53.48399999999998</v>
      </c>
      <c r="G535" s="59">
        <v>40</v>
      </c>
      <c r="H535" s="56">
        <f t="shared" si="88"/>
        <v>185</v>
      </c>
      <c r="I535" s="56">
        <f t="shared" si="80"/>
        <v>0</v>
      </c>
      <c r="J535" s="59">
        <v>100</v>
      </c>
      <c r="K535" s="59">
        <v>300</v>
      </c>
      <c r="L535" s="56">
        <f t="shared" si="84"/>
        <v>1274</v>
      </c>
      <c r="M535" s="66">
        <v>600</v>
      </c>
      <c r="N535" s="56">
        <f>30</f>
        <v>30</v>
      </c>
      <c r="O535" s="59">
        <v>240</v>
      </c>
      <c r="P535" s="59">
        <v>160</v>
      </c>
      <c r="Q535" s="59">
        <f t="shared" si="85"/>
        <v>195</v>
      </c>
      <c r="R535" s="59">
        <f t="shared" si="86"/>
        <v>100</v>
      </c>
      <c r="S535" s="56">
        <f t="shared" si="87"/>
        <v>695</v>
      </c>
      <c r="T535" s="56">
        <f>0</f>
        <v>0</v>
      </c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</row>
    <row r="536" spans="1:30" ht="15.75" x14ac:dyDescent="0.25">
      <c r="A536" s="13">
        <v>57618</v>
      </c>
      <c r="B536" s="67">
        <v>30</v>
      </c>
      <c r="C536" s="56">
        <f>194.205</f>
        <v>194.20500000000001</v>
      </c>
      <c r="D536" s="56">
        <f>267.466</f>
        <v>267.46600000000001</v>
      </c>
      <c r="E536" s="64">
        <f>133.845</f>
        <v>133.845</v>
      </c>
      <c r="F536" s="56">
        <f>278.484-40-25-60-100</f>
        <v>53.48399999999998</v>
      </c>
      <c r="G536" s="59">
        <v>40</v>
      </c>
      <c r="H536" s="56">
        <f t="shared" si="88"/>
        <v>185</v>
      </c>
      <c r="I536" s="56">
        <f t="shared" si="80"/>
        <v>0</v>
      </c>
      <c r="J536" s="59">
        <v>100</v>
      </c>
      <c r="K536" s="59">
        <v>300</v>
      </c>
      <c r="L536" s="56">
        <f t="shared" si="84"/>
        <v>1274</v>
      </c>
      <c r="M536" s="66">
        <v>600</v>
      </c>
      <c r="N536" s="56">
        <f>30</f>
        <v>30</v>
      </c>
      <c r="O536" s="59">
        <v>240</v>
      </c>
      <c r="P536" s="59">
        <v>160</v>
      </c>
      <c r="Q536" s="59">
        <f t="shared" si="85"/>
        <v>195</v>
      </c>
      <c r="R536" s="59">
        <f t="shared" si="86"/>
        <v>100</v>
      </c>
      <c r="S536" s="56">
        <f t="shared" si="87"/>
        <v>695</v>
      </c>
      <c r="T536" s="56">
        <f>0</f>
        <v>0</v>
      </c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</row>
    <row r="537" spans="1:30" ht="15.75" x14ac:dyDescent="0.25">
      <c r="A537" s="13">
        <v>57649</v>
      </c>
      <c r="B537" s="67">
        <v>31</v>
      </c>
      <c r="C537" s="56">
        <f>131.881</f>
        <v>131.881</v>
      </c>
      <c r="D537" s="56">
        <f>277.167</f>
        <v>277.16699999999997</v>
      </c>
      <c r="E537" s="64">
        <f>79.08</f>
        <v>79.08</v>
      </c>
      <c r="F537" s="56">
        <f>350.872-40-25-60-100</f>
        <v>125.87200000000001</v>
      </c>
      <c r="G537" s="59">
        <v>40</v>
      </c>
      <c r="H537" s="56">
        <f t="shared" si="88"/>
        <v>185</v>
      </c>
      <c r="I537" s="56">
        <f t="shared" si="80"/>
        <v>0</v>
      </c>
      <c r="J537" s="59">
        <v>100</v>
      </c>
      <c r="K537" s="59">
        <v>300</v>
      </c>
      <c r="L537" s="56">
        <f t="shared" si="84"/>
        <v>1239</v>
      </c>
      <c r="M537" s="66">
        <v>600</v>
      </c>
      <c r="N537" s="56">
        <f>75</f>
        <v>75</v>
      </c>
      <c r="O537" s="59">
        <v>240</v>
      </c>
      <c r="P537" s="59">
        <v>160</v>
      </c>
      <c r="Q537" s="59">
        <f t="shared" si="85"/>
        <v>195</v>
      </c>
      <c r="R537" s="59">
        <f t="shared" si="86"/>
        <v>100</v>
      </c>
      <c r="S537" s="56">
        <f t="shared" si="87"/>
        <v>695</v>
      </c>
      <c r="T537" s="56">
        <f>0</f>
        <v>0</v>
      </c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</row>
    <row r="538" spans="1:30" ht="15.75" x14ac:dyDescent="0.25">
      <c r="A538" s="13">
        <v>57679</v>
      </c>
      <c r="B538" s="67">
        <v>30</v>
      </c>
      <c r="C538" s="56">
        <f>122.58</f>
        <v>122.58</v>
      </c>
      <c r="D538" s="56">
        <f>297.941</f>
        <v>297.94099999999997</v>
      </c>
      <c r="E538" s="64">
        <f>89.177</f>
        <v>89.177000000000007</v>
      </c>
      <c r="F538" s="56">
        <f>240.302-40-60-100</f>
        <v>40.301999999999992</v>
      </c>
      <c r="G538" s="59">
        <v>40</v>
      </c>
      <c r="H538" s="56">
        <f>60+100</f>
        <v>160</v>
      </c>
      <c r="I538" s="56">
        <f t="shared" si="80"/>
        <v>0</v>
      </c>
      <c r="J538" s="59">
        <v>100</v>
      </c>
      <c r="K538" s="59">
        <v>300</v>
      </c>
      <c r="L538" s="56">
        <f t="shared" si="84"/>
        <v>1150</v>
      </c>
      <c r="M538" s="66">
        <v>600</v>
      </c>
      <c r="N538" s="56">
        <f>100</f>
        <v>100</v>
      </c>
      <c r="O538" s="59">
        <v>240</v>
      </c>
      <c r="P538" s="59">
        <v>40</v>
      </c>
      <c r="Q538" s="59">
        <f t="shared" si="85"/>
        <v>315</v>
      </c>
      <c r="R538" s="59">
        <f t="shared" si="86"/>
        <v>100</v>
      </c>
      <c r="S538" s="56">
        <f t="shared" si="87"/>
        <v>695</v>
      </c>
      <c r="T538" s="56">
        <f>50</f>
        <v>50</v>
      </c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</row>
    <row r="539" spans="1:30" ht="15.75" x14ac:dyDescent="0.25">
      <c r="A539" s="13">
        <v>57710</v>
      </c>
      <c r="B539" s="67">
        <v>31</v>
      </c>
      <c r="C539" s="56">
        <f>122.58</f>
        <v>122.58</v>
      </c>
      <c r="D539" s="56">
        <f>297.941</f>
        <v>297.94099999999997</v>
      </c>
      <c r="E539" s="64">
        <f>89.177</f>
        <v>89.177000000000007</v>
      </c>
      <c r="F539" s="56">
        <f>240.302-40-60-100</f>
        <v>40.301999999999992</v>
      </c>
      <c r="G539" s="59">
        <v>40</v>
      </c>
      <c r="H539" s="56">
        <f>60+100</f>
        <v>160</v>
      </c>
      <c r="I539" s="56">
        <f t="shared" si="80"/>
        <v>0</v>
      </c>
      <c r="J539" s="59">
        <v>100</v>
      </c>
      <c r="K539" s="59">
        <v>300</v>
      </c>
      <c r="L539" s="56">
        <f t="shared" si="84"/>
        <v>1150</v>
      </c>
      <c r="M539" s="66">
        <v>600</v>
      </c>
      <c r="N539" s="56">
        <f>100</f>
        <v>100</v>
      </c>
      <c r="O539" s="59">
        <v>240</v>
      </c>
      <c r="P539" s="59">
        <v>40</v>
      </c>
      <c r="Q539" s="59">
        <f t="shared" si="85"/>
        <v>315</v>
      </c>
      <c r="R539" s="59">
        <f t="shared" si="86"/>
        <v>100</v>
      </c>
      <c r="S539" s="56">
        <f t="shared" si="87"/>
        <v>695</v>
      </c>
      <c r="T539" s="56">
        <f>50</f>
        <v>50</v>
      </c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</row>
    <row r="540" spans="1:30" ht="15.75" x14ac:dyDescent="0.25">
      <c r="A540" s="13">
        <v>57741</v>
      </c>
      <c r="B540" s="67">
        <v>31</v>
      </c>
      <c r="C540" s="56">
        <f>122.58</f>
        <v>122.58</v>
      </c>
      <c r="D540" s="56">
        <f>297.941</f>
        <v>297.94099999999997</v>
      </c>
      <c r="E540" s="64">
        <f>89.177</f>
        <v>89.177000000000007</v>
      </c>
      <c r="F540" s="56">
        <f>240.302-40-60-100</f>
        <v>40.301999999999992</v>
      </c>
      <c r="G540" s="59">
        <v>40</v>
      </c>
      <c r="H540" s="56">
        <f>60+100</f>
        <v>160</v>
      </c>
      <c r="I540" s="56">
        <f t="shared" si="80"/>
        <v>0</v>
      </c>
      <c r="J540" s="59">
        <v>100</v>
      </c>
      <c r="K540" s="59">
        <v>300</v>
      </c>
      <c r="L540" s="56">
        <f t="shared" si="84"/>
        <v>1150</v>
      </c>
      <c r="M540" s="66">
        <v>600</v>
      </c>
      <c r="N540" s="56">
        <f>100</f>
        <v>100</v>
      </c>
      <c r="O540" s="59">
        <v>240</v>
      </c>
      <c r="P540" s="59">
        <v>40</v>
      </c>
      <c r="Q540" s="59">
        <f t="shared" si="85"/>
        <v>315</v>
      </c>
      <c r="R540" s="59">
        <f t="shared" si="86"/>
        <v>100</v>
      </c>
      <c r="S540" s="56">
        <f t="shared" si="87"/>
        <v>695</v>
      </c>
      <c r="T540" s="56">
        <f>50</f>
        <v>50</v>
      </c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</row>
    <row r="541" spans="1:30" ht="15.75" x14ac:dyDescent="0.25">
      <c r="A541" s="13">
        <v>57769</v>
      </c>
      <c r="B541" s="67">
        <v>28</v>
      </c>
      <c r="C541" s="56">
        <f>122.58</f>
        <v>122.58</v>
      </c>
      <c r="D541" s="56">
        <f>297.941</f>
        <v>297.94099999999997</v>
      </c>
      <c r="E541" s="64">
        <f>89.177</f>
        <v>89.177000000000007</v>
      </c>
      <c r="F541" s="56">
        <f>240.302-40-60-100</f>
        <v>40.301999999999992</v>
      </c>
      <c r="G541" s="59">
        <v>40</v>
      </c>
      <c r="H541" s="56">
        <f>60+100</f>
        <v>160</v>
      </c>
      <c r="I541" s="56">
        <f t="shared" si="80"/>
        <v>0</v>
      </c>
      <c r="J541" s="59">
        <v>100</v>
      </c>
      <c r="K541" s="59">
        <v>300</v>
      </c>
      <c r="L541" s="56">
        <f t="shared" si="84"/>
        <v>1150</v>
      </c>
      <c r="M541" s="66">
        <v>600</v>
      </c>
      <c r="N541" s="56">
        <f>100</f>
        <v>100</v>
      </c>
      <c r="O541" s="59">
        <v>240</v>
      </c>
      <c r="P541" s="59">
        <v>40</v>
      </c>
      <c r="Q541" s="59">
        <f t="shared" si="85"/>
        <v>315</v>
      </c>
      <c r="R541" s="59">
        <f t="shared" si="86"/>
        <v>100</v>
      </c>
      <c r="S541" s="56">
        <f t="shared" si="87"/>
        <v>695</v>
      </c>
      <c r="T541" s="56">
        <f>50</f>
        <v>50</v>
      </c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</row>
    <row r="542" spans="1:30" ht="15.75" x14ac:dyDescent="0.25">
      <c r="A542" s="13">
        <v>57800</v>
      </c>
      <c r="B542" s="67">
        <v>31</v>
      </c>
      <c r="C542" s="56">
        <f>122.58</f>
        <v>122.58</v>
      </c>
      <c r="D542" s="56">
        <f>297.941</f>
        <v>297.94099999999997</v>
      </c>
      <c r="E542" s="64">
        <f>89.177</f>
        <v>89.177000000000007</v>
      </c>
      <c r="F542" s="56">
        <f>240.302-40-60-100</f>
        <v>40.301999999999992</v>
      </c>
      <c r="G542" s="59">
        <v>40</v>
      </c>
      <c r="H542" s="56">
        <f>60+100</f>
        <v>160</v>
      </c>
      <c r="I542" s="56">
        <f t="shared" si="80"/>
        <v>0</v>
      </c>
      <c r="J542" s="59">
        <v>100</v>
      </c>
      <c r="K542" s="59">
        <v>300</v>
      </c>
      <c r="L542" s="56">
        <f t="shared" si="84"/>
        <v>1150</v>
      </c>
      <c r="M542" s="66">
        <v>600</v>
      </c>
      <c r="N542" s="56">
        <f>100</f>
        <v>100</v>
      </c>
      <c r="O542" s="59">
        <v>240</v>
      </c>
      <c r="P542" s="59">
        <v>40</v>
      </c>
      <c r="Q542" s="59">
        <f t="shared" si="85"/>
        <v>315</v>
      </c>
      <c r="R542" s="59">
        <f t="shared" si="86"/>
        <v>100</v>
      </c>
      <c r="S542" s="56">
        <f t="shared" si="87"/>
        <v>695</v>
      </c>
      <c r="T542" s="56">
        <f>50</f>
        <v>50</v>
      </c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</row>
    <row r="543" spans="1:30" ht="15.75" x14ac:dyDescent="0.25">
      <c r="A543" s="13">
        <v>57830</v>
      </c>
      <c r="B543" s="67">
        <v>30</v>
      </c>
      <c r="C543" s="56">
        <f>141.293</f>
        <v>141.29300000000001</v>
      </c>
      <c r="D543" s="56">
        <f>267.993</f>
        <v>267.99299999999999</v>
      </c>
      <c r="E543" s="64">
        <f>115.016</f>
        <v>115.01600000000001</v>
      </c>
      <c r="F543" s="56">
        <f>314.698-40-25-60-100</f>
        <v>89.697999999999979</v>
      </c>
      <c r="G543" s="59">
        <v>40</v>
      </c>
      <c r="H543" s="56">
        <f t="shared" ref="H543:H549" si="89">25+60+100</f>
        <v>185</v>
      </c>
      <c r="I543" s="56">
        <f t="shared" si="80"/>
        <v>0</v>
      </c>
      <c r="J543" s="59">
        <v>100</v>
      </c>
      <c r="K543" s="59">
        <v>300</v>
      </c>
      <c r="L543" s="56">
        <f t="shared" si="84"/>
        <v>1239</v>
      </c>
      <c r="M543" s="66">
        <v>600</v>
      </c>
      <c r="N543" s="56">
        <f>100</f>
        <v>100</v>
      </c>
      <c r="O543" s="59">
        <v>240</v>
      </c>
      <c r="P543" s="59">
        <v>160</v>
      </c>
      <c r="Q543" s="59">
        <f t="shared" si="85"/>
        <v>195</v>
      </c>
      <c r="R543" s="59">
        <f t="shared" si="86"/>
        <v>100</v>
      </c>
      <c r="S543" s="56">
        <f t="shared" si="87"/>
        <v>695</v>
      </c>
      <c r="T543" s="56">
        <f>50</f>
        <v>50</v>
      </c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</row>
    <row r="544" spans="1:30" ht="15.75" x14ac:dyDescent="0.25">
      <c r="A544" s="13">
        <v>57861</v>
      </c>
      <c r="B544" s="67">
        <v>31</v>
      </c>
      <c r="C544" s="56">
        <f>194.205</f>
        <v>194.20500000000001</v>
      </c>
      <c r="D544" s="56">
        <f>267.466</f>
        <v>267.46600000000001</v>
      </c>
      <c r="E544" s="64">
        <f>133.845</f>
        <v>133.845</v>
      </c>
      <c r="F544" s="56">
        <f>278.484-40-25-60-100</f>
        <v>53.48399999999998</v>
      </c>
      <c r="G544" s="59">
        <v>40</v>
      </c>
      <c r="H544" s="56">
        <f t="shared" si="89"/>
        <v>185</v>
      </c>
      <c r="I544" s="56">
        <f t="shared" si="80"/>
        <v>0</v>
      </c>
      <c r="J544" s="59">
        <v>100</v>
      </c>
      <c r="K544" s="59">
        <v>300</v>
      </c>
      <c r="L544" s="56">
        <f t="shared" si="84"/>
        <v>1274</v>
      </c>
      <c r="M544" s="66">
        <v>600</v>
      </c>
      <c r="N544" s="56">
        <f>75</f>
        <v>75</v>
      </c>
      <c r="O544" s="59">
        <v>240</v>
      </c>
      <c r="P544" s="59">
        <v>160</v>
      </c>
      <c r="Q544" s="59">
        <f t="shared" si="85"/>
        <v>195</v>
      </c>
      <c r="R544" s="59">
        <f t="shared" si="86"/>
        <v>100</v>
      </c>
      <c r="S544" s="56">
        <f t="shared" si="87"/>
        <v>695</v>
      </c>
      <c r="T544" s="56">
        <f>50</f>
        <v>50</v>
      </c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</row>
    <row r="545" spans="1:30" ht="15.75" x14ac:dyDescent="0.25">
      <c r="A545" s="13">
        <v>57891</v>
      </c>
      <c r="B545" s="67">
        <v>30</v>
      </c>
      <c r="C545" s="56">
        <f>194.205</f>
        <v>194.20500000000001</v>
      </c>
      <c r="D545" s="56">
        <f>267.466</f>
        <v>267.46600000000001</v>
      </c>
      <c r="E545" s="64">
        <f>133.845</f>
        <v>133.845</v>
      </c>
      <c r="F545" s="56">
        <f>278.484-40-25-60-100</f>
        <v>53.48399999999998</v>
      </c>
      <c r="G545" s="59">
        <v>40</v>
      </c>
      <c r="H545" s="56">
        <f t="shared" si="89"/>
        <v>185</v>
      </c>
      <c r="I545" s="56">
        <f t="shared" si="80"/>
        <v>0</v>
      </c>
      <c r="J545" s="59">
        <v>100</v>
      </c>
      <c r="K545" s="59">
        <v>300</v>
      </c>
      <c r="L545" s="56">
        <f t="shared" si="84"/>
        <v>1274</v>
      </c>
      <c r="M545" s="66">
        <v>600</v>
      </c>
      <c r="N545" s="56">
        <f>30</f>
        <v>30</v>
      </c>
      <c r="O545" s="59">
        <v>240</v>
      </c>
      <c r="P545" s="59">
        <v>160</v>
      </c>
      <c r="Q545" s="59">
        <f t="shared" si="85"/>
        <v>195</v>
      </c>
      <c r="R545" s="59">
        <f t="shared" si="86"/>
        <v>100</v>
      </c>
      <c r="S545" s="56">
        <f t="shared" si="87"/>
        <v>695</v>
      </c>
      <c r="T545" s="56">
        <f>50</f>
        <v>50</v>
      </c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</row>
    <row r="546" spans="1:30" ht="15.75" x14ac:dyDescent="0.25">
      <c r="A546" s="13">
        <v>57922</v>
      </c>
      <c r="B546" s="67">
        <v>31</v>
      </c>
      <c r="C546" s="56">
        <f>194.205</f>
        <v>194.20500000000001</v>
      </c>
      <c r="D546" s="56">
        <f>267.466</f>
        <v>267.46600000000001</v>
      </c>
      <c r="E546" s="64">
        <f>133.845</f>
        <v>133.845</v>
      </c>
      <c r="F546" s="56">
        <f>278.484-40-25-60-100</f>
        <v>53.48399999999998</v>
      </c>
      <c r="G546" s="59">
        <v>40</v>
      </c>
      <c r="H546" s="56">
        <f t="shared" si="89"/>
        <v>185</v>
      </c>
      <c r="I546" s="56">
        <f t="shared" si="80"/>
        <v>0</v>
      </c>
      <c r="J546" s="59">
        <v>100</v>
      </c>
      <c r="K546" s="59">
        <v>300</v>
      </c>
      <c r="L546" s="56">
        <f t="shared" si="84"/>
        <v>1274</v>
      </c>
      <c r="M546" s="66">
        <v>600</v>
      </c>
      <c r="N546" s="56">
        <f>30</f>
        <v>30</v>
      </c>
      <c r="O546" s="59">
        <v>240</v>
      </c>
      <c r="P546" s="59">
        <v>160</v>
      </c>
      <c r="Q546" s="59">
        <f t="shared" si="85"/>
        <v>195</v>
      </c>
      <c r="R546" s="59">
        <f t="shared" si="86"/>
        <v>100</v>
      </c>
      <c r="S546" s="56">
        <f t="shared" si="87"/>
        <v>695</v>
      </c>
      <c r="T546" s="56">
        <f>0</f>
        <v>0</v>
      </c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</row>
    <row r="547" spans="1:30" ht="15.75" x14ac:dyDescent="0.25">
      <c r="A547" s="13">
        <v>57953</v>
      </c>
      <c r="B547" s="67">
        <v>31</v>
      </c>
      <c r="C547" s="56">
        <f>194.205</f>
        <v>194.20500000000001</v>
      </c>
      <c r="D547" s="56">
        <f>267.466</f>
        <v>267.46600000000001</v>
      </c>
      <c r="E547" s="64">
        <f>133.845</f>
        <v>133.845</v>
      </c>
      <c r="F547" s="56">
        <f>278.484-40-25-60-100</f>
        <v>53.48399999999998</v>
      </c>
      <c r="G547" s="59">
        <v>40</v>
      </c>
      <c r="H547" s="56">
        <f t="shared" si="89"/>
        <v>185</v>
      </c>
      <c r="I547" s="56">
        <f t="shared" si="80"/>
        <v>0</v>
      </c>
      <c r="J547" s="59">
        <v>100</v>
      </c>
      <c r="K547" s="59">
        <v>300</v>
      </c>
      <c r="L547" s="56">
        <f t="shared" si="84"/>
        <v>1274</v>
      </c>
      <c r="M547" s="66">
        <v>600</v>
      </c>
      <c r="N547" s="56">
        <f>30</f>
        <v>30</v>
      </c>
      <c r="O547" s="59">
        <v>240</v>
      </c>
      <c r="P547" s="59">
        <v>160</v>
      </c>
      <c r="Q547" s="59">
        <f t="shared" si="85"/>
        <v>195</v>
      </c>
      <c r="R547" s="59">
        <f t="shared" si="86"/>
        <v>100</v>
      </c>
      <c r="S547" s="56">
        <f t="shared" si="87"/>
        <v>695</v>
      </c>
      <c r="T547" s="56">
        <f>0</f>
        <v>0</v>
      </c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</row>
    <row r="548" spans="1:30" ht="15.75" x14ac:dyDescent="0.25">
      <c r="A548" s="13">
        <v>57983</v>
      </c>
      <c r="B548" s="67">
        <v>30</v>
      </c>
      <c r="C548" s="56">
        <f>194.205</f>
        <v>194.20500000000001</v>
      </c>
      <c r="D548" s="56">
        <f>267.466</f>
        <v>267.46600000000001</v>
      </c>
      <c r="E548" s="64">
        <f>133.845</f>
        <v>133.845</v>
      </c>
      <c r="F548" s="56">
        <f>278.484-40-25-60-100</f>
        <v>53.48399999999998</v>
      </c>
      <c r="G548" s="59">
        <v>40</v>
      </c>
      <c r="H548" s="56">
        <f t="shared" si="89"/>
        <v>185</v>
      </c>
      <c r="I548" s="56">
        <f t="shared" si="80"/>
        <v>0</v>
      </c>
      <c r="J548" s="59">
        <v>100</v>
      </c>
      <c r="K548" s="59">
        <v>300</v>
      </c>
      <c r="L548" s="56">
        <f t="shared" si="84"/>
        <v>1274</v>
      </c>
      <c r="M548" s="66">
        <v>600</v>
      </c>
      <c r="N548" s="56">
        <f>30</f>
        <v>30</v>
      </c>
      <c r="O548" s="59">
        <v>240</v>
      </c>
      <c r="P548" s="59">
        <v>160</v>
      </c>
      <c r="Q548" s="59">
        <f t="shared" si="85"/>
        <v>195</v>
      </c>
      <c r="R548" s="59">
        <f t="shared" si="86"/>
        <v>100</v>
      </c>
      <c r="S548" s="56">
        <f t="shared" si="87"/>
        <v>695</v>
      </c>
      <c r="T548" s="56">
        <f>0</f>
        <v>0</v>
      </c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</row>
    <row r="549" spans="1:30" ht="15.75" x14ac:dyDescent="0.25">
      <c r="A549" s="13">
        <v>58014</v>
      </c>
      <c r="B549" s="67">
        <v>31</v>
      </c>
      <c r="C549" s="56">
        <f>131.881</f>
        <v>131.881</v>
      </c>
      <c r="D549" s="56">
        <f>277.167</f>
        <v>277.16699999999997</v>
      </c>
      <c r="E549" s="64">
        <f>79.08</f>
        <v>79.08</v>
      </c>
      <c r="F549" s="56">
        <f>350.872-40-25-60-100</f>
        <v>125.87200000000001</v>
      </c>
      <c r="G549" s="59">
        <v>40</v>
      </c>
      <c r="H549" s="56">
        <f t="shared" si="89"/>
        <v>185</v>
      </c>
      <c r="I549" s="56">
        <f t="shared" si="80"/>
        <v>0</v>
      </c>
      <c r="J549" s="59">
        <v>100</v>
      </c>
      <c r="K549" s="59">
        <v>300</v>
      </c>
      <c r="L549" s="56">
        <f t="shared" si="84"/>
        <v>1239</v>
      </c>
      <c r="M549" s="66">
        <v>600</v>
      </c>
      <c r="N549" s="56">
        <f>75</f>
        <v>75</v>
      </c>
      <c r="O549" s="59">
        <v>240</v>
      </c>
      <c r="P549" s="59">
        <v>160</v>
      </c>
      <c r="Q549" s="59">
        <f t="shared" si="85"/>
        <v>195</v>
      </c>
      <c r="R549" s="59">
        <f t="shared" si="86"/>
        <v>100</v>
      </c>
      <c r="S549" s="56">
        <f t="shared" si="87"/>
        <v>695</v>
      </c>
      <c r="T549" s="56">
        <f>0</f>
        <v>0</v>
      </c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</row>
    <row r="550" spans="1:30" ht="15.75" x14ac:dyDescent="0.25">
      <c r="A550" s="13">
        <v>58044</v>
      </c>
      <c r="B550" s="67">
        <v>30</v>
      </c>
      <c r="C550" s="56">
        <f>122.58</f>
        <v>122.58</v>
      </c>
      <c r="D550" s="56">
        <f>297.941</f>
        <v>297.94099999999997</v>
      </c>
      <c r="E550" s="64">
        <f>89.177</f>
        <v>89.177000000000007</v>
      </c>
      <c r="F550" s="56">
        <f>240.302-40-60-100</f>
        <v>40.301999999999992</v>
      </c>
      <c r="G550" s="59">
        <v>40</v>
      </c>
      <c r="H550" s="56">
        <f>60+100</f>
        <v>160</v>
      </c>
      <c r="I550" s="56">
        <f t="shared" si="80"/>
        <v>0</v>
      </c>
      <c r="J550" s="59">
        <v>100</v>
      </c>
      <c r="K550" s="59">
        <v>300</v>
      </c>
      <c r="L550" s="56">
        <f t="shared" si="84"/>
        <v>1150</v>
      </c>
      <c r="M550" s="66">
        <v>600</v>
      </c>
      <c r="N550" s="56">
        <f>100</f>
        <v>100</v>
      </c>
      <c r="O550" s="59">
        <v>240</v>
      </c>
      <c r="P550" s="59">
        <v>40</v>
      </c>
      <c r="Q550" s="59">
        <f t="shared" si="85"/>
        <v>315</v>
      </c>
      <c r="R550" s="59">
        <f t="shared" si="86"/>
        <v>100</v>
      </c>
      <c r="S550" s="56">
        <f t="shared" si="87"/>
        <v>695</v>
      </c>
      <c r="T550" s="56">
        <f>50</f>
        <v>50</v>
      </c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</row>
    <row r="551" spans="1:30" ht="15.75" x14ac:dyDescent="0.25">
      <c r="A551" s="13">
        <v>58075</v>
      </c>
      <c r="B551" s="67">
        <v>31</v>
      </c>
      <c r="C551" s="56">
        <f>122.58</f>
        <v>122.58</v>
      </c>
      <c r="D551" s="56">
        <f>297.941</f>
        <v>297.94099999999997</v>
      </c>
      <c r="E551" s="64">
        <f>89.177</f>
        <v>89.177000000000007</v>
      </c>
      <c r="F551" s="56">
        <f>240.302-40-60-100</f>
        <v>40.301999999999992</v>
      </c>
      <c r="G551" s="59">
        <v>40</v>
      </c>
      <c r="H551" s="56">
        <f>60+100</f>
        <v>160</v>
      </c>
      <c r="I551" s="56">
        <f t="shared" si="80"/>
        <v>0</v>
      </c>
      <c r="J551" s="59">
        <v>100</v>
      </c>
      <c r="K551" s="59">
        <v>300</v>
      </c>
      <c r="L551" s="56">
        <f t="shared" si="84"/>
        <v>1150</v>
      </c>
      <c r="M551" s="66">
        <v>600</v>
      </c>
      <c r="N551" s="56">
        <f>100</f>
        <v>100</v>
      </c>
      <c r="O551" s="59">
        <v>240</v>
      </c>
      <c r="P551" s="59">
        <v>40</v>
      </c>
      <c r="Q551" s="59">
        <f t="shared" si="85"/>
        <v>315</v>
      </c>
      <c r="R551" s="59">
        <f t="shared" si="86"/>
        <v>100</v>
      </c>
      <c r="S551" s="56">
        <f t="shared" si="87"/>
        <v>695</v>
      </c>
      <c r="T551" s="56">
        <f>50</f>
        <v>50</v>
      </c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</row>
    <row r="552" spans="1:30" ht="15.75" x14ac:dyDescent="0.25">
      <c r="A552" s="13">
        <v>58106</v>
      </c>
      <c r="B552" s="67">
        <v>31</v>
      </c>
      <c r="C552" s="56">
        <f>122.58</f>
        <v>122.58</v>
      </c>
      <c r="D552" s="56">
        <f>297.941</f>
        <v>297.94099999999997</v>
      </c>
      <c r="E552" s="64">
        <f>89.177</f>
        <v>89.177000000000007</v>
      </c>
      <c r="F552" s="56">
        <f>240.302-40-60-100</f>
        <v>40.301999999999992</v>
      </c>
      <c r="G552" s="59">
        <v>40</v>
      </c>
      <c r="H552" s="56">
        <f>60+100</f>
        <v>160</v>
      </c>
      <c r="I552" s="56">
        <f t="shared" ref="I552:I615" si="90">400-J552-K552</f>
        <v>0</v>
      </c>
      <c r="J552" s="59">
        <v>100</v>
      </c>
      <c r="K552" s="59">
        <v>300</v>
      </c>
      <c r="L552" s="56">
        <f t="shared" si="84"/>
        <v>1150</v>
      </c>
      <c r="M552" s="66">
        <v>600</v>
      </c>
      <c r="N552" s="56">
        <f>100</f>
        <v>100</v>
      </c>
      <c r="O552" s="59">
        <v>240</v>
      </c>
      <c r="P552" s="59">
        <v>40</v>
      </c>
      <c r="Q552" s="59">
        <f t="shared" si="85"/>
        <v>315</v>
      </c>
      <c r="R552" s="59">
        <f t="shared" si="86"/>
        <v>100</v>
      </c>
      <c r="S552" s="56">
        <f t="shared" si="87"/>
        <v>695</v>
      </c>
      <c r="T552" s="56">
        <f>50</f>
        <v>50</v>
      </c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</row>
    <row r="553" spans="1:30" ht="15.75" x14ac:dyDescent="0.25">
      <c r="A553" s="13">
        <v>58134</v>
      </c>
      <c r="B553" s="67">
        <v>28</v>
      </c>
      <c r="C553" s="56">
        <f>122.58</f>
        <v>122.58</v>
      </c>
      <c r="D553" s="56">
        <f>297.941</f>
        <v>297.94099999999997</v>
      </c>
      <c r="E553" s="64">
        <f>89.177</f>
        <v>89.177000000000007</v>
      </c>
      <c r="F553" s="56">
        <f>240.302-40-60-100</f>
        <v>40.301999999999992</v>
      </c>
      <c r="G553" s="59">
        <v>40</v>
      </c>
      <c r="H553" s="56">
        <f>60+100</f>
        <v>160</v>
      </c>
      <c r="I553" s="56">
        <f t="shared" si="90"/>
        <v>0</v>
      </c>
      <c r="J553" s="59">
        <v>100</v>
      </c>
      <c r="K553" s="59">
        <v>300</v>
      </c>
      <c r="L553" s="56">
        <f t="shared" si="84"/>
        <v>1150</v>
      </c>
      <c r="M553" s="66">
        <v>600</v>
      </c>
      <c r="N553" s="56">
        <f>100</f>
        <v>100</v>
      </c>
      <c r="O553" s="59">
        <v>240</v>
      </c>
      <c r="P553" s="59">
        <v>40</v>
      </c>
      <c r="Q553" s="59">
        <f t="shared" si="85"/>
        <v>315</v>
      </c>
      <c r="R553" s="59">
        <f t="shared" si="86"/>
        <v>100</v>
      </c>
      <c r="S553" s="56">
        <f t="shared" si="87"/>
        <v>695</v>
      </c>
      <c r="T553" s="56">
        <f>50</f>
        <v>50</v>
      </c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</row>
    <row r="554" spans="1:30" ht="15.75" x14ac:dyDescent="0.25">
      <c r="A554" s="13">
        <v>58165</v>
      </c>
      <c r="B554" s="67">
        <v>31</v>
      </c>
      <c r="C554" s="56">
        <f>122.58</f>
        <v>122.58</v>
      </c>
      <c r="D554" s="56">
        <f>297.941</f>
        <v>297.94099999999997</v>
      </c>
      <c r="E554" s="64">
        <f>89.177</f>
        <v>89.177000000000007</v>
      </c>
      <c r="F554" s="56">
        <f>240.302-40-60-100</f>
        <v>40.301999999999992</v>
      </c>
      <c r="G554" s="59">
        <v>40</v>
      </c>
      <c r="H554" s="56">
        <f>60+100</f>
        <v>160</v>
      </c>
      <c r="I554" s="56">
        <f t="shared" si="90"/>
        <v>0</v>
      </c>
      <c r="J554" s="59">
        <v>100</v>
      </c>
      <c r="K554" s="59">
        <v>300</v>
      </c>
      <c r="L554" s="56">
        <f t="shared" si="84"/>
        <v>1150</v>
      </c>
      <c r="M554" s="66">
        <v>600</v>
      </c>
      <c r="N554" s="56">
        <f>100</f>
        <v>100</v>
      </c>
      <c r="O554" s="59">
        <v>240</v>
      </c>
      <c r="P554" s="59">
        <v>40</v>
      </c>
      <c r="Q554" s="59">
        <f t="shared" si="85"/>
        <v>315</v>
      </c>
      <c r="R554" s="59">
        <f t="shared" si="86"/>
        <v>100</v>
      </c>
      <c r="S554" s="56">
        <f t="shared" si="87"/>
        <v>695</v>
      </c>
      <c r="T554" s="56">
        <f>50</f>
        <v>50</v>
      </c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</row>
    <row r="555" spans="1:30" ht="15.75" x14ac:dyDescent="0.25">
      <c r="A555" s="13">
        <v>58195</v>
      </c>
      <c r="B555" s="67">
        <v>30</v>
      </c>
      <c r="C555" s="56">
        <f>141.293</f>
        <v>141.29300000000001</v>
      </c>
      <c r="D555" s="56">
        <f>267.993</f>
        <v>267.99299999999999</v>
      </c>
      <c r="E555" s="64">
        <f>115.016</f>
        <v>115.01600000000001</v>
      </c>
      <c r="F555" s="56">
        <f>314.698-40-25-60-100</f>
        <v>89.697999999999979</v>
      </c>
      <c r="G555" s="59">
        <v>40</v>
      </c>
      <c r="H555" s="56">
        <f t="shared" ref="H555:H561" si="91">25+60+100</f>
        <v>185</v>
      </c>
      <c r="I555" s="56">
        <f t="shared" si="90"/>
        <v>0</v>
      </c>
      <c r="J555" s="59">
        <v>100</v>
      </c>
      <c r="K555" s="59">
        <v>300</v>
      </c>
      <c r="L555" s="56">
        <f t="shared" si="84"/>
        <v>1239</v>
      </c>
      <c r="M555" s="66">
        <v>600</v>
      </c>
      <c r="N555" s="56">
        <f>100</f>
        <v>100</v>
      </c>
      <c r="O555" s="59">
        <v>240</v>
      </c>
      <c r="P555" s="59">
        <v>160</v>
      </c>
      <c r="Q555" s="59">
        <f t="shared" si="85"/>
        <v>195</v>
      </c>
      <c r="R555" s="59">
        <f t="shared" si="86"/>
        <v>100</v>
      </c>
      <c r="S555" s="56">
        <f t="shared" si="87"/>
        <v>695</v>
      </c>
      <c r="T555" s="56">
        <f>50</f>
        <v>50</v>
      </c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</row>
    <row r="556" spans="1:30" ht="15.75" x14ac:dyDescent="0.25">
      <c r="A556" s="13">
        <v>58226</v>
      </c>
      <c r="B556" s="67">
        <v>31</v>
      </c>
      <c r="C556" s="56">
        <f>194.205</f>
        <v>194.20500000000001</v>
      </c>
      <c r="D556" s="56">
        <f>267.466</f>
        <v>267.46600000000001</v>
      </c>
      <c r="E556" s="64">
        <f>133.845</f>
        <v>133.845</v>
      </c>
      <c r="F556" s="56">
        <f>278.484-40-25-60-100</f>
        <v>53.48399999999998</v>
      </c>
      <c r="G556" s="59">
        <v>40</v>
      </c>
      <c r="H556" s="56">
        <f t="shared" si="91"/>
        <v>185</v>
      </c>
      <c r="I556" s="56">
        <f t="shared" si="90"/>
        <v>0</v>
      </c>
      <c r="J556" s="59">
        <v>100</v>
      </c>
      <c r="K556" s="59">
        <v>300</v>
      </c>
      <c r="L556" s="56">
        <f t="shared" si="84"/>
        <v>1274</v>
      </c>
      <c r="M556" s="66">
        <v>600</v>
      </c>
      <c r="N556" s="56">
        <f>75</f>
        <v>75</v>
      </c>
      <c r="O556" s="59">
        <v>240</v>
      </c>
      <c r="P556" s="59">
        <v>160</v>
      </c>
      <c r="Q556" s="59">
        <f t="shared" si="85"/>
        <v>195</v>
      </c>
      <c r="R556" s="59">
        <f t="shared" si="86"/>
        <v>100</v>
      </c>
      <c r="S556" s="56">
        <f t="shared" si="87"/>
        <v>695</v>
      </c>
      <c r="T556" s="56">
        <f>50</f>
        <v>50</v>
      </c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</row>
    <row r="557" spans="1:30" ht="15.75" x14ac:dyDescent="0.25">
      <c r="A557" s="13">
        <v>58256</v>
      </c>
      <c r="B557" s="67">
        <v>30</v>
      </c>
      <c r="C557" s="56">
        <f>194.205</f>
        <v>194.20500000000001</v>
      </c>
      <c r="D557" s="56">
        <f>267.466</f>
        <v>267.46600000000001</v>
      </c>
      <c r="E557" s="64">
        <f>133.845</f>
        <v>133.845</v>
      </c>
      <c r="F557" s="56">
        <f>278.484-40-25-60-100</f>
        <v>53.48399999999998</v>
      </c>
      <c r="G557" s="59">
        <v>40</v>
      </c>
      <c r="H557" s="56">
        <f t="shared" si="91"/>
        <v>185</v>
      </c>
      <c r="I557" s="56">
        <f t="shared" si="90"/>
        <v>0</v>
      </c>
      <c r="J557" s="59">
        <v>100</v>
      </c>
      <c r="K557" s="59">
        <v>300</v>
      </c>
      <c r="L557" s="56">
        <f t="shared" si="84"/>
        <v>1274</v>
      </c>
      <c r="M557" s="66">
        <v>600</v>
      </c>
      <c r="N557" s="56">
        <f>30</f>
        <v>30</v>
      </c>
      <c r="O557" s="59">
        <v>240</v>
      </c>
      <c r="P557" s="59">
        <v>160</v>
      </c>
      <c r="Q557" s="59">
        <f t="shared" si="85"/>
        <v>195</v>
      </c>
      <c r="R557" s="59">
        <f t="shared" si="86"/>
        <v>100</v>
      </c>
      <c r="S557" s="56">
        <f t="shared" si="87"/>
        <v>695</v>
      </c>
      <c r="T557" s="56">
        <f>50</f>
        <v>50</v>
      </c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</row>
    <row r="558" spans="1:30" ht="15.75" x14ac:dyDescent="0.25">
      <c r="A558" s="13">
        <v>58287</v>
      </c>
      <c r="B558" s="67">
        <v>31</v>
      </c>
      <c r="C558" s="56">
        <f>194.205</f>
        <v>194.20500000000001</v>
      </c>
      <c r="D558" s="56">
        <f>267.466</f>
        <v>267.46600000000001</v>
      </c>
      <c r="E558" s="64">
        <f>133.845</f>
        <v>133.845</v>
      </c>
      <c r="F558" s="56">
        <f>278.484-40-25-60-100</f>
        <v>53.48399999999998</v>
      </c>
      <c r="G558" s="59">
        <v>40</v>
      </c>
      <c r="H558" s="56">
        <f t="shared" si="91"/>
        <v>185</v>
      </c>
      <c r="I558" s="56">
        <f t="shared" si="90"/>
        <v>0</v>
      </c>
      <c r="J558" s="59">
        <v>100</v>
      </c>
      <c r="K558" s="59">
        <v>300</v>
      </c>
      <c r="L558" s="56">
        <f t="shared" si="84"/>
        <v>1274</v>
      </c>
      <c r="M558" s="66">
        <v>600</v>
      </c>
      <c r="N558" s="56">
        <f>30</f>
        <v>30</v>
      </c>
      <c r="O558" s="59">
        <v>240</v>
      </c>
      <c r="P558" s="59">
        <v>160</v>
      </c>
      <c r="Q558" s="59">
        <f t="shared" si="85"/>
        <v>195</v>
      </c>
      <c r="R558" s="59">
        <f t="shared" si="86"/>
        <v>100</v>
      </c>
      <c r="S558" s="56">
        <f t="shared" si="87"/>
        <v>695</v>
      </c>
      <c r="T558" s="56">
        <f>0</f>
        <v>0</v>
      </c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</row>
    <row r="559" spans="1:30" ht="15.75" x14ac:dyDescent="0.25">
      <c r="A559" s="13">
        <v>58318</v>
      </c>
      <c r="B559" s="67">
        <v>31</v>
      </c>
      <c r="C559" s="56">
        <f>194.205</f>
        <v>194.20500000000001</v>
      </c>
      <c r="D559" s="56">
        <f>267.466</f>
        <v>267.46600000000001</v>
      </c>
      <c r="E559" s="64">
        <f>133.845</f>
        <v>133.845</v>
      </c>
      <c r="F559" s="56">
        <f>278.484-40-25-60-100</f>
        <v>53.48399999999998</v>
      </c>
      <c r="G559" s="59">
        <v>40</v>
      </c>
      <c r="H559" s="56">
        <f t="shared" si="91"/>
        <v>185</v>
      </c>
      <c r="I559" s="56">
        <f t="shared" si="90"/>
        <v>0</v>
      </c>
      <c r="J559" s="59">
        <v>100</v>
      </c>
      <c r="K559" s="59">
        <v>300</v>
      </c>
      <c r="L559" s="56">
        <f t="shared" si="84"/>
        <v>1274</v>
      </c>
      <c r="M559" s="66">
        <v>600</v>
      </c>
      <c r="N559" s="56">
        <f>30</f>
        <v>30</v>
      </c>
      <c r="O559" s="59">
        <v>240</v>
      </c>
      <c r="P559" s="59">
        <v>160</v>
      </c>
      <c r="Q559" s="59">
        <f t="shared" si="85"/>
        <v>195</v>
      </c>
      <c r="R559" s="59">
        <f t="shared" si="86"/>
        <v>100</v>
      </c>
      <c r="S559" s="56">
        <f t="shared" si="87"/>
        <v>695</v>
      </c>
      <c r="T559" s="56">
        <f>0</f>
        <v>0</v>
      </c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</row>
    <row r="560" spans="1:30" ht="15.75" x14ac:dyDescent="0.25">
      <c r="A560" s="13">
        <v>58348</v>
      </c>
      <c r="B560" s="67">
        <v>30</v>
      </c>
      <c r="C560" s="56">
        <f>194.205</f>
        <v>194.20500000000001</v>
      </c>
      <c r="D560" s="56">
        <f>267.466</f>
        <v>267.46600000000001</v>
      </c>
      <c r="E560" s="64">
        <f>133.845</f>
        <v>133.845</v>
      </c>
      <c r="F560" s="56">
        <f>278.484-40-25-60-100</f>
        <v>53.48399999999998</v>
      </c>
      <c r="G560" s="59">
        <v>40</v>
      </c>
      <c r="H560" s="56">
        <f t="shared" si="91"/>
        <v>185</v>
      </c>
      <c r="I560" s="56">
        <f t="shared" si="90"/>
        <v>0</v>
      </c>
      <c r="J560" s="59">
        <v>100</v>
      </c>
      <c r="K560" s="59">
        <v>300</v>
      </c>
      <c r="L560" s="56">
        <f t="shared" si="84"/>
        <v>1274</v>
      </c>
      <c r="M560" s="66">
        <v>600</v>
      </c>
      <c r="N560" s="56">
        <f>30</f>
        <v>30</v>
      </c>
      <c r="O560" s="59">
        <v>240</v>
      </c>
      <c r="P560" s="59">
        <v>160</v>
      </c>
      <c r="Q560" s="59">
        <f t="shared" si="85"/>
        <v>195</v>
      </c>
      <c r="R560" s="59">
        <f t="shared" si="86"/>
        <v>100</v>
      </c>
      <c r="S560" s="56">
        <f t="shared" si="87"/>
        <v>695</v>
      </c>
      <c r="T560" s="56">
        <f>0</f>
        <v>0</v>
      </c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</row>
    <row r="561" spans="1:30" ht="15.75" x14ac:dyDescent="0.25">
      <c r="A561" s="13">
        <v>58379</v>
      </c>
      <c r="B561" s="67">
        <v>31</v>
      </c>
      <c r="C561" s="56">
        <f>131.881</f>
        <v>131.881</v>
      </c>
      <c r="D561" s="56">
        <f>277.167</f>
        <v>277.16699999999997</v>
      </c>
      <c r="E561" s="64">
        <f>79.08</f>
        <v>79.08</v>
      </c>
      <c r="F561" s="56">
        <f>350.872-40-25-60-100</f>
        <v>125.87200000000001</v>
      </c>
      <c r="G561" s="59">
        <v>40</v>
      </c>
      <c r="H561" s="56">
        <f t="shared" si="91"/>
        <v>185</v>
      </c>
      <c r="I561" s="56">
        <f t="shared" si="90"/>
        <v>0</v>
      </c>
      <c r="J561" s="59">
        <v>100</v>
      </c>
      <c r="K561" s="59">
        <v>300</v>
      </c>
      <c r="L561" s="56">
        <f t="shared" si="84"/>
        <v>1239</v>
      </c>
      <c r="M561" s="66">
        <v>600</v>
      </c>
      <c r="N561" s="56">
        <f>75</f>
        <v>75</v>
      </c>
      <c r="O561" s="59">
        <v>240</v>
      </c>
      <c r="P561" s="59">
        <v>160</v>
      </c>
      <c r="Q561" s="59">
        <f t="shared" si="85"/>
        <v>195</v>
      </c>
      <c r="R561" s="59">
        <f t="shared" si="86"/>
        <v>100</v>
      </c>
      <c r="S561" s="56">
        <f t="shared" si="87"/>
        <v>695</v>
      </c>
      <c r="T561" s="56">
        <f>0</f>
        <v>0</v>
      </c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</row>
    <row r="562" spans="1:30" ht="15.75" x14ac:dyDescent="0.25">
      <c r="A562" s="13">
        <v>58409</v>
      </c>
      <c r="B562" s="67">
        <v>30</v>
      </c>
      <c r="C562" s="56">
        <f>122.58</f>
        <v>122.58</v>
      </c>
      <c r="D562" s="56">
        <f>297.941</f>
        <v>297.94099999999997</v>
      </c>
      <c r="E562" s="64">
        <f>89.177</f>
        <v>89.177000000000007</v>
      </c>
      <c r="F562" s="56">
        <f>240.302-40-60-100</f>
        <v>40.301999999999992</v>
      </c>
      <c r="G562" s="59">
        <v>40</v>
      </c>
      <c r="H562" s="56">
        <f>60+100</f>
        <v>160</v>
      </c>
      <c r="I562" s="56">
        <f t="shared" si="90"/>
        <v>0</v>
      </c>
      <c r="J562" s="59">
        <v>100</v>
      </c>
      <c r="K562" s="59">
        <v>300</v>
      </c>
      <c r="L562" s="56">
        <f t="shared" si="84"/>
        <v>1150</v>
      </c>
      <c r="M562" s="66">
        <v>600</v>
      </c>
      <c r="N562" s="56">
        <f>100</f>
        <v>100</v>
      </c>
      <c r="O562" s="59">
        <v>240</v>
      </c>
      <c r="P562" s="59">
        <v>40</v>
      </c>
      <c r="Q562" s="59">
        <f t="shared" si="85"/>
        <v>315</v>
      </c>
      <c r="R562" s="59">
        <f t="shared" si="86"/>
        <v>100</v>
      </c>
      <c r="S562" s="56">
        <f t="shared" si="87"/>
        <v>695</v>
      </c>
      <c r="T562" s="56">
        <f>50</f>
        <v>50</v>
      </c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</row>
    <row r="563" spans="1:30" ht="15.75" x14ac:dyDescent="0.25">
      <c r="A563" s="13">
        <v>58440</v>
      </c>
      <c r="B563" s="67">
        <v>31</v>
      </c>
      <c r="C563" s="56">
        <f>122.58</f>
        <v>122.58</v>
      </c>
      <c r="D563" s="56">
        <f>297.941</f>
        <v>297.94099999999997</v>
      </c>
      <c r="E563" s="64">
        <f>89.177</f>
        <v>89.177000000000007</v>
      </c>
      <c r="F563" s="56">
        <f>240.302-40-60-100</f>
        <v>40.301999999999992</v>
      </c>
      <c r="G563" s="59">
        <v>40</v>
      </c>
      <c r="H563" s="56">
        <f>60+100</f>
        <v>160</v>
      </c>
      <c r="I563" s="56">
        <f t="shared" si="90"/>
        <v>0</v>
      </c>
      <c r="J563" s="59">
        <v>100</v>
      </c>
      <c r="K563" s="59">
        <v>300</v>
      </c>
      <c r="L563" s="56">
        <f t="shared" si="84"/>
        <v>1150</v>
      </c>
      <c r="M563" s="66">
        <v>600</v>
      </c>
      <c r="N563" s="56">
        <f>100</f>
        <v>100</v>
      </c>
      <c r="O563" s="59">
        <v>240</v>
      </c>
      <c r="P563" s="59">
        <v>40</v>
      </c>
      <c r="Q563" s="59">
        <f t="shared" si="85"/>
        <v>315</v>
      </c>
      <c r="R563" s="59">
        <f t="shared" si="86"/>
        <v>100</v>
      </c>
      <c r="S563" s="56">
        <f t="shared" si="87"/>
        <v>695</v>
      </c>
      <c r="T563" s="56">
        <f>50</f>
        <v>50</v>
      </c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</row>
    <row r="564" spans="1:30" ht="15.75" x14ac:dyDescent="0.25">
      <c r="A564" s="13">
        <v>58471</v>
      </c>
      <c r="B564" s="67">
        <v>31</v>
      </c>
      <c r="C564" s="56">
        <f>122.58</f>
        <v>122.58</v>
      </c>
      <c r="D564" s="56">
        <f>297.941</f>
        <v>297.94099999999997</v>
      </c>
      <c r="E564" s="64">
        <f>89.177</f>
        <v>89.177000000000007</v>
      </c>
      <c r="F564" s="56">
        <f>240.302-40-60-100</f>
        <v>40.301999999999992</v>
      </c>
      <c r="G564" s="59">
        <v>40</v>
      </c>
      <c r="H564" s="56">
        <f>60+100</f>
        <v>160</v>
      </c>
      <c r="I564" s="56">
        <f t="shared" si="90"/>
        <v>0</v>
      </c>
      <c r="J564" s="59">
        <v>100</v>
      </c>
      <c r="K564" s="59">
        <v>300</v>
      </c>
      <c r="L564" s="56">
        <f t="shared" si="84"/>
        <v>1150</v>
      </c>
      <c r="M564" s="66">
        <v>600</v>
      </c>
      <c r="N564" s="56">
        <f>100</f>
        <v>100</v>
      </c>
      <c r="O564" s="59">
        <v>240</v>
      </c>
      <c r="P564" s="59">
        <v>40</v>
      </c>
      <c r="Q564" s="59">
        <f t="shared" si="85"/>
        <v>315</v>
      </c>
      <c r="R564" s="59">
        <f t="shared" si="86"/>
        <v>100</v>
      </c>
      <c r="S564" s="56">
        <f t="shared" si="87"/>
        <v>695</v>
      </c>
      <c r="T564" s="56">
        <f>50</f>
        <v>50</v>
      </c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</row>
    <row r="565" spans="1:30" ht="15.75" x14ac:dyDescent="0.25">
      <c r="A565" s="13">
        <v>58499</v>
      </c>
      <c r="B565" s="67">
        <v>29</v>
      </c>
      <c r="C565" s="56">
        <f>122.58</f>
        <v>122.58</v>
      </c>
      <c r="D565" s="56">
        <f>297.941</f>
        <v>297.94099999999997</v>
      </c>
      <c r="E565" s="64">
        <f>89.177</f>
        <v>89.177000000000007</v>
      </c>
      <c r="F565" s="56">
        <f>240.302-40-60-100</f>
        <v>40.301999999999992</v>
      </c>
      <c r="G565" s="59">
        <v>40</v>
      </c>
      <c r="H565" s="56">
        <f>60+100</f>
        <v>160</v>
      </c>
      <c r="I565" s="56">
        <f t="shared" si="90"/>
        <v>0</v>
      </c>
      <c r="J565" s="59">
        <v>100</v>
      </c>
      <c r="K565" s="59">
        <v>300</v>
      </c>
      <c r="L565" s="56">
        <f t="shared" si="84"/>
        <v>1150</v>
      </c>
      <c r="M565" s="66">
        <v>600</v>
      </c>
      <c r="N565" s="56">
        <f>100</f>
        <v>100</v>
      </c>
      <c r="O565" s="59">
        <v>240</v>
      </c>
      <c r="P565" s="59">
        <v>40</v>
      </c>
      <c r="Q565" s="59">
        <f t="shared" si="85"/>
        <v>315</v>
      </c>
      <c r="R565" s="59">
        <f t="shared" si="86"/>
        <v>100</v>
      </c>
      <c r="S565" s="56">
        <f t="shared" si="87"/>
        <v>695</v>
      </c>
      <c r="T565" s="56">
        <f>50</f>
        <v>50</v>
      </c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</row>
    <row r="566" spans="1:30" ht="15.75" x14ac:dyDescent="0.25">
      <c r="A566" s="13">
        <v>58531</v>
      </c>
      <c r="B566" s="67">
        <v>31</v>
      </c>
      <c r="C566" s="56">
        <f>122.58</f>
        <v>122.58</v>
      </c>
      <c r="D566" s="56">
        <f>297.941</f>
        <v>297.94099999999997</v>
      </c>
      <c r="E566" s="64">
        <f>89.177</f>
        <v>89.177000000000007</v>
      </c>
      <c r="F566" s="56">
        <f>240.302-40-60-100</f>
        <v>40.301999999999992</v>
      </c>
      <c r="G566" s="59">
        <v>40</v>
      </c>
      <c r="H566" s="56">
        <f>60+100</f>
        <v>160</v>
      </c>
      <c r="I566" s="56">
        <f t="shared" si="90"/>
        <v>0</v>
      </c>
      <c r="J566" s="59">
        <v>100</v>
      </c>
      <c r="K566" s="59">
        <v>300</v>
      </c>
      <c r="L566" s="56">
        <f t="shared" si="84"/>
        <v>1150</v>
      </c>
      <c r="M566" s="66">
        <v>600</v>
      </c>
      <c r="N566" s="56">
        <f>100</f>
        <v>100</v>
      </c>
      <c r="O566" s="59">
        <v>240</v>
      </c>
      <c r="P566" s="59">
        <v>40</v>
      </c>
      <c r="Q566" s="59">
        <f t="shared" si="85"/>
        <v>315</v>
      </c>
      <c r="R566" s="59">
        <f t="shared" si="86"/>
        <v>100</v>
      </c>
      <c r="S566" s="56">
        <f t="shared" si="87"/>
        <v>695</v>
      </c>
      <c r="T566" s="56">
        <f>50</f>
        <v>50</v>
      </c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</row>
    <row r="567" spans="1:30" ht="15.75" x14ac:dyDescent="0.25">
      <c r="A567" s="13">
        <v>58561</v>
      </c>
      <c r="B567" s="67">
        <v>30</v>
      </c>
      <c r="C567" s="56">
        <f>141.293</f>
        <v>141.29300000000001</v>
      </c>
      <c r="D567" s="56">
        <f>267.993</f>
        <v>267.99299999999999</v>
      </c>
      <c r="E567" s="64">
        <f>115.016</f>
        <v>115.01600000000001</v>
      </c>
      <c r="F567" s="56">
        <f>314.698-40-25-60-100</f>
        <v>89.697999999999979</v>
      </c>
      <c r="G567" s="59">
        <v>40</v>
      </c>
      <c r="H567" s="56">
        <f t="shared" ref="H567:H573" si="92">25+60+100</f>
        <v>185</v>
      </c>
      <c r="I567" s="56">
        <f t="shared" si="90"/>
        <v>0</v>
      </c>
      <c r="J567" s="59">
        <v>100</v>
      </c>
      <c r="K567" s="59">
        <v>300</v>
      </c>
      <c r="L567" s="56">
        <f t="shared" si="84"/>
        <v>1239</v>
      </c>
      <c r="M567" s="66">
        <v>600</v>
      </c>
      <c r="N567" s="56">
        <f>100</f>
        <v>100</v>
      </c>
      <c r="O567" s="59">
        <v>240</v>
      </c>
      <c r="P567" s="59">
        <v>160</v>
      </c>
      <c r="Q567" s="59">
        <f t="shared" si="85"/>
        <v>195</v>
      </c>
      <c r="R567" s="59">
        <f t="shared" si="86"/>
        <v>100</v>
      </c>
      <c r="S567" s="56">
        <f t="shared" si="87"/>
        <v>695</v>
      </c>
      <c r="T567" s="56">
        <f>50</f>
        <v>50</v>
      </c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</row>
    <row r="568" spans="1:30" ht="15.75" x14ac:dyDescent="0.25">
      <c r="A568" s="13">
        <v>58592</v>
      </c>
      <c r="B568" s="67">
        <v>31</v>
      </c>
      <c r="C568" s="56">
        <f>194.205</f>
        <v>194.20500000000001</v>
      </c>
      <c r="D568" s="56">
        <f>267.466</f>
        <v>267.46600000000001</v>
      </c>
      <c r="E568" s="64">
        <f>133.845</f>
        <v>133.845</v>
      </c>
      <c r="F568" s="56">
        <f>278.484-40-25-60-100</f>
        <v>53.48399999999998</v>
      </c>
      <c r="G568" s="59">
        <v>40</v>
      </c>
      <c r="H568" s="56">
        <f t="shared" si="92"/>
        <v>185</v>
      </c>
      <c r="I568" s="56">
        <f t="shared" si="90"/>
        <v>0</v>
      </c>
      <c r="J568" s="59">
        <v>100</v>
      </c>
      <c r="K568" s="59">
        <v>300</v>
      </c>
      <c r="L568" s="56">
        <f t="shared" si="84"/>
        <v>1274</v>
      </c>
      <c r="M568" s="66">
        <v>600</v>
      </c>
      <c r="N568" s="56">
        <f>75</f>
        <v>75</v>
      </c>
      <c r="O568" s="59">
        <v>240</v>
      </c>
      <c r="P568" s="59">
        <v>160</v>
      </c>
      <c r="Q568" s="59">
        <f t="shared" si="85"/>
        <v>195</v>
      </c>
      <c r="R568" s="59">
        <f t="shared" si="86"/>
        <v>100</v>
      </c>
      <c r="S568" s="56">
        <f t="shared" si="87"/>
        <v>695</v>
      </c>
      <c r="T568" s="56">
        <f>50</f>
        <v>50</v>
      </c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</row>
    <row r="569" spans="1:30" ht="15.75" x14ac:dyDescent="0.25">
      <c r="A569" s="13">
        <v>58622</v>
      </c>
      <c r="B569" s="67">
        <v>30</v>
      </c>
      <c r="C569" s="56">
        <f>194.205</f>
        <v>194.20500000000001</v>
      </c>
      <c r="D569" s="56">
        <f>267.466</f>
        <v>267.46600000000001</v>
      </c>
      <c r="E569" s="64">
        <f>133.845</f>
        <v>133.845</v>
      </c>
      <c r="F569" s="56">
        <f>278.484-40-25-60-100</f>
        <v>53.48399999999998</v>
      </c>
      <c r="G569" s="59">
        <v>40</v>
      </c>
      <c r="H569" s="56">
        <f t="shared" si="92"/>
        <v>185</v>
      </c>
      <c r="I569" s="56">
        <f t="shared" si="90"/>
        <v>0</v>
      </c>
      <c r="J569" s="59">
        <v>100</v>
      </c>
      <c r="K569" s="59">
        <v>300</v>
      </c>
      <c r="L569" s="56">
        <f t="shared" si="84"/>
        <v>1274</v>
      </c>
      <c r="M569" s="66">
        <v>600</v>
      </c>
      <c r="N569" s="56">
        <f>30</f>
        <v>30</v>
      </c>
      <c r="O569" s="59">
        <v>240</v>
      </c>
      <c r="P569" s="59">
        <v>160</v>
      </c>
      <c r="Q569" s="59">
        <f t="shared" si="85"/>
        <v>195</v>
      </c>
      <c r="R569" s="59">
        <f t="shared" si="86"/>
        <v>100</v>
      </c>
      <c r="S569" s="56">
        <f t="shared" si="87"/>
        <v>695</v>
      </c>
      <c r="T569" s="56">
        <f>50</f>
        <v>50</v>
      </c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</row>
    <row r="570" spans="1:30" ht="15.75" x14ac:dyDescent="0.25">
      <c r="A570" s="13">
        <v>58653</v>
      </c>
      <c r="B570" s="67">
        <v>31</v>
      </c>
      <c r="C570" s="56">
        <f>194.205</f>
        <v>194.20500000000001</v>
      </c>
      <c r="D570" s="56">
        <f>267.466</f>
        <v>267.46600000000001</v>
      </c>
      <c r="E570" s="64">
        <f>133.845</f>
        <v>133.845</v>
      </c>
      <c r="F570" s="56">
        <f>278.484-40-25-60-100</f>
        <v>53.48399999999998</v>
      </c>
      <c r="G570" s="59">
        <v>40</v>
      </c>
      <c r="H570" s="56">
        <f t="shared" si="92"/>
        <v>185</v>
      </c>
      <c r="I570" s="56">
        <f t="shared" si="90"/>
        <v>0</v>
      </c>
      <c r="J570" s="59">
        <v>100</v>
      </c>
      <c r="K570" s="59">
        <v>300</v>
      </c>
      <c r="L570" s="56">
        <f t="shared" si="84"/>
        <v>1274</v>
      </c>
      <c r="M570" s="66">
        <v>600</v>
      </c>
      <c r="N570" s="56">
        <f>30</f>
        <v>30</v>
      </c>
      <c r="O570" s="59">
        <v>240</v>
      </c>
      <c r="P570" s="59">
        <v>160</v>
      </c>
      <c r="Q570" s="59">
        <f t="shared" si="85"/>
        <v>195</v>
      </c>
      <c r="R570" s="59">
        <f t="shared" si="86"/>
        <v>100</v>
      </c>
      <c r="S570" s="56">
        <f t="shared" si="87"/>
        <v>695</v>
      </c>
      <c r="T570" s="56">
        <f>0</f>
        <v>0</v>
      </c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</row>
    <row r="571" spans="1:30" ht="15.75" x14ac:dyDescent="0.25">
      <c r="A571" s="13">
        <v>58684</v>
      </c>
      <c r="B571" s="67">
        <v>31</v>
      </c>
      <c r="C571" s="56">
        <f>194.205</f>
        <v>194.20500000000001</v>
      </c>
      <c r="D571" s="56">
        <f>267.466</f>
        <v>267.46600000000001</v>
      </c>
      <c r="E571" s="64">
        <f>133.845</f>
        <v>133.845</v>
      </c>
      <c r="F571" s="56">
        <f>278.484-40-25-60-100</f>
        <v>53.48399999999998</v>
      </c>
      <c r="G571" s="59">
        <v>40</v>
      </c>
      <c r="H571" s="56">
        <f t="shared" si="92"/>
        <v>185</v>
      </c>
      <c r="I571" s="56">
        <f t="shared" si="90"/>
        <v>0</v>
      </c>
      <c r="J571" s="59">
        <v>100</v>
      </c>
      <c r="K571" s="59">
        <v>300</v>
      </c>
      <c r="L571" s="56">
        <f t="shared" si="84"/>
        <v>1274</v>
      </c>
      <c r="M571" s="66">
        <v>600</v>
      </c>
      <c r="N571" s="56">
        <f>30</f>
        <v>30</v>
      </c>
      <c r="O571" s="59">
        <v>240</v>
      </c>
      <c r="P571" s="59">
        <v>160</v>
      </c>
      <c r="Q571" s="59">
        <f t="shared" si="85"/>
        <v>195</v>
      </c>
      <c r="R571" s="59">
        <f t="shared" si="86"/>
        <v>100</v>
      </c>
      <c r="S571" s="56">
        <f t="shared" si="87"/>
        <v>695</v>
      </c>
      <c r="T571" s="56">
        <f>0</f>
        <v>0</v>
      </c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</row>
    <row r="572" spans="1:30" ht="15.75" x14ac:dyDescent="0.25">
      <c r="A572" s="13">
        <v>58714</v>
      </c>
      <c r="B572" s="67">
        <v>30</v>
      </c>
      <c r="C572" s="56">
        <f>194.205</f>
        <v>194.20500000000001</v>
      </c>
      <c r="D572" s="56">
        <f>267.466</f>
        <v>267.46600000000001</v>
      </c>
      <c r="E572" s="64">
        <f>133.845</f>
        <v>133.845</v>
      </c>
      <c r="F572" s="56">
        <f>278.484-40-25-60-100</f>
        <v>53.48399999999998</v>
      </c>
      <c r="G572" s="59">
        <v>40</v>
      </c>
      <c r="H572" s="56">
        <f t="shared" si="92"/>
        <v>185</v>
      </c>
      <c r="I572" s="56">
        <f t="shared" si="90"/>
        <v>0</v>
      </c>
      <c r="J572" s="59">
        <v>100</v>
      </c>
      <c r="K572" s="59">
        <v>300</v>
      </c>
      <c r="L572" s="56">
        <f t="shared" si="84"/>
        <v>1274</v>
      </c>
      <c r="M572" s="66">
        <v>600</v>
      </c>
      <c r="N572" s="56">
        <f>30</f>
        <v>30</v>
      </c>
      <c r="O572" s="59">
        <v>240</v>
      </c>
      <c r="P572" s="59">
        <v>160</v>
      </c>
      <c r="Q572" s="59">
        <f t="shared" si="85"/>
        <v>195</v>
      </c>
      <c r="R572" s="59">
        <f t="shared" si="86"/>
        <v>100</v>
      </c>
      <c r="S572" s="56">
        <f t="shared" si="87"/>
        <v>695</v>
      </c>
      <c r="T572" s="56">
        <f>0</f>
        <v>0</v>
      </c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</row>
    <row r="573" spans="1:30" ht="15.75" x14ac:dyDescent="0.25">
      <c r="A573" s="13">
        <v>58745</v>
      </c>
      <c r="B573" s="67">
        <v>31</v>
      </c>
      <c r="C573" s="56">
        <f>131.881</f>
        <v>131.881</v>
      </c>
      <c r="D573" s="56">
        <f>277.167</f>
        <v>277.16699999999997</v>
      </c>
      <c r="E573" s="64">
        <f>79.08</f>
        <v>79.08</v>
      </c>
      <c r="F573" s="56">
        <f>350.872-40-25-60-100</f>
        <v>125.87200000000001</v>
      </c>
      <c r="G573" s="59">
        <v>40</v>
      </c>
      <c r="H573" s="56">
        <f t="shared" si="92"/>
        <v>185</v>
      </c>
      <c r="I573" s="56">
        <f t="shared" si="90"/>
        <v>0</v>
      </c>
      <c r="J573" s="59">
        <v>100</v>
      </c>
      <c r="K573" s="59">
        <v>300</v>
      </c>
      <c r="L573" s="56">
        <f t="shared" si="84"/>
        <v>1239</v>
      </c>
      <c r="M573" s="66">
        <v>600</v>
      </c>
      <c r="N573" s="56">
        <f>75</f>
        <v>75</v>
      </c>
      <c r="O573" s="59">
        <v>240</v>
      </c>
      <c r="P573" s="59">
        <v>160</v>
      </c>
      <c r="Q573" s="59">
        <f t="shared" si="85"/>
        <v>195</v>
      </c>
      <c r="R573" s="59">
        <f t="shared" si="86"/>
        <v>100</v>
      </c>
      <c r="S573" s="56">
        <f t="shared" si="87"/>
        <v>695</v>
      </c>
      <c r="T573" s="56">
        <f>0</f>
        <v>0</v>
      </c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</row>
    <row r="574" spans="1:30" ht="15.75" x14ac:dyDescent="0.25">
      <c r="A574" s="13">
        <v>58775</v>
      </c>
      <c r="B574" s="67">
        <v>30</v>
      </c>
      <c r="C574" s="56">
        <f>122.58</f>
        <v>122.58</v>
      </c>
      <c r="D574" s="56">
        <f>297.941</f>
        <v>297.94099999999997</v>
      </c>
      <c r="E574" s="64">
        <f>89.177</f>
        <v>89.177000000000007</v>
      </c>
      <c r="F574" s="56">
        <f>240.302-40-60-100</f>
        <v>40.301999999999992</v>
      </c>
      <c r="G574" s="59">
        <v>40</v>
      </c>
      <c r="H574" s="56">
        <f>60+100</f>
        <v>160</v>
      </c>
      <c r="I574" s="56">
        <f t="shared" si="90"/>
        <v>0</v>
      </c>
      <c r="J574" s="59">
        <v>100</v>
      </c>
      <c r="K574" s="59">
        <v>300</v>
      </c>
      <c r="L574" s="56">
        <f t="shared" si="84"/>
        <v>1150</v>
      </c>
      <c r="M574" s="66">
        <v>600</v>
      </c>
      <c r="N574" s="56">
        <f>100</f>
        <v>100</v>
      </c>
      <c r="O574" s="59">
        <v>240</v>
      </c>
      <c r="P574" s="59">
        <v>40</v>
      </c>
      <c r="Q574" s="59">
        <f t="shared" si="85"/>
        <v>315</v>
      </c>
      <c r="R574" s="59">
        <f t="shared" si="86"/>
        <v>100</v>
      </c>
      <c r="S574" s="56">
        <f t="shared" si="87"/>
        <v>695</v>
      </c>
      <c r="T574" s="56">
        <f>50</f>
        <v>50</v>
      </c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</row>
    <row r="575" spans="1:30" ht="15.75" x14ac:dyDescent="0.25">
      <c r="A575" s="13">
        <v>58806</v>
      </c>
      <c r="B575" s="67">
        <v>31</v>
      </c>
      <c r="C575" s="56">
        <f>122.58</f>
        <v>122.58</v>
      </c>
      <c r="D575" s="56">
        <f>297.941</f>
        <v>297.94099999999997</v>
      </c>
      <c r="E575" s="64">
        <f>89.177</f>
        <v>89.177000000000007</v>
      </c>
      <c r="F575" s="56">
        <f>240.302-40-60-100</f>
        <v>40.301999999999992</v>
      </c>
      <c r="G575" s="59">
        <v>40</v>
      </c>
      <c r="H575" s="56">
        <f>60+100</f>
        <v>160</v>
      </c>
      <c r="I575" s="56">
        <f t="shared" si="90"/>
        <v>0</v>
      </c>
      <c r="J575" s="59">
        <v>100</v>
      </c>
      <c r="K575" s="59">
        <v>300</v>
      </c>
      <c r="L575" s="56">
        <f t="shared" si="84"/>
        <v>1150</v>
      </c>
      <c r="M575" s="66">
        <v>600</v>
      </c>
      <c r="N575" s="56">
        <f>100</f>
        <v>100</v>
      </c>
      <c r="O575" s="59">
        <v>240</v>
      </c>
      <c r="P575" s="59">
        <v>40</v>
      </c>
      <c r="Q575" s="59">
        <f t="shared" si="85"/>
        <v>315</v>
      </c>
      <c r="R575" s="59">
        <f t="shared" si="86"/>
        <v>100</v>
      </c>
      <c r="S575" s="56">
        <f t="shared" si="87"/>
        <v>695</v>
      </c>
      <c r="T575" s="56">
        <f>50</f>
        <v>50</v>
      </c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</row>
    <row r="576" spans="1:30" ht="15.75" x14ac:dyDescent="0.25">
      <c r="A576" s="13">
        <v>58837</v>
      </c>
      <c r="B576" s="67">
        <v>31</v>
      </c>
      <c r="C576" s="56">
        <f>122.58</f>
        <v>122.58</v>
      </c>
      <c r="D576" s="56">
        <f>297.941</f>
        <v>297.94099999999997</v>
      </c>
      <c r="E576" s="64">
        <f>89.177</f>
        <v>89.177000000000007</v>
      </c>
      <c r="F576" s="56">
        <f>240.302-40-60-100</f>
        <v>40.301999999999992</v>
      </c>
      <c r="G576" s="59">
        <v>40</v>
      </c>
      <c r="H576" s="56">
        <f>60+100</f>
        <v>160</v>
      </c>
      <c r="I576" s="56">
        <f t="shared" si="90"/>
        <v>0</v>
      </c>
      <c r="J576" s="59">
        <v>100</v>
      </c>
      <c r="K576" s="59">
        <v>300</v>
      </c>
      <c r="L576" s="56">
        <f t="shared" si="84"/>
        <v>1150</v>
      </c>
      <c r="M576" s="66">
        <v>600</v>
      </c>
      <c r="N576" s="56">
        <f>100</f>
        <v>100</v>
      </c>
      <c r="O576" s="59">
        <v>240</v>
      </c>
      <c r="P576" s="59">
        <v>40</v>
      </c>
      <c r="Q576" s="59">
        <f t="shared" si="85"/>
        <v>315</v>
      </c>
      <c r="R576" s="59">
        <f t="shared" si="86"/>
        <v>100</v>
      </c>
      <c r="S576" s="56">
        <f t="shared" si="87"/>
        <v>695</v>
      </c>
      <c r="T576" s="56">
        <f>50</f>
        <v>50</v>
      </c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</row>
    <row r="577" spans="1:30" ht="15.75" x14ac:dyDescent="0.25">
      <c r="A577" s="13">
        <v>58865</v>
      </c>
      <c r="B577" s="67">
        <v>28</v>
      </c>
      <c r="C577" s="56">
        <f>122.58</f>
        <v>122.58</v>
      </c>
      <c r="D577" s="56">
        <f>297.941</f>
        <v>297.94099999999997</v>
      </c>
      <c r="E577" s="64">
        <f>89.177</f>
        <v>89.177000000000007</v>
      </c>
      <c r="F577" s="56">
        <f>240.302-40-60-100</f>
        <v>40.301999999999992</v>
      </c>
      <c r="G577" s="59">
        <v>40</v>
      </c>
      <c r="H577" s="56">
        <f>60+100</f>
        <v>160</v>
      </c>
      <c r="I577" s="56">
        <f t="shared" si="90"/>
        <v>0</v>
      </c>
      <c r="J577" s="59">
        <v>100</v>
      </c>
      <c r="K577" s="59">
        <v>300</v>
      </c>
      <c r="L577" s="56">
        <f t="shared" si="84"/>
        <v>1150</v>
      </c>
      <c r="M577" s="66">
        <v>600</v>
      </c>
      <c r="N577" s="56">
        <f>100</f>
        <v>100</v>
      </c>
      <c r="O577" s="59">
        <v>240</v>
      </c>
      <c r="P577" s="59">
        <v>40</v>
      </c>
      <c r="Q577" s="59">
        <f t="shared" si="85"/>
        <v>315</v>
      </c>
      <c r="R577" s="59">
        <f t="shared" si="86"/>
        <v>100</v>
      </c>
      <c r="S577" s="56">
        <f t="shared" si="87"/>
        <v>695</v>
      </c>
      <c r="T577" s="56">
        <f>50</f>
        <v>50</v>
      </c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</row>
    <row r="578" spans="1:30" ht="15.75" x14ac:dyDescent="0.25">
      <c r="A578" s="13">
        <v>58893</v>
      </c>
      <c r="B578" s="67">
        <v>31</v>
      </c>
      <c r="C578" s="56">
        <f>122.58</f>
        <v>122.58</v>
      </c>
      <c r="D578" s="56">
        <f>297.941</f>
        <v>297.94099999999997</v>
      </c>
      <c r="E578" s="64">
        <f>89.177</f>
        <v>89.177000000000007</v>
      </c>
      <c r="F578" s="56">
        <f>240.302-40-60-100</f>
        <v>40.301999999999992</v>
      </c>
      <c r="G578" s="59">
        <v>40</v>
      </c>
      <c r="H578" s="56">
        <f>60+100</f>
        <v>160</v>
      </c>
      <c r="I578" s="56">
        <f t="shared" si="90"/>
        <v>0</v>
      </c>
      <c r="J578" s="59">
        <v>100</v>
      </c>
      <c r="K578" s="59">
        <v>300</v>
      </c>
      <c r="L578" s="56">
        <f t="shared" si="84"/>
        <v>1150</v>
      </c>
      <c r="M578" s="66">
        <v>600</v>
      </c>
      <c r="N578" s="56">
        <f>100</f>
        <v>100</v>
      </c>
      <c r="O578" s="59">
        <v>240</v>
      </c>
      <c r="P578" s="59">
        <v>40</v>
      </c>
      <c r="Q578" s="59">
        <f t="shared" si="85"/>
        <v>315</v>
      </c>
      <c r="R578" s="59">
        <f t="shared" si="86"/>
        <v>100</v>
      </c>
      <c r="S578" s="56">
        <f t="shared" si="87"/>
        <v>695</v>
      </c>
      <c r="T578" s="56">
        <f>50</f>
        <v>50</v>
      </c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</row>
    <row r="579" spans="1:30" ht="15.75" x14ac:dyDescent="0.25">
      <c r="A579" s="13">
        <v>58926</v>
      </c>
      <c r="B579" s="67">
        <v>30</v>
      </c>
      <c r="C579" s="56">
        <f>141.293</f>
        <v>141.29300000000001</v>
      </c>
      <c r="D579" s="56">
        <f>267.993</f>
        <v>267.99299999999999</v>
      </c>
      <c r="E579" s="64">
        <f>115.016</f>
        <v>115.01600000000001</v>
      </c>
      <c r="F579" s="56">
        <f>314.698-40-25-60-100</f>
        <v>89.697999999999979</v>
      </c>
      <c r="G579" s="59">
        <v>40</v>
      </c>
      <c r="H579" s="56">
        <f t="shared" ref="H579:H585" si="93">25+60+100</f>
        <v>185</v>
      </c>
      <c r="I579" s="56">
        <f t="shared" si="90"/>
        <v>0</v>
      </c>
      <c r="J579" s="59">
        <v>100</v>
      </c>
      <c r="K579" s="59">
        <v>300</v>
      </c>
      <c r="L579" s="56">
        <f t="shared" si="84"/>
        <v>1239</v>
      </c>
      <c r="M579" s="66">
        <v>600</v>
      </c>
      <c r="N579" s="56">
        <f>100</f>
        <v>100</v>
      </c>
      <c r="O579" s="59">
        <v>240</v>
      </c>
      <c r="P579" s="59">
        <v>160</v>
      </c>
      <c r="Q579" s="59">
        <f t="shared" si="85"/>
        <v>195</v>
      </c>
      <c r="R579" s="59">
        <f t="shared" si="86"/>
        <v>100</v>
      </c>
      <c r="S579" s="56">
        <f t="shared" si="87"/>
        <v>695</v>
      </c>
      <c r="T579" s="56">
        <f>50</f>
        <v>50</v>
      </c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</row>
    <row r="580" spans="1:30" ht="15.75" x14ac:dyDescent="0.25">
      <c r="A580" s="13">
        <v>58957</v>
      </c>
      <c r="B580" s="67">
        <v>31</v>
      </c>
      <c r="C580" s="56">
        <f>194.205</f>
        <v>194.20500000000001</v>
      </c>
      <c r="D580" s="56">
        <f>267.466</f>
        <v>267.46600000000001</v>
      </c>
      <c r="E580" s="64">
        <f>133.845</f>
        <v>133.845</v>
      </c>
      <c r="F580" s="56">
        <f>278.484-40-25-60-100</f>
        <v>53.48399999999998</v>
      </c>
      <c r="G580" s="59">
        <v>40</v>
      </c>
      <c r="H580" s="56">
        <f t="shared" si="93"/>
        <v>185</v>
      </c>
      <c r="I580" s="56">
        <f t="shared" si="90"/>
        <v>0</v>
      </c>
      <c r="J580" s="59">
        <v>100</v>
      </c>
      <c r="K580" s="59">
        <v>300</v>
      </c>
      <c r="L580" s="56">
        <f t="shared" si="84"/>
        <v>1274</v>
      </c>
      <c r="M580" s="66">
        <v>600</v>
      </c>
      <c r="N580" s="56">
        <f>75</f>
        <v>75</v>
      </c>
      <c r="O580" s="59">
        <v>240</v>
      </c>
      <c r="P580" s="59">
        <v>160</v>
      </c>
      <c r="Q580" s="59">
        <f t="shared" si="85"/>
        <v>195</v>
      </c>
      <c r="R580" s="59">
        <f t="shared" si="86"/>
        <v>100</v>
      </c>
      <c r="S580" s="56">
        <f t="shared" si="87"/>
        <v>695</v>
      </c>
      <c r="T580" s="56">
        <f>50</f>
        <v>50</v>
      </c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</row>
    <row r="581" spans="1:30" ht="15.75" x14ac:dyDescent="0.25">
      <c r="A581" s="13">
        <v>58987</v>
      </c>
      <c r="B581" s="67">
        <v>30</v>
      </c>
      <c r="C581" s="56">
        <f>194.205</f>
        <v>194.20500000000001</v>
      </c>
      <c r="D581" s="56">
        <f>267.466</f>
        <v>267.46600000000001</v>
      </c>
      <c r="E581" s="64">
        <f>133.845</f>
        <v>133.845</v>
      </c>
      <c r="F581" s="56">
        <f>278.484-40-25-60-100</f>
        <v>53.48399999999998</v>
      </c>
      <c r="G581" s="59">
        <v>40</v>
      </c>
      <c r="H581" s="56">
        <f t="shared" si="93"/>
        <v>185</v>
      </c>
      <c r="I581" s="56">
        <f t="shared" si="90"/>
        <v>0</v>
      </c>
      <c r="J581" s="59">
        <v>100</v>
      </c>
      <c r="K581" s="59">
        <v>300</v>
      </c>
      <c r="L581" s="56">
        <f t="shared" si="84"/>
        <v>1274</v>
      </c>
      <c r="M581" s="66">
        <v>600</v>
      </c>
      <c r="N581" s="56">
        <f>30</f>
        <v>30</v>
      </c>
      <c r="O581" s="59">
        <v>240</v>
      </c>
      <c r="P581" s="59">
        <v>160</v>
      </c>
      <c r="Q581" s="59">
        <f t="shared" si="85"/>
        <v>195</v>
      </c>
      <c r="R581" s="59">
        <f t="shared" si="86"/>
        <v>100</v>
      </c>
      <c r="S581" s="56">
        <f t="shared" si="87"/>
        <v>695</v>
      </c>
      <c r="T581" s="56">
        <f>50</f>
        <v>50</v>
      </c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</row>
    <row r="582" spans="1:30" ht="15.75" x14ac:dyDescent="0.25">
      <c r="A582" s="13">
        <v>59018</v>
      </c>
      <c r="B582" s="67">
        <v>31</v>
      </c>
      <c r="C582" s="56">
        <f>194.205</f>
        <v>194.20500000000001</v>
      </c>
      <c r="D582" s="56">
        <f>267.466</f>
        <v>267.46600000000001</v>
      </c>
      <c r="E582" s="64">
        <f>133.845</f>
        <v>133.845</v>
      </c>
      <c r="F582" s="56">
        <f>278.484-40-25-60-100</f>
        <v>53.48399999999998</v>
      </c>
      <c r="G582" s="59">
        <v>40</v>
      </c>
      <c r="H582" s="56">
        <f t="shared" si="93"/>
        <v>185</v>
      </c>
      <c r="I582" s="56">
        <f t="shared" si="90"/>
        <v>0</v>
      </c>
      <c r="J582" s="59">
        <v>100</v>
      </c>
      <c r="K582" s="59">
        <v>300</v>
      </c>
      <c r="L582" s="56">
        <f t="shared" si="84"/>
        <v>1274</v>
      </c>
      <c r="M582" s="66">
        <v>600</v>
      </c>
      <c r="N582" s="56">
        <f>30</f>
        <v>30</v>
      </c>
      <c r="O582" s="59">
        <v>240</v>
      </c>
      <c r="P582" s="59">
        <v>160</v>
      </c>
      <c r="Q582" s="59">
        <f t="shared" si="85"/>
        <v>195</v>
      </c>
      <c r="R582" s="59">
        <f t="shared" si="86"/>
        <v>100</v>
      </c>
      <c r="S582" s="56">
        <f t="shared" si="87"/>
        <v>695</v>
      </c>
      <c r="T582" s="56">
        <f>0</f>
        <v>0</v>
      </c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</row>
    <row r="583" spans="1:30" ht="15.75" x14ac:dyDescent="0.25">
      <c r="A583" s="13">
        <v>59049</v>
      </c>
      <c r="B583" s="67">
        <v>31</v>
      </c>
      <c r="C583" s="56">
        <f>194.205</f>
        <v>194.20500000000001</v>
      </c>
      <c r="D583" s="56">
        <f>267.466</f>
        <v>267.46600000000001</v>
      </c>
      <c r="E583" s="64">
        <f>133.845</f>
        <v>133.845</v>
      </c>
      <c r="F583" s="56">
        <f>278.484-40-25-60-100</f>
        <v>53.48399999999998</v>
      </c>
      <c r="G583" s="59">
        <v>40</v>
      </c>
      <c r="H583" s="56">
        <f t="shared" si="93"/>
        <v>185</v>
      </c>
      <c r="I583" s="56">
        <f t="shared" si="90"/>
        <v>0</v>
      </c>
      <c r="J583" s="59">
        <v>100</v>
      </c>
      <c r="K583" s="59">
        <v>300</v>
      </c>
      <c r="L583" s="56">
        <f t="shared" si="84"/>
        <v>1274</v>
      </c>
      <c r="M583" s="66">
        <v>600</v>
      </c>
      <c r="N583" s="56">
        <f>30</f>
        <v>30</v>
      </c>
      <c r="O583" s="59">
        <v>240</v>
      </c>
      <c r="P583" s="59">
        <v>160</v>
      </c>
      <c r="Q583" s="59">
        <f t="shared" si="85"/>
        <v>195</v>
      </c>
      <c r="R583" s="59">
        <f t="shared" si="86"/>
        <v>100</v>
      </c>
      <c r="S583" s="56">
        <f t="shared" si="87"/>
        <v>695</v>
      </c>
      <c r="T583" s="56">
        <f>0</f>
        <v>0</v>
      </c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</row>
    <row r="584" spans="1:30" ht="15.75" x14ac:dyDescent="0.25">
      <c r="A584" s="13">
        <v>59079</v>
      </c>
      <c r="B584" s="67">
        <v>30</v>
      </c>
      <c r="C584" s="56">
        <f>194.205</f>
        <v>194.20500000000001</v>
      </c>
      <c r="D584" s="56">
        <f>267.466</f>
        <v>267.46600000000001</v>
      </c>
      <c r="E584" s="64">
        <f>133.845</f>
        <v>133.845</v>
      </c>
      <c r="F584" s="56">
        <f>278.484-40-25-60-100</f>
        <v>53.48399999999998</v>
      </c>
      <c r="G584" s="59">
        <v>40</v>
      </c>
      <c r="H584" s="56">
        <f t="shared" si="93"/>
        <v>185</v>
      </c>
      <c r="I584" s="56">
        <f t="shared" si="90"/>
        <v>0</v>
      </c>
      <c r="J584" s="59">
        <v>100</v>
      </c>
      <c r="K584" s="59">
        <v>300</v>
      </c>
      <c r="L584" s="56">
        <f t="shared" si="84"/>
        <v>1274</v>
      </c>
      <c r="M584" s="66">
        <v>600</v>
      </c>
      <c r="N584" s="56">
        <f>30</f>
        <v>30</v>
      </c>
      <c r="O584" s="59">
        <v>240</v>
      </c>
      <c r="P584" s="59">
        <v>160</v>
      </c>
      <c r="Q584" s="59">
        <f t="shared" si="85"/>
        <v>195</v>
      </c>
      <c r="R584" s="59">
        <f t="shared" si="86"/>
        <v>100</v>
      </c>
      <c r="S584" s="56">
        <f t="shared" si="87"/>
        <v>695</v>
      </c>
      <c r="T584" s="56">
        <f>0</f>
        <v>0</v>
      </c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</row>
    <row r="585" spans="1:30" ht="15.75" x14ac:dyDescent="0.25">
      <c r="A585" s="13">
        <v>59110</v>
      </c>
      <c r="B585" s="67">
        <v>31</v>
      </c>
      <c r="C585" s="56">
        <f>131.881</f>
        <v>131.881</v>
      </c>
      <c r="D585" s="56">
        <f>277.167</f>
        <v>277.16699999999997</v>
      </c>
      <c r="E585" s="64">
        <f>79.08</f>
        <v>79.08</v>
      </c>
      <c r="F585" s="56">
        <f>350.872-40-25-60-100</f>
        <v>125.87200000000001</v>
      </c>
      <c r="G585" s="59">
        <v>40</v>
      </c>
      <c r="H585" s="56">
        <f t="shared" si="93"/>
        <v>185</v>
      </c>
      <c r="I585" s="56">
        <f t="shared" si="90"/>
        <v>0</v>
      </c>
      <c r="J585" s="59">
        <v>100</v>
      </c>
      <c r="K585" s="59">
        <v>300</v>
      </c>
      <c r="L585" s="56">
        <f t="shared" si="84"/>
        <v>1239</v>
      </c>
      <c r="M585" s="66">
        <v>600</v>
      </c>
      <c r="N585" s="56">
        <f>75</f>
        <v>75</v>
      </c>
      <c r="O585" s="59">
        <v>240</v>
      </c>
      <c r="P585" s="59">
        <v>160</v>
      </c>
      <c r="Q585" s="59">
        <f t="shared" si="85"/>
        <v>195</v>
      </c>
      <c r="R585" s="59">
        <f t="shared" si="86"/>
        <v>100</v>
      </c>
      <c r="S585" s="56">
        <f t="shared" si="87"/>
        <v>695</v>
      </c>
      <c r="T585" s="56">
        <f>0</f>
        <v>0</v>
      </c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</row>
    <row r="586" spans="1:30" ht="15.75" x14ac:dyDescent="0.25">
      <c r="A586" s="13">
        <v>59140</v>
      </c>
      <c r="B586" s="67">
        <v>30</v>
      </c>
      <c r="C586" s="56">
        <f>122.58</f>
        <v>122.58</v>
      </c>
      <c r="D586" s="56">
        <f>297.941</f>
        <v>297.94099999999997</v>
      </c>
      <c r="E586" s="64">
        <f>89.177</f>
        <v>89.177000000000007</v>
      </c>
      <c r="F586" s="56">
        <f>240.302-40-60-100</f>
        <v>40.301999999999992</v>
      </c>
      <c r="G586" s="59">
        <v>40</v>
      </c>
      <c r="H586" s="56">
        <f>60+100</f>
        <v>160</v>
      </c>
      <c r="I586" s="56">
        <f t="shared" si="90"/>
        <v>0</v>
      </c>
      <c r="J586" s="59">
        <v>100</v>
      </c>
      <c r="K586" s="59">
        <v>300</v>
      </c>
      <c r="L586" s="56">
        <f t="shared" si="84"/>
        <v>1150</v>
      </c>
      <c r="M586" s="66">
        <v>600</v>
      </c>
      <c r="N586" s="56">
        <f>100</f>
        <v>100</v>
      </c>
      <c r="O586" s="59">
        <v>240</v>
      </c>
      <c r="P586" s="59">
        <v>40</v>
      </c>
      <c r="Q586" s="59">
        <f t="shared" si="85"/>
        <v>315</v>
      </c>
      <c r="R586" s="59">
        <f t="shared" si="86"/>
        <v>100</v>
      </c>
      <c r="S586" s="56">
        <f t="shared" si="87"/>
        <v>695</v>
      </c>
      <c r="T586" s="56">
        <f>50</f>
        <v>50</v>
      </c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</row>
    <row r="587" spans="1:30" ht="15.75" x14ac:dyDescent="0.25">
      <c r="A587" s="13">
        <v>59171</v>
      </c>
      <c r="B587" s="67">
        <v>31</v>
      </c>
      <c r="C587" s="56">
        <f>122.58</f>
        <v>122.58</v>
      </c>
      <c r="D587" s="56">
        <f>297.941</f>
        <v>297.94099999999997</v>
      </c>
      <c r="E587" s="64">
        <f>89.177</f>
        <v>89.177000000000007</v>
      </c>
      <c r="F587" s="56">
        <f>240.302-40-60-100</f>
        <v>40.301999999999992</v>
      </c>
      <c r="G587" s="59">
        <v>40</v>
      </c>
      <c r="H587" s="56">
        <f>60+100</f>
        <v>160</v>
      </c>
      <c r="I587" s="56">
        <f t="shared" si="90"/>
        <v>0</v>
      </c>
      <c r="J587" s="59">
        <v>100</v>
      </c>
      <c r="K587" s="59">
        <v>300</v>
      </c>
      <c r="L587" s="56">
        <f t="shared" si="84"/>
        <v>1150</v>
      </c>
      <c r="M587" s="66">
        <v>600</v>
      </c>
      <c r="N587" s="56">
        <f>100</f>
        <v>100</v>
      </c>
      <c r="O587" s="59">
        <v>240</v>
      </c>
      <c r="P587" s="59">
        <v>40</v>
      </c>
      <c r="Q587" s="59">
        <f t="shared" si="85"/>
        <v>315</v>
      </c>
      <c r="R587" s="59">
        <f t="shared" si="86"/>
        <v>100</v>
      </c>
      <c r="S587" s="56">
        <f t="shared" si="87"/>
        <v>695</v>
      </c>
      <c r="T587" s="56">
        <f>50</f>
        <v>50</v>
      </c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</row>
    <row r="588" spans="1:30" ht="15.75" x14ac:dyDescent="0.25">
      <c r="A588" s="13">
        <v>59202</v>
      </c>
      <c r="B588" s="67">
        <f t="shared" ref="B588:B651" si="94">EOMONTH(A588,0)-EOMONTH(A588,-1)</f>
        <v>31</v>
      </c>
      <c r="C588" s="56">
        <f>122.58</f>
        <v>122.58</v>
      </c>
      <c r="D588" s="56">
        <f>297.941</f>
        <v>297.94099999999997</v>
      </c>
      <c r="E588" s="64">
        <f>89.177</f>
        <v>89.177000000000007</v>
      </c>
      <c r="F588" s="56">
        <f>240.302-40-60-100</f>
        <v>40.301999999999992</v>
      </c>
      <c r="G588" s="59">
        <v>40</v>
      </c>
      <c r="H588" s="56">
        <f>60+100</f>
        <v>160</v>
      </c>
      <c r="I588" s="56">
        <f t="shared" si="90"/>
        <v>0</v>
      </c>
      <c r="J588" s="59">
        <v>100</v>
      </c>
      <c r="K588" s="59">
        <v>300</v>
      </c>
      <c r="L588" s="56">
        <f t="shared" si="84"/>
        <v>1150</v>
      </c>
      <c r="M588" s="66">
        <v>600</v>
      </c>
      <c r="N588" s="56">
        <f>100</f>
        <v>100</v>
      </c>
      <c r="O588" s="59">
        <v>240</v>
      </c>
      <c r="P588" s="59">
        <v>40</v>
      </c>
      <c r="Q588" s="59">
        <f t="shared" si="85"/>
        <v>315</v>
      </c>
      <c r="R588" s="59">
        <f t="shared" si="86"/>
        <v>100</v>
      </c>
      <c r="S588" s="56">
        <f t="shared" si="87"/>
        <v>695</v>
      </c>
      <c r="T588" s="56">
        <f>50</f>
        <v>50</v>
      </c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</row>
    <row r="589" spans="1:30" ht="15.75" x14ac:dyDescent="0.25">
      <c r="A589" s="13">
        <v>59230</v>
      </c>
      <c r="B589" s="67">
        <f t="shared" si="94"/>
        <v>28</v>
      </c>
      <c r="C589" s="56">
        <f>122.58</f>
        <v>122.58</v>
      </c>
      <c r="D589" s="56">
        <f>297.941</f>
        <v>297.94099999999997</v>
      </c>
      <c r="E589" s="64">
        <f>89.177</f>
        <v>89.177000000000007</v>
      </c>
      <c r="F589" s="56">
        <f>240.302-40-60-100</f>
        <v>40.301999999999992</v>
      </c>
      <c r="G589" s="59">
        <v>40</v>
      </c>
      <c r="H589" s="56">
        <f>60+100</f>
        <v>160</v>
      </c>
      <c r="I589" s="56">
        <f t="shared" si="90"/>
        <v>0</v>
      </c>
      <c r="J589" s="59">
        <v>100</v>
      </c>
      <c r="K589" s="59">
        <v>300</v>
      </c>
      <c r="L589" s="56">
        <f t="shared" si="84"/>
        <v>1150</v>
      </c>
      <c r="M589" s="66">
        <v>600</v>
      </c>
      <c r="N589" s="56">
        <f>100</f>
        <v>100</v>
      </c>
      <c r="O589" s="59">
        <v>240</v>
      </c>
      <c r="P589" s="59">
        <v>40</v>
      </c>
      <c r="Q589" s="59">
        <f t="shared" si="85"/>
        <v>315</v>
      </c>
      <c r="R589" s="59">
        <f t="shared" si="86"/>
        <v>100</v>
      </c>
      <c r="S589" s="56">
        <f t="shared" si="87"/>
        <v>695</v>
      </c>
      <c r="T589" s="56">
        <f>50</f>
        <v>50</v>
      </c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</row>
    <row r="590" spans="1:30" ht="15.75" x14ac:dyDescent="0.25">
      <c r="A590" s="13">
        <v>59261</v>
      </c>
      <c r="B590" s="67">
        <f t="shared" si="94"/>
        <v>31</v>
      </c>
      <c r="C590" s="56">
        <f>122.58</f>
        <v>122.58</v>
      </c>
      <c r="D590" s="56">
        <f>297.941</f>
        <v>297.94099999999997</v>
      </c>
      <c r="E590" s="64">
        <f>89.177</f>
        <v>89.177000000000007</v>
      </c>
      <c r="F590" s="56">
        <f>240.302-40-60-100</f>
        <v>40.301999999999992</v>
      </c>
      <c r="G590" s="59">
        <v>40</v>
      </c>
      <c r="H590" s="56">
        <f>60+100</f>
        <v>160</v>
      </c>
      <c r="I590" s="56">
        <f t="shared" si="90"/>
        <v>0</v>
      </c>
      <c r="J590" s="59">
        <v>100</v>
      </c>
      <c r="K590" s="59">
        <v>300</v>
      </c>
      <c r="L590" s="56">
        <f t="shared" si="84"/>
        <v>1150</v>
      </c>
      <c r="M590" s="66">
        <v>600</v>
      </c>
      <c r="N590" s="56">
        <f>100</f>
        <v>100</v>
      </c>
      <c r="O590" s="59">
        <v>240</v>
      </c>
      <c r="P590" s="59">
        <v>40</v>
      </c>
      <c r="Q590" s="59">
        <f t="shared" si="85"/>
        <v>315</v>
      </c>
      <c r="R590" s="59">
        <f t="shared" si="86"/>
        <v>100</v>
      </c>
      <c r="S590" s="56">
        <f t="shared" si="87"/>
        <v>695</v>
      </c>
      <c r="T590" s="56">
        <f>50</f>
        <v>50</v>
      </c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</row>
    <row r="591" spans="1:30" ht="15.75" x14ac:dyDescent="0.25">
      <c r="A591" s="13">
        <v>59291</v>
      </c>
      <c r="B591" s="67">
        <f t="shared" si="94"/>
        <v>30</v>
      </c>
      <c r="C591" s="56">
        <f>141.293</f>
        <v>141.29300000000001</v>
      </c>
      <c r="D591" s="56">
        <f>267.993</f>
        <v>267.99299999999999</v>
      </c>
      <c r="E591" s="64">
        <f>115.016</f>
        <v>115.01600000000001</v>
      </c>
      <c r="F591" s="56">
        <f>314.698-40-25-60-100</f>
        <v>89.697999999999979</v>
      </c>
      <c r="G591" s="59">
        <v>40</v>
      </c>
      <c r="H591" s="56">
        <f t="shared" ref="H591:H597" si="95">25+60+100</f>
        <v>185</v>
      </c>
      <c r="I591" s="56">
        <f t="shared" si="90"/>
        <v>0</v>
      </c>
      <c r="J591" s="59">
        <v>100</v>
      </c>
      <c r="K591" s="59">
        <v>300</v>
      </c>
      <c r="L591" s="56">
        <f t="shared" si="84"/>
        <v>1239</v>
      </c>
      <c r="M591" s="66">
        <v>600</v>
      </c>
      <c r="N591" s="56">
        <f>100</f>
        <v>100</v>
      </c>
      <c r="O591" s="59">
        <v>240</v>
      </c>
      <c r="P591" s="59">
        <v>40</v>
      </c>
      <c r="Q591" s="59">
        <f t="shared" si="85"/>
        <v>315</v>
      </c>
      <c r="R591" s="59">
        <f t="shared" si="86"/>
        <v>100</v>
      </c>
      <c r="S591" s="56">
        <f t="shared" si="87"/>
        <v>695</v>
      </c>
      <c r="T591" s="56">
        <f>50</f>
        <v>50</v>
      </c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</row>
    <row r="592" spans="1:30" ht="15.75" x14ac:dyDescent="0.25">
      <c r="A592" s="13">
        <v>59322</v>
      </c>
      <c r="B592" s="67">
        <f t="shared" si="94"/>
        <v>31</v>
      </c>
      <c r="C592" s="56">
        <f>194.205</f>
        <v>194.20500000000001</v>
      </c>
      <c r="D592" s="56">
        <f>267.466</f>
        <v>267.46600000000001</v>
      </c>
      <c r="E592" s="64">
        <f>133.845</f>
        <v>133.845</v>
      </c>
      <c r="F592" s="56">
        <f>278.484-40-25-60-100</f>
        <v>53.48399999999998</v>
      </c>
      <c r="G592" s="59">
        <v>40</v>
      </c>
      <c r="H592" s="56">
        <f t="shared" si="95"/>
        <v>185</v>
      </c>
      <c r="I592" s="56">
        <f t="shared" si="90"/>
        <v>0</v>
      </c>
      <c r="J592" s="59">
        <v>100</v>
      </c>
      <c r="K592" s="59">
        <v>300</v>
      </c>
      <c r="L592" s="56">
        <f t="shared" ref="L592:L655" si="96">SUM(C592:K592)</f>
        <v>1274</v>
      </c>
      <c r="M592" s="66">
        <v>600</v>
      </c>
      <c r="N592" s="56">
        <f>75</f>
        <v>75</v>
      </c>
      <c r="O592" s="59">
        <v>240</v>
      </c>
      <c r="P592" s="59">
        <v>40</v>
      </c>
      <c r="Q592" s="59">
        <f t="shared" ref="Q592:Q655" si="97">695-R592-O592-P592</f>
        <v>315</v>
      </c>
      <c r="R592" s="59">
        <f t="shared" ref="R592:R655" si="98">200-J592</f>
        <v>100</v>
      </c>
      <c r="S592" s="56">
        <f t="shared" ref="S592:S655" si="99">SUM(O592:R592)</f>
        <v>695</v>
      </c>
      <c r="T592" s="56">
        <f>50</f>
        <v>50</v>
      </c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</row>
    <row r="593" spans="1:30" ht="15.75" x14ac:dyDescent="0.25">
      <c r="A593" s="13">
        <v>59352</v>
      </c>
      <c r="B593" s="67">
        <f t="shared" si="94"/>
        <v>30</v>
      </c>
      <c r="C593" s="56">
        <f>194.205</f>
        <v>194.20500000000001</v>
      </c>
      <c r="D593" s="56">
        <f>267.466</f>
        <v>267.46600000000001</v>
      </c>
      <c r="E593" s="64">
        <f>133.845</f>
        <v>133.845</v>
      </c>
      <c r="F593" s="56">
        <f>278.484-40-25-60-100</f>
        <v>53.48399999999998</v>
      </c>
      <c r="G593" s="59">
        <v>40</v>
      </c>
      <c r="H593" s="56">
        <f t="shared" si="95"/>
        <v>185</v>
      </c>
      <c r="I593" s="56">
        <f t="shared" si="90"/>
        <v>0</v>
      </c>
      <c r="J593" s="59">
        <v>100</v>
      </c>
      <c r="K593" s="59">
        <v>300</v>
      </c>
      <c r="L593" s="56">
        <f t="shared" si="96"/>
        <v>1274</v>
      </c>
      <c r="M593" s="66">
        <v>600</v>
      </c>
      <c r="N593" s="56">
        <f>30</f>
        <v>30</v>
      </c>
      <c r="O593" s="59">
        <v>240</v>
      </c>
      <c r="P593" s="59">
        <v>40</v>
      </c>
      <c r="Q593" s="59">
        <f t="shared" si="97"/>
        <v>315</v>
      </c>
      <c r="R593" s="59">
        <f t="shared" si="98"/>
        <v>100</v>
      </c>
      <c r="S593" s="56">
        <f t="shared" si="99"/>
        <v>695</v>
      </c>
      <c r="T593" s="56">
        <f>50</f>
        <v>50</v>
      </c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</row>
    <row r="594" spans="1:30" ht="15.75" x14ac:dyDescent="0.25">
      <c r="A594" s="13">
        <v>59383</v>
      </c>
      <c r="B594" s="67">
        <f t="shared" si="94"/>
        <v>31</v>
      </c>
      <c r="C594" s="56">
        <f>194.205</f>
        <v>194.20500000000001</v>
      </c>
      <c r="D594" s="56">
        <f>267.466</f>
        <v>267.46600000000001</v>
      </c>
      <c r="E594" s="64">
        <f>133.845</f>
        <v>133.845</v>
      </c>
      <c r="F594" s="56">
        <f>278.484-40-25-60-100</f>
        <v>53.48399999999998</v>
      </c>
      <c r="G594" s="59">
        <v>40</v>
      </c>
      <c r="H594" s="56">
        <f t="shared" si="95"/>
        <v>185</v>
      </c>
      <c r="I594" s="56">
        <f t="shared" si="90"/>
        <v>0</v>
      </c>
      <c r="J594" s="59">
        <v>100</v>
      </c>
      <c r="K594" s="59">
        <v>300</v>
      </c>
      <c r="L594" s="56">
        <f t="shared" si="96"/>
        <v>1274</v>
      </c>
      <c r="M594" s="66">
        <v>600</v>
      </c>
      <c r="N594" s="56">
        <f>30</f>
        <v>30</v>
      </c>
      <c r="O594" s="59">
        <v>240</v>
      </c>
      <c r="P594" s="59">
        <v>40</v>
      </c>
      <c r="Q594" s="59">
        <f t="shared" si="97"/>
        <v>315</v>
      </c>
      <c r="R594" s="59">
        <f t="shared" si="98"/>
        <v>100</v>
      </c>
      <c r="S594" s="56">
        <f t="shared" si="99"/>
        <v>695</v>
      </c>
      <c r="T594" s="56">
        <f>0</f>
        <v>0</v>
      </c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</row>
    <row r="595" spans="1:30" ht="15.75" x14ac:dyDescent="0.25">
      <c r="A595" s="13">
        <v>59414</v>
      </c>
      <c r="B595" s="67">
        <f t="shared" si="94"/>
        <v>31</v>
      </c>
      <c r="C595" s="56">
        <f>194.205</f>
        <v>194.20500000000001</v>
      </c>
      <c r="D595" s="56">
        <f>267.466</f>
        <v>267.46600000000001</v>
      </c>
      <c r="E595" s="64">
        <f>133.845</f>
        <v>133.845</v>
      </c>
      <c r="F595" s="56">
        <f>278.484-40-25-60-100</f>
        <v>53.48399999999998</v>
      </c>
      <c r="G595" s="59">
        <v>40</v>
      </c>
      <c r="H595" s="56">
        <f t="shared" si="95"/>
        <v>185</v>
      </c>
      <c r="I595" s="56">
        <f t="shared" si="90"/>
        <v>0</v>
      </c>
      <c r="J595" s="59">
        <v>100</v>
      </c>
      <c r="K595" s="59">
        <v>300</v>
      </c>
      <c r="L595" s="56">
        <f t="shared" si="96"/>
        <v>1274</v>
      </c>
      <c r="M595" s="66">
        <v>600</v>
      </c>
      <c r="N595" s="56">
        <f>30</f>
        <v>30</v>
      </c>
      <c r="O595" s="59">
        <v>240</v>
      </c>
      <c r="P595" s="59">
        <v>40</v>
      </c>
      <c r="Q595" s="59">
        <f t="shared" si="97"/>
        <v>315</v>
      </c>
      <c r="R595" s="59">
        <f t="shared" si="98"/>
        <v>100</v>
      </c>
      <c r="S595" s="56">
        <f t="shared" si="99"/>
        <v>695</v>
      </c>
      <c r="T595" s="56">
        <f>0</f>
        <v>0</v>
      </c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</row>
    <row r="596" spans="1:30" ht="15.75" x14ac:dyDescent="0.25">
      <c r="A596" s="13">
        <v>59444</v>
      </c>
      <c r="B596" s="67">
        <f t="shared" si="94"/>
        <v>30</v>
      </c>
      <c r="C596" s="56">
        <f>194.205</f>
        <v>194.20500000000001</v>
      </c>
      <c r="D596" s="56">
        <f>267.466</f>
        <v>267.46600000000001</v>
      </c>
      <c r="E596" s="64">
        <f>133.845</f>
        <v>133.845</v>
      </c>
      <c r="F596" s="56">
        <f>278.484-40-25-60-100</f>
        <v>53.48399999999998</v>
      </c>
      <c r="G596" s="59">
        <v>40</v>
      </c>
      <c r="H596" s="56">
        <f t="shared" si="95"/>
        <v>185</v>
      </c>
      <c r="I596" s="56">
        <f t="shared" si="90"/>
        <v>0</v>
      </c>
      <c r="J596" s="59">
        <v>100</v>
      </c>
      <c r="K596" s="59">
        <v>300</v>
      </c>
      <c r="L596" s="56">
        <f t="shared" si="96"/>
        <v>1274</v>
      </c>
      <c r="M596" s="66">
        <v>600</v>
      </c>
      <c r="N596" s="56">
        <f>30</f>
        <v>30</v>
      </c>
      <c r="O596" s="59">
        <v>240</v>
      </c>
      <c r="P596" s="59">
        <v>40</v>
      </c>
      <c r="Q596" s="59">
        <f t="shared" si="97"/>
        <v>315</v>
      </c>
      <c r="R596" s="59">
        <f t="shared" si="98"/>
        <v>100</v>
      </c>
      <c r="S596" s="56">
        <f t="shared" si="99"/>
        <v>695</v>
      </c>
      <c r="T596" s="56">
        <f>0</f>
        <v>0</v>
      </c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</row>
    <row r="597" spans="1:30" ht="15.75" x14ac:dyDescent="0.25">
      <c r="A597" s="13">
        <v>59475</v>
      </c>
      <c r="B597" s="67">
        <f t="shared" si="94"/>
        <v>31</v>
      </c>
      <c r="C597" s="56">
        <f>131.881</f>
        <v>131.881</v>
      </c>
      <c r="D597" s="56">
        <f>277.167</f>
        <v>277.16699999999997</v>
      </c>
      <c r="E597" s="64">
        <f>79.08</f>
        <v>79.08</v>
      </c>
      <c r="F597" s="56">
        <f>350.872-40-25-60-100</f>
        <v>125.87200000000001</v>
      </c>
      <c r="G597" s="59">
        <v>40</v>
      </c>
      <c r="H597" s="56">
        <f t="shared" si="95"/>
        <v>185</v>
      </c>
      <c r="I597" s="56">
        <f t="shared" si="90"/>
        <v>0</v>
      </c>
      <c r="J597" s="59">
        <v>100</v>
      </c>
      <c r="K597" s="59">
        <v>300</v>
      </c>
      <c r="L597" s="56">
        <f t="shared" si="96"/>
        <v>1239</v>
      </c>
      <c r="M597" s="66">
        <v>600</v>
      </c>
      <c r="N597" s="56">
        <f>75</f>
        <v>75</v>
      </c>
      <c r="O597" s="59">
        <v>240</v>
      </c>
      <c r="P597" s="59">
        <v>40</v>
      </c>
      <c r="Q597" s="59">
        <f t="shared" si="97"/>
        <v>315</v>
      </c>
      <c r="R597" s="59">
        <f t="shared" si="98"/>
        <v>100</v>
      </c>
      <c r="S597" s="56">
        <f t="shared" si="99"/>
        <v>695</v>
      </c>
      <c r="T597" s="56">
        <f>0</f>
        <v>0</v>
      </c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</row>
    <row r="598" spans="1:30" ht="15.75" x14ac:dyDescent="0.25">
      <c r="A598" s="13">
        <v>59505</v>
      </c>
      <c r="B598" s="67">
        <f t="shared" si="94"/>
        <v>30</v>
      </c>
      <c r="C598" s="56">
        <f>122.58</f>
        <v>122.58</v>
      </c>
      <c r="D598" s="56">
        <f>297.941</f>
        <v>297.94099999999997</v>
      </c>
      <c r="E598" s="64">
        <f>89.177</f>
        <v>89.177000000000007</v>
      </c>
      <c r="F598" s="56">
        <f>240.302-40-60-100</f>
        <v>40.301999999999992</v>
      </c>
      <c r="G598" s="59">
        <v>40</v>
      </c>
      <c r="H598" s="56">
        <f>60+100</f>
        <v>160</v>
      </c>
      <c r="I598" s="56">
        <f t="shared" si="90"/>
        <v>0</v>
      </c>
      <c r="J598" s="59">
        <v>100</v>
      </c>
      <c r="K598" s="59">
        <v>300</v>
      </c>
      <c r="L598" s="56">
        <f t="shared" si="96"/>
        <v>1150</v>
      </c>
      <c r="M598" s="66">
        <v>600</v>
      </c>
      <c r="N598" s="56">
        <f>100</f>
        <v>100</v>
      </c>
      <c r="O598" s="59">
        <v>240</v>
      </c>
      <c r="P598" s="59">
        <v>40</v>
      </c>
      <c r="Q598" s="59">
        <f t="shared" si="97"/>
        <v>315</v>
      </c>
      <c r="R598" s="59">
        <f t="shared" si="98"/>
        <v>100</v>
      </c>
      <c r="S598" s="56">
        <f t="shared" si="99"/>
        <v>695</v>
      </c>
      <c r="T598" s="56">
        <f>50</f>
        <v>50</v>
      </c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</row>
    <row r="599" spans="1:30" ht="15.75" x14ac:dyDescent="0.25">
      <c r="A599" s="13">
        <v>59536</v>
      </c>
      <c r="B599" s="67">
        <f t="shared" si="94"/>
        <v>31</v>
      </c>
      <c r="C599" s="56">
        <f>122.58</f>
        <v>122.58</v>
      </c>
      <c r="D599" s="56">
        <f>297.941</f>
        <v>297.94099999999997</v>
      </c>
      <c r="E599" s="64">
        <f>89.177</f>
        <v>89.177000000000007</v>
      </c>
      <c r="F599" s="56">
        <f>240.302-40-60-100</f>
        <v>40.301999999999992</v>
      </c>
      <c r="G599" s="59">
        <v>40</v>
      </c>
      <c r="H599" s="56">
        <f>60+100</f>
        <v>160</v>
      </c>
      <c r="I599" s="56">
        <f t="shared" si="90"/>
        <v>0</v>
      </c>
      <c r="J599" s="59">
        <v>100</v>
      </c>
      <c r="K599" s="59">
        <v>300</v>
      </c>
      <c r="L599" s="56">
        <f t="shared" si="96"/>
        <v>1150</v>
      </c>
      <c r="M599" s="66">
        <v>600</v>
      </c>
      <c r="N599" s="56">
        <f>100</f>
        <v>100</v>
      </c>
      <c r="O599" s="59">
        <v>240</v>
      </c>
      <c r="P599" s="59">
        <v>40</v>
      </c>
      <c r="Q599" s="59">
        <f t="shared" si="97"/>
        <v>315</v>
      </c>
      <c r="R599" s="59">
        <f t="shared" si="98"/>
        <v>100</v>
      </c>
      <c r="S599" s="56">
        <f t="shared" si="99"/>
        <v>695</v>
      </c>
      <c r="T599" s="56">
        <f>50</f>
        <v>50</v>
      </c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</row>
    <row r="600" spans="1:30" ht="15.75" x14ac:dyDescent="0.25">
      <c r="A600" s="13">
        <v>59567</v>
      </c>
      <c r="B600" s="67">
        <f t="shared" si="94"/>
        <v>31</v>
      </c>
      <c r="C600" s="56">
        <f>122.58</f>
        <v>122.58</v>
      </c>
      <c r="D600" s="56">
        <f>297.941</f>
        <v>297.94099999999997</v>
      </c>
      <c r="E600" s="64">
        <f>89.177</f>
        <v>89.177000000000007</v>
      </c>
      <c r="F600" s="56">
        <f>240.302-40-60-100</f>
        <v>40.301999999999992</v>
      </c>
      <c r="G600" s="59">
        <v>40</v>
      </c>
      <c r="H600" s="56">
        <f>60+100</f>
        <v>160</v>
      </c>
      <c r="I600" s="56">
        <f t="shared" si="90"/>
        <v>0</v>
      </c>
      <c r="J600" s="59">
        <v>100</v>
      </c>
      <c r="K600" s="59">
        <v>300</v>
      </c>
      <c r="L600" s="56">
        <f t="shared" si="96"/>
        <v>1150</v>
      </c>
      <c r="M600" s="66">
        <v>600</v>
      </c>
      <c r="N600" s="56">
        <f>100</f>
        <v>100</v>
      </c>
      <c r="O600" s="59">
        <v>240</v>
      </c>
      <c r="P600" s="59">
        <v>40</v>
      </c>
      <c r="Q600" s="59">
        <f t="shared" si="97"/>
        <v>315</v>
      </c>
      <c r="R600" s="59">
        <f t="shared" si="98"/>
        <v>100</v>
      </c>
      <c r="S600" s="56">
        <f t="shared" si="99"/>
        <v>695</v>
      </c>
      <c r="T600" s="56">
        <f>50</f>
        <v>50</v>
      </c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</row>
    <row r="601" spans="1:30" ht="15.75" x14ac:dyDescent="0.25">
      <c r="A601" s="13">
        <v>59595</v>
      </c>
      <c r="B601" s="67">
        <f t="shared" si="94"/>
        <v>28</v>
      </c>
      <c r="C601" s="56">
        <f>122.58</f>
        <v>122.58</v>
      </c>
      <c r="D601" s="56">
        <f>297.941</f>
        <v>297.94099999999997</v>
      </c>
      <c r="E601" s="64">
        <f>89.177</f>
        <v>89.177000000000007</v>
      </c>
      <c r="F601" s="56">
        <f>240.302-40-60-100</f>
        <v>40.301999999999992</v>
      </c>
      <c r="G601" s="59">
        <v>40</v>
      </c>
      <c r="H601" s="56">
        <f>60+100</f>
        <v>160</v>
      </c>
      <c r="I601" s="56">
        <f t="shared" si="90"/>
        <v>0</v>
      </c>
      <c r="J601" s="59">
        <v>100</v>
      </c>
      <c r="K601" s="59">
        <v>300</v>
      </c>
      <c r="L601" s="56">
        <f t="shared" si="96"/>
        <v>1150</v>
      </c>
      <c r="M601" s="66">
        <v>600</v>
      </c>
      <c r="N601" s="56">
        <f>100</f>
        <v>100</v>
      </c>
      <c r="O601" s="59">
        <v>240</v>
      </c>
      <c r="P601" s="59">
        <v>40</v>
      </c>
      <c r="Q601" s="59">
        <f t="shared" si="97"/>
        <v>315</v>
      </c>
      <c r="R601" s="59">
        <f t="shared" si="98"/>
        <v>100</v>
      </c>
      <c r="S601" s="56">
        <f t="shared" si="99"/>
        <v>695</v>
      </c>
      <c r="T601" s="56">
        <f>50</f>
        <v>50</v>
      </c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</row>
    <row r="602" spans="1:30" ht="15.75" x14ac:dyDescent="0.25">
      <c r="A602" s="13">
        <v>59626</v>
      </c>
      <c r="B602" s="67">
        <f t="shared" si="94"/>
        <v>31</v>
      </c>
      <c r="C602" s="56">
        <f>122.58</f>
        <v>122.58</v>
      </c>
      <c r="D602" s="56">
        <f>297.941</f>
        <v>297.94099999999997</v>
      </c>
      <c r="E602" s="64">
        <f>89.177</f>
        <v>89.177000000000007</v>
      </c>
      <c r="F602" s="56">
        <f>240.302-40-60-100</f>
        <v>40.301999999999992</v>
      </c>
      <c r="G602" s="59">
        <v>40</v>
      </c>
      <c r="H602" s="56">
        <f>60+100</f>
        <v>160</v>
      </c>
      <c r="I602" s="56">
        <f t="shared" si="90"/>
        <v>0</v>
      </c>
      <c r="J602" s="59">
        <v>100</v>
      </c>
      <c r="K602" s="59">
        <v>300</v>
      </c>
      <c r="L602" s="56">
        <f t="shared" si="96"/>
        <v>1150</v>
      </c>
      <c r="M602" s="66">
        <v>600</v>
      </c>
      <c r="N602" s="56">
        <f>100</f>
        <v>100</v>
      </c>
      <c r="O602" s="59">
        <v>240</v>
      </c>
      <c r="P602" s="59">
        <v>40</v>
      </c>
      <c r="Q602" s="59">
        <f t="shared" si="97"/>
        <v>315</v>
      </c>
      <c r="R602" s="59">
        <f t="shared" si="98"/>
        <v>100</v>
      </c>
      <c r="S602" s="56">
        <f t="shared" si="99"/>
        <v>695</v>
      </c>
      <c r="T602" s="56">
        <f>50</f>
        <v>50</v>
      </c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</row>
    <row r="603" spans="1:30" ht="15.75" x14ac:dyDescent="0.25">
      <c r="A603" s="13">
        <v>59656</v>
      </c>
      <c r="B603" s="67">
        <f t="shared" si="94"/>
        <v>30</v>
      </c>
      <c r="C603" s="56">
        <f>141.293</f>
        <v>141.29300000000001</v>
      </c>
      <c r="D603" s="56">
        <f>267.993</f>
        <v>267.99299999999999</v>
      </c>
      <c r="E603" s="64">
        <f>115.016</f>
        <v>115.01600000000001</v>
      </c>
      <c r="F603" s="56">
        <f>314.698-40-25-60-100</f>
        <v>89.697999999999979</v>
      </c>
      <c r="G603" s="59">
        <v>40</v>
      </c>
      <c r="H603" s="56">
        <f t="shared" ref="H603:H609" si="100">25+60+100</f>
        <v>185</v>
      </c>
      <c r="I603" s="56">
        <f t="shared" si="90"/>
        <v>0</v>
      </c>
      <c r="J603" s="59">
        <v>100</v>
      </c>
      <c r="K603" s="59">
        <v>300</v>
      </c>
      <c r="L603" s="56">
        <f t="shared" si="96"/>
        <v>1239</v>
      </c>
      <c r="M603" s="66">
        <v>600</v>
      </c>
      <c r="N603" s="56">
        <f>100</f>
        <v>100</v>
      </c>
      <c r="O603" s="59">
        <v>240</v>
      </c>
      <c r="P603" s="59">
        <v>40</v>
      </c>
      <c r="Q603" s="59">
        <f t="shared" si="97"/>
        <v>315</v>
      </c>
      <c r="R603" s="59">
        <f t="shared" si="98"/>
        <v>100</v>
      </c>
      <c r="S603" s="56">
        <f t="shared" si="99"/>
        <v>695</v>
      </c>
      <c r="T603" s="56">
        <f>50</f>
        <v>50</v>
      </c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</row>
    <row r="604" spans="1:30" ht="15.75" x14ac:dyDescent="0.25">
      <c r="A604" s="13">
        <v>59687</v>
      </c>
      <c r="B604" s="67">
        <f t="shared" si="94"/>
        <v>31</v>
      </c>
      <c r="C604" s="56">
        <f>194.205</f>
        <v>194.20500000000001</v>
      </c>
      <c r="D604" s="56">
        <f>267.466</f>
        <v>267.46600000000001</v>
      </c>
      <c r="E604" s="64">
        <f>133.845</f>
        <v>133.845</v>
      </c>
      <c r="F604" s="56">
        <f>278.484-40-25-60-100</f>
        <v>53.48399999999998</v>
      </c>
      <c r="G604" s="59">
        <v>40</v>
      </c>
      <c r="H604" s="56">
        <f t="shared" si="100"/>
        <v>185</v>
      </c>
      <c r="I604" s="56">
        <f t="shared" si="90"/>
        <v>0</v>
      </c>
      <c r="J604" s="59">
        <v>100</v>
      </c>
      <c r="K604" s="59">
        <v>300</v>
      </c>
      <c r="L604" s="56">
        <f t="shared" si="96"/>
        <v>1274</v>
      </c>
      <c r="M604" s="66">
        <v>600</v>
      </c>
      <c r="N604" s="56">
        <f>75</f>
        <v>75</v>
      </c>
      <c r="O604" s="59">
        <v>240</v>
      </c>
      <c r="P604" s="59">
        <v>40</v>
      </c>
      <c r="Q604" s="59">
        <f t="shared" si="97"/>
        <v>315</v>
      </c>
      <c r="R604" s="59">
        <f t="shared" si="98"/>
        <v>100</v>
      </c>
      <c r="S604" s="56">
        <f t="shared" si="99"/>
        <v>695</v>
      </c>
      <c r="T604" s="56">
        <f>50</f>
        <v>50</v>
      </c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</row>
    <row r="605" spans="1:30" ht="15.75" x14ac:dyDescent="0.25">
      <c r="A605" s="13">
        <v>59717</v>
      </c>
      <c r="B605" s="67">
        <f t="shared" si="94"/>
        <v>30</v>
      </c>
      <c r="C605" s="56">
        <f>194.205</f>
        <v>194.20500000000001</v>
      </c>
      <c r="D605" s="56">
        <f>267.466</f>
        <v>267.46600000000001</v>
      </c>
      <c r="E605" s="64">
        <f>133.845</f>
        <v>133.845</v>
      </c>
      <c r="F605" s="56">
        <f>278.484-40-25-60-100</f>
        <v>53.48399999999998</v>
      </c>
      <c r="G605" s="59">
        <v>40</v>
      </c>
      <c r="H605" s="56">
        <f t="shared" si="100"/>
        <v>185</v>
      </c>
      <c r="I605" s="56">
        <f t="shared" si="90"/>
        <v>0</v>
      </c>
      <c r="J605" s="59">
        <v>100</v>
      </c>
      <c r="K605" s="59">
        <v>300</v>
      </c>
      <c r="L605" s="56">
        <f t="shared" si="96"/>
        <v>1274</v>
      </c>
      <c r="M605" s="66">
        <v>600</v>
      </c>
      <c r="N605" s="56">
        <f>30</f>
        <v>30</v>
      </c>
      <c r="O605" s="59">
        <v>240</v>
      </c>
      <c r="P605" s="59">
        <v>40</v>
      </c>
      <c r="Q605" s="59">
        <f t="shared" si="97"/>
        <v>315</v>
      </c>
      <c r="R605" s="59">
        <f t="shared" si="98"/>
        <v>100</v>
      </c>
      <c r="S605" s="56">
        <f t="shared" si="99"/>
        <v>695</v>
      </c>
      <c r="T605" s="56">
        <f>50</f>
        <v>50</v>
      </c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</row>
    <row r="606" spans="1:30" ht="15.75" x14ac:dyDescent="0.25">
      <c r="A606" s="13">
        <v>59748</v>
      </c>
      <c r="B606" s="67">
        <f t="shared" si="94"/>
        <v>31</v>
      </c>
      <c r="C606" s="56">
        <f>194.205</f>
        <v>194.20500000000001</v>
      </c>
      <c r="D606" s="56">
        <f>267.466</f>
        <v>267.46600000000001</v>
      </c>
      <c r="E606" s="64">
        <f>133.845</f>
        <v>133.845</v>
      </c>
      <c r="F606" s="56">
        <f>278.484-40-25-60-100</f>
        <v>53.48399999999998</v>
      </c>
      <c r="G606" s="59">
        <v>40</v>
      </c>
      <c r="H606" s="56">
        <f t="shared" si="100"/>
        <v>185</v>
      </c>
      <c r="I606" s="56">
        <f t="shared" si="90"/>
        <v>0</v>
      </c>
      <c r="J606" s="59">
        <v>100</v>
      </c>
      <c r="K606" s="59">
        <v>300</v>
      </c>
      <c r="L606" s="56">
        <f t="shared" si="96"/>
        <v>1274</v>
      </c>
      <c r="M606" s="66">
        <v>600</v>
      </c>
      <c r="N606" s="56">
        <f>30</f>
        <v>30</v>
      </c>
      <c r="O606" s="59">
        <v>240</v>
      </c>
      <c r="P606" s="59">
        <v>40</v>
      </c>
      <c r="Q606" s="59">
        <f t="shared" si="97"/>
        <v>315</v>
      </c>
      <c r="R606" s="59">
        <f t="shared" si="98"/>
        <v>100</v>
      </c>
      <c r="S606" s="56">
        <f t="shared" si="99"/>
        <v>695</v>
      </c>
      <c r="T606" s="56">
        <f>0</f>
        <v>0</v>
      </c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</row>
    <row r="607" spans="1:30" ht="15.75" x14ac:dyDescent="0.25">
      <c r="A607" s="13">
        <v>59779</v>
      </c>
      <c r="B607" s="67">
        <f t="shared" si="94"/>
        <v>31</v>
      </c>
      <c r="C607" s="56">
        <f>194.205</f>
        <v>194.20500000000001</v>
      </c>
      <c r="D607" s="56">
        <f>267.466</f>
        <v>267.46600000000001</v>
      </c>
      <c r="E607" s="64">
        <f>133.845</f>
        <v>133.845</v>
      </c>
      <c r="F607" s="56">
        <f>278.484-40-25-60-100</f>
        <v>53.48399999999998</v>
      </c>
      <c r="G607" s="59">
        <v>40</v>
      </c>
      <c r="H607" s="56">
        <f t="shared" si="100"/>
        <v>185</v>
      </c>
      <c r="I607" s="56">
        <f t="shared" si="90"/>
        <v>0</v>
      </c>
      <c r="J607" s="59">
        <v>100</v>
      </c>
      <c r="K607" s="59">
        <v>300</v>
      </c>
      <c r="L607" s="56">
        <f t="shared" si="96"/>
        <v>1274</v>
      </c>
      <c r="M607" s="66">
        <v>600</v>
      </c>
      <c r="N607" s="56">
        <f>30</f>
        <v>30</v>
      </c>
      <c r="O607" s="59">
        <v>240</v>
      </c>
      <c r="P607" s="59">
        <v>40</v>
      </c>
      <c r="Q607" s="59">
        <f t="shared" si="97"/>
        <v>315</v>
      </c>
      <c r="R607" s="59">
        <f t="shared" si="98"/>
        <v>100</v>
      </c>
      <c r="S607" s="56">
        <f t="shared" si="99"/>
        <v>695</v>
      </c>
      <c r="T607" s="56">
        <f>0</f>
        <v>0</v>
      </c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</row>
    <row r="608" spans="1:30" ht="15.75" x14ac:dyDescent="0.25">
      <c r="A608" s="13">
        <v>59809</v>
      </c>
      <c r="B608" s="67">
        <f t="shared" si="94"/>
        <v>30</v>
      </c>
      <c r="C608" s="56">
        <f>194.205</f>
        <v>194.20500000000001</v>
      </c>
      <c r="D608" s="56">
        <f>267.466</f>
        <v>267.46600000000001</v>
      </c>
      <c r="E608" s="64">
        <f>133.845</f>
        <v>133.845</v>
      </c>
      <c r="F608" s="56">
        <f>278.484-40-25-60-100</f>
        <v>53.48399999999998</v>
      </c>
      <c r="G608" s="59">
        <v>40</v>
      </c>
      <c r="H608" s="56">
        <f t="shared" si="100"/>
        <v>185</v>
      </c>
      <c r="I608" s="56">
        <f t="shared" si="90"/>
        <v>0</v>
      </c>
      <c r="J608" s="59">
        <v>100</v>
      </c>
      <c r="K608" s="59">
        <v>300</v>
      </c>
      <c r="L608" s="56">
        <f t="shared" si="96"/>
        <v>1274</v>
      </c>
      <c r="M608" s="66">
        <v>600</v>
      </c>
      <c r="N608" s="56">
        <f>30</f>
        <v>30</v>
      </c>
      <c r="O608" s="59">
        <v>240</v>
      </c>
      <c r="P608" s="59">
        <v>40</v>
      </c>
      <c r="Q608" s="59">
        <f t="shared" si="97"/>
        <v>315</v>
      </c>
      <c r="R608" s="59">
        <f t="shared" si="98"/>
        <v>100</v>
      </c>
      <c r="S608" s="56">
        <f t="shared" si="99"/>
        <v>695</v>
      </c>
      <c r="T608" s="56">
        <f>0</f>
        <v>0</v>
      </c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</row>
    <row r="609" spans="1:30" ht="15.75" x14ac:dyDescent="0.25">
      <c r="A609" s="13">
        <v>59840</v>
      </c>
      <c r="B609" s="67">
        <f t="shared" si="94"/>
        <v>31</v>
      </c>
      <c r="C609" s="56">
        <f>131.881</f>
        <v>131.881</v>
      </c>
      <c r="D609" s="56">
        <f>277.167</f>
        <v>277.16699999999997</v>
      </c>
      <c r="E609" s="64">
        <f>79.08</f>
        <v>79.08</v>
      </c>
      <c r="F609" s="56">
        <f>350.872-40-25-60-100</f>
        <v>125.87200000000001</v>
      </c>
      <c r="G609" s="59">
        <v>40</v>
      </c>
      <c r="H609" s="56">
        <f t="shared" si="100"/>
        <v>185</v>
      </c>
      <c r="I609" s="56">
        <f t="shared" si="90"/>
        <v>0</v>
      </c>
      <c r="J609" s="59">
        <v>100</v>
      </c>
      <c r="K609" s="59">
        <v>300</v>
      </c>
      <c r="L609" s="56">
        <f t="shared" si="96"/>
        <v>1239</v>
      </c>
      <c r="M609" s="66">
        <v>600</v>
      </c>
      <c r="N609" s="56">
        <f>75</f>
        <v>75</v>
      </c>
      <c r="O609" s="59">
        <v>240</v>
      </c>
      <c r="P609" s="59">
        <v>40</v>
      </c>
      <c r="Q609" s="59">
        <f t="shared" si="97"/>
        <v>315</v>
      </c>
      <c r="R609" s="59">
        <f t="shared" si="98"/>
        <v>100</v>
      </c>
      <c r="S609" s="56">
        <f t="shared" si="99"/>
        <v>695</v>
      </c>
      <c r="T609" s="56">
        <f>0</f>
        <v>0</v>
      </c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</row>
    <row r="610" spans="1:30" ht="15.75" x14ac:dyDescent="0.25">
      <c r="A610" s="13">
        <v>59870</v>
      </c>
      <c r="B610" s="67">
        <f t="shared" si="94"/>
        <v>30</v>
      </c>
      <c r="C610" s="56">
        <f>122.58</f>
        <v>122.58</v>
      </c>
      <c r="D610" s="56">
        <f>297.941</f>
        <v>297.94099999999997</v>
      </c>
      <c r="E610" s="64">
        <f>89.177</f>
        <v>89.177000000000007</v>
      </c>
      <c r="F610" s="56">
        <f>240.302-40-60-100</f>
        <v>40.301999999999992</v>
      </c>
      <c r="G610" s="59">
        <v>40</v>
      </c>
      <c r="H610" s="56">
        <f>60+100</f>
        <v>160</v>
      </c>
      <c r="I610" s="56">
        <f t="shared" si="90"/>
        <v>0</v>
      </c>
      <c r="J610" s="59">
        <v>100</v>
      </c>
      <c r="K610" s="59">
        <v>300</v>
      </c>
      <c r="L610" s="56">
        <f t="shared" si="96"/>
        <v>1150</v>
      </c>
      <c r="M610" s="66">
        <v>600</v>
      </c>
      <c r="N610" s="56">
        <f>100</f>
        <v>100</v>
      </c>
      <c r="O610" s="59">
        <v>240</v>
      </c>
      <c r="P610" s="59">
        <v>40</v>
      </c>
      <c r="Q610" s="59">
        <f t="shared" si="97"/>
        <v>315</v>
      </c>
      <c r="R610" s="59">
        <f t="shared" si="98"/>
        <v>100</v>
      </c>
      <c r="S610" s="56">
        <f t="shared" si="99"/>
        <v>695</v>
      </c>
      <c r="T610" s="56">
        <f>50</f>
        <v>50</v>
      </c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</row>
    <row r="611" spans="1:30" ht="15.75" x14ac:dyDescent="0.25">
      <c r="A611" s="13">
        <v>59901</v>
      </c>
      <c r="B611" s="67">
        <f t="shared" si="94"/>
        <v>31</v>
      </c>
      <c r="C611" s="56">
        <f>122.58</f>
        <v>122.58</v>
      </c>
      <c r="D611" s="56">
        <f>297.941</f>
        <v>297.94099999999997</v>
      </c>
      <c r="E611" s="64">
        <f>89.177</f>
        <v>89.177000000000007</v>
      </c>
      <c r="F611" s="56">
        <f>240.302-40-60-100</f>
        <v>40.301999999999992</v>
      </c>
      <c r="G611" s="59">
        <v>40</v>
      </c>
      <c r="H611" s="56">
        <f>60+100</f>
        <v>160</v>
      </c>
      <c r="I611" s="56">
        <f t="shared" si="90"/>
        <v>0</v>
      </c>
      <c r="J611" s="59">
        <v>100</v>
      </c>
      <c r="K611" s="59">
        <v>300</v>
      </c>
      <c r="L611" s="56">
        <f t="shared" si="96"/>
        <v>1150</v>
      </c>
      <c r="M611" s="66">
        <v>600</v>
      </c>
      <c r="N611" s="56">
        <f>100</f>
        <v>100</v>
      </c>
      <c r="O611" s="59">
        <v>240</v>
      </c>
      <c r="P611" s="59">
        <v>40</v>
      </c>
      <c r="Q611" s="59">
        <f t="shared" si="97"/>
        <v>315</v>
      </c>
      <c r="R611" s="59">
        <f t="shared" si="98"/>
        <v>100</v>
      </c>
      <c r="S611" s="56">
        <f t="shared" si="99"/>
        <v>695</v>
      </c>
      <c r="T611" s="56">
        <f>50</f>
        <v>50</v>
      </c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</row>
    <row r="612" spans="1:30" ht="15.75" x14ac:dyDescent="0.25">
      <c r="A612" s="13">
        <v>59932</v>
      </c>
      <c r="B612" s="67">
        <f t="shared" si="94"/>
        <v>31</v>
      </c>
      <c r="C612" s="56">
        <f>122.58</f>
        <v>122.58</v>
      </c>
      <c r="D612" s="56">
        <f>297.941</f>
        <v>297.94099999999997</v>
      </c>
      <c r="E612" s="64">
        <f>89.177</f>
        <v>89.177000000000007</v>
      </c>
      <c r="F612" s="56">
        <f>240.302-40-60-100</f>
        <v>40.301999999999992</v>
      </c>
      <c r="G612" s="59">
        <v>40</v>
      </c>
      <c r="H612" s="56">
        <f>60+100</f>
        <v>160</v>
      </c>
      <c r="I612" s="56">
        <f t="shared" si="90"/>
        <v>0</v>
      </c>
      <c r="J612" s="59">
        <v>100</v>
      </c>
      <c r="K612" s="59">
        <v>300</v>
      </c>
      <c r="L612" s="56">
        <f t="shared" si="96"/>
        <v>1150</v>
      </c>
      <c r="M612" s="66">
        <v>600</v>
      </c>
      <c r="N612" s="56">
        <f>100</f>
        <v>100</v>
      </c>
      <c r="O612" s="59">
        <v>240</v>
      </c>
      <c r="P612" s="59">
        <v>40</v>
      </c>
      <c r="Q612" s="59">
        <f t="shared" si="97"/>
        <v>315</v>
      </c>
      <c r="R612" s="59">
        <f t="shared" si="98"/>
        <v>100</v>
      </c>
      <c r="S612" s="56">
        <f t="shared" si="99"/>
        <v>695</v>
      </c>
      <c r="T612" s="56">
        <f>50</f>
        <v>50</v>
      </c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</row>
    <row r="613" spans="1:30" ht="15.75" x14ac:dyDescent="0.25">
      <c r="A613" s="13">
        <v>59961</v>
      </c>
      <c r="B613" s="67">
        <f t="shared" si="94"/>
        <v>29</v>
      </c>
      <c r="C613" s="56">
        <f>122.58</f>
        <v>122.58</v>
      </c>
      <c r="D613" s="56">
        <f>297.941</f>
        <v>297.94099999999997</v>
      </c>
      <c r="E613" s="64">
        <f>89.177</f>
        <v>89.177000000000007</v>
      </c>
      <c r="F613" s="56">
        <f>240.302-40-60-100</f>
        <v>40.301999999999992</v>
      </c>
      <c r="G613" s="59">
        <v>40</v>
      </c>
      <c r="H613" s="56">
        <f>60+100</f>
        <v>160</v>
      </c>
      <c r="I613" s="56">
        <f t="shared" si="90"/>
        <v>0</v>
      </c>
      <c r="J613" s="59">
        <v>100</v>
      </c>
      <c r="K613" s="59">
        <v>300</v>
      </c>
      <c r="L613" s="56">
        <f t="shared" si="96"/>
        <v>1150</v>
      </c>
      <c r="M613" s="66">
        <v>600</v>
      </c>
      <c r="N613" s="56">
        <f>100</f>
        <v>100</v>
      </c>
      <c r="O613" s="59">
        <v>240</v>
      </c>
      <c r="P613" s="59">
        <v>40</v>
      </c>
      <c r="Q613" s="59">
        <f t="shared" si="97"/>
        <v>315</v>
      </c>
      <c r="R613" s="59">
        <f t="shared" si="98"/>
        <v>100</v>
      </c>
      <c r="S613" s="56">
        <f t="shared" si="99"/>
        <v>695</v>
      </c>
      <c r="T613" s="56">
        <f>50</f>
        <v>50</v>
      </c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</row>
    <row r="614" spans="1:30" ht="15.75" x14ac:dyDescent="0.25">
      <c r="A614" s="13">
        <v>59992</v>
      </c>
      <c r="B614" s="67">
        <f t="shared" si="94"/>
        <v>31</v>
      </c>
      <c r="C614" s="56">
        <f>122.58</f>
        <v>122.58</v>
      </c>
      <c r="D614" s="56">
        <f>297.941</f>
        <v>297.94099999999997</v>
      </c>
      <c r="E614" s="64">
        <f>89.177</f>
        <v>89.177000000000007</v>
      </c>
      <c r="F614" s="56">
        <f>240.302-40-60-100</f>
        <v>40.301999999999992</v>
      </c>
      <c r="G614" s="59">
        <v>40</v>
      </c>
      <c r="H614" s="56">
        <f>60+100</f>
        <v>160</v>
      </c>
      <c r="I614" s="56">
        <f t="shared" si="90"/>
        <v>0</v>
      </c>
      <c r="J614" s="59">
        <v>100</v>
      </c>
      <c r="K614" s="59">
        <v>300</v>
      </c>
      <c r="L614" s="56">
        <f t="shared" si="96"/>
        <v>1150</v>
      </c>
      <c r="M614" s="66">
        <v>600</v>
      </c>
      <c r="N614" s="56">
        <f>100</f>
        <v>100</v>
      </c>
      <c r="O614" s="59">
        <v>240</v>
      </c>
      <c r="P614" s="59">
        <v>40</v>
      </c>
      <c r="Q614" s="59">
        <f t="shared" si="97"/>
        <v>315</v>
      </c>
      <c r="R614" s="59">
        <f t="shared" si="98"/>
        <v>100</v>
      </c>
      <c r="S614" s="56">
        <f t="shared" si="99"/>
        <v>695</v>
      </c>
      <c r="T614" s="56">
        <f>50</f>
        <v>50</v>
      </c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</row>
    <row r="615" spans="1:30" ht="15.75" x14ac:dyDescent="0.25">
      <c r="A615" s="13">
        <v>60022</v>
      </c>
      <c r="B615" s="67">
        <f t="shared" si="94"/>
        <v>30</v>
      </c>
      <c r="C615" s="56">
        <f>141.293</f>
        <v>141.29300000000001</v>
      </c>
      <c r="D615" s="56">
        <f>267.993</f>
        <v>267.99299999999999</v>
      </c>
      <c r="E615" s="64">
        <f>115.016</f>
        <v>115.01600000000001</v>
      </c>
      <c r="F615" s="56">
        <f>314.698-40-25-60-100</f>
        <v>89.697999999999979</v>
      </c>
      <c r="G615" s="59">
        <v>40</v>
      </c>
      <c r="H615" s="56">
        <f t="shared" ref="H615:H621" si="101">25+60+100</f>
        <v>185</v>
      </c>
      <c r="I615" s="56">
        <f t="shared" si="90"/>
        <v>0</v>
      </c>
      <c r="J615" s="59">
        <v>100</v>
      </c>
      <c r="K615" s="59">
        <v>300</v>
      </c>
      <c r="L615" s="56">
        <f t="shared" si="96"/>
        <v>1239</v>
      </c>
      <c r="M615" s="66">
        <v>600</v>
      </c>
      <c r="N615" s="56">
        <f>100</f>
        <v>100</v>
      </c>
      <c r="O615" s="59">
        <v>240</v>
      </c>
      <c r="P615" s="59">
        <v>40</v>
      </c>
      <c r="Q615" s="59">
        <f t="shared" si="97"/>
        <v>315</v>
      </c>
      <c r="R615" s="59">
        <f t="shared" si="98"/>
        <v>100</v>
      </c>
      <c r="S615" s="56">
        <f t="shared" si="99"/>
        <v>695</v>
      </c>
      <c r="T615" s="56">
        <f>50</f>
        <v>50</v>
      </c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</row>
    <row r="616" spans="1:30" ht="15.75" x14ac:dyDescent="0.25">
      <c r="A616" s="13">
        <v>60053</v>
      </c>
      <c r="B616" s="67">
        <f t="shared" si="94"/>
        <v>31</v>
      </c>
      <c r="C616" s="56">
        <f>194.205</f>
        <v>194.20500000000001</v>
      </c>
      <c r="D616" s="56">
        <f>267.466</f>
        <v>267.46600000000001</v>
      </c>
      <c r="E616" s="64">
        <f>133.845</f>
        <v>133.845</v>
      </c>
      <c r="F616" s="56">
        <f>278.484-40-25-60-100</f>
        <v>53.48399999999998</v>
      </c>
      <c r="G616" s="59">
        <v>40</v>
      </c>
      <c r="H616" s="56">
        <f t="shared" si="101"/>
        <v>185</v>
      </c>
      <c r="I616" s="56">
        <f t="shared" ref="I616:I679" si="102">400-J616-K616</f>
        <v>0</v>
      </c>
      <c r="J616" s="59">
        <v>100</v>
      </c>
      <c r="K616" s="59">
        <v>300</v>
      </c>
      <c r="L616" s="56">
        <f t="shared" si="96"/>
        <v>1274</v>
      </c>
      <c r="M616" s="66">
        <v>600</v>
      </c>
      <c r="N616" s="56">
        <f>75</f>
        <v>75</v>
      </c>
      <c r="O616" s="59">
        <v>240</v>
      </c>
      <c r="P616" s="59">
        <v>40</v>
      </c>
      <c r="Q616" s="59">
        <f t="shared" si="97"/>
        <v>315</v>
      </c>
      <c r="R616" s="59">
        <f t="shared" si="98"/>
        <v>100</v>
      </c>
      <c r="S616" s="56">
        <f t="shared" si="99"/>
        <v>695</v>
      </c>
      <c r="T616" s="56">
        <f>50</f>
        <v>50</v>
      </c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</row>
    <row r="617" spans="1:30" ht="15.75" x14ac:dyDescent="0.25">
      <c r="A617" s="13">
        <v>60083</v>
      </c>
      <c r="B617" s="67">
        <f t="shared" si="94"/>
        <v>30</v>
      </c>
      <c r="C617" s="56">
        <f>194.205</f>
        <v>194.20500000000001</v>
      </c>
      <c r="D617" s="56">
        <f>267.466</f>
        <v>267.46600000000001</v>
      </c>
      <c r="E617" s="64">
        <f>133.845</f>
        <v>133.845</v>
      </c>
      <c r="F617" s="56">
        <f>278.484-40-25-60-100</f>
        <v>53.48399999999998</v>
      </c>
      <c r="G617" s="59">
        <v>40</v>
      </c>
      <c r="H617" s="56">
        <f t="shared" si="101"/>
        <v>185</v>
      </c>
      <c r="I617" s="56">
        <f t="shared" si="102"/>
        <v>0</v>
      </c>
      <c r="J617" s="59">
        <v>100</v>
      </c>
      <c r="K617" s="59">
        <v>300</v>
      </c>
      <c r="L617" s="56">
        <f t="shared" si="96"/>
        <v>1274</v>
      </c>
      <c r="M617" s="66">
        <v>600</v>
      </c>
      <c r="N617" s="56">
        <f>30</f>
        <v>30</v>
      </c>
      <c r="O617" s="59">
        <v>240</v>
      </c>
      <c r="P617" s="59">
        <v>40</v>
      </c>
      <c r="Q617" s="59">
        <f t="shared" si="97"/>
        <v>315</v>
      </c>
      <c r="R617" s="59">
        <f t="shared" si="98"/>
        <v>100</v>
      </c>
      <c r="S617" s="56">
        <f t="shared" si="99"/>
        <v>695</v>
      </c>
      <c r="T617" s="56">
        <f>50</f>
        <v>50</v>
      </c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</row>
    <row r="618" spans="1:30" ht="15.75" x14ac:dyDescent="0.25">
      <c r="A618" s="13">
        <v>60114</v>
      </c>
      <c r="B618" s="67">
        <f t="shared" si="94"/>
        <v>31</v>
      </c>
      <c r="C618" s="56">
        <f>194.205</f>
        <v>194.20500000000001</v>
      </c>
      <c r="D618" s="56">
        <f>267.466</f>
        <v>267.46600000000001</v>
      </c>
      <c r="E618" s="64">
        <f>133.845</f>
        <v>133.845</v>
      </c>
      <c r="F618" s="56">
        <f>278.484-40-25-60-100</f>
        <v>53.48399999999998</v>
      </c>
      <c r="G618" s="59">
        <v>40</v>
      </c>
      <c r="H618" s="56">
        <f t="shared" si="101"/>
        <v>185</v>
      </c>
      <c r="I618" s="56">
        <f t="shared" si="102"/>
        <v>0</v>
      </c>
      <c r="J618" s="59">
        <v>100</v>
      </c>
      <c r="K618" s="59">
        <v>300</v>
      </c>
      <c r="L618" s="56">
        <f t="shared" si="96"/>
        <v>1274</v>
      </c>
      <c r="M618" s="66">
        <v>600</v>
      </c>
      <c r="N618" s="56">
        <f>30</f>
        <v>30</v>
      </c>
      <c r="O618" s="59">
        <v>240</v>
      </c>
      <c r="P618" s="59">
        <v>40</v>
      </c>
      <c r="Q618" s="59">
        <f t="shared" si="97"/>
        <v>315</v>
      </c>
      <c r="R618" s="59">
        <f t="shared" si="98"/>
        <v>100</v>
      </c>
      <c r="S618" s="56">
        <f t="shared" si="99"/>
        <v>695</v>
      </c>
      <c r="T618" s="56">
        <f>0</f>
        <v>0</v>
      </c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</row>
    <row r="619" spans="1:30" ht="15.75" x14ac:dyDescent="0.25">
      <c r="A619" s="13">
        <v>60145</v>
      </c>
      <c r="B619" s="67">
        <f t="shared" si="94"/>
        <v>31</v>
      </c>
      <c r="C619" s="56">
        <f>194.205</f>
        <v>194.20500000000001</v>
      </c>
      <c r="D619" s="56">
        <f>267.466</f>
        <v>267.46600000000001</v>
      </c>
      <c r="E619" s="64">
        <f>133.845</f>
        <v>133.845</v>
      </c>
      <c r="F619" s="56">
        <f>278.484-40-25-60-100</f>
        <v>53.48399999999998</v>
      </c>
      <c r="G619" s="59">
        <v>40</v>
      </c>
      <c r="H619" s="56">
        <f t="shared" si="101"/>
        <v>185</v>
      </c>
      <c r="I619" s="56">
        <f t="shared" si="102"/>
        <v>0</v>
      </c>
      <c r="J619" s="59">
        <v>100</v>
      </c>
      <c r="K619" s="59">
        <v>300</v>
      </c>
      <c r="L619" s="56">
        <f t="shared" si="96"/>
        <v>1274</v>
      </c>
      <c r="M619" s="66">
        <v>600</v>
      </c>
      <c r="N619" s="56">
        <f>30</f>
        <v>30</v>
      </c>
      <c r="O619" s="59">
        <v>240</v>
      </c>
      <c r="P619" s="59">
        <v>40</v>
      </c>
      <c r="Q619" s="59">
        <f t="shared" si="97"/>
        <v>315</v>
      </c>
      <c r="R619" s="59">
        <f t="shared" si="98"/>
        <v>100</v>
      </c>
      <c r="S619" s="56">
        <f t="shared" si="99"/>
        <v>695</v>
      </c>
      <c r="T619" s="56">
        <f>0</f>
        <v>0</v>
      </c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</row>
    <row r="620" spans="1:30" ht="15.75" x14ac:dyDescent="0.25">
      <c r="A620" s="13">
        <v>60175</v>
      </c>
      <c r="B620" s="67">
        <f t="shared" si="94"/>
        <v>30</v>
      </c>
      <c r="C620" s="56">
        <f>194.205</f>
        <v>194.20500000000001</v>
      </c>
      <c r="D620" s="56">
        <f>267.466</f>
        <v>267.46600000000001</v>
      </c>
      <c r="E620" s="64">
        <f>133.845</f>
        <v>133.845</v>
      </c>
      <c r="F620" s="56">
        <f>278.484-40-25-60-100</f>
        <v>53.48399999999998</v>
      </c>
      <c r="G620" s="59">
        <v>40</v>
      </c>
      <c r="H620" s="56">
        <f t="shared" si="101"/>
        <v>185</v>
      </c>
      <c r="I620" s="56">
        <f t="shared" si="102"/>
        <v>0</v>
      </c>
      <c r="J620" s="59">
        <v>100</v>
      </c>
      <c r="K620" s="59">
        <v>300</v>
      </c>
      <c r="L620" s="56">
        <f t="shared" si="96"/>
        <v>1274</v>
      </c>
      <c r="M620" s="66">
        <v>600</v>
      </c>
      <c r="N620" s="56">
        <f>30</f>
        <v>30</v>
      </c>
      <c r="O620" s="59">
        <v>240</v>
      </c>
      <c r="P620" s="59">
        <v>40</v>
      </c>
      <c r="Q620" s="59">
        <f t="shared" si="97"/>
        <v>315</v>
      </c>
      <c r="R620" s="59">
        <f t="shared" si="98"/>
        <v>100</v>
      </c>
      <c r="S620" s="56">
        <f t="shared" si="99"/>
        <v>695</v>
      </c>
      <c r="T620" s="56">
        <f>0</f>
        <v>0</v>
      </c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</row>
    <row r="621" spans="1:30" ht="15.75" x14ac:dyDescent="0.25">
      <c r="A621" s="13">
        <v>60206</v>
      </c>
      <c r="B621" s="67">
        <f t="shared" si="94"/>
        <v>31</v>
      </c>
      <c r="C621" s="56">
        <f>131.881</f>
        <v>131.881</v>
      </c>
      <c r="D621" s="56">
        <f>277.167</f>
        <v>277.16699999999997</v>
      </c>
      <c r="E621" s="64">
        <f>79.08</f>
        <v>79.08</v>
      </c>
      <c r="F621" s="56">
        <f>350.872-40-25-60-100</f>
        <v>125.87200000000001</v>
      </c>
      <c r="G621" s="59">
        <v>40</v>
      </c>
      <c r="H621" s="56">
        <f t="shared" si="101"/>
        <v>185</v>
      </c>
      <c r="I621" s="56">
        <f t="shared" si="102"/>
        <v>0</v>
      </c>
      <c r="J621" s="59">
        <v>100</v>
      </c>
      <c r="K621" s="59">
        <v>300</v>
      </c>
      <c r="L621" s="56">
        <f t="shared" si="96"/>
        <v>1239</v>
      </c>
      <c r="M621" s="66">
        <v>600</v>
      </c>
      <c r="N621" s="56">
        <f>75</f>
        <v>75</v>
      </c>
      <c r="O621" s="59">
        <v>240</v>
      </c>
      <c r="P621" s="59">
        <v>40</v>
      </c>
      <c r="Q621" s="59">
        <f t="shared" si="97"/>
        <v>315</v>
      </c>
      <c r="R621" s="59">
        <f t="shared" si="98"/>
        <v>100</v>
      </c>
      <c r="S621" s="56">
        <f t="shared" si="99"/>
        <v>695</v>
      </c>
      <c r="T621" s="56">
        <f>0</f>
        <v>0</v>
      </c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</row>
    <row r="622" spans="1:30" ht="15.75" x14ac:dyDescent="0.25">
      <c r="A622" s="13">
        <v>60236</v>
      </c>
      <c r="B622" s="67">
        <f t="shared" si="94"/>
        <v>30</v>
      </c>
      <c r="C622" s="56">
        <f>122.58</f>
        <v>122.58</v>
      </c>
      <c r="D622" s="56">
        <f>297.941</f>
        <v>297.94099999999997</v>
      </c>
      <c r="E622" s="64">
        <f>89.177</f>
        <v>89.177000000000007</v>
      </c>
      <c r="F622" s="56">
        <f>240.302-40-60-100</f>
        <v>40.301999999999992</v>
      </c>
      <c r="G622" s="59">
        <v>40</v>
      </c>
      <c r="H622" s="56">
        <f>60+100</f>
        <v>160</v>
      </c>
      <c r="I622" s="56">
        <f t="shared" si="102"/>
        <v>0</v>
      </c>
      <c r="J622" s="59">
        <v>100</v>
      </c>
      <c r="K622" s="59">
        <v>300</v>
      </c>
      <c r="L622" s="56">
        <f t="shared" si="96"/>
        <v>1150</v>
      </c>
      <c r="M622" s="66">
        <v>600</v>
      </c>
      <c r="N622" s="56">
        <f>100</f>
        <v>100</v>
      </c>
      <c r="O622" s="59">
        <v>240</v>
      </c>
      <c r="P622" s="59">
        <v>40</v>
      </c>
      <c r="Q622" s="59">
        <f t="shared" si="97"/>
        <v>315</v>
      </c>
      <c r="R622" s="59">
        <f t="shared" si="98"/>
        <v>100</v>
      </c>
      <c r="S622" s="56">
        <f t="shared" si="99"/>
        <v>695</v>
      </c>
      <c r="T622" s="56">
        <f>50</f>
        <v>50</v>
      </c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</row>
    <row r="623" spans="1:30" ht="15.75" x14ac:dyDescent="0.25">
      <c r="A623" s="13">
        <v>60267</v>
      </c>
      <c r="B623" s="67">
        <f t="shared" si="94"/>
        <v>31</v>
      </c>
      <c r="C623" s="56">
        <f>122.58</f>
        <v>122.58</v>
      </c>
      <c r="D623" s="56">
        <f>297.941</f>
        <v>297.94099999999997</v>
      </c>
      <c r="E623" s="64">
        <f>89.177</f>
        <v>89.177000000000007</v>
      </c>
      <c r="F623" s="56">
        <f>240.302-40-60-100</f>
        <v>40.301999999999992</v>
      </c>
      <c r="G623" s="59">
        <v>40</v>
      </c>
      <c r="H623" s="56">
        <f>60+100</f>
        <v>160</v>
      </c>
      <c r="I623" s="56">
        <f t="shared" si="102"/>
        <v>0</v>
      </c>
      <c r="J623" s="59">
        <v>100</v>
      </c>
      <c r="K623" s="59">
        <v>300</v>
      </c>
      <c r="L623" s="56">
        <f t="shared" si="96"/>
        <v>1150</v>
      </c>
      <c r="M623" s="66">
        <v>600</v>
      </c>
      <c r="N623" s="56">
        <f>100</f>
        <v>100</v>
      </c>
      <c r="O623" s="59">
        <v>240</v>
      </c>
      <c r="P623" s="59">
        <v>40</v>
      </c>
      <c r="Q623" s="59">
        <f t="shared" si="97"/>
        <v>315</v>
      </c>
      <c r="R623" s="59">
        <f t="shared" si="98"/>
        <v>100</v>
      </c>
      <c r="S623" s="56">
        <f t="shared" si="99"/>
        <v>695</v>
      </c>
      <c r="T623" s="56">
        <f>50</f>
        <v>50</v>
      </c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</row>
    <row r="624" spans="1:30" ht="15.75" x14ac:dyDescent="0.25">
      <c r="A624" s="13">
        <v>60298</v>
      </c>
      <c r="B624" s="67">
        <f t="shared" si="94"/>
        <v>31</v>
      </c>
      <c r="C624" s="56">
        <f>122.58</f>
        <v>122.58</v>
      </c>
      <c r="D624" s="56">
        <f>297.941</f>
        <v>297.94099999999997</v>
      </c>
      <c r="E624" s="64">
        <f>89.177</f>
        <v>89.177000000000007</v>
      </c>
      <c r="F624" s="56">
        <f>240.302-40-60-100</f>
        <v>40.301999999999992</v>
      </c>
      <c r="G624" s="59">
        <v>40</v>
      </c>
      <c r="H624" s="56">
        <f>60+100</f>
        <v>160</v>
      </c>
      <c r="I624" s="56">
        <f t="shared" si="102"/>
        <v>0</v>
      </c>
      <c r="J624" s="59">
        <v>100</v>
      </c>
      <c r="K624" s="59">
        <v>300</v>
      </c>
      <c r="L624" s="56">
        <f t="shared" si="96"/>
        <v>1150</v>
      </c>
      <c r="M624" s="66">
        <v>600</v>
      </c>
      <c r="N624" s="56">
        <f>100</f>
        <v>100</v>
      </c>
      <c r="O624" s="59">
        <v>240</v>
      </c>
      <c r="P624" s="59">
        <v>40</v>
      </c>
      <c r="Q624" s="59">
        <f t="shared" si="97"/>
        <v>315</v>
      </c>
      <c r="R624" s="59">
        <f t="shared" si="98"/>
        <v>100</v>
      </c>
      <c r="S624" s="56">
        <f t="shared" si="99"/>
        <v>695</v>
      </c>
      <c r="T624" s="56">
        <f>50</f>
        <v>50</v>
      </c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</row>
    <row r="625" spans="1:30" ht="15.75" x14ac:dyDescent="0.25">
      <c r="A625" s="13">
        <v>60326</v>
      </c>
      <c r="B625" s="67">
        <f t="shared" si="94"/>
        <v>28</v>
      </c>
      <c r="C625" s="56">
        <f>122.58</f>
        <v>122.58</v>
      </c>
      <c r="D625" s="56">
        <f>297.941</f>
        <v>297.94099999999997</v>
      </c>
      <c r="E625" s="64">
        <f>89.177</f>
        <v>89.177000000000007</v>
      </c>
      <c r="F625" s="56">
        <f>240.302-40-60-100</f>
        <v>40.301999999999992</v>
      </c>
      <c r="G625" s="59">
        <v>40</v>
      </c>
      <c r="H625" s="56">
        <f>60+100</f>
        <v>160</v>
      </c>
      <c r="I625" s="56">
        <f t="shared" si="102"/>
        <v>0</v>
      </c>
      <c r="J625" s="59">
        <v>100</v>
      </c>
      <c r="K625" s="59">
        <v>300</v>
      </c>
      <c r="L625" s="56">
        <f t="shared" si="96"/>
        <v>1150</v>
      </c>
      <c r="M625" s="66">
        <v>600</v>
      </c>
      <c r="N625" s="56">
        <f>100</f>
        <v>100</v>
      </c>
      <c r="O625" s="59">
        <v>240</v>
      </c>
      <c r="P625" s="59">
        <v>40</v>
      </c>
      <c r="Q625" s="59">
        <f t="shared" si="97"/>
        <v>315</v>
      </c>
      <c r="R625" s="59">
        <f t="shared" si="98"/>
        <v>100</v>
      </c>
      <c r="S625" s="56">
        <f t="shared" si="99"/>
        <v>695</v>
      </c>
      <c r="T625" s="56">
        <f>50</f>
        <v>50</v>
      </c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</row>
    <row r="626" spans="1:30" ht="15.75" x14ac:dyDescent="0.25">
      <c r="A626" s="13">
        <v>60357</v>
      </c>
      <c r="B626" s="67">
        <f t="shared" si="94"/>
        <v>31</v>
      </c>
      <c r="C626" s="56">
        <f>122.58</f>
        <v>122.58</v>
      </c>
      <c r="D626" s="56">
        <f>297.941</f>
        <v>297.94099999999997</v>
      </c>
      <c r="E626" s="64">
        <f>89.177</f>
        <v>89.177000000000007</v>
      </c>
      <c r="F626" s="56">
        <f>240.302-40-60-100</f>
        <v>40.301999999999992</v>
      </c>
      <c r="G626" s="59">
        <v>40</v>
      </c>
      <c r="H626" s="56">
        <f>60+100</f>
        <v>160</v>
      </c>
      <c r="I626" s="56">
        <f t="shared" si="102"/>
        <v>0</v>
      </c>
      <c r="J626" s="59">
        <v>100</v>
      </c>
      <c r="K626" s="59">
        <v>300</v>
      </c>
      <c r="L626" s="56">
        <f t="shared" si="96"/>
        <v>1150</v>
      </c>
      <c r="M626" s="66">
        <v>600</v>
      </c>
      <c r="N626" s="56">
        <f>100</f>
        <v>100</v>
      </c>
      <c r="O626" s="59">
        <v>240</v>
      </c>
      <c r="P626" s="59">
        <v>40</v>
      </c>
      <c r="Q626" s="59">
        <f t="shared" si="97"/>
        <v>315</v>
      </c>
      <c r="R626" s="59">
        <f t="shared" si="98"/>
        <v>100</v>
      </c>
      <c r="S626" s="56">
        <f t="shared" si="99"/>
        <v>695</v>
      </c>
      <c r="T626" s="56">
        <f>50</f>
        <v>50</v>
      </c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</row>
    <row r="627" spans="1:30" ht="15.75" x14ac:dyDescent="0.25">
      <c r="A627" s="13">
        <v>60387</v>
      </c>
      <c r="B627" s="67">
        <f t="shared" si="94"/>
        <v>30</v>
      </c>
      <c r="C627" s="56">
        <f>141.293</f>
        <v>141.29300000000001</v>
      </c>
      <c r="D627" s="56">
        <f>267.993</f>
        <v>267.99299999999999</v>
      </c>
      <c r="E627" s="64">
        <f>115.016</f>
        <v>115.01600000000001</v>
      </c>
      <c r="F627" s="56">
        <f>314.698-40-25-60-100</f>
        <v>89.697999999999979</v>
      </c>
      <c r="G627" s="59">
        <v>40</v>
      </c>
      <c r="H627" s="56">
        <f t="shared" ref="H627:H633" si="103">25+60+100</f>
        <v>185</v>
      </c>
      <c r="I627" s="56">
        <f t="shared" si="102"/>
        <v>0</v>
      </c>
      <c r="J627" s="59">
        <v>100</v>
      </c>
      <c r="K627" s="59">
        <v>300</v>
      </c>
      <c r="L627" s="56">
        <f t="shared" si="96"/>
        <v>1239</v>
      </c>
      <c r="M627" s="66">
        <v>600</v>
      </c>
      <c r="N627" s="56">
        <f>100</f>
        <v>100</v>
      </c>
      <c r="O627" s="59">
        <v>240</v>
      </c>
      <c r="P627" s="59">
        <v>40</v>
      </c>
      <c r="Q627" s="59">
        <f t="shared" si="97"/>
        <v>315</v>
      </c>
      <c r="R627" s="59">
        <f t="shared" si="98"/>
        <v>100</v>
      </c>
      <c r="S627" s="56">
        <f t="shared" si="99"/>
        <v>695</v>
      </c>
      <c r="T627" s="56">
        <f>50</f>
        <v>50</v>
      </c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</row>
    <row r="628" spans="1:30" ht="15.75" x14ac:dyDescent="0.25">
      <c r="A628" s="13">
        <v>60418</v>
      </c>
      <c r="B628" s="67">
        <f t="shared" si="94"/>
        <v>31</v>
      </c>
      <c r="C628" s="56">
        <f>194.205</f>
        <v>194.20500000000001</v>
      </c>
      <c r="D628" s="56">
        <f>267.466</f>
        <v>267.46600000000001</v>
      </c>
      <c r="E628" s="64">
        <f>133.845</f>
        <v>133.845</v>
      </c>
      <c r="F628" s="56">
        <f>278.484-40-25-60-100</f>
        <v>53.48399999999998</v>
      </c>
      <c r="G628" s="59">
        <v>40</v>
      </c>
      <c r="H628" s="56">
        <f t="shared" si="103"/>
        <v>185</v>
      </c>
      <c r="I628" s="56">
        <f t="shared" si="102"/>
        <v>0</v>
      </c>
      <c r="J628" s="59">
        <v>100</v>
      </c>
      <c r="K628" s="59">
        <v>300</v>
      </c>
      <c r="L628" s="56">
        <f t="shared" si="96"/>
        <v>1274</v>
      </c>
      <c r="M628" s="66">
        <v>600</v>
      </c>
      <c r="N628" s="56">
        <f>75</f>
        <v>75</v>
      </c>
      <c r="O628" s="59">
        <v>240</v>
      </c>
      <c r="P628" s="59">
        <v>40</v>
      </c>
      <c r="Q628" s="59">
        <f t="shared" si="97"/>
        <v>315</v>
      </c>
      <c r="R628" s="59">
        <f t="shared" si="98"/>
        <v>100</v>
      </c>
      <c r="S628" s="56">
        <f t="shared" si="99"/>
        <v>695</v>
      </c>
      <c r="T628" s="56">
        <f>50</f>
        <v>50</v>
      </c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</row>
    <row r="629" spans="1:30" ht="15.75" x14ac:dyDescent="0.25">
      <c r="A629" s="13">
        <v>60448</v>
      </c>
      <c r="B629" s="67">
        <f t="shared" si="94"/>
        <v>30</v>
      </c>
      <c r="C629" s="56">
        <f>194.205</f>
        <v>194.20500000000001</v>
      </c>
      <c r="D629" s="56">
        <f>267.466</f>
        <v>267.46600000000001</v>
      </c>
      <c r="E629" s="64">
        <f>133.845</f>
        <v>133.845</v>
      </c>
      <c r="F629" s="56">
        <f>278.484-40-25-60-100</f>
        <v>53.48399999999998</v>
      </c>
      <c r="G629" s="59">
        <v>40</v>
      </c>
      <c r="H629" s="56">
        <f t="shared" si="103"/>
        <v>185</v>
      </c>
      <c r="I629" s="56">
        <f t="shared" si="102"/>
        <v>0</v>
      </c>
      <c r="J629" s="59">
        <v>100</v>
      </c>
      <c r="K629" s="59">
        <v>300</v>
      </c>
      <c r="L629" s="56">
        <f t="shared" si="96"/>
        <v>1274</v>
      </c>
      <c r="M629" s="66">
        <v>600</v>
      </c>
      <c r="N629" s="56">
        <f>30</f>
        <v>30</v>
      </c>
      <c r="O629" s="59">
        <v>240</v>
      </c>
      <c r="P629" s="59">
        <v>40</v>
      </c>
      <c r="Q629" s="59">
        <f t="shared" si="97"/>
        <v>315</v>
      </c>
      <c r="R629" s="59">
        <f t="shared" si="98"/>
        <v>100</v>
      </c>
      <c r="S629" s="56">
        <f t="shared" si="99"/>
        <v>695</v>
      </c>
      <c r="T629" s="56">
        <f>50</f>
        <v>50</v>
      </c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</row>
    <row r="630" spans="1:30" ht="15.75" x14ac:dyDescent="0.25">
      <c r="A630" s="13">
        <v>60479</v>
      </c>
      <c r="B630" s="67">
        <f t="shared" si="94"/>
        <v>31</v>
      </c>
      <c r="C630" s="56">
        <f>194.205</f>
        <v>194.20500000000001</v>
      </c>
      <c r="D630" s="56">
        <f>267.466</f>
        <v>267.46600000000001</v>
      </c>
      <c r="E630" s="64">
        <f>133.845</f>
        <v>133.845</v>
      </c>
      <c r="F630" s="56">
        <f>278.484-40-25-60-100</f>
        <v>53.48399999999998</v>
      </c>
      <c r="G630" s="59">
        <v>40</v>
      </c>
      <c r="H630" s="56">
        <f t="shared" si="103"/>
        <v>185</v>
      </c>
      <c r="I630" s="56">
        <f t="shared" si="102"/>
        <v>0</v>
      </c>
      <c r="J630" s="59">
        <v>100</v>
      </c>
      <c r="K630" s="59">
        <v>300</v>
      </c>
      <c r="L630" s="56">
        <f t="shared" si="96"/>
        <v>1274</v>
      </c>
      <c r="M630" s="66">
        <v>600</v>
      </c>
      <c r="N630" s="56">
        <f>30</f>
        <v>30</v>
      </c>
      <c r="O630" s="59">
        <v>240</v>
      </c>
      <c r="P630" s="59">
        <v>40</v>
      </c>
      <c r="Q630" s="59">
        <f t="shared" si="97"/>
        <v>315</v>
      </c>
      <c r="R630" s="59">
        <f t="shared" si="98"/>
        <v>100</v>
      </c>
      <c r="S630" s="56">
        <f t="shared" si="99"/>
        <v>695</v>
      </c>
      <c r="T630" s="56">
        <f>0</f>
        <v>0</v>
      </c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</row>
    <row r="631" spans="1:30" ht="15.75" x14ac:dyDescent="0.25">
      <c r="A631" s="13">
        <v>60510</v>
      </c>
      <c r="B631" s="67">
        <f t="shared" si="94"/>
        <v>31</v>
      </c>
      <c r="C631" s="56">
        <f>194.205</f>
        <v>194.20500000000001</v>
      </c>
      <c r="D631" s="56">
        <f>267.466</f>
        <v>267.46600000000001</v>
      </c>
      <c r="E631" s="64">
        <f>133.845</f>
        <v>133.845</v>
      </c>
      <c r="F631" s="56">
        <f>278.484-40-25-60-100</f>
        <v>53.48399999999998</v>
      </c>
      <c r="G631" s="59">
        <v>40</v>
      </c>
      <c r="H631" s="56">
        <f t="shared" si="103"/>
        <v>185</v>
      </c>
      <c r="I631" s="56">
        <f t="shared" si="102"/>
        <v>0</v>
      </c>
      <c r="J631" s="59">
        <v>100</v>
      </c>
      <c r="K631" s="59">
        <v>300</v>
      </c>
      <c r="L631" s="56">
        <f t="shared" si="96"/>
        <v>1274</v>
      </c>
      <c r="M631" s="66">
        <v>600</v>
      </c>
      <c r="N631" s="56">
        <f>30</f>
        <v>30</v>
      </c>
      <c r="O631" s="59">
        <v>240</v>
      </c>
      <c r="P631" s="59">
        <v>40</v>
      </c>
      <c r="Q631" s="59">
        <f t="shared" si="97"/>
        <v>315</v>
      </c>
      <c r="R631" s="59">
        <f t="shared" si="98"/>
        <v>100</v>
      </c>
      <c r="S631" s="56">
        <f t="shared" si="99"/>
        <v>695</v>
      </c>
      <c r="T631" s="56">
        <f>0</f>
        <v>0</v>
      </c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</row>
    <row r="632" spans="1:30" ht="15.75" x14ac:dyDescent="0.25">
      <c r="A632" s="13">
        <v>60540</v>
      </c>
      <c r="B632" s="67">
        <f t="shared" si="94"/>
        <v>30</v>
      </c>
      <c r="C632" s="56">
        <f>194.205</f>
        <v>194.20500000000001</v>
      </c>
      <c r="D632" s="56">
        <f>267.466</f>
        <v>267.46600000000001</v>
      </c>
      <c r="E632" s="64">
        <f>133.845</f>
        <v>133.845</v>
      </c>
      <c r="F632" s="56">
        <f>278.484-40-25-60-100</f>
        <v>53.48399999999998</v>
      </c>
      <c r="G632" s="59">
        <v>40</v>
      </c>
      <c r="H632" s="56">
        <f t="shared" si="103"/>
        <v>185</v>
      </c>
      <c r="I632" s="56">
        <f t="shared" si="102"/>
        <v>0</v>
      </c>
      <c r="J632" s="59">
        <v>100</v>
      </c>
      <c r="K632" s="59">
        <v>300</v>
      </c>
      <c r="L632" s="56">
        <f t="shared" si="96"/>
        <v>1274</v>
      </c>
      <c r="M632" s="66">
        <v>600</v>
      </c>
      <c r="N632" s="56">
        <f>30</f>
        <v>30</v>
      </c>
      <c r="O632" s="59">
        <v>240</v>
      </c>
      <c r="P632" s="59">
        <v>40</v>
      </c>
      <c r="Q632" s="59">
        <f t="shared" si="97"/>
        <v>315</v>
      </c>
      <c r="R632" s="59">
        <f t="shared" si="98"/>
        <v>100</v>
      </c>
      <c r="S632" s="56">
        <f t="shared" si="99"/>
        <v>695</v>
      </c>
      <c r="T632" s="56">
        <f>0</f>
        <v>0</v>
      </c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</row>
    <row r="633" spans="1:30" ht="15.75" x14ac:dyDescent="0.25">
      <c r="A633" s="13">
        <v>60571</v>
      </c>
      <c r="B633" s="67">
        <f t="shared" si="94"/>
        <v>31</v>
      </c>
      <c r="C633" s="56">
        <f>131.881</f>
        <v>131.881</v>
      </c>
      <c r="D633" s="56">
        <f>277.167</f>
        <v>277.16699999999997</v>
      </c>
      <c r="E633" s="64">
        <f>79.08</f>
        <v>79.08</v>
      </c>
      <c r="F633" s="56">
        <f>350.872-40-25-60-100</f>
        <v>125.87200000000001</v>
      </c>
      <c r="G633" s="59">
        <v>40</v>
      </c>
      <c r="H633" s="56">
        <f t="shared" si="103"/>
        <v>185</v>
      </c>
      <c r="I633" s="56">
        <f t="shared" si="102"/>
        <v>0</v>
      </c>
      <c r="J633" s="59">
        <v>100</v>
      </c>
      <c r="K633" s="59">
        <v>300</v>
      </c>
      <c r="L633" s="56">
        <f t="shared" si="96"/>
        <v>1239</v>
      </c>
      <c r="M633" s="66">
        <v>600</v>
      </c>
      <c r="N633" s="56">
        <f>75</f>
        <v>75</v>
      </c>
      <c r="O633" s="59">
        <v>240</v>
      </c>
      <c r="P633" s="59">
        <v>40</v>
      </c>
      <c r="Q633" s="59">
        <f t="shared" si="97"/>
        <v>315</v>
      </c>
      <c r="R633" s="59">
        <f t="shared" si="98"/>
        <v>100</v>
      </c>
      <c r="S633" s="56">
        <f t="shared" si="99"/>
        <v>695</v>
      </c>
      <c r="T633" s="56">
        <f>0</f>
        <v>0</v>
      </c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</row>
    <row r="634" spans="1:30" ht="15.75" x14ac:dyDescent="0.25">
      <c r="A634" s="13">
        <v>60601</v>
      </c>
      <c r="B634" s="67">
        <f t="shared" si="94"/>
        <v>30</v>
      </c>
      <c r="C634" s="56">
        <f>122.58</f>
        <v>122.58</v>
      </c>
      <c r="D634" s="56">
        <f>297.941</f>
        <v>297.94099999999997</v>
      </c>
      <c r="E634" s="64">
        <f>89.177</f>
        <v>89.177000000000007</v>
      </c>
      <c r="F634" s="56">
        <f>240.302-40-60-100</f>
        <v>40.301999999999992</v>
      </c>
      <c r="G634" s="59">
        <v>40</v>
      </c>
      <c r="H634" s="56">
        <f>60+100</f>
        <v>160</v>
      </c>
      <c r="I634" s="56">
        <f t="shared" si="102"/>
        <v>0</v>
      </c>
      <c r="J634" s="59">
        <v>100</v>
      </c>
      <c r="K634" s="59">
        <v>300</v>
      </c>
      <c r="L634" s="56">
        <f t="shared" si="96"/>
        <v>1150</v>
      </c>
      <c r="M634" s="66">
        <v>600</v>
      </c>
      <c r="N634" s="56">
        <f>100</f>
        <v>100</v>
      </c>
      <c r="O634" s="59">
        <v>240</v>
      </c>
      <c r="P634" s="59">
        <v>40</v>
      </c>
      <c r="Q634" s="59">
        <f t="shared" si="97"/>
        <v>315</v>
      </c>
      <c r="R634" s="59">
        <f t="shared" si="98"/>
        <v>100</v>
      </c>
      <c r="S634" s="56">
        <f t="shared" si="99"/>
        <v>695</v>
      </c>
      <c r="T634" s="56">
        <f>50</f>
        <v>50</v>
      </c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</row>
    <row r="635" spans="1:30" ht="15.75" x14ac:dyDescent="0.25">
      <c r="A635" s="13">
        <v>60632</v>
      </c>
      <c r="B635" s="67">
        <f t="shared" si="94"/>
        <v>31</v>
      </c>
      <c r="C635" s="56">
        <f>122.58</f>
        <v>122.58</v>
      </c>
      <c r="D635" s="56">
        <f>297.941</f>
        <v>297.94099999999997</v>
      </c>
      <c r="E635" s="64">
        <f>89.177</f>
        <v>89.177000000000007</v>
      </c>
      <c r="F635" s="56">
        <f>240.302-40-60-100</f>
        <v>40.301999999999992</v>
      </c>
      <c r="G635" s="59">
        <v>40</v>
      </c>
      <c r="H635" s="56">
        <f>60+100</f>
        <v>160</v>
      </c>
      <c r="I635" s="56">
        <f t="shared" si="102"/>
        <v>0</v>
      </c>
      <c r="J635" s="59">
        <v>100</v>
      </c>
      <c r="K635" s="59">
        <v>300</v>
      </c>
      <c r="L635" s="56">
        <f t="shared" si="96"/>
        <v>1150</v>
      </c>
      <c r="M635" s="66">
        <v>600</v>
      </c>
      <c r="N635" s="56">
        <f>100</f>
        <v>100</v>
      </c>
      <c r="O635" s="59">
        <v>240</v>
      </c>
      <c r="P635" s="59">
        <v>40</v>
      </c>
      <c r="Q635" s="59">
        <f t="shared" si="97"/>
        <v>315</v>
      </c>
      <c r="R635" s="59">
        <f t="shared" si="98"/>
        <v>100</v>
      </c>
      <c r="S635" s="56">
        <f t="shared" si="99"/>
        <v>695</v>
      </c>
      <c r="T635" s="56">
        <f>50</f>
        <v>50</v>
      </c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</row>
    <row r="636" spans="1:30" ht="15.75" x14ac:dyDescent="0.25">
      <c r="A636" s="13">
        <v>60663</v>
      </c>
      <c r="B636" s="67">
        <f t="shared" si="94"/>
        <v>31</v>
      </c>
      <c r="C636" s="56">
        <f>122.58</f>
        <v>122.58</v>
      </c>
      <c r="D636" s="56">
        <f>297.941</f>
        <v>297.94099999999997</v>
      </c>
      <c r="E636" s="64">
        <f>89.177</f>
        <v>89.177000000000007</v>
      </c>
      <c r="F636" s="56">
        <f>240.302-40-60-100</f>
        <v>40.301999999999992</v>
      </c>
      <c r="G636" s="59">
        <v>40</v>
      </c>
      <c r="H636" s="56">
        <f>60+100</f>
        <v>160</v>
      </c>
      <c r="I636" s="56">
        <f t="shared" si="102"/>
        <v>0</v>
      </c>
      <c r="J636" s="59">
        <v>100</v>
      </c>
      <c r="K636" s="59">
        <v>300</v>
      </c>
      <c r="L636" s="56">
        <f t="shared" si="96"/>
        <v>1150</v>
      </c>
      <c r="M636" s="66">
        <v>600</v>
      </c>
      <c r="N636" s="56">
        <f>100</f>
        <v>100</v>
      </c>
      <c r="O636" s="59">
        <v>240</v>
      </c>
      <c r="P636" s="59">
        <v>40</v>
      </c>
      <c r="Q636" s="59">
        <f t="shared" si="97"/>
        <v>315</v>
      </c>
      <c r="R636" s="59">
        <f t="shared" si="98"/>
        <v>100</v>
      </c>
      <c r="S636" s="56">
        <f t="shared" si="99"/>
        <v>695</v>
      </c>
      <c r="T636" s="56">
        <f>50</f>
        <v>50</v>
      </c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</row>
    <row r="637" spans="1:30" ht="15.75" x14ac:dyDescent="0.25">
      <c r="A637" s="13">
        <v>60691</v>
      </c>
      <c r="B637" s="67">
        <f t="shared" si="94"/>
        <v>28</v>
      </c>
      <c r="C637" s="56">
        <f>122.58</f>
        <v>122.58</v>
      </c>
      <c r="D637" s="56">
        <f>297.941</f>
        <v>297.94099999999997</v>
      </c>
      <c r="E637" s="64">
        <f>89.177</f>
        <v>89.177000000000007</v>
      </c>
      <c r="F637" s="56">
        <f>240.302-40-60-100</f>
        <v>40.301999999999992</v>
      </c>
      <c r="G637" s="59">
        <v>40</v>
      </c>
      <c r="H637" s="56">
        <f>60+100</f>
        <v>160</v>
      </c>
      <c r="I637" s="56">
        <f t="shared" si="102"/>
        <v>0</v>
      </c>
      <c r="J637" s="59">
        <v>100</v>
      </c>
      <c r="K637" s="59">
        <v>300</v>
      </c>
      <c r="L637" s="56">
        <f t="shared" si="96"/>
        <v>1150</v>
      </c>
      <c r="M637" s="66">
        <v>600</v>
      </c>
      <c r="N637" s="56">
        <f>100</f>
        <v>100</v>
      </c>
      <c r="O637" s="59">
        <v>240</v>
      </c>
      <c r="P637" s="59">
        <v>40</v>
      </c>
      <c r="Q637" s="59">
        <f t="shared" si="97"/>
        <v>315</v>
      </c>
      <c r="R637" s="59">
        <f t="shared" si="98"/>
        <v>100</v>
      </c>
      <c r="S637" s="56">
        <f t="shared" si="99"/>
        <v>695</v>
      </c>
      <c r="T637" s="56">
        <f>50</f>
        <v>50</v>
      </c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</row>
    <row r="638" spans="1:30" ht="15.75" x14ac:dyDescent="0.25">
      <c r="A638" s="13">
        <v>60722</v>
      </c>
      <c r="B638" s="67">
        <f t="shared" si="94"/>
        <v>31</v>
      </c>
      <c r="C638" s="56">
        <f>122.58</f>
        <v>122.58</v>
      </c>
      <c r="D638" s="56">
        <f>297.941</f>
        <v>297.94099999999997</v>
      </c>
      <c r="E638" s="64">
        <f>89.177</f>
        <v>89.177000000000007</v>
      </c>
      <c r="F638" s="56">
        <f>240.302-40-60-100</f>
        <v>40.301999999999992</v>
      </c>
      <c r="G638" s="59">
        <v>40</v>
      </c>
      <c r="H638" s="56">
        <f>60+100</f>
        <v>160</v>
      </c>
      <c r="I638" s="56">
        <f t="shared" si="102"/>
        <v>0</v>
      </c>
      <c r="J638" s="59">
        <v>100</v>
      </c>
      <c r="K638" s="59">
        <v>300</v>
      </c>
      <c r="L638" s="56">
        <f t="shared" si="96"/>
        <v>1150</v>
      </c>
      <c r="M638" s="66">
        <v>600</v>
      </c>
      <c r="N638" s="56">
        <f>100</f>
        <v>100</v>
      </c>
      <c r="O638" s="59">
        <v>240</v>
      </c>
      <c r="P638" s="59">
        <v>40</v>
      </c>
      <c r="Q638" s="59">
        <f t="shared" si="97"/>
        <v>315</v>
      </c>
      <c r="R638" s="59">
        <f t="shared" si="98"/>
        <v>100</v>
      </c>
      <c r="S638" s="56">
        <f t="shared" si="99"/>
        <v>695</v>
      </c>
      <c r="T638" s="56">
        <f>50</f>
        <v>50</v>
      </c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</row>
    <row r="639" spans="1:30" ht="15.75" x14ac:dyDescent="0.25">
      <c r="A639" s="13">
        <v>60752</v>
      </c>
      <c r="B639" s="67">
        <f t="shared" si="94"/>
        <v>30</v>
      </c>
      <c r="C639" s="56">
        <f>141.293</f>
        <v>141.29300000000001</v>
      </c>
      <c r="D639" s="56">
        <f>267.993</f>
        <v>267.99299999999999</v>
      </c>
      <c r="E639" s="64">
        <f>115.016</f>
        <v>115.01600000000001</v>
      </c>
      <c r="F639" s="56">
        <f>314.698-40-25-60-100</f>
        <v>89.697999999999979</v>
      </c>
      <c r="G639" s="59">
        <v>40</v>
      </c>
      <c r="H639" s="56">
        <f t="shared" ref="H639:H645" si="104">25+60+100</f>
        <v>185</v>
      </c>
      <c r="I639" s="56">
        <f t="shared" si="102"/>
        <v>0</v>
      </c>
      <c r="J639" s="59">
        <v>100</v>
      </c>
      <c r="K639" s="59">
        <v>300</v>
      </c>
      <c r="L639" s="56">
        <f t="shared" si="96"/>
        <v>1239</v>
      </c>
      <c r="M639" s="66">
        <v>600</v>
      </c>
      <c r="N639" s="56">
        <f>100</f>
        <v>100</v>
      </c>
      <c r="O639" s="59">
        <v>240</v>
      </c>
      <c r="P639" s="59">
        <v>40</v>
      </c>
      <c r="Q639" s="59">
        <f t="shared" si="97"/>
        <v>315</v>
      </c>
      <c r="R639" s="59">
        <f t="shared" si="98"/>
        <v>100</v>
      </c>
      <c r="S639" s="56">
        <f t="shared" si="99"/>
        <v>695</v>
      </c>
      <c r="T639" s="56">
        <f>50</f>
        <v>50</v>
      </c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</row>
    <row r="640" spans="1:30" ht="15.75" x14ac:dyDescent="0.25">
      <c r="A640" s="13">
        <v>60783</v>
      </c>
      <c r="B640" s="67">
        <f t="shared" si="94"/>
        <v>31</v>
      </c>
      <c r="C640" s="56">
        <f>194.205</f>
        <v>194.20500000000001</v>
      </c>
      <c r="D640" s="56">
        <f>267.466</f>
        <v>267.46600000000001</v>
      </c>
      <c r="E640" s="64">
        <f>133.845</f>
        <v>133.845</v>
      </c>
      <c r="F640" s="56">
        <f>278.484-40-25-60-100</f>
        <v>53.48399999999998</v>
      </c>
      <c r="G640" s="59">
        <v>40</v>
      </c>
      <c r="H640" s="56">
        <f t="shared" si="104"/>
        <v>185</v>
      </c>
      <c r="I640" s="56">
        <f t="shared" si="102"/>
        <v>0</v>
      </c>
      <c r="J640" s="59">
        <v>100</v>
      </c>
      <c r="K640" s="59">
        <v>300</v>
      </c>
      <c r="L640" s="56">
        <f t="shared" si="96"/>
        <v>1274</v>
      </c>
      <c r="M640" s="66">
        <v>600</v>
      </c>
      <c r="N640" s="56">
        <f>75</f>
        <v>75</v>
      </c>
      <c r="O640" s="59">
        <v>240</v>
      </c>
      <c r="P640" s="59">
        <v>40</v>
      </c>
      <c r="Q640" s="59">
        <f t="shared" si="97"/>
        <v>315</v>
      </c>
      <c r="R640" s="59">
        <f t="shared" si="98"/>
        <v>100</v>
      </c>
      <c r="S640" s="56">
        <f t="shared" si="99"/>
        <v>695</v>
      </c>
      <c r="T640" s="56">
        <f>50</f>
        <v>50</v>
      </c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</row>
    <row r="641" spans="1:30" ht="15.75" x14ac:dyDescent="0.25">
      <c r="A641" s="13">
        <v>60813</v>
      </c>
      <c r="B641" s="67">
        <f t="shared" si="94"/>
        <v>30</v>
      </c>
      <c r="C641" s="56">
        <f>194.205</f>
        <v>194.20500000000001</v>
      </c>
      <c r="D641" s="56">
        <f>267.466</f>
        <v>267.46600000000001</v>
      </c>
      <c r="E641" s="64">
        <f>133.845</f>
        <v>133.845</v>
      </c>
      <c r="F641" s="56">
        <f>278.484-40-25-60-100</f>
        <v>53.48399999999998</v>
      </c>
      <c r="G641" s="59">
        <v>40</v>
      </c>
      <c r="H641" s="56">
        <f t="shared" si="104"/>
        <v>185</v>
      </c>
      <c r="I641" s="56">
        <f t="shared" si="102"/>
        <v>0</v>
      </c>
      <c r="J641" s="59">
        <v>100</v>
      </c>
      <c r="K641" s="59">
        <v>300</v>
      </c>
      <c r="L641" s="56">
        <f t="shared" si="96"/>
        <v>1274</v>
      </c>
      <c r="M641" s="66">
        <v>600</v>
      </c>
      <c r="N641" s="56">
        <f>30</f>
        <v>30</v>
      </c>
      <c r="O641" s="59">
        <v>240</v>
      </c>
      <c r="P641" s="59">
        <v>40</v>
      </c>
      <c r="Q641" s="59">
        <f t="shared" si="97"/>
        <v>315</v>
      </c>
      <c r="R641" s="59">
        <f t="shared" si="98"/>
        <v>100</v>
      </c>
      <c r="S641" s="56">
        <f t="shared" si="99"/>
        <v>695</v>
      </c>
      <c r="T641" s="56">
        <f>50</f>
        <v>50</v>
      </c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</row>
    <row r="642" spans="1:30" ht="15.75" x14ac:dyDescent="0.25">
      <c r="A642" s="13">
        <v>60844</v>
      </c>
      <c r="B642" s="67">
        <f t="shared" si="94"/>
        <v>31</v>
      </c>
      <c r="C642" s="56">
        <f>194.205</f>
        <v>194.20500000000001</v>
      </c>
      <c r="D642" s="56">
        <f>267.466</f>
        <v>267.46600000000001</v>
      </c>
      <c r="E642" s="64">
        <f>133.845</f>
        <v>133.845</v>
      </c>
      <c r="F642" s="56">
        <f>278.484-40-25-60-100</f>
        <v>53.48399999999998</v>
      </c>
      <c r="G642" s="59">
        <v>40</v>
      </c>
      <c r="H642" s="56">
        <f t="shared" si="104"/>
        <v>185</v>
      </c>
      <c r="I642" s="56">
        <f t="shared" si="102"/>
        <v>0</v>
      </c>
      <c r="J642" s="59">
        <v>100</v>
      </c>
      <c r="K642" s="59">
        <v>300</v>
      </c>
      <c r="L642" s="56">
        <f t="shared" si="96"/>
        <v>1274</v>
      </c>
      <c r="M642" s="66">
        <v>600</v>
      </c>
      <c r="N642" s="56">
        <f>30</f>
        <v>30</v>
      </c>
      <c r="O642" s="59">
        <v>240</v>
      </c>
      <c r="P642" s="59">
        <v>40</v>
      </c>
      <c r="Q642" s="59">
        <f t="shared" si="97"/>
        <v>315</v>
      </c>
      <c r="R642" s="59">
        <f t="shared" si="98"/>
        <v>100</v>
      </c>
      <c r="S642" s="56">
        <f t="shared" si="99"/>
        <v>695</v>
      </c>
      <c r="T642" s="56">
        <f>0</f>
        <v>0</v>
      </c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</row>
    <row r="643" spans="1:30" ht="15.75" x14ac:dyDescent="0.25">
      <c r="A643" s="13">
        <v>60875</v>
      </c>
      <c r="B643" s="67">
        <f t="shared" si="94"/>
        <v>31</v>
      </c>
      <c r="C643" s="56">
        <f>194.205</f>
        <v>194.20500000000001</v>
      </c>
      <c r="D643" s="56">
        <f>267.466</f>
        <v>267.46600000000001</v>
      </c>
      <c r="E643" s="64">
        <f>133.845</f>
        <v>133.845</v>
      </c>
      <c r="F643" s="56">
        <f>278.484-40-25-60-100</f>
        <v>53.48399999999998</v>
      </c>
      <c r="G643" s="59">
        <v>40</v>
      </c>
      <c r="H643" s="56">
        <f t="shared" si="104"/>
        <v>185</v>
      </c>
      <c r="I643" s="56">
        <f t="shared" si="102"/>
        <v>0</v>
      </c>
      <c r="J643" s="59">
        <v>100</v>
      </c>
      <c r="K643" s="59">
        <v>300</v>
      </c>
      <c r="L643" s="56">
        <f t="shared" si="96"/>
        <v>1274</v>
      </c>
      <c r="M643" s="66">
        <v>600</v>
      </c>
      <c r="N643" s="56">
        <f>30</f>
        <v>30</v>
      </c>
      <c r="O643" s="59">
        <v>240</v>
      </c>
      <c r="P643" s="59">
        <v>40</v>
      </c>
      <c r="Q643" s="59">
        <f t="shared" si="97"/>
        <v>315</v>
      </c>
      <c r="R643" s="59">
        <f t="shared" si="98"/>
        <v>100</v>
      </c>
      <c r="S643" s="56">
        <f t="shared" si="99"/>
        <v>695</v>
      </c>
      <c r="T643" s="56">
        <f>0</f>
        <v>0</v>
      </c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</row>
    <row r="644" spans="1:30" ht="15.75" x14ac:dyDescent="0.25">
      <c r="A644" s="13">
        <v>60905</v>
      </c>
      <c r="B644" s="67">
        <f t="shared" si="94"/>
        <v>30</v>
      </c>
      <c r="C644" s="56">
        <f>194.205</f>
        <v>194.20500000000001</v>
      </c>
      <c r="D644" s="56">
        <f>267.466</f>
        <v>267.46600000000001</v>
      </c>
      <c r="E644" s="64">
        <f>133.845</f>
        <v>133.845</v>
      </c>
      <c r="F644" s="56">
        <f>278.484-40-25-60-100</f>
        <v>53.48399999999998</v>
      </c>
      <c r="G644" s="59">
        <v>40</v>
      </c>
      <c r="H644" s="56">
        <f t="shared" si="104"/>
        <v>185</v>
      </c>
      <c r="I644" s="56">
        <f t="shared" si="102"/>
        <v>0</v>
      </c>
      <c r="J644" s="59">
        <v>100</v>
      </c>
      <c r="K644" s="59">
        <v>300</v>
      </c>
      <c r="L644" s="56">
        <f t="shared" si="96"/>
        <v>1274</v>
      </c>
      <c r="M644" s="66">
        <v>600</v>
      </c>
      <c r="N644" s="56">
        <f>30</f>
        <v>30</v>
      </c>
      <c r="O644" s="59">
        <v>240</v>
      </c>
      <c r="P644" s="59">
        <v>40</v>
      </c>
      <c r="Q644" s="59">
        <f t="shared" si="97"/>
        <v>315</v>
      </c>
      <c r="R644" s="59">
        <f t="shared" si="98"/>
        <v>100</v>
      </c>
      <c r="S644" s="56">
        <f t="shared" si="99"/>
        <v>695</v>
      </c>
      <c r="T644" s="56">
        <f>0</f>
        <v>0</v>
      </c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</row>
    <row r="645" spans="1:30" ht="15.75" x14ac:dyDescent="0.25">
      <c r="A645" s="13">
        <v>60936</v>
      </c>
      <c r="B645" s="67">
        <f t="shared" si="94"/>
        <v>31</v>
      </c>
      <c r="C645" s="56">
        <f>131.881</f>
        <v>131.881</v>
      </c>
      <c r="D645" s="56">
        <f>277.167</f>
        <v>277.16699999999997</v>
      </c>
      <c r="E645" s="64">
        <f>79.08</f>
        <v>79.08</v>
      </c>
      <c r="F645" s="56">
        <f>350.872-40-25-60-100</f>
        <v>125.87200000000001</v>
      </c>
      <c r="G645" s="59">
        <v>40</v>
      </c>
      <c r="H645" s="56">
        <f t="shared" si="104"/>
        <v>185</v>
      </c>
      <c r="I645" s="56">
        <f t="shared" si="102"/>
        <v>0</v>
      </c>
      <c r="J645" s="59">
        <v>100</v>
      </c>
      <c r="K645" s="59">
        <v>300</v>
      </c>
      <c r="L645" s="56">
        <f t="shared" si="96"/>
        <v>1239</v>
      </c>
      <c r="M645" s="66">
        <v>600</v>
      </c>
      <c r="N645" s="56">
        <f>75</f>
        <v>75</v>
      </c>
      <c r="O645" s="59">
        <v>240</v>
      </c>
      <c r="P645" s="59">
        <v>40</v>
      </c>
      <c r="Q645" s="59">
        <f t="shared" si="97"/>
        <v>315</v>
      </c>
      <c r="R645" s="59">
        <f t="shared" si="98"/>
        <v>100</v>
      </c>
      <c r="S645" s="56">
        <f t="shared" si="99"/>
        <v>695</v>
      </c>
      <c r="T645" s="56">
        <f>0</f>
        <v>0</v>
      </c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</row>
    <row r="646" spans="1:30" ht="15.75" x14ac:dyDescent="0.25">
      <c r="A646" s="13">
        <v>60966</v>
      </c>
      <c r="B646" s="67">
        <f t="shared" si="94"/>
        <v>30</v>
      </c>
      <c r="C646" s="56">
        <f>122.58</f>
        <v>122.58</v>
      </c>
      <c r="D646" s="56">
        <f>297.941</f>
        <v>297.94099999999997</v>
      </c>
      <c r="E646" s="64">
        <f>89.177</f>
        <v>89.177000000000007</v>
      </c>
      <c r="F646" s="56">
        <f>240.302-40-60-100</f>
        <v>40.301999999999992</v>
      </c>
      <c r="G646" s="59">
        <v>40</v>
      </c>
      <c r="H646" s="56">
        <f>60+100</f>
        <v>160</v>
      </c>
      <c r="I646" s="56">
        <f t="shared" si="102"/>
        <v>0</v>
      </c>
      <c r="J646" s="59">
        <v>100</v>
      </c>
      <c r="K646" s="59">
        <v>300</v>
      </c>
      <c r="L646" s="56">
        <f t="shared" si="96"/>
        <v>1150</v>
      </c>
      <c r="M646" s="66">
        <v>600</v>
      </c>
      <c r="N646" s="56">
        <f>100</f>
        <v>100</v>
      </c>
      <c r="O646" s="59">
        <v>240</v>
      </c>
      <c r="P646" s="59">
        <v>40</v>
      </c>
      <c r="Q646" s="59">
        <f t="shared" si="97"/>
        <v>315</v>
      </c>
      <c r="R646" s="59">
        <f t="shared" si="98"/>
        <v>100</v>
      </c>
      <c r="S646" s="56">
        <f t="shared" si="99"/>
        <v>695</v>
      </c>
      <c r="T646" s="56">
        <f>50</f>
        <v>50</v>
      </c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</row>
    <row r="647" spans="1:30" ht="15.75" x14ac:dyDescent="0.25">
      <c r="A647" s="13">
        <v>60997</v>
      </c>
      <c r="B647" s="67">
        <f t="shared" si="94"/>
        <v>31</v>
      </c>
      <c r="C647" s="56">
        <f>122.58</f>
        <v>122.58</v>
      </c>
      <c r="D647" s="56">
        <f>297.941</f>
        <v>297.94099999999997</v>
      </c>
      <c r="E647" s="64">
        <f>89.177</f>
        <v>89.177000000000007</v>
      </c>
      <c r="F647" s="56">
        <f>240.302-40-60-100</f>
        <v>40.301999999999992</v>
      </c>
      <c r="G647" s="59">
        <v>40</v>
      </c>
      <c r="H647" s="56">
        <f>60+100</f>
        <v>160</v>
      </c>
      <c r="I647" s="56">
        <f t="shared" si="102"/>
        <v>0</v>
      </c>
      <c r="J647" s="59">
        <v>100</v>
      </c>
      <c r="K647" s="59">
        <v>300</v>
      </c>
      <c r="L647" s="56">
        <f t="shared" si="96"/>
        <v>1150</v>
      </c>
      <c r="M647" s="66">
        <v>600</v>
      </c>
      <c r="N647" s="56">
        <f>100</f>
        <v>100</v>
      </c>
      <c r="O647" s="59">
        <v>240</v>
      </c>
      <c r="P647" s="59">
        <v>40</v>
      </c>
      <c r="Q647" s="59">
        <f t="shared" si="97"/>
        <v>315</v>
      </c>
      <c r="R647" s="59">
        <f t="shared" si="98"/>
        <v>100</v>
      </c>
      <c r="S647" s="56">
        <f t="shared" si="99"/>
        <v>695</v>
      </c>
      <c r="T647" s="56">
        <f>50</f>
        <v>50</v>
      </c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</row>
    <row r="648" spans="1:30" ht="15.75" x14ac:dyDescent="0.25">
      <c r="A648" s="13">
        <v>61028</v>
      </c>
      <c r="B648" s="67">
        <f t="shared" si="94"/>
        <v>31</v>
      </c>
      <c r="C648" s="56">
        <f>122.58</f>
        <v>122.58</v>
      </c>
      <c r="D648" s="56">
        <f>297.941</f>
        <v>297.94099999999997</v>
      </c>
      <c r="E648" s="64">
        <f>89.177</f>
        <v>89.177000000000007</v>
      </c>
      <c r="F648" s="56">
        <f>240.302-40-60-100</f>
        <v>40.301999999999992</v>
      </c>
      <c r="G648" s="59">
        <v>40</v>
      </c>
      <c r="H648" s="56">
        <f>60+100</f>
        <v>160</v>
      </c>
      <c r="I648" s="56">
        <f t="shared" si="102"/>
        <v>0</v>
      </c>
      <c r="J648" s="59">
        <v>100</v>
      </c>
      <c r="K648" s="59">
        <v>300</v>
      </c>
      <c r="L648" s="56">
        <f t="shared" si="96"/>
        <v>1150</v>
      </c>
      <c r="M648" s="66">
        <v>600</v>
      </c>
      <c r="N648" s="56">
        <f>100</f>
        <v>100</v>
      </c>
      <c r="O648" s="59">
        <v>240</v>
      </c>
      <c r="P648" s="59">
        <v>40</v>
      </c>
      <c r="Q648" s="59">
        <f t="shared" si="97"/>
        <v>315</v>
      </c>
      <c r="R648" s="59">
        <f t="shared" si="98"/>
        <v>100</v>
      </c>
      <c r="S648" s="56">
        <f t="shared" si="99"/>
        <v>695</v>
      </c>
      <c r="T648" s="56">
        <f>50</f>
        <v>50</v>
      </c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</row>
    <row r="649" spans="1:30" ht="15.75" x14ac:dyDescent="0.25">
      <c r="A649" s="13">
        <v>61056</v>
      </c>
      <c r="B649" s="67">
        <f t="shared" si="94"/>
        <v>28</v>
      </c>
      <c r="C649" s="56">
        <f>122.58</f>
        <v>122.58</v>
      </c>
      <c r="D649" s="56">
        <f>297.941</f>
        <v>297.94099999999997</v>
      </c>
      <c r="E649" s="64">
        <f>89.177</f>
        <v>89.177000000000007</v>
      </c>
      <c r="F649" s="56">
        <f>240.302-40-60-100</f>
        <v>40.301999999999992</v>
      </c>
      <c r="G649" s="59">
        <v>40</v>
      </c>
      <c r="H649" s="56">
        <f>60+100</f>
        <v>160</v>
      </c>
      <c r="I649" s="56">
        <f t="shared" si="102"/>
        <v>0</v>
      </c>
      <c r="J649" s="59">
        <v>100</v>
      </c>
      <c r="K649" s="59">
        <v>300</v>
      </c>
      <c r="L649" s="56">
        <f t="shared" si="96"/>
        <v>1150</v>
      </c>
      <c r="M649" s="66">
        <v>600</v>
      </c>
      <c r="N649" s="56">
        <f>100</f>
        <v>100</v>
      </c>
      <c r="O649" s="59">
        <v>240</v>
      </c>
      <c r="P649" s="59">
        <v>40</v>
      </c>
      <c r="Q649" s="59">
        <f t="shared" si="97"/>
        <v>315</v>
      </c>
      <c r="R649" s="59">
        <f t="shared" si="98"/>
        <v>100</v>
      </c>
      <c r="S649" s="56">
        <f t="shared" si="99"/>
        <v>695</v>
      </c>
      <c r="T649" s="56">
        <f>50</f>
        <v>50</v>
      </c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</row>
    <row r="650" spans="1:30" ht="15.75" x14ac:dyDescent="0.25">
      <c r="A650" s="13">
        <v>61087</v>
      </c>
      <c r="B650" s="67">
        <f t="shared" si="94"/>
        <v>31</v>
      </c>
      <c r="C650" s="56">
        <f>122.58</f>
        <v>122.58</v>
      </c>
      <c r="D650" s="56">
        <f>297.941</f>
        <v>297.94099999999997</v>
      </c>
      <c r="E650" s="64">
        <f>89.177</f>
        <v>89.177000000000007</v>
      </c>
      <c r="F650" s="56">
        <f>240.302-40-60-100</f>
        <v>40.301999999999992</v>
      </c>
      <c r="G650" s="59">
        <v>40</v>
      </c>
      <c r="H650" s="56">
        <f>60+100</f>
        <v>160</v>
      </c>
      <c r="I650" s="56">
        <f t="shared" si="102"/>
        <v>0</v>
      </c>
      <c r="J650" s="59">
        <v>100</v>
      </c>
      <c r="K650" s="59">
        <v>300</v>
      </c>
      <c r="L650" s="56">
        <f t="shared" si="96"/>
        <v>1150</v>
      </c>
      <c r="M650" s="66">
        <v>600</v>
      </c>
      <c r="N650" s="56">
        <f>100</f>
        <v>100</v>
      </c>
      <c r="O650" s="59">
        <v>240</v>
      </c>
      <c r="P650" s="59">
        <v>40</v>
      </c>
      <c r="Q650" s="59">
        <f t="shared" si="97"/>
        <v>315</v>
      </c>
      <c r="R650" s="59">
        <f t="shared" si="98"/>
        <v>100</v>
      </c>
      <c r="S650" s="56">
        <f t="shared" si="99"/>
        <v>695</v>
      </c>
      <c r="T650" s="56">
        <f>50</f>
        <v>50</v>
      </c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</row>
    <row r="651" spans="1:30" ht="15.75" x14ac:dyDescent="0.25">
      <c r="A651" s="13">
        <v>61117</v>
      </c>
      <c r="B651" s="67">
        <f t="shared" si="94"/>
        <v>30</v>
      </c>
      <c r="C651" s="56">
        <f>141.293</f>
        <v>141.29300000000001</v>
      </c>
      <c r="D651" s="56">
        <f>267.993</f>
        <v>267.99299999999999</v>
      </c>
      <c r="E651" s="64">
        <f>115.016</f>
        <v>115.01600000000001</v>
      </c>
      <c r="F651" s="56">
        <f>314.698-40-25-60-100</f>
        <v>89.697999999999979</v>
      </c>
      <c r="G651" s="59">
        <v>40</v>
      </c>
      <c r="H651" s="56">
        <f t="shared" ref="H651:H657" si="105">25+60+100</f>
        <v>185</v>
      </c>
      <c r="I651" s="56">
        <f t="shared" si="102"/>
        <v>0</v>
      </c>
      <c r="J651" s="59">
        <v>100</v>
      </c>
      <c r="K651" s="59">
        <v>300</v>
      </c>
      <c r="L651" s="56">
        <f t="shared" si="96"/>
        <v>1239</v>
      </c>
      <c r="M651" s="66">
        <v>600</v>
      </c>
      <c r="N651" s="56">
        <f>100</f>
        <v>100</v>
      </c>
      <c r="O651" s="59">
        <v>240</v>
      </c>
      <c r="P651" s="59">
        <v>40</v>
      </c>
      <c r="Q651" s="59">
        <f t="shared" si="97"/>
        <v>315</v>
      </c>
      <c r="R651" s="59">
        <f t="shared" si="98"/>
        <v>100</v>
      </c>
      <c r="S651" s="56">
        <f t="shared" si="99"/>
        <v>695</v>
      </c>
      <c r="T651" s="56">
        <f>50</f>
        <v>50</v>
      </c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</row>
    <row r="652" spans="1:30" ht="15.75" x14ac:dyDescent="0.25">
      <c r="A652" s="13">
        <v>61148</v>
      </c>
      <c r="B652" s="67">
        <f t="shared" ref="B652:B715" si="106">EOMONTH(A652,0)-EOMONTH(A652,-1)</f>
        <v>31</v>
      </c>
      <c r="C652" s="56">
        <f>194.205</f>
        <v>194.20500000000001</v>
      </c>
      <c r="D652" s="56">
        <f>267.466</f>
        <v>267.46600000000001</v>
      </c>
      <c r="E652" s="64">
        <f>133.845</f>
        <v>133.845</v>
      </c>
      <c r="F652" s="56">
        <f>278.484-40-25-60-100</f>
        <v>53.48399999999998</v>
      </c>
      <c r="G652" s="59">
        <v>40</v>
      </c>
      <c r="H652" s="56">
        <f t="shared" si="105"/>
        <v>185</v>
      </c>
      <c r="I652" s="56">
        <f t="shared" si="102"/>
        <v>0</v>
      </c>
      <c r="J652" s="59">
        <v>100</v>
      </c>
      <c r="K652" s="59">
        <v>300</v>
      </c>
      <c r="L652" s="56">
        <f t="shared" si="96"/>
        <v>1274</v>
      </c>
      <c r="M652" s="66">
        <v>600</v>
      </c>
      <c r="N652" s="56">
        <f>75</f>
        <v>75</v>
      </c>
      <c r="O652" s="59">
        <v>240</v>
      </c>
      <c r="P652" s="59">
        <v>40</v>
      </c>
      <c r="Q652" s="59">
        <f t="shared" si="97"/>
        <v>315</v>
      </c>
      <c r="R652" s="59">
        <f t="shared" si="98"/>
        <v>100</v>
      </c>
      <c r="S652" s="56">
        <f t="shared" si="99"/>
        <v>695</v>
      </c>
      <c r="T652" s="56">
        <f>50</f>
        <v>50</v>
      </c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</row>
    <row r="653" spans="1:30" ht="15.75" x14ac:dyDescent="0.25">
      <c r="A653" s="13">
        <v>61178</v>
      </c>
      <c r="B653" s="67">
        <f t="shared" si="106"/>
        <v>30</v>
      </c>
      <c r="C653" s="56">
        <f>194.205</f>
        <v>194.20500000000001</v>
      </c>
      <c r="D653" s="56">
        <f>267.466</f>
        <v>267.46600000000001</v>
      </c>
      <c r="E653" s="64">
        <f>133.845</f>
        <v>133.845</v>
      </c>
      <c r="F653" s="56">
        <f>278.484-40-25-60-100</f>
        <v>53.48399999999998</v>
      </c>
      <c r="G653" s="59">
        <v>40</v>
      </c>
      <c r="H653" s="56">
        <f t="shared" si="105"/>
        <v>185</v>
      </c>
      <c r="I653" s="56">
        <f t="shared" si="102"/>
        <v>0</v>
      </c>
      <c r="J653" s="59">
        <v>100</v>
      </c>
      <c r="K653" s="59">
        <v>300</v>
      </c>
      <c r="L653" s="56">
        <f t="shared" si="96"/>
        <v>1274</v>
      </c>
      <c r="M653" s="66">
        <v>600</v>
      </c>
      <c r="N653" s="56">
        <f>30</f>
        <v>30</v>
      </c>
      <c r="O653" s="59">
        <v>240</v>
      </c>
      <c r="P653" s="59">
        <v>40</v>
      </c>
      <c r="Q653" s="59">
        <f t="shared" si="97"/>
        <v>315</v>
      </c>
      <c r="R653" s="59">
        <f t="shared" si="98"/>
        <v>100</v>
      </c>
      <c r="S653" s="56">
        <f t="shared" si="99"/>
        <v>695</v>
      </c>
      <c r="T653" s="56">
        <f>50</f>
        <v>50</v>
      </c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</row>
    <row r="654" spans="1:30" ht="15.75" x14ac:dyDescent="0.25">
      <c r="A654" s="13">
        <v>61209</v>
      </c>
      <c r="B654" s="67">
        <f t="shared" si="106"/>
        <v>31</v>
      </c>
      <c r="C654" s="56">
        <f>194.205</f>
        <v>194.20500000000001</v>
      </c>
      <c r="D654" s="56">
        <f>267.466</f>
        <v>267.46600000000001</v>
      </c>
      <c r="E654" s="64">
        <f>133.845</f>
        <v>133.845</v>
      </c>
      <c r="F654" s="56">
        <f>278.484-40-25-60-100</f>
        <v>53.48399999999998</v>
      </c>
      <c r="G654" s="59">
        <v>40</v>
      </c>
      <c r="H654" s="56">
        <f t="shared" si="105"/>
        <v>185</v>
      </c>
      <c r="I654" s="56">
        <f t="shared" si="102"/>
        <v>0</v>
      </c>
      <c r="J654" s="59">
        <v>100</v>
      </c>
      <c r="K654" s="59">
        <v>300</v>
      </c>
      <c r="L654" s="56">
        <f t="shared" si="96"/>
        <v>1274</v>
      </c>
      <c r="M654" s="66">
        <v>600</v>
      </c>
      <c r="N654" s="56">
        <f>30</f>
        <v>30</v>
      </c>
      <c r="O654" s="59">
        <v>240</v>
      </c>
      <c r="P654" s="59">
        <v>40</v>
      </c>
      <c r="Q654" s="59">
        <f t="shared" si="97"/>
        <v>315</v>
      </c>
      <c r="R654" s="59">
        <f t="shared" si="98"/>
        <v>100</v>
      </c>
      <c r="S654" s="56">
        <f t="shared" si="99"/>
        <v>695</v>
      </c>
      <c r="T654" s="56">
        <f>0</f>
        <v>0</v>
      </c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</row>
    <row r="655" spans="1:30" ht="15.75" x14ac:dyDescent="0.25">
      <c r="A655" s="13">
        <v>61240</v>
      </c>
      <c r="B655" s="67">
        <f t="shared" si="106"/>
        <v>31</v>
      </c>
      <c r="C655" s="56">
        <f>194.205</f>
        <v>194.20500000000001</v>
      </c>
      <c r="D655" s="56">
        <f>267.466</f>
        <v>267.46600000000001</v>
      </c>
      <c r="E655" s="64">
        <f>133.845</f>
        <v>133.845</v>
      </c>
      <c r="F655" s="56">
        <f>278.484-40-25-60-100</f>
        <v>53.48399999999998</v>
      </c>
      <c r="G655" s="59">
        <v>40</v>
      </c>
      <c r="H655" s="56">
        <f t="shared" si="105"/>
        <v>185</v>
      </c>
      <c r="I655" s="56">
        <f t="shared" si="102"/>
        <v>0</v>
      </c>
      <c r="J655" s="59">
        <v>100</v>
      </c>
      <c r="K655" s="59">
        <v>300</v>
      </c>
      <c r="L655" s="56">
        <f t="shared" si="96"/>
        <v>1274</v>
      </c>
      <c r="M655" s="66">
        <v>600</v>
      </c>
      <c r="N655" s="56">
        <f>30</f>
        <v>30</v>
      </c>
      <c r="O655" s="59">
        <v>240</v>
      </c>
      <c r="P655" s="59">
        <v>40</v>
      </c>
      <c r="Q655" s="59">
        <f t="shared" si="97"/>
        <v>315</v>
      </c>
      <c r="R655" s="59">
        <f t="shared" si="98"/>
        <v>100</v>
      </c>
      <c r="S655" s="56">
        <f t="shared" si="99"/>
        <v>695</v>
      </c>
      <c r="T655" s="56">
        <f>0</f>
        <v>0</v>
      </c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</row>
    <row r="656" spans="1:30" ht="15.75" x14ac:dyDescent="0.25">
      <c r="A656" s="13">
        <v>61270</v>
      </c>
      <c r="B656" s="67">
        <f t="shared" si="106"/>
        <v>30</v>
      </c>
      <c r="C656" s="56">
        <f>194.205</f>
        <v>194.20500000000001</v>
      </c>
      <c r="D656" s="56">
        <f>267.466</f>
        <v>267.46600000000001</v>
      </c>
      <c r="E656" s="64">
        <f>133.845</f>
        <v>133.845</v>
      </c>
      <c r="F656" s="56">
        <f>278.484-40-25-60-100</f>
        <v>53.48399999999998</v>
      </c>
      <c r="G656" s="59">
        <v>40</v>
      </c>
      <c r="H656" s="56">
        <f t="shared" si="105"/>
        <v>185</v>
      </c>
      <c r="I656" s="56">
        <f t="shared" si="102"/>
        <v>0</v>
      </c>
      <c r="J656" s="59">
        <v>100</v>
      </c>
      <c r="K656" s="59">
        <v>300</v>
      </c>
      <c r="L656" s="56">
        <f t="shared" ref="L656:L719" si="107">SUM(C656:K656)</f>
        <v>1274</v>
      </c>
      <c r="M656" s="66">
        <v>600</v>
      </c>
      <c r="N656" s="56">
        <f>30</f>
        <v>30</v>
      </c>
      <c r="O656" s="59">
        <v>240</v>
      </c>
      <c r="P656" s="59">
        <v>40</v>
      </c>
      <c r="Q656" s="59">
        <f t="shared" ref="Q656:Q719" si="108">695-R656-O656-P656</f>
        <v>315</v>
      </c>
      <c r="R656" s="59">
        <f t="shared" ref="R656:R719" si="109">200-J656</f>
        <v>100</v>
      </c>
      <c r="S656" s="56">
        <f t="shared" ref="S656:S719" si="110">SUM(O656:R656)</f>
        <v>695</v>
      </c>
      <c r="T656" s="56">
        <f>0</f>
        <v>0</v>
      </c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</row>
    <row r="657" spans="1:30" ht="15.75" x14ac:dyDescent="0.25">
      <c r="A657" s="13">
        <v>61301</v>
      </c>
      <c r="B657" s="67">
        <f t="shared" si="106"/>
        <v>31</v>
      </c>
      <c r="C657" s="56">
        <f>131.881</f>
        <v>131.881</v>
      </c>
      <c r="D657" s="56">
        <f>277.167</f>
        <v>277.16699999999997</v>
      </c>
      <c r="E657" s="64">
        <f>79.08</f>
        <v>79.08</v>
      </c>
      <c r="F657" s="56">
        <f>350.872-40-25-60-100</f>
        <v>125.87200000000001</v>
      </c>
      <c r="G657" s="59">
        <v>40</v>
      </c>
      <c r="H657" s="56">
        <f t="shared" si="105"/>
        <v>185</v>
      </c>
      <c r="I657" s="56">
        <f t="shared" si="102"/>
        <v>0</v>
      </c>
      <c r="J657" s="59">
        <v>100</v>
      </c>
      <c r="K657" s="59">
        <v>300</v>
      </c>
      <c r="L657" s="56">
        <f t="shared" si="107"/>
        <v>1239</v>
      </c>
      <c r="M657" s="66">
        <v>600</v>
      </c>
      <c r="N657" s="56">
        <f>75</f>
        <v>75</v>
      </c>
      <c r="O657" s="59">
        <v>240</v>
      </c>
      <c r="P657" s="59">
        <v>40</v>
      </c>
      <c r="Q657" s="59">
        <f t="shared" si="108"/>
        <v>315</v>
      </c>
      <c r="R657" s="59">
        <f t="shared" si="109"/>
        <v>100</v>
      </c>
      <c r="S657" s="56">
        <f t="shared" si="110"/>
        <v>695</v>
      </c>
      <c r="T657" s="56">
        <f>0</f>
        <v>0</v>
      </c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</row>
    <row r="658" spans="1:30" ht="15.75" x14ac:dyDescent="0.25">
      <c r="A658" s="13">
        <v>61331</v>
      </c>
      <c r="B658" s="67">
        <f t="shared" si="106"/>
        <v>30</v>
      </c>
      <c r="C658" s="56">
        <f>122.58</f>
        <v>122.58</v>
      </c>
      <c r="D658" s="56">
        <f>297.941</f>
        <v>297.94099999999997</v>
      </c>
      <c r="E658" s="64">
        <f>89.177</f>
        <v>89.177000000000007</v>
      </c>
      <c r="F658" s="56">
        <f>240.302-40-60-100</f>
        <v>40.301999999999992</v>
      </c>
      <c r="G658" s="59">
        <v>40</v>
      </c>
      <c r="H658" s="56">
        <f>60+100</f>
        <v>160</v>
      </c>
      <c r="I658" s="56">
        <f t="shared" si="102"/>
        <v>0</v>
      </c>
      <c r="J658" s="59">
        <v>100</v>
      </c>
      <c r="K658" s="59">
        <v>300</v>
      </c>
      <c r="L658" s="56">
        <f t="shared" si="107"/>
        <v>1150</v>
      </c>
      <c r="M658" s="66">
        <v>600</v>
      </c>
      <c r="N658" s="56">
        <f>100</f>
        <v>100</v>
      </c>
      <c r="O658" s="59">
        <v>240</v>
      </c>
      <c r="P658" s="59">
        <v>40</v>
      </c>
      <c r="Q658" s="59">
        <f t="shared" si="108"/>
        <v>315</v>
      </c>
      <c r="R658" s="59">
        <f t="shared" si="109"/>
        <v>100</v>
      </c>
      <c r="S658" s="56">
        <f t="shared" si="110"/>
        <v>695</v>
      </c>
      <c r="T658" s="56">
        <f>50</f>
        <v>50</v>
      </c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</row>
    <row r="659" spans="1:30" ht="15.75" x14ac:dyDescent="0.25">
      <c r="A659" s="13">
        <v>61362</v>
      </c>
      <c r="B659" s="67">
        <f t="shared" si="106"/>
        <v>31</v>
      </c>
      <c r="C659" s="56">
        <f>122.58</f>
        <v>122.58</v>
      </c>
      <c r="D659" s="56">
        <f>297.941</f>
        <v>297.94099999999997</v>
      </c>
      <c r="E659" s="64">
        <f>89.177</f>
        <v>89.177000000000007</v>
      </c>
      <c r="F659" s="56">
        <f>240.302-40-60-100</f>
        <v>40.301999999999992</v>
      </c>
      <c r="G659" s="59">
        <v>40</v>
      </c>
      <c r="H659" s="56">
        <f>60+100</f>
        <v>160</v>
      </c>
      <c r="I659" s="56">
        <f t="shared" si="102"/>
        <v>0</v>
      </c>
      <c r="J659" s="59">
        <v>100</v>
      </c>
      <c r="K659" s="59">
        <v>300</v>
      </c>
      <c r="L659" s="56">
        <f t="shared" si="107"/>
        <v>1150</v>
      </c>
      <c r="M659" s="66">
        <v>600</v>
      </c>
      <c r="N659" s="56">
        <f>100</f>
        <v>100</v>
      </c>
      <c r="O659" s="59">
        <v>240</v>
      </c>
      <c r="P659" s="59">
        <v>40</v>
      </c>
      <c r="Q659" s="59">
        <f t="shared" si="108"/>
        <v>315</v>
      </c>
      <c r="R659" s="59">
        <f t="shared" si="109"/>
        <v>100</v>
      </c>
      <c r="S659" s="56">
        <f t="shared" si="110"/>
        <v>695</v>
      </c>
      <c r="T659" s="56">
        <f>50</f>
        <v>50</v>
      </c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</row>
    <row r="660" spans="1:30" ht="15.75" x14ac:dyDescent="0.25">
      <c r="A660" s="13">
        <v>61393</v>
      </c>
      <c r="B660" s="67">
        <f t="shared" si="106"/>
        <v>31</v>
      </c>
      <c r="C660" s="56">
        <f>122.58</f>
        <v>122.58</v>
      </c>
      <c r="D660" s="56">
        <f>297.941</f>
        <v>297.94099999999997</v>
      </c>
      <c r="E660" s="64">
        <f>89.177</f>
        <v>89.177000000000007</v>
      </c>
      <c r="F660" s="56">
        <f>240.302-40-60-100</f>
        <v>40.301999999999992</v>
      </c>
      <c r="G660" s="59">
        <v>40</v>
      </c>
      <c r="H660" s="56">
        <f>60+100</f>
        <v>160</v>
      </c>
      <c r="I660" s="56">
        <f t="shared" si="102"/>
        <v>0</v>
      </c>
      <c r="J660" s="59">
        <v>100</v>
      </c>
      <c r="K660" s="59">
        <v>300</v>
      </c>
      <c r="L660" s="56">
        <f t="shared" si="107"/>
        <v>1150</v>
      </c>
      <c r="M660" s="66">
        <v>600</v>
      </c>
      <c r="N660" s="56">
        <f>100</f>
        <v>100</v>
      </c>
      <c r="O660" s="59">
        <v>240</v>
      </c>
      <c r="P660" s="59">
        <v>40</v>
      </c>
      <c r="Q660" s="59">
        <f t="shared" si="108"/>
        <v>315</v>
      </c>
      <c r="R660" s="59">
        <f t="shared" si="109"/>
        <v>100</v>
      </c>
      <c r="S660" s="56">
        <f t="shared" si="110"/>
        <v>695</v>
      </c>
      <c r="T660" s="56">
        <f>50</f>
        <v>50</v>
      </c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</row>
    <row r="661" spans="1:30" ht="15.75" x14ac:dyDescent="0.25">
      <c r="A661" s="13">
        <v>61422</v>
      </c>
      <c r="B661" s="67">
        <f t="shared" si="106"/>
        <v>29</v>
      </c>
      <c r="C661" s="56">
        <f>122.58</f>
        <v>122.58</v>
      </c>
      <c r="D661" s="56">
        <f>297.941</f>
        <v>297.94099999999997</v>
      </c>
      <c r="E661" s="64">
        <f>89.177</f>
        <v>89.177000000000007</v>
      </c>
      <c r="F661" s="56">
        <f>240.302-40-60-100</f>
        <v>40.301999999999992</v>
      </c>
      <c r="G661" s="59">
        <v>40</v>
      </c>
      <c r="H661" s="56">
        <f>60+100</f>
        <v>160</v>
      </c>
      <c r="I661" s="56">
        <f t="shared" si="102"/>
        <v>0</v>
      </c>
      <c r="J661" s="59">
        <v>100</v>
      </c>
      <c r="K661" s="59">
        <v>300</v>
      </c>
      <c r="L661" s="56">
        <f t="shared" si="107"/>
        <v>1150</v>
      </c>
      <c r="M661" s="66">
        <v>600</v>
      </c>
      <c r="N661" s="56">
        <f>100</f>
        <v>100</v>
      </c>
      <c r="O661" s="59">
        <v>240</v>
      </c>
      <c r="P661" s="59">
        <v>40</v>
      </c>
      <c r="Q661" s="59">
        <f t="shared" si="108"/>
        <v>315</v>
      </c>
      <c r="R661" s="59">
        <f t="shared" si="109"/>
        <v>100</v>
      </c>
      <c r="S661" s="56">
        <f t="shared" si="110"/>
        <v>695</v>
      </c>
      <c r="T661" s="56">
        <f>50</f>
        <v>50</v>
      </c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</row>
    <row r="662" spans="1:30" ht="15.75" x14ac:dyDescent="0.25">
      <c r="A662" s="13">
        <v>61453</v>
      </c>
      <c r="B662" s="67">
        <f t="shared" si="106"/>
        <v>31</v>
      </c>
      <c r="C662" s="56">
        <f>122.58</f>
        <v>122.58</v>
      </c>
      <c r="D662" s="56">
        <f>297.941</f>
        <v>297.94099999999997</v>
      </c>
      <c r="E662" s="64">
        <f>89.177</f>
        <v>89.177000000000007</v>
      </c>
      <c r="F662" s="56">
        <f>240.302-40-60-100</f>
        <v>40.301999999999992</v>
      </c>
      <c r="G662" s="59">
        <v>40</v>
      </c>
      <c r="H662" s="56">
        <f>60+100</f>
        <v>160</v>
      </c>
      <c r="I662" s="56">
        <f t="shared" si="102"/>
        <v>0</v>
      </c>
      <c r="J662" s="59">
        <v>100</v>
      </c>
      <c r="K662" s="59">
        <v>300</v>
      </c>
      <c r="L662" s="56">
        <f t="shared" si="107"/>
        <v>1150</v>
      </c>
      <c r="M662" s="66">
        <v>600</v>
      </c>
      <c r="N662" s="56">
        <f>100</f>
        <v>100</v>
      </c>
      <c r="O662" s="59">
        <v>240</v>
      </c>
      <c r="P662" s="59">
        <v>40</v>
      </c>
      <c r="Q662" s="59">
        <f t="shared" si="108"/>
        <v>315</v>
      </c>
      <c r="R662" s="59">
        <f t="shared" si="109"/>
        <v>100</v>
      </c>
      <c r="S662" s="56">
        <f t="shared" si="110"/>
        <v>695</v>
      </c>
      <c r="T662" s="56">
        <f>50</f>
        <v>50</v>
      </c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</row>
    <row r="663" spans="1:30" ht="15.75" x14ac:dyDescent="0.25">
      <c r="A663" s="13">
        <v>61483</v>
      </c>
      <c r="B663" s="67">
        <f t="shared" si="106"/>
        <v>30</v>
      </c>
      <c r="C663" s="56">
        <f>141.293</f>
        <v>141.29300000000001</v>
      </c>
      <c r="D663" s="56">
        <f>267.993</f>
        <v>267.99299999999999</v>
      </c>
      <c r="E663" s="64">
        <f>115.016</f>
        <v>115.01600000000001</v>
      </c>
      <c r="F663" s="56">
        <f>314.698-40-25-60-100</f>
        <v>89.697999999999979</v>
      </c>
      <c r="G663" s="59">
        <v>40</v>
      </c>
      <c r="H663" s="56">
        <f t="shared" ref="H663:H669" si="111">25+60+100</f>
        <v>185</v>
      </c>
      <c r="I663" s="56">
        <f t="shared" si="102"/>
        <v>0</v>
      </c>
      <c r="J663" s="59">
        <v>100</v>
      </c>
      <c r="K663" s="59">
        <v>300</v>
      </c>
      <c r="L663" s="56">
        <f t="shared" si="107"/>
        <v>1239</v>
      </c>
      <c r="M663" s="66">
        <v>600</v>
      </c>
      <c r="N663" s="56">
        <f>100</f>
        <v>100</v>
      </c>
      <c r="O663" s="59">
        <v>240</v>
      </c>
      <c r="P663" s="59">
        <v>40</v>
      </c>
      <c r="Q663" s="59">
        <f t="shared" si="108"/>
        <v>315</v>
      </c>
      <c r="R663" s="59">
        <f t="shared" si="109"/>
        <v>100</v>
      </c>
      <c r="S663" s="56">
        <f t="shared" si="110"/>
        <v>695</v>
      </c>
      <c r="T663" s="56">
        <f>50</f>
        <v>50</v>
      </c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</row>
    <row r="664" spans="1:30" ht="15.75" x14ac:dyDescent="0.25">
      <c r="A664" s="13">
        <v>61514</v>
      </c>
      <c r="B664" s="67">
        <f t="shared" si="106"/>
        <v>31</v>
      </c>
      <c r="C664" s="56">
        <f>194.205</f>
        <v>194.20500000000001</v>
      </c>
      <c r="D664" s="56">
        <f>267.466</f>
        <v>267.46600000000001</v>
      </c>
      <c r="E664" s="64">
        <f>133.845</f>
        <v>133.845</v>
      </c>
      <c r="F664" s="56">
        <f>278.484-40-25-60-100</f>
        <v>53.48399999999998</v>
      </c>
      <c r="G664" s="59">
        <v>40</v>
      </c>
      <c r="H664" s="56">
        <f t="shared" si="111"/>
        <v>185</v>
      </c>
      <c r="I664" s="56">
        <f t="shared" si="102"/>
        <v>0</v>
      </c>
      <c r="J664" s="59">
        <v>100</v>
      </c>
      <c r="K664" s="59">
        <v>300</v>
      </c>
      <c r="L664" s="56">
        <f t="shared" si="107"/>
        <v>1274</v>
      </c>
      <c r="M664" s="66">
        <v>600</v>
      </c>
      <c r="N664" s="56">
        <f>75</f>
        <v>75</v>
      </c>
      <c r="O664" s="59">
        <v>240</v>
      </c>
      <c r="P664" s="59">
        <v>40</v>
      </c>
      <c r="Q664" s="59">
        <f t="shared" si="108"/>
        <v>315</v>
      </c>
      <c r="R664" s="59">
        <f t="shared" si="109"/>
        <v>100</v>
      </c>
      <c r="S664" s="56">
        <f t="shared" si="110"/>
        <v>695</v>
      </c>
      <c r="T664" s="56">
        <f>50</f>
        <v>50</v>
      </c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</row>
    <row r="665" spans="1:30" ht="15.75" x14ac:dyDescent="0.25">
      <c r="A665" s="13">
        <v>61544</v>
      </c>
      <c r="B665" s="67">
        <f t="shared" si="106"/>
        <v>30</v>
      </c>
      <c r="C665" s="56">
        <f>194.205</f>
        <v>194.20500000000001</v>
      </c>
      <c r="D665" s="56">
        <f>267.466</f>
        <v>267.46600000000001</v>
      </c>
      <c r="E665" s="64">
        <f>133.845</f>
        <v>133.845</v>
      </c>
      <c r="F665" s="56">
        <f>278.484-40-25-60-100</f>
        <v>53.48399999999998</v>
      </c>
      <c r="G665" s="59">
        <v>40</v>
      </c>
      <c r="H665" s="56">
        <f t="shared" si="111"/>
        <v>185</v>
      </c>
      <c r="I665" s="56">
        <f t="shared" si="102"/>
        <v>0</v>
      </c>
      <c r="J665" s="59">
        <v>100</v>
      </c>
      <c r="K665" s="59">
        <v>300</v>
      </c>
      <c r="L665" s="56">
        <f t="shared" si="107"/>
        <v>1274</v>
      </c>
      <c r="M665" s="66">
        <v>600</v>
      </c>
      <c r="N665" s="56">
        <f>30</f>
        <v>30</v>
      </c>
      <c r="O665" s="59">
        <v>240</v>
      </c>
      <c r="P665" s="59">
        <v>40</v>
      </c>
      <c r="Q665" s="59">
        <f t="shared" si="108"/>
        <v>315</v>
      </c>
      <c r="R665" s="59">
        <f t="shared" si="109"/>
        <v>100</v>
      </c>
      <c r="S665" s="56">
        <f t="shared" si="110"/>
        <v>695</v>
      </c>
      <c r="T665" s="56">
        <f>50</f>
        <v>50</v>
      </c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</row>
    <row r="666" spans="1:30" ht="15.75" x14ac:dyDescent="0.25">
      <c r="A666" s="13">
        <v>61575</v>
      </c>
      <c r="B666" s="67">
        <f t="shared" si="106"/>
        <v>31</v>
      </c>
      <c r="C666" s="56">
        <f>194.205</f>
        <v>194.20500000000001</v>
      </c>
      <c r="D666" s="56">
        <f>267.466</f>
        <v>267.46600000000001</v>
      </c>
      <c r="E666" s="64">
        <f>133.845</f>
        <v>133.845</v>
      </c>
      <c r="F666" s="56">
        <f>278.484-40-25-60-100</f>
        <v>53.48399999999998</v>
      </c>
      <c r="G666" s="59">
        <v>40</v>
      </c>
      <c r="H666" s="56">
        <f t="shared" si="111"/>
        <v>185</v>
      </c>
      <c r="I666" s="56">
        <f t="shared" si="102"/>
        <v>0</v>
      </c>
      <c r="J666" s="59">
        <v>100</v>
      </c>
      <c r="K666" s="59">
        <v>300</v>
      </c>
      <c r="L666" s="56">
        <f t="shared" si="107"/>
        <v>1274</v>
      </c>
      <c r="M666" s="66">
        <v>600</v>
      </c>
      <c r="N666" s="56">
        <f>30</f>
        <v>30</v>
      </c>
      <c r="O666" s="59">
        <v>240</v>
      </c>
      <c r="P666" s="59">
        <v>40</v>
      </c>
      <c r="Q666" s="59">
        <f t="shared" si="108"/>
        <v>315</v>
      </c>
      <c r="R666" s="59">
        <f t="shared" si="109"/>
        <v>100</v>
      </c>
      <c r="S666" s="56">
        <f t="shared" si="110"/>
        <v>695</v>
      </c>
      <c r="T666" s="56">
        <f>0</f>
        <v>0</v>
      </c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</row>
    <row r="667" spans="1:30" ht="15.75" x14ac:dyDescent="0.25">
      <c r="A667" s="13">
        <v>61606</v>
      </c>
      <c r="B667" s="67">
        <f t="shared" si="106"/>
        <v>31</v>
      </c>
      <c r="C667" s="56">
        <f>194.205</f>
        <v>194.20500000000001</v>
      </c>
      <c r="D667" s="56">
        <f>267.466</f>
        <v>267.46600000000001</v>
      </c>
      <c r="E667" s="64">
        <f>133.845</f>
        <v>133.845</v>
      </c>
      <c r="F667" s="56">
        <f>278.484-40-25-60-100</f>
        <v>53.48399999999998</v>
      </c>
      <c r="G667" s="59">
        <v>40</v>
      </c>
      <c r="H667" s="56">
        <f t="shared" si="111"/>
        <v>185</v>
      </c>
      <c r="I667" s="56">
        <f t="shared" si="102"/>
        <v>0</v>
      </c>
      <c r="J667" s="59">
        <v>100</v>
      </c>
      <c r="K667" s="59">
        <v>300</v>
      </c>
      <c r="L667" s="56">
        <f t="shared" si="107"/>
        <v>1274</v>
      </c>
      <c r="M667" s="66">
        <v>600</v>
      </c>
      <c r="N667" s="56">
        <f>30</f>
        <v>30</v>
      </c>
      <c r="O667" s="59">
        <v>240</v>
      </c>
      <c r="P667" s="59">
        <v>40</v>
      </c>
      <c r="Q667" s="59">
        <f t="shared" si="108"/>
        <v>315</v>
      </c>
      <c r="R667" s="59">
        <f t="shared" si="109"/>
        <v>100</v>
      </c>
      <c r="S667" s="56">
        <f t="shared" si="110"/>
        <v>695</v>
      </c>
      <c r="T667" s="56">
        <f>0</f>
        <v>0</v>
      </c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</row>
    <row r="668" spans="1:30" ht="15.75" x14ac:dyDescent="0.25">
      <c r="A668" s="13">
        <v>61636</v>
      </c>
      <c r="B668" s="67">
        <f t="shared" si="106"/>
        <v>30</v>
      </c>
      <c r="C668" s="56">
        <f>194.205</f>
        <v>194.20500000000001</v>
      </c>
      <c r="D668" s="56">
        <f>267.466</f>
        <v>267.46600000000001</v>
      </c>
      <c r="E668" s="64">
        <f>133.845</f>
        <v>133.845</v>
      </c>
      <c r="F668" s="56">
        <f>278.484-40-25-60-100</f>
        <v>53.48399999999998</v>
      </c>
      <c r="G668" s="59">
        <v>40</v>
      </c>
      <c r="H668" s="56">
        <f t="shared" si="111"/>
        <v>185</v>
      </c>
      <c r="I668" s="56">
        <f t="shared" si="102"/>
        <v>0</v>
      </c>
      <c r="J668" s="59">
        <v>100</v>
      </c>
      <c r="K668" s="59">
        <v>300</v>
      </c>
      <c r="L668" s="56">
        <f t="shared" si="107"/>
        <v>1274</v>
      </c>
      <c r="M668" s="66">
        <v>600</v>
      </c>
      <c r="N668" s="56">
        <f>30</f>
        <v>30</v>
      </c>
      <c r="O668" s="59">
        <v>240</v>
      </c>
      <c r="P668" s="59">
        <v>40</v>
      </c>
      <c r="Q668" s="59">
        <f t="shared" si="108"/>
        <v>315</v>
      </c>
      <c r="R668" s="59">
        <f t="shared" si="109"/>
        <v>100</v>
      </c>
      <c r="S668" s="56">
        <f t="shared" si="110"/>
        <v>695</v>
      </c>
      <c r="T668" s="56">
        <f>0</f>
        <v>0</v>
      </c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</row>
    <row r="669" spans="1:30" ht="15.75" x14ac:dyDescent="0.25">
      <c r="A669" s="13">
        <v>61667</v>
      </c>
      <c r="B669" s="67">
        <f t="shared" si="106"/>
        <v>31</v>
      </c>
      <c r="C669" s="56">
        <f>131.881</f>
        <v>131.881</v>
      </c>
      <c r="D669" s="56">
        <f>277.167</f>
        <v>277.16699999999997</v>
      </c>
      <c r="E669" s="64">
        <f>79.08</f>
        <v>79.08</v>
      </c>
      <c r="F669" s="56">
        <f>350.872-40-25-60-100</f>
        <v>125.87200000000001</v>
      </c>
      <c r="G669" s="59">
        <v>40</v>
      </c>
      <c r="H669" s="56">
        <f t="shared" si="111"/>
        <v>185</v>
      </c>
      <c r="I669" s="56">
        <f t="shared" si="102"/>
        <v>0</v>
      </c>
      <c r="J669" s="59">
        <v>100</v>
      </c>
      <c r="K669" s="59">
        <v>300</v>
      </c>
      <c r="L669" s="56">
        <f t="shared" si="107"/>
        <v>1239</v>
      </c>
      <c r="M669" s="66">
        <v>600</v>
      </c>
      <c r="N669" s="56">
        <f>75</f>
        <v>75</v>
      </c>
      <c r="O669" s="59">
        <v>240</v>
      </c>
      <c r="P669" s="59">
        <v>40</v>
      </c>
      <c r="Q669" s="59">
        <f t="shared" si="108"/>
        <v>315</v>
      </c>
      <c r="R669" s="59">
        <f t="shared" si="109"/>
        <v>100</v>
      </c>
      <c r="S669" s="56">
        <f t="shared" si="110"/>
        <v>695</v>
      </c>
      <c r="T669" s="56">
        <f>0</f>
        <v>0</v>
      </c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</row>
    <row r="670" spans="1:30" ht="15.75" x14ac:dyDescent="0.25">
      <c r="A670" s="13">
        <v>61697</v>
      </c>
      <c r="B670" s="67">
        <f t="shared" si="106"/>
        <v>30</v>
      </c>
      <c r="C670" s="56">
        <f>122.58</f>
        <v>122.58</v>
      </c>
      <c r="D670" s="56">
        <f>297.941</f>
        <v>297.94099999999997</v>
      </c>
      <c r="E670" s="64">
        <f>89.177</f>
        <v>89.177000000000007</v>
      </c>
      <c r="F670" s="56">
        <f>240.302-40-60-100</f>
        <v>40.301999999999992</v>
      </c>
      <c r="G670" s="59">
        <v>40</v>
      </c>
      <c r="H670" s="56">
        <f>60+100</f>
        <v>160</v>
      </c>
      <c r="I670" s="56">
        <f t="shared" si="102"/>
        <v>0</v>
      </c>
      <c r="J670" s="59">
        <v>100</v>
      </c>
      <c r="K670" s="59">
        <v>300</v>
      </c>
      <c r="L670" s="56">
        <f t="shared" si="107"/>
        <v>1150</v>
      </c>
      <c r="M670" s="66">
        <v>600</v>
      </c>
      <c r="N670" s="56">
        <f>100</f>
        <v>100</v>
      </c>
      <c r="O670" s="59">
        <v>240</v>
      </c>
      <c r="P670" s="59">
        <v>40</v>
      </c>
      <c r="Q670" s="59">
        <f t="shared" si="108"/>
        <v>315</v>
      </c>
      <c r="R670" s="59">
        <f t="shared" si="109"/>
        <v>100</v>
      </c>
      <c r="S670" s="56">
        <f t="shared" si="110"/>
        <v>695</v>
      </c>
      <c r="T670" s="56">
        <f>50</f>
        <v>50</v>
      </c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</row>
    <row r="671" spans="1:30" ht="15.75" x14ac:dyDescent="0.25">
      <c r="A671" s="13">
        <v>61728</v>
      </c>
      <c r="B671" s="67">
        <f t="shared" si="106"/>
        <v>31</v>
      </c>
      <c r="C671" s="56">
        <f>122.58</f>
        <v>122.58</v>
      </c>
      <c r="D671" s="56">
        <f>297.941</f>
        <v>297.94099999999997</v>
      </c>
      <c r="E671" s="64">
        <f>89.177</f>
        <v>89.177000000000007</v>
      </c>
      <c r="F671" s="56">
        <f>240.302-40-60-100</f>
        <v>40.301999999999992</v>
      </c>
      <c r="G671" s="59">
        <v>40</v>
      </c>
      <c r="H671" s="56">
        <f>60+100</f>
        <v>160</v>
      </c>
      <c r="I671" s="56">
        <f t="shared" si="102"/>
        <v>0</v>
      </c>
      <c r="J671" s="59">
        <v>100</v>
      </c>
      <c r="K671" s="59">
        <v>300</v>
      </c>
      <c r="L671" s="56">
        <f t="shared" si="107"/>
        <v>1150</v>
      </c>
      <c r="M671" s="66">
        <v>600</v>
      </c>
      <c r="N671" s="56">
        <f>100</f>
        <v>100</v>
      </c>
      <c r="O671" s="59">
        <v>240</v>
      </c>
      <c r="P671" s="59">
        <v>40</v>
      </c>
      <c r="Q671" s="59">
        <f t="shared" si="108"/>
        <v>315</v>
      </c>
      <c r="R671" s="59">
        <f t="shared" si="109"/>
        <v>100</v>
      </c>
      <c r="S671" s="56">
        <f t="shared" si="110"/>
        <v>695</v>
      </c>
      <c r="T671" s="56">
        <f>50</f>
        <v>50</v>
      </c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</row>
    <row r="672" spans="1:30" ht="15.75" x14ac:dyDescent="0.25">
      <c r="A672" s="13">
        <v>61759</v>
      </c>
      <c r="B672" s="67">
        <f t="shared" si="106"/>
        <v>31</v>
      </c>
      <c r="C672" s="56">
        <f>122.58</f>
        <v>122.58</v>
      </c>
      <c r="D672" s="56">
        <f>297.941</f>
        <v>297.94099999999997</v>
      </c>
      <c r="E672" s="64">
        <f>89.177</f>
        <v>89.177000000000007</v>
      </c>
      <c r="F672" s="56">
        <f>240.302-40-60-100</f>
        <v>40.301999999999992</v>
      </c>
      <c r="G672" s="59">
        <v>40</v>
      </c>
      <c r="H672" s="56">
        <f>60+100</f>
        <v>160</v>
      </c>
      <c r="I672" s="56">
        <f t="shared" si="102"/>
        <v>0</v>
      </c>
      <c r="J672" s="59">
        <v>100</v>
      </c>
      <c r="K672" s="59">
        <v>300</v>
      </c>
      <c r="L672" s="56">
        <f t="shared" si="107"/>
        <v>1150</v>
      </c>
      <c r="M672" s="66">
        <v>600</v>
      </c>
      <c r="N672" s="56">
        <f>100</f>
        <v>100</v>
      </c>
      <c r="O672" s="59">
        <v>240</v>
      </c>
      <c r="P672" s="59">
        <v>40</v>
      </c>
      <c r="Q672" s="59">
        <f t="shared" si="108"/>
        <v>315</v>
      </c>
      <c r="R672" s="59">
        <f t="shared" si="109"/>
        <v>100</v>
      </c>
      <c r="S672" s="56">
        <f t="shared" si="110"/>
        <v>695</v>
      </c>
      <c r="T672" s="56">
        <f>50</f>
        <v>50</v>
      </c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</row>
    <row r="673" spans="1:30" ht="15.75" x14ac:dyDescent="0.25">
      <c r="A673" s="13">
        <v>61787</v>
      </c>
      <c r="B673" s="67">
        <f t="shared" si="106"/>
        <v>28</v>
      </c>
      <c r="C673" s="56">
        <f>122.58</f>
        <v>122.58</v>
      </c>
      <c r="D673" s="56">
        <f>297.941</f>
        <v>297.94099999999997</v>
      </c>
      <c r="E673" s="64">
        <f>89.177</f>
        <v>89.177000000000007</v>
      </c>
      <c r="F673" s="56">
        <f>240.302-40-60-100</f>
        <v>40.301999999999992</v>
      </c>
      <c r="G673" s="59">
        <v>40</v>
      </c>
      <c r="H673" s="56">
        <f>60+100</f>
        <v>160</v>
      </c>
      <c r="I673" s="56">
        <f t="shared" si="102"/>
        <v>0</v>
      </c>
      <c r="J673" s="59">
        <v>100</v>
      </c>
      <c r="K673" s="59">
        <v>300</v>
      </c>
      <c r="L673" s="56">
        <f t="shared" si="107"/>
        <v>1150</v>
      </c>
      <c r="M673" s="66">
        <v>600</v>
      </c>
      <c r="N673" s="56">
        <f>100</f>
        <v>100</v>
      </c>
      <c r="O673" s="59">
        <v>240</v>
      </c>
      <c r="P673" s="59">
        <v>40</v>
      </c>
      <c r="Q673" s="59">
        <f t="shared" si="108"/>
        <v>315</v>
      </c>
      <c r="R673" s="59">
        <f t="shared" si="109"/>
        <v>100</v>
      </c>
      <c r="S673" s="56">
        <f t="shared" si="110"/>
        <v>695</v>
      </c>
      <c r="T673" s="56">
        <f>50</f>
        <v>50</v>
      </c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</row>
    <row r="674" spans="1:30" ht="15.75" x14ac:dyDescent="0.25">
      <c r="A674" s="13">
        <v>61818</v>
      </c>
      <c r="B674" s="67">
        <f t="shared" si="106"/>
        <v>31</v>
      </c>
      <c r="C674" s="56">
        <f>122.58</f>
        <v>122.58</v>
      </c>
      <c r="D674" s="56">
        <f>297.941</f>
        <v>297.94099999999997</v>
      </c>
      <c r="E674" s="64">
        <f>89.177</f>
        <v>89.177000000000007</v>
      </c>
      <c r="F674" s="56">
        <f>240.302-40-60-100</f>
        <v>40.301999999999992</v>
      </c>
      <c r="G674" s="59">
        <v>40</v>
      </c>
      <c r="H674" s="56">
        <f>60+100</f>
        <v>160</v>
      </c>
      <c r="I674" s="56">
        <f t="shared" si="102"/>
        <v>0</v>
      </c>
      <c r="J674" s="59">
        <v>100</v>
      </c>
      <c r="K674" s="59">
        <v>300</v>
      </c>
      <c r="L674" s="56">
        <f t="shared" si="107"/>
        <v>1150</v>
      </c>
      <c r="M674" s="66">
        <v>600</v>
      </c>
      <c r="N674" s="56">
        <f>100</f>
        <v>100</v>
      </c>
      <c r="O674" s="59">
        <v>240</v>
      </c>
      <c r="P674" s="59">
        <v>40</v>
      </c>
      <c r="Q674" s="59">
        <f t="shared" si="108"/>
        <v>315</v>
      </c>
      <c r="R674" s="59">
        <f t="shared" si="109"/>
        <v>100</v>
      </c>
      <c r="S674" s="56">
        <f t="shared" si="110"/>
        <v>695</v>
      </c>
      <c r="T674" s="56">
        <f>50</f>
        <v>50</v>
      </c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</row>
    <row r="675" spans="1:30" ht="15.75" x14ac:dyDescent="0.25">
      <c r="A675" s="13">
        <v>61848</v>
      </c>
      <c r="B675" s="67">
        <f t="shared" si="106"/>
        <v>30</v>
      </c>
      <c r="C675" s="56">
        <f>141.293</f>
        <v>141.29300000000001</v>
      </c>
      <c r="D675" s="56">
        <f>267.993</f>
        <v>267.99299999999999</v>
      </c>
      <c r="E675" s="64">
        <f>115.016</f>
        <v>115.01600000000001</v>
      </c>
      <c r="F675" s="56">
        <f>314.698-40-25-60-100</f>
        <v>89.697999999999979</v>
      </c>
      <c r="G675" s="59">
        <v>40</v>
      </c>
      <c r="H675" s="56">
        <f t="shared" ref="H675:H681" si="112">25+60+100</f>
        <v>185</v>
      </c>
      <c r="I675" s="56">
        <f t="shared" si="102"/>
        <v>0</v>
      </c>
      <c r="J675" s="59">
        <v>100</v>
      </c>
      <c r="K675" s="59">
        <v>300</v>
      </c>
      <c r="L675" s="56">
        <f t="shared" si="107"/>
        <v>1239</v>
      </c>
      <c r="M675" s="66">
        <v>600</v>
      </c>
      <c r="N675" s="56">
        <f>100</f>
        <v>100</v>
      </c>
      <c r="O675" s="59">
        <v>240</v>
      </c>
      <c r="P675" s="59">
        <v>40</v>
      </c>
      <c r="Q675" s="59">
        <f t="shared" si="108"/>
        <v>315</v>
      </c>
      <c r="R675" s="59">
        <f t="shared" si="109"/>
        <v>100</v>
      </c>
      <c r="S675" s="56">
        <f t="shared" si="110"/>
        <v>695</v>
      </c>
      <c r="T675" s="56">
        <f>50</f>
        <v>50</v>
      </c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</row>
    <row r="676" spans="1:30" ht="15.75" x14ac:dyDescent="0.25">
      <c r="A676" s="13">
        <v>61879</v>
      </c>
      <c r="B676" s="67">
        <f t="shared" si="106"/>
        <v>31</v>
      </c>
      <c r="C676" s="56">
        <f>194.205</f>
        <v>194.20500000000001</v>
      </c>
      <c r="D676" s="56">
        <f>267.466</f>
        <v>267.46600000000001</v>
      </c>
      <c r="E676" s="64">
        <f>133.845</f>
        <v>133.845</v>
      </c>
      <c r="F676" s="56">
        <f>278.484-40-25-60-100</f>
        <v>53.48399999999998</v>
      </c>
      <c r="G676" s="59">
        <v>40</v>
      </c>
      <c r="H676" s="56">
        <f t="shared" si="112"/>
        <v>185</v>
      </c>
      <c r="I676" s="56">
        <f t="shared" si="102"/>
        <v>0</v>
      </c>
      <c r="J676" s="59">
        <v>100</v>
      </c>
      <c r="K676" s="59">
        <v>300</v>
      </c>
      <c r="L676" s="56">
        <f t="shared" si="107"/>
        <v>1274</v>
      </c>
      <c r="M676" s="66">
        <v>600</v>
      </c>
      <c r="N676" s="56">
        <f>75</f>
        <v>75</v>
      </c>
      <c r="O676" s="59">
        <v>240</v>
      </c>
      <c r="P676" s="59">
        <v>40</v>
      </c>
      <c r="Q676" s="59">
        <f t="shared" si="108"/>
        <v>315</v>
      </c>
      <c r="R676" s="59">
        <f t="shared" si="109"/>
        <v>100</v>
      </c>
      <c r="S676" s="56">
        <f t="shared" si="110"/>
        <v>695</v>
      </c>
      <c r="T676" s="56">
        <f>50</f>
        <v>50</v>
      </c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</row>
    <row r="677" spans="1:30" ht="15.75" x14ac:dyDescent="0.25">
      <c r="A677" s="13">
        <v>61909</v>
      </c>
      <c r="B677" s="67">
        <f t="shared" si="106"/>
        <v>30</v>
      </c>
      <c r="C677" s="56">
        <f>194.205</f>
        <v>194.20500000000001</v>
      </c>
      <c r="D677" s="56">
        <f>267.466</f>
        <v>267.46600000000001</v>
      </c>
      <c r="E677" s="64">
        <f>133.845</f>
        <v>133.845</v>
      </c>
      <c r="F677" s="56">
        <f>278.484-40-25-60-100</f>
        <v>53.48399999999998</v>
      </c>
      <c r="G677" s="59">
        <v>40</v>
      </c>
      <c r="H677" s="56">
        <f t="shared" si="112"/>
        <v>185</v>
      </c>
      <c r="I677" s="56">
        <f t="shared" si="102"/>
        <v>0</v>
      </c>
      <c r="J677" s="59">
        <v>100</v>
      </c>
      <c r="K677" s="59">
        <v>300</v>
      </c>
      <c r="L677" s="56">
        <f t="shared" si="107"/>
        <v>1274</v>
      </c>
      <c r="M677" s="66">
        <v>600</v>
      </c>
      <c r="N677" s="56">
        <f>30</f>
        <v>30</v>
      </c>
      <c r="O677" s="59">
        <v>240</v>
      </c>
      <c r="P677" s="59">
        <v>40</v>
      </c>
      <c r="Q677" s="59">
        <f t="shared" si="108"/>
        <v>315</v>
      </c>
      <c r="R677" s="59">
        <f t="shared" si="109"/>
        <v>100</v>
      </c>
      <c r="S677" s="56">
        <f t="shared" si="110"/>
        <v>695</v>
      </c>
      <c r="T677" s="56">
        <f>50</f>
        <v>50</v>
      </c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</row>
    <row r="678" spans="1:30" ht="15.75" x14ac:dyDescent="0.25">
      <c r="A678" s="13">
        <v>61940</v>
      </c>
      <c r="B678" s="67">
        <f t="shared" si="106"/>
        <v>31</v>
      </c>
      <c r="C678" s="56">
        <f>194.205</f>
        <v>194.20500000000001</v>
      </c>
      <c r="D678" s="56">
        <f>267.466</f>
        <v>267.46600000000001</v>
      </c>
      <c r="E678" s="64">
        <f>133.845</f>
        <v>133.845</v>
      </c>
      <c r="F678" s="56">
        <f>278.484-40-25-60-100</f>
        <v>53.48399999999998</v>
      </c>
      <c r="G678" s="59">
        <v>40</v>
      </c>
      <c r="H678" s="56">
        <f t="shared" si="112"/>
        <v>185</v>
      </c>
      <c r="I678" s="56">
        <f t="shared" si="102"/>
        <v>0</v>
      </c>
      <c r="J678" s="59">
        <v>100</v>
      </c>
      <c r="K678" s="59">
        <v>300</v>
      </c>
      <c r="L678" s="56">
        <f t="shared" si="107"/>
        <v>1274</v>
      </c>
      <c r="M678" s="66">
        <v>600</v>
      </c>
      <c r="N678" s="56">
        <f>30</f>
        <v>30</v>
      </c>
      <c r="O678" s="59">
        <v>240</v>
      </c>
      <c r="P678" s="59">
        <v>40</v>
      </c>
      <c r="Q678" s="59">
        <f t="shared" si="108"/>
        <v>315</v>
      </c>
      <c r="R678" s="59">
        <f t="shared" si="109"/>
        <v>100</v>
      </c>
      <c r="S678" s="56">
        <f t="shared" si="110"/>
        <v>695</v>
      </c>
      <c r="T678" s="56">
        <f>0</f>
        <v>0</v>
      </c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</row>
    <row r="679" spans="1:30" ht="15.75" x14ac:dyDescent="0.25">
      <c r="A679" s="13">
        <v>61971</v>
      </c>
      <c r="B679" s="67">
        <f t="shared" si="106"/>
        <v>31</v>
      </c>
      <c r="C679" s="56">
        <f>194.205</f>
        <v>194.20500000000001</v>
      </c>
      <c r="D679" s="56">
        <f>267.466</f>
        <v>267.46600000000001</v>
      </c>
      <c r="E679" s="64">
        <f>133.845</f>
        <v>133.845</v>
      </c>
      <c r="F679" s="56">
        <f>278.484-40-25-60-100</f>
        <v>53.48399999999998</v>
      </c>
      <c r="G679" s="59">
        <v>40</v>
      </c>
      <c r="H679" s="56">
        <f t="shared" si="112"/>
        <v>185</v>
      </c>
      <c r="I679" s="56">
        <f t="shared" si="102"/>
        <v>0</v>
      </c>
      <c r="J679" s="59">
        <v>100</v>
      </c>
      <c r="K679" s="59">
        <v>300</v>
      </c>
      <c r="L679" s="56">
        <f t="shared" si="107"/>
        <v>1274</v>
      </c>
      <c r="M679" s="66">
        <v>600</v>
      </c>
      <c r="N679" s="56">
        <f>30</f>
        <v>30</v>
      </c>
      <c r="O679" s="59">
        <v>240</v>
      </c>
      <c r="P679" s="59">
        <v>40</v>
      </c>
      <c r="Q679" s="59">
        <f t="shared" si="108"/>
        <v>315</v>
      </c>
      <c r="R679" s="59">
        <f t="shared" si="109"/>
        <v>100</v>
      </c>
      <c r="S679" s="56">
        <f t="shared" si="110"/>
        <v>695</v>
      </c>
      <c r="T679" s="56">
        <f>0</f>
        <v>0</v>
      </c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</row>
    <row r="680" spans="1:30" ht="15.75" x14ac:dyDescent="0.25">
      <c r="A680" s="13">
        <v>62001</v>
      </c>
      <c r="B680" s="67">
        <f t="shared" si="106"/>
        <v>30</v>
      </c>
      <c r="C680" s="56">
        <f>194.205</f>
        <v>194.20500000000001</v>
      </c>
      <c r="D680" s="56">
        <f>267.466</f>
        <v>267.46600000000001</v>
      </c>
      <c r="E680" s="64">
        <f>133.845</f>
        <v>133.845</v>
      </c>
      <c r="F680" s="56">
        <f>278.484-40-25-60-100</f>
        <v>53.48399999999998</v>
      </c>
      <c r="G680" s="59">
        <v>40</v>
      </c>
      <c r="H680" s="56">
        <f t="shared" si="112"/>
        <v>185</v>
      </c>
      <c r="I680" s="56">
        <f t="shared" ref="I680:I743" si="113">400-J680-K680</f>
        <v>0</v>
      </c>
      <c r="J680" s="59">
        <v>100</v>
      </c>
      <c r="K680" s="59">
        <v>300</v>
      </c>
      <c r="L680" s="56">
        <f t="shared" si="107"/>
        <v>1274</v>
      </c>
      <c r="M680" s="66">
        <v>600</v>
      </c>
      <c r="N680" s="56">
        <f>30</f>
        <v>30</v>
      </c>
      <c r="O680" s="59">
        <v>240</v>
      </c>
      <c r="P680" s="59">
        <v>40</v>
      </c>
      <c r="Q680" s="59">
        <f t="shared" si="108"/>
        <v>315</v>
      </c>
      <c r="R680" s="59">
        <f t="shared" si="109"/>
        <v>100</v>
      </c>
      <c r="S680" s="56">
        <f t="shared" si="110"/>
        <v>695</v>
      </c>
      <c r="T680" s="56">
        <f>0</f>
        <v>0</v>
      </c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</row>
    <row r="681" spans="1:30" ht="15.75" x14ac:dyDescent="0.25">
      <c r="A681" s="13">
        <v>62032</v>
      </c>
      <c r="B681" s="67">
        <f t="shared" si="106"/>
        <v>31</v>
      </c>
      <c r="C681" s="56">
        <f>131.881</f>
        <v>131.881</v>
      </c>
      <c r="D681" s="56">
        <f>277.167</f>
        <v>277.16699999999997</v>
      </c>
      <c r="E681" s="64">
        <f>79.08</f>
        <v>79.08</v>
      </c>
      <c r="F681" s="56">
        <f>350.872-40-25-60-100</f>
        <v>125.87200000000001</v>
      </c>
      <c r="G681" s="59">
        <v>40</v>
      </c>
      <c r="H681" s="56">
        <f t="shared" si="112"/>
        <v>185</v>
      </c>
      <c r="I681" s="56">
        <f t="shared" si="113"/>
        <v>0</v>
      </c>
      <c r="J681" s="59">
        <v>100</v>
      </c>
      <c r="K681" s="59">
        <v>300</v>
      </c>
      <c r="L681" s="56">
        <f t="shared" si="107"/>
        <v>1239</v>
      </c>
      <c r="M681" s="66">
        <v>600</v>
      </c>
      <c r="N681" s="56">
        <f>75</f>
        <v>75</v>
      </c>
      <c r="O681" s="59">
        <v>240</v>
      </c>
      <c r="P681" s="59">
        <v>40</v>
      </c>
      <c r="Q681" s="59">
        <f t="shared" si="108"/>
        <v>315</v>
      </c>
      <c r="R681" s="59">
        <f t="shared" si="109"/>
        <v>100</v>
      </c>
      <c r="S681" s="56">
        <f t="shared" si="110"/>
        <v>695</v>
      </c>
      <c r="T681" s="56">
        <f>0</f>
        <v>0</v>
      </c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</row>
    <row r="682" spans="1:30" ht="15.75" x14ac:dyDescent="0.25">
      <c r="A682" s="13">
        <v>62062</v>
      </c>
      <c r="B682" s="67">
        <f t="shared" si="106"/>
        <v>30</v>
      </c>
      <c r="C682" s="56">
        <f>122.58</f>
        <v>122.58</v>
      </c>
      <c r="D682" s="56">
        <f>297.941</f>
        <v>297.94099999999997</v>
      </c>
      <c r="E682" s="64">
        <f>89.177</f>
        <v>89.177000000000007</v>
      </c>
      <c r="F682" s="56">
        <f>240.302-40-60-100</f>
        <v>40.301999999999992</v>
      </c>
      <c r="G682" s="59">
        <v>40</v>
      </c>
      <c r="H682" s="56">
        <f>60+100</f>
        <v>160</v>
      </c>
      <c r="I682" s="56">
        <f t="shared" si="113"/>
        <v>0</v>
      </c>
      <c r="J682" s="59">
        <v>100</v>
      </c>
      <c r="K682" s="59">
        <v>300</v>
      </c>
      <c r="L682" s="56">
        <f t="shared" si="107"/>
        <v>1150</v>
      </c>
      <c r="M682" s="66">
        <v>600</v>
      </c>
      <c r="N682" s="56">
        <f>100</f>
        <v>100</v>
      </c>
      <c r="O682" s="59">
        <v>240</v>
      </c>
      <c r="P682" s="59">
        <v>40</v>
      </c>
      <c r="Q682" s="59">
        <f t="shared" si="108"/>
        <v>315</v>
      </c>
      <c r="R682" s="59">
        <f t="shared" si="109"/>
        <v>100</v>
      </c>
      <c r="S682" s="56">
        <f t="shared" si="110"/>
        <v>695</v>
      </c>
      <c r="T682" s="56">
        <f>50</f>
        <v>50</v>
      </c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</row>
    <row r="683" spans="1:30" ht="15.75" x14ac:dyDescent="0.25">
      <c r="A683" s="13">
        <v>62093</v>
      </c>
      <c r="B683" s="67">
        <f t="shared" si="106"/>
        <v>31</v>
      </c>
      <c r="C683" s="56">
        <f>122.58</f>
        <v>122.58</v>
      </c>
      <c r="D683" s="56">
        <f>297.941</f>
        <v>297.94099999999997</v>
      </c>
      <c r="E683" s="64">
        <f>89.177</f>
        <v>89.177000000000007</v>
      </c>
      <c r="F683" s="56">
        <f>240.302-40-60-100</f>
        <v>40.301999999999992</v>
      </c>
      <c r="G683" s="59">
        <v>40</v>
      </c>
      <c r="H683" s="56">
        <f>60+100</f>
        <v>160</v>
      </c>
      <c r="I683" s="56">
        <f t="shared" si="113"/>
        <v>0</v>
      </c>
      <c r="J683" s="59">
        <v>100</v>
      </c>
      <c r="K683" s="59">
        <v>300</v>
      </c>
      <c r="L683" s="56">
        <f t="shared" si="107"/>
        <v>1150</v>
      </c>
      <c r="M683" s="66">
        <v>600</v>
      </c>
      <c r="N683" s="56">
        <f>100</f>
        <v>100</v>
      </c>
      <c r="O683" s="59">
        <v>240</v>
      </c>
      <c r="P683" s="59">
        <v>40</v>
      </c>
      <c r="Q683" s="59">
        <f t="shared" si="108"/>
        <v>315</v>
      </c>
      <c r="R683" s="59">
        <f t="shared" si="109"/>
        <v>100</v>
      </c>
      <c r="S683" s="56">
        <f t="shared" si="110"/>
        <v>695</v>
      </c>
      <c r="T683" s="56">
        <f>50</f>
        <v>50</v>
      </c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</row>
    <row r="684" spans="1:30" ht="15.75" x14ac:dyDescent="0.25">
      <c r="A684" s="13">
        <v>62124</v>
      </c>
      <c r="B684" s="67">
        <f t="shared" si="106"/>
        <v>31</v>
      </c>
      <c r="C684" s="56">
        <f>122.58</f>
        <v>122.58</v>
      </c>
      <c r="D684" s="56">
        <f>297.941</f>
        <v>297.94099999999997</v>
      </c>
      <c r="E684" s="64">
        <f>89.177</f>
        <v>89.177000000000007</v>
      </c>
      <c r="F684" s="56">
        <f>240.302-40-60-100</f>
        <v>40.301999999999992</v>
      </c>
      <c r="G684" s="59">
        <v>40</v>
      </c>
      <c r="H684" s="56">
        <f>60+100</f>
        <v>160</v>
      </c>
      <c r="I684" s="56">
        <f t="shared" si="113"/>
        <v>0</v>
      </c>
      <c r="J684" s="59">
        <v>100</v>
      </c>
      <c r="K684" s="59">
        <v>300</v>
      </c>
      <c r="L684" s="56">
        <f t="shared" si="107"/>
        <v>1150</v>
      </c>
      <c r="M684" s="66">
        <v>600</v>
      </c>
      <c r="N684" s="56">
        <f>100</f>
        <v>100</v>
      </c>
      <c r="O684" s="59">
        <v>240</v>
      </c>
      <c r="P684" s="59">
        <v>40</v>
      </c>
      <c r="Q684" s="59">
        <f t="shared" si="108"/>
        <v>315</v>
      </c>
      <c r="R684" s="59">
        <f t="shared" si="109"/>
        <v>100</v>
      </c>
      <c r="S684" s="56">
        <f t="shared" si="110"/>
        <v>695</v>
      </c>
      <c r="T684" s="56">
        <f>50</f>
        <v>50</v>
      </c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</row>
    <row r="685" spans="1:30" ht="15.75" x14ac:dyDescent="0.25">
      <c r="A685" s="13">
        <v>62152</v>
      </c>
      <c r="B685" s="67">
        <f t="shared" si="106"/>
        <v>28</v>
      </c>
      <c r="C685" s="56">
        <f>122.58</f>
        <v>122.58</v>
      </c>
      <c r="D685" s="56">
        <f>297.941</f>
        <v>297.94099999999997</v>
      </c>
      <c r="E685" s="64">
        <f>89.177</f>
        <v>89.177000000000007</v>
      </c>
      <c r="F685" s="56">
        <f>240.302-40-60-100</f>
        <v>40.301999999999992</v>
      </c>
      <c r="G685" s="59">
        <v>40</v>
      </c>
      <c r="H685" s="56">
        <f>60+100</f>
        <v>160</v>
      </c>
      <c r="I685" s="56">
        <f t="shared" si="113"/>
        <v>0</v>
      </c>
      <c r="J685" s="59">
        <v>100</v>
      </c>
      <c r="K685" s="59">
        <v>300</v>
      </c>
      <c r="L685" s="56">
        <f t="shared" si="107"/>
        <v>1150</v>
      </c>
      <c r="M685" s="66">
        <v>600</v>
      </c>
      <c r="N685" s="56">
        <f>100</f>
        <v>100</v>
      </c>
      <c r="O685" s="59">
        <v>240</v>
      </c>
      <c r="P685" s="59">
        <v>40</v>
      </c>
      <c r="Q685" s="59">
        <f t="shared" si="108"/>
        <v>315</v>
      </c>
      <c r="R685" s="59">
        <f t="shared" si="109"/>
        <v>100</v>
      </c>
      <c r="S685" s="56">
        <f t="shared" si="110"/>
        <v>695</v>
      </c>
      <c r="T685" s="56">
        <f>50</f>
        <v>50</v>
      </c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</row>
    <row r="686" spans="1:30" ht="15.75" x14ac:dyDescent="0.25">
      <c r="A686" s="13">
        <v>62183</v>
      </c>
      <c r="B686" s="67">
        <f t="shared" si="106"/>
        <v>31</v>
      </c>
      <c r="C686" s="56">
        <f>122.58</f>
        <v>122.58</v>
      </c>
      <c r="D686" s="56">
        <f>297.941</f>
        <v>297.94099999999997</v>
      </c>
      <c r="E686" s="64">
        <f>89.177</f>
        <v>89.177000000000007</v>
      </c>
      <c r="F686" s="56">
        <f>240.302-40-60-100</f>
        <v>40.301999999999992</v>
      </c>
      <c r="G686" s="59">
        <v>40</v>
      </c>
      <c r="H686" s="56">
        <f>60+100</f>
        <v>160</v>
      </c>
      <c r="I686" s="56">
        <f t="shared" si="113"/>
        <v>0</v>
      </c>
      <c r="J686" s="59">
        <v>100</v>
      </c>
      <c r="K686" s="59">
        <v>300</v>
      </c>
      <c r="L686" s="56">
        <f t="shared" si="107"/>
        <v>1150</v>
      </c>
      <c r="M686" s="66">
        <v>600</v>
      </c>
      <c r="N686" s="56">
        <f>100</f>
        <v>100</v>
      </c>
      <c r="O686" s="59">
        <v>240</v>
      </c>
      <c r="P686" s="59">
        <v>40</v>
      </c>
      <c r="Q686" s="59">
        <f t="shared" si="108"/>
        <v>315</v>
      </c>
      <c r="R686" s="59">
        <f t="shared" si="109"/>
        <v>100</v>
      </c>
      <c r="S686" s="56">
        <f t="shared" si="110"/>
        <v>695</v>
      </c>
      <c r="T686" s="56">
        <f>50</f>
        <v>50</v>
      </c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</row>
    <row r="687" spans="1:30" ht="15.75" x14ac:dyDescent="0.25">
      <c r="A687" s="13">
        <v>62213</v>
      </c>
      <c r="B687" s="67">
        <f t="shared" si="106"/>
        <v>30</v>
      </c>
      <c r="C687" s="56">
        <f>141.293</f>
        <v>141.29300000000001</v>
      </c>
      <c r="D687" s="56">
        <f>267.993</f>
        <v>267.99299999999999</v>
      </c>
      <c r="E687" s="64">
        <f>115.016</f>
        <v>115.01600000000001</v>
      </c>
      <c r="F687" s="56">
        <f>314.698-40-25-60-100</f>
        <v>89.697999999999979</v>
      </c>
      <c r="G687" s="59">
        <v>40</v>
      </c>
      <c r="H687" s="56">
        <f t="shared" ref="H687:H693" si="114">25+60+100</f>
        <v>185</v>
      </c>
      <c r="I687" s="56">
        <f t="shared" si="113"/>
        <v>0</v>
      </c>
      <c r="J687" s="59">
        <v>100</v>
      </c>
      <c r="K687" s="59">
        <v>300</v>
      </c>
      <c r="L687" s="56">
        <f t="shared" si="107"/>
        <v>1239</v>
      </c>
      <c r="M687" s="66">
        <v>600</v>
      </c>
      <c r="N687" s="56">
        <f>100</f>
        <v>100</v>
      </c>
      <c r="O687" s="59">
        <v>240</v>
      </c>
      <c r="P687" s="59">
        <v>40</v>
      </c>
      <c r="Q687" s="59">
        <f t="shared" si="108"/>
        <v>315</v>
      </c>
      <c r="R687" s="59">
        <f t="shared" si="109"/>
        <v>100</v>
      </c>
      <c r="S687" s="56">
        <f t="shared" si="110"/>
        <v>695</v>
      </c>
      <c r="T687" s="56">
        <f>50</f>
        <v>50</v>
      </c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</row>
    <row r="688" spans="1:30" ht="15.75" x14ac:dyDescent="0.25">
      <c r="A688" s="13">
        <v>62244</v>
      </c>
      <c r="B688" s="67">
        <f t="shared" si="106"/>
        <v>31</v>
      </c>
      <c r="C688" s="56">
        <f>194.205</f>
        <v>194.20500000000001</v>
      </c>
      <c r="D688" s="56">
        <f>267.466</f>
        <v>267.46600000000001</v>
      </c>
      <c r="E688" s="64">
        <f>133.845</f>
        <v>133.845</v>
      </c>
      <c r="F688" s="56">
        <f>278.484-40-25-60-100</f>
        <v>53.48399999999998</v>
      </c>
      <c r="G688" s="59">
        <v>40</v>
      </c>
      <c r="H688" s="56">
        <f t="shared" si="114"/>
        <v>185</v>
      </c>
      <c r="I688" s="56">
        <f t="shared" si="113"/>
        <v>0</v>
      </c>
      <c r="J688" s="59">
        <v>100</v>
      </c>
      <c r="K688" s="59">
        <v>300</v>
      </c>
      <c r="L688" s="56">
        <f t="shared" si="107"/>
        <v>1274</v>
      </c>
      <c r="M688" s="66">
        <v>600</v>
      </c>
      <c r="N688" s="56">
        <f>75</f>
        <v>75</v>
      </c>
      <c r="O688" s="59">
        <v>240</v>
      </c>
      <c r="P688" s="59">
        <v>40</v>
      </c>
      <c r="Q688" s="59">
        <f t="shared" si="108"/>
        <v>315</v>
      </c>
      <c r="R688" s="59">
        <f t="shared" si="109"/>
        <v>100</v>
      </c>
      <c r="S688" s="56">
        <f t="shared" si="110"/>
        <v>695</v>
      </c>
      <c r="T688" s="56">
        <f>50</f>
        <v>50</v>
      </c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</row>
    <row r="689" spans="1:30" ht="15.75" x14ac:dyDescent="0.25">
      <c r="A689" s="13">
        <v>62274</v>
      </c>
      <c r="B689" s="67">
        <f t="shared" si="106"/>
        <v>30</v>
      </c>
      <c r="C689" s="56">
        <f>194.205</f>
        <v>194.20500000000001</v>
      </c>
      <c r="D689" s="56">
        <f>267.466</f>
        <v>267.46600000000001</v>
      </c>
      <c r="E689" s="64">
        <f>133.845</f>
        <v>133.845</v>
      </c>
      <c r="F689" s="56">
        <f>278.484-40-25-60-100</f>
        <v>53.48399999999998</v>
      </c>
      <c r="G689" s="59">
        <v>40</v>
      </c>
      <c r="H689" s="56">
        <f t="shared" si="114"/>
        <v>185</v>
      </c>
      <c r="I689" s="56">
        <f t="shared" si="113"/>
        <v>0</v>
      </c>
      <c r="J689" s="59">
        <v>100</v>
      </c>
      <c r="K689" s="59">
        <v>300</v>
      </c>
      <c r="L689" s="56">
        <f t="shared" si="107"/>
        <v>1274</v>
      </c>
      <c r="M689" s="66">
        <v>600</v>
      </c>
      <c r="N689" s="56">
        <f>30</f>
        <v>30</v>
      </c>
      <c r="O689" s="59">
        <v>240</v>
      </c>
      <c r="P689" s="59">
        <v>40</v>
      </c>
      <c r="Q689" s="59">
        <f t="shared" si="108"/>
        <v>315</v>
      </c>
      <c r="R689" s="59">
        <f t="shared" si="109"/>
        <v>100</v>
      </c>
      <c r="S689" s="56">
        <f t="shared" si="110"/>
        <v>695</v>
      </c>
      <c r="T689" s="56">
        <f>50</f>
        <v>50</v>
      </c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</row>
    <row r="690" spans="1:30" ht="15.75" x14ac:dyDescent="0.25">
      <c r="A690" s="13">
        <v>62305</v>
      </c>
      <c r="B690" s="67">
        <f t="shared" si="106"/>
        <v>31</v>
      </c>
      <c r="C690" s="56">
        <f>194.205</f>
        <v>194.20500000000001</v>
      </c>
      <c r="D690" s="56">
        <f>267.466</f>
        <v>267.46600000000001</v>
      </c>
      <c r="E690" s="64">
        <f>133.845</f>
        <v>133.845</v>
      </c>
      <c r="F690" s="56">
        <f>278.484-40-25-60-100</f>
        <v>53.48399999999998</v>
      </c>
      <c r="G690" s="59">
        <v>40</v>
      </c>
      <c r="H690" s="56">
        <f t="shared" si="114"/>
        <v>185</v>
      </c>
      <c r="I690" s="56">
        <f t="shared" si="113"/>
        <v>0</v>
      </c>
      <c r="J690" s="59">
        <v>100</v>
      </c>
      <c r="K690" s="59">
        <v>300</v>
      </c>
      <c r="L690" s="56">
        <f t="shared" si="107"/>
        <v>1274</v>
      </c>
      <c r="M690" s="66">
        <v>600</v>
      </c>
      <c r="N690" s="56">
        <f>30</f>
        <v>30</v>
      </c>
      <c r="O690" s="59">
        <v>240</v>
      </c>
      <c r="P690" s="59">
        <v>40</v>
      </c>
      <c r="Q690" s="59">
        <f t="shared" si="108"/>
        <v>315</v>
      </c>
      <c r="R690" s="59">
        <f t="shared" si="109"/>
        <v>100</v>
      </c>
      <c r="S690" s="56">
        <f t="shared" si="110"/>
        <v>695</v>
      </c>
      <c r="T690" s="56">
        <f>0</f>
        <v>0</v>
      </c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</row>
    <row r="691" spans="1:30" ht="15.75" x14ac:dyDescent="0.25">
      <c r="A691" s="13">
        <v>62336</v>
      </c>
      <c r="B691" s="67">
        <f t="shared" si="106"/>
        <v>31</v>
      </c>
      <c r="C691" s="56">
        <f>194.205</f>
        <v>194.20500000000001</v>
      </c>
      <c r="D691" s="56">
        <f>267.466</f>
        <v>267.46600000000001</v>
      </c>
      <c r="E691" s="64">
        <f>133.845</f>
        <v>133.845</v>
      </c>
      <c r="F691" s="56">
        <f>278.484-40-25-60-100</f>
        <v>53.48399999999998</v>
      </c>
      <c r="G691" s="59">
        <v>40</v>
      </c>
      <c r="H691" s="56">
        <f t="shared" si="114"/>
        <v>185</v>
      </c>
      <c r="I691" s="56">
        <f t="shared" si="113"/>
        <v>0</v>
      </c>
      <c r="J691" s="59">
        <v>100</v>
      </c>
      <c r="K691" s="59">
        <v>300</v>
      </c>
      <c r="L691" s="56">
        <f t="shared" si="107"/>
        <v>1274</v>
      </c>
      <c r="M691" s="66">
        <v>600</v>
      </c>
      <c r="N691" s="56">
        <f>30</f>
        <v>30</v>
      </c>
      <c r="O691" s="59">
        <v>240</v>
      </c>
      <c r="P691" s="59">
        <v>40</v>
      </c>
      <c r="Q691" s="59">
        <f t="shared" si="108"/>
        <v>315</v>
      </c>
      <c r="R691" s="59">
        <f t="shared" si="109"/>
        <v>100</v>
      </c>
      <c r="S691" s="56">
        <f t="shared" si="110"/>
        <v>695</v>
      </c>
      <c r="T691" s="56">
        <f>0</f>
        <v>0</v>
      </c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</row>
    <row r="692" spans="1:30" ht="15.75" x14ac:dyDescent="0.25">
      <c r="A692" s="13">
        <v>62366</v>
      </c>
      <c r="B692" s="67">
        <f t="shared" si="106"/>
        <v>30</v>
      </c>
      <c r="C692" s="56">
        <f>194.205</f>
        <v>194.20500000000001</v>
      </c>
      <c r="D692" s="56">
        <f>267.466</f>
        <v>267.46600000000001</v>
      </c>
      <c r="E692" s="64">
        <f>133.845</f>
        <v>133.845</v>
      </c>
      <c r="F692" s="56">
        <f>278.484-40-25-60-100</f>
        <v>53.48399999999998</v>
      </c>
      <c r="G692" s="59">
        <v>40</v>
      </c>
      <c r="H692" s="56">
        <f t="shared" si="114"/>
        <v>185</v>
      </c>
      <c r="I692" s="56">
        <f t="shared" si="113"/>
        <v>0</v>
      </c>
      <c r="J692" s="59">
        <v>100</v>
      </c>
      <c r="K692" s="59">
        <v>300</v>
      </c>
      <c r="L692" s="56">
        <f t="shared" si="107"/>
        <v>1274</v>
      </c>
      <c r="M692" s="66">
        <v>600</v>
      </c>
      <c r="N692" s="56">
        <f>30</f>
        <v>30</v>
      </c>
      <c r="O692" s="59">
        <v>240</v>
      </c>
      <c r="P692" s="59">
        <v>40</v>
      </c>
      <c r="Q692" s="59">
        <f t="shared" si="108"/>
        <v>315</v>
      </c>
      <c r="R692" s="59">
        <f t="shared" si="109"/>
        <v>100</v>
      </c>
      <c r="S692" s="56">
        <f t="shared" si="110"/>
        <v>695</v>
      </c>
      <c r="T692" s="56">
        <f>0</f>
        <v>0</v>
      </c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</row>
    <row r="693" spans="1:30" ht="15.75" x14ac:dyDescent="0.25">
      <c r="A693" s="13">
        <v>62397</v>
      </c>
      <c r="B693" s="67">
        <f t="shared" si="106"/>
        <v>31</v>
      </c>
      <c r="C693" s="56">
        <f>131.881</f>
        <v>131.881</v>
      </c>
      <c r="D693" s="56">
        <f>277.167</f>
        <v>277.16699999999997</v>
      </c>
      <c r="E693" s="64">
        <f>79.08</f>
        <v>79.08</v>
      </c>
      <c r="F693" s="56">
        <f>350.872-40-25-60-100</f>
        <v>125.87200000000001</v>
      </c>
      <c r="G693" s="59">
        <v>40</v>
      </c>
      <c r="H693" s="56">
        <f t="shared" si="114"/>
        <v>185</v>
      </c>
      <c r="I693" s="56">
        <f t="shared" si="113"/>
        <v>0</v>
      </c>
      <c r="J693" s="59">
        <v>100</v>
      </c>
      <c r="K693" s="59">
        <v>300</v>
      </c>
      <c r="L693" s="56">
        <f t="shared" si="107"/>
        <v>1239</v>
      </c>
      <c r="M693" s="66">
        <v>600</v>
      </c>
      <c r="N693" s="56">
        <f>75</f>
        <v>75</v>
      </c>
      <c r="O693" s="59">
        <v>240</v>
      </c>
      <c r="P693" s="59">
        <v>40</v>
      </c>
      <c r="Q693" s="59">
        <f t="shared" si="108"/>
        <v>315</v>
      </c>
      <c r="R693" s="59">
        <f t="shared" si="109"/>
        <v>100</v>
      </c>
      <c r="S693" s="56">
        <f t="shared" si="110"/>
        <v>695</v>
      </c>
      <c r="T693" s="56">
        <f>0</f>
        <v>0</v>
      </c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</row>
    <row r="694" spans="1:30" ht="15.75" x14ac:dyDescent="0.25">
      <c r="A694" s="13">
        <v>62427</v>
      </c>
      <c r="B694" s="67">
        <f t="shared" si="106"/>
        <v>30</v>
      </c>
      <c r="C694" s="56">
        <f>122.58</f>
        <v>122.58</v>
      </c>
      <c r="D694" s="56">
        <f>297.941</f>
        <v>297.94099999999997</v>
      </c>
      <c r="E694" s="64">
        <f>89.177</f>
        <v>89.177000000000007</v>
      </c>
      <c r="F694" s="56">
        <f>240.302-40-60-100</f>
        <v>40.301999999999992</v>
      </c>
      <c r="G694" s="59">
        <v>40</v>
      </c>
      <c r="H694" s="56">
        <f>60+100</f>
        <v>160</v>
      </c>
      <c r="I694" s="56">
        <f t="shared" si="113"/>
        <v>0</v>
      </c>
      <c r="J694" s="59">
        <v>100</v>
      </c>
      <c r="K694" s="59">
        <v>300</v>
      </c>
      <c r="L694" s="56">
        <f t="shared" si="107"/>
        <v>1150</v>
      </c>
      <c r="M694" s="66">
        <v>600</v>
      </c>
      <c r="N694" s="56">
        <f>100</f>
        <v>100</v>
      </c>
      <c r="O694" s="59">
        <v>240</v>
      </c>
      <c r="P694" s="59">
        <v>40</v>
      </c>
      <c r="Q694" s="59">
        <f t="shared" si="108"/>
        <v>315</v>
      </c>
      <c r="R694" s="59">
        <f t="shared" si="109"/>
        <v>100</v>
      </c>
      <c r="S694" s="56">
        <f t="shared" si="110"/>
        <v>695</v>
      </c>
      <c r="T694" s="56">
        <f>50</f>
        <v>50</v>
      </c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</row>
    <row r="695" spans="1:30" ht="15.75" x14ac:dyDescent="0.25">
      <c r="A695" s="13">
        <v>62458</v>
      </c>
      <c r="B695" s="67">
        <f t="shared" si="106"/>
        <v>31</v>
      </c>
      <c r="C695" s="56">
        <f>122.58</f>
        <v>122.58</v>
      </c>
      <c r="D695" s="56">
        <f>297.941</f>
        <v>297.94099999999997</v>
      </c>
      <c r="E695" s="64">
        <f>89.177</f>
        <v>89.177000000000007</v>
      </c>
      <c r="F695" s="56">
        <f>240.302-40-60-100</f>
        <v>40.301999999999992</v>
      </c>
      <c r="G695" s="59">
        <v>40</v>
      </c>
      <c r="H695" s="56">
        <f>60+100</f>
        <v>160</v>
      </c>
      <c r="I695" s="56">
        <f t="shared" si="113"/>
        <v>0</v>
      </c>
      <c r="J695" s="59">
        <v>100</v>
      </c>
      <c r="K695" s="59">
        <v>300</v>
      </c>
      <c r="L695" s="56">
        <f t="shared" si="107"/>
        <v>1150</v>
      </c>
      <c r="M695" s="66">
        <v>600</v>
      </c>
      <c r="N695" s="56">
        <f>100</f>
        <v>100</v>
      </c>
      <c r="O695" s="59">
        <v>240</v>
      </c>
      <c r="P695" s="59">
        <v>40</v>
      </c>
      <c r="Q695" s="59">
        <f t="shared" si="108"/>
        <v>315</v>
      </c>
      <c r="R695" s="59">
        <f t="shared" si="109"/>
        <v>100</v>
      </c>
      <c r="S695" s="56">
        <f t="shared" si="110"/>
        <v>695</v>
      </c>
      <c r="T695" s="56">
        <f>50</f>
        <v>50</v>
      </c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</row>
    <row r="696" spans="1:30" ht="15.75" x14ac:dyDescent="0.25">
      <c r="A696" s="13">
        <v>62489</v>
      </c>
      <c r="B696" s="67">
        <f t="shared" si="106"/>
        <v>31</v>
      </c>
      <c r="C696" s="56">
        <f>122.58</f>
        <v>122.58</v>
      </c>
      <c r="D696" s="56">
        <f>297.941</f>
        <v>297.94099999999997</v>
      </c>
      <c r="E696" s="64">
        <f>89.177</f>
        <v>89.177000000000007</v>
      </c>
      <c r="F696" s="56">
        <f>240.302-40-60-100</f>
        <v>40.301999999999992</v>
      </c>
      <c r="G696" s="59">
        <v>40</v>
      </c>
      <c r="H696" s="56">
        <f>60+100</f>
        <v>160</v>
      </c>
      <c r="I696" s="56">
        <f t="shared" si="113"/>
        <v>0</v>
      </c>
      <c r="J696" s="59">
        <v>100</v>
      </c>
      <c r="K696" s="59">
        <v>300</v>
      </c>
      <c r="L696" s="56">
        <f t="shared" si="107"/>
        <v>1150</v>
      </c>
      <c r="M696" s="66">
        <v>600</v>
      </c>
      <c r="N696" s="56">
        <f>100</f>
        <v>100</v>
      </c>
      <c r="O696" s="59">
        <v>240</v>
      </c>
      <c r="P696" s="59">
        <v>40</v>
      </c>
      <c r="Q696" s="59">
        <f t="shared" si="108"/>
        <v>315</v>
      </c>
      <c r="R696" s="59">
        <f t="shared" si="109"/>
        <v>100</v>
      </c>
      <c r="S696" s="56">
        <f t="shared" si="110"/>
        <v>695</v>
      </c>
      <c r="T696" s="56">
        <f>50</f>
        <v>50</v>
      </c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</row>
    <row r="697" spans="1:30" ht="15.75" x14ac:dyDescent="0.25">
      <c r="A697" s="13">
        <v>62517</v>
      </c>
      <c r="B697" s="67">
        <f t="shared" si="106"/>
        <v>28</v>
      </c>
      <c r="C697" s="56">
        <f>122.58</f>
        <v>122.58</v>
      </c>
      <c r="D697" s="56">
        <f>297.941</f>
        <v>297.94099999999997</v>
      </c>
      <c r="E697" s="64">
        <f>89.177</f>
        <v>89.177000000000007</v>
      </c>
      <c r="F697" s="56">
        <f>240.302-40-60-100</f>
        <v>40.301999999999992</v>
      </c>
      <c r="G697" s="59">
        <v>40</v>
      </c>
      <c r="H697" s="56">
        <f>60+100</f>
        <v>160</v>
      </c>
      <c r="I697" s="56">
        <f t="shared" si="113"/>
        <v>0</v>
      </c>
      <c r="J697" s="59">
        <v>100</v>
      </c>
      <c r="K697" s="59">
        <v>300</v>
      </c>
      <c r="L697" s="56">
        <f t="shared" si="107"/>
        <v>1150</v>
      </c>
      <c r="M697" s="66">
        <v>600</v>
      </c>
      <c r="N697" s="56">
        <f>100</f>
        <v>100</v>
      </c>
      <c r="O697" s="59">
        <v>240</v>
      </c>
      <c r="P697" s="59">
        <v>40</v>
      </c>
      <c r="Q697" s="59">
        <f t="shared" si="108"/>
        <v>315</v>
      </c>
      <c r="R697" s="59">
        <f t="shared" si="109"/>
        <v>100</v>
      </c>
      <c r="S697" s="56">
        <f t="shared" si="110"/>
        <v>695</v>
      </c>
      <c r="T697" s="56">
        <f>50</f>
        <v>50</v>
      </c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</row>
    <row r="698" spans="1:30" ht="15.75" x14ac:dyDescent="0.25">
      <c r="A698" s="13">
        <v>62548</v>
      </c>
      <c r="B698" s="67">
        <f t="shared" si="106"/>
        <v>31</v>
      </c>
      <c r="C698" s="56">
        <f>122.58</f>
        <v>122.58</v>
      </c>
      <c r="D698" s="56">
        <f>297.941</f>
        <v>297.94099999999997</v>
      </c>
      <c r="E698" s="64">
        <f>89.177</f>
        <v>89.177000000000007</v>
      </c>
      <c r="F698" s="56">
        <f>240.302-40-60-100</f>
        <v>40.301999999999992</v>
      </c>
      <c r="G698" s="59">
        <v>40</v>
      </c>
      <c r="H698" s="56">
        <f>60+100</f>
        <v>160</v>
      </c>
      <c r="I698" s="56">
        <f t="shared" si="113"/>
        <v>0</v>
      </c>
      <c r="J698" s="59">
        <v>100</v>
      </c>
      <c r="K698" s="59">
        <v>300</v>
      </c>
      <c r="L698" s="56">
        <f t="shared" si="107"/>
        <v>1150</v>
      </c>
      <c r="M698" s="66">
        <v>600</v>
      </c>
      <c r="N698" s="56">
        <f>100</f>
        <v>100</v>
      </c>
      <c r="O698" s="59">
        <v>240</v>
      </c>
      <c r="P698" s="59">
        <v>40</v>
      </c>
      <c r="Q698" s="59">
        <f t="shared" si="108"/>
        <v>315</v>
      </c>
      <c r="R698" s="59">
        <f t="shared" si="109"/>
        <v>100</v>
      </c>
      <c r="S698" s="56">
        <f t="shared" si="110"/>
        <v>695</v>
      </c>
      <c r="T698" s="56">
        <f>50</f>
        <v>50</v>
      </c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</row>
    <row r="699" spans="1:30" ht="15.75" x14ac:dyDescent="0.25">
      <c r="A699" s="13">
        <v>62578</v>
      </c>
      <c r="B699" s="67">
        <f t="shared" si="106"/>
        <v>30</v>
      </c>
      <c r="C699" s="56">
        <f>141.293</f>
        <v>141.29300000000001</v>
      </c>
      <c r="D699" s="56">
        <f>267.993</f>
        <v>267.99299999999999</v>
      </c>
      <c r="E699" s="64">
        <f>115.016</f>
        <v>115.01600000000001</v>
      </c>
      <c r="F699" s="56">
        <f>314.698-40-25-60-100</f>
        <v>89.697999999999979</v>
      </c>
      <c r="G699" s="59">
        <v>40</v>
      </c>
      <c r="H699" s="56">
        <f t="shared" ref="H699:H705" si="115">25+60+100</f>
        <v>185</v>
      </c>
      <c r="I699" s="56">
        <f t="shared" si="113"/>
        <v>0</v>
      </c>
      <c r="J699" s="59">
        <v>100</v>
      </c>
      <c r="K699" s="59">
        <v>300</v>
      </c>
      <c r="L699" s="56">
        <f t="shared" si="107"/>
        <v>1239</v>
      </c>
      <c r="M699" s="66">
        <v>600</v>
      </c>
      <c r="N699" s="56">
        <f>100</f>
        <v>100</v>
      </c>
      <c r="O699" s="59">
        <v>240</v>
      </c>
      <c r="P699" s="59">
        <v>40</v>
      </c>
      <c r="Q699" s="59">
        <f t="shared" si="108"/>
        <v>315</v>
      </c>
      <c r="R699" s="59">
        <f t="shared" si="109"/>
        <v>100</v>
      </c>
      <c r="S699" s="56">
        <f t="shared" si="110"/>
        <v>695</v>
      </c>
      <c r="T699" s="56">
        <f>50</f>
        <v>50</v>
      </c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</row>
    <row r="700" spans="1:30" ht="15.75" x14ac:dyDescent="0.25">
      <c r="A700" s="13">
        <v>62609</v>
      </c>
      <c r="B700" s="67">
        <f t="shared" si="106"/>
        <v>31</v>
      </c>
      <c r="C700" s="56">
        <f>194.205</f>
        <v>194.20500000000001</v>
      </c>
      <c r="D700" s="56">
        <f>267.466</f>
        <v>267.46600000000001</v>
      </c>
      <c r="E700" s="64">
        <f>133.845</f>
        <v>133.845</v>
      </c>
      <c r="F700" s="56">
        <f>278.484-40-25-60-100</f>
        <v>53.48399999999998</v>
      </c>
      <c r="G700" s="59">
        <v>40</v>
      </c>
      <c r="H700" s="56">
        <f t="shared" si="115"/>
        <v>185</v>
      </c>
      <c r="I700" s="56">
        <f t="shared" si="113"/>
        <v>0</v>
      </c>
      <c r="J700" s="59">
        <v>100</v>
      </c>
      <c r="K700" s="59">
        <v>300</v>
      </c>
      <c r="L700" s="56">
        <f t="shared" si="107"/>
        <v>1274</v>
      </c>
      <c r="M700" s="66">
        <v>600</v>
      </c>
      <c r="N700" s="56">
        <f>75</f>
        <v>75</v>
      </c>
      <c r="O700" s="59">
        <v>240</v>
      </c>
      <c r="P700" s="59">
        <v>40</v>
      </c>
      <c r="Q700" s="59">
        <f t="shared" si="108"/>
        <v>315</v>
      </c>
      <c r="R700" s="59">
        <f t="shared" si="109"/>
        <v>100</v>
      </c>
      <c r="S700" s="56">
        <f t="shared" si="110"/>
        <v>695</v>
      </c>
      <c r="T700" s="56">
        <f>50</f>
        <v>50</v>
      </c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</row>
    <row r="701" spans="1:30" ht="15.75" x14ac:dyDescent="0.25">
      <c r="A701" s="13">
        <v>62639</v>
      </c>
      <c r="B701" s="67">
        <f t="shared" si="106"/>
        <v>30</v>
      </c>
      <c r="C701" s="56">
        <f>194.205</f>
        <v>194.20500000000001</v>
      </c>
      <c r="D701" s="56">
        <f>267.466</f>
        <v>267.46600000000001</v>
      </c>
      <c r="E701" s="64">
        <f>133.845</f>
        <v>133.845</v>
      </c>
      <c r="F701" s="56">
        <f>278.484-40-25-60-100</f>
        <v>53.48399999999998</v>
      </c>
      <c r="G701" s="59">
        <v>40</v>
      </c>
      <c r="H701" s="56">
        <f t="shared" si="115"/>
        <v>185</v>
      </c>
      <c r="I701" s="56">
        <f t="shared" si="113"/>
        <v>0</v>
      </c>
      <c r="J701" s="59">
        <v>100</v>
      </c>
      <c r="K701" s="59">
        <v>300</v>
      </c>
      <c r="L701" s="56">
        <f t="shared" si="107"/>
        <v>1274</v>
      </c>
      <c r="M701" s="66">
        <v>600</v>
      </c>
      <c r="N701" s="56">
        <f>30</f>
        <v>30</v>
      </c>
      <c r="O701" s="59">
        <v>240</v>
      </c>
      <c r="P701" s="59">
        <v>40</v>
      </c>
      <c r="Q701" s="59">
        <f t="shared" si="108"/>
        <v>315</v>
      </c>
      <c r="R701" s="59">
        <f t="shared" si="109"/>
        <v>100</v>
      </c>
      <c r="S701" s="56">
        <f t="shared" si="110"/>
        <v>695</v>
      </c>
      <c r="T701" s="56">
        <f>50</f>
        <v>50</v>
      </c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</row>
    <row r="702" spans="1:30" ht="15.75" x14ac:dyDescent="0.25">
      <c r="A702" s="13">
        <v>62670</v>
      </c>
      <c r="B702" s="67">
        <f t="shared" si="106"/>
        <v>31</v>
      </c>
      <c r="C702" s="56">
        <f>194.205</f>
        <v>194.20500000000001</v>
      </c>
      <c r="D702" s="56">
        <f>267.466</f>
        <v>267.46600000000001</v>
      </c>
      <c r="E702" s="64">
        <f>133.845</f>
        <v>133.845</v>
      </c>
      <c r="F702" s="56">
        <f>278.484-40-25-60-100</f>
        <v>53.48399999999998</v>
      </c>
      <c r="G702" s="59">
        <v>40</v>
      </c>
      <c r="H702" s="56">
        <f t="shared" si="115"/>
        <v>185</v>
      </c>
      <c r="I702" s="56">
        <f t="shared" si="113"/>
        <v>0</v>
      </c>
      <c r="J702" s="59">
        <v>100</v>
      </c>
      <c r="K702" s="59">
        <v>300</v>
      </c>
      <c r="L702" s="56">
        <f t="shared" si="107"/>
        <v>1274</v>
      </c>
      <c r="M702" s="66">
        <v>600</v>
      </c>
      <c r="N702" s="56">
        <f>30</f>
        <v>30</v>
      </c>
      <c r="O702" s="59">
        <v>240</v>
      </c>
      <c r="P702" s="59">
        <v>40</v>
      </c>
      <c r="Q702" s="59">
        <f t="shared" si="108"/>
        <v>315</v>
      </c>
      <c r="R702" s="59">
        <f t="shared" si="109"/>
        <v>100</v>
      </c>
      <c r="S702" s="56">
        <f t="shared" si="110"/>
        <v>695</v>
      </c>
      <c r="T702" s="56">
        <f>0</f>
        <v>0</v>
      </c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</row>
    <row r="703" spans="1:30" ht="15.75" x14ac:dyDescent="0.25">
      <c r="A703" s="13">
        <v>62701</v>
      </c>
      <c r="B703" s="67">
        <f t="shared" si="106"/>
        <v>31</v>
      </c>
      <c r="C703" s="56">
        <f>194.205</f>
        <v>194.20500000000001</v>
      </c>
      <c r="D703" s="56">
        <f>267.466</f>
        <v>267.46600000000001</v>
      </c>
      <c r="E703" s="64">
        <f>133.845</f>
        <v>133.845</v>
      </c>
      <c r="F703" s="56">
        <f>278.484-40-25-60-100</f>
        <v>53.48399999999998</v>
      </c>
      <c r="G703" s="59">
        <v>40</v>
      </c>
      <c r="H703" s="56">
        <f t="shared" si="115"/>
        <v>185</v>
      </c>
      <c r="I703" s="56">
        <f t="shared" si="113"/>
        <v>0</v>
      </c>
      <c r="J703" s="59">
        <v>100</v>
      </c>
      <c r="K703" s="59">
        <v>300</v>
      </c>
      <c r="L703" s="56">
        <f t="shared" si="107"/>
        <v>1274</v>
      </c>
      <c r="M703" s="66">
        <v>600</v>
      </c>
      <c r="N703" s="56">
        <f>30</f>
        <v>30</v>
      </c>
      <c r="O703" s="59">
        <v>240</v>
      </c>
      <c r="P703" s="59">
        <v>40</v>
      </c>
      <c r="Q703" s="59">
        <f t="shared" si="108"/>
        <v>315</v>
      </c>
      <c r="R703" s="59">
        <f t="shared" si="109"/>
        <v>100</v>
      </c>
      <c r="S703" s="56">
        <f t="shared" si="110"/>
        <v>695</v>
      </c>
      <c r="T703" s="56">
        <f>0</f>
        <v>0</v>
      </c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</row>
    <row r="704" spans="1:30" ht="15.75" x14ac:dyDescent="0.25">
      <c r="A704" s="13">
        <v>62731</v>
      </c>
      <c r="B704" s="67">
        <f t="shared" si="106"/>
        <v>30</v>
      </c>
      <c r="C704" s="56">
        <f>194.205</f>
        <v>194.20500000000001</v>
      </c>
      <c r="D704" s="56">
        <f>267.466</f>
        <v>267.46600000000001</v>
      </c>
      <c r="E704" s="64">
        <f>133.845</f>
        <v>133.845</v>
      </c>
      <c r="F704" s="56">
        <f>278.484-40-25-60-100</f>
        <v>53.48399999999998</v>
      </c>
      <c r="G704" s="59">
        <v>40</v>
      </c>
      <c r="H704" s="56">
        <f t="shared" si="115"/>
        <v>185</v>
      </c>
      <c r="I704" s="56">
        <f t="shared" si="113"/>
        <v>0</v>
      </c>
      <c r="J704" s="59">
        <v>100</v>
      </c>
      <c r="K704" s="59">
        <v>300</v>
      </c>
      <c r="L704" s="56">
        <f t="shared" si="107"/>
        <v>1274</v>
      </c>
      <c r="M704" s="66">
        <v>600</v>
      </c>
      <c r="N704" s="56">
        <f>30</f>
        <v>30</v>
      </c>
      <c r="O704" s="59">
        <v>240</v>
      </c>
      <c r="P704" s="59">
        <v>40</v>
      </c>
      <c r="Q704" s="59">
        <f t="shared" si="108"/>
        <v>315</v>
      </c>
      <c r="R704" s="59">
        <f t="shared" si="109"/>
        <v>100</v>
      </c>
      <c r="S704" s="56">
        <f t="shared" si="110"/>
        <v>695</v>
      </c>
      <c r="T704" s="56">
        <f>0</f>
        <v>0</v>
      </c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</row>
    <row r="705" spans="1:30" ht="15.75" x14ac:dyDescent="0.25">
      <c r="A705" s="13">
        <v>62762</v>
      </c>
      <c r="B705" s="67">
        <f t="shared" si="106"/>
        <v>31</v>
      </c>
      <c r="C705" s="56">
        <f>131.881</f>
        <v>131.881</v>
      </c>
      <c r="D705" s="56">
        <f>277.167</f>
        <v>277.16699999999997</v>
      </c>
      <c r="E705" s="64">
        <f>79.08</f>
        <v>79.08</v>
      </c>
      <c r="F705" s="56">
        <f>350.872-40-25-60-100</f>
        <v>125.87200000000001</v>
      </c>
      <c r="G705" s="59">
        <v>40</v>
      </c>
      <c r="H705" s="56">
        <f t="shared" si="115"/>
        <v>185</v>
      </c>
      <c r="I705" s="56">
        <f t="shared" si="113"/>
        <v>0</v>
      </c>
      <c r="J705" s="59">
        <v>100</v>
      </c>
      <c r="K705" s="59">
        <v>300</v>
      </c>
      <c r="L705" s="56">
        <f t="shared" si="107"/>
        <v>1239</v>
      </c>
      <c r="M705" s="66">
        <v>600</v>
      </c>
      <c r="N705" s="56">
        <f>75</f>
        <v>75</v>
      </c>
      <c r="O705" s="59">
        <v>240</v>
      </c>
      <c r="P705" s="59">
        <v>40</v>
      </c>
      <c r="Q705" s="59">
        <f t="shared" si="108"/>
        <v>315</v>
      </c>
      <c r="R705" s="59">
        <f t="shared" si="109"/>
        <v>100</v>
      </c>
      <c r="S705" s="56">
        <f t="shared" si="110"/>
        <v>695</v>
      </c>
      <c r="T705" s="56">
        <f>0</f>
        <v>0</v>
      </c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</row>
    <row r="706" spans="1:30" ht="15.75" x14ac:dyDescent="0.25">
      <c r="A706" s="13">
        <v>62792</v>
      </c>
      <c r="B706" s="67">
        <f t="shared" si="106"/>
        <v>30</v>
      </c>
      <c r="C706" s="56">
        <f>122.58</f>
        <v>122.58</v>
      </c>
      <c r="D706" s="56">
        <f>297.941</f>
        <v>297.94099999999997</v>
      </c>
      <c r="E706" s="64">
        <f>89.177</f>
        <v>89.177000000000007</v>
      </c>
      <c r="F706" s="56">
        <f>240.302-40-60-100</f>
        <v>40.301999999999992</v>
      </c>
      <c r="G706" s="59">
        <v>40</v>
      </c>
      <c r="H706" s="56">
        <f>60+100</f>
        <v>160</v>
      </c>
      <c r="I706" s="56">
        <f t="shared" si="113"/>
        <v>0</v>
      </c>
      <c r="J706" s="59">
        <v>100</v>
      </c>
      <c r="K706" s="59">
        <v>300</v>
      </c>
      <c r="L706" s="56">
        <f t="shared" si="107"/>
        <v>1150</v>
      </c>
      <c r="M706" s="66">
        <v>600</v>
      </c>
      <c r="N706" s="56">
        <f>100</f>
        <v>100</v>
      </c>
      <c r="O706" s="59">
        <v>240</v>
      </c>
      <c r="P706" s="59">
        <v>40</v>
      </c>
      <c r="Q706" s="59">
        <f t="shared" si="108"/>
        <v>315</v>
      </c>
      <c r="R706" s="59">
        <f t="shared" si="109"/>
        <v>100</v>
      </c>
      <c r="S706" s="56">
        <f t="shared" si="110"/>
        <v>695</v>
      </c>
      <c r="T706" s="56">
        <f>50</f>
        <v>50</v>
      </c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</row>
    <row r="707" spans="1:30" ht="15.75" x14ac:dyDescent="0.25">
      <c r="A707" s="13">
        <v>62823</v>
      </c>
      <c r="B707" s="67">
        <f t="shared" si="106"/>
        <v>31</v>
      </c>
      <c r="C707" s="56">
        <f>122.58</f>
        <v>122.58</v>
      </c>
      <c r="D707" s="56">
        <f>297.941</f>
        <v>297.94099999999997</v>
      </c>
      <c r="E707" s="64">
        <f>89.177</f>
        <v>89.177000000000007</v>
      </c>
      <c r="F707" s="56">
        <f>240.302-40-60-100</f>
        <v>40.301999999999992</v>
      </c>
      <c r="G707" s="59">
        <v>40</v>
      </c>
      <c r="H707" s="56">
        <f>60+100</f>
        <v>160</v>
      </c>
      <c r="I707" s="56">
        <f t="shared" si="113"/>
        <v>0</v>
      </c>
      <c r="J707" s="59">
        <v>100</v>
      </c>
      <c r="K707" s="59">
        <v>300</v>
      </c>
      <c r="L707" s="56">
        <f t="shared" si="107"/>
        <v>1150</v>
      </c>
      <c r="M707" s="66">
        <v>600</v>
      </c>
      <c r="N707" s="56">
        <f>100</f>
        <v>100</v>
      </c>
      <c r="O707" s="59">
        <v>240</v>
      </c>
      <c r="P707" s="59">
        <v>40</v>
      </c>
      <c r="Q707" s="59">
        <f t="shared" si="108"/>
        <v>315</v>
      </c>
      <c r="R707" s="59">
        <f t="shared" si="109"/>
        <v>100</v>
      </c>
      <c r="S707" s="56">
        <f t="shared" si="110"/>
        <v>695</v>
      </c>
      <c r="T707" s="56">
        <f>50</f>
        <v>50</v>
      </c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</row>
    <row r="708" spans="1:30" ht="15.75" x14ac:dyDescent="0.25">
      <c r="A708" s="13">
        <v>62854</v>
      </c>
      <c r="B708" s="67">
        <f t="shared" si="106"/>
        <v>31</v>
      </c>
      <c r="C708" s="56">
        <f>122.58</f>
        <v>122.58</v>
      </c>
      <c r="D708" s="56">
        <f>297.941</f>
        <v>297.94099999999997</v>
      </c>
      <c r="E708" s="64">
        <f>89.177</f>
        <v>89.177000000000007</v>
      </c>
      <c r="F708" s="56">
        <f>240.302-40-60-100</f>
        <v>40.301999999999992</v>
      </c>
      <c r="G708" s="59">
        <v>40</v>
      </c>
      <c r="H708" s="56">
        <f>60+100</f>
        <v>160</v>
      </c>
      <c r="I708" s="56">
        <f t="shared" si="113"/>
        <v>0</v>
      </c>
      <c r="J708" s="59">
        <v>100</v>
      </c>
      <c r="K708" s="59">
        <v>300</v>
      </c>
      <c r="L708" s="56">
        <f t="shared" si="107"/>
        <v>1150</v>
      </c>
      <c r="M708" s="66">
        <v>600</v>
      </c>
      <c r="N708" s="56">
        <f>100</f>
        <v>100</v>
      </c>
      <c r="O708" s="59">
        <v>240</v>
      </c>
      <c r="P708" s="59">
        <v>40</v>
      </c>
      <c r="Q708" s="59">
        <f t="shared" si="108"/>
        <v>315</v>
      </c>
      <c r="R708" s="59">
        <f t="shared" si="109"/>
        <v>100</v>
      </c>
      <c r="S708" s="56">
        <f t="shared" si="110"/>
        <v>695</v>
      </c>
      <c r="T708" s="56">
        <f>50</f>
        <v>50</v>
      </c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</row>
    <row r="709" spans="1:30" ht="15.75" x14ac:dyDescent="0.25">
      <c r="A709" s="13">
        <v>62883</v>
      </c>
      <c r="B709" s="67">
        <f t="shared" si="106"/>
        <v>29</v>
      </c>
      <c r="C709" s="56">
        <f>122.58</f>
        <v>122.58</v>
      </c>
      <c r="D709" s="56">
        <f>297.941</f>
        <v>297.94099999999997</v>
      </c>
      <c r="E709" s="64">
        <f>89.177</f>
        <v>89.177000000000007</v>
      </c>
      <c r="F709" s="56">
        <f>240.302-40-60-100</f>
        <v>40.301999999999992</v>
      </c>
      <c r="G709" s="59">
        <v>40</v>
      </c>
      <c r="H709" s="56">
        <f>60+100</f>
        <v>160</v>
      </c>
      <c r="I709" s="56">
        <f t="shared" si="113"/>
        <v>0</v>
      </c>
      <c r="J709" s="59">
        <v>100</v>
      </c>
      <c r="K709" s="59">
        <v>300</v>
      </c>
      <c r="L709" s="56">
        <f t="shared" si="107"/>
        <v>1150</v>
      </c>
      <c r="M709" s="66">
        <v>600</v>
      </c>
      <c r="N709" s="56">
        <f>100</f>
        <v>100</v>
      </c>
      <c r="O709" s="59">
        <v>240</v>
      </c>
      <c r="P709" s="59">
        <v>40</v>
      </c>
      <c r="Q709" s="59">
        <f t="shared" si="108"/>
        <v>315</v>
      </c>
      <c r="R709" s="59">
        <f t="shared" si="109"/>
        <v>100</v>
      </c>
      <c r="S709" s="56">
        <f t="shared" si="110"/>
        <v>695</v>
      </c>
      <c r="T709" s="56">
        <f>50</f>
        <v>50</v>
      </c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</row>
    <row r="710" spans="1:30" ht="15.75" x14ac:dyDescent="0.25">
      <c r="A710" s="13">
        <v>62914</v>
      </c>
      <c r="B710" s="67">
        <f t="shared" si="106"/>
        <v>31</v>
      </c>
      <c r="C710" s="56">
        <f>122.58</f>
        <v>122.58</v>
      </c>
      <c r="D710" s="56">
        <f>297.941</f>
        <v>297.94099999999997</v>
      </c>
      <c r="E710" s="64">
        <f>89.177</f>
        <v>89.177000000000007</v>
      </c>
      <c r="F710" s="56">
        <f>240.302-40-60-100</f>
        <v>40.301999999999992</v>
      </c>
      <c r="G710" s="59">
        <v>40</v>
      </c>
      <c r="H710" s="56">
        <f>60+100</f>
        <v>160</v>
      </c>
      <c r="I710" s="56">
        <f t="shared" si="113"/>
        <v>0</v>
      </c>
      <c r="J710" s="59">
        <v>100</v>
      </c>
      <c r="K710" s="59">
        <v>300</v>
      </c>
      <c r="L710" s="56">
        <f t="shared" si="107"/>
        <v>1150</v>
      </c>
      <c r="M710" s="66">
        <v>600</v>
      </c>
      <c r="N710" s="56">
        <f>100</f>
        <v>100</v>
      </c>
      <c r="O710" s="59">
        <v>240</v>
      </c>
      <c r="P710" s="59">
        <v>40</v>
      </c>
      <c r="Q710" s="59">
        <f t="shared" si="108"/>
        <v>315</v>
      </c>
      <c r="R710" s="59">
        <f t="shared" si="109"/>
        <v>100</v>
      </c>
      <c r="S710" s="56">
        <f t="shared" si="110"/>
        <v>695</v>
      </c>
      <c r="T710" s="56">
        <f>50</f>
        <v>50</v>
      </c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</row>
    <row r="711" spans="1:30" ht="15.75" x14ac:dyDescent="0.25">
      <c r="A711" s="13">
        <v>62944</v>
      </c>
      <c r="B711" s="67">
        <f t="shared" si="106"/>
        <v>30</v>
      </c>
      <c r="C711" s="56">
        <f>141.293</f>
        <v>141.29300000000001</v>
      </c>
      <c r="D711" s="56">
        <f>267.993</f>
        <v>267.99299999999999</v>
      </c>
      <c r="E711" s="64">
        <f>115.016</f>
        <v>115.01600000000001</v>
      </c>
      <c r="F711" s="56">
        <f>314.698-40-25-60-100</f>
        <v>89.697999999999979</v>
      </c>
      <c r="G711" s="59">
        <v>40</v>
      </c>
      <c r="H711" s="56">
        <f t="shared" ref="H711:H717" si="116">25+60+100</f>
        <v>185</v>
      </c>
      <c r="I711" s="56">
        <f t="shared" si="113"/>
        <v>0</v>
      </c>
      <c r="J711" s="59">
        <v>100</v>
      </c>
      <c r="K711" s="59">
        <v>300</v>
      </c>
      <c r="L711" s="56">
        <f t="shared" si="107"/>
        <v>1239</v>
      </c>
      <c r="M711" s="66">
        <v>600</v>
      </c>
      <c r="N711" s="56">
        <f>100</f>
        <v>100</v>
      </c>
      <c r="O711" s="59">
        <v>240</v>
      </c>
      <c r="P711" s="59">
        <v>40</v>
      </c>
      <c r="Q711" s="59">
        <f t="shared" si="108"/>
        <v>315</v>
      </c>
      <c r="R711" s="59">
        <f t="shared" si="109"/>
        <v>100</v>
      </c>
      <c r="S711" s="56">
        <f t="shared" si="110"/>
        <v>695</v>
      </c>
      <c r="T711" s="56">
        <f>50</f>
        <v>50</v>
      </c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</row>
    <row r="712" spans="1:30" ht="15.75" x14ac:dyDescent="0.25">
      <c r="A712" s="13">
        <v>62975</v>
      </c>
      <c r="B712" s="67">
        <f t="shared" si="106"/>
        <v>31</v>
      </c>
      <c r="C712" s="56">
        <f>194.205</f>
        <v>194.20500000000001</v>
      </c>
      <c r="D712" s="56">
        <f>267.466</f>
        <v>267.46600000000001</v>
      </c>
      <c r="E712" s="64">
        <f>133.845</f>
        <v>133.845</v>
      </c>
      <c r="F712" s="56">
        <f>278.484-40-25-60-100</f>
        <v>53.48399999999998</v>
      </c>
      <c r="G712" s="59">
        <v>40</v>
      </c>
      <c r="H712" s="56">
        <f t="shared" si="116"/>
        <v>185</v>
      </c>
      <c r="I712" s="56">
        <f t="shared" si="113"/>
        <v>0</v>
      </c>
      <c r="J712" s="59">
        <v>100</v>
      </c>
      <c r="K712" s="59">
        <v>300</v>
      </c>
      <c r="L712" s="56">
        <f t="shared" si="107"/>
        <v>1274</v>
      </c>
      <c r="M712" s="66">
        <v>600</v>
      </c>
      <c r="N712" s="56">
        <f>75</f>
        <v>75</v>
      </c>
      <c r="O712" s="59">
        <v>240</v>
      </c>
      <c r="P712" s="59">
        <v>40</v>
      </c>
      <c r="Q712" s="59">
        <f t="shared" si="108"/>
        <v>315</v>
      </c>
      <c r="R712" s="59">
        <f t="shared" si="109"/>
        <v>100</v>
      </c>
      <c r="S712" s="56">
        <f t="shared" si="110"/>
        <v>695</v>
      </c>
      <c r="T712" s="56">
        <f>50</f>
        <v>50</v>
      </c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</row>
    <row r="713" spans="1:30" ht="15.75" x14ac:dyDescent="0.25">
      <c r="A713" s="13">
        <v>63005</v>
      </c>
      <c r="B713" s="67">
        <f t="shared" si="106"/>
        <v>30</v>
      </c>
      <c r="C713" s="56">
        <f>194.205</f>
        <v>194.20500000000001</v>
      </c>
      <c r="D713" s="56">
        <f>267.466</f>
        <v>267.46600000000001</v>
      </c>
      <c r="E713" s="64">
        <f>133.845</f>
        <v>133.845</v>
      </c>
      <c r="F713" s="56">
        <f>278.484-40-25-60-100</f>
        <v>53.48399999999998</v>
      </c>
      <c r="G713" s="59">
        <v>40</v>
      </c>
      <c r="H713" s="56">
        <f t="shared" si="116"/>
        <v>185</v>
      </c>
      <c r="I713" s="56">
        <f t="shared" si="113"/>
        <v>0</v>
      </c>
      <c r="J713" s="59">
        <v>100</v>
      </c>
      <c r="K713" s="59">
        <v>300</v>
      </c>
      <c r="L713" s="56">
        <f t="shared" si="107"/>
        <v>1274</v>
      </c>
      <c r="M713" s="66">
        <v>600</v>
      </c>
      <c r="N713" s="56">
        <f>30</f>
        <v>30</v>
      </c>
      <c r="O713" s="59">
        <v>240</v>
      </c>
      <c r="P713" s="59">
        <v>40</v>
      </c>
      <c r="Q713" s="59">
        <f t="shared" si="108"/>
        <v>315</v>
      </c>
      <c r="R713" s="59">
        <f t="shared" si="109"/>
        <v>100</v>
      </c>
      <c r="S713" s="56">
        <f t="shared" si="110"/>
        <v>695</v>
      </c>
      <c r="T713" s="56">
        <f>50</f>
        <v>50</v>
      </c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</row>
    <row r="714" spans="1:30" ht="15.75" x14ac:dyDescent="0.25">
      <c r="A714" s="13">
        <v>63036</v>
      </c>
      <c r="B714" s="67">
        <f t="shared" si="106"/>
        <v>31</v>
      </c>
      <c r="C714" s="56">
        <f>194.205</f>
        <v>194.20500000000001</v>
      </c>
      <c r="D714" s="56">
        <f>267.466</f>
        <v>267.46600000000001</v>
      </c>
      <c r="E714" s="64">
        <f>133.845</f>
        <v>133.845</v>
      </c>
      <c r="F714" s="56">
        <f>278.484-40-25-60-100</f>
        <v>53.48399999999998</v>
      </c>
      <c r="G714" s="59">
        <v>40</v>
      </c>
      <c r="H714" s="56">
        <f t="shared" si="116"/>
        <v>185</v>
      </c>
      <c r="I714" s="56">
        <f t="shared" si="113"/>
        <v>0</v>
      </c>
      <c r="J714" s="59">
        <v>100</v>
      </c>
      <c r="K714" s="59">
        <v>300</v>
      </c>
      <c r="L714" s="56">
        <f t="shared" si="107"/>
        <v>1274</v>
      </c>
      <c r="M714" s="66">
        <v>600</v>
      </c>
      <c r="N714" s="56">
        <f>30</f>
        <v>30</v>
      </c>
      <c r="O714" s="59">
        <v>240</v>
      </c>
      <c r="P714" s="59">
        <v>40</v>
      </c>
      <c r="Q714" s="59">
        <f t="shared" si="108"/>
        <v>315</v>
      </c>
      <c r="R714" s="59">
        <f t="shared" si="109"/>
        <v>100</v>
      </c>
      <c r="S714" s="56">
        <f t="shared" si="110"/>
        <v>695</v>
      </c>
      <c r="T714" s="56">
        <f>0</f>
        <v>0</v>
      </c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</row>
    <row r="715" spans="1:30" ht="15.75" x14ac:dyDescent="0.25">
      <c r="A715" s="13">
        <v>63067</v>
      </c>
      <c r="B715" s="67">
        <f t="shared" si="106"/>
        <v>31</v>
      </c>
      <c r="C715" s="56">
        <f>194.205</f>
        <v>194.20500000000001</v>
      </c>
      <c r="D715" s="56">
        <f>267.466</f>
        <v>267.46600000000001</v>
      </c>
      <c r="E715" s="64">
        <f>133.845</f>
        <v>133.845</v>
      </c>
      <c r="F715" s="56">
        <f>278.484-40-25-60-100</f>
        <v>53.48399999999998</v>
      </c>
      <c r="G715" s="59">
        <v>40</v>
      </c>
      <c r="H715" s="56">
        <f t="shared" si="116"/>
        <v>185</v>
      </c>
      <c r="I715" s="56">
        <f t="shared" si="113"/>
        <v>0</v>
      </c>
      <c r="J715" s="59">
        <v>100</v>
      </c>
      <c r="K715" s="59">
        <v>300</v>
      </c>
      <c r="L715" s="56">
        <f t="shared" si="107"/>
        <v>1274</v>
      </c>
      <c r="M715" s="66">
        <v>600</v>
      </c>
      <c r="N715" s="56">
        <f>30</f>
        <v>30</v>
      </c>
      <c r="O715" s="59">
        <v>240</v>
      </c>
      <c r="P715" s="59">
        <v>40</v>
      </c>
      <c r="Q715" s="59">
        <f t="shared" si="108"/>
        <v>315</v>
      </c>
      <c r="R715" s="59">
        <f t="shared" si="109"/>
        <v>100</v>
      </c>
      <c r="S715" s="56">
        <f t="shared" si="110"/>
        <v>695</v>
      </c>
      <c r="T715" s="56">
        <f>0</f>
        <v>0</v>
      </c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</row>
    <row r="716" spans="1:30" ht="15.75" x14ac:dyDescent="0.25">
      <c r="A716" s="13">
        <v>63097</v>
      </c>
      <c r="B716" s="67">
        <f t="shared" ref="B716:B779" si="117">EOMONTH(A716,0)-EOMONTH(A716,-1)</f>
        <v>30</v>
      </c>
      <c r="C716" s="56">
        <f>194.205</f>
        <v>194.20500000000001</v>
      </c>
      <c r="D716" s="56">
        <f>267.466</f>
        <v>267.46600000000001</v>
      </c>
      <c r="E716" s="64">
        <f>133.845</f>
        <v>133.845</v>
      </c>
      <c r="F716" s="56">
        <f>278.484-40-25-60-100</f>
        <v>53.48399999999998</v>
      </c>
      <c r="G716" s="59">
        <v>40</v>
      </c>
      <c r="H716" s="56">
        <f t="shared" si="116"/>
        <v>185</v>
      </c>
      <c r="I716" s="56">
        <f t="shared" si="113"/>
        <v>0</v>
      </c>
      <c r="J716" s="59">
        <v>100</v>
      </c>
      <c r="K716" s="59">
        <v>300</v>
      </c>
      <c r="L716" s="56">
        <f t="shared" si="107"/>
        <v>1274</v>
      </c>
      <c r="M716" s="66">
        <v>600</v>
      </c>
      <c r="N716" s="56">
        <f>30</f>
        <v>30</v>
      </c>
      <c r="O716" s="59">
        <v>240</v>
      </c>
      <c r="P716" s="59">
        <v>40</v>
      </c>
      <c r="Q716" s="59">
        <f t="shared" si="108"/>
        <v>315</v>
      </c>
      <c r="R716" s="59">
        <f t="shared" si="109"/>
        <v>100</v>
      </c>
      <c r="S716" s="56">
        <f t="shared" si="110"/>
        <v>695</v>
      </c>
      <c r="T716" s="56">
        <f>0</f>
        <v>0</v>
      </c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</row>
    <row r="717" spans="1:30" ht="15.75" x14ac:dyDescent="0.25">
      <c r="A717" s="13">
        <v>63128</v>
      </c>
      <c r="B717" s="67">
        <f t="shared" si="117"/>
        <v>31</v>
      </c>
      <c r="C717" s="56">
        <f>131.881</f>
        <v>131.881</v>
      </c>
      <c r="D717" s="56">
        <f>277.167</f>
        <v>277.16699999999997</v>
      </c>
      <c r="E717" s="64">
        <f>79.08</f>
        <v>79.08</v>
      </c>
      <c r="F717" s="56">
        <f>350.872-40-25-60-100</f>
        <v>125.87200000000001</v>
      </c>
      <c r="G717" s="59">
        <v>40</v>
      </c>
      <c r="H717" s="56">
        <f t="shared" si="116"/>
        <v>185</v>
      </c>
      <c r="I717" s="56">
        <f t="shared" si="113"/>
        <v>0</v>
      </c>
      <c r="J717" s="59">
        <v>100</v>
      </c>
      <c r="K717" s="59">
        <v>300</v>
      </c>
      <c r="L717" s="56">
        <f t="shared" si="107"/>
        <v>1239</v>
      </c>
      <c r="M717" s="66">
        <v>600</v>
      </c>
      <c r="N717" s="56">
        <f>75</f>
        <v>75</v>
      </c>
      <c r="O717" s="59">
        <v>240</v>
      </c>
      <c r="P717" s="59">
        <v>40</v>
      </c>
      <c r="Q717" s="59">
        <f t="shared" si="108"/>
        <v>315</v>
      </c>
      <c r="R717" s="59">
        <f t="shared" si="109"/>
        <v>100</v>
      </c>
      <c r="S717" s="56">
        <f t="shared" si="110"/>
        <v>695</v>
      </c>
      <c r="T717" s="56">
        <f>0</f>
        <v>0</v>
      </c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</row>
    <row r="718" spans="1:30" ht="15.75" x14ac:dyDescent="0.25">
      <c r="A718" s="13">
        <v>63158</v>
      </c>
      <c r="B718" s="67">
        <f t="shared" si="117"/>
        <v>30</v>
      </c>
      <c r="C718" s="56">
        <f>122.58</f>
        <v>122.58</v>
      </c>
      <c r="D718" s="56">
        <f>297.941</f>
        <v>297.94099999999997</v>
      </c>
      <c r="E718" s="64">
        <f>89.177</f>
        <v>89.177000000000007</v>
      </c>
      <c r="F718" s="56">
        <f>240.302-40-60-100</f>
        <v>40.301999999999992</v>
      </c>
      <c r="G718" s="59">
        <v>40</v>
      </c>
      <c r="H718" s="56">
        <f>60+100</f>
        <v>160</v>
      </c>
      <c r="I718" s="56">
        <f t="shared" si="113"/>
        <v>0</v>
      </c>
      <c r="J718" s="59">
        <v>100</v>
      </c>
      <c r="K718" s="59">
        <v>300</v>
      </c>
      <c r="L718" s="56">
        <f t="shared" si="107"/>
        <v>1150</v>
      </c>
      <c r="M718" s="66">
        <v>600</v>
      </c>
      <c r="N718" s="56">
        <f>100</f>
        <v>100</v>
      </c>
      <c r="O718" s="59">
        <v>240</v>
      </c>
      <c r="P718" s="59">
        <v>40</v>
      </c>
      <c r="Q718" s="59">
        <f t="shared" si="108"/>
        <v>315</v>
      </c>
      <c r="R718" s="59">
        <f t="shared" si="109"/>
        <v>100</v>
      </c>
      <c r="S718" s="56">
        <f t="shared" si="110"/>
        <v>695</v>
      </c>
      <c r="T718" s="56">
        <f>50</f>
        <v>50</v>
      </c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</row>
    <row r="719" spans="1:30" ht="15.75" x14ac:dyDescent="0.25">
      <c r="A719" s="13">
        <v>63189</v>
      </c>
      <c r="B719" s="67">
        <f t="shared" si="117"/>
        <v>31</v>
      </c>
      <c r="C719" s="56">
        <f>122.58</f>
        <v>122.58</v>
      </c>
      <c r="D719" s="56">
        <f>297.941</f>
        <v>297.94099999999997</v>
      </c>
      <c r="E719" s="64">
        <f>89.177</f>
        <v>89.177000000000007</v>
      </c>
      <c r="F719" s="56">
        <f>240.302-40-60-100</f>
        <v>40.301999999999992</v>
      </c>
      <c r="G719" s="59">
        <v>40</v>
      </c>
      <c r="H719" s="56">
        <f>60+100</f>
        <v>160</v>
      </c>
      <c r="I719" s="56">
        <f t="shared" si="113"/>
        <v>0</v>
      </c>
      <c r="J719" s="59">
        <v>100</v>
      </c>
      <c r="K719" s="59">
        <v>300</v>
      </c>
      <c r="L719" s="56">
        <f t="shared" si="107"/>
        <v>1150</v>
      </c>
      <c r="M719" s="66">
        <v>600</v>
      </c>
      <c r="N719" s="56">
        <f>100</f>
        <v>100</v>
      </c>
      <c r="O719" s="59">
        <v>240</v>
      </c>
      <c r="P719" s="59">
        <v>40</v>
      </c>
      <c r="Q719" s="59">
        <f t="shared" si="108"/>
        <v>315</v>
      </c>
      <c r="R719" s="59">
        <f t="shared" si="109"/>
        <v>100</v>
      </c>
      <c r="S719" s="56">
        <f t="shared" si="110"/>
        <v>695</v>
      </c>
      <c r="T719" s="56">
        <f>50</f>
        <v>50</v>
      </c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</row>
    <row r="720" spans="1:30" ht="15.75" x14ac:dyDescent="0.25">
      <c r="A720" s="13">
        <v>63220</v>
      </c>
      <c r="B720" s="67">
        <f t="shared" si="117"/>
        <v>31</v>
      </c>
      <c r="C720" s="56">
        <f>122.58</f>
        <v>122.58</v>
      </c>
      <c r="D720" s="56">
        <f>297.941</f>
        <v>297.94099999999997</v>
      </c>
      <c r="E720" s="64">
        <f>89.177</f>
        <v>89.177000000000007</v>
      </c>
      <c r="F720" s="56">
        <f>240.302-40-60-100</f>
        <v>40.301999999999992</v>
      </c>
      <c r="G720" s="59">
        <v>40</v>
      </c>
      <c r="H720" s="56">
        <f>60+100</f>
        <v>160</v>
      </c>
      <c r="I720" s="56">
        <f t="shared" si="113"/>
        <v>0</v>
      </c>
      <c r="J720" s="59">
        <v>100</v>
      </c>
      <c r="K720" s="59">
        <v>300</v>
      </c>
      <c r="L720" s="56">
        <f t="shared" ref="L720:L783" si="118">SUM(C720:K720)</f>
        <v>1150</v>
      </c>
      <c r="M720" s="66">
        <v>600</v>
      </c>
      <c r="N720" s="56">
        <f>100</f>
        <v>100</v>
      </c>
      <c r="O720" s="59">
        <v>240</v>
      </c>
      <c r="P720" s="59">
        <v>40</v>
      </c>
      <c r="Q720" s="59">
        <f t="shared" ref="Q720:Q783" si="119">695-R720-O720-P720</f>
        <v>315</v>
      </c>
      <c r="R720" s="59">
        <f t="shared" ref="R720:R783" si="120">200-J720</f>
        <v>100</v>
      </c>
      <c r="S720" s="56">
        <f t="shared" ref="S720:S783" si="121">SUM(O720:R720)</f>
        <v>695</v>
      </c>
      <c r="T720" s="56">
        <f>50</f>
        <v>50</v>
      </c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</row>
    <row r="721" spans="1:30" ht="15.75" x14ac:dyDescent="0.25">
      <c r="A721" s="13">
        <v>63248</v>
      </c>
      <c r="B721" s="67">
        <f t="shared" si="117"/>
        <v>28</v>
      </c>
      <c r="C721" s="56">
        <f>122.58</f>
        <v>122.58</v>
      </c>
      <c r="D721" s="56">
        <f>297.941</f>
        <v>297.94099999999997</v>
      </c>
      <c r="E721" s="64">
        <f>89.177</f>
        <v>89.177000000000007</v>
      </c>
      <c r="F721" s="56">
        <f>240.302-40-60-100</f>
        <v>40.301999999999992</v>
      </c>
      <c r="G721" s="59">
        <v>40</v>
      </c>
      <c r="H721" s="56">
        <f>60+100</f>
        <v>160</v>
      </c>
      <c r="I721" s="56">
        <f t="shared" si="113"/>
        <v>0</v>
      </c>
      <c r="J721" s="59">
        <v>100</v>
      </c>
      <c r="K721" s="59">
        <v>300</v>
      </c>
      <c r="L721" s="56">
        <f t="shared" si="118"/>
        <v>1150</v>
      </c>
      <c r="M721" s="66">
        <v>600</v>
      </c>
      <c r="N721" s="56">
        <f>100</f>
        <v>100</v>
      </c>
      <c r="O721" s="59">
        <v>240</v>
      </c>
      <c r="P721" s="59">
        <v>40</v>
      </c>
      <c r="Q721" s="59">
        <f t="shared" si="119"/>
        <v>315</v>
      </c>
      <c r="R721" s="59">
        <f t="shared" si="120"/>
        <v>100</v>
      </c>
      <c r="S721" s="56">
        <f t="shared" si="121"/>
        <v>695</v>
      </c>
      <c r="T721" s="56">
        <f>50</f>
        <v>50</v>
      </c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</row>
    <row r="722" spans="1:30" ht="15.75" x14ac:dyDescent="0.25">
      <c r="A722" s="13">
        <v>63279</v>
      </c>
      <c r="B722" s="67">
        <f t="shared" si="117"/>
        <v>31</v>
      </c>
      <c r="C722" s="56">
        <f>122.58</f>
        <v>122.58</v>
      </c>
      <c r="D722" s="56">
        <f>297.941</f>
        <v>297.94099999999997</v>
      </c>
      <c r="E722" s="64">
        <f>89.177</f>
        <v>89.177000000000007</v>
      </c>
      <c r="F722" s="56">
        <f>240.302-40-60-100</f>
        <v>40.301999999999992</v>
      </c>
      <c r="G722" s="59">
        <v>40</v>
      </c>
      <c r="H722" s="56">
        <f>60+100</f>
        <v>160</v>
      </c>
      <c r="I722" s="56">
        <f t="shared" si="113"/>
        <v>0</v>
      </c>
      <c r="J722" s="59">
        <v>100</v>
      </c>
      <c r="K722" s="59">
        <v>300</v>
      </c>
      <c r="L722" s="56">
        <f t="shared" si="118"/>
        <v>1150</v>
      </c>
      <c r="M722" s="66">
        <v>600</v>
      </c>
      <c r="N722" s="56">
        <f>100</f>
        <v>100</v>
      </c>
      <c r="O722" s="59">
        <v>240</v>
      </c>
      <c r="P722" s="59">
        <v>40</v>
      </c>
      <c r="Q722" s="59">
        <f t="shared" si="119"/>
        <v>315</v>
      </c>
      <c r="R722" s="59">
        <f t="shared" si="120"/>
        <v>100</v>
      </c>
      <c r="S722" s="56">
        <f t="shared" si="121"/>
        <v>695</v>
      </c>
      <c r="T722" s="56">
        <f>50</f>
        <v>50</v>
      </c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</row>
    <row r="723" spans="1:30" ht="15.75" x14ac:dyDescent="0.25">
      <c r="A723" s="13">
        <v>63309</v>
      </c>
      <c r="B723" s="67">
        <f t="shared" si="117"/>
        <v>30</v>
      </c>
      <c r="C723" s="56">
        <f>141.293</f>
        <v>141.29300000000001</v>
      </c>
      <c r="D723" s="56">
        <f>267.993</f>
        <v>267.99299999999999</v>
      </c>
      <c r="E723" s="64">
        <f>115.016</f>
        <v>115.01600000000001</v>
      </c>
      <c r="F723" s="56">
        <f>314.698-40-25-60-100</f>
        <v>89.697999999999979</v>
      </c>
      <c r="G723" s="59">
        <v>40</v>
      </c>
      <c r="H723" s="56">
        <f t="shared" ref="H723:H729" si="122">25+60+100</f>
        <v>185</v>
      </c>
      <c r="I723" s="56">
        <f t="shared" si="113"/>
        <v>0</v>
      </c>
      <c r="J723" s="59">
        <v>100</v>
      </c>
      <c r="K723" s="59">
        <v>300</v>
      </c>
      <c r="L723" s="56">
        <f t="shared" si="118"/>
        <v>1239</v>
      </c>
      <c r="M723" s="66">
        <v>600</v>
      </c>
      <c r="N723" s="56">
        <f>100</f>
        <v>100</v>
      </c>
      <c r="O723" s="59">
        <v>240</v>
      </c>
      <c r="P723" s="59">
        <v>40</v>
      </c>
      <c r="Q723" s="59">
        <f t="shared" si="119"/>
        <v>315</v>
      </c>
      <c r="R723" s="59">
        <f t="shared" si="120"/>
        <v>100</v>
      </c>
      <c r="S723" s="56">
        <f t="shared" si="121"/>
        <v>695</v>
      </c>
      <c r="T723" s="56">
        <f>50</f>
        <v>50</v>
      </c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</row>
    <row r="724" spans="1:30" ht="15.75" x14ac:dyDescent="0.25">
      <c r="A724" s="13">
        <v>63340</v>
      </c>
      <c r="B724" s="67">
        <f t="shared" si="117"/>
        <v>31</v>
      </c>
      <c r="C724" s="56">
        <f>194.205</f>
        <v>194.20500000000001</v>
      </c>
      <c r="D724" s="56">
        <f>267.466</f>
        <v>267.46600000000001</v>
      </c>
      <c r="E724" s="64">
        <f>133.845</f>
        <v>133.845</v>
      </c>
      <c r="F724" s="56">
        <f>278.484-40-25-60-100</f>
        <v>53.48399999999998</v>
      </c>
      <c r="G724" s="59">
        <v>40</v>
      </c>
      <c r="H724" s="56">
        <f t="shared" si="122"/>
        <v>185</v>
      </c>
      <c r="I724" s="56">
        <f t="shared" si="113"/>
        <v>0</v>
      </c>
      <c r="J724" s="59">
        <v>100</v>
      </c>
      <c r="K724" s="59">
        <v>300</v>
      </c>
      <c r="L724" s="56">
        <f t="shared" si="118"/>
        <v>1274</v>
      </c>
      <c r="M724" s="66">
        <v>600</v>
      </c>
      <c r="N724" s="56">
        <f>75</f>
        <v>75</v>
      </c>
      <c r="O724" s="59">
        <v>240</v>
      </c>
      <c r="P724" s="59">
        <v>40</v>
      </c>
      <c r="Q724" s="59">
        <f t="shared" si="119"/>
        <v>315</v>
      </c>
      <c r="R724" s="59">
        <f t="shared" si="120"/>
        <v>100</v>
      </c>
      <c r="S724" s="56">
        <f t="shared" si="121"/>
        <v>695</v>
      </c>
      <c r="T724" s="56">
        <f>50</f>
        <v>50</v>
      </c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</row>
    <row r="725" spans="1:30" ht="15.75" x14ac:dyDescent="0.25">
      <c r="A725" s="13">
        <v>63370</v>
      </c>
      <c r="B725" s="67">
        <f t="shared" si="117"/>
        <v>30</v>
      </c>
      <c r="C725" s="56">
        <f>194.205</f>
        <v>194.20500000000001</v>
      </c>
      <c r="D725" s="56">
        <f>267.466</f>
        <v>267.46600000000001</v>
      </c>
      <c r="E725" s="64">
        <f>133.845</f>
        <v>133.845</v>
      </c>
      <c r="F725" s="56">
        <f>278.484-40-25-60-100</f>
        <v>53.48399999999998</v>
      </c>
      <c r="G725" s="59">
        <v>40</v>
      </c>
      <c r="H725" s="56">
        <f t="shared" si="122"/>
        <v>185</v>
      </c>
      <c r="I725" s="56">
        <f t="shared" si="113"/>
        <v>0</v>
      </c>
      <c r="J725" s="59">
        <v>100</v>
      </c>
      <c r="K725" s="59">
        <v>300</v>
      </c>
      <c r="L725" s="56">
        <f t="shared" si="118"/>
        <v>1274</v>
      </c>
      <c r="M725" s="66">
        <v>600</v>
      </c>
      <c r="N725" s="56">
        <f>30</f>
        <v>30</v>
      </c>
      <c r="O725" s="59">
        <v>240</v>
      </c>
      <c r="P725" s="59">
        <v>40</v>
      </c>
      <c r="Q725" s="59">
        <f t="shared" si="119"/>
        <v>315</v>
      </c>
      <c r="R725" s="59">
        <f t="shared" si="120"/>
        <v>100</v>
      </c>
      <c r="S725" s="56">
        <f t="shared" si="121"/>
        <v>695</v>
      </c>
      <c r="T725" s="56">
        <f>50</f>
        <v>50</v>
      </c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</row>
    <row r="726" spans="1:30" ht="15.75" x14ac:dyDescent="0.25">
      <c r="A726" s="13">
        <v>63401</v>
      </c>
      <c r="B726" s="67">
        <f t="shared" si="117"/>
        <v>31</v>
      </c>
      <c r="C726" s="56">
        <f>194.205</f>
        <v>194.20500000000001</v>
      </c>
      <c r="D726" s="56">
        <f>267.466</f>
        <v>267.46600000000001</v>
      </c>
      <c r="E726" s="64">
        <f>133.845</f>
        <v>133.845</v>
      </c>
      <c r="F726" s="56">
        <f>278.484-40-25-60-100</f>
        <v>53.48399999999998</v>
      </c>
      <c r="G726" s="59">
        <v>40</v>
      </c>
      <c r="H726" s="56">
        <f t="shared" si="122"/>
        <v>185</v>
      </c>
      <c r="I726" s="56">
        <f t="shared" si="113"/>
        <v>0</v>
      </c>
      <c r="J726" s="59">
        <v>100</v>
      </c>
      <c r="K726" s="59">
        <v>300</v>
      </c>
      <c r="L726" s="56">
        <f t="shared" si="118"/>
        <v>1274</v>
      </c>
      <c r="M726" s="66">
        <v>600</v>
      </c>
      <c r="N726" s="56">
        <f>30</f>
        <v>30</v>
      </c>
      <c r="O726" s="59">
        <v>240</v>
      </c>
      <c r="P726" s="59">
        <v>40</v>
      </c>
      <c r="Q726" s="59">
        <f t="shared" si="119"/>
        <v>315</v>
      </c>
      <c r="R726" s="59">
        <f t="shared" si="120"/>
        <v>100</v>
      </c>
      <c r="S726" s="56">
        <f t="shared" si="121"/>
        <v>695</v>
      </c>
      <c r="T726" s="56">
        <f>0</f>
        <v>0</v>
      </c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</row>
    <row r="727" spans="1:30" ht="15.75" x14ac:dyDescent="0.25">
      <c r="A727" s="13">
        <v>63432</v>
      </c>
      <c r="B727" s="67">
        <f t="shared" si="117"/>
        <v>31</v>
      </c>
      <c r="C727" s="56">
        <f>194.205</f>
        <v>194.20500000000001</v>
      </c>
      <c r="D727" s="56">
        <f>267.466</f>
        <v>267.46600000000001</v>
      </c>
      <c r="E727" s="64">
        <f>133.845</f>
        <v>133.845</v>
      </c>
      <c r="F727" s="56">
        <f>278.484-40-25-60-100</f>
        <v>53.48399999999998</v>
      </c>
      <c r="G727" s="59">
        <v>40</v>
      </c>
      <c r="H727" s="56">
        <f t="shared" si="122"/>
        <v>185</v>
      </c>
      <c r="I727" s="56">
        <f t="shared" si="113"/>
        <v>0</v>
      </c>
      <c r="J727" s="59">
        <v>100</v>
      </c>
      <c r="K727" s="59">
        <v>300</v>
      </c>
      <c r="L727" s="56">
        <f t="shared" si="118"/>
        <v>1274</v>
      </c>
      <c r="M727" s="66">
        <v>600</v>
      </c>
      <c r="N727" s="56">
        <f>30</f>
        <v>30</v>
      </c>
      <c r="O727" s="59">
        <v>240</v>
      </c>
      <c r="P727" s="59">
        <v>40</v>
      </c>
      <c r="Q727" s="59">
        <f t="shared" si="119"/>
        <v>315</v>
      </c>
      <c r="R727" s="59">
        <f t="shared" si="120"/>
        <v>100</v>
      </c>
      <c r="S727" s="56">
        <f t="shared" si="121"/>
        <v>695</v>
      </c>
      <c r="T727" s="56">
        <f>0</f>
        <v>0</v>
      </c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</row>
    <row r="728" spans="1:30" ht="15.75" x14ac:dyDescent="0.25">
      <c r="A728" s="13">
        <v>63462</v>
      </c>
      <c r="B728" s="67">
        <f t="shared" si="117"/>
        <v>30</v>
      </c>
      <c r="C728" s="56">
        <f>194.205</f>
        <v>194.20500000000001</v>
      </c>
      <c r="D728" s="56">
        <f>267.466</f>
        <v>267.46600000000001</v>
      </c>
      <c r="E728" s="64">
        <f>133.845</f>
        <v>133.845</v>
      </c>
      <c r="F728" s="56">
        <f>278.484-40-25-60-100</f>
        <v>53.48399999999998</v>
      </c>
      <c r="G728" s="59">
        <v>40</v>
      </c>
      <c r="H728" s="56">
        <f t="shared" si="122"/>
        <v>185</v>
      </c>
      <c r="I728" s="56">
        <f t="shared" si="113"/>
        <v>0</v>
      </c>
      <c r="J728" s="59">
        <v>100</v>
      </c>
      <c r="K728" s="59">
        <v>300</v>
      </c>
      <c r="L728" s="56">
        <f t="shared" si="118"/>
        <v>1274</v>
      </c>
      <c r="M728" s="66">
        <v>600</v>
      </c>
      <c r="N728" s="56">
        <f>30</f>
        <v>30</v>
      </c>
      <c r="O728" s="59">
        <v>240</v>
      </c>
      <c r="P728" s="59">
        <v>40</v>
      </c>
      <c r="Q728" s="59">
        <f t="shared" si="119"/>
        <v>315</v>
      </c>
      <c r="R728" s="59">
        <f t="shared" si="120"/>
        <v>100</v>
      </c>
      <c r="S728" s="56">
        <f t="shared" si="121"/>
        <v>695</v>
      </c>
      <c r="T728" s="56">
        <f>0</f>
        <v>0</v>
      </c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</row>
    <row r="729" spans="1:30" ht="15.75" x14ac:dyDescent="0.25">
      <c r="A729" s="13">
        <v>63493</v>
      </c>
      <c r="B729" s="67">
        <f t="shared" si="117"/>
        <v>31</v>
      </c>
      <c r="C729" s="56">
        <f>131.881</f>
        <v>131.881</v>
      </c>
      <c r="D729" s="56">
        <f>277.167</f>
        <v>277.16699999999997</v>
      </c>
      <c r="E729" s="64">
        <f>79.08</f>
        <v>79.08</v>
      </c>
      <c r="F729" s="56">
        <f>350.872-40-25-60-100</f>
        <v>125.87200000000001</v>
      </c>
      <c r="G729" s="59">
        <v>40</v>
      </c>
      <c r="H729" s="56">
        <f t="shared" si="122"/>
        <v>185</v>
      </c>
      <c r="I729" s="56">
        <f t="shared" si="113"/>
        <v>0</v>
      </c>
      <c r="J729" s="59">
        <v>100</v>
      </c>
      <c r="K729" s="59">
        <v>300</v>
      </c>
      <c r="L729" s="56">
        <f t="shared" si="118"/>
        <v>1239</v>
      </c>
      <c r="M729" s="66">
        <v>600</v>
      </c>
      <c r="N729" s="56">
        <f>75</f>
        <v>75</v>
      </c>
      <c r="O729" s="59">
        <v>240</v>
      </c>
      <c r="P729" s="59">
        <v>40</v>
      </c>
      <c r="Q729" s="59">
        <f t="shared" si="119"/>
        <v>315</v>
      </c>
      <c r="R729" s="59">
        <f t="shared" si="120"/>
        <v>100</v>
      </c>
      <c r="S729" s="56">
        <f t="shared" si="121"/>
        <v>695</v>
      </c>
      <c r="T729" s="56">
        <f>0</f>
        <v>0</v>
      </c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</row>
    <row r="730" spans="1:30" ht="15.75" x14ac:dyDescent="0.25">
      <c r="A730" s="13">
        <v>63523</v>
      </c>
      <c r="B730" s="67">
        <f t="shared" si="117"/>
        <v>30</v>
      </c>
      <c r="C730" s="56">
        <f>122.58</f>
        <v>122.58</v>
      </c>
      <c r="D730" s="56">
        <f>297.941</f>
        <v>297.94099999999997</v>
      </c>
      <c r="E730" s="64">
        <f>89.177</f>
        <v>89.177000000000007</v>
      </c>
      <c r="F730" s="56">
        <f>240.302-40-60-100</f>
        <v>40.301999999999992</v>
      </c>
      <c r="G730" s="59">
        <v>40</v>
      </c>
      <c r="H730" s="56">
        <f>60+100</f>
        <v>160</v>
      </c>
      <c r="I730" s="56">
        <f t="shared" si="113"/>
        <v>0</v>
      </c>
      <c r="J730" s="59">
        <v>100</v>
      </c>
      <c r="K730" s="59">
        <v>300</v>
      </c>
      <c r="L730" s="56">
        <f t="shared" si="118"/>
        <v>1150</v>
      </c>
      <c r="M730" s="66">
        <v>600</v>
      </c>
      <c r="N730" s="56">
        <f>100</f>
        <v>100</v>
      </c>
      <c r="O730" s="59">
        <v>240</v>
      </c>
      <c r="P730" s="59">
        <v>40</v>
      </c>
      <c r="Q730" s="59">
        <f t="shared" si="119"/>
        <v>315</v>
      </c>
      <c r="R730" s="59">
        <f t="shared" si="120"/>
        <v>100</v>
      </c>
      <c r="S730" s="56">
        <f t="shared" si="121"/>
        <v>695</v>
      </c>
      <c r="T730" s="56">
        <f>50</f>
        <v>50</v>
      </c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</row>
    <row r="731" spans="1:30" ht="15.75" x14ac:dyDescent="0.25">
      <c r="A731" s="13">
        <v>63554</v>
      </c>
      <c r="B731" s="67">
        <f t="shared" si="117"/>
        <v>31</v>
      </c>
      <c r="C731" s="56">
        <f>122.58</f>
        <v>122.58</v>
      </c>
      <c r="D731" s="56">
        <f>297.941</f>
        <v>297.94099999999997</v>
      </c>
      <c r="E731" s="64">
        <f>89.177</f>
        <v>89.177000000000007</v>
      </c>
      <c r="F731" s="56">
        <f>240.302-40-60-100</f>
        <v>40.301999999999992</v>
      </c>
      <c r="G731" s="59">
        <v>40</v>
      </c>
      <c r="H731" s="56">
        <f>60+100</f>
        <v>160</v>
      </c>
      <c r="I731" s="56">
        <f t="shared" si="113"/>
        <v>0</v>
      </c>
      <c r="J731" s="59">
        <v>100</v>
      </c>
      <c r="K731" s="59">
        <v>300</v>
      </c>
      <c r="L731" s="56">
        <f t="shared" si="118"/>
        <v>1150</v>
      </c>
      <c r="M731" s="66">
        <v>600</v>
      </c>
      <c r="N731" s="56">
        <f>100</f>
        <v>100</v>
      </c>
      <c r="O731" s="59">
        <v>240</v>
      </c>
      <c r="P731" s="59">
        <v>40</v>
      </c>
      <c r="Q731" s="59">
        <f t="shared" si="119"/>
        <v>315</v>
      </c>
      <c r="R731" s="59">
        <f t="shared" si="120"/>
        <v>100</v>
      </c>
      <c r="S731" s="56">
        <f t="shared" si="121"/>
        <v>695</v>
      </c>
      <c r="T731" s="56">
        <f>50</f>
        <v>50</v>
      </c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</row>
    <row r="732" spans="1:30" ht="15.75" x14ac:dyDescent="0.25">
      <c r="A732" s="13">
        <v>63585</v>
      </c>
      <c r="B732" s="67">
        <f t="shared" si="117"/>
        <v>31</v>
      </c>
      <c r="C732" s="56">
        <f>122.58</f>
        <v>122.58</v>
      </c>
      <c r="D732" s="56">
        <f>297.941</f>
        <v>297.94099999999997</v>
      </c>
      <c r="E732" s="64">
        <f>89.177</f>
        <v>89.177000000000007</v>
      </c>
      <c r="F732" s="56">
        <f>240.302-40-60-100</f>
        <v>40.301999999999992</v>
      </c>
      <c r="G732" s="59">
        <v>40</v>
      </c>
      <c r="H732" s="56">
        <f>60+100</f>
        <v>160</v>
      </c>
      <c r="I732" s="56">
        <f t="shared" si="113"/>
        <v>0</v>
      </c>
      <c r="J732" s="59">
        <v>100</v>
      </c>
      <c r="K732" s="59">
        <v>300</v>
      </c>
      <c r="L732" s="56">
        <f t="shared" si="118"/>
        <v>1150</v>
      </c>
      <c r="M732" s="66">
        <v>600</v>
      </c>
      <c r="N732" s="56">
        <f>100</f>
        <v>100</v>
      </c>
      <c r="O732" s="59">
        <v>240</v>
      </c>
      <c r="P732" s="59">
        <v>40</v>
      </c>
      <c r="Q732" s="59">
        <f t="shared" si="119"/>
        <v>315</v>
      </c>
      <c r="R732" s="59">
        <f t="shared" si="120"/>
        <v>100</v>
      </c>
      <c r="S732" s="56">
        <f t="shared" si="121"/>
        <v>695</v>
      </c>
      <c r="T732" s="56">
        <f>50</f>
        <v>50</v>
      </c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</row>
    <row r="733" spans="1:30" ht="15.75" x14ac:dyDescent="0.25">
      <c r="A733" s="13">
        <v>63613</v>
      </c>
      <c r="B733" s="67">
        <f t="shared" si="117"/>
        <v>28</v>
      </c>
      <c r="C733" s="56">
        <f>122.58</f>
        <v>122.58</v>
      </c>
      <c r="D733" s="56">
        <f>297.941</f>
        <v>297.94099999999997</v>
      </c>
      <c r="E733" s="64">
        <f>89.177</f>
        <v>89.177000000000007</v>
      </c>
      <c r="F733" s="56">
        <f>240.302-40-60-100</f>
        <v>40.301999999999992</v>
      </c>
      <c r="G733" s="59">
        <v>40</v>
      </c>
      <c r="H733" s="56">
        <f>60+100</f>
        <v>160</v>
      </c>
      <c r="I733" s="56">
        <f t="shared" si="113"/>
        <v>0</v>
      </c>
      <c r="J733" s="59">
        <v>100</v>
      </c>
      <c r="K733" s="59">
        <v>300</v>
      </c>
      <c r="L733" s="56">
        <f t="shared" si="118"/>
        <v>1150</v>
      </c>
      <c r="M733" s="66">
        <v>600</v>
      </c>
      <c r="N733" s="56">
        <f>100</f>
        <v>100</v>
      </c>
      <c r="O733" s="59">
        <v>240</v>
      </c>
      <c r="P733" s="59">
        <v>40</v>
      </c>
      <c r="Q733" s="59">
        <f t="shared" si="119"/>
        <v>315</v>
      </c>
      <c r="R733" s="59">
        <f t="shared" si="120"/>
        <v>100</v>
      </c>
      <c r="S733" s="56">
        <f t="shared" si="121"/>
        <v>695</v>
      </c>
      <c r="T733" s="56">
        <f>50</f>
        <v>50</v>
      </c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</row>
    <row r="734" spans="1:30" ht="15.75" x14ac:dyDescent="0.25">
      <c r="A734" s="13">
        <v>63644</v>
      </c>
      <c r="B734" s="67">
        <f t="shared" si="117"/>
        <v>31</v>
      </c>
      <c r="C734" s="56">
        <f>122.58</f>
        <v>122.58</v>
      </c>
      <c r="D734" s="56">
        <f>297.941</f>
        <v>297.94099999999997</v>
      </c>
      <c r="E734" s="64">
        <f>89.177</f>
        <v>89.177000000000007</v>
      </c>
      <c r="F734" s="56">
        <f>240.302-40-60-100</f>
        <v>40.301999999999992</v>
      </c>
      <c r="G734" s="59">
        <v>40</v>
      </c>
      <c r="H734" s="56">
        <f>60+100</f>
        <v>160</v>
      </c>
      <c r="I734" s="56">
        <f t="shared" si="113"/>
        <v>0</v>
      </c>
      <c r="J734" s="59">
        <v>100</v>
      </c>
      <c r="K734" s="59">
        <v>300</v>
      </c>
      <c r="L734" s="56">
        <f t="shared" si="118"/>
        <v>1150</v>
      </c>
      <c r="M734" s="66">
        <v>600</v>
      </c>
      <c r="N734" s="56">
        <f>100</f>
        <v>100</v>
      </c>
      <c r="O734" s="59">
        <v>240</v>
      </c>
      <c r="P734" s="59">
        <v>40</v>
      </c>
      <c r="Q734" s="59">
        <f t="shared" si="119"/>
        <v>315</v>
      </c>
      <c r="R734" s="59">
        <f t="shared" si="120"/>
        <v>100</v>
      </c>
      <c r="S734" s="56">
        <f t="shared" si="121"/>
        <v>695</v>
      </c>
      <c r="T734" s="56">
        <f>50</f>
        <v>50</v>
      </c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</row>
    <row r="735" spans="1:30" ht="15.75" x14ac:dyDescent="0.25">
      <c r="A735" s="13">
        <v>63674</v>
      </c>
      <c r="B735" s="67">
        <f t="shared" si="117"/>
        <v>30</v>
      </c>
      <c r="C735" s="56">
        <f>141.293</f>
        <v>141.29300000000001</v>
      </c>
      <c r="D735" s="56">
        <f>267.993</f>
        <v>267.99299999999999</v>
      </c>
      <c r="E735" s="64">
        <f>115.016</f>
        <v>115.01600000000001</v>
      </c>
      <c r="F735" s="56">
        <f>314.698-40-25-60-100</f>
        <v>89.697999999999979</v>
      </c>
      <c r="G735" s="59">
        <v>40</v>
      </c>
      <c r="H735" s="56">
        <f t="shared" ref="H735:H741" si="123">25+60+100</f>
        <v>185</v>
      </c>
      <c r="I735" s="56">
        <f t="shared" si="113"/>
        <v>0</v>
      </c>
      <c r="J735" s="59">
        <v>100</v>
      </c>
      <c r="K735" s="59">
        <v>300</v>
      </c>
      <c r="L735" s="56">
        <f t="shared" si="118"/>
        <v>1239</v>
      </c>
      <c r="M735" s="66">
        <v>600</v>
      </c>
      <c r="N735" s="56">
        <f>100</f>
        <v>100</v>
      </c>
      <c r="O735" s="59">
        <v>240</v>
      </c>
      <c r="P735" s="59">
        <v>40</v>
      </c>
      <c r="Q735" s="59">
        <f t="shared" si="119"/>
        <v>315</v>
      </c>
      <c r="R735" s="59">
        <f t="shared" si="120"/>
        <v>100</v>
      </c>
      <c r="S735" s="56">
        <f t="shared" si="121"/>
        <v>695</v>
      </c>
      <c r="T735" s="56">
        <f>50</f>
        <v>50</v>
      </c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</row>
    <row r="736" spans="1:30" ht="15.75" x14ac:dyDescent="0.25">
      <c r="A736" s="13">
        <v>63705</v>
      </c>
      <c r="B736" s="67">
        <f t="shared" si="117"/>
        <v>31</v>
      </c>
      <c r="C736" s="56">
        <f>194.205</f>
        <v>194.20500000000001</v>
      </c>
      <c r="D736" s="56">
        <f>267.466</f>
        <v>267.46600000000001</v>
      </c>
      <c r="E736" s="64">
        <f>133.845</f>
        <v>133.845</v>
      </c>
      <c r="F736" s="56">
        <f>278.484-40-25-60-100</f>
        <v>53.48399999999998</v>
      </c>
      <c r="G736" s="59">
        <v>40</v>
      </c>
      <c r="H736" s="56">
        <f t="shared" si="123"/>
        <v>185</v>
      </c>
      <c r="I736" s="56">
        <f t="shared" si="113"/>
        <v>0</v>
      </c>
      <c r="J736" s="59">
        <v>100</v>
      </c>
      <c r="K736" s="59">
        <v>300</v>
      </c>
      <c r="L736" s="56">
        <f t="shared" si="118"/>
        <v>1274</v>
      </c>
      <c r="M736" s="66">
        <v>600</v>
      </c>
      <c r="N736" s="56">
        <f>75</f>
        <v>75</v>
      </c>
      <c r="O736" s="59">
        <v>240</v>
      </c>
      <c r="P736" s="59">
        <v>40</v>
      </c>
      <c r="Q736" s="59">
        <f t="shared" si="119"/>
        <v>315</v>
      </c>
      <c r="R736" s="59">
        <f t="shared" si="120"/>
        <v>100</v>
      </c>
      <c r="S736" s="56">
        <f t="shared" si="121"/>
        <v>695</v>
      </c>
      <c r="T736" s="56">
        <f>50</f>
        <v>50</v>
      </c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</row>
    <row r="737" spans="1:30" ht="15.75" x14ac:dyDescent="0.25">
      <c r="A737" s="13">
        <v>63735</v>
      </c>
      <c r="B737" s="67">
        <f t="shared" si="117"/>
        <v>30</v>
      </c>
      <c r="C737" s="56">
        <f>194.205</f>
        <v>194.20500000000001</v>
      </c>
      <c r="D737" s="56">
        <f>267.466</f>
        <v>267.46600000000001</v>
      </c>
      <c r="E737" s="64">
        <f>133.845</f>
        <v>133.845</v>
      </c>
      <c r="F737" s="56">
        <f>278.484-40-25-60-100</f>
        <v>53.48399999999998</v>
      </c>
      <c r="G737" s="59">
        <v>40</v>
      </c>
      <c r="H737" s="56">
        <f t="shared" si="123"/>
        <v>185</v>
      </c>
      <c r="I737" s="56">
        <f t="shared" si="113"/>
        <v>0</v>
      </c>
      <c r="J737" s="59">
        <v>100</v>
      </c>
      <c r="K737" s="59">
        <v>300</v>
      </c>
      <c r="L737" s="56">
        <f t="shared" si="118"/>
        <v>1274</v>
      </c>
      <c r="M737" s="66">
        <v>600</v>
      </c>
      <c r="N737" s="56">
        <f>30</f>
        <v>30</v>
      </c>
      <c r="O737" s="59">
        <v>240</v>
      </c>
      <c r="P737" s="59">
        <v>40</v>
      </c>
      <c r="Q737" s="59">
        <f t="shared" si="119"/>
        <v>315</v>
      </c>
      <c r="R737" s="59">
        <f t="shared" si="120"/>
        <v>100</v>
      </c>
      <c r="S737" s="56">
        <f t="shared" si="121"/>
        <v>695</v>
      </c>
      <c r="T737" s="56">
        <f>50</f>
        <v>50</v>
      </c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</row>
    <row r="738" spans="1:30" ht="15.75" x14ac:dyDescent="0.25">
      <c r="A738" s="13">
        <v>63766</v>
      </c>
      <c r="B738" s="67">
        <f t="shared" si="117"/>
        <v>31</v>
      </c>
      <c r="C738" s="56">
        <f>194.205</f>
        <v>194.20500000000001</v>
      </c>
      <c r="D738" s="56">
        <f>267.466</f>
        <v>267.46600000000001</v>
      </c>
      <c r="E738" s="64">
        <f>133.845</f>
        <v>133.845</v>
      </c>
      <c r="F738" s="56">
        <f>278.484-40-25-60-100</f>
        <v>53.48399999999998</v>
      </c>
      <c r="G738" s="59">
        <v>40</v>
      </c>
      <c r="H738" s="56">
        <f t="shared" si="123"/>
        <v>185</v>
      </c>
      <c r="I738" s="56">
        <f t="shared" si="113"/>
        <v>0</v>
      </c>
      <c r="J738" s="59">
        <v>100</v>
      </c>
      <c r="K738" s="59">
        <v>300</v>
      </c>
      <c r="L738" s="56">
        <f t="shared" si="118"/>
        <v>1274</v>
      </c>
      <c r="M738" s="66">
        <v>600</v>
      </c>
      <c r="N738" s="56">
        <f>30</f>
        <v>30</v>
      </c>
      <c r="O738" s="59">
        <v>240</v>
      </c>
      <c r="P738" s="59">
        <v>40</v>
      </c>
      <c r="Q738" s="59">
        <f t="shared" si="119"/>
        <v>315</v>
      </c>
      <c r="R738" s="59">
        <f t="shared" si="120"/>
        <v>100</v>
      </c>
      <c r="S738" s="56">
        <f t="shared" si="121"/>
        <v>695</v>
      </c>
      <c r="T738" s="56">
        <f>0</f>
        <v>0</v>
      </c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</row>
    <row r="739" spans="1:30" ht="15.75" x14ac:dyDescent="0.25">
      <c r="A739" s="13">
        <v>63797</v>
      </c>
      <c r="B739" s="67">
        <f t="shared" si="117"/>
        <v>31</v>
      </c>
      <c r="C739" s="56">
        <f>194.205</f>
        <v>194.20500000000001</v>
      </c>
      <c r="D739" s="56">
        <f>267.466</f>
        <v>267.46600000000001</v>
      </c>
      <c r="E739" s="64">
        <f>133.845</f>
        <v>133.845</v>
      </c>
      <c r="F739" s="56">
        <f>278.484-40-25-60-100</f>
        <v>53.48399999999998</v>
      </c>
      <c r="G739" s="59">
        <v>40</v>
      </c>
      <c r="H739" s="56">
        <f t="shared" si="123"/>
        <v>185</v>
      </c>
      <c r="I739" s="56">
        <f t="shared" si="113"/>
        <v>0</v>
      </c>
      <c r="J739" s="59">
        <v>100</v>
      </c>
      <c r="K739" s="59">
        <v>300</v>
      </c>
      <c r="L739" s="56">
        <f t="shared" si="118"/>
        <v>1274</v>
      </c>
      <c r="M739" s="66">
        <v>600</v>
      </c>
      <c r="N739" s="56">
        <f>30</f>
        <v>30</v>
      </c>
      <c r="O739" s="59">
        <v>240</v>
      </c>
      <c r="P739" s="59">
        <v>40</v>
      </c>
      <c r="Q739" s="59">
        <f t="shared" si="119"/>
        <v>315</v>
      </c>
      <c r="R739" s="59">
        <f t="shared" si="120"/>
        <v>100</v>
      </c>
      <c r="S739" s="56">
        <f t="shared" si="121"/>
        <v>695</v>
      </c>
      <c r="T739" s="56">
        <f>0</f>
        <v>0</v>
      </c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</row>
    <row r="740" spans="1:30" ht="15.75" x14ac:dyDescent="0.25">
      <c r="A740" s="13">
        <v>63827</v>
      </c>
      <c r="B740" s="67">
        <f t="shared" si="117"/>
        <v>30</v>
      </c>
      <c r="C740" s="56">
        <f>194.205</f>
        <v>194.20500000000001</v>
      </c>
      <c r="D740" s="56">
        <f>267.466</f>
        <v>267.46600000000001</v>
      </c>
      <c r="E740" s="64">
        <f>133.845</f>
        <v>133.845</v>
      </c>
      <c r="F740" s="56">
        <f>278.484-40-25-60-100</f>
        <v>53.48399999999998</v>
      </c>
      <c r="G740" s="59">
        <v>40</v>
      </c>
      <c r="H740" s="56">
        <f t="shared" si="123"/>
        <v>185</v>
      </c>
      <c r="I740" s="56">
        <f t="shared" si="113"/>
        <v>0</v>
      </c>
      <c r="J740" s="59">
        <v>100</v>
      </c>
      <c r="K740" s="59">
        <v>300</v>
      </c>
      <c r="L740" s="56">
        <f t="shared" si="118"/>
        <v>1274</v>
      </c>
      <c r="M740" s="66">
        <v>600</v>
      </c>
      <c r="N740" s="56">
        <f>30</f>
        <v>30</v>
      </c>
      <c r="O740" s="59">
        <v>240</v>
      </c>
      <c r="P740" s="59">
        <v>40</v>
      </c>
      <c r="Q740" s="59">
        <f t="shared" si="119"/>
        <v>315</v>
      </c>
      <c r="R740" s="59">
        <f t="shared" si="120"/>
        <v>100</v>
      </c>
      <c r="S740" s="56">
        <f t="shared" si="121"/>
        <v>695</v>
      </c>
      <c r="T740" s="56">
        <f>0</f>
        <v>0</v>
      </c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</row>
    <row r="741" spans="1:30" ht="15.75" x14ac:dyDescent="0.25">
      <c r="A741" s="13">
        <v>63858</v>
      </c>
      <c r="B741" s="67">
        <f t="shared" si="117"/>
        <v>31</v>
      </c>
      <c r="C741" s="56">
        <f>131.881</f>
        <v>131.881</v>
      </c>
      <c r="D741" s="56">
        <f>277.167</f>
        <v>277.16699999999997</v>
      </c>
      <c r="E741" s="64">
        <f>79.08</f>
        <v>79.08</v>
      </c>
      <c r="F741" s="56">
        <f>350.872-40-25-60-100</f>
        <v>125.87200000000001</v>
      </c>
      <c r="G741" s="59">
        <v>40</v>
      </c>
      <c r="H741" s="56">
        <f t="shared" si="123"/>
        <v>185</v>
      </c>
      <c r="I741" s="56">
        <f t="shared" si="113"/>
        <v>0</v>
      </c>
      <c r="J741" s="59">
        <v>100</v>
      </c>
      <c r="K741" s="59">
        <v>300</v>
      </c>
      <c r="L741" s="56">
        <f t="shared" si="118"/>
        <v>1239</v>
      </c>
      <c r="M741" s="66">
        <v>600</v>
      </c>
      <c r="N741" s="56">
        <f>75</f>
        <v>75</v>
      </c>
      <c r="O741" s="59">
        <v>240</v>
      </c>
      <c r="P741" s="59">
        <v>40</v>
      </c>
      <c r="Q741" s="59">
        <f t="shared" si="119"/>
        <v>315</v>
      </c>
      <c r="R741" s="59">
        <f t="shared" si="120"/>
        <v>100</v>
      </c>
      <c r="S741" s="56">
        <f t="shared" si="121"/>
        <v>695</v>
      </c>
      <c r="T741" s="56">
        <f>0</f>
        <v>0</v>
      </c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</row>
    <row r="742" spans="1:30" ht="15.75" x14ac:dyDescent="0.25">
      <c r="A742" s="13">
        <v>63888</v>
      </c>
      <c r="B742" s="67">
        <f t="shared" si="117"/>
        <v>30</v>
      </c>
      <c r="C742" s="56">
        <f>122.58</f>
        <v>122.58</v>
      </c>
      <c r="D742" s="56">
        <f>297.941</f>
        <v>297.94099999999997</v>
      </c>
      <c r="E742" s="64">
        <f>89.177</f>
        <v>89.177000000000007</v>
      </c>
      <c r="F742" s="56">
        <f>240.302-40-60-100</f>
        <v>40.301999999999992</v>
      </c>
      <c r="G742" s="59">
        <v>40</v>
      </c>
      <c r="H742" s="56">
        <f>60+100</f>
        <v>160</v>
      </c>
      <c r="I742" s="56">
        <f t="shared" si="113"/>
        <v>0</v>
      </c>
      <c r="J742" s="59">
        <v>100</v>
      </c>
      <c r="K742" s="59">
        <v>300</v>
      </c>
      <c r="L742" s="56">
        <f t="shared" si="118"/>
        <v>1150</v>
      </c>
      <c r="M742" s="66">
        <v>600</v>
      </c>
      <c r="N742" s="56">
        <f>100</f>
        <v>100</v>
      </c>
      <c r="O742" s="59">
        <v>240</v>
      </c>
      <c r="P742" s="59">
        <v>40</v>
      </c>
      <c r="Q742" s="59">
        <f t="shared" si="119"/>
        <v>315</v>
      </c>
      <c r="R742" s="59">
        <f t="shared" si="120"/>
        <v>100</v>
      </c>
      <c r="S742" s="56">
        <f t="shared" si="121"/>
        <v>695</v>
      </c>
      <c r="T742" s="56">
        <f>50</f>
        <v>50</v>
      </c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</row>
    <row r="743" spans="1:30" ht="15.75" x14ac:dyDescent="0.25">
      <c r="A743" s="13">
        <v>63919</v>
      </c>
      <c r="B743" s="67">
        <f t="shared" si="117"/>
        <v>31</v>
      </c>
      <c r="C743" s="56">
        <f>122.58</f>
        <v>122.58</v>
      </c>
      <c r="D743" s="56">
        <f>297.941</f>
        <v>297.94099999999997</v>
      </c>
      <c r="E743" s="64">
        <f>89.177</f>
        <v>89.177000000000007</v>
      </c>
      <c r="F743" s="56">
        <f>240.302-40-60-100</f>
        <v>40.301999999999992</v>
      </c>
      <c r="G743" s="59">
        <v>40</v>
      </c>
      <c r="H743" s="56">
        <f>60+100</f>
        <v>160</v>
      </c>
      <c r="I743" s="56">
        <f t="shared" si="113"/>
        <v>0</v>
      </c>
      <c r="J743" s="59">
        <v>100</v>
      </c>
      <c r="K743" s="59">
        <v>300</v>
      </c>
      <c r="L743" s="56">
        <f t="shared" si="118"/>
        <v>1150</v>
      </c>
      <c r="M743" s="66">
        <v>600</v>
      </c>
      <c r="N743" s="56">
        <f>100</f>
        <v>100</v>
      </c>
      <c r="O743" s="59">
        <v>240</v>
      </c>
      <c r="P743" s="59">
        <v>40</v>
      </c>
      <c r="Q743" s="59">
        <f t="shared" si="119"/>
        <v>315</v>
      </c>
      <c r="R743" s="59">
        <f t="shared" si="120"/>
        <v>100</v>
      </c>
      <c r="S743" s="56">
        <f t="shared" si="121"/>
        <v>695</v>
      </c>
      <c r="T743" s="56">
        <f>50</f>
        <v>50</v>
      </c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</row>
    <row r="744" spans="1:30" ht="15.75" x14ac:dyDescent="0.25">
      <c r="A744" s="13">
        <v>63950</v>
      </c>
      <c r="B744" s="67">
        <f t="shared" si="117"/>
        <v>31</v>
      </c>
      <c r="C744" s="56">
        <f>122.58</f>
        <v>122.58</v>
      </c>
      <c r="D744" s="56">
        <f>297.941</f>
        <v>297.94099999999997</v>
      </c>
      <c r="E744" s="64">
        <f>89.177</f>
        <v>89.177000000000007</v>
      </c>
      <c r="F744" s="56">
        <f>240.302-40-60-100</f>
        <v>40.301999999999992</v>
      </c>
      <c r="G744" s="59">
        <v>40</v>
      </c>
      <c r="H744" s="56">
        <f>60+100</f>
        <v>160</v>
      </c>
      <c r="I744" s="56">
        <f t="shared" ref="I744:I807" si="124">400-J744-K744</f>
        <v>0</v>
      </c>
      <c r="J744" s="59">
        <v>100</v>
      </c>
      <c r="K744" s="59">
        <v>300</v>
      </c>
      <c r="L744" s="56">
        <f t="shared" si="118"/>
        <v>1150</v>
      </c>
      <c r="M744" s="66">
        <v>600</v>
      </c>
      <c r="N744" s="56">
        <f>100</f>
        <v>100</v>
      </c>
      <c r="O744" s="59">
        <v>240</v>
      </c>
      <c r="P744" s="59">
        <v>40</v>
      </c>
      <c r="Q744" s="59">
        <f t="shared" si="119"/>
        <v>315</v>
      </c>
      <c r="R744" s="59">
        <f t="shared" si="120"/>
        <v>100</v>
      </c>
      <c r="S744" s="56">
        <f t="shared" si="121"/>
        <v>695</v>
      </c>
      <c r="T744" s="56">
        <f>50</f>
        <v>50</v>
      </c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</row>
    <row r="745" spans="1:30" ht="15.75" x14ac:dyDescent="0.25">
      <c r="A745" s="13">
        <v>63978</v>
      </c>
      <c r="B745" s="67">
        <f t="shared" si="117"/>
        <v>28</v>
      </c>
      <c r="C745" s="56">
        <f>122.58</f>
        <v>122.58</v>
      </c>
      <c r="D745" s="56">
        <f>297.941</f>
        <v>297.94099999999997</v>
      </c>
      <c r="E745" s="64">
        <f>89.177</f>
        <v>89.177000000000007</v>
      </c>
      <c r="F745" s="56">
        <f>240.302-40-60-100</f>
        <v>40.301999999999992</v>
      </c>
      <c r="G745" s="59">
        <v>40</v>
      </c>
      <c r="H745" s="56">
        <f>60+100</f>
        <v>160</v>
      </c>
      <c r="I745" s="56">
        <f t="shared" si="124"/>
        <v>0</v>
      </c>
      <c r="J745" s="59">
        <v>100</v>
      </c>
      <c r="K745" s="59">
        <v>300</v>
      </c>
      <c r="L745" s="56">
        <f t="shared" si="118"/>
        <v>1150</v>
      </c>
      <c r="M745" s="66">
        <v>600</v>
      </c>
      <c r="N745" s="56">
        <f>100</f>
        <v>100</v>
      </c>
      <c r="O745" s="59">
        <v>240</v>
      </c>
      <c r="P745" s="59">
        <v>40</v>
      </c>
      <c r="Q745" s="59">
        <f t="shared" si="119"/>
        <v>315</v>
      </c>
      <c r="R745" s="59">
        <f t="shared" si="120"/>
        <v>100</v>
      </c>
      <c r="S745" s="56">
        <f t="shared" si="121"/>
        <v>695</v>
      </c>
      <c r="T745" s="56">
        <f>50</f>
        <v>50</v>
      </c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</row>
    <row r="746" spans="1:30" ht="15.75" x14ac:dyDescent="0.25">
      <c r="A746" s="13">
        <v>64009</v>
      </c>
      <c r="B746" s="67">
        <f t="shared" si="117"/>
        <v>31</v>
      </c>
      <c r="C746" s="56">
        <f>122.58</f>
        <v>122.58</v>
      </c>
      <c r="D746" s="56">
        <f>297.941</f>
        <v>297.94099999999997</v>
      </c>
      <c r="E746" s="64">
        <f>89.177</f>
        <v>89.177000000000007</v>
      </c>
      <c r="F746" s="56">
        <f>240.302-40-60-100</f>
        <v>40.301999999999992</v>
      </c>
      <c r="G746" s="59">
        <v>40</v>
      </c>
      <c r="H746" s="56">
        <f>60+100</f>
        <v>160</v>
      </c>
      <c r="I746" s="56">
        <f t="shared" si="124"/>
        <v>0</v>
      </c>
      <c r="J746" s="59">
        <v>100</v>
      </c>
      <c r="K746" s="59">
        <v>300</v>
      </c>
      <c r="L746" s="56">
        <f t="shared" si="118"/>
        <v>1150</v>
      </c>
      <c r="M746" s="66">
        <v>600</v>
      </c>
      <c r="N746" s="56">
        <f>100</f>
        <v>100</v>
      </c>
      <c r="O746" s="59">
        <v>240</v>
      </c>
      <c r="P746" s="59">
        <v>40</v>
      </c>
      <c r="Q746" s="59">
        <f t="shared" si="119"/>
        <v>315</v>
      </c>
      <c r="R746" s="59">
        <f t="shared" si="120"/>
        <v>100</v>
      </c>
      <c r="S746" s="56">
        <f t="shared" si="121"/>
        <v>695</v>
      </c>
      <c r="T746" s="56">
        <f>50</f>
        <v>50</v>
      </c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</row>
    <row r="747" spans="1:30" ht="15.75" x14ac:dyDescent="0.25">
      <c r="A747" s="13">
        <v>64039</v>
      </c>
      <c r="B747" s="67">
        <f t="shared" si="117"/>
        <v>30</v>
      </c>
      <c r="C747" s="56">
        <f>141.293</f>
        <v>141.29300000000001</v>
      </c>
      <c r="D747" s="56">
        <f>267.993</f>
        <v>267.99299999999999</v>
      </c>
      <c r="E747" s="64">
        <f>115.016</f>
        <v>115.01600000000001</v>
      </c>
      <c r="F747" s="56">
        <f>314.698-40-25-60-100</f>
        <v>89.697999999999979</v>
      </c>
      <c r="G747" s="59">
        <v>40</v>
      </c>
      <c r="H747" s="56">
        <f t="shared" ref="H747:H753" si="125">25+60+100</f>
        <v>185</v>
      </c>
      <c r="I747" s="56">
        <f t="shared" si="124"/>
        <v>0</v>
      </c>
      <c r="J747" s="59">
        <v>100</v>
      </c>
      <c r="K747" s="59">
        <v>300</v>
      </c>
      <c r="L747" s="56">
        <f t="shared" si="118"/>
        <v>1239</v>
      </c>
      <c r="M747" s="66">
        <v>600</v>
      </c>
      <c r="N747" s="56">
        <f>100</f>
        <v>100</v>
      </c>
      <c r="O747" s="59">
        <v>240</v>
      </c>
      <c r="P747" s="59">
        <v>40</v>
      </c>
      <c r="Q747" s="59">
        <f t="shared" si="119"/>
        <v>315</v>
      </c>
      <c r="R747" s="59">
        <f t="shared" si="120"/>
        <v>100</v>
      </c>
      <c r="S747" s="56">
        <f t="shared" si="121"/>
        <v>695</v>
      </c>
      <c r="T747" s="56">
        <f>50</f>
        <v>50</v>
      </c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</row>
    <row r="748" spans="1:30" ht="15.75" x14ac:dyDescent="0.25">
      <c r="A748" s="13">
        <v>64070</v>
      </c>
      <c r="B748" s="67">
        <f t="shared" si="117"/>
        <v>31</v>
      </c>
      <c r="C748" s="56">
        <f>194.205</f>
        <v>194.20500000000001</v>
      </c>
      <c r="D748" s="56">
        <f>267.466</f>
        <v>267.46600000000001</v>
      </c>
      <c r="E748" s="64">
        <f>133.845</f>
        <v>133.845</v>
      </c>
      <c r="F748" s="56">
        <f>278.484-40-25-60-100</f>
        <v>53.48399999999998</v>
      </c>
      <c r="G748" s="59">
        <v>40</v>
      </c>
      <c r="H748" s="56">
        <f t="shared" si="125"/>
        <v>185</v>
      </c>
      <c r="I748" s="56">
        <f t="shared" si="124"/>
        <v>0</v>
      </c>
      <c r="J748" s="59">
        <v>100</v>
      </c>
      <c r="K748" s="59">
        <v>300</v>
      </c>
      <c r="L748" s="56">
        <f t="shared" si="118"/>
        <v>1274</v>
      </c>
      <c r="M748" s="66">
        <v>600</v>
      </c>
      <c r="N748" s="56">
        <f>75</f>
        <v>75</v>
      </c>
      <c r="O748" s="59">
        <v>240</v>
      </c>
      <c r="P748" s="59">
        <v>40</v>
      </c>
      <c r="Q748" s="59">
        <f t="shared" si="119"/>
        <v>315</v>
      </c>
      <c r="R748" s="59">
        <f t="shared" si="120"/>
        <v>100</v>
      </c>
      <c r="S748" s="56">
        <f t="shared" si="121"/>
        <v>695</v>
      </c>
      <c r="T748" s="56">
        <f>50</f>
        <v>50</v>
      </c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</row>
    <row r="749" spans="1:30" ht="15.75" x14ac:dyDescent="0.25">
      <c r="A749" s="13">
        <v>64100</v>
      </c>
      <c r="B749" s="67">
        <f t="shared" si="117"/>
        <v>30</v>
      </c>
      <c r="C749" s="56">
        <f>194.205</f>
        <v>194.20500000000001</v>
      </c>
      <c r="D749" s="56">
        <f>267.466</f>
        <v>267.46600000000001</v>
      </c>
      <c r="E749" s="64">
        <f>133.845</f>
        <v>133.845</v>
      </c>
      <c r="F749" s="56">
        <f>278.484-40-25-60-100</f>
        <v>53.48399999999998</v>
      </c>
      <c r="G749" s="59">
        <v>40</v>
      </c>
      <c r="H749" s="56">
        <f t="shared" si="125"/>
        <v>185</v>
      </c>
      <c r="I749" s="56">
        <f t="shared" si="124"/>
        <v>0</v>
      </c>
      <c r="J749" s="59">
        <v>100</v>
      </c>
      <c r="K749" s="59">
        <v>300</v>
      </c>
      <c r="L749" s="56">
        <f t="shared" si="118"/>
        <v>1274</v>
      </c>
      <c r="M749" s="66">
        <v>600</v>
      </c>
      <c r="N749" s="56">
        <f>30</f>
        <v>30</v>
      </c>
      <c r="O749" s="59">
        <v>240</v>
      </c>
      <c r="P749" s="59">
        <v>40</v>
      </c>
      <c r="Q749" s="59">
        <f t="shared" si="119"/>
        <v>315</v>
      </c>
      <c r="R749" s="59">
        <f t="shared" si="120"/>
        <v>100</v>
      </c>
      <c r="S749" s="56">
        <f t="shared" si="121"/>
        <v>695</v>
      </c>
      <c r="T749" s="56">
        <f>50</f>
        <v>50</v>
      </c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</row>
    <row r="750" spans="1:30" ht="15.75" x14ac:dyDescent="0.25">
      <c r="A750" s="13">
        <v>64131</v>
      </c>
      <c r="B750" s="67">
        <f t="shared" si="117"/>
        <v>31</v>
      </c>
      <c r="C750" s="56">
        <f>194.205</f>
        <v>194.20500000000001</v>
      </c>
      <c r="D750" s="56">
        <f>267.466</f>
        <v>267.46600000000001</v>
      </c>
      <c r="E750" s="64">
        <f>133.845</f>
        <v>133.845</v>
      </c>
      <c r="F750" s="56">
        <f>278.484-40-25-60-100</f>
        <v>53.48399999999998</v>
      </c>
      <c r="G750" s="59">
        <v>40</v>
      </c>
      <c r="H750" s="56">
        <f t="shared" si="125"/>
        <v>185</v>
      </c>
      <c r="I750" s="56">
        <f t="shared" si="124"/>
        <v>0</v>
      </c>
      <c r="J750" s="59">
        <v>100</v>
      </c>
      <c r="K750" s="59">
        <v>300</v>
      </c>
      <c r="L750" s="56">
        <f t="shared" si="118"/>
        <v>1274</v>
      </c>
      <c r="M750" s="66">
        <v>600</v>
      </c>
      <c r="N750" s="56">
        <f>30</f>
        <v>30</v>
      </c>
      <c r="O750" s="59">
        <v>240</v>
      </c>
      <c r="P750" s="59">
        <v>40</v>
      </c>
      <c r="Q750" s="59">
        <f t="shared" si="119"/>
        <v>315</v>
      </c>
      <c r="R750" s="59">
        <f t="shared" si="120"/>
        <v>100</v>
      </c>
      <c r="S750" s="56">
        <f t="shared" si="121"/>
        <v>695</v>
      </c>
      <c r="T750" s="56">
        <f>0</f>
        <v>0</v>
      </c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</row>
    <row r="751" spans="1:30" ht="15.75" x14ac:dyDescent="0.25">
      <c r="A751" s="13">
        <v>64162</v>
      </c>
      <c r="B751" s="67">
        <f t="shared" si="117"/>
        <v>31</v>
      </c>
      <c r="C751" s="56">
        <f>194.205</f>
        <v>194.20500000000001</v>
      </c>
      <c r="D751" s="56">
        <f>267.466</f>
        <v>267.46600000000001</v>
      </c>
      <c r="E751" s="64">
        <f>133.845</f>
        <v>133.845</v>
      </c>
      <c r="F751" s="56">
        <f>278.484-40-25-60-100</f>
        <v>53.48399999999998</v>
      </c>
      <c r="G751" s="59">
        <v>40</v>
      </c>
      <c r="H751" s="56">
        <f t="shared" si="125"/>
        <v>185</v>
      </c>
      <c r="I751" s="56">
        <f t="shared" si="124"/>
        <v>0</v>
      </c>
      <c r="J751" s="59">
        <v>100</v>
      </c>
      <c r="K751" s="59">
        <v>300</v>
      </c>
      <c r="L751" s="56">
        <f t="shared" si="118"/>
        <v>1274</v>
      </c>
      <c r="M751" s="66">
        <v>600</v>
      </c>
      <c r="N751" s="56">
        <f>30</f>
        <v>30</v>
      </c>
      <c r="O751" s="59">
        <v>240</v>
      </c>
      <c r="P751" s="59">
        <v>40</v>
      </c>
      <c r="Q751" s="59">
        <f t="shared" si="119"/>
        <v>315</v>
      </c>
      <c r="R751" s="59">
        <f t="shared" si="120"/>
        <v>100</v>
      </c>
      <c r="S751" s="56">
        <f t="shared" si="121"/>
        <v>695</v>
      </c>
      <c r="T751" s="56">
        <f>0</f>
        <v>0</v>
      </c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</row>
    <row r="752" spans="1:30" ht="15.75" x14ac:dyDescent="0.25">
      <c r="A752" s="13">
        <v>64192</v>
      </c>
      <c r="B752" s="67">
        <f t="shared" si="117"/>
        <v>30</v>
      </c>
      <c r="C752" s="56">
        <f>194.205</f>
        <v>194.20500000000001</v>
      </c>
      <c r="D752" s="56">
        <f>267.466</f>
        <v>267.46600000000001</v>
      </c>
      <c r="E752" s="64">
        <f>133.845</f>
        <v>133.845</v>
      </c>
      <c r="F752" s="56">
        <f>278.484-40-25-60-100</f>
        <v>53.48399999999998</v>
      </c>
      <c r="G752" s="59">
        <v>40</v>
      </c>
      <c r="H752" s="56">
        <f t="shared" si="125"/>
        <v>185</v>
      </c>
      <c r="I752" s="56">
        <f t="shared" si="124"/>
        <v>0</v>
      </c>
      <c r="J752" s="59">
        <v>100</v>
      </c>
      <c r="K752" s="59">
        <v>300</v>
      </c>
      <c r="L752" s="56">
        <f t="shared" si="118"/>
        <v>1274</v>
      </c>
      <c r="M752" s="66">
        <v>600</v>
      </c>
      <c r="N752" s="56">
        <f>30</f>
        <v>30</v>
      </c>
      <c r="O752" s="59">
        <v>240</v>
      </c>
      <c r="P752" s="59">
        <v>40</v>
      </c>
      <c r="Q752" s="59">
        <f t="shared" si="119"/>
        <v>315</v>
      </c>
      <c r="R752" s="59">
        <f t="shared" si="120"/>
        <v>100</v>
      </c>
      <c r="S752" s="56">
        <f t="shared" si="121"/>
        <v>695</v>
      </c>
      <c r="T752" s="56">
        <f>0</f>
        <v>0</v>
      </c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</row>
    <row r="753" spans="1:30" ht="15.75" x14ac:dyDescent="0.25">
      <c r="A753" s="13">
        <v>64223</v>
      </c>
      <c r="B753" s="67">
        <f t="shared" si="117"/>
        <v>31</v>
      </c>
      <c r="C753" s="56">
        <f>131.881</f>
        <v>131.881</v>
      </c>
      <c r="D753" s="56">
        <f>277.167</f>
        <v>277.16699999999997</v>
      </c>
      <c r="E753" s="64">
        <f>79.08</f>
        <v>79.08</v>
      </c>
      <c r="F753" s="56">
        <f>350.872-40-25-60-100</f>
        <v>125.87200000000001</v>
      </c>
      <c r="G753" s="59">
        <v>40</v>
      </c>
      <c r="H753" s="56">
        <f t="shared" si="125"/>
        <v>185</v>
      </c>
      <c r="I753" s="56">
        <f t="shared" si="124"/>
        <v>0</v>
      </c>
      <c r="J753" s="59">
        <v>100</v>
      </c>
      <c r="K753" s="59">
        <v>300</v>
      </c>
      <c r="L753" s="56">
        <f t="shared" si="118"/>
        <v>1239</v>
      </c>
      <c r="M753" s="66">
        <v>600</v>
      </c>
      <c r="N753" s="56">
        <f>75</f>
        <v>75</v>
      </c>
      <c r="O753" s="59">
        <v>240</v>
      </c>
      <c r="P753" s="59">
        <v>40</v>
      </c>
      <c r="Q753" s="59">
        <f t="shared" si="119"/>
        <v>315</v>
      </c>
      <c r="R753" s="59">
        <f t="shared" si="120"/>
        <v>100</v>
      </c>
      <c r="S753" s="56">
        <f t="shared" si="121"/>
        <v>695</v>
      </c>
      <c r="T753" s="56">
        <f>0</f>
        <v>0</v>
      </c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</row>
    <row r="754" spans="1:30" ht="15.75" x14ac:dyDescent="0.25">
      <c r="A754" s="13">
        <v>64253</v>
      </c>
      <c r="B754" s="67">
        <f t="shared" si="117"/>
        <v>30</v>
      </c>
      <c r="C754" s="56">
        <f>122.58</f>
        <v>122.58</v>
      </c>
      <c r="D754" s="56">
        <f>297.941</f>
        <v>297.94099999999997</v>
      </c>
      <c r="E754" s="64">
        <f>89.177</f>
        <v>89.177000000000007</v>
      </c>
      <c r="F754" s="56">
        <f>240.302-40-60-100</f>
        <v>40.301999999999992</v>
      </c>
      <c r="G754" s="59">
        <v>40</v>
      </c>
      <c r="H754" s="56">
        <f>60+100</f>
        <v>160</v>
      </c>
      <c r="I754" s="56">
        <f t="shared" si="124"/>
        <v>0</v>
      </c>
      <c r="J754" s="59">
        <v>100</v>
      </c>
      <c r="K754" s="59">
        <v>300</v>
      </c>
      <c r="L754" s="56">
        <f t="shared" si="118"/>
        <v>1150</v>
      </c>
      <c r="M754" s="66">
        <v>600</v>
      </c>
      <c r="N754" s="56">
        <f>100</f>
        <v>100</v>
      </c>
      <c r="O754" s="59">
        <v>240</v>
      </c>
      <c r="P754" s="59">
        <v>40</v>
      </c>
      <c r="Q754" s="59">
        <f t="shared" si="119"/>
        <v>315</v>
      </c>
      <c r="R754" s="59">
        <f t="shared" si="120"/>
        <v>100</v>
      </c>
      <c r="S754" s="56">
        <f t="shared" si="121"/>
        <v>695</v>
      </c>
      <c r="T754" s="56">
        <f>50</f>
        <v>50</v>
      </c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</row>
    <row r="755" spans="1:30" ht="15.75" x14ac:dyDescent="0.25">
      <c r="A755" s="13">
        <v>64284</v>
      </c>
      <c r="B755" s="67">
        <f t="shared" si="117"/>
        <v>31</v>
      </c>
      <c r="C755" s="56">
        <f>122.58</f>
        <v>122.58</v>
      </c>
      <c r="D755" s="56">
        <f>297.941</f>
        <v>297.94099999999997</v>
      </c>
      <c r="E755" s="64">
        <f>89.177</f>
        <v>89.177000000000007</v>
      </c>
      <c r="F755" s="56">
        <f>240.302-40-60-100</f>
        <v>40.301999999999992</v>
      </c>
      <c r="G755" s="59">
        <v>40</v>
      </c>
      <c r="H755" s="56">
        <f>60+100</f>
        <v>160</v>
      </c>
      <c r="I755" s="56">
        <f t="shared" si="124"/>
        <v>0</v>
      </c>
      <c r="J755" s="59">
        <v>100</v>
      </c>
      <c r="K755" s="59">
        <v>300</v>
      </c>
      <c r="L755" s="56">
        <f t="shared" si="118"/>
        <v>1150</v>
      </c>
      <c r="M755" s="66">
        <v>600</v>
      </c>
      <c r="N755" s="56">
        <f>100</f>
        <v>100</v>
      </c>
      <c r="O755" s="59">
        <v>240</v>
      </c>
      <c r="P755" s="59">
        <v>40</v>
      </c>
      <c r="Q755" s="59">
        <f t="shared" si="119"/>
        <v>315</v>
      </c>
      <c r="R755" s="59">
        <f t="shared" si="120"/>
        <v>100</v>
      </c>
      <c r="S755" s="56">
        <f t="shared" si="121"/>
        <v>695</v>
      </c>
      <c r="T755" s="56">
        <f>50</f>
        <v>50</v>
      </c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</row>
    <row r="756" spans="1:30" ht="15.75" x14ac:dyDescent="0.25">
      <c r="A756" s="13">
        <v>64315</v>
      </c>
      <c r="B756" s="67">
        <f t="shared" si="117"/>
        <v>31</v>
      </c>
      <c r="C756" s="56">
        <f>122.58</f>
        <v>122.58</v>
      </c>
      <c r="D756" s="56">
        <f>297.941</f>
        <v>297.94099999999997</v>
      </c>
      <c r="E756" s="64">
        <f>89.177</f>
        <v>89.177000000000007</v>
      </c>
      <c r="F756" s="56">
        <f>240.302-40-60-100</f>
        <v>40.301999999999992</v>
      </c>
      <c r="G756" s="59">
        <v>40</v>
      </c>
      <c r="H756" s="56">
        <f>60+100</f>
        <v>160</v>
      </c>
      <c r="I756" s="56">
        <f t="shared" si="124"/>
        <v>0</v>
      </c>
      <c r="J756" s="59">
        <v>100</v>
      </c>
      <c r="K756" s="59">
        <v>300</v>
      </c>
      <c r="L756" s="56">
        <f t="shared" si="118"/>
        <v>1150</v>
      </c>
      <c r="M756" s="66">
        <v>600</v>
      </c>
      <c r="N756" s="56">
        <f>100</f>
        <v>100</v>
      </c>
      <c r="O756" s="59">
        <v>240</v>
      </c>
      <c r="P756" s="59">
        <v>40</v>
      </c>
      <c r="Q756" s="59">
        <f t="shared" si="119"/>
        <v>315</v>
      </c>
      <c r="R756" s="59">
        <f t="shared" si="120"/>
        <v>100</v>
      </c>
      <c r="S756" s="56">
        <f t="shared" si="121"/>
        <v>695</v>
      </c>
      <c r="T756" s="56">
        <f>50</f>
        <v>50</v>
      </c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</row>
    <row r="757" spans="1:30" ht="15.75" x14ac:dyDescent="0.25">
      <c r="A757" s="13">
        <v>64344</v>
      </c>
      <c r="B757" s="67">
        <f t="shared" si="117"/>
        <v>29</v>
      </c>
      <c r="C757" s="56">
        <f>122.58</f>
        <v>122.58</v>
      </c>
      <c r="D757" s="56">
        <f>297.941</f>
        <v>297.94099999999997</v>
      </c>
      <c r="E757" s="64">
        <f>89.177</f>
        <v>89.177000000000007</v>
      </c>
      <c r="F757" s="56">
        <f>240.302-40-60-100</f>
        <v>40.301999999999992</v>
      </c>
      <c r="G757" s="59">
        <v>40</v>
      </c>
      <c r="H757" s="56">
        <f>60+100</f>
        <v>160</v>
      </c>
      <c r="I757" s="56">
        <f t="shared" si="124"/>
        <v>0</v>
      </c>
      <c r="J757" s="59">
        <v>100</v>
      </c>
      <c r="K757" s="59">
        <v>300</v>
      </c>
      <c r="L757" s="56">
        <f t="shared" si="118"/>
        <v>1150</v>
      </c>
      <c r="M757" s="66">
        <v>600</v>
      </c>
      <c r="N757" s="56">
        <f>100</f>
        <v>100</v>
      </c>
      <c r="O757" s="59">
        <v>240</v>
      </c>
      <c r="P757" s="59">
        <v>40</v>
      </c>
      <c r="Q757" s="59">
        <f t="shared" si="119"/>
        <v>315</v>
      </c>
      <c r="R757" s="59">
        <f t="shared" si="120"/>
        <v>100</v>
      </c>
      <c r="S757" s="56">
        <f t="shared" si="121"/>
        <v>695</v>
      </c>
      <c r="T757" s="56">
        <f>50</f>
        <v>50</v>
      </c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</row>
    <row r="758" spans="1:30" ht="15.75" x14ac:dyDescent="0.25">
      <c r="A758" s="13">
        <v>64375</v>
      </c>
      <c r="B758" s="67">
        <f t="shared" si="117"/>
        <v>31</v>
      </c>
      <c r="C758" s="56">
        <f>122.58</f>
        <v>122.58</v>
      </c>
      <c r="D758" s="56">
        <f>297.941</f>
        <v>297.94099999999997</v>
      </c>
      <c r="E758" s="64">
        <f>89.177</f>
        <v>89.177000000000007</v>
      </c>
      <c r="F758" s="56">
        <f>240.302-40-60-100</f>
        <v>40.301999999999992</v>
      </c>
      <c r="G758" s="59">
        <v>40</v>
      </c>
      <c r="H758" s="56">
        <f>60+100</f>
        <v>160</v>
      </c>
      <c r="I758" s="56">
        <f t="shared" si="124"/>
        <v>0</v>
      </c>
      <c r="J758" s="59">
        <v>100</v>
      </c>
      <c r="K758" s="59">
        <v>300</v>
      </c>
      <c r="L758" s="56">
        <f t="shared" si="118"/>
        <v>1150</v>
      </c>
      <c r="M758" s="66">
        <v>600</v>
      </c>
      <c r="N758" s="56">
        <f>100</f>
        <v>100</v>
      </c>
      <c r="O758" s="59">
        <v>240</v>
      </c>
      <c r="P758" s="59">
        <v>40</v>
      </c>
      <c r="Q758" s="59">
        <f t="shared" si="119"/>
        <v>315</v>
      </c>
      <c r="R758" s="59">
        <f t="shared" si="120"/>
        <v>100</v>
      </c>
      <c r="S758" s="56">
        <f t="shared" si="121"/>
        <v>695</v>
      </c>
      <c r="T758" s="56">
        <f>50</f>
        <v>50</v>
      </c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</row>
    <row r="759" spans="1:30" ht="15.75" x14ac:dyDescent="0.25">
      <c r="A759" s="13">
        <v>64405</v>
      </c>
      <c r="B759" s="67">
        <f t="shared" si="117"/>
        <v>30</v>
      </c>
      <c r="C759" s="56">
        <f>141.293</f>
        <v>141.29300000000001</v>
      </c>
      <c r="D759" s="56">
        <f>267.993</f>
        <v>267.99299999999999</v>
      </c>
      <c r="E759" s="64">
        <f>115.016</f>
        <v>115.01600000000001</v>
      </c>
      <c r="F759" s="56">
        <f>314.698-40-25-60-100</f>
        <v>89.697999999999979</v>
      </c>
      <c r="G759" s="59">
        <v>40</v>
      </c>
      <c r="H759" s="56">
        <f t="shared" ref="H759:H765" si="126">25+60+100</f>
        <v>185</v>
      </c>
      <c r="I759" s="56">
        <f t="shared" si="124"/>
        <v>0</v>
      </c>
      <c r="J759" s="59">
        <v>100</v>
      </c>
      <c r="K759" s="59">
        <v>300</v>
      </c>
      <c r="L759" s="56">
        <f t="shared" si="118"/>
        <v>1239</v>
      </c>
      <c r="M759" s="66">
        <v>600</v>
      </c>
      <c r="N759" s="56">
        <f>100</f>
        <v>100</v>
      </c>
      <c r="O759" s="59">
        <v>240</v>
      </c>
      <c r="P759" s="59">
        <v>40</v>
      </c>
      <c r="Q759" s="59">
        <f t="shared" si="119"/>
        <v>315</v>
      </c>
      <c r="R759" s="59">
        <f t="shared" si="120"/>
        <v>100</v>
      </c>
      <c r="S759" s="56">
        <f t="shared" si="121"/>
        <v>695</v>
      </c>
      <c r="T759" s="56">
        <f>50</f>
        <v>50</v>
      </c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</row>
    <row r="760" spans="1:30" ht="15.75" x14ac:dyDescent="0.25">
      <c r="A760" s="13">
        <v>64436</v>
      </c>
      <c r="B760" s="67">
        <f t="shared" si="117"/>
        <v>31</v>
      </c>
      <c r="C760" s="56">
        <f>194.205</f>
        <v>194.20500000000001</v>
      </c>
      <c r="D760" s="56">
        <f>267.466</f>
        <v>267.46600000000001</v>
      </c>
      <c r="E760" s="64">
        <f>133.845</f>
        <v>133.845</v>
      </c>
      <c r="F760" s="56">
        <f>278.484-40-25-60-100</f>
        <v>53.48399999999998</v>
      </c>
      <c r="G760" s="59">
        <v>40</v>
      </c>
      <c r="H760" s="56">
        <f t="shared" si="126"/>
        <v>185</v>
      </c>
      <c r="I760" s="56">
        <f t="shared" si="124"/>
        <v>0</v>
      </c>
      <c r="J760" s="59">
        <v>100</v>
      </c>
      <c r="K760" s="59">
        <v>300</v>
      </c>
      <c r="L760" s="56">
        <f t="shared" si="118"/>
        <v>1274</v>
      </c>
      <c r="M760" s="66">
        <v>600</v>
      </c>
      <c r="N760" s="56">
        <f>75</f>
        <v>75</v>
      </c>
      <c r="O760" s="59">
        <v>240</v>
      </c>
      <c r="P760" s="59">
        <v>40</v>
      </c>
      <c r="Q760" s="59">
        <f t="shared" si="119"/>
        <v>315</v>
      </c>
      <c r="R760" s="59">
        <f t="shared" si="120"/>
        <v>100</v>
      </c>
      <c r="S760" s="56">
        <f t="shared" si="121"/>
        <v>695</v>
      </c>
      <c r="T760" s="56">
        <f>50</f>
        <v>50</v>
      </c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</row>
    <row r="761" spans="1:30" ht="15.75" x14ac:dyDescent="0.25">
      <c r="A761" s="13">
        <v>64466</v>
      </c>
      <c r="B761" s="67">
        <f t="shared" si="117"/>
        <v>30</v>
      </c>
      <c r="C761" s="56">
        <f>194.205</f>
        <v>194.20500000000001</v>
      </c>
      <c r="D761" s="56">
        <f>267.466</f>
        <v>267.46600000000001</v>
      </c>
      <c r="E761" s="64">
        <f>133.845</f>
        <v>133.845</v>
      </c>
      <c r="F761" s="56">
        <f>278.484-40-25-60-100</f>
        <v>53.48399999999998</v>
      </c>
      <c r="G761" s="59">
        <v>40</v>
      </c>
      <c r="H761" s="56">
        <f t="shared" si="126"/>
        <v>185</v>
      </c>
      <c r="I761" s="56">
        <f t="shared" si="124"/>
        <v>0</v>
      </c>
      <c r="J761" s="59">
        <v>100</v>
      </c>
      <c r="K761" s="59">
        <v>300</v>
      </c>
      <c r="L761" s="56">
        <f t="shared" si="118"/>
        <v>1274</v>
      </c>
      <c r="M761" s="66">
        <v>600</v>
      </c>
      <c r="N761" s="56">
        <f>30</f>
        <v>30</v>
      </c>
      <c r="O761" s="59">
        <v>240</v>
      </c>
      <c r="P761" s="59">
        <v>40</v>
      </c>
      <c r="Q761" s="59">
        <f t="shared" si="119"/>
        <v>315</v>
      </c>
      <c r="R761" s="59">
        <f t="shared" si="120"/>
        <v>100</v>
      </c>
      <c r="S761" s="56">
        <f t="shared" si="121"/>
        <v>695</v>
      </c>
      <c r="T761" s="56">
        <f>50</f>
        <v>50</v>
      </c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</row>
    <row r="762" spans="1:30" ht="15.75" x14ac:dyDescent="0.25">
      <c r="A762" s="13">
        <v>64497</v>
      </c>
      <c r="B762" s="67">
        <f t="shared" si="117"/>
        <v>31</v>
      </c>
      <c r="C762" s="56">
        <f>194.205</f>
        <v>194.20500000000001</v>
      </c>
      <c r="D762" s="56">
        <f>267.466</f>
        <v>267.46600000000001</v>
      </c>
      <c r="E762" s="64">
        <f>133.845</f>
        <v>133.845</v>
      </c>
      <c r="F762" s="56">
        <f>278.484-40-25-60-100</f>
        <v>53.48399999999998</v>
      </c>
      <c r="G762" s="59">
        <v>40</v>
      </c>
      <c r="H762" s="56">
        <f t="shared" si="126"/>
        <v>185</v>
      </c>
      <c r="I762" s="56">
        <f t="shared" si="124"/>
        <v>0</v>
      </c>
      <c r="J762" s="59">
        <v>100</v>
      </c>
      <c r="K762" s="59">
        <v>300</v>
      </c>
      <c r="L762" s="56">
        <f t="shared" si="118"/>
        <v>1274</v>
      </c>
      <c r="M762" s="66">
        <v>600</v>
      </c>
      <c r="N762" s="56">
        <f>30</f>
        <v>30</v>
      </c>
      <c r="O762" s="59">
        <v>240</v>
      </c>
      <c r="P762" s="59">
        <v>40</v>
      </c>
      <c r="Q762" s="59">
        <f t="shared" si="119"/>
        <v>315</v>
      </c>
      <c r="R762" s="59">
        <f t="shared" si="120"/>
        <v>100</v>
      </c>
      <c r="S762" s="56">
        <f t="shared" si="121"/>
        <v>695</v>
      </c>
      <c r="T762" s="56">
        <f>0</f>
        <v>0</v>
      </c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</row>
    <row r="763" spans="1:30" ht="15.75" x14ac:dyDescent="0.25">
      <c r="A763" s="13">
        <v>64528</v>
      </c>
      <c r="B763" s="67">
        <f t="shared" si="117"/>
        <v>31</v>
      </c>
      <c r="C763" s="56">
        <f>194.205</f>
        <v>194.20500000000001</v>
      </c>
      <c r="D763" s="56">
        <f>267.466</f>
        <v>267.46600000000001</v>
      </c>
      <c r="E763" s="64">
        <f>133.845</f>
        <v>133.845</v>
      </c>
      <c r="F763" s="56">
        <f>278.484-40-25-60-100</f>
        <v>53.48399999999998</v>
      </c>
      <c r="G763" s="59">
        <v>40</v>
      </c>
      <c r="H763" s="56">
        <f t="shared" si="126"/>
        <v>185</v>
      </c>
      <c r="I763" s="56">
        <f t="shared" si="124"/>
        <v>0</v>
      </c>
      <c r="J763" s="59">
        <v>100</v>
      </c>
      <c r="K763" s="59">
        <v>300</v>
      </c>
      <c r="L763" s="56">
        <f t="shared" si="118"/>
        <v>1274</v>
      </c>
      <c r="M763" s="66">
        <v>600</v>
      </c>
      <c r="N763" s="56">
        <f>30</f>
        <v>30</v>
      </c>
      <c r="O763" s="59">
        <v>240</v>
      </c>
      <c r="P763" s="59">
        <v>40</v>
      </c>
      <c r="Q763" s="59">
        <f t="shared" si="119"/>
        <v>315</v>
      </c>
      <c r="R763" s="59">
        <f t="shared" si="120"/>
        <v>100</v>
      </c>
      <c r="S763" s="56">
        <f t="shared" si="121"/>
        <v>695</v>
      </c>
      <c r="T763" s="56">
        <f>0</f>
        <v>0</v>
      </c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</row>
    <row r="764" spans="1:30" ht="15.75" x14ac:dyDescent="0.25">
      <c r="A764" s="13">
        <v>64558</v>
      </c>
      <c r="B764" s="67">
        <f t="shared" si="117"/>
        <v>30</v>
      </c>
      <c r="C764" s="56">
        <f>194.205</f>
        <v>194.20500000000001</v>
      </c>
      <c r="D764" s="56">
        <f>267.466</f>
        <v>267.46600000000001</v>
      </c>
      <c r="E764" s="64">
        <f>133.845</f>
        <v>133.845</v>
      </c>
      <c r="F764" s="56">
        <f>278.484-40-25-60-100</f>
        <v>53.48399999999998</v>
      </c>
      <c r="G764" s="59">
        <v>40</v>
      </c>
      <c r="H764" s="56">
        <f t="shared" si="126"/>
        <v>185</v>
      </c>
      <c r="I764" s="56">
        <f t="shared" si="124"/>
        <v>0</v>
      </c>
      <c r="J764" s="59">
        <v>100</v>
      </c>
      <c r="K764" s="59">
        <v>300</v>
      </c>
      <c r="L764" s="56">
        <f t="shared" si="118"/>
        <v>1274</v>
      </c>
      <c r="M764" s="66">
        <v>600</v>
      </c>
      <c r="N764" s="56">
        <f>30</f>
        <v>30</v>
      </c>
      <c r="O764" s="59">
        <v>240</v>
      </c>
      <c r="P764" s="59">
        <v>40</v>
      </c>
      <c r="Q764" s="59">
        <f t="shared" si="119"/>
        <v>315</v>
      </c>
      <c r="R764" s="59">
        <f t="shared" si="120"/>
        <v>100</v>
      </c>
      <c r="S764" s="56">
        <f t="shared" si="121"/>
        <v>695</v>
      </c>
      <c r="T764" s="56">
        <f>0</f>
        <v>0</v>
      </c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</row>
    <row r="765" spans="1:30" ht="15.75" x14ac:dyDescent="0.25">
      <c r="A765" s="13">
        <v>64589</v>
      </c>
      <c r="B765" s="67">
        <f t="shared" si="117"/>
        <v>31</v>
      </c>
      <c r="C765" s="56">
        <f>131.881</f>
        <v>131.881</v>
      </c>
      <c r="D765" s="56">
        <f>277.167</f>
        <v>277.16699999999997</v>
      </c>
      <c r="E765" s="64">
        <f>79.08</f>
        <v>79.08</v>
      </c>
      <c r="F765" s="56">
        <f>350.872-40-25-60-100</f>
        <v>125.87200000000001</v>
      </c>
      <c r="G765" s="59">
        <v>40</v>
      </c>
      <c r="H765" s="56">
        <f t="shared" si="126"/>
        <v>185</v>
      </c>
      <c r="I765" s="56">
        <f t="shared" si="124"/>
        <v>0</v>
      </c>
      <c r="J765" s="59">
        <v>100</v>
      </c>
      <c r="K765" s="59">
        <v>300</v>
      </c>
      <c r="L765" s="56">
        <f t="shared" si="118"/>
        <v>1239</v>
      </c>
      <c r="M765" s="66">
        <v>600</v>
      </c>
      <c r="N765" s="56">
        <f>75</f>
        <v>75</v>
      </c>
      <c r="O765" s="59">
        <v>240</v>
      </c>
      <c r="P765" s="59">
        <v>40</v>
      </c>
      <c r="Q765" s="59">
        <f t="shared" si="119"/>
        <v>315</v>
      </c>
      <c r="R765" s="59">
        <f t="shared" si="120"/>
        <v>100</v>
      </c>
      <c r="S765" s="56">
        <f t="shared" si="121"/>
        <v>695</v>
      </c>
      <c r="T765" s="56">
        <f>0</f>
        <v>0</v>
      </c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</row>
    <row r="766" spans="1:30" ht="15.75" x14ac:dyDescent="0.25">
      <c r="A766" s="13">
        <v>64619</v>
      </c>
      <c r="B766" s="67">
        <f t="shared" si="117"/>
        <v>30</v>
      </c>
      <c r="C766" s="56">
        <f>122.58</f>
        <v>122.58</v>
      </c>
      <c r="D766" s="56">
        <f>297.941</f>
        <v>297.94099999999997</v>
      </c>
      <c r="E766" s="64">
        <f>89.177</f>
        <v>89.177000000000007</v>
      </c>
      <c r="F766" s="56">
        <f>240.302-40-60-100</f>
        <v>40.301999999999992</v>
      </c>
      <c r="G766" s="59">
        <v>40</v>
      </c>
      <c r="H766" s="56">
        <f>60+100</f>
        <v>160</v>
      </c>
      <c r="I766" s="56">
        <f t="shared" si="124"/>
        <v>0</v>
      </c>
      <c r="J766" s="59">
        <v>100</v>
      </c>
      <c r="K766" s="59">
        <v>300</v>
      </c>
      <c r="L766" s="56">
        <f t="shared" si="118"/>
        <v>1150</v>
      </c>
      <c r="M766" s="66">
        <v>600</v>
      </c>
      <c r="N766" s="56">
        <f>100</f>
        <v>100</v>
      </c>
      <c r="O766" s="59">
        <v>240</v>
      </c>
      <c r="P766" s="59">
        <v>40</v>
      </c>
      <c r="Q766" s="59">
        <f t="shared" si="119"/>
        <v>315</v>
      </c>
      <c r="R766" s="59">
        <f t="shared" si="120"/>
        <v>100</v>
      </c>
      <c r="S766" s="56">
        <f t="shared" si="121"/>
        <v>695</v>
      </c>
      <c r="T766" s="56">
        <f>50</f>
        <v>50</v>
      </c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</row>
    <row r="767" spans="1:30" ht="15.75" x14ac:dyDescent="0.25">
      <c r="A767" s="13">
        <v>64650</v>
      </c>
      <c r="B767" s="67">
        <f t="shared" si="117"/>
        <v>31</v>
      </c>
      <c r="C767" s="56">
        <f>122.58</f>
        <v>122.58</v>
      </c>
      <c r="D767" s="56">
        <f>297.941</f>
        <v>297.94099999999997</v>
      </c>
      <c r="E767" s="64">
        <f>89.177</f>
        <v>89.177000000000007</v>
      </c>
      <c r="F767" s="56">
        <f>240.302-40-60-100</f>
        <v>40.301999999999992</v>
      </c>
      <c r="G767" s="59">
        <v>40</v>
      </c>
      <c r="H767" s="56">
        <f>60+100</f>
        <v>160</v>
      </c>
      <c r="I767" s="56">
        <f t="shared" si="124"/>
        <v>0</v>
      </c>
      <c r="J767" s="59">
        <v>100</v>
      </c>
      <c r="K767" s="59">
        <v>300</v>
      </c>
      <c r="L767" s="56">
        <f t="shared" si="118"/>
        <v>1150</v>
      </c>
      <c r="M767" s="66">
        <v>600</v>
      </c>
      <c r="N767" s="56">
        <f>100</f>
        <v>100</v>
      </c>
      <c r="O767" s="59">
        <v>240</v>
      </c>
      <c r="P767" s="59">
        <v>40</v>
      </c>
      <c r="Q767" s="59">
        <f t="shared" si="119"/>
        <v>315</v>
      </c>
      <c r="R767" s="59">
        <f t="shared" si="120"/>
        <v>100</v>
      </c>
      <c r="S767" s="56">
        <f t="shared" si="121"/>
        <v>695</v>
      </c>
      <c r="T767" s="56">
        <f>50</f>
        <v>50</v>
      </c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</row>
    <row r="768" spans="1:30" ht="15.75" x14ac:dyDescent="0.25">
      <c r="A768" s="13">
        <v>64681</v>
      </c>
      <c r="B768" s="67">
        <f t="shared" si="117"/>
        <v>31</v>
      </c>
      <c r="C768" s="56">
        <f>122.58</f>
        <v>122.58</v>
      </c>
      <c r="D768" s="56">
        <f>297.941</f>
        <v>297.94099999999997</v>
      </c>
      <c r="E768" s="64">
        <f>89.177</f>
        <v>89.177000000000007</v>
      </c>
      <c r="F768" s="56">
        <f>240.302-40-60-100</f>
        <v>40.301999999999992</v>
      </c>
      <c r="G768" s="59">
        <v>40</v>
      </c>
      <c r="H768" s="56">
        <f>60+100</f>
        <v>160</v>
      </c>
      <c r="I768" s="56">
        <f t="shared" si="124"/>
        <v>0</v>
      </c>
      <c r="J768" s="59">
        <v>100</v>
      </c>
      <c r="K768" s="59">
        <v>300</v>
      </c>
      <c r="L768" s="56">
        <f t="shared" si="118"/>
        <v>1150</v>
      </c>
      <c r="M768" s="66">
        <v>600</v>
      </c>
      <c r="N768" s="56">
        <f>100</f>
        <v>100</v>
      </c>
      <c r="O768" s="59">
        <v>240</v>
      </c>
      <c r="P768" s="59">
        <v>40</v>
      </c>
      <c r="Q768" s="59">
        <f t="shared" si="119"/>
        <v>315</v>
      </c>
      <c r="R768" s="59">
        <f t="shared" si="120"/>
        <v>100</v>
      </c>
      <c r="S768" s="56">
        <f t="shared" si="121"/>
        <v>695</v>
      </c>
      <c r="T768" s="56">
        <f>50</f>
        <v>50</v>
      </c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</row>
    <row r="769" spans="1:30" ht="15.75" x14ac:dyDescent="0.25">
      <c r="A769" s="13">
        <v>64709</v>
      </c>
      <c r="B769" s="67">
        <f t="shared" si="117"/>
        <v>28</v>
      </c>
      <c r="C769" s="56">
        <f>122.58</f>
        <v>122.58</v>
      </c>
      <c r="D769" s="56">
        <f>297.941</f>
        <v>297.94099999999997</v>
      </c>
      <c r="E769" s="64">
        <f>89.177</f>
        <v>89.177000000000007</v>
      </c>
      <c r="F769" s="56">
        <f>240.302-40-60-100</f>
        <v>40.301999999999992</v>
      </c>
      <c r="G769" s="59">
        <v>40</v>
      </c>
      <c r="H769" s="56">
        <f>60+100</f>
        <v>160</v>
      </c>
      <c r="I769" s="56">
        <f t="shared" si="124"/>
        <v>0</v>
      </c>
      <c r="J769" s="59">
        <v>100</v>
      </c>
      <c r="K769" s="59">
        <v>300</v>
      </c>
      <c r="L769" s="56">
        <f t="shared" si="118"/>
        <v>1150</v>
      </c>
      <c r="M769" s="66">
        <v>600</v>
      </c>
      <c r="N769" s="56">
        <f>100</f>
        <v>100</v>
      </c>
      <c r="O769" s="59">
        <v>240</v>
      </c>
      <c r="P769" s="59">
        <v>40</v>
      </c>
      <c r="Q769" s="59">
        <f t="shared" si="119"/>
        <v>315</v>
      </c>
      <c r="R769" s="59">
        <f t="shared" si="120"/>
        <v>100</v>
      </c>
      <c r="S769" s="56">
        <f t="shared" si="121"/>
        <v>695</v>
      </c>
      <c r="T769" s="56">
        <f>50</f>
        <v>50</v>
      </c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</row>
    <row r="770" spans="1:30" ht="15.75" x14ac:dyDescent="0.25">
      <c r="A770" s="13">
        <v>64740</v>
      </c>
      <c r="B770" s="67">
        <f t="shared" si="117"/>
        <v>31</v>
      </c>
      <c r="C770" s="56">
        <f>122.58</f>
        <v>122.58</v>
      </c>
      <c r="D770" s="56">
        <f>297.941</f>
        <v>297.94099999999997</v>
      </c>
      <c r="E770" s="64">
        <f>89.177</f>
        <v>89.177000000000007</v>
      </c>
      <c r="F770" s="56">
        <f>240.302-40-60-100</f>
        <v>40.301999999999992</v>
      </c>
      <c r="G770" s="59">
        <v>40</v>
      </c>
      <c r="H770" s="56">
        <f>60+100</f>
        <v>160</v>
      </c>
      <c r="I770" s="56">
        <f t="shared" si="124"/>
        <v>0</v>
      </c>
      <c r="J770" s="59">
        <v>100</v>
      </c>
      <c r="K770" s="59">
        <v>300</v>
      </c>
      <c r="L770" s="56">
        <f t="shared" si="118"/>
        <v>1150</v>
      </c>
      <c r="M770" s="66">
        <v>600</v>
      </c>
      <c r="N770" s="56">
        <f>100</f>
        <v>100</v>
      </c>
      <c r="O770" s="59">
        <v>240</v>
      </c>
      <c r="P770" s="59">
        <v>40</v>
      </c>
      <c r="Q770" s="59">
        <f t="shared" si="119"/>
        <v>315</v>
      </c>
      <c r="R770" s="59">
        <f t="shared" si="120"/>
        <v>100</v>
      </c>
      <c r="S770" s="56">
        <f t="shared" si="121"/>
        <v>695</v>
      </c>
      <c r="T770" s="56">
        <f>50</f>
        <v>50</v>
      </c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</row>
    <row r="771" spans="1:30" ht="15.75" x14ac:dyDescent="0.25">
      <c r="A771" s="13">
        <v>64770</v>
      </c>
      <c r="B771" s="67">
        <f t="shared" si="117"/>
        <v>30</v>
      </c>
      <c r="C771" s="56">
        <f>141.293</f>
        <v>141.29300000000001</v>
      </c>
      <c r="D771" s="56">
        <f>267.993</f>
        <v>267.99299999999999</v>
      </c>
      <c r="E771" s="64">
        <f>115.016</f>
        <v>115.01600000000001</v>
      </c>
      <c r="F771" s="56">
        <f>314.698-40-25-60-100</f>
        <v>89.697999999999979</v>
      </c>
      <c r="G771" s="59">
        <v>40</v>
      </c>
      <c r="H771" s="56">
        <f t="shared" ref="H771:H777" si="127">25+60+100</f>
        <v>185</v>
      </c>
      <c r="I771" s="56">
        <f t="shared" si="124"/>
        <v>0</v>
      </c>
      <c r="J771" s="59">
        <v>100</v>
      </c>
      <c r="K771" s="59">
        <v>300</v>
      </c>
      <c r="L771" s="56">
        <f t="shared" si="118"/>
        <v>1239</v>
      </c>
      <c r="M771" s="66">
        <v>600</v>
      </c>
      <c r="N771" s="56">
        <f>100</f>
        <v>100</v>
      </c>
      <c r="O771" s="59">
        <v>240</v>
      </c>
      <c r="P771" s="59">
        <v>40</v>
      </c>
      <c r="Q771" s="59">
        <f t="shared" si="119"/>
        <v>315</v>
      </c>
      <c r="R771" s="59">
        <f t="shared" si="120"/>
        <v>100</v>
      </c>
      <c r="S771" s="56">
        <f t="shared" si="121"/>
        <v>695</v>
      </c>
      <c r="T771" s="56">
        <f>50</f>
        <v>50</v>
      </c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</row>
    <row r="772" spans="1:30" ht="15.75" x14ac:dyDescent="0.25">
      <c r="A772" s="13">
        <v>64801</v>
      </c>
      <c r="B772" s="67">
        <f t="shared" si="117"/>
        <v>31</v>
      </c>
      <c r="C772" s="56">
        <f>194.205</f>
        <v>194.20500000000001</v>
      </c>
      <c r="D772" s="56">
        <f>267.466</f>
        <v>267.46600000000001</v>
      </c>
      <c r="E772" s="64">
        <f>133.845</f>
        <v>133.845</v>
      </c>
      <c r="F772" s="56">
        <f>278.484-40-25-60-100</f>
        <v>53.48399999999998</v>
      </c>
      <c r="G772" s="59">
        <v>40</v>
      </c>
      <c r="H772" s="56">
        <f t="shared" si="127"/>
        <v>185</v>
      </c>
      <c r="I772" s="56">
        <f t="shared" si="124"/>
        <v>0</v>
      </c>
      <c r="J772" s="59">
        <v>100</v>
      </c>
      <c r="K772" s="59">
        <v>300</v>
      </c>
      <c r="L772" s="56">
        <f t="shared" si="118"/>
        <v>1274</v>
      </c>
      <c r="M772" s="66">
        <v>600</v>
      </c>
      <c r="N772" s="56">
        <f>75</f>
        <v>75</v>
      </c>
      <c r="O772" s="59">
        <v>240</v>
      </c>
      <c r="P772" s="59">
        <v>40</v>
      </c>
      <c r="Q772" s="59">
        <f t="shared" si="119"/>
        <v>315</v>
      </c>
      <c r="R772" s="59">
        <f t="shared" si="120"/>
        <v>100</v>
      </c>
      <c r="S772" s="56">
        <f t="shared" si="121"/>
        <v>695</v>
      </c>
      <c r="T772" s="56">
        <f>50</f>
        <v>50</v>
      </c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</row>
    <row r="773" spans="1:30" ht="15.75" x14ac:dyDescent="0.25">
      <c r="A773" s="13">
        <v>64831</v>
      </c>
      <c r="B773" s="67">
        <f t="shared" si="117"/>
        <v>30</v>
      </c>
      <c r="C773" s="56">
        <f>194.205</f>
        <v>194.20500000000001</v>
      </c>
      <c r="D773" s="56">
        <f>267.466</f>
        <v>267.46600000000001</v>
      </c>
      <c r="E773" s="64">
        <f>133.845</f>
        <v>133.845</v>
      </c>
      <c r="F773" s="56">
        <f>278.484-40-25-60-100</f>
        <v>53.48399999999998</v>
      </c>
      <c r="G773" s="59">
        <v>40</v>
      </c>
      <c r="H773" s="56">
        <f t="shared" si="127"/>
        <v>185</v>
      </c>
      <c r="I773" s="56">
        <f t="shared" si="124"/>
        <v>0</v>
      </c>
      <c r="J773" s="59">
        <v>100</v>
      </c>
      <c r="K773" s="59">
        <v>300</v>
      </c>
      <c r="L773" s="56">
        <f t="shared" si="118"/>
        <v>1274</v>
      </c>
      <c r="M773" s="66">
        <v>600</v>
      </c>
      <c r="N773" s="56">
        <f>30</f>
        <v>30</v>
      </c>
      <c r="O773" s="59">
        <v>240</v>
      </c>
      <c r="P773" s="59">
        <v>40</v>
      </c>
      <c r="Q773" s="59">
        <f t="shared" si="119"/>
        <v>315</v>
      </c>
      <c r="R773" s="59">
        <f t="shared" si="120"/>
        <v>100</v>
      </c>
      <c r="S773" s="56">
        <f t="shared" si="121"/>
        <v>695</v>
      </c>
      <c r="T773" s="56">
        <f>50</f>
        <v>50</v>
      </c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</row>
    <row r="774" spans="1:30" ht="15.75" x14ac:dyDescent="0.25">
      <c r="A774" s="13">
        <v>64862</v>
      </c>
      <c r="B774" s="67">
        <f t="shared" si="117"/>
        <v>31</v>
      </c>
      <c r="C774" s="56">
        <f>194.205</f>
        <v>194.20500000000001</v>
      </c>
      <c r="D774" s="56">
        <f>267.466</f>
        <v>267.46600000000001</v>
      </c>
      <c r="E774" s="64">
        <f>133.845</f>
        <v>133.845</v>
      </c>
      <c r="F774" s="56">
        <f>278.484-40-25-60-100</f>
        <v>53.48399999999998</v>
      </c>
      <c r="G774" s="59">
        <v>40</v>
      </c>
      <c r="H774" s="56">
        <f t="shared" si="127"/>
        <v>185</v>
      </c>
      <c r="I774" s="56">
        <f t="shared" si="124"/>
        <v>0</v>
      </c>
      <c r="J774" s="59">
        <v>100</v>
      </c>
      <c r="K774" s="59">
        <v>300</v>
      </c>
      <c r="L774" s="56">
        <f t="shared" si="118"/>
        <v>1274</v>
      </c>
      <c r="M774" s="66">
        <v>600</v>
      </c>
      <c r="N774" s="56">
        <f>30</f>
        <v>30</v>
      </c>
      <c r="O774" s="59">
        <v>240</v>
      </c>
      <c r="P774" s="59">
        <v>40</v>
      </c>
      <c r="Q774" s="59">
        <f t="shared" si="119"/>
        <v>315</v>
      </c>
      <c r="R774" s="59">
        <f t="shared" si="120"/>
        <v>100</v>
      </c>
      <c r="S774" s="56">
        <f t="shared" si="121"/>
        <v>695</v>
      </c>
      <c r="T774" s="56">
        <f>0</f>
        <v>0</v>
      </c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</row>
    <row r="775" spans="1:30" ht="15.75" x14ac:dyDescent="0.25">
      <c r="A775" s="13">
        <v>64893</v>
      </c>
      <c r="B775" s="67">
        <f t="shared" si="117"/>
        <v>31</v>
      </c>
      <c r="C775" s="56">
        <f>194.205</f>
        <v>194.20500000000001</v>
      </c>
      <c r="D775" s="56">
        <f>267.466</f>
        <v>267.46600000000001</v>
      </c>
      <c r="E775" s="64">
        <f>133.845</f>
        <v>133.845</v>
      </c>
      <c r="F775" s="56">
        <f>278.484-40-25-60-100</f>
        <v>53.48399999999998</v>
      </c>
      <c r="G775" s="59">
        <v>40</v>
      </c>
      <c r="H775" s="56">
        <f t="shared" si="127"/>
        <v>185</v>
      </c>
      <c r="I775" s="56">
        <f t="shared" si="124"/>
        <v>0</v>
      </c>
      <c r="J775" s="59">
        <v>100</v>
      </c>
      <c r="K775" s="59">
        <v>300</v>
      </c>
      <c r="L775" s="56">
        <f t="shared" si="118"/>
        <v>1274</v>
      </c>
      <c r="M775" s="66">
        <v>600</v>
      </c>
      <c r="N775" s="56">
        <f>30</f>
        <v>30</v>
      </c>
      <c r="O775" s="59">
        <v>240</v>
      </c>
      <c r="P775" s="59">
        <v>40</v>
      </c>
      <c r="Q775" s="59">
        <f t="shared" si="119"/>
        <v>315</v>
      </c>
      <c r="R775" s="59">
        <f t="shared" si="120"/>
        <v>100</v>
      </c>
      <c r="S775" s="56">
        <f t="shared" si="121"/>
        <v>695</v>
      </c>
      <c r="T775" s="56">
        <f>0</f>
        <v>0</v>
      </c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</row>
    <row r="776" spans="1:30" ht="15.75" x14ac:dyDescent="0.25">
      <c r="A776" s="13">
        <v>64923</v>
      </c>
      <c r="B776" s="67">
        <f t="shared" si="117"/>
        <v>30</v>
      </c>
      <c r="C776" s="56">
        <f>194.205</f>
        <v>194.20500000000001</v>
      </c>
      <c r="D776" s="56">
        <f>267.466</f>
        <v>267.46600000000001</v>
      </c>
      <c r="E776" s="64">
        <f>133.845</f>
        <v>133.845</v>
      </c>
      <c r="F776" s="56">
        <f>278.484-40-25-60-100</f>
        <v>53.48399999999998</v>
      </c>
      <c r="G776" s="59">
        <v>40</v>
      </c>
      <c r="H776" s="56">
        <f t="shared" si="127"/>
        <v>185</v>
      </c>
      <c r="I776" s="56">
        <f t="shared" si="124"/>
        <v>0</v>
      </c>
      <c r="J776" s="59">
        <v>100</v>
      </c>
      <c r="K776" s="59">
        <v>300</v>
      </c>
      <c r="L776" s="56">
        <f t="shared" si="118"/>
        <v>1274</v>
      </c>
      <c r="M776" s="66">
        <v>600</v>
      </c>
      <c r="N776" s="56">
        <f>30</f>
        <v>30</v>
      </c>
      <c r="O776" s="59">
        <v>240</v>
      </c>
      <c r="P776" s="59">
        <v>40</v>
      </c>
      <c r="Q776" s="59">
        <f t="shared" si="119"/>
        <v>315</v>
      </c>
      <c r="R776" s="59">
        <f t="shared" si="120"/>
        <v>100</v>
      </c>
      <c r="S776" s="56">
        <f t="shared" si="121"/>
        <v>695</v>
      </c>
      <c r="T776" s="56">
        <f>0</f>
        <v>0</v>
      </c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</row>
    <row r="777" spans="1:30" ht="15.75" x14ac:dyDescent="0.25">
      <c r="A777" s="13">
        <v>64954</v>
      </c>
      <c r="B777" s="67">
        <f t="shared" si="117"/>
        <v>31</v>
      </c>
      <c r="C777" s="56">
        <f>131.881</f>
        <v>131.881</v>
      </c>
      <c r="D777" s="56">
        <f>277.167</f>
        <v>277.16699999999997</v>
      </c>
      <c r="E777" s="64">
        <f>79.08</f>
        <v>79.08</v>
      </c>
      <c r="F777" s="56">
        <f>350.872-40-25-60-100</f>
        <v>125.87200000000001</v>
      </c>
      <c r="G777" s="59">
        <v>40</v>
      </c>
      <c r="H777" s="56">
        <f t="shared" si="127"/>
        <v>185</v>
      </c>
      <c r="I777" s="56">
        <f t="shared" si="124"/>
        <v>0</v>
      </c>
      <c r="J777" s="59">
        <v>100</v>
      </c>
      <c r="K777" s="59">
        <v>300</v>
      </c>
      <c r="L777" s="56">
        <f t="shared" si="118"/>
        <v>1239</v>
      </c>
      <c r="M777" s="66">
        <v>600</v>
      </c>
      <c r="N777" s="56">
        <f>75</f>
        <v>75</v>
      </c>
      <c r="O777" s="59">
        <v>240</v>
      </c>
      <c r="P777" s="59">
        <v>40</v>
      </c>
      <c r="Q777" s="59">
        <f t="shared" si="119"/>
        <v>315</v>
      </c>
      <c r="R777" s="59">
        <f t="shared" si="120"/>
        <v>100</v>
      </c>
      <c r="S777" s="56">
        <f t="shared" si="121"/>
        <v>695</v>
      </c>
      <c r="T777" s="56">
        <f>0</f>
        <v>0</v>
      </c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</row>
    <row r="778" spans="1:30" ht="15.75" x14ac:dyDescent="0.25">
      <c r="A778" s="13">
        <v>64984</v>
      </c>
      <c r="B778" s="67">
        <f t="shared" si="117"/>
        <v>30</v>
      </c>
      <c r="C778" s="56">
        <f>122.58</f>
        <v>122.58</v>
      </c>
      <c r="D778" s="56">
        <f>297.941</f>
        <v>297.94099999999997</v>
      </c>
      <c r="E778" s="64">
        <f>89.177</f>
        <v>89.177000000000007</v>
      </c>
      <c r="F778" s="56">
        <f>240.302-40-60-100</f>
        <v>40.301999999999992</v>
      </c>
      <c r="G778" s="59">
        <v>40</v>
      </c>
      <c r="H778" s="56">
        <f>60+100</f>
        <v>160</v>
      </c>
      <c r="I778" s="56">
        <f t="shared" si="124"/>
        <v>0</v>
      </c>
      <c r="J778" s="59">
        <v>100</v>
      </c>
      <c r="K778" s="59">
        <v>300</v>
      </c>
      <c r="L778" s="56">
        <f t="shared" si="118"/>
        <v>1150</v>
      </c>
      <c r="M778" s="66">
        <v>600</v>
      </c>
      <c r="N778" s="56">
        <f>100</f>
        <v>100</v>
      </c>
      <c r="O778" s="59">
        <v>240</v>
      </c>
      <c r="P778" s="59">
        <v>40</v>
      </c>
      <c r="Q778" s="59">
        <f t="shared" si="119"/>
        <v>315</v>
      </c>
      <c r="R778" s="59">
        <f t="shared" si="120"/>
        <v>100</v>
      </c>
      <c r="S778" s="56">
        <f t="shared" si="121"/>
        <v>695</v>
      </c>
      <c r="T778" s="56">
        <f>50</f>
        <v>50</v>
      </c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</row>
    <row r="779" spans="1:30" ht="15.75" x14ac:dyDescent="0.25">
      <c r="A779" s="13">
        <v>65015</v>
      </c>
      <c r="B779" s="67">
        <f t="shared" si="117"/>
        <v>31</v>
      </c>
      <c r="C779" s="56">
        <f>122.58</f>
        <v>122.58</v>
      </c>
      <c r="D779" s="56">
        <f>297.941</f>
        <v>297.94099999999997</v>
      </c>
      <c r="E779" s="64">
        <f>89.177</f>
        <v>89.177000000000007</v>
      </c>
      <c r="F779" s="56">
        <f>240.302-40-60-100</f>
        <v>40.301999999999992</v>
      </c>
      <c r="G779" s="59">
        <v>40</v>
      </c>
      <c r="H779" s="56">
        <f>60+100</f>
        <v>160</v>
      </c>
      <c r="I779" s="56">
        <f t="shared" si="124"/>
        <v>0</v>
      </c>
      <c r="J779" s="59">
        <v>100</v>
      </c>
      <c r="K779" s="59">
        <v>300</v>
      </c>
      <c r="L779" s="56">
        <f t="shared" si="118"/>
        <v>1150</v>
      </c>
      <c r="M779" s="66">
        <v>600</v>
      </c>
      <c r="N779" s="56">
        <f>100</f>
        <v>100</v>
      </c>
      <c r="O779" s="59">
        <v>240</v>
      </c>
      <c r="P779" s="59">
        <v>40</v>
      </c>
      <c r="Q779" s="59">
        <f t="shared" si="119"/>
        <v>315</v>
      </c>
      <c r="R779" s="59">
        <f t="shared" si="120"/>
        <v>100</v>
      </c>
      <c r="S779" s="56">
        <f t="shared" si="121"/>
        <v>695</v>
      </c>
      <c r="T779" s="56">
        <f>50</f>
        <v>50</v>
      </c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</row>
    <row r="780" spans="1:30" ht="15.75" x14ac:dyDescent="0.25">
      <c r="A780" s="13">
        <v>65046</v>
      </c>
      <c r="B780" s="67">
        <f t="shared" ref="B780:B843" si="128">EOMONTH(A780,0)-EOMONTH(A780,-1)</f>
        <v>31</v>
      </c>
      <c r="C780" s="56">
        <f>122.58</f>
        <v>122.58</v>
      </c>
      <c r="D780" s="56">
        <f>297.941</f>
        <v>297.94099999999997</v>
      </c>
      <c r="E780" s="64">
        <f>89.177</f>
        <v>89.177000000000007</v>
      </c>
      <c r="F780" s="56">
        <f>240.302-40-60-100</f>
        <v>40.301999999999992</v>
      </c>
      <c r="G780" s="59">
        <v>40</v>
      </c>
      <c r="H780" s="56">
        <f>60+100</f>
        <v>160</v>
      </c>
      <c r="I780" s="56">
        <f t="shared" si="124"/>
        <v>0</v>
      </c>
      <c r="J780" s="59">
        <v>100</v>
      </c>
      <c r="K780" s="59">
        <v>300</v>
      </c>
      <c r="L780" s="56">
        <f t="shared" si="118"/>
        <v>1150</v>
      </c>
      <c r="M780" s="66">
        <v>600</v>
      </c>
      <c r="N780" s="56">
        <f>100</f>
        <v>100</v>
      </c>
      <c r="O780" s="59">
        <v>240</v>
      </c>
      <c r="P780" s="59">
        <v>40</v>
      </c>
      <c r="Q780" s="59">
        <f t="shared" si="119"/>
        <v>315</v>
      </c>
      <c r="R780" s="59">
        <f t="shared" si="120"/>
        <v>100</v>
      </c>
      <c r="S780" s="56">
        <f t="shared" si="121"/>
        <v>695</v>
      </c>
      <c r="T780" s="56">
        <f>50</f>
        <v>50</v>
      </c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</row>
    <row r="781" spans="1:30" ht="15.75" x14ac:dyDescent="0.25">
      <c r="A781" s="13">
        <v>65074</v>
      </c>
      <c r="B781" s="67">
        <f t="shared" si="128"/>
        <v>28</v>
      </c>
      <c r="C781" s="56">
        <f>122.58</f>
        <v>122.58</v>
      </c>
      <c r="D781" s="56">
        <f>297.941</f>
        <v>297.94099999999997</v>
      </c>
      <c r="E781" s="64">
        <f>89.177</f>
        <v>89.177000000000007</v>
      </c>
      <c r="F781" s="56">
        <f>240.302-40-60-100</f>
        <v>40.301999999999992</v>
      </c>
      <c r="G781" s="59">
        <v>40</v>
      </c>
      <c r="H781" s="56">
        <f>60+100</f>
        <v>160</v>
      </c>
      <c r="I781" s="56">
        <f t="shared" si="124"/>
        <v>0</v>
      </c>
      <c r="J781" s="59">
        <v>100</v>
      </c>
      <c r="K781" s="59">
        <v>300</v>
      </c>
      <c r="L781" s="56">
        <f t="shared" si="118"/>
        <v>1150</v>
      </c>
      <c r="M781" s="66">
        <v>600</v>
      </c>
      <c r="N781" s="56">
        <f>100</f>
        <v>100</v>
      </c>
      <c r="O781" s="59">
        <v>240</v>
      </c>
      <c r="P781" s="59">
        <v>40</v>
      </c>
      <c r="Q781" s="59">
        <f t="shared" si="119"/>
        <v>315</v>
      </c>
      <c r="R781" s="59">
        <f t="shared" si="120"/>
        <v>100</v>
      </c>
      <c r="S781" s="56">
        <f t="shared" si="121"/>
        <v>695</v>
      </c>
      <c r="T781" s="56">
        <f>50</f>
        <v>50</v>
      </c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</row>
    <row r="782" spans="1:30" ht="15.75" x14ac:dyDescent="0.25">
      <c r="A782" s="13">
        <v>65105</v>
      </c>
      <c r="B782" s="67">
        <f t="shared" si="128"/>
        <v>31</v>
      </c>
      <c r="C782" s="56">
        <f>122.58</f>
        <v>122.58</v>
      </c>
      <c r="D782" s="56">
        <f>297.941</f>
        <v>297.94099999999997</v>
      </c>
      <c r="E782" s="64">
        <f>89.177</f>
        <v>89.177000000000007</v>
      </c>
      <c r="F782" s="56">
        <f>240.302-40-60-100</f>
        <v>40.301999999999992</v>
      </c>
      <c r="G782" s="59">
        <v>40</v>
      </c>
      <c r="H782" s="56">
        <f>60+100</f>
        <v>160</v>
      </c>
      <c r="I782" s="56">
        <f t="shared" si="124"/>
        <v>0</v>
      </c>
      <c r="J782" s="59">
        <v>100</v>
      </c>
      <c r="K782" s="59">
        <v>300</v>
      </c>
      <c r="L782" s="56">
        <f t="shared" si="118"/>
        <v>1150</v>
      </c>
      <c r="M782" s="66">
        <v>600</v>
      </c>
      <c r="N782" s="56">
        <f>100</f>
        <v>100</v>
      </c>
      <c r="O782" s="59">
        <v>240</v>
      </c>
      <c r="P782" s="59">
        <v>40</v>
      </c>
      <c r="Q782" s="59">
        <f t="shared" si="119"/>
        <v>315</v>
      </c>
      <c r="R782" s="59">
        <f t="shared" si="120"/>
        <v>100</v>
      </c>
      <c r="S782" s="56">
        <f t="shared" si="121"/>
        <v>695</v>
      </c>
      <c r="T782" s="56">
        <f>50</f>
        <v>50</v>
      </c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</row>
    <row r="783" spans="1:30" ht="15.75" x14ac:dyDescent="0.25">
      <c r="A783" s="13">
        <v>65135</v>
      </c>
      <c r="B783" s="67">
        <f t="shared" si="128"/>
        <v>30</v>
      </c>
      <c r="C783" s="56">
        <f>141.293</f>
        <v>141.29300000000001</v>
      </c>
      <c r="D783" s="56">
        <f>267.993</f>
        <v>267.99299999999999</v>
      </c>
      <c r="E783" s="64">
        <f>115.016</f>
        <v>115.01600000000001</v>
      </c>
      <c r="F783" s="56">
        <f>314.698-40-25-60-100</f>
        <v>89.697999999999979</v>
      </c>
      <c r="G783" s="59">
        <v>40</v>
      </c>
      <c r="H783" s="56">
        <f t="shared" ref="H783:H789" si="129">25+60+100</f>
        <v>185</v>
      </c>
      <c r="I783" s="56">
        <f t="shared" si="124"/>
        <v>0</v>
      </c>
      <c r="J783" s="59">
        <v>100</v>
      </c>
      <c r="K783" s="59">
        <v>300</v>
      </c>
      <c r="L783" s="56">
        <f t="shared" si="118"/>
        <v>1239</v>
      </c>
      <c r="M783" s="66">
        <v>600</v>
      </c>
      <c r="N783" s="56">
        <f>100</f>
        <v>100</v>
      </c>
      <c r="O783" s="59">
        <v>240</v>
      </c>
      <c r="P783" s="59">
        <v>40</v>
      </c>
      <c r="Q783" s="59">
        <f t="shared" si="119"/>
        <v>315</v>
      </c>
      <c r="R783" s="59">
        <f t="shared" si="120"/>
        <v>100</v>
      </c>
      <c r="S783" s="56">
        <f t="shared" si="121"/>
        <v>695</v>
      </c>
      <c r="T783" s="56">
        <f>50</f>
        <v>50</v>
      </c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</row>
    <row r="784" spans="1:30" ht="15.75" x14ac:dyDescent="0.25">
      <c r="A784" s="13">
        <v>65166</v>
      </c>
      <c r="B784" s="67">
        <f t="shared" si="128"/>
        <v>31</v>
      </c>
      <c r="C784" s="56">
        <f>194.205</f>
        <v>194.20500000000001</v>
      </c>
      <c r="D784" s="56">
        <f>267.466</f>
        <v>267.46600000000001</v>
      </c>
      <c r="E784" s="64">
        <f>133.845</f>
        <v>133.845</v>
      </c>
      <c r="F784" s="56">
        <f>278.484-40-25-60-100</f>
        <v>53.48399999999998</v>
      </c>
      <c r="G784" s="59">
        <v>40</v>
      </c>
      <c r="H784" s="56">
        <f t="shared" si="129"/>
        <v>185</v>
      </c>
      <c r="I784" s="56">
        <f t="shared" si="124"/>
        <v>0</v>
      </c>
      <c r="J784" s="59">
        <v>100</v>
      </c>
      <c r="K784" s="59">
        <v>300</v>
      </c>
      <c r="L784" s="56">
        <f t="shared" ref="L784:L847" si="130">SUM(C784:K784)</f>
        <v>1274</v>
      </c>
      <c r="M784" s="66">
        <v>600</v>
      </c>
      <c r="N784" s="56">
        <f>75</f>
        <v>75</v>
      </c>
      <c r="O784" s="59">
        <v>240</v>
      </c>
      <c r="P784" s="59">
        <v>40</v>
      </c>
      <c r="Q784" s="59">
        <f t="shared" ref="Q784:Q847" si="131">695-R784-O784-P784</f>
        <v>315</v>
      </c>
      <c r="R784" s="59">
        <f t="shared" ref="R784:R847" si="132">200-J784</f>
        <v>100</v>
      </c>
      <c r="S784" s="56">
        <f t="shared" ref="S784:S847" si="133">SUM(O784:R784)</f>
        <v>695</v>
      </c>
      <c r="T784" s="56">
        <f>50</f>
        <v>50</v>
      </c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</row>
    <row r="785" spans="1:30" ht="15.75" x14ac:dyDescent="0.25">
      <c r="A785" s="13">
        <v>65196</v>
      </c>
      <c r="B785" s="67">
        <f t="shared" si="128"/>
        <v>30</v>
      </c>
      <c r="C785" s="56">
        <f>194.205</f>
        <v>194.20500000000001</v>
      </c>
      <c r="D785" s="56">
        <f>267.466</f>
        <v>267.46600000000001</v>
      </c>
      <c r="E785" s="64">
        <f>133.845</f>
        <v>133.845</v>
      </c>
      <c r="F785" s="56">
        <f>278.484-40-25-60-100</f>
        <v>53.48399999999998</v>
      </c>
      <c r="G785" s="59">
        <v>40</v>
      </c>
      <c r="H785" s="56">
        <f t="shared" si="129"/>
        <v>185</v>
      </c>
      <c r="I785" s="56">
        <f t="shared" si="124"/>
        <v>0</v>
      </c>
      <c r="J785" s="59">
        <v>100</v>
      </c>
      <c r="K785" s="59">
        <v>300</v>
      </c>
      <c r="L785" s="56">
        <f t="shared" si="130"/>
        <v>1274</v>
      </c>
      <c r="M785" s="66">
        <v>600</v>
      </c>
      <c r="N785" s="56">
        <f>30</f>
        <v>30</v>
      </c>
      <c r="O785" s="59">
        <v>240</v>
      </c>
      <c r="P785" s="59">
        <v>40</v>
      </c>
      <c r="Q785" s="59">
        <f t="shared" si="131"/>
        <v>315</v>
      </c>
      <c r="R785" s="59">
        <f t="shared" si="132"/>
        <v>100</v>
      </c>
      <c r="S785" s="56">
        <f t="shared" si="133"/>
        <v>695</v>
      </c>
      <c r="T785" s="56">
        <f>50</f>
        <v>50</v>
      </c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</row>
    <row r="786" spans="1:30" ht="15.75" x14ac:dyDescent="0.25">
      <c r="A786" s="13">
        <v>65227</v>
      </c>
      <c r="B786" s="67">
        <f t="shared" si="128"/>
        <v>31</v>
      </c>
      <c r="C786" s="56">
        <f>194.205</f>
        <v>194.20500000000001</v>
      </c>
      <c r="D786" s="56">
        <f>267.466</f>
        <v>267.46600000000001</v>
      </c>
      <c r="E786" s="64">
        <f>133.845</f>
        <v>133.845</v>
      </c>
      <c r="F786" s="56">
        <f>278.484-40-25-60-100</f>
        <v>53.48399999999998</v>
      </c>
      <c r="G786" s="59">
        <v>40</v>
      </c>
      <c r="H786" s="56">
        <f t="shared" si="129"/>
        <v>185</v>
      </c>
      <c r="I786" s="56">
        <f t="shared" si="124"/>
        <v>0</v>
      </c>
      <c r="J786" s="59">
        <v>100</v>
      </c>
      <c r="K786" s="59">
        <v>300</v>
      </c>
      <c r="L786" s="56">
        <f t="shared" si="130"/>
        <v>1274</v>
      </c>
      <c r="M786" s="66">
        <v>600</v>
      </c>
      <c r="N786" s="56">
        <f>30</f>
        <v>30</v>
      </c>
      <c r="O786" s="59">
        <v>240</v>
      </c>
      <c r="P786" s="59">
        <v>40</v>
      </c>
      <c r="Q786" s="59">
        <f t="shared" si="131"/>
        <v>315</v>
      </c>
      <c r="R786" s="59">
        <f t="shared" si="132"/>
        <v>100</v>
      </c>
      <c r="S786" s="56">
        <f t="shared" si="133"/>
        <v>695</v>
      </c>
      <c r="T786" s="56">
        <f>0</f>
        <v>0</v>
      </c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</row>
    <row r="787" spans="1:30" ht="15.75" x14ac:dyDescent="0.25">
      <c r="A787" s="13">
        <v>65258</v>
      </c>
      <c r="B787" s="67">
        <f t="shared" si="128"/>
        <v>31</v>
      </c>
      <c r="C787" s="56">
        <f>194.205</f>
        <v>194.20500000000001</v>
      </c>
      <c r="D787" s="56">
        <f>267.466</f>
        <v>267.46600000000001</v>
      </c>
      <c r="E787" s="64">
        <f>133.845</f>
        <v>133.845</v>
      </c>
      <c r="F787" s="56">
        <f>278.484-40-25-60-100</f>
        <v>53.48399999999998</v>
      </c>
      <c r="G787" s="59">
        <v>40</v>
      </c>
      <c r="H787" s="56">
        <f t="shared" si="129"/>
        <v>185</v>
      </c>
      <c r="I787" s="56">
        <f t="shared" si="124"/>
        <v>0</v>
      </c>
      <c r="J787" s="59">
        <v>100</v>
      </c>
      <c r="K787" s="59">
        <v>300</v>
      </c>
      <c r="L787" s="56">
        <f t="shared" si="130"/>
        <v>1274</v>
      </c>
      <c r="M787" s="66">
        <v>600</v>
      </c>
      <c r="N787" s="56">
        <f>30</f>
        <v>30</v>
      </c>
      <c r="O787" s="59">
        <v>240</v>
      </c>
      <c r="P787" s="59">
        <v>40</v>
      </c>
      <c r="Q787" s="59">
        <f t="shared" si="131"/>
        <v>315</v>
      </c>
      <c r="R787" s="59">
        <f t="shared" si="132"/>
        <v>100</v>
      </c>
      <c r="S787" s="56">
        <f t="shared" si="133"/>
        <v>695</v>
      </c>
      <c r="T787" s="56">
        <f>0</f>
        <v>0</v>
      </c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</row>
    <row r="788" spans="1:30" ht="15.75" x14ac:dyDescent="0.25">
      <c r="A788" s="13">
        <v>65288</v>
      </c>
      <c r="B788" s="67">
        <f t="shared" si="128"/>
        <v>30</v>
      </c>
      <c r="C788" s="56">
        <f>194.205</f>
        <v>194.20500000000001</v>
      </c>
      <c r="D788" s="56">
        <f>267.466</f>
        <v>267.46600000000001</v>
      </c>
      <c r="E788" s="64">
        <f>133.845</f>
        <v>133.845</v>
      </c>
      <c r="F788" s="56">
        <f>278.484-40-25-60-100</f>
        <v>53.48399999999998</v>
      </c>
      <c r="G788" s="59">
        <v>40</v>
      </c>
      <c r="H788" s="56">
        <f t="shared" si="129"/>
        <v>185</v>
      </c>
      <c r="I788" s="56">
        <f t="shared" si="124"/>
        <v>0</v>
      </c>
      <c r="J788" s="59">
        <v>100</v>
      </c>
      <c r="K788" s="59">
        <v>300</v>
      </c>
      <c r="L788" s="56">
        <f t="shared" si="130"/>
        <v>1274</v>
      </c>
      <c r="M788" s="66">
        <v>600</v>
      </c>
      <c r="N788" s="56">
        <f>30</f>
        <v>30</v>
      </c>
      <c r="O788" s="59">
        <v>240</v>
      </c>
      <c r="P788" s="59">
        <v>40</v>
      </c>
      <c r="Q788" s="59">
        <f t="shared" si="131"/>
        <v>315</v>
      </c>
      <c r="R788" s="59">
        <f t="shared" si="132"/>
        <v>100</v>
      </c>
      <c r="S788" s="56">
        <f t="shared" si="133"/>
        <v>695</v>
      </c>
      <c r="T788" s="56">
        <f>0</f>
        <v>0</v>
      </c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</row>
    <row r="789" spans="1:30" ht="15.75" x14ac:dyDescent="0.25">
      <c r="A789" s="13">
        <v>65319</v>
      </c>
      <c r="B789" s="67">
        <f t="shared" si="128"/>
        <v>31</v>
      </c>
      <c r="C789" s="56">
        <f>131.881</f>
        <v>131.881</v>
      </c>
      <c r="D789" s="56">
        <f>277.167</f>
        <v>277.16699999999997</v>
      </c>
      <c r="E789" s="64">
        <f>79.08</f>
        <v>79.08</v>
      </c>
      <c r="F789" s="56">
        <f>350.872-40-25-60-100</f>
        <v>125.87200000000001</v>
      </c>
      <c r="G789" s="59">
        <v>40</v>
      </c>
      <c r="H789" s="56">
        <f t="shared" si="129"/>
        <v>185</v>
      </c>
      <c r="I789" s="56">
        <f t="shared" si="124"/>
        <v>0</v>
      </c>
      <c r="J789" s="59">
        <v>100</v>
      </c>
      <c r="K789" s="59">
        <v>300</v>
      </c>
      <c r="L789" s="56">
        <f t="shared" si="130"/>
        <v>1239</v>
      </c>
      <c r="M789" s="66">
        <v>600</v>
      </c>
      <c r="N789" s="56">
        <f>75</f>
        <v>75</v>
      </c>
      <c r="O789" s="59">
        <v>240</v>
      </c>
      <c r="P789" s="59">
        <v>40</v>
      </c>
      <c r="Q789" s="59">
        <f t="shared" si="131"/>
        <v>315</v>
      </c>
      <c r="R789" s="59">
        <f t="shared" si="132"/>
        <v>100</v>
      </c>
      <c r="S789" s="56">
        <f t="shared" si="133"/>
        <v>695</v>
      </c>
      <c r="T789" s="56">
        <f>0</f>
        <v>0</v>
      </c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</row>
    <row r="790" spans="1:30" ht="15.75" x14ac:dyDescent="0.25">
      <c r="A790" s="13">
        <v>65349</v>
      </c>
      <c r="B790" s="67">
        <f t="shared" si="128"/>
        <v>30</v>
      </c>
      <c r="C790" s="56">
        <f>122.58</f>
        <v>122.58</v>
      </c>
      <c r="D790" s="56">
        <f>297.941</f>
        <v>297.94099999999997</v>
      </c>
      <c r="E790" s="64">
        <f>89.177</f>
        <v>89.177000000000007</v>
      </c>
      <c r="F790" s="56">
        <f>240.302-40-60-100</f>
        <v>40.301999999999992</v>
      </c>
      <c r="G790" s="59">
        <v>40</v>
      </c>
      <c r="H790" s="56">
        <f>60+100</f>
        <v>160</v>
      </c>
      <c r="I790" s="56">
        <f t="shared" si="124"/>
        <v>0</v>
      </c>
      <c r="J790" s="59">
        <v>100</v>
      </c>
      <c r="K790" s="59">
        <v>300</v>
      </c>
      <c r="L790" s="56">
        <f t="shared" si="130"/>
        <v>1150</v>
      </c>
      <c r="M790" s="66">
        <v>600</v>
      </c>
      <c r="N790" s="56">
        <f>100</f>
        <v>100</v>
      </c>
      <c r="O790" s="59">
        <v>240</v>
      </c>
      <c r="P790" s="59">
        <v>40</v>
      </c>
      <c r="Q790" s="59">
        <f t="shared" si="131"/>
        <v>315</v>
      </c>
      <c r="R790" s="59">
        <f t="shared" si="132"/>
        <v>100</v>
      </c>
      <c r="S790" s="56">
        <f t="shared" si="133"/>
        <v>695</v>
      </c>
      <c r="T790" s="56">
        <f>50</f>
        <v>50</v>
      </c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</row>
    <row r="791" spans="1:30" ht="15.75" x14ac:dyDescent="0.25">
      <c r="A791" s="13">
        <v>65380</v>
      </c>
      <c r="B791" s="67">
        <f t="shared" si="128"/>
        <v>31</v>
      </c>
      <c r="C791" s="56">
        <f>122.58</f>
        <v>122.58</v>
      </c>
      <c r="D791" s="56">
        <f>297.941</f>
        <v>297.94099999999997</v>
      </c>
      <c r="E791" s="64">
        <f>89.177</f>
        <v>89.177000000000007</v>
      </c>
      <c r="F791" s="56">
        <f>240.302-40-60-100</f>
        <v>40.301999999999992</v>
      </c>
      <c r="G791" s="59">
        <v>40</v>
      </c>
      <c r="H791" s="56">
        <f>60+100</f>
        <v>160</v>
      </c>
      <c r="I791" s="56">
        <f t="shared" si="124"/>
        <v>0</v>
      </c>
      <c r="J791" s="59">
        <v>100</v>
      </c>
      <c r="K791" s="59">
        <v>300</v>
      </c>
      <c r="L791" s="56">
        <f t="shared" si="130"/>
        <v>1150</v>
      </c>
      <c r="M791" s="66">
        <v>600</v>
      </c>
      <c r="N791" s="56">
        <f>100</f>
        <v>100</v>
      </c>
      <c r="O791" s="59">
        <v>240</v>
      </c>
      <c r="P791" s="59">
        <v>40</v>
      </c>
      <c r="Q791" s="59">
        <f t="shared" si="131"/>
        <v>315</v>
      </c>
      <c r="R791" s="59">
        <f t="shared" si="132"/>
        <v>100</v>
      </c>
      <c r="S791" s="56">
        <f t="shared" si="133"/>
        <v>695</v>
      </c>
      <c r="T791" s="56">
        <f>50</f>
        <v>50</v>
      </c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</row>
    <row r="792" spans="1:30" ht="15.75" x14ac:dyDescent="0.25">
      <c r="A792" s="13">
        <v>65411</v>
      </c>
      <c r="B792" s="67">
        <f t="shared" si="128"/>
        <v>31</v>
      </c>
      <c r="C792" s="56">
        <f>122.58</f>
        <v>122.58</v>
      </c>
      <c r="D792" s="56">
        <f>297.941</f>
        <v>297.94099999999997</v>
      </c>
      <c r="E792" s="64">
        <f>89.177</f>
        <v>89.177000000000007</v>
      </c>
      <c r="F792" s="56">
        <f>240.302-40-60-100</f>
        <v>40.301999999999992</v>
      </c>
      <c r="G792" s="59">
        <v>40</v>
      </c>
      <c r="H792" s="56">
        <f>60+100</f>
        <v>160</v>
      </c>
      <c r="I792" s="56">
        <f t="shared" si="124"/>
        <v>0</v>
      </c>
      <c r="J792" s="59">
        <v>100</v>
      </c>
      <c r="K792" s="59">
        <v>300</v>
      </c>
      <c r="L792" s="56">
        <f t="shared" si="130"/>
        <v>1150</v>
      </c>
      <c r="M792" s="66">
        <v>600</v>
      </c>
      <c r="N792" s="56">
        <f>100</f>
        <v>100</v>
      </c>
      <c r="O792" s="59">
        <v>240</v>
      </c>
      <c r="P792" s="59">
        <v>40</v>
      </c>
      <c r="Q792" s="59">
        <f t="shared" si="131"/>
        <v>315</v>
      </c>
      <c r="R792" s="59">
        <f t="shared" si="132"/>
        <v>100</v>
      </c>
      <c r="S792" s="56">
        <f t="shared" si="133"/>
        <v>695</v>
      </c>
      <c r="T792" s="56">
        <f>50</f>
        <v>50</v>
      </c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</row>
    <row r="793" spans="1:30" ht="15.75" x14ac:dyDescent="0.25">
      <c r="A793" s="13">
        <v>65439</v>
      </c>
      <c r="B793" s="67">
        <f t="shared" si="128"/>
        <v>28</v>
      </c>
      <c r="C793" s="56">
        <f>122.58</f>
        <v>122.58</v>
      </c>
      <c r="D793" s="56">
        <f>297.941</f>
        <v>297.94099999999997</v>
      </c>
      <c r="E793" s="64">
        <f>89.177</f>
        <v>89.177000000000007</v>
      </c>
      <c r="F793" s="56">
        <f>240.302-40-60-100</f>
        <v>40.301999999999992</v>
      </c>
      <c r="G793" s="59">
        <v>40</v>
      </c>
      <c r="H793" s="56">
        <f>60+100</f>
        <v>160</v>
      </c>
      <c r="I793" s="56">
        <f t="shared" si="124"/>
        <v>0</v>
      </c>
      <c r="J793" s="59">
        <v>100</v>
      </c>
      <c r="K793" s="59">
        <v>300</v>
      </c>
      <c r="L793" s="56">
        <f t="shared" si="130"/>
        <v>1150</v>
      </c>
      <c r="M793" s="66">
        <v>600</v>
      </c>
      <c r="N793" s="56">
        <f>100</f>
        <v>100</v>
      </c>
      <c r="O793" s="59">
        <v>240</v>
      </c>
      <c r="P793" s="59">
        <v>40</v>
      </c>
      <c r="Q793" s="59">
        <f t="shared" si="131"/>
        <v>315</v>
      </c>
      <c r="R793" s="59">
        <f t="shared" si="132"/>
        <v>100</v>
      </c>
      <c r="S793" s="56">
        <f t="shared" si="133"/>
        <v>695</v>
      </c>
      <c r="T793" s="56">
        <f>50</f>
        <v>50</v>
      </c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</row>
    <row r="794" spans="1:30" ht="15.75" x14ac:dyDescent="0.25">
      <c r="A794" s="13">
        <v>65470</v>
      </c>
      <c r="B794" s="67">
        <f t="shared" si="128"/>
        <v>31</v>
      </c>
      <c r="C794" s="56">
        <f>122.58</f>
        <v>122.58</v>
      </c>
      <c r="D794" s="56">
        <f>297.941</f>
        <v>297.94099999999997</v>
      </c>
      <c r="E794" s="64">
        <f>89.177</f>
        <v>89.177000000000007</v>
      </c>
      <c r="F794" s="56">
        <f>240.302-40-60-100</f>
        <v>40.301999999999992</v>
      </c>
      <c r="G794" s="59">
        <v>40</v>
      </c>
      <c r="H794" s="56">
        <f>60+100</f>
        <v>160</v>
      </c>
      <c r="I794" s="56">
        <f t="shared" si="124"/>
        <v>0</v>
      </c>
      <c r="J794" s="59">
        <v>100</v>
      </c>
      <c r="K794" s="59">
        <v>300</v>
      </c>
      <c r="L794" s="56">
        <f t="shared" si="130"/>
        <v>1150</v>
      </c>
      <c r="M794" s="66">
        <v>600</v>
      </c>
      <c r="N794" s="56">
        <f>100</f>
        <v>100</v>
      </c>
      <c r="O794" s="59">
        <v>240</v>
      </c>
      <c r="P794" s="59">
        <v>40</v>
      </c>
      <c r="Q794" s="59">
        <f t="shared" si="131"/>
        <v>315</v>
      </c>
      <c r="R794" s="59">
        <f t="shared" si="132"/>
        <v>100</v>
      </c>
      <c r="S794" s="56">
        <f t="shared" si="133"/>
        <v>695</v>
      </c>
      <c r="T794" s="56">
        <f>50</f>
        <v>50</v>
      </c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</row>
    <row r="795" spans="1:30" ht="15.75" x14ac:dyDescent="0.25">
      <c r="A795" s="13">
        <v>65500</v>
      </c>
      <c r="B795" s="67">
        <f t="shared" si="128"/>
        <v>30</v>
      </c>
      <c r="C795" s="56">
        <f>141.293</f>
        <v>141.29300000000001</v>
      </c>
      <c r="D795" s="56">
        <f>267.993</f>
        <v>267.99299999999999</v>
      </c>
      <c r="E795" s="64">
        <f>115.016</f>
        <v>115.01600000000001</v>
      </c>
      <c r="F795" s="56">
        <f>314.698-40-25-60-100</f>
        <v>89.697999999999979</v>
      </c>
      <c r="G795" s="59">
        <v>40</v>
      </c>
      <c r="H795" s="56">
        <f t="shared" ref="H795:H801" si="134">25+60+100</f>
        <v>185</v>
      </c>
      <c r="I795" s="56">
        <f t="shared" si="124"/>
        <v>0</v>
      </c>
      <c r="J795" s="59">
        <v>100</v>
      </c>
      <c r="K795" s="59">
        <v>300</v>
      </c>
      <c r="L795" s="56">
        <f t="shared" si="130"/>
        <v>1239</v>
      </c>
      <c r="M795" s="66">
        <v>600</v>
      </c>
      <c r="N795" s="56">
        <f>100</f>
        <v>100</v>
      </c>
      <c r="O795" s="59">
        <v>240</v>
      </c>
      <c r="P795" s="59">
        <v>40</v>
      </c>
      <c r="Q795" s="59">
        <f t="shared" si="131"/>
        <v>315</v>
      </c>
      <c r="R795" s="59">
        <f t="shared" si="132"/>
        <v>100</v>
      </c>
      <c r="S795" s="56">
        <f t="shared" si="133"/>
        <v>695</v>
      </c>
      <c r="T795" s="56">
        <f>50</f>
        <v>50</v>
      </c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</row>
    <row r="796" spans="1:30" ht="15.75" x14ac:dyDescent="0.25">
      <c r="A796" s="13">
        <v>65531</v>
      </c>
      <c r="B796" s="67">
        <f t="shared" si="128"/>
        <v>31</v>
      </c>
      <c r="C796" s="56">
        <f>194.205</f>
        <v>194.20500000000001</v>
      </c>
      <c r="D796" s="56">
        <f>267.466</f>
        <v>267.46600000000001</v>
      </c>
      <c r="E796" s="64">
        <f>133.845</f>
        <v>133.845</v>
      </c>
      <c r="F796" s="56">
        <f>278.484-40-25-60-100</f>
        <v>53.48399999999998</v>
      </c>
      <c r="G796" s="59">
        <v>40</v>
      </c>
      <c r="H796" s="56">
        <f t="shared" si="134"/>
        <v>185</v>
      </c>
      <c r="I796" s="56">
        <f t="shared" si="124"/>
        <v>0</v>
      </c>
      <c r="J796" s="59">
        <v>100</v>
      </c>
      <c r="K796" s="59">
        <v>300</v>
      </c>
      <c r="L796" s="56">
        <f t="shared" si="130"/>
        <v>1274</v>
      </c>
      <c r="M796" s="66">
        <v>600</v>
      </c>
      <c r="N796" s="56">
        <f>75</f>
        <v>75</v>
      </c>
      <c r="O796" s="59">
        <v>240</v>
      </c>
      <c r="P796" s="59">
        <v>40</v>
      </c>
      <c r="Q796" s="59">
        <f t="shared" si="131"/>
        <v>315</v>
      </c>
      <c r="R796" s="59">
        <f t="shared" si="132"/>
        <v>100</v>
      </c>
      <c r="S796" s="56">
        <f t="shared" si="133"/>
        <v>695</v>
      </c>
      <c r="T796" s="56">
        <f>50</f>
        <v>50</v>
      </c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</row>
    <row r="797" spans="1:30" ht="15.75" x14ac:dyDescent="0.25">
      <c r="A797" s="13">
        <v>65561</v>
      </c>
      <c r="B797" s="67">
        <f t="shared" si="128"/>
        <v>30</v>
      </c>
      <c r="C797" s="56">
        <f>194.205</f>
        <v>194.20500000000001</v>
      </c>
      <c r="D797" s="56">
        <f>267.466</f>
        <v>267.46600000000001</v>
      </c>
      <c r="E797" s="64">
        <f>133.845</f>
        <v>133.845</v>
      </c>
      <c r="F797" s="56">
        <f>278.484-40-25-60-100</f>
        <v>53.48399999999998</v>
      </c>
      <c r="G797" s="59">
        <v>40</v>
      </c>
      <c r="H797" s="56">
        <f t="shared" si="134"/>
        <v>185</v>
      </c>
      <c r="I797" s="56">
        <f t="shared" si="124"/>
        <v>0</v>
      </c>
      <c r="J797" s="59">
        <v>100</v>
      </c>
      <c r="K797" s="59">
        <v>300</v>
      </c>
      <c r="L797" s="56">
        <f t="shared" si="130"/>
        <v>1274</v>
      </c>
      <c r="M797" s="66">
        <v>600</v>
      </c>
      <c r="N797" s="56">
        <f>30</f>
        <v>30</v>
      </c>
      <c r="O797" s="59">
        <v>240</v>
      </c>
      <c r="P797" s="59">
        <v>40</v>
      </c>
      <c r="Q797" s="59">
        <f t="shared" si="131"/>
        <v>315</v>
      </c>
      <c r="R797" s="59">
        <f t="shared" si="132"/>
        <v>100</v>
      </c>
      <c r="S797" s="56">
        <f t="shared" si="133"/>
        <v>695</v>
      </c>
      <c r="T797" s="56">
        <f>50</f>
        <v>50</v>
      </c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</row>
    <row r="798" spans="1:30" ht="15.75" x14ac:dyDescent="0.25">
      <c r="A798" s="13">
        <v>65592</v>
      </c>
      <c r="B798" s="67">
        <f t="shared" si="128"/>
        <v>31</v>
      </c>
      <c r="C798" s="56">
        <f>194.205</f>
        <v>194.20500000000001</v>
      </c>
      <c r="D798" s="56">
        <f>267.466</f>
        <v>267.46600000000001</v>
      </c>
      <c r="E798" s="64">
        <f>133.845</f>
        <v>133.845</v>
      </c>
      <c r="F798" s="56">
        <f>278.484-40-25-60-100</f>
        <v>53.48399999999998</v>
      </c>
      <c r="G798" s="59">
        <v>40</v>
      </c>
      <c r="H798" s="56">
        <f t="shared" si="134"/>
        <v>185</v>
      </c>
      <c r="I798" s="56">
        <f t="shared" si="124"/>
        <v>0</v>
      </c>
      <c r="J798" s="59">
        <v>100</v>
      </c>
      <c r="K798" s="59">
        <v>300</v>
      </c>
      <c r="L798" s="56">
        <f t="shared" si="130"/>
        <v>1274</v>
      </c>
      <c r="M798" s="66">
        <v>600</v>
      </c>
      <c r="N798" s="56">
        <f>30</f>
        <v>30</v>
      </c>
      <c r="O798" s="59">
        <v>240</v>
      </c>
      <c r="P798" s="59">
        <v>40</v>
      </c>
      <c r="Q798" s="59">
        <f t="shared" si="131"/>
        <v>315</v>
      </c>
      <c r="R798" s="59">
        <f t="shared" si="132"/>
        <v>100</v>
      </c>
      <c r="S798" s="56">
        <f t="shared" si="133"/>
        <v>695</v>
      </c>
      <c r="T798" s="56">
        <f>0</f>
        <v>0</v>
      </c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</row>
    <row r="799" spans="1:30" ht="15.75" x14ac:dyDescent="0.25">
      <c r="A799" s="13">
        <v>65623</v>
      </c>
      <c r="B799" s="67">
        <f t="shared" si="128"/>
        <v>31</v>
      </c>
      <c r="C799" s="56">
        <f>194.205</f>
        <v>194.20500000000001</v>
      </c>
      <c r="D799" s="56">
        <f>267.466</f>
        <v>267.46600000000001</v>
      </c>
      <c r="E799" s="64">
        <f>133.845</f>
        <v>133.845</v>
      </c>
      <c r="F799" s="56">
        <f>278.484-40-25-60-100</f>
        <v>53.48399999999998</v>
      </c>
      <c r="G799" s="59">
        <v>40</v>
      </c>
      <c r="H799" s="56">
        <f t="shared" si="134"/>
        <v>185</v>
      </c>
      <c r="I799" s="56">
        <f t="shared" si="124"/>
        <v>0</v>
      </c>
      <c r="J799" s="59">
        <v>100</v>
      </c>
      <c r="K799" s="59">
        <v>300</v>
      </c>
      <c r="L799" s="56">
        <f t="shared" si="130"/>
        <v>1274</v>
      </c>
      <c r="M799" s="66">
        <v>600</v>
      </c>
      <c r="N799" s="56">
        <f>30</f>
        <v>30</v>
      </c>
      <c r="O799" s="59">
        <v>240</v>
      </c>
      <c r="P799" s="59">
        <v>40</v>
      </c>
      <c r="Q799" s="59">
        <f t="shared" si="131"/>
        <v>315</v>
      </c>
      <c r="R799" s="59">
        <f t="shared" si="132"/>
        <v>100</v>
      </c>
      <c r="S799" s="56">
        <f t="shared" si="133"/>
        <v>695</v>
      </c>
      <c r="T799" s="56">
        <f>0</f>
        <v>0</v>
      </c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</row>
    <row r="800" spans="1:30" ht="15.75" x14ac:dyDescent="0.25">
      <c r="A800" s="13">
        <v>65653</v>
      </c>
      <c r="B800" s="67">
        <f t="shared" si="128"/>
        <v>30</v>
      </c>
      <c r="C800" s="56">
        <f>194.205</f>
        <v>194.20500000000001</v>
      </c>
      <c r="D800" s="56">
        <f>267.466</f>
        <v>267.46600000000001</v>
      </c>
      <c r="E800" s="64">
        <f>133.845</f>
        <v>133.845</v>
      </c>
      <c r="F800" s="56">
        <f>278.484-40-25-60-100</f>
        <v>53.48399999999998</v>
      </c>
      <c r="G800" s="59">
        <v>40</v>
      </c>
      <c r="H800" s="56">
        <f t="shared" si="134"/>
        <v>185</v>
      </c>
      <c r="I800" s="56">
        <f t="shared" si="124"/>
        <v>0</v>
      </c>
      <c r="J800" s="59">
        <v>100</v>
      </c>
      <c r="K800" s="59">
        <v>300</v>
      </c>
      <c r="L800" s="56">
        <f t="shared" si="130"/>
        <v>1274</v>
      </c>
      <c r="M800" s="66">
        <v>600</v>
      </c>
      <c r="N800" s="56">
        <f>30</f>
        <v>30</v>
      </c>
      <c r="O800" s="59">
        <v>240</v>
      </c>
      <c r="P800" s="59">
        <v>40</v>
      </c>
      <c r="Q800" s="59">
        <f t="shared" si="131"/>
        <v>315</v>
      </c>
      <c r="R800" s="59">
        <f t="shared" si="132"/>
        <v>100</v>
      </c>
      <c r="S800" s="56">
        <f t="shared" si="133"/>
        <v>695</v>
      </c>
      <c r="T800" s="56">
        <f>0</f>
        <v>0</v>
      </c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</row>
    <row r="801" spans="1:30" ht="15.75" x14ac:dyDescent="0.25">
      <c r="A801" s="13">
        <v>65684</v>
      </c>
      <c r="B801" s="67">
        <f t="shared" si="128"/>
        <v>31</v>
      </c>
      <c r="C801" s="56">
        <f>131.881</f>
        <v>131.881</v>
      </c>
      <c r="D801" s="56">
        <f>277.167</f>
        <v>277.16699999999997</v>
      </c>
      <c r="E801" s="64">
        <f>79.08</f>
        <v>79.08</v>
      </c>
      <c r="F801" s="56">
        <f>350.872-40-25-60-100</f>
        <v>125.87200000000001</v>
      </c>
      <c r="G801" s="59">
        <v>40</v>
      </c>
      <c r="H801" s="56">
        <f t="shared" si="134"/>
        <v>185</v>
      </c>
      <c r="I801" s="56">
        <f t="shared" si="124"/>
        <v>0</v>
      </c>
      <c r="J801" s="59">
        <v>100</v>
      </c>
      <c r="K801" s="59">
        <v>300</v>
      </c>
      <c r="L801" s="56">
        <f t="shared" si="130"/>
        <v>1239</v>
      </c>
      <c r="M801" s="66">
        <v>600</v>
      </c>
      <c r="N801" s="56">
        <f>75</f>
        <v>75</v>
      </c>
      <c r="O801" s="59">
        <v>240</v>
      </c>
      <c r="P801" s="59">
        <v>40</v>
      </c>
      <c r="Q801" s="59">
        <f t="shared" si="131"/>
        <v>315</v>
      </c>
      <c r="R801" s="59">
        <f t="shared" si="132"/>
        <v>100</v>
      </c>
      <c r="S801" s="56">
        <f t="shared" si="133"/>
        <v>695</v>
      </c>
      <c r="T801" s="56">
        <f>0</f>
        <v>0</v>
      </c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</row>
    <row r="802" spans="1:30" ht="15.75" x14ac:dyDescent="0.25">
      <c r="A802" s="13">
        <v>65714</v>
      </c>
      <c r="B802" s="67">
        <f t="shared" si="128"/>
        <v>30</v>
      </c>
      <c r="C802" s="56">
        <f>122.58</f>
        <v>122.58</v>
      </c>
      <c r="D802" s="56">
        <f>297.941</f>
        <v>297.94099999999997</v>
      </c>
      <c r="E802" s="64">
        <f>89.177</f>
        <v>89.177000000000007</v>
      </c>
      <c r="F802" s="56">
        <f>240.302-40-60-100</f>
        <v>40.301999999999992</v>
      </c>
      <c r="G802" s="59">
        <v>40</v>
      </c>
      <c r="H802" s="56">
        <f>60+100</f>
        <v>160</v>
      </c>
      <c r="I802" s="56">
        <f t="shared" si="124"/>
        <v>0</v>
      </c>
      <c r="J802" s="59">
        <v>100</v>
      </c>
      <c r="K802" s="59">
        <v>300</v>
      </c>
      <c r="L802" s="56">
        <f t="shared" si="130"/>
        <v>1150</v>
      </c>
      <c r="M802" s="66">
        <v>600</v>
      </c>
      <c r="N802" s="56">
        <f>100</f>
        <v>100</v>
      </c>
      <c r="O802" s="59">
        <v>240</v>
      </c>
      <c r="P802" s="59">
        <v>40</v>
      </c>
      <c r="Q802" s="59">
        <f t="shared" si="131"/>
        <v>315</v>
      </c>
      <c r="R802" s="59">
        <f t="shared" si="132"/>
        <v>100</v>
      </c>
      <c r="S802" s="56">
        <f t="shared" si="133"/>
        <v>695</v>
      </c>
      <c r="T802" s="56">
        <f>50</f>
        <v>50</v>
      </c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</row>
    <row r="803" spans="1:30" ht="15.75" x14ac:dyDescent="0.25">
      <c r="A803" s="13">
        <v>65745</v>
      </c>
      <c r="B803" s="67">
        <f t="shared" si="128"/>
        <v>31</v>
      </c>
      <c r="C803" s="56">
        <f>122.58</f>
        <v>122.58</v>
      </c>
      <c r="D803" s="56">
        <f>297.941</f>
        <v>297.94099999999997</v>
      </c>
      <c r="E803" s="64">
        <f>89.177</f>
        <v>89.177000000000007</v>
      </c>
      <c r="F803" s="56">
        <f>240.302-40-60-100</f>
        <v>40.301999999999992</v>
      </c>
      <c r="G803" s="59">
        <v>40</v>
      </c>
      <c r="H803" s="56">
        <f>60+100</f>
        <v>160</v>
      </c>
      <c r="I803" s="56">
        <f t="shared" si="124"/>
        <v>0</v>
      </c>
      <c r="J803" s="59">
        <v>100</v>
      </c>
      <c r="K803" s="59">
        <v>300</v>
      </c>
      <c r="L803" s="56">
        <f t="shared" si="130"/>
        <v>1150</v>
      </c>
      <c r="M803" s="66">
        <v>600</v>
      </c>
      <c r="N803" s="56">
        <f>100</f>
        <v>100</v>
      </c>
      <c r="O803" s="59">
        <v>240</v>
      </c>
      <c r="P803" s="59">
        <v>40</v>
      </c>
      <c r="Q803" s="59">
        <f t="shared" si="131"/>
        <v>315</v>
      </c>
      <c r="R803" s="59">
        <f t="shared" si="132"/>
        <v>100</v>
      </c>
      <c r="S803" s="56">
        <f t="shared" si="133"/>
        <v>695</v>
      </c>
      <c r="T803" s="56">
        <f>50</f>
        <v>50</v>
      </c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</row>
    <row r="804" spans="1:30" ht="15.75" x14ac:dyDescent="0.25">
      <c r="A804" s="13">
        <v>65776</v>
      </c>
      <c r="B804" s="67">
        <f t="shared" si="128"/>
        <v>31</v>
      </c>
      <c r="C804" s="56">
        <f>122.58</f>
        <v>122.58</v>
      </c>
      <c r="D804" s="56">
        <f>297.941</f>
        <v>297.94099999999997</v>
      </c>
      <c r="E804" s="64">
        <f>89.177</f>
        <v>89.177000000000007</v>
      </c>
      <c r="F804" s="56">
        <f>240.302-40-60-100</f>
        <v>40.301999999999992</v>
      </c>
      <c r="G804" s="59">
        <v>40</v>
      </c>
      <c r="H804" s="56">
        <f>60+100</f>
        <v>160</v>
      </c>
      <c r="I804" s="56">
        <f t="shared" si="124"/>
        <v>0</v>
      </c>
      <c r="J804" s="59">
        <v>100</v>
      </c>
      <c r="K804" s="59">
        <v>300</v>
      </c>
      <c r="L804" s="56">
        <f t="shared" si="130"/>
        <v>1150</v>
      </c>
      <c r="M804" s="66">
        <v>600</v>
      </c>
      <c r="N804" s="56">
        <f>100</f>
        <v>100</v>
      </c>
      <c r="O804" s="59">
        <v>240</v>
      </c>
      <c r="P804" s="59">
        <v>40</v>
      </c>
      <c r="Q804" s="59">
        <f t="shared" si="131"/>
        <v>315</v>
      </c>
      <c r="R804" s="59">
        <f t="shared" si="132"/>
        <v>100</v>
      </c>
      <c r="S804" s="56">
        <f t="shared" si="133"/>
        <v>695</v>
      </c>
      <c r="T804" s="56">
        <f>50</f>
        <v>50</v>
      </c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</row>
    <row r="805" spans="1:30" ht="15.75" x14ac:dyDescent="0.25">
      <c r="A805" s="13">
        <v>65805</v>
      </c>
      <c r="B805" s="67">
        <f t="shared" si="128"/>
        <v>29</v>
      </c>
      <c r="C805" s="56">
        <f>122.58</f>
        <v>122.58</v>
      </c>
      <c r="D805" s="56">
        <f>297.941</f>
        <v>297.94099999999997</v>
      </c>
      <c r="E805" s="64">
        <f>89.177</f>
        <v>89.177000000000007</v>
      </c>
      <c r="F805" s="56">
        <f>240.302-40-60-100</f>
        <v>40.301999999999992</v>
      </c>
      <c r="G805" s="59">
        <v>40</v>
      </c>
      <c r="H805" s="56">
        <f>60+100</f>
        <v>160</v>
      </c>
      <c r="I805" s="56">
        <f t="shared" si="124"/>
        <v>0</v>
      </c>
      <c r="J805" s="59">
        <v>100</v>
      </c>
      <c r="K805" s="59">
        <v>300</v>
      </c>
      <c r="L805" s="56">
        <f t="shared" si="130"/>
        <v>1150</v>
      </c>
      <c r="M805" s="66">
        <v>600</v>
      </c>
      <c r="N805" s="56">
        <f>100</f>
        <v>100</v>
      </c>
      <c r="O805" s="59">
        <v>240</v>
      </c>
      <c r="P805" s="59">
        <v>40</v>
      </c>
      <c r="Q805" s="59">
        <f t="shared" si="131"/>
        <v>315</v>
      </c>
      <c r="R805" s="59">
        <f t="shared" si="132"/>
        <v>100</v>
      </c>
      <c r="S805" s="56">
        <f t="shared" si="133"/>
        <v>695</v>
      </c>
      <c r="T805" s="56">
        <f>50</f>
        <v>50</v>
      </c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</row>
    <row r="806" spans="1:30" ht="15.75" x14ac:dyDescent="0.25">
      <c r="A806" s="13">
        <v>65836</v>
      </c>
      <c r="B806" s="67">
        <f t="shared" si="128"/>
        <v>31</v>
      </c>
      <c r="C806" s="56">
        <f>122.58</f>
        <v>122.58</v>
      </c>
      <c r="D806" s="56">
        <f>297.941</f>
        <v>297.94099999999997</v>
      </c>
      <c r="E806" s="64">
        <f>89.177</f>
        <v>89.177000000000007</v>
      </c>
      <c r="F806" s="56">
        <f>240.302-40-60-100</f>
        <v>40.301999999999992</v>
      </c>
      <c r="G806" s="59">
        <v>40</v>
      </c>
      <c r="H806" s="56">
        <f>60+100</f>
        <v>160</v>
      </c>
      <c r="I806" s="56">
        <f t="shared" si="124"/>
        <v>0</v>
      </c>
      <c r="J806" s="59">
        <v>100</v>
      </c>
      <c r="K806" s="59">
        <v>300</v>
      </c>
      <c r="L806" s="56">
        <f t="shared" si="130"/>
        <v>1150</v>
      </c>
      <c r="M806" s="66">
        <v>600</v>
      </c>
      <c r="N806" s="56">
        <f>100</f>
        <v>100</v>
      </c>
      <c r="O806" s="59">
        <v>240</v>
      </c>
      <c r="P806" s="59">
        <v>40</v>
      </c>
      <c r="Q806" s="59">
        <f t="shared" si="131"/>
        <v>315</v>
      </c>
      <c r="R806" s="59">
        <f t="shared" si="132"/>
        <v>100</v>
      </c>
      <c r="S806" s="56">
        <f t="shared" si="133"/>
        <v>695</v>
      </c>
      <c r="T806" s="56">
        <f>50</f>
        <v>50</v>
      </c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</row>
    <row r="807" spans="1:30" ht="15.75" x14ac:dyDescent="0.25">
      <c r="A807" s="13">
        <v>65866</v>
      </c>
      <c r="B807" s="67">
        <f t="shared" si="128"/>
        <v>30</v>
      </c>
      <c r="C807" s="56">
        <f>141.293</f>
        <v>141.29300000000001</v>
      </c>
      <c r="D807" s="56">
        <f>267.993</f>
        <v>267.99299999999999</v>
      </c>
      <c r="E807" s="64">
        <f>115.016</f>
        <v>115.01600000000001</v>
      </c>
      <c r="F807" s="56">
        <f>314.698-40-25-60-100</f>
        <v>89.697999999999979</v>
      </c>
      <c r="G807" s="59">
        <v>40</v>
      </c>
      <c r="H807" s="56">
        <f t="shared" ref="H807:H813" si="135">25+60+100</f>
        <v>185</v>
      </c>
      <c r="I807" s="56">
        <f t="shared" si="124"/>
        <v>0</v>
      </c>
      <c r="J807" s="59">
        <v>100</v>
      </c>
      <c r="K807" s="59">
        <v>300</v>
      </c>
      <c r="L807" s="56">
        <f t="shared" si="130"/>
        <v>1239</v>
      </c>
      <c r="M807" s="66">
        <v>600</v>
      </c>
      <c r="N807" s="56">
        <f>100</f>
        <v>100</v>
      </c>
      <c r="O807" s="59">
        <v>240</v>
      </c>
      <c r="P807" s="59">
        <v>40</v>
      </c>
      <c r="Q807" s="59">
        <f t="shared" si="131"/>
        <v>315</v>
      </c>
      <c r="R807" s="59">
        <f t="shared" si="132"/>
        <v>100</v>
      </c>
      <c r="S807" s="56">
        <f t="shared" si="133"/>
        <v>695</v>
      </c>
      <c r="T807" s="56">
        <f>50</f>
        <v>50</v>
      </c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</row>
    <row r="808" spans="1:30" ht="15.75" x14ac:dyDescent="0.25">
      <c r="A808" s="13">
        <v>65897</v>
      </c>
      <c r="B808" s="67">
        <f t="shared" si="128"/>
        <v>31</v>
      </c>
      <c r="C808" s="56">
        <f>194.205</f>
        <v>194.20500000000001</v>
      </c>
      <c r="D808" s="56">
        <f>267.466</f>
        <v>267.46600000000001</v>
      </c>
      <c r="E808" s="64">
        <f>133.845</f>
        <v>133.845</v>
      </c>
      <c r="F808" s="56">
        <f>278.484-40-25-60-100</f>
        <v>53.48399999999998</v>
      </c>
      <c r="G808" s="59">
        <v>40</v>
      </c>
      <c r="H808" s="56">
        <f t="shared" si="135"/>
        <v>185</v>
      </c>
      <c r="I808" s="56">
        <f t="shared" ref="I808:I871" si="136">400-J808-K808</f>
        <v>0</v>
      </c>
      <c r="J808" s="59">
        <v>100</v>
      </c>
      <c r="K808" s="59">
        <v>300</v>
      </c>
      <c r="L808" s="56">
        <f t="shared" si="130"/>
        <v>1274</v>
      </c>
      <c r="M808" s="66">
        <v>600</v>
      </c>
      <c r="N808" s="56">
        <f>75</f>
        <v>75</v>
      </c>
      <c r="O808" s="59">
        <v>240</v>
      </c>
      <c r="P808" s="59">
        <v>40</v>
      </c>
      <c r="Q808" s="59">
        <f t="shared" si="131"/>
        <v>315</v>
      </c>
      <c r="R808" s="59">
        <f t="shared" si="132"/>
        <v>100</v>
      </c>
      <c r="S808" s="56">
        <f t="shared" si="133"/>
        <v>695</v>
      </c>
      <c r="T808" s="56">
        <f>50</f>
        <v>50</v>
      </c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</row>
    <row r="809" spans="1:30" ht="15.75" x14ac:dyDescent="0.25">
      <c r="A809" s="13">
        <v>65927</v>
      </c>
      <c r="B809" s="67">
        <f t="shared" si="128"/>
        <v>30</v>
      </c>
      <c r="C809" s="56">
        <f>194.205</f>
        <v>194.20500000000001</v>
      </c>
      <c r="D809" s="56">
        <f>267.466</f>
        <v>267.46600000000001</v>
      </c>
      <c r="E809" s="64">
        <f>133.845</f>
        <v>133.845</v>
      </c>
      <c r="F809" s="56">
        <f>278.484-40-25-60-100</f>
        <v>53.48399999999998</v>
      </c>
      <c r="G809" s="59">
        <v>40</v>
      </c>
      <c r="H809" s="56">
        <f t="shared" si="135"/>
        <v>185</v>
      </c>
      <c r="I809" s="56">
        <f t="shared" si="136"/>
        <v>0</v>
      </c>
      <c r="J809" s="59">
        <v>100</v>
      </c>
      <c r="K809" s="59">
        <v>300</v>
      </c>
      <c r="L809" s="56">
        <f t="shared" si="130"/>
        <v>1274</v>
      </c>
      <c r="M809" s="66">
        <v>600</v>
      </c>
      <c r="N809" s="56">
        <f>30</f>
        <v>30</v>
      </c>
      <c r="O809" s="59">
        <v>240</v>
      </c>
      <c r="P809" s="59">
        <v>40</v>
      </c>
      <c r="Q809" s="59">
        <f t="shared" si="131"/>
        <v>315</v>
      </c>
      <c r="R809" s="59">
        <f t="shared" si="132"/>
        <v>100</v>
      </c>
      <c r="S809" s="56">
        <f t="shared" si="133"/>
        <v>695</v>
      </c>
      <c r="T809" s="56">
        <f>50</f>
        <v>50</v>
      </c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</row>
    <row r="810" spans="1:30" ht="15.75" x14ac:dyDescent="0.25">
      <c r="A810" s="13">
        <v>65958</v>
      </c>
      <c r="B810" s="67">
        <f t="shared" si="128"/>
        <v>31</v>
      </c>
      <c r="C810" s="56">
        <f>194.205</f>
        <v>194.20500000000001</v>
      </c>
      <c r="D810" s="56">
        <f>267.466</f>
        <v>267.46600000000001</v>
      </c>
      <c r="E810" s="64">
        <f>133.845</f>
        <v>133.845</v>
      </c>
      <c r="F810" s="56">
        <f>278.484-40-25-60-100</f>
        <v>53.48399999999998</v>
      </c>
      <c r="G810" s="59">
        <v>40</v>
      </c>
      <c r="H810" s="56">
        <f t="shared" si="135"/>
        <v>185</v>
      </c>
      <c r="I810" s="56">
        <f t="shared" si="136"/>
        <v>0</v>
      </c>
      <c r="J810" s="59">
        <v>100</v>
      </c>
      <c r="K810" s="59">
        <v>300</v>
      </c>
      <c r="L810" s="56">
        <f t="shared" si="130"/>
        <v>1274</v>
      </c>
      <c r="M810" s="66">
        <v>600</v>
      </c>
      <c r="N810" s="56">
        <f>30</f>
        <v>30</v>
      </c>
      <c r="O810" s="59">
        <v>240</v>
      </c>
      <c r="P810" s="59">
        <v>40</v>
      </c>
      <c r="Q810" s="59">
        <f t="shared" si="131"/>
        <v>315</v>
      </c>
      <c r="R810" s="59">
        <f t="shared" si="132"/>
        <v>100</v>
      </c>
      <c r="S810" s="56">
        <f t="shared" si="133"/>
        <v>695</v>
      </c>
      <c r="T810" s="56">
        <f>0</f>
        <v>0</v>
      </c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</row>
    <row r="811" spans="1:30" ht="15.75" x14ac:dyDescent="0.25">
      <c r="A811" s="13">
        <v>65989</v>
      </c>
      <c r="B811" s="67">
        <f t="shared" si="128"/>
        <v>31</v>
      </c>
      <c r="C811" s="56">
        <f>194.205</f>
        <v>194.20500000000001</v>
      </c>
      <c r="D811" s="56">
        <f>267.466</f>
        <v>267.46600000000001</v>
      </c>
      <c r="E811" s="64">
        <f>133.845</f>
        <v>133.845</v>
      </c>
      <c r="F811" s="56">
        <f>278.484-40-25-60-100</f>
        <v>53.48399999999998</v>
      </c>
      <c r="G811" s="59">
        <v>40</v>
      </c>
      <c r="H811" s="56">
        <f t="shared" si="135"/>
        <v>185</v>
      </c>
      <c r="I811" s="56">
        <f t="shared" si="136"/>
        <v>0</v>
      </c>
      <c r="J811" s="59">
        <v>100</v>
      </c>
      <c r="K811" s="59">
        <v>300</v>
      </c>
      <c r="L811" s="56">
        <f t="shared" si="130"/>
        <v>1274</v>
      </c>
      <c r="M811" s="66">
        <v>600</v>
      </c>
      <c r="N811" s="56">
        <f>30</f>
        <v>30</v>
      </c>
      <c r="O811" s="59">
        <v>240</v>
      </c>
      <c r="P811" s="59">
        <v>40</v>
      </c>
      <c r="Q811" s="59">
        <f t="shared" si="131"/>
        <v>315</v>
      </c>
      <c r="R811" s="59">
        <f t="shared" si="132"/>
        <v>100</v>
      </c>
      <c r="S811" s="56">
        <f t="shared" si="133"/>
        <v>695</v>
      </c>
      <c r="T811" s="56">
        <f>0</f>
        <v>0</v>
      </c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</row>
    <row r="812" spans="1:30" ht="15.75" x14ac:dyDescent="0.25">
      <c r="A812" s="13">
        <v>66019</v>
      </c>
      <c r="B812" s="67">
        <f t="shared" si="128"/>
        <v>30</v>
      </c>
      <c r="C812" s="56">
        <f>194.205</f>
        <v>194.20500000000001</v>
      </c>
      <c r="D812" s="56">
        <f>267.466</f>
        <v>267.46600000000001</v>
      </c>
      <c r="E812" s="64">
        <f>133.845</f>
        <v>133.845</v>
      </c>
      <c r="F812" s="56">
        <f>278.484-40-25-60-100</f>
        <v>53.48399999999998</v>
      </c>
      <c r="G812" s="59">
        <v>40</v>
      </c>
      <c r="H812" s="56">
        <f t="shared" si="135"/>
        <v>185</v>
      </c>
      <c r="I812" s="56">
        <f t="shared" si="136"/>
        <v>0</v>
      </c>
      <c r="J812" s="59">
        <v>100</v>
      </c>
      <c r="K812" s="59">
        <v>300</v>
      </c>
      <c r="L812" s="56">
        <f t="shared" si="130"/>
        <v>1274</v>
      </c>
      <c r="M812" s="66">
        <v>600</v>
      </c>
      <c r="N812" s="56">
        <f>30</f>
        <v>30</v>
      </c>
      <c r="O812" s="59">
        <v>240</v>
      </c>
      <c r="P812" s="59">
        <v>40</v>
      </c>
      <c r="Q812" s="59">
        <f t="shared" si="131"/>
        <v>315</v>
      </c>
      <c r="R812" s="59">
        <f t="shared" si="132"/>
        <v>100</v>
      </c>
      <c r="S812" s="56">
        <f t="shared" si="133"/>
        <v>695</v>
      </c>
      <c r="T812" s="56">
        <f>0</f>
        <v>0</v>
      </c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</row>
    <row r="813" spans="1:30" ht="15.75" x14ac:dyDescent="0.25">
      <c r="A813" s="13">
        <v>66050</v>
      </c>
      <c r="B813" s="67">
        <f t="shared" si="128"/>
        <v>31</v>
      </c>
      <c r="C813" s="56">
        <f>131.881</f>
        <v>131.881</v>
      </c>
      <c r="D813" s="56">
        <f>277.167</f>
        <v>277.16699999999997</v>
      </c>
      <c r="E813" s="64">
        <f>79.08</f>
        <v>79.08</v>
      </c>
      <c r="F813" s="56">
        <f>350.872-40-25-60-100</f>
        <v>125.87200000000001</v>
      </c>
      <c r="G813" s="59">
        <v>40</v>
      </c>
      <c r="H813" s="56">
        <f t="shared" si="135"/>
        <v>185</v>
      </c>
      <c r="I813" s="56">
        <f t="shared" si="136"/>
        <v>0</v>
      </c>
      <c r="J813" s="59">
        <v>100</v>
      </c>
      <c r="K813" s="59">
        <v>300</v>
      </c>
      <c r="L813" s="56">
        <f t="shared" si="130"/>
        <v>1239</v>
      </c>
      <c r="M813" s="66">
        <v>600</v>
      </c>
      <c r="N813" s="56">
        <f>75</f>
        <v>75</v>
      </c>
      <c r="O813" s="59">
        <v>240</v>
      </c>
      <c r="P813" s="59">
        <v>40</v>
      </c>
      <c r="Q813" s="59">
        <f t="shared" si="131"/>
        <v>315</v>
      </c>
      <c r="R813" s="59">
        <f t="shared" si="132"/>
        <v>100</v>
      </c>
      <c r="S813" s="56">
        <f t="shared" si="133"/>
        <v>695</v>
      </c>
      <c r="T813" s="56">
        <f>0</f>
        <v>0</v>
      </c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</row>
    <row r="814" spans="1:30" ht="15.75" x14ac:dyDescent="0.25">
      <c r="A814" s="13">
        <v>66080</v>
      </c>
      <c r="B814" s="67">
        <f t="shared" si="128"/>
        <v>30</v>
      </c>
      <c r="C814" s="56">
        <f>122.58</f>
        <v>122.58</v>
      </c>
      <c r="D814" s="56">
        <f>297.941</f>
        <v>297.94099999999997</v>
      </c>
      <c r="E814" s="64">
        <f>89.177</f>
        <v>89.177000000000007</v>
      </c>
      <c r="F814" s="56">
        <f>240.302-40-60-100</f>
        <v>40.301999999999992</v>
      </c>
      <c r="G814" s="59">
        <v>40</v>
      </c>
      <c r="H814" s="56">
        <f>60+100</f>
        <v>160</v>
      </c>
      <c r="I814" s="56">
        <f t="shared" si="136"/>
        <v>0</v>
      </c>
      <c r="J814" s="59">
        <v>100</v>
      </c>
      <c r="K814" s="59">
        <v>300</v>
      </c>
      <c r="L814" s="56">
        <f t="shared" si="130"/>
        <v>1150</v>
      </c>
      <c r="M814" s="66">
        <v>600</v>
      </c>
      <c r="N814" s="56">
        <f>100</f>
        <v>100</v>
      </c>
      <c r="O814" s="59">
        <v>240</v>
      </c>
      <c r="P814" s="59">
        <v>40</v>
      </c>
      <c r="Q814" s="59">
        <f t="shared" si="131"/>
        <v>315</v>
      </c>
      <c r="R814" s="59">
        <f t="shared" si="132"/>
        <v>100</v>
      </c>
      <c r="S814" s="56">
        <f t="shared" si="133"/>
        <v>695</v>
      </c>
      <c r="T814" s="56">
        <f>50</f>
        <v>50</v>
      </c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</row>
    <row r="815" spans="1:30" ht="15.75" x14ac:dyDescent="0.25">
      <c r="A815" s="13">
        <v>66111</v>
      </c>
      <c r="B815" s="67">
        <f t="shared" si="128"/>
        <v>31</v>
      </c>
      <c r="C815" s="56">
        <f>122.58</f>
        <v>122.58</v>
      </c>
      <c r="D815" s="56">
        <f>297.941</f>
        <v>297.94099999999997</v>
      </c>
      <c r="E815" s="64">
        <f>89.177</f>
        <v>89.177000000000007</v>
      </c>
      <c r="F815" s="56">
        <f>240.302-40-60-100</f>
        <v>40.301999999999992</v>
      </c>
      <c r="G815" s="59">
        <v>40</v>
      </c>
      <c r="H815" s="56">
        <f>60+100</f>
        <v>160</v>
      </c>
      <c r="I815" s="56">
        <f t="shared" si="136"/>
        <v>0</v>
      </c>
      <c r="J815" s="59">
        <v>100</v>
      </c>
      <c r="K815" s="59">
        <v>300</v>
      </c>
      <c r="L815" s="56">
        <f t="shared" si="130"/>
        <v>1150</v>
      </c>
      <c r="M815" s="66">
        <v>600</v>
      </c>
      <c r="N815" s="56">
        <f>100</f>
        <v>100</v>
      </c>
      <c r="O815" s="59">
        <v>240</v>
      </c>
      <c r="P815" s="59">
        <v>40</v>
      </c>
      <c r="Q815" s="59">
        <f t="shared" si="131"/>
        <v>315</v>
      </c>
      <c r="R815" s="59">
        <f t="shared" si="132"/>
        <v>100</v>
      </c>
      <c r="S815" s="56">
        <f t="shared" si="133"/>
        <v>695</v>
      </c>
      <c r="T815" s="56">
        <f>50</f>
        <v>50</v>
      </c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</row>
    <row r="816" spans="1:30" ht="15.75" x14ac:dyDescent="0.25">
      <c r="A816" s="13">
        <v>66142</v>
      </c>
      <c r="B816" s="67">
        <f t="shared" si="128"/>
        <v>31</v>
      </c>
      <c r="C816" s="56">
        <f>122.58</f>
        <v>122.58</v>
      </c>
      <c r="D816" s="56">
        <f>297.941</f>
        <v>297.94099999999997</v>
      </c>
      <c r="E816" s="64">
        <f>89.177</f>
        <v>89.177000000000007</v>
      </c>
      <c r="F816" s="56">
        <f>240.302-40-60-100</f>
        <v>40.301999999999992</v>
      </c>
      <c r="G816" s="59">
        <v>40</v>
      </c>
      <c r="H816" s="56">
        <f>60+100</f>
        <v>160</v>
      </c>
      <c r="I816" s="56">
        <f t="shared" si="136"/>
        <v>0</v>
      </c>
      <c r="J816" s="59">
        <v>100</v>
      </c>
      <c r="K816" s="59">
        <v>300</v>
      </c>
      <c r="L816" s="56">
        <f t="shared" si="130"/>
        <v>1150</v>
      </c>
      <c r="M816" s="66">
        <v>600</v>
      </c>
      <c r="N816" s="56">
        <f>100</f>
        <v>100</v>
      </c>
      <c r="O816" s="59">
        <v>240</v>
      </c>
      <c r="P816" s="59">
        <v>40</v>
      </c>
      <c r="Q816" s="59">
        <f t="shared" si="131"/>
        <v>315</v>
      </c>
      <c r="R816" s="59">
        <f t="shared" si="132"/>
        <v>100</v>
      </c>
      <c r="S816" s="56">
        <f t="shared" si="133"/>
        <v>695</v>
      </c>
      <c r="T816" s="56">
        <f>50</f>
        <v>50</v>
      </c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</row>
    <row r="817" spans="1:30" ht="15.75" x14ac:dyDescent="0.25">
      <c r="A817" s="13">
        <v>66170</v>
      </c>
      <c r="B817" s="67">
        <f t="shared" si="128"/>
        <v>28</v>
      </c>
      <c r="C817" s="56">
        <f>122.58</f>
        <v>122.58</v>
      </c>
      <c r="D817" s="56">
        <f>297.941</f>
        <v>297.94099999999997</v>
      </c>
      <c r="E817" s="64">
        <f>89.177</f>
        <v>89.177000000000007</v>
      </c>
      <c r="F817" s="56">
        <f>240.302-40-60-100</f>
        <v>40.301999999999992</v>
      </c>
      <c r="G817" s="59">
        <v>40</v>
      </c>
      <c r="H817" s="56">
        <f>60+100</f>
        <v>160</v>
      </c>
      <c r="I817" s="56">
        <f t="shared" si="136"/>
        <v>0</v>
      </c>
      <c r="J817" s="59">
        <v>100</v>
      </c>
      <c r="K817" s="59">
        <v>300</v>
      </c>
      <c r="L817" s="56">
        <f t="shared" si="130"/>
        <v>1150</v>
      </c>
      <c r="M817" s="66">
        <v>600</v>
      </c>
      <c r="N817" s="56">
        <f>100</f>
        <v>100</v>
      </c>
      <c r="O817" s="59">
        <v>240</v>
      </c>
      <c r="P817" s="59">
        <v>40</v>
      </c>
      <c r="Q817" s="59">
        <f t="shared" si="131"/>
        <v>315</v>
      </c>
      <c r="R817" s="59">
        <f t="shared" si="132"/>
        <v>100</v>
      </c>
      <c r="S817" s="56">
        <f t="shared" si="133"/>
        <v>695</v>
      </c>
      <c r="T817" s="56">
        <f>50</f>
        <v>50</v>
      </c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</row>
    <row r="818" spans="1:30" ht="15.75" x14ac:dyDescent="0.25">
      <c r="A818" s="13">
        <v>66201</v>
      </c>
      <c r="B818" s="67">
        <f t="shared" si="128"/>
        <v>31</v>
      </c>
      <c r="C818" s="56">
        <f>122.58</f>
        <v>122.58</v>
      </c>
      <c r="D818" s="56">
        <f>297.941</f>
        <v>297.94099999999997</v>
      </c>
      <c r="E818" s="64">
        <f>89.177</f>
        <v>89.177000000000007</v>
      </c>
      <c r="F818" s="56">
        <f>240.302-40-60-100</f>
        <v>40.301999999999992</v>
      </c>
      <c r="G818" s="59">
        <v>40</v>
      </c>
      <c r="H818" s="56">
        <f>60+100</f>
        <v>160</v>
      </c>
      <c r="I818" s="56">
        <f t="shared" si="136"/>
        <v>0</v>
      </c>
      <c r="J818" s="59">
        <v>100</v>
      </c>
      <c r="K818" s="59">
        <v>300</v>
      </c>
      <c r="L818" s="56">
        <f t="shared" si="130"/>
        <v>1150</v>
      </c>
      <c r="M818" s="66">
        <v>600</v>
      </c>
      <c r="N818" s="56">
        <f>100</f>
        <v>100</v>
      </c>
      <c r="O818" s="59">
        <v>240</v>
      </c>
      <c r="P818" s="59">
        <v>40</v>
      </c>
      <c r="Q818" s="59">
        <f t="shared" si="131"/>
        <v>315</v>
      </c>
      <c r="R818" s="59">
        <f t="shared" si="132"/>
        <v>100</v>
      </c>
      <c r="S818" s="56">
        <f t="shared" si="133"/>
        <v>695</v>
      </c>
      <c r="T818" s="56">
        <f>50</f>
        <v>50</v>
      </c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</row>
    <row r="819" spans="1:30" ht="15.75" x14ac:dyDescent="0.25">
      <c r="A819" s="13">
        <v>66231</v>
      </c>
      <c r="B819" s="67">
        <f t="shared" si="128"/>
        <v>30</v>
      </c>
      <c r="C819" s="56">
        <f>141.293</f>
        <v>141.29300000000001</v>
      </c>
      <c r="D819" s="56">
        <f>267.993</f>
        <v>267.99299999999999</v>
      </c>
      <c r="E819" s="64">
        <f>115.016</f>
        <v>115.01600000000001</v>
      </c>
      <c r="F819" s="56">
        <f>314.698-40-25-60-100</f>
        <v>89.697999999999979</v>
      </c>
      <c r="G819" s="59">
        <v>40</v>
      </c>
      <c r="H819" s="56">
        <f t="shared" ref="H819:H825" si="137">25+60+100</f>
        <v>185</v>
      </c>
      <c r="I819" s="56">
        <f t="shared" si="136"/>
        <v>0</v>
      </c>
      <c r="J819" s="59">
        <v>100</v>
      </c>
      <c r="K819" s="59">
        <v>300</v>
      </c>
      <c r="L819" s="56">
        <f t="shared" si="130"/>
        <v>1239</v>
      </c>
      <c r="M819" s="66">
        <v>600</v>
      </c>
      <c r="N819" s="56">
        <f>100</f>
        <v>100</v>
      </c>
      <c r="O819" s="59">
        <v>240</v>
      </c>
      <c r="P819" s="59">
        <v>40</v>
      </c>
      <c r="Q819" s="59">
        <f t="shared" si="131"/>
        <v>315</v>
      </c>
      <c r="R819" s="59">
        <f t="shared" si="132"/>
        <v>100</v>
      </c>
      <c r="S819" s="56">
        <f t="shared" si="133"/>
        <v>695</v>
      </c>
      <c r="T819" s="56">
        <f>50</f>
        <v>50</v>
      </c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</row>
    <row r="820" spans="1:30" ht="15.75" x14ac:dyDescent="0.25">
      <c r="A820" s="13">
        <v>66262</v>
      </c>
      <c r="B820" s="67">
        <f t="shared" si="128"/>
        <v>31</v>
      </c>
      <c r="C820" s="56">
        <f>194.205</f>
        <v>194.20500000000001</v>
      </c>
      <c r="D820" s="56">
        <f>267.466</f>
        <v>267.46600000000001</v>
      </c>
      <c r="E820" s="64">
        <f>133.845</f>
        <v>133.845</v>
      </c>
      <c r="F820" s="56">
        <f>278.484-40-25-60-100</f>
        <v>53.48399999999998</v>
      </c>
      <c r="G820" s="59">
        <v>40</v>
      </c>
      <c r="H820" s="56">
        <f t="shared" si="137"/>
        <v>185</v>
      </c>
      <c r="I820" s="56">
        <f t="shared" si="136"/>
        <v>0</v>
      </c>
      <c r="J820" s="59">
        <v>100</v>
      </c>
      <c r="K820" s="59">
        <v>300</v>
      </c>
      <c r="L820" s="56">
        <f t="shared" si="130"/>
        <v>1274</v>
      </c>
      <c r="M820" s="66">
        <v>600</v>
      </c>
      <c r="N820" s="56">
        <f>75</f>
        <v>75</v>
      </c>
      <c r="O820" s="59">
        <v>240</v>
      </c>
      <c r="P820" s="59">
        <v>40</v>
      </c>
      <c r="Q820" s="59">
        <f t="shared" si="131"/>
        <v>315</v>
      </c>
      <c r="R820" s="59">
        <f t="shared" si="132"/>
        <v>100</v>
      </c>
      <c r="S820" s="56">
        <f t="shared" si="133"/>
        <v>695</v>
      </c>
      <c r="T820" s="56">
        <f>50</f>
        <v>50</v>
      </c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</row>
    <row r="821" spans="1:30" ht="15.75" x14ac:dyDescent="0.25">
      <c r="A821" s="13">
        <v>66292</v>
      </c>
      <c r="B821" s="67">
        <f t="shared" si="128"/>
        <v>30</v>
      </c>
      <c r="C821" s="56">
        <f>194.205</f>
        <v>194.20500000000001</v>
      </c>
      <c r="D821" s="56">
        <f>267.466</f>
        <v>267.46600000000001</v>
      </c>
      <c r="E821" s="64">
        <f>133.845</f>
        <v>133.845</v>
      </c>
      <c r="F821" s="56">
        <f>278.484-40-25-60-100</f>
        <v>53.48399999999998</v>
      </c>
      <c r="G821" s="59">
        <v>40</v>
      </c>
      <c r="H821" s="56">
        <f t="shared" si="137"/>
        <v>185</v>
      </c>
      <c r="I821" s="56">
        <f t="shared" si="136"/>
        <v>0</v>
      </c>
      <c r="J821" s="59">
        <v>100</v>
      </c>
      <c r="K821" s="59">
        <v>300</v>
      </c>
      <c r="L821" s="56">
        <f t="shared" si="130"/>
        <v>1274</v>
      </c>
      <c r="M821" s="66">
        <v>600</v>
      </c>
      <c r="N821" s="56">
        <f>30</f>
        <v>30</v>
      </c>
      <c r="O821" s="59">
        <v>240</v>
      </c>
      <c r="P821" s="59">
        <v>40</v>
      </c>
      <c r="Q821" s="59">
        <f t="shared" si="131"/>
        <v>315</v>
      </c>
      <c r="R821" s="59">
        <f t="shared" si="132"/>
        <v>100</v>
      </c>
      <c r="S821" s="56">
        <f t="shared" si="133"/>
        <v>695</v>
      </c>
      <c r="T821" s="56">
        <f>50</f>
        <v>50</v>
      </c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</row>
    <row r="822" spans="1:30" ht="15.75" x14ac:dyDescent="0.25">
      <c r="A822" s="13">
        <v>66323</v>
      </c>
      <c r="B822" s="67">
        <f t="shared" si="128"/>
        <v>31</v>
      </c>
      <c r="C822" s="56">
        <f>194.205</f>
        <v>194.20500000000001</v>
      </c>
      <c r="D822" s="56">
        <f>267.466</f>
        <v>267.46600000000001</v>
      </c>
      <c r="E822" s="64">
        <f>133.845</f>
        <v>133.845</v>
      </c>
      <c r="F822" s="56">
        <f>278.484-40-25-60-100</f>
        <v>53.48399999999998</v>
      </c>
      <c r="G822" s="59">
        <v>40</v>
      </c>
      <c r="H822" s="56">
        <f t="shared" si="137"/>
        <v>185</v>
      </c>
      <c r="I822" s="56">
        <f t="shared" si="136"/>
        <v>0</v>
      </c>
      <c r="J822" s="59">
        <v>100</v>
      </c>
      <c r="K822" s="59">
        <v>300</v>
      </c>
      <c r="L822" s="56">
        <f t="shared" si="130"/>
        <v>1274</v>
      </c>
      <c r="M822" s="66">
        <v>600</v>
      </c>
      <c r="N822" s="56">
        <f>30</f>
        <v>30</v>
      </c>
      <c r="O822" s="59">
        <v>240</v>
      </c>
      <c r="P822" s="59">
        <v>40</v>
      </c>
      <c r="Q822" s="59">
        <f t="shared" si="131"/>
        <v>315</v>
      </c>
      <c r="R822" s="59">
        <f t="shared" si="132"/>
        <v>100</v>
      </c>
      <c r="S822" s="56">
        <f t="shared" si="133"/>
        <v>695</v>
      </c>
      <c r="T822" s="56">
        <f>0</f>
        <v>0</v>
      </c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</row>
    <row r="823" spans="1:30" ht="15.75" x14ac:dyDescent="0.25">
      <c r="A823" s="13">
        <v>66354</v>
      </c>
      <c r="B823" s="67">
        <f t="shared" si="128"/>
        <v>31</v>
      </c>
      <c r="C823" s="56">
        <f>194.205</f>
        <v>194.20500000000001</v>
      </c>
      <c r="D823" s="56">
        <f>267.466</f>
        <v>267.46600000000001</v>
      </c>
      <c r="E823" s="64">
        <f>133.845</f>
        <v>133.845</v>
      </c>
      <c r="F823" s="56">
        <f>278.484-40-25-60-100</f>
        <v>53.48399999999998</v>
      </c>
      <c r="G823" s="59">
        <v>40</v>
      </c>
      <c r="H823" s="56">
        <f t="shared" si="137"/>
        <v>185</v>
      </c>
      <c r="I823" s="56">
        <f t="shared" si="136"/>
        <v>0</v>
      </c>
      <c r="J823" s="59">
        <v>100</v>
      </c>
      <c r="K823" s="59">
        <v>300</v>
      </c>
      <c r="L823" s="56">
        <f t="shared" si="130"/>
        <v>1274</v>
      </c>
      <c r="M823" s="66">
        <v>600</v>
      </c>
      <c r="N823" s="56">
        <f>30</f>
        <v>30</v>
      </c>
      <c r="O823" s="59">
        <v>240</v>
      </c>
      <c r="P823" s="59">
        <v>40</v>
      </c>
      <c r="Q823" s="59">
        <f t="shared" si="131"/>
        <v>315</v>
      </c>
      <c r="R823" s="59">
        <f t="shared" si="132"/>
        <v>100</v>
      </c>
      <c r="S823" s="56">
        <f t="shared" si="133"/>
        <v>695</v>
      </c>
      <c r="T823" s="56">
        <f>0</f>
        <v>0</v>
      </c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</row>
    <row r="824" spans="1:30" ht="15.75" x14ac:dyDescent="0.25">
      <c r="A824" s="13">
        <v>66384</v>
      </c>
      <c r="B824" s="67">
        <f t="shared" si="128"/>
        <v>30</v>
      </c>
      <c r="C824" s="56">
        <f>194.205</f>
        <v>194.20500000000001</v>
      </c>
      <c r="D824" s="56">
        <f>267.466</f>
        <v>267.46600000000001</v>
      </c>
      <c r="E824" s="64">
        <f>133.845</f>
        <v>133.845</v>
      </c>
      <c r="F824" s="56">
        <f>278.484-40-25-60-100</f>
        <v>53.48399999999998</v>
      </c>
      <c r="G824" s="59">
        <v>40</v>
      </c>
      <c r="H824" s="56">
        <f t="shared" si="137"/>
        <v>185</v>
      </c>
      <c r="I824" s="56">
        <f t="shared" si="136"/>
        <v>0</v>
      </c>
      <c r="J824" s="59">
        <v>100</v>
      </c>
      <c r="K824" s="59">
        <v>300</v>
      </c>
      <c r="L824" s="56">
        <f t="shared" si="130"/>
        <v>1274</v>
      </c>
      <c r="M824" s="66">
        <v>600</v>
      </c>
      <c r="N824" s="56">
        <f>30</f>
        <v>30</v>
      </c>
      <c r="O824" s="59">
        <v>240</v>
      </c>
      <c r="P824" s="59">
        <v>40</v>
      </c>
      <c r="Q824" s="59">
        <f t="shared" si="131"/>
        <v>315</v>
      </c>
      <c r="R824" s="59">
        <f t="shared" si="132"/>
        <v>100</v>
      </c>
      <c r="S824" s="56">
        <f t="shared" si="133"/>
        <v>695</v>
      </c>
      <c r="T824" s="56">
        <f>0</f>
        <v>0</v>
      </c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</row>
    <row r="825" spans="1:30" ht="15.75" x14ac:dyDescent="0.25">
      <c r="A825" s="13">
        <v>66415</v>
      </c>
      <c r="B825" s="67">
        <f t="shared" si="128"/>
        <v>31</v>
      </c>
      <c r="C825" s="56">
        <f>131.881</f>
        <v>131.881</v>
      </c>
      <c r="D825" s="56">
        <f>277.167</f>
        <v>277.16699999999997</v>
      </c>
      <c r="E825" s="64">
        <f>79.08</f>
        <v>79.08</v>
      </c>
      <c r="F825" s="56">
        <f>350.872-40-25-60-100</f>
        <v>125.87200000000001</v>
      </c>
      <c r="G825" s="59">
        <v>40</v>
      </c>
      <c r="H825" s="56">
        <f t="shared" si="137"/>
        <v>185</v>
      </c>
      <c r="I825" s="56">
        <f t="shared" si="136"/>
        <v>0</v>
      </c>
      <c r="J825" s="59">
        <v>100</v>
      </c>
      <c r="K825" s="59">
        <v>300</v>
      </c>
      <c r="L825" s="56">
        <f t="shared" si="130"/>
        <v>1239</v>
      </c>
      <c r="M825" s="66">
        <v>600</v>
      </c>
      <c r="N825" s="56">
        <f>75</f>
        <v>75</v>
      </c>
      <c r="O825" s="59">
        <v>240</v>
      </c>
      <c r="P825" s="59">
        <v>40</v>
      </c>
      <c r="Q825" s="59">
        <f t="shared" si="131"/>
        <v>315</v>
      </c>
      <c r="R825" s="59">
        <f t="shared" si="132"/>
        <v>100</v>
      </c>
      <c r="S825" s="56">
        <f t="shared" si="133"/>
        <v>695</v>
      </c>
      <c r="T825" s="56">
        <f>0</f>
        <v>0</v>
      </c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</row>
    <row r="826" spans="1:30" ht="15.75" x14ac:dyDescent="0.25">
      <c r="A826" s="13">
        <v>66445</v>
      </c>
      <c r="B826" s="67">
        <f t="shared" si="128"/>
        <v>30</v>
      </c>
      <c r="C826" s="56">
        <f>122.58</f>
        <v>122.58</v>
      </c>
      <c r="D826" s="56">
        <f>297.941</f>
        <v>297.94099999999997</v>
      </c>
      <c r="E826" s="64">
        <f>89.177</f>
        <v>89.177000000000007</v>
      </c>
      <c r="F826" s="56">
        <f>240.302-40-60-100</f>
        <v>40.301999999999992</v>
      </c>
      <c r="G826" s="59">
        <v>40</v>
      </c>
      <c r="H826" s="56">
        <f>60+100</f>
        <v>160</v>
      </c>
      <c r="I826" s="56">
        <f t="shared" si="136"/>
        <v>0</v>
      </c>
      <c r="J826" s="59">
        <v>100</v>
      </c>
      <c r="K826" s="59">
        <v>300</v>
      </c>
      <c r="L826" s="56">
        <f t="shared" si="130"/>
        <v>1150</v>
      </c>
      <c r="M826" s="66">
        <v>600</v>
      </c>
      <c r="N826" s="56">
        <f>100</f>
        <v>100</v>
      </c>
      <c r="O826" s="59">
        <v>240</v>
      </c>
      <c r="P826" s="59">
        <v>40</v>
      </c>
      <c r="Q826" s="59">
        <f t="shared" si="131"/>
        <v>315</v>
      </c>
      <c r="R826" s="59">
        <f t="shared" si="132"/>
        <v>100</v>
      </c>
      <c r="S826" s="56">
        <f t="shared" si="133"/>
        <v>695</v>
      </c>
      <c r="T826" s="56">
        <f>50</f>
        <v>50</v>
      </c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</row>
    <row r="827" spans="1:30" ht="15.75" x14ac:dyDescent="0.25">
      <c r="A827" s="13">
        <v>66476</v>
      </c>
      <c r="B827" s="67">
        <f t="shared" si="128"/>
        <v>31</v>
      </c>
      <c r="C827" s="56">
        <f>122.58</f>
        <v>122.58</v>
      </c>
      <c r="D827" s="56">
        <f>297.941</f>
        <v>297.94099999999997</v>
      </c>
      <c r="E827" s="64">
        <f>89.177</f>
        <v>89.177000000000007</v>
      </c>
      <c r="F827" s="56">
        <f>240.302-40-60-100</f>
        <v>40.301999999999992</v>
      </c>
      <c r="G827" s="59">
        <v>40</v>
      </c>
      <c r="H827" s="56">
        <f>60+100</f>
        <v>160</v>
      </c>
      <c r="I827" s="56">
        <f t="shared" si="136"/>
        <v>0</v>
      </c>
      <c r="J827" s="59">
        <v>100</v>
      </c>
      <c r="K827" s="59">
        <v>300</v>
      </c>
      <c r="L827" s="56">
        <f t="shared" si="130"/>
        <v>1150</v>
      </c>
      <c r="M827" s="66">
        <v>600</v>
      </c>
      <c r="N827" s="56">
        <f>100</f>
        <v>100</v>
      </c>
      <c r="O827" s="59">
        <v>240</v>
      </c>
      <c r="P827" s="59">
        <v>40</v>
      </c>
      <c r="Q827" s="59">
        <f t="shared" si="131"/>
        <v>315</v>
      </c>
      <c r="R827" s="59">
        <f t="shared" si="132"/>
        <v>100</v>
      </c>
      <c r="S827" s="56">
        <f t="shared" si="133"/>
        <v>695</v>
      </c>
      <c r="T827" s="56">
        <f>50</f>
        <v>50</v>
      </c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</row>
    <row r="828" spans="1:30" ht="15.75" x14ac:dyDescent="0.25">
      <c r="A828" s="13">
        <v>66507</v>
      </c>
      <c r="B828" s="67">
        <f t="shared" si="128"/>
        <v>31</v>
      </c>
      <c r="C828" s="56">
        <f>122.58</f>
        <v>122.58</v>
      </c>
      <c r="D828" s="56">
        <f>297.941</f>
        <v>297.94099999999997</v>
      </c>
      <c r="E828" s="64">
        <f>89.177</f>
        <v>89.177000000000007</v>
      </c>
      <c r="F828" s="56">
        <f>240.302-40-60-100</f>
        <v>40.301999999999992</v>
      </c>
      <c r="G828" s="59">
        <v>40</v>
      </c>
      <c r="H828" s="56">
        <f>60+100</f>
        <v>160</v>
      </c>
      <c r="I828" s="56">
        <f t="shared" si="136"/>
        <v>0</v>
      </c>
      <c r="J828" s="59">
        <v>100</v>
      </c>
      <c r="K828" s="59">
        <v>300</v>
      </c>
      <c r="L828" s="56">
        <f t="shared" si="130"/>
        <v>1150</v>
      </c>
      <c r="M828" s="66">
        <v>600</v>
      </c>
      <c r="N828" s="56">
        <f>100</f>
        <v>100</v>
      </c>
      <c r="O828" s="59">
        <v>240</v>
      </c>
      <c r="P828" s="59">
        <v>40</v>
      </c>
      <c r="Q828" s="59">
        <f t="shared" si="131"/>
        <v>315</v>
      </c>
      <c r="R828" s="59">
        <f t="shared" si="132"/>
        <v>100</v>
      </c>
      <c r="S828" s="56">
        <f t="shared" si="133"/>
        <v>695</v>
      </c>
      <c r="T828" s="56">
        <f>50</f>
        <v>50</v>
      </c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</row>
    <row r="829" spans="1:30" ht="15.75" x14ac:dyDescent="0.25">
      <c r="A829" s="13">
        <v>66535</v>
      </c>
      <c r="B829" s="67">
        <f t="shared" si="128"/>
        <v>28</v>
      </c>
      <c r="C829" s="56">
        <f>122.58</f>
        <v>122.58</v>
      </c>
      <c r="D829" s="56">
        <f>297.941</f>
        <v>297.94099999999997</v>
      </c>
      <c r="E829" s="64">
        <f>89.177</f>
        <v>89.177000000000007</v>
      </c>
      <c r="F829" s="56">
        <f>240.302-40-60-100</f>
        <v>40.301999999999992</v>
      </c>
      <c r="G829" s="59">
        <v>40</v>
      </c>
      <c r="H829" s="56">
        <f>60+100</f>
        <v>160</v>
      </c>
      <c r="I829" s="56">
        <f t="shared" si="136"/>
        <v>0</v>
      </c>
      <c r="J829" s="59">
        <v>100</v>
      </c>
      <c r="K829" s="59">
        <v>300</v>
      </c>
      <c r="L829" s="56">
        <f t="shared" si="130"/>
        <v>1150</v>
      </c>
      <c r="M829" s="66">
        <v>600</v>
      </c>
      <c r="N829" s="56">
        <f>100</f>
        <v>100</v>
      </c>
      <c r="O829" s="59">
        <v>240</v>
      </c>
      <c r="P829" s="59">
        <v>40</v>
      </c>
      <c r="Q829" s="59">
        <f t="shared" si="131"/>
        <v>315</v>
      </c>
      <c r="R829" s="59">
        <f t="shared" si="132"/>
        <v>100</v>
      </c>
      <c r="S829" s="56">
        <f t="shared" si="133"/>
        <v>695</v>
      </c>
      <c r="T829" s="56">
        <f>50</f>
        <v>50</v>
      </c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</row>
    <row r="830" spans="1:30" ht="15.75" x14ac:dyDescent="0.25">
      <c r="A830" s="13">
        <v>66566</v>
      </c>
      <c r="B830" s="67">
        <f t="shared" si="128"/>
        <v>31</v>
      </c>
      <c r="C830" s="56">
        <f>122.58</f>
        <v>122.58</v>
      </c>
      <c r="D830" s="56">
        <f>297.941</f>
        <v>297.94099999999997</v>
      </c>
      <c r="E830" s="64">
        <f>89.177</f>
        <v>89.177000000000007</v>
      </c>
      <c r="F830" s="56">
        <f>240.302-40-60-100</f>
        <v>40.301999999999992</v>
      </c>
      <c r="G830" s="59">
        <v>40</v>
      </c>
      <c r="H830" s="56">
        <f>60+100</f>
        <v>160</v>
      </c>
      <c r="I830" s="56">
        <f t="shared" si="136"/>
        <v>0</v>
      </c>
      <c r="J830" s="59">
        <v>100</v>
      </c>
      <c r="K830" s="59">
        <v>300</v>
      </c>
      <c r="L830" s="56">
        <f t="shared" si="130"/>
        <v>1150</v>
      </c>
      <c r="M830" s="66">
        <v>600</v>
      </c>
      <c r="N830" s="56">
        <f>100</f>
        <v>100</v>
      </c>
      <c r="O830" s="59">
        <v>240</v>
      </c>
      <c r="P830" s="59">
        <v>40</v>
      </c>
      <c r="Q830" s="59">
        <f t="shared" si="131"/>
        <v>315</v>
      </c>
      <c r="R830" s="59">
        <f t="shared" si="132"/>
        <v>100</v>
      </c>
      <c r="S830" s="56">
        <f t="shared" si="133"/>
        <v>695</v>
      </c>
      <c r="T830" s="56">
        <f>50</f>
        <v>50</v>
      </c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</row>
    <row r="831" spans="1:30" ht="15.75" x14ac:dyDescent="0.25">
      <c r="A831" s="13">
        <v>66596</v>
      </c>
      <c r="B831" s="67">
        <f t="shared" si="128"/>
        <v>30</v>
      </c>
      <c r="C831" s="56">
        <f>141.293</f>
        <v>141.29300000000001</v>
      </c>
      <c r="D831" s="56">
        <f>267.993</f>
        <v>267.99299999999999</v>
      </c>
      <c r="E831" s="64">
        <f>115.016</f>
        <v>115.01600000000001</v>
      </c>
      <c r="F831" s="56">
        <f>314.698-40-25-60-100</f>
        <v>89.697999999999979</v>
      </c>
      <c r="G831" s="59">
        <v>40</v>
      </c>
      <c r="H831" s="56">
        <f t="shared" ref="H831:H837" si="138">25+60+100</f>
        <v>185</v>
      </c>
      <c r="I831" s="56">
        <f t="shared" si="136"/>
        <v>0</v>
      </c>
      <c r="J831" s="59">
        <v>100</v>
      </c>
      <c r="K831" s="59">
        <v>300</v>
      </c>
      <c r="L831" s="56">
        <f t="shared" si="130"/>
        <v>1239</v>
      </c>
      <c r="M831" s="66">
        <v>600</v>
      </c>
      <c r="N831" s="56">
        <f>100</f>
        <v>100</v>
      </c>
      <c r="O831" s="59">
        <v>240</v>
      </c>
      <c r="P831" s="59">
        <v>40</v>
      </c>
      <c r="Q831" s="59">
        <f t="shared" si="131"/>
        <v>315</v>
      </c>
      <c r="R831" s="59">
        <f t="shared" si="132"/>
        <v>100</v>
      </c>
      <c r="S831" s="56">
        <f t="shared" si="133"/>
        <v>695</v>
      </c>
      <c r="T831" s="56">
        <f>50</f>
        <v>50</v>
      </c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</row>
    <row r="832" spans="1:30" ht="15.75" x14ac:dyDescent="0.25">
      <c r="A832" s="13">
        <v>66627</v>
      </c>
      <c r="B832" s="67">
        <f t="shared" si="128"/>
        <v>31</v>
      </c>
      <c r="C832" s="56">
        <f>194.205</f>
        <v>194.20500000000001</v>
      </c>
      <c r="D832" s="56">
        <f>267.466</f>
        <v>267.46600000000001</v>
      </c>
      <c r="E832" s="64">
        <f>133.845</f>
        <v>133.845</v>
      </c>
      <c r="F832" s="56">
        <f>278.484-40-25-60-100</f>
        <v>53.48399999999998</v>
      </c>
      <c r="G832" s="59">
        <v>40</v>
      </c>
      <c r="H832" s="56">
        <f t="shared" si="138"/>
        <v>185</v>
      </c>
      <c r="I832" s="56">
        <f t="shared" si="136"/>
        <v>0</v>
      </c>
      <c r="J832" s="59">
        <v>100</v>
      </c>
      <c r="K832" s="59">
        <v>300</v>
      </c>
      <c r="L832" s="56">
        <f t="shared" si="130"/>
        <v>1274</v>
      </c>
      <c r="M832" s="66">
        <v>600</v>
      </c>
      <c r="N832" s="56">
        <f>75</f>
        <v>75</v>
      </c>
      <c r="O832" s="59">
        <v>240</v>
      </c>
      <c r="P832" s="59">
        <v>40</v>
      </c>
      <c r="Q832" s="59">
        <f t="shared" si="131"/>
        <v>315</v>
      </c>
      <c r="R832" s="59">
        <f t="shared" si="132"/>
        <v>100</v>
      </c>
      <c r="S832" s="56">
        <f t="shared" si="133"/>
        <v>695</v>
      </c>
      <c r="T832" s="56">
        <f>50</f>
        <v>50</v>
      </c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</row>
    <row r="833" spans="1:30" ht="15.75" x14ac:dyDescent="0.25">
      <c r="A833" s="13">
        <v>66657</v>
      </c>
      <c r="B833" s="67">
        <f t="shared" si="128"/>
        <v>30</v>
      </c>
      <c r="C833" s="56">
        <f>194.205</f>
        <v>194.20500000000001</v>
      </c>
      <c r="D833" s="56">
        <f>267.466</f>
        <v>267.46600000000001</v>
      </c>
      <c r="E833" s="64">
        <f>133.845</f>
        <v>133.845</v>
      </c>
      <c r="F833" s="56">
        <f>278.484-40-25-60-100</f>
        <v>53.48399999999998</v>
      </c>
      <c r="G833" s="59">
        <v>40</v>
      </c>
      <c r="H833" s="56">
        <f t="shared" si="138"/>
        <v>185</v>
      </c>
      <c r="I833" s="56">
        <f t="shared" si="136"/>
        <v>0</v>
      </c>
      <c r="J833" s="59">
        <v>100</v>
      </c>
      <c r="K833" s="59">
        <v>300</v>
      </c>
      <c r="L833" s="56">
        <f t="shared" si="130"/>
        <v>1274</v>
      </c>
      <c r="M833" s="66">
        <v>600</v>
      </c>
      <c r="N833" s="56">
        <f>30</f>
        <v>30</v>
      </c>
      <c r="O833" s="59">
        <v>240</v>
      </c>
      <c r="P833" s="59">
        <v>40</v>
      </c>
      <c r="Q833" s="59">
        <f t="shared" si="131"/>
        <v>315</v>
      </c>
      <c r="R833" s="59">
        <f t="shared" si="132"/>
        <v>100</v>
      </c>
      <c r="S833" s="56">
        <f t="shared" si="133"/>
        <v>695</v>
      </c>
      <c r="T833" s="56">
        <f>50</f>
        <v>50</v>
      </c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</row>
    <row r="834" spans="1:30" ht="15.75" x14ac:dyDescent="0.25">
      <c r="A834" s="13">
        <v>66688</v>
      </c>
      <c r="B834" s="67">
        <f t="shared" si="128"/>
        <v>31</v>
      </c>
      <c r="C834" s="56">
        <f>194.205</f>
        <v>194.20500000000001</v>
      </c>
      <c r="D834" s="56">
        <f>267.466</f>
        <v>267.46600000000001</v>
      </c>
      <c r="E834" s="64">
        <f>133.845</f>
        <v>133.845</v>
      </c>
      <c r="F834" s="56">
        <f>278.484-40-25-60-100</f>
        <v>53.48399999999998</v>
      </c>
      <c r="G834" s="59">
        <v>40</v>
      </c>
      <c r="H834" s="56">
        <f t="shared" si="138"/>
        <v>185</v>
      </c>
      <c r="I834" s="56">
        <f t="shared" si="136"/>
        <v>0</v>
      </c>
      <c r="J834" s="59">
        <v>100</v>
      </c>
      <c r="K834" s="59">
        <v>300</v>
      </c>
      <c r="L834" s="56">
        <f t="shared" si="130"/>
        <v>1274</v>
      </c>
      <c r="M834" s="66">
        <v>600</v>
      </c>
      <c r="N834" s="56">
        <f>30</f>
        <v>30</v>
      </c>
      <c r="O834" s="59">
        <v>240</v>
      </c>
      <c r="P834" s="59">
        <v>40</v>
      </c>
      <c r="Q834" s="59">
        <f t="shared" si="131"/>
        <v>315</v>
      </c>
      <c r="R834" s="59">
        <f t="shared" si="132"/>
        <v>100</v>
      </c>
      <c r="S834" s="56">
        <f t="shared" si="133"/>
        <v>695</v>
      </c>
      <c r="T834" s="56">
        <f>0</f>
        <v>0</v>
      </c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</row>
    <row r="835" spans="1:30" ht="15.75" x14ac:dyDescent="0.25">
      <c r="A835" s="13">
        <v>66719</v>
      </c>
      <c r="B835" s="67">
        <f t="shared" si="128"/>
        <v>31</v>
      </c>
      <c r="C835" s="56">
        <f>194.205</f>
        <v>194.20500000000001</v>
      </c>
      <c r="D835" s="56">
        <f>267.466</f>
        <v>267.46600000000001</v>
      </c>
      <c r="E835" s="64">
        <f>133.845</f>
        <v>133.845</v>
      </c>
      <c r="F835" s="56">
        <f>278.484-40-25-60-100</f>
        <v>53.48399999999998</v>
      </c>
      <c r="G835" s="59">
        <v>40</v>
      </c>
      <c r="H835" s="56">
        <f t="shared" si="138"/>
        <v>185</v>
      </c>
      <c r="I835" s="56">
        <f t="shared" si="136"/>
        <v>0</v>
      </c>
      <c r="J835" s="59">
        <v>100</v>
      </c>
      <c r="K835" s="59">
        <v>300</v>
      </c>
      <c r="L835" s="56">
        <f t="shared" si="130"/>
        <v>1274</v>
      </c>
      <c r="M835" s="66">
        <v>600</v>
      </c>
      <c r="N835" s="56">
        <f>30</f>
        <v>30</v>
      </c>
      <c r="O835" s="59">
        <v>240</v>
      </c>
      <c r="P835" s="59">
        <v>40</v>
      </c>
      <c r="Q835" s="59">
        <f t="shared" si="131"/>
        <v>315</v>
      </c>
      <c r="R835" s="59">
        <f t="shared" si="132"/>
        <v>100</v>
      </c>
      <c r="S835" s="56">
        <f t="shared" si="133"/>
        <v>695</v>
      </c>
      <c r="T835" s="56">
        <f>0</f>
        <v>0</v>
      </c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</row>
    <row r="836" spans="1:30" ht="15.75" x14ac:dyDescent="0.25">
      <c r="A836" s="13">
        <v>66749</v>
      </c>
      <c r="B836" s="67">
        <f t="shared" si="128"/>
        <v>30</v>
      </c>
      <c r="C836" s="56">
        <f>194.205</f>
        <v>194.20500000000001</v>
      </c>
      <c r="D836" s="56">
        <f>267.466</f>
        <v>267.46600000000001</v>
      </c>
      <c r="E836" s="64">
        <f>133.845</f>
        <v>133.845</v>
      </c>
      <c r="F836" s="56">
        <f>278.484-40-25-60-100</f>
        <v>53.48399999999998</v>
      </c>
      <c r="G836" s="59">
        <v>40</v>
      </c>
      <c r="H836" s="56">
        <f t="shared" si="138"/>
        <v>185</v>
      </c>
      <c r="I836" s="56">
        <f t="shared" si="136"/>
        <v>0</v>
      </c>
      <c r="J836" s="59">
        <v>100</v>
      </c>
      <c r="K836" s="59">
        <v>300</v>
      </c>
      <c r="L836" s="56">
        <f t="shared" si="130"/>
        <v>1274</v>
      </c>
      <c r="M836" s="66">
        <v>600</v>
      </c>
      <c r="N836" s="56">
        <f>30</f>
        <v>30</v>
      </c>
      <c r="O836" s="59">
        <v>240</v>
      </c>
      <c r="P836" s="59">
        <v>40</v>
      </c>
      <c r="Q836" s="59">
        <f t="shared" si="131"/>
        <v>315</v>
      </c>
      <c r="R836" s="59">
        <f t="shared" si="132"/>
        <v>100</v>
      </c>
      <c r="S836" s="56">
        <f t="shared" si="133"/>
        <v>695</v>
      </c>
      <c r="T836" s="56">
        <f>0</f>
        <v>0</v>
      </c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</row>
    <row r="837" spans="1:30" ht="15.75" x14ac:dyDescent="0.25">
      <c r="A837" s="13">
        <v>66780</v>
      </c>
      <c r="B837" s="67">
        <f t="shared" si="128"/>
        <v>31</v>
      </c>
      <c r="C837" s="56">
        <f>131.881</f>
        <v>131.881</v>
      </c>
      <c r="D837" s="56">
        <f>277.167</f>
        <v>277.16699999999997</v>
      </c>
      <c r="E837" s="64">
        <f>79.08</f>
        <v>79.08</v>
      </c>
      <c r="F837" s="56">
        <f>350.872-40-25-60-100</f>
        <v>125.87200000000001</v>
      </c>
      <c r="G837" s="59">
        <v>40</v>
      </c>
      <c r="H837" s="56">
        <f t="shared" si="138"/>
        <v>185</v>
      </c>
      <c r="I837" s="56">
        <f t="shared" si="136"/>
        <v>0</v>
      </c>
      <c r="J837" s="59">
        <v>100</v>
      </c>
      <c r="K837" s="59">
        <v>300</v>
      </c>
      <c r="L837" s="56">
        <f t="shared" si="130"/>
        <v>1239</v>
      </c>
      <c r="M837" s="66">
        <v>600</v>
      </c>
      <c r="N837" s="56">
        <f>75</f>
        <v>75</v>
      </c>
      <c r="O837" s="59">
        <v>240</v>
      </c>
      <c r="P837" s="59">
        <v>40</v>
      </c>
      <c r="Q837" s="59">
        <f t="shared" si="131"/>
        <v>315</v>
      </c>
      <c r="R837" s="59">
        <f t="shared" si="132"/>
        <v>100</v>
      </c>
      <c r="S837" s="56">
        <f t="shared" si="133"/>
        <v>695</v>
      </c>
      <c r="T837" s="56">
        <f>0</f>
        <v>0</v>
      </c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</row>
    <row r="838" spans="1:30" ht="15.75" x14ac:dyDescent="0.25">
      <c r="A838" s="13">
        <v>66810</v>
      </c>
      <c r="B838" s="67">
        <f t="shared" si="128"/>
        <v>30</v>
      </c>
      <c r="C838" s="56">
        <f>122.58</f>
        <v>122.58</v>
      </c>
      <c r="D838" s="56">
        <f>297.941</f>
        <v>297.94099999999997</v>
      </c>
      <c r="E838" s="64">
        <f>89.177</f>
        <v>89.177000000000007</v>
      </c>
      <c r="F838" s="56">
        <f>240.302-40-60-100</f>
        <v>40.301999999999992</v>
      </c>
      <c r="G838" s="59">
        <v>40</v>
      </c>
      <c r="H838" s="56">
        <f>60+100</f>
        <v>160</v>
      </c>
      <c r="I838" s="56">
        <f t="shared" si="136"/>
        <v>0</v>
      </c>
      <c r="J838" s="59">
        <v>100</v>
      </c>
      <c r="K838" s="59">
        <v>300</v>
      </c>
      <c r="L838" s="56">
        <f t="shared" si="130"/>
        <v>1150</v>
      </c>
      <c r="M838" s="66">
        <v>600</v>
      </c>
      <c r="N838" s="56">
        <f>100</f>
        <v>100</v>
      </c>
      <c r="O838" s="59">
        <v>240</v>
      </c>
      <c r="P838" s="59">
        <v>40</v>
      </c>
      <c r="Q838" s="59">
        <f t="shared" si="131"/>
        <v>315</v>
      </c>
      <c r="R838" s="59">
        <f t="shared" si="132"/>
        <v>100</v>
      </c>
      <c r="S838" s="56">
        <f t="shared" si="133"/>
        <v>695</v>
      </c>
      <c r="T838" s="56">
        <f>50</f>
        <v>50</v>
      </c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</row>
    <row r="839" spans="1:30" ht="15.75" x14ac:dyDescent="0.25">
      <c r="A839" s="13">
        <v>66841</v>
      </c>
      <c r="B839" s="67">
        <f t="shared" si="128"/>
        <v>31</v>
      </c>
      <c r="C839" s="56">
        <f>122.58</f>
        <v>122.58</v>
      </c>
      <c r="D839" s="56">
        <f>297.941</f>
        <v>297.94099999999997</v>
      </c>
      <c r="E839" s="64">
        <f>89.177</f>
        <v>89.177000000000007</v>
      </c>
      <c r="F839" s="56">
        <f>240.302-40-60-100</f>
        <v>40.301999999999992</v>
      </c>
      <c r="G839" s="59">
        <v>40</v>
      </c>
      <c r="H839" s="56">
        <f>60+100</f>
        <v>160</v>
      </c>
      <c r="I839" s="56">
        <f t="shared" si="136"/>
        <v>0</v>
      </c>
      <c r="J839" s="59">
        <v>100</v>
      </c>
      <c r="K839" s="59">
        <v>300</v>
      </c>
      <c r="L839" s="56">
        <f t="shared" si="130"/>
        <v>1150</v>
      </c>
      <c r="M839" s="66">
        <v>600</v>
      </c>
      <c r="N839" s="56">
        <f>100</f>
        <v>100</v>
      </c>
      <c r="O839" s="59">
        <v>240</v>
      </c>
      <c r="P839" s="59">
        <v>40</v>
      </c>
      <c r="Q839" s="59">
        <f t="shared" si="131"/>
        <v>315</v>
      </c>
      <c r="R839" s="59">
        <f t="shared" si="132"/>
        <v>100</v>
      </c>
      <c r="S839" s="56">
        <f t="shared" si="133"/>
        <v>695</v>
      </c>
      <c r="T839" s="56">
        <f>50</f>
        <v>50</v>
      </c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</row>
    <row r="840" spans="1:30" ht="15.75" x14ac:dyDescent="0.25">
      <c r="A840" s="13">
        <v>66872</v>
      </c>
      <c r="B840" s="67">
        <f t="shared" si="128"/>
        <v>31</v>
      </c>
      <c r="C840" s="56">
        <f>122.58</f>
        <v>122.58</v>
      </c>
      <c r="D840" s="56">
        <f>297.941</f>
        <v>297.94099999999997</v>
      </c>
      <c r="E840" s="64">
        <f>89.177</f>
        <v>89.177000000000007</v>
      </c>
      <c r="F840" s="56">
        <f>240.302-40-60-100</f>
        <v>40.301999999999992</v>
      </c>
      <c r="G840" s="59">
        <v>40</v>
      </c>
      <c r="H840" s="56">
        <f>60+100</f>
        <v>160</v>
      </c>
      <c r="I840" s="56">
        <f t="shared" si="136"/>
        <v>0</v>
      </c>
      <c r="J840" s="59">
        <v>100</v>
      </c>
      <c r="K840" s="59">
        <v>300</v>
      </c>
      <c r="L840" s="56">
        <f t="shared" si="130"/>
        <v>1150</v>
      </c>
      <c r="M840" s="66">
        <v>600</v>
      </c>
      <c r="N840" s="56">
        <f>100</f>
        <v>100</v>
      </c>
      <c r="O840" s="59">
        <v>240</v>
      </c>
      <c r="P840" s="59">
        <v>40</v>
      </c>
      <c r="Q840" s="59">
        <f t="shared" si="131"/>
        <v>315</v>
      </c>
      <c r="R840" s="59">
        <f t="shared" si="132"/>
        <v>100</v>
      </c>
      <c r="S840" s="56">
        <f t="shared" si="133"/>
        <v>695</v>
      </c>
      <c r="T840" s="56">
        <f>50</f>
        <v>50</v>
      </c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</row>
    <row r="841" spans="1:30" ht="15.75" x14ac:dyDescent="0.25">
      <c r="A841" s="13">
        <v>66900</v>
      </c>
      <c r="B841" s="67">
        <f t="shared" si="128"/>
        <v>28</v>
      </c>
      <c r="C841" s="56">
        <f>122.58</f>
        <v>122.58</v>
      </c>
      <c r="D841" s="56">
        <f>297.941</f>
        <v>297.94099999999997</v>
      </c>
      <c r="E841" s="64">
        <f>89.177</f>
        <v>89.177000000000007</v>
      </c>
      <c r="F841" s="56">
        <f>240.302-40-60-100</f>
        <v>40.301999999999992</v>
      </c>
      <c r="G841" s="59">
        <v>40</v>
      </c>
      <c r="H841" s="56">
        <f>60+100</f>
        <v>160</v>
      </c>
      <c r="I841" s="56">
        <f t="shared" si="136"/>
        <v>0</v>
      </c>
      <c r="J841" s="59">
        <v>100</v>
      </c>
      <c r="K841" s="59">
        <v>300</v>
      </c>
      <c r="L841" s="56">
        <f t="shared" si="130"/>
        <v>1150</v>
      </c>
      <c r="M841" s="66">
        <v>600</v>
      </c>
      <c r="N841" s="56">
        <f>100</f>
        <v>100</v>
      </c>
      <c r="O841" s="59">
        <v>240</v>
      </c>
      <c r="P841" s="59">
        <v>40</v>
      </c>
      <c r="Q841" s="59">
        <f t="shared" si="131"/>
        <v>315</v>
      </c>
      <c r="R841" s="59">
        <f t="shared" si="132"/>
        <v>100</v>
      </c>
      <c r="S841" s="56">
        <f t="shared" si="133"/>
        <v>695</v>
      </c>
      <c r="T841" s="56">
        <f>50</f>
        <v>50</v>
      </c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</row>
    <row r="842" spans="1:30" ht="15.75" x14ac:dyDescent="0.25">
      <c r="A842" s="13">
        <v>66931</v>
      </c>
      <c r="B842" s="67">
        <f t="shared" si="128"/>
        <v>31</v>
      </c>
      <c r="C842" s="56">
        <f>122.58</f>
        <v>122.58</v>
      </c>
      <c r="D842" s="56">
        <f>297.941</f>
        <v>297.94099999999997</v>
      </c>
      <c r="E842" s="64">
        <f>89.177</f>
        <v>89.177000000000007</v>
      </c>
      <c r="F842" s="56">
        <f>240.302-40-60-100</f>
        <v>40.301999999999992</v>
      </c>
      <c r="G842" s="59">
        <v>40</v>
      </c>
      <c r="H842" s="56">
        <f>60+100</f>
        <v>160</v>
      </c>
      <c r="I842" s="56">
        <f t="shared" si="136"/>
        <v>0</v>
      </c>
      <c r="J842" s="59">
        <v>100</v>
      </c>
      <c r="K842" s="59">
        <v>300</v>
      </c>
      <c r="L842" s="56">
        <f t="shared" si="130"/>
        <v>1150</v>
      </c>
      <c r="M842" s="66">
        <v>600</v>
      </c>
      <c r="N842" s="56">
        <f>100</f>
        <v>100</v>
      </c>
      <c r="O842" s="59">
        <v>240</v>
      </c>
      <c r="P842" s="59">
        <v>40</v>
      </c>
      <c r="Q842" s="59">
        <f t="shared" si="131"/>
        <v>315</v>
      </c>
      <c r="R842" s="59">
        <f t="shared" si="132"/>
        <v>100</v>
      </c>
      <c r="S842" s="56">
        <f t="shared" si="133"/>
        <v>695</v>
      </c>
      <c r="T842" s="56">
        <f>50</f>
        <v>50</v>
      </c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</row>
    <row r="843" spans="1:30" ht="15.75" x14ac:dyDescent="0.25">
      <c r="A843" s="13">
        <v>66961</v>
      </c>
      <c r="B843" s="67">
        <f t="shared" si="128"/>
        <v>30</v>
      </c>
      <c r="C843" s="56">
        <f>141.293</f>
        <v>141.29300000000001</v>
      </c>
      <c r="D843" s="56">
        <f>267.993</f>
        <v>267.99299999999999</v>
      </c>
      <c r="E843" s="64">
        <f>115.016</f>
        <v>115.01600000000001</v>
      </c>
      <c r="F843" s="56">
        <f>314.698-40-25-60-100</f>
        <v>89.697999999999979</v>
      </c>
      <c r="G843" s="59">
        <v>40</v>
      </c>
      <c r="H843" s="56">
        <f t="shared" ref="H843:H849" si="139">25+60+100</f>
        <v>185</v>
      </c>
      <c r="I843" s="56">
        <f t="shared" si="136"/>
        <v>0</v>
      </c>
      <c r="J843" s="59">
        <v>100</v>
      </c>
      <c r="K843" s="59">
        <v>300</v>
      </c>
      <c r="L843" s="56">
        <f t="shared" si="130"/>
        <v>1239</v>
      </c>
      <c r="M843" s="66">
        <v>600</v>
      </c>
      <c r="N843" s="56">
        <f>100</f>
        <v>100</v>
      </c>
      <c r="O843" s="59">
        <v>240</v>
      </c>
      <c r="P843" s="59">
        <v>40</v>
      </c>
      <c r="Q843" s="59">
        <f t="shared" si="131"/>
        <v>315</v>
      </c>
      <c r="R843" s="59">
        <f t="shared" si="132"/>
        <v>100</v>
      </c>
      <c r="S843" s="56">
        <f t="shared" si="133"/>
        <v>695</v>
      </c>
      <c r="T843" s="56">
        <f>50</f>
        <v>50</v>
      </c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</row>
    <row r="844" spans="1:30" ht="15.75" x14ac:dyDescent="0.25">
      <c r="A844" s="13">
        <v>66992</v>
      </c>
      <c r="B844" s="67">
        <f t="shared" ref="B844:B907" si="140">EOMONTH(A844,0)-EOMONTH(A844,-1)</f>
        <v>31</v>
      </c>
      <c r="C844" s="56">
        <f>194.205</f>
        <v>194.20500000000001</v>
      </c>
      <c r="D844" s="56">
        <f>267.466</f>
        <v>267.46600000000001</v>
      </c>
      <c r="E844" s="64">
        <f>133.845</f>
        <v>133.845</v>
      </c>
      <c r="F844" s="56">
        <f>278.484-40-25-60-100</f>
        <v>53.48399999999998</v>
      </c>
      <c r="G844" s="59">
        <v>40</v>
      </c>
      <c r="H844" s="56">
        <f t="shared" si="139"/>
        <v>185</v>
      </c>
      <c r="I844" s="56">
        <f t="shared" si="136"/>
        <v>0</v>
      </c>
      <c r="J844" s="59">
        <v>100</v>
      </c>
      <c r="K844" s="59">
        <v>300</v>
      </c>
      <c r="L844" s="56">
        <f t="shared" si="130"/>
        <v>1274</v>
      </c>
      <c r="M844" s="66">
        <v>600</v>
      </c>
      <c r="N844" s="56">
        <f>75</f>
        <v>75</v>
      </c>
      <c r="O844" s="59">
        <v>240</v>
      </c>
      <c r="P844" s="59">
        <v>40</v>
      </c>
      <c r="Q844" s="59">
        <f t="shared" si="131"/>
        <v>315</v>
      </c>
      <c r="R844" s="59">
        <f t="shared" si="132"/>
        <v>100</v>
      </c>
      <c r="S844" s="56">
        <f t="shared" si="133"/>
        <v>695</v>
      </c>
      <c r="T844" s="56">
        <f>50</f>
        <v>50</v>
      </c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</row>
    <row r="845" spans="1:30" ht="15.75" x14ac:dyDescent="0.25">
      <c r="A845" s="13">
        <v>67022</v>
      </c>
      <c r="B845" s="67">
        <f t="shared" si="140"/>
        <v>30</v>
      </c>
      <c r="C845" s="56">
        <f>194.205</f>
        <v>194.20500000000001</v>
      </c>
      <c r="D845" s="56">
        <f>267.466</f>
        <v>267.46600000000001</v>
      </c>
      <c r="E845" s="64">
        <f>133.845</f>
        <v>133.845</v>
      </c>
      <c r="F845" s="56">
        <f>278.484-40-25-60-100</f>
        <v>53.48399999999998</v>
      </c>
      <c r="G845" s="59">
        <v>40</v>
      </c>
      <c r="H845" s="56">
        <f t="shared" si="139"/>
        <v>185</v>
      </c>
      <c r="I845" s="56">
        <f t="shared" si="136"/>
        <v>0</v>
      </c>
      <c r="J845" s="59">
        <v>100</v>
      </c>
      <c r="K845" s="59">
        <v>300</v>
      </c>
      <c r="L845" s="56">
        <f t="shared" si="130"/>
        <v>1274</v>
      </c>
      <c r="M845" s="66">
        <v>600</v>
      </c>
      <c r="N845" s="56">
        <f>30</f>
        <v>30</v>
      </c>
      <c r="O845" s="59">
        <v>240</v>
      </c>
      <c r="P845" s="59">
        <v>40</v>
      </c>
      <c r="Q845" s="59">
        <f t="shared" si="131"/>
        <v>315</v>
      </c>
      <c r="R845" s="59">
        <f t="shared" si="132"/>
        <v>100</v>
      </c>
      <c r="S845" s="56">
        <f t="shared" si="133"/>
        <v>695</v>
      </c>
      <c r="T845" s="56">
        <f>50</f>
        <v>50</v>
      </c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</row>
    <row r="846" spans="1:30" ht="15.75" x14ac:dyDescent="0.25">
      <c r="A846" s="13">
        <v>67053</v>
      </c>
      <c r="B846" s="67">
        <f t="shared" si="140"/>
        <v>31</v>
      </c>
      <c r="C846" s="56">
        <f>194.205</f>
        <v>194.20500000000001</v>
      </c>
      <c r="D846" s="56">
        <f>267.466</f>
        <v>267.46600000000001</v>
      </c>
      <c r="E846" s="64">
        <f>133.845</f>
        <v>133.845</v>
      </c>
      <c r="F846" s="56">
        <f>278.484-40-25-60-100</f>
        <v>53.48399999999998</v>
      </c>
      <c r="G846" s="59">
        <v>40</v>
      </c>
      <c r="H846" s="56">
        <f t="shared" si="139"/>
        <v>185</v>
      </c>
      <c r="I846" s="56">
        <f t="shared" si="136"/>
        <v>0</v>
      </c>
      <c r="J846" s="59">
        <v>100</v>
      </c>
      <c r="K846" s="59">
        <v>300</v>
      </c>
      <c r="L846" s="56">
        <f t="shared" si="130"/>
        <v>1274</v>
      </c>
      <c r="M846" s="66">
        <v>600</v>
      </c>
      <c r="N846" s="56">
        <f>30</f>
        <v>30</v>
      </c>
      <c r="O846" s="59">
        <v>240</v>
      </c>
      <c r="P846" s="59">
        <v>40</v>
      </c>
      <c r="Q846" s="59">
        <f t="shared" si="131"/>
        <v>315</v>
      </c>
      <c r="R846" s="59">
        <f t="shared" si="132"/>
        <v>100</v>
      </c>
      <c r="S846" s="56">
        <f t="shared" si="133"/>
        <v>695</v>
      </c>
      <c r="T846" s="56">
        <f>0</f>
        <v>0</v>
      </c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</row>
    <row r="847" spans="1:30" ht="15.75" x14ac:dyDescent="0.25">
      <c r="A847" s="13">
        <v>67084</v>
      </c>
      <c r="B847" s="67">
        <f t="shared" si="140"/>
        <v>31</v>
      </c>
      <c r="C847" s="56">
        <f>194.205</f>
        <v>194.20500000000001</v>
      </c>
      <c r="D847" s="56">
        <f>267.466</f>
        <v>267.46600000000001</v>
      </c>
      <c r="E847" s="64">
        <f>133.845</f>
        <v>133.845</v>
      </c>
      <c r="F847" s="56">
        <f>278.484-40-25-60-100</f>
        <v>53.48399999999998</v>
      </c>
      <c r="G847" s="59">
        <v>40</v>
      </c>
      <c r="H847" s="56">
        <f t="shared" si="139"/>
        <v>185</v>
      </c>
      <c r="I847" s="56">
        <f t="shared" si="136"/>
        <v>0</v>
      </c>
      <c r="J847" s="59">
        <v>100</v>
      </c>
      <c r="K847" s="59">
        <v>300</v>
      </c>
      <c r="L847" s="56">
        <f t="shared" si="130"/>
        <v>1274</v>
      </c>
      <c r="M847" s="66">
        <v>600</v>
      </c>
      <c r="N847" s="56">
        <f>30</f>
        <v>30</v>
      </c>
      <c r="O847" s="59">
        <v>240</v>
      </c>
      <c r="P847" s="59">
        <v>40</v>
      </c>
      <c r="Q847" s="59">
        <f t="shared" si="131"/>
        <v>315</v>
      </c>
      <c r="R847" s="59">
        <f t="shared" si="132"/>
        <v>100</v>
      </c>
      <c r="S847" s="56">
        <f t="shared" si="133"/>
        <v>695</v>
      </c>
      <c r="T847" s="56">
        <f>0</f>
        <v>0</v>
      </c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</row>
    <row r="848" spans="1:30" ht="15.75" x14ac:dyDescent="0.25">
      <c r="A848" s="13">
        <v>67114</v>
      </c>
      <c r="B848" s="67">
        <f t="shared" si="140"/>
        <v>30</v>
      </c>
      <c r="C848" s="56">
        <f>194.205</f>
        <v>194.20500000000001</v>
      </c>
      <c r="D848" s="56">
        <f>267.466</f>
        <v>267.46600000000001</v>
      </c>
      <c r="E848" s="64">
        <f>133.845</f>
        <v>133.845</v>
      </c>
      <c r="F848" s="56">
        <f>278.484-40-25-60-100</f>
        <v>53.48399999999998</v>
      </c>
      <c r="G848" s="59">
        <v>40</v>
      </c>
      <c r="H848" s="56">
        <f t="shared" si="139"/>
        <v>185</v>
      </c>
      <c r="I848" s="56">
        <f t="shared" si="136"/>
        <v>0</v>
      </c>
      <c r="J848" s="59">
        <v>100</v>
      </c>
      <c r="K848" s="59">
        <v>300</v>
      </c>
      <c r="L848" s="56">
        <f t="shared" ref="L848:L911" si="141">SUM(C848:K848)</f>
        <v>1274</v>
      </c>
      <c r="M848" s="66">
        <v>600</v>
      </c>
      <c r="N848" s="56">
        <f>30</f>
        <v>30</v>
      </c>
      <c r="O848" s="59">
        <v>240</v>
      </c>
      <c r="P848" s="59">
        <v>40</v>
      </c>
      <c r="Q848" s="59">
        <f t="shared" ref="Q848:Q911" si="142">695-R848-O848-P848</f>
        <v>315</v>
      </c>
      <c r="R848" s="59">
        <f t="shared" ref="R848:R911" si="143">200-J848</f>
        <v>100</v>
      </c>
      <c r="S848" s="56">
        <f t="shared" ref="S848:S911" si="144">SUM(O848:R848)</f>
        <v>695</v>
      </c>
      <c r="T848" s="56">
        <f>0</f>
        <v>0</v>
      </c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</row>
    <row r="849" spans="1:30" ht="15.75" x14ac:dyDescent="0.25">
      <c r="A849" s="13">
        <v>67145</v>
      </c>
      <c r="B849" s="67">
        <f t="shared" si="140"/>
        <v>31</v>
      </c>
      <c r="C849" s="56">
        <f>131.881</f>
        <v>131.881</v>
      </c>
      <c r="D849" s="56">
        <f>277.167</f>
        <v>277.16699999999997</v>
      </c>
      <c r="E849" s="64">
        <f>79.08</f>
        <v>79.08</v>
      </c>
      <c r="F849" s="56">
        <f>350.872-40-25-60-100</f>
        <v>125.87200000000001</v>
      </c>
      <c r="G849" s="59">
        <v>40</v>
      </c>
      <c r="H849" s="56">
        <f t="shared" si="139"/>
        <v>185</v>
      </c>
      <c r="I849" s="56">
        <f t="shared" si="136"/>
        <v>0</v>
      </c>
      <c r="J849" s="59">
        <v>100</v>
      </c>
      <c r="K849" s="59">
        <v>300</v>
      </c>
      <c r="L849" s="56">
        <f t="shared" si="141"/>
        <v>1239</v>
      </c>
      <c r="M849" s="66">
        <v>600</v>
      </c>
      <c r="N849" s="56">
        <f>75</f>
        <v>75</v>
      </c>
      <c r="O849" s="59">
        <v>240</v>
      </c>
      <c r="P849" s="59">
        <v>40</v>
      </c>
      <c r="Q849" s="59">
        <f t="shared" si="142"/>
        <v>315</v>
      </c>
      <c r="R849" s="59">
        <f t="shared" si="143"/>
        <v>100</v>
      </c>
      <c r="S849" s="56">
        <f t="shared" si="144"/>
        <v>695</v>
      </c>
      <c r="T849" s="56">
        <f>0</f>
        <v>0</v>
      </c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</row>
    <row r="850" spans="1:30" ht="15.75" x14ac:dyDescent="0.25">
      <c r="A850" s="13">
        <v>67175</v>
      </c>
      <c r="B850" s="67">
        <f t="shared" si="140"/>
        <v>30</v>
      </c>
      <c r="C850" s="56">
        <f>122.58</f>
        <v>122.58</v>
      </c>
      <c r="D850" s="56">
        <f>297.941</f>
        <v>297.94099999999997</v>
      </c>
      <c r="E850" s="64">
        <f>89.177</f>
        <v>89.177000000000007</v>
      </c>
      <c r="F850" s="56">
        <f>240.302-40-60-100</f>
        <v>40.301999999999992</v>
      </c>
      <c r="G850" s="59">
        <v>40</v>
      </c>
      <c r="H850" s="56">
        <f>60+100</f>
        <v>160</v>
      </c>
      <c r="I850" s="56">
        <f t="shared" si="136"/>
        <v>0</v>
      </c>
      <c r="J850" s="59">
        <v>100</v>
      </c>
      <c r="K850" s="59">
        <v>300</v>
      </c>
      <c r="L850" s="56">
        <f t="shared" si="141"/>
        <v>1150</v>
      </c>
      <c r="M850" s="66">
        <v>600</v>
      </c>
      <c r="N850" s="56">
        <f>100</f>
        <v>100</v>
      </c>
      <c r="O850" s="59">
        <v>240</v>
      </c>
      <c r="P850" s="59">
        <v>40</v>
      </c>
      <c r="Q850" s="59">
        <f t="shared" si="142"/>
        <v>315</v>
      </c>
      <c r="R850" s="59">
        <f t="shared" si="143"/>
        <v>100</v>
      </c>
      <c r="S850" s="56">
        <f t="shared" si="144"/>
        <v>695</v>
      </c>
      <c r="T850" s="56">
        <f>50</f>
        <v>50</v>
      </c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</row>
    <row r="851" spans="1:30" ht="15.75" x14ac:dyDescent="0.25">
      <c r="A851" s="13">
        <v>67206</v>
      </c>
      <c r="B851" s="67">
        <f t="shared" si="140"/>
        <v>31</v>
      </c>
      <c r="C851" s="56">
        <f>122.58</f>
        <v>122.58</v>
      </c>
      <c r="D851" s="56">
        <f>297.941</f>
        <v>297.94099999999997</v>
      </c>
      <c r="E851" s="64">
        <f>89.177</f>
        <v>89.177000000000007</v>
      </c>
      <c r="F851" s="56">
        <f>240.302-40-60-100</f>
        <v>40.301999999999992</v>
      </c>
      <c r="G851" s="59">
        <v>40</v>
      </c>
      <c r="H851" s="56">
        <f>60+100</f>
        <v>160</v>
      </c>
      <c r="I851" s="56">
        <f t="shared" si="136"/>
        <v>0</v>
      </c>
      <c r="J851" s="59">
        <v>100</v>
      </c>
      <c r="K851" s="59">
        <v>300</v>
      </c>
      <c r="L851" s="56">
        <f t="shared" si="141"/>
        <v>1150</v>
      </c>
      <c r="M851" s="66">
        <v>600</v>
      </c>
      <c r="N851" s="56">
        <f>100</f>
        <v>100</v>
      </c>
      <c r="O851" s="59">
        <v>240</v>
      </c>
      <c r="P851" s="59">
        <v>40</v>
      </c>
      <c r="Q851" s="59">
        <f t="shared" si="142"/>
        <v>315</v>
      </c>
      <c r="R851" s="59">
        <f t="shared" si="143"/>
        <v>100</v>
      </c>
      <c r="S851" s="56">
        <f t="shared" si="144"/>
        <v>695</v>
      </c>
      <c r="T851" s="56">
        <f>50</f>
        <v>50</v>
      </c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</row>
    <row r="852" spans="1:30" ht="15.75" x14ac:dyDescent="0.25">
      <c r="A852" s="13">
        <v>67237</v>
      </c>
      <c r="B852" s="67">
        <f t="shared" si="140"/>
        <v>31</v>
      </c>
      <c r="C852" s="56">
        <f>122.58</f>
        <v>122.58</v>
      </c>
      <c r="D852" s="56">
        <f>297.941</f>
        <v>297.94099999999997</v>
      </c>
      <c r="E852" s="64">
        <f>89.177</f>
        <v>89.177000000000007</v>
      </c>
      <c r="F852" s="56">
        <f>240.302-40-60-100</f>
        <v>40.301999999999992</v>
      </c>
      <c r="G852" s="59">
        <v>40</v>
      </c>
      <c r="H852" s="56">
        <f>60+100</f>
        <v>160</v>
      </c>
      <c r="I852" s="56">
        <f t="shared" si="136"/>
        <v>0</v>
      </c>
      <c r="J852" s="59">
        <v>100</v>
      </c>
      <c r="K852" s="59">
        <v>300</v>
      </c>
      <c r="L852" s="56">
        <f t="shared" si="141"/>
        <v>1150</v>
      </c>
      <c r="M852" s="66">
        <v>600</v>
      </c>
      <c r="N852" s="56">
        <f>100</f>
        <v>100</v>
      </c>
      <c r="O852" s="59">
        <v>240</v>
      </c>
      <c r="P852" s="59">
        <v>40</v>
      </c>
      <c r="Q852" s="59">
        <f t="shared" si="142"/>
        <v>315</v>
      </c>
      <c r="R852" s="59">
        <f t="shared" si="143"/>
        <v>100</v>
      </c>
      <c r="S852" s="56">
        <f t="shared" si="144"/>
        <v>695</v>
      </c>
      <c r="T852" s="56">
        <f>50</f>
        <v>50</v>
      </c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</row>
    <row r="853" spans="1:30" ht="15.75" x14ac:dyDescent="0.25">
      <c r="A853" s="13">
        <v>67266</v>
      </c>
      <c r="B853" s="67">
        <f t="shared" si="140"/>
        <v>29</v>
      </c>
      <c r="C853" s="56">
        <f>122.58</f>
        <v>122.58</v>
      </c>
      <c r="D853" s="56">
        <f>297.941</f>
        <v>297.94099999999997</v>
      </c>
      <c r="E853" s="64">
        <f>89.177</f>
        <v>89.177000000000007</v>
      </c>
      <c r="F853" s="56">
        <f>240.302-40-60-100</f>
        <v>40.301999999999992</v>
      </c>
      <c r="G853" s="59">
        <v>40</v>
      </c>
      <c r="H853" s="56">
        <f>60+100</f>
        <v>160</v>
      </c>
      <c r="I853" s="56">
        <f t="shared" si="136"/>
        <v>0</v>
      </c>
      <c r="J853" s="59">
        <v>100</v>
      </c>
      <c r="K853" s="59">
        <v>300</v>
      </c>
      <c r="L853" s="56">
        <f t="shared" si="141"/>
        <v>1150</v>
      </c>
      <c r="M853" s="66">
        <v>600</v>
      </c>
      <c r="N853" s="56">
        <f>100</f>
        <v>100</v>
      </c>
      <c r="O853" s="59">
        <v>240</v>
      </c>
      <c r="P853" s="59">
        <v>40</v>
      </c>
      <c r="Q853" s="59">
        <f t="shared" si="142"/>
        <v>315</v>
      </c>
      <c r="R853" s="59">
        <f t="shared" si="143"/>
        <v>100</v>
      </c>
      <c r="S853" s="56">
        <f t="shared" si="144"/>
        <v>695</v>
      </c>
      <c r="T853" s="56">
        <f>50</f>
        <v>50</v>
      </c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</row>
    <row r="854" spans="1:30" ht="15.75" x14ac:dyDescent="0.25">
      <c r="A854" s="13">
        <v>67297</v>
      </c>
      <c r="B854" s="67">
        <f t="shared" si="140"/>
        <v>31</v>
      </c>
      <c r="C854" s="56">
        <f>122.58</f>
        <v>122.58</v>
      </c>
      <c r="D854" s="56">
        <f>297.941</f>
        <v>297.94099999999997</v>
      </c>
      <c r="E854" s="64">
        <f>89.177</f>
        <v>89.177000000000007</v>
      </c>
      <c r="F854" s="56">
        <f>240.302-40-60-100</f>
        <v>40.301999999999992</v>
      </c>
      <c r="G854" s="59">
        <v>40</v>
      </c>
      <c r="H854" s="56">
        <f>60+100</f>
        <v>160</v>
      </c>
      <c r="I854" s="56">
        <f t="shared" si="136"/>
        <v>0</v>
      </c>
      <c r="J854" s="59">
        <v>100</v>
      </c>
      <c r="K854" s="59">
        <v>300</v>
      </c>
      <c r="L854" s="56">
        <f t="shared" si="141"/>
        <v>1150</v>
      </c>
      <c r="M854" s="66">
        <v>600</v>
      </c>
      <c r="N854" s="56">
        <f>100</f>
        <v>100</v>
      </c>
      <c r="O854" s="59">
        <v>240</v>
      </c>
      <c r="P854" s="59">
        <v>40</v>
      </c>
      <c r="Q854" s="59">
        <f t="shared" si="142"/>
        <v>315</v>
      </c>
      <c r="R854" s="59">
        <f t="shared" si="143"/>
        <v>100</v>
      </c>
      <c r="S854" s="56">
        <f t="shared" si="144"/>
        <v>695</v>
      </c>
      <c r="T854" s="56">
        <f>50</f>
        <v>50</v>
      </c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</row>
    <row r="855" spans="1:30" ht="15.75" x14ac:dyDescent="0.25">
      <c r="A855" s="13">
        <v>67327</v>
      </c>
      <c r="B855" s="67">
        <f t="shared" si="140"/>
        <v>30</v>
      </c>
      <c r="C855" s="56">
        <f>141.293</f>
        <v>141.29300000000001</v>
      </c>
      <c r="D855" s="56">
        <f>267.993</f>
        <v>267.99299999999999</v>
      </c>
      <c r="E855" s="64">
        <f>115.016</f>
        <v>115.01600000000001</v>
      </c>
      <c r="F855" s="56">
        <f>314.698-40-25-60-100</f>
        <v>89.697999999999979</v>
      </c>
      <c r="G855" s="59">
        <v>40</v>
      </c>
      <c r="H855" s="56">
        <f t="shared" ref="H855:H861" si="145">25+60+100</f>
        <v>185</v>
      </c>
      <c r="I855" s="56">
        <f t="shared" si="136"/>
        <v>0</v>
      </c>
      <c r="J855" s="59">
        <v>100</v>
      </c>
      <c r="K855" s="59">
        <v>300</v>
      </c>
      <c r="L855" s="56">
        <f t="shared" si="141"/>
        <v>1239</v>
      </c>
      <c r="M855" s="66">
        <v>600</v>
      </c>
      <c r="N855" s="56">
        <f>100</f>
        <v>100</v>
      </c>
      <c r="O855" s="59">
        <v>240</v>
      </c>
      <c r="P855" s="59">
        <v>40</v>
      </c>
      <c r="Q855" s="59">
        <f t="shared" si="142"/>
        <v>315</v>
      </c>
      <c r="R855" s="59">
        <f t="shared" si="143"/>
        <v>100</v>
      </c>
      <c r="S855" s="56">
        <f t="shared" si="144"/>
        <v>695</v>
      </c>
      <c r="T855" s="56">
        <f>50</f>
        <v>50</v>
      </c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</row>
    <row r="856" spans="1:30" ht="15.75" x14ac:dyDescent="0.25">
      <c r="A856" s="13">
        <v>67358</v>
      </c>
      <c r="B856" s="67">
        <f t="shared" si="140"/>
        <v>31</v>
      </c>
      <c r="C856" s="56">
        <f>194.205</f>
        <v>194.20500000000001</v>
      </c>
      <c r="D856" s="56">
        <f>267.466</f>
        <v>267.46600000000001</v>
      </c>
      <c r="E856" s="64">
        <f>133.845</f>
        <v>133.845</v>
      </c>
      <c r="F856" s="56">
        <f>278.484-40-25-60-100</f>
        <v>53.48399999999998</v>
      </c>
      <c r="G856" s="59">
        <v>40</v>
      </c>
      <c r="H856" s="56">
        <f t="shared" si="145"/>
        <v>185</v>
      </c>
      <c r="I856" s="56">
        <f t="shared" si="136"/>
        <v>0</v>
      </c>
      <c r="J856" s="59">
        <v>100</v>
      </c>
      <c r="K856" s="59">
        <v>300</v>
      </c>
      <c r="L856" s="56">
        <f t="shared" si="141"/>
        <v>1274</v>
      </c>
      <c r="M856" s="66">
        <v>600</v>
      </c>
      <c r="N856" s="56">
        <f>75</f>
        <v>75</v>
      </c>
      <c r="O856" s="59">
        <v>240</v>
      </c>
      <c r="P856" s="59">
        <v>40</v>
      </c>
      <c r="Q856" s="59">
        <f t="shared" si="142"/>
        <v>315</v>
      </c>
      <c r="R856" s="59">
        <f t="shared" si="143"/>
        <v>100</v>
      </c>
      <c r="S856" s="56">
        <f t="shared" si="144"/>
        <v>695</v>
      </c>
      <c r="T856" s="56">
        <f>50</f>
        <v>50</v>
      </c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</row>
    <row r="857" spans="1:30" ht="15.75" x14ac:dyDescent="0.25">
      <c r="A857" s="13">
        <v>67388</v>
      </c>
      <c r="B857" s="67">
        <f t="shared" si="140"/>
        <v>30</v>
      </c>
      <c r="C857" s="56">
        <f>194.205</f>
        <v>194.20500000000001</v>
      </c>
      <c r="D857" s="56">
        <f>267.466</f>
        <v>267.46600000000001</v>
      </c>
      <c r="E857" s="64">
        <f>133.845</f>
        <v>133.845</v>
      </c>
      <c r="F857" s="56">
        <f>278.484-40-25-60-100</f>
        <v>53.48399999999998</v>
      </c>
      <c r="G857" s="59">
        <v>40</v>
      </c>
      <c r="H857" s="56">
        <f t="shared" si="145"/>
        <v>185</v>
      </c>
      <c r="I857" s="56">
        <f t="shared" si="136"/>
        <v>0</v>
      </c>
      <c r="J857" s="59">
        <v>100</v>
      </c>
      <c r="K857" s="59">
        <v>300</v>
      </c>
      <c r="L857" s="56">
        <f t="shared" si="141"/>
        <v>1274</v>
      </c>
      <c r="M857" s="66">
        <v>600</v>
      </c>
      <c r="N857" s="56">
        <f>30</f>
        <v>30</v>
      </c>
      <c r="O857" s="59">
        <v>240</v>
      </c>
      <c r="P857" s="59">
        <v>40</v>
      </c>
      <c r="Q857" s="59">
        <f t="shared" si="142"/>
        <v>315</v>
      </c>
      <c r="R857" s="59">
        <f t="shared" si="143"/>
        <v>100</v>
      </c>
      <c r="S857" s="56">
        <f t="shared" si="144"/>
        <v>695</v>
      </c>
      <c r="T857" s="56">
        <f>50</f>
        <v>50</v>
      </c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</row>
    <row r="858" spans="1:30" ht="15.75" x14ac:dyDescent="0.25">
      <c r="A858" s="13">
        <v>67419</v>
      </c>
      <c r="B858" s="67">
        <f t="shared" si="140"/>
        <v>31</v>
      </c>
      <c r="C858" s="56">
        <f>194.205</f>
        <v>194.20500000000001</v>
      </c>
      <c r="D858" s="56">
        <f>267.466</f>
        <v>267.46600000000001</v>
      </c>
      <c r="E858" s="64">
        <f>133.845</f>
        <v>133.845</v>
      </c>
      <c r="F858" s="56">
        <f>278.484-40-25-60-100</f>
        <v>53.48399999999998</v>
      </c>
      <c r="G858" s="59">
        <v>40</v>
      </c>
      <c r="H858" s="56">
        <f t="shared" si="145"/>
        <v>185</v>
      </c>
      <c r="I858" s="56">
        <f t="shared" si="136"/>
        <v>0</v>
      </c>
      <c r="J858" s="59">
        <v>100</v>
      </c>
      <c r="K858" s="59">
        <v>300</v>
      </c>
      <c r="L858" s="56">
        <f t="shared" si="141"/>
        <v>1274</v>
      </c>
      <c r="M858" s="66">
        <v>600</v>
      </c>
      <c r="N858" s="56">
        <f>30</f>
        <v>30</v>
      </c>
      <c r="O858" s="59">
        <v>240</v>
      </c>
      <c r="P858" s="59">
        <v>40</v>
      </c>
      <c r="Q858" s="59">
        <f t="shared" si="142"/>
        <v>315</v>
      </c>
      <c r="R858" s="59">
        <f t="shared" si="143"/>
        <v>100</v>
      </c>
      <c r="S858" s="56">
        <f t="shared" si="144"/>
        <v>695</v>
      </c>
      <c r="T858" s="56">
        <f>0</f>
        <v>0</v>
      </c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</row>
    <row r="859" spans="1:30" ht="15.75" x14ac:dyDescent="0.25">
      <c r="A859" s="13">
        <v>67450</v>
      </c>
      <c r="B859" s="67">
        <f t="shared" si="140"/>
        <v>31</v>
      </c>
      <c r="C859" s="56">
        <f>194.205</f>
        <v>194.20500000000001</v>
      </c>
      <c r="D859" s="56">
        <f>267.466</f>
        <v>267.46600000000001</v>
      </c>
      <c r="E859" s="64">
        <f>133.845</f>
        <v>133.845</v>
      </c>
      <c r="F859" s="56">
        <f>278.484-40-25-60-100</f>
        <v>53.48399999999998</v>
      </c>
      <c r="G859" s="59">
        <v>40</v>
      </c>
      <c r="H859" s="56">
        <f t="shared" si="145"/>
        <v>185</v>
      </c>
      <c r="I859" s="56">
        <f t="shared" si="136"/>
        <v>0</v>
      </c>
      <c r="J859" s="59">
        <v>100</v>
      </c>
      <c r="K859" s="59">
        <v>300</v>
      </c>
      <c r="L859" s="56">
        <f t="shared" si="141"/>
        <v>1274</v>
      </c>
      <c r="M859" s="66">
        <v>600</v>
      </c>
      <c r="N859" s="56">
        <f>30</f>
        <v>30</v>
      </c>
      <c r="O859" s="59">
        <v>240</v>
      </c>
      <c r="P859" s="59">
        <v>40</v>
      </c>
      <c r="Q859" s="59">
        <f t="shared" si="142"/>
        <v>315</v>
      </c>
      <c r="R859" s="59">
        <f t="shared" si="143"/>
        <v>100</v>
      </c>
      <c r="S859" s="56">
        <f t="shared" si="144"/>
        <v>695</v>
      </c>
      <c r="T859" s="56">
        <f>0</f>
        <v>0</v>
      </c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</row>
    <row r="860" spans="1:30" ht="15.75" x14ac:dyDescent="0.25">
      <c r="A860" s="13">
        <v>67480</v>
      </c>
      <c r="B860" s="67">
        <f t="shared" si="140"/>
        <v>30</v>
      </c>
      <c r="C860" s="56">
        <f>194.205</f>
        <v>194.20500000000001</v>
      </c>
      <c r="D860" s="56">
        <f>267.466</f>
        <v>267.46600000000001</v>
      </c>
      <c r="E860" s="64">
        <f>133.845</f>
        <v>133.845</v>
      </c>
      <c r="F860" s="56">
        <f>278.484-40-25-60-100</f>
        <v>53.48399999999998</v>
      </c>
      <c r="G860" s="59">
        <v>40</v>
      </c>
      <c r="H860" s="56">
        <f t="shared" si="145"/>
        <v>185</v>
      </c>
      <c r="I860" s="56">
        <f t="shared" si="136"/>
        <v>0</v>
      </c>
      <c r="J860" s="59">
        <v>100</v>
      </c>
      <c r="K860" s="59">
        <v>300</v>
      </c>
      <c r="L860" s="56">
        <f t="shared" si="141"/>
        <v>1274</v>
      </c>
      <c r="M860" s="66">
        <v>600</v>
      </c>
      <c r="N860" s="56">
        <f>30</f>
        <v>30</v>
      </c>
      <c r="O860" s="59">
        <v>240</v>
      </c>
      <c r="P860" s="59">
        <v>40</v>
      </c>
      <c r="Q860" s="59">
        <f t="shared" si="142"/>
        <v>315</v>
      </c>
      <c r="R860" s="59">
        <f t="shared" si="143"/>
        <v>100</v>
      </c>
      <c r="S860" s="56">
        <f t="shared" si="144"/>
        <v>695</v>
      </c>
      <c r="T860" s="56">
        <f>0</f>
        <v>0</v>
      </c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</row>
    <row r="861" spans="1:30" ht="15.75" x14ac:dyDescent="0.25">
      <c r="A861" s="13">
        <v>67511</v>
      </c>
      <c r="B861" s="67">
        <f t="shared" si="140"/>
        <v>31</v>
      </c>
      <c r="C861" s="56">
        <f>131.881</f>
        <v>131.881</v>
      </c>
      <c r="D861" s="56">
        <f>277.167</f>
        <v>277.16699999999997</v>
      </c>
      <c r="E861" s="64">
        <f>79.08</f>
        <v>79.08</v>
      </c>
      <c r="F861" s="56">
        <f>350.872-40-25-60-100</f>
        <v>125.87200000000001</v>
      </c>
      <c r="G861" s="59">
        <v>40</v>
      </c>
      <c r="H861" s="56">
        <f t="shared" si="145"/>
        <v>185</v>
      </c>
      <c r="I861" s="56">
        <f t="shared" si="136"/>
        <v>0</v>
      </c>
      <c r="J861" s="59">
        <v>100</v>
      </c>
      <c r="K861" s="59">
        <v>300</v>
      </c>
      <c r="L861" s="56">
        <f t="shared" si="141"/>
        <v>1239</v>
      </c>
      <c r="M861" s="66">
        <v>600</v>
      </c>
      <c r="N861" s="56">
        <f>75</f>
        <v>75</v>
      </c>
      <c r="O861" s="59">
        <v>240</v>
      </c>
      <c r="P861" s="59">
        <v>40</v>
      </c>
      <c r="Q861" s="59">
        <f t="shared" si="142"/>
        <v>315</v>
      </c>
      <c r="R861" s="59">
        <f t="shared" si="143"/>
        <v>100</v>
      </c>
      <c r="S861" s="56">
        <f t="shared" si="144"/>
        <v>695</v>
      </c>
      <c r="T861" s="56">
        <f>0</f>
        <v>0</v>
      </c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</row>
    <row r="862" spans="1:30" ht="15.75" x14ac:dyDescent="0.25">
      <c r="A862" s="13">
        <v>67541</v>
      </c>
      <c r="B862" s="67">
        <f t="shared" si="140"/>
        <v>30</v>
      </c>
      <c r="C862" s="56">
        <f>122.58</f>
        <v>122.58</v>
      </c>
      <c r="D862" s="56">
        <f>297.941</f>
        <v>297.94099999999997</v>
      </c>
      <c r="E862" s="64">
        <f>89.177</f>
        <v>89.177000000000007</v>
      </c>
      <c r="F862" s="56">
        <f>240.302-40-60-100</f>
        <v>40.301999999999992</v>
      </c>
      <c r="G862" s="59">
        <v>40</v>
      </c>
      <c r="H862" s="56">
        <f>60+100</f>
        <v>160</v>
      </c>
      <c r="I862" s="56">
        <f t="shared" si="136"/>
        <v>0</v>
      </c>
      <c r="J862" s="59">
        <v>100</v>
      </c>
      <c r="K862" s="59">
        <v>300</v>
      </c>
      <c r="L862" s="56">
        <f t="shared" si="141"/>
        <v>1150</v>
      </c>
      <c r="M862" s="66">
        <v>600</v>
      </c>
      <c r="N862" s="56">
        <f>100</f>
        <v>100</v>
      </c>
      <c r="O862" s="59">
        <v>240</v>
      </c>
      <c r="P862" s="59">
        <v>40</v>
      </c>
      <c r="Q862" s="59">
        <f t="shared" si="142"/>
        <v>315</v>
      </c>
      <c r="R862" s="59">
        <f t="shared" si="143"/>
        <v>100</v>
      </c>
      <c r="S862" s="56">
        <f t="shared" si="144"/>
        <v>695</v>
      </c>
      <c r="T862" s="56">
        <f>50</f>
        <v>50</v>
      </c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</row>
    <row r="863" spans="1:30" ht="15.75" x14ac:dyDescent="0.25">
      <c r="A863" s="13">
        <v>67572</v>
      </c>
      <c r="B863" s="67">
        <f t="shared" si="140"/>
        <v>31</v>
      </c>
      <c r="C863" s="56">
        <f>122.58</f>
        <v>122.58</v>
      </c>
      <c r="D863" s="56">
        <f>297.941</f>
        <v>297.94099999999997</v>
      </c>
      <c r="E863" s="64">
        <f>89.177</f>
        <v>89.177000000000007</v>
      </c>
      <c r="F863" s="56">
        <f>240.302-40-60-100</f>
        <v>40.301999999999992</v>
      </c>
      <c r="G863" s="59">
        <v>40</v>
      </c>
      <c r="H863" s="56">
        <f>60+100</f>
        <v>160</v>
      </c>
      <c r="I863" s="56">
        <f t="shared" si="136"/>
        <v>0</v>
      </c>
      <c r="J863" s="59">
        <v>100</v>
      </c>
      <c r="K863" s="59">
        <v>300</v>
      </c>
      <c r="L863" s="56">
        <f t="shared" si="141"/>
        <v>1150</v>
      </c>
      <c r="M863" s="66">
        <v>600</v>
      </c>
      <c r="N863" s="56">
        <f>100</f>
        <v>100</v>
      </c>
      <c r="O863" s="59">
        <v>240</v>
      </c>
      <c r="P863" s="59">
        <v>40</v>
      </c>
      <c r="Q863" s="59">
        <f t="shared" si="142"/>
        <v>315</v>
      </c>
      <c r="R863" s="59">
        <f t="shared" si="143"/>
        <v>100</v>
      </c>
      <c r="S863" s="56">
        <f t="shared" si="144"/>
        <v>695</v>
      </c>
      <c r="T863" s="56">
        <f>50</f>
        <v>50</v>
      </c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</row>
    <row r="864" spans="1:30" ht="15.75" x14ac:dyDescent="0.25">
      <c r="A864" s="13">
        <v>67603</v>
      </c>
      <c r="B864" s="67">
        <f t="shared" si="140"/>
        <v>31</v>
      </c>
      <c r="C864" s="56">
        <f>122.58</f>
        <v>122.58</v>
      </c>
      <c r="D864" s="56">
        <f>297.941</f>
        <v>297.94099999999997</v>
      </c>
      <c r="E864" s="64">
        <f>89.177</f>
        <v>89.177000000000007</v>
      </c>
      <c r="F864" s="56">
        <f>240.302-40-60-100</f>
        <v>40.301999999999992</v>
      </c>
      <c r="G864" s="59">
        <v>40</v>
      </c>
      <c r="H864" s="56">
        <f>60+100</f>
        <v>160</v>
      </c>
      <c r="I864" s="56">
        <f t="shared" si="136"/>
        <v>0</v>
      </c>
      <c r="J864" s="59">
        <v>100</v>
      </c>
      <c r="K864" s="59">
        <v>300</v>
      </c>
      <c r="L864" s="56">
        <f t="shared" si="141"/>
        <v>1150</v>
      </c>
      <c r="M864" s="66">
        <v>600</v>
      </c>
      <c r="N864" s="56">
        <f>100</f>
        <v>100</v>
      </c>
      <c r="O864" s="59">
        <v>240</v>
      </c>
      <c r="P864" s="59">
        <v>40</v>
      </c>
      <c r="Q864" s="59">
        <f t="shared" si="142"/>
        <v>315</v>
      </c>
      <c r="R864" s="59">
        <f t="shared" si="143"/>
        <v>100</v>
      </c>
      <c r="S864" s="56">
        <f t="shared" si="144"/>
        <v>695</v>
      </c>
      <c r="T864" s="56">
        <f>50</f>
        <v>50</v>
      </c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</row>
    <row r="865" spans="1:30" ht="15.75" x14ac:dyDescent="0.25">
      <c r="A865" s="13">
        <v>67631</v>
      </c>
      <c r="B865" s="67">
        <f t="shared" si="140"/>
        <v>28</v>
      </c>
      <c r="C865" s="56">
        <f>122.58</f>
        <v>122.58</v>
      </c>
      <c r="D865" s="56">
        <f>297.941</f>
        <v>297.94099999999997</v>
      </c>
      <c r="E865" s="64">
        <f>89.177</f>
        <v>89.177000000000007</v>
      </c>
      <c r="F865" s="56">
        <f>240.302-40-60-100</f>
        <v>40.301999999999992</v>
      </c>
      <c r="G865" s="59">
        <v>40</v>
      </c>
      <c r="H865" s="56">
        <f>60+100</f>
        <v>160</v>
      </c>
      <c r="I865" s="56">
        <f t="shared" si="136"/>
        <v>0</v>
      </c>
      <c r="J865" s="59">
        <v>100</v>
      </c>
      <c r="K865" s="59">
        <v>300</v>
      </c>
      <c r="L865" s="56">
        <f t="shared" si="141"/>
        <v>1150</v>
      </c>
      <c r="M865" s="66">
        <v>600</v>
      </c>
      <c r="N865" s="56">
        <f>100</f>
        <v>100</v>
      </c>
      <c r="O865" s="59">
        <v>240</v>
      </c>
      <c r="P865" s="59">
        <v>40</v>
      </c>
      <c r="Q865" s="59">
        <f t="shared" si="142"/>
        <v>315</v>
      </c>
      <c r="R865" s="59">
        <f t="shared" si="143"/>
        <v>100</v>
      </c>
      <c r="S865" s="56">
        <f t="shared" si="144"/>
        <v>695</v>
      </c>
      <c r="T865" s="56">
        <f>50</f>
        <v>50</v>
      </c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</row>
    <row r="866" spans="1:30" ht="15.75" x14ac:dyDescent="0.25">
      <c r="A866" s="13">
        <v>67662</v>
      </c>
      <c r="B866" s="67">
        <f t="shared" si="140"/>
        <v>31</v>
      </c>
      <c r="C866" s="56">
        <f>122.58</f>
        <v>122.58</v>
      </c>
      <c r="D866" s="56">
        <f>297.941</f>
        <v>297.94099999999997</v>
      </c>
      <c r="E866" s="64">
        <f>89.177</f>
        <v>89.177000000000007</v>
      </c>
      <c r="F866" s="56">
        <f>240.302-40-60-100</f>
        <v>40.301999999999992</v>
      </c>
      <c r="G866" s="59">
        <v>40</v>
      </c>
      <c r="H866" s="56">
        <f>60+100</f>
        <v>160</v>
      </c>
      <c r="I866" s="56">
        <f t="shared" si="136"/>
        <v>0</v>
      </c>
      <c r="J866" s="59">
        <v>100</v>
      </c>
      <c r="K866" s="59">
        <v>300</v>
      </c>
      <c r="L866" s="56">
        <f t="shared" si="141"/>
        <v>1150</v>
      </c>
      <c r="M866" s="66">
        <v>600</v>
      </c>
      <c r="N866" s="56">
        <f>100</f>
        <v>100</v>
      </c>
      <c r="O866" s="59">
        <v>240</v>
      </c>
      <c r="P866" s="59">
        <v>40</v>
      </c>
      <c r="Q866" s="59">
        <f t="shared" si="142"/>
        <v>315</v>
      </c>
      <c r="R866" s="59">
        <f t="shared" si="143"/>
        <v>100</v>
      </c>
      <c r="S866" s="56">
        <f t="shared" si="144"/>
        <v>695</v>
      </c>
      <c r="T866" s="56">
        <f>50</f>
        <v>50</v>
      </c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</row>
    <row r="867" spans="1:30" ht="15.75" x14ac:dyDescent="0.25">
      <c r="A867" s="13">
        <v>67692</v>
      </c>
      <c r="B867" s="67">
        <f t="shared" si="140"/>
        <v>30</v>
      </c>
      <c r="C867" s="56">
        <f>141.293</f>
        <v>141.29300000000001</v>
      </c>
      <c r="D867" s="56">
        <f>267.993</f>
        <v>267.99299999999999</v>
      </c>
      <c r="E867" s="64">
        <f>115.016</f>
        <v>115.01600000000001</v>
      </c>
      <c r="F867" s="56">
        <f>314.698-40-25-60-100</f>
        <v>89.697999999999979</v>
      </c>
      <c r="G867" s="59">
        <v>40</v>
      </c>
      <c r="H867" s="56">
        <f t="shared" ref="H867:H873" si="146">25+60+100</f>
        <v>185</v>
      </c>
      <c r="I867" s="56">
        <f t="shared" si="136"/>
        <v>0</v>
      </c>
      <c r="J867" s="59">
        <v>100</v>
      </c>
      <c r="K867" s="59">
        <v>300</v>
      </c>
      <c r="L867" s="56">
        <f t="shared" si="141"/>
        <v>1239</v>
      </c>
      <c r="M867" s="66">
        <v>600</v>
      </c>
      <c r="N867" s="56">
        <f>100</f>
        <v>100</v>
      </c>
      <c r="O867" s="59">
        <v>240</v>
      </c>
      <c r="P867" s="59">
        <v>40</v>
      </c>
      <c r="Q867" s="59">
        <f t="shared" si="142"/>
        <v>315</v>
      </c>
      <c r="R867" s="59">
        <f t="shared" si="143"/>
        <v>100</v>
      </c>
      <c r="S867" s="56">
        <f t="shared" si="144"/>
        <v>695</v>
      </c>
      <c r="T867" s="56">
        <f>50</f>
        <v>50</v>
      </c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</row>
    <row r="868" spans="1:30" ht="15.75" x14ac:dyDescent="0.25">
      <c r="A868" s="13">
        <v>67723</v>
      </c>
      <c r="B868" s="67">
        <f t="shared" si="140"/>
        <v>31</v>
      </c>
      <c r="C868" s="56">
        <f>194.205</f>
        <v>194.20500000000001</v>
      </c>
      <c r="D868" s="56">
        <f>267.466</f>
        <v>267.46600000000001</v>
      </c>
      <c r="E868" s="64">
        <f>133.845</f>
        <v>133.845</v>
      </c>
      <c r="F868" s="56">
        <f>278.484-40-25-60-100</f>
        <v>53.48399999999998</v>
      </c>
      <c r="G868" s="59">
        <v>40</v>
      </c>
      <c r="H868" s="56">
        <f t="shared" si="146"/>
        <v>185</v>
      </c>
      <c r="I868" s="56">
        <f t="shared" si="136"/>
        <v>0</v>
      </c>
      <c r="J868" s="59">
        <v>100</v>
      </c>
      <c r="K868" s="59">
        <v>300</v>
      </c>
      <c r="L868" s="56">
        <f t="shared" si="141"/>
        <v>1274</v>
      </c>
      <c r="M868" s="66">
        <v>600</v>
      </c>
      <c r="N868" s="56">
        <f>75</f>
        <v>75</v>
      </c>
      <c r="O868" s="59">
        <v>240</v>
      </c>
      <c r="P868" s="59">
        <v>40</v>
      </c>
      <c r="Q868" s="59">
        <f t="shared" si="142"/>
        <v>315</v>
      </c>
      <c r="R868" s="59">
        <f t="shared" si="143"/>
        <v>100</v>
      </c>
      <c r="S868" s="56">
        <f t="shared" si="144"/>
        <v>695</v>
      </c>
      <c r="T868" s="56">
        <f>50</f>
        <v>50</v>
      </c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</row>
    <row r="869" spans="1:30" ht="15.75" x14ac:dyDescent="0.25">
      <c r="A869" s="13">
        <v>67753</v>
      </c>
      <c r="B869" s="67">
        <f t="shared" si="140"/>
        <v>30</v>
      </c>
      <c r="C869" s="56">
        <f>194.205</f>
        <v>194.20500000000001</v>
      </c>
      <c r="D869" s="56">
        <f>267.466</f>
        <v>267.46600000000001</v>
      </c>
      <c r="E869" s="64">
        <f>133.845</f>
        <v>133.845</v>
      </c>
      <c r="F869" s="56">
        <f>278.484-40-25-60-100</f>
        <v>53.48399999999998</v>
      </c>
      <c r="G869" s="59">
        <v>40</v>
      </c>
      <c r="H869" s="56">
        <f t="shared" si="146"/>
        <v>185</v>
      </c>
      <c r="I869" s="56">
        <f t="shared" si="136"/>
        <v>0</v>
      </c>
      <c r="J869" s="59">
        <v>100</v>
      </c>
      <c r="K869" s="59">
        <v>300</v>
      </c>
      <c r="L869" s="56">
        <f t="shared" si="141"/>
        <v>1274</v>
      </c>
      <c r="M869" s="66">
        <v>600</v>
      </c>
      <c r="N869" s="56">
        <f>30</f>
        <v>30</v>
      </c>
      <c r="O869" s="59">
        <v>240</v>
      </c>
      <c r="P869" s="59">
        <v>40</v>
      </c>
      <c r="Q869" s="59">
        <f t="shared" si="142"/>
        <v>315</v>
      </c>
      <c r="R869" s="59">
        <f t="shared" si="143"/>
        <v>100</v>
      </c>
      <c r="S869" s="56">
        <f t="shared" si="144"/>
        <v>695</v>
      </c>
      <c r="T869" s="56">
        <f>50</f>
        <v>50</v>
      </c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</row>
    <row r="870" spans="1:30" ht="15.75" x14ac:dyDescent="0.25">
      <c r="A870" s="13">
        <v>67784</v>
      </c>
      <c r="B870" s="67">
        <f t="shared" si="140"/>
        <v>31</v>
      </c>
      <c r="C870" s="56">
        <f>194.205</f>
        <v>194.20500000000001</v>
      </c>
      <c r="D870" s="56">
        <f>267.466</f>
        <v>267.46600000000001</v>
      </c>
      <c r="E870" s="64">
        <f>133.845</f>
        <v>133.845</v>
      </c>
      <c r="F870" s="56">
        <f>278.484-40-25-60-100</f>
        <v>53.48399999999998</v>
      </c>
      <c r="G870" s="59">
        <v>40</v>
      </c>
      <c r="H870" s="56">
        <f t="shared" si="146"/>
        <v>185</v>
      </c>
      <c r="I870" s="56">
        <f t="shared" si="136"/>
        <v>0</v>
      </c>
      <c r="J870" s="59">
        <v>100</v>
      </c>
      <c r="K870" s="59">
        <v>300</v>
      </c>
      <c r="L870" s="56">
        <f t="shared" si="141"/>
        <v>1274</v>
      </c>
      <c r="M870" s="66">
        <v>600</v>
      </c>
      <c r="N870" s="56">
        <f>30</f>
        <v>30</v>
      </c>
      <c r="O870" s="59">
        <v>240</v>
      </c>
      <c r="P870" s="59">
        <v>40</v>
      </c>
      <c r="Q870" s="59">
        <f t="shared" si="142"/>
        <v>315</v>
      </c>
      <c r="R870" s="59">
        <f t="shared" si="143"/>
        <v>100</v>
      </c>
      <c r="S870" s="56">
        <f t="shared" si="144"/>
        <v>695</v>
      </c>
      <c r="T870" s="56">
        <f>0</f>
        <v>0</v>
      </c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</row>
    <row r="871" spans="1:30" ht="15.75" x14ac:dyDescent="0.25">
      <c r="A871" s="13">
        <v>67815</v>
      </c>
      <c r="B871" s="67">
        <f t="shared" si="140"/>
        <v>31</v>
      </c>
      <c r="C871" s="56">
        <f>194.205</f>
        <v>194.20500000000001</v>
      </c>
      <c r="D871" s="56">
        <f>267.466</f>
        <v>267.46600000000001</v>
      </c>
      <c r="E871" s="64">
        <f>133.845</f>
        <v>133.845</v>
      </c>
      <c r="F871" s="56">
        <f>278.484-40-25-60-100</f>
        <v>53.48399999999998</v>
      </c>
      <c r="G871" s="59">
        <v>40</v>
      </c>
      <c r="H871" s="56">
        <f t="shared" si="146"/>
        <v>185</v>
      </c>
      <c r="I871" s="56">
        <f t="shared" si="136"/>
        <v>0</v>
      </c>
      <c r="J871" s="59">
        <v>100</v>
      </c>
      <c r="K871" s="59">
        <v>300</v>
      </c>
      <c r="L871" s="56">
        <f t="shared" si="141"/>
        <v>1274</v>
      </c>
      <c r="M871" s="66">
        <v>600</v>
      </c>
      <c r="N871" s="56">
        <f>30</f>
        <v>30</v>
      </c>
      <c r="O871" s="59">
        <v>240</v>
      </c>
      <c r="P871" s="59">
        <v>40</v>
      </c>
      <c r="Q871" s="59">
        <f t="shared" si="142"/>
        <v>315</v>
      </c>
      <c r="R871" s="59">
        <f t="shared" si="143"/>
        <v>100</v>
      </c>
      <c r="S871" s="56">
        <f t="shared" si="144"/>
        <v>695</v>
      </c>
      <c r="T871" s="56">
        <f>0</f>
        <v>0</v>
      </c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</row>
    <row r="872" spans="1:30" ht="15.75" x14ac:dyDescent="0.25">
      <c r="A872" s="13">
        <v>67845</v>
      </c>
      <c r="B872" s="67">
        <f t="shared" si="140"/>
        <v>30</v>
      </c>
      <c r="C872" s="56">
        <f>194.205</f>
        <v>194.20500000000001</v>
      </c>
      <c r="D872" s="56">
        <f>267.466</f>
        <v>267.46600000000001</v>
      </c>
      <c r="E872" s="64">
        <f>133.845</f>
        <v>133.845</v>
      </c>
      <c r="F872" s="56">
        <f>278.484-40-25-60-100</f>
        <v>53.48399999999998</v>
      </c>
      <c r="G872" s="59">
        <v>40</v>
      </c>
      <c r="H872" s="56">
        <f t="shared" si="146"/>
        <v>185</v>
      </c>
      <c r="I872" s="56">
        <f t="shared" ref="I872:I935" si="147">400-J872-K872</f>
        <v>0</v>
      </c>
      <c r="J872" s="59">
        <v>100</v>
      </c>
      <c r="K872" s="59">
        <v>300</v>
      </c>
      <c r="L872" s="56">
        <f t="shared" si="141"/>
        <v>1274</v>
      </c>
      <c r="M872" s="66">
        <v>600</v>
      </c>
      <c r="N872" s="56">
        <f>30</f>
        <v>30</v>
      </c>
      <c r="O872" s="59">
        <v>240</v>
      </c>
      <c r="P872" s="59">
        <v>40</v>
      </c>
      <c r="Q872" s="59">
        <f t="shared" si="142"/>
        <v>315</v>
      </c>
      <c r="R872" s="59">
        <f t="shared" si="143"/>
        <v>100</v>
      </c>
      <c r="S872" s="56">
        <f t="shared" si="144"/>
        <v>695</v>
      </c>
      <c r="T872" s="56">
        <f>0</f>
        <v>0</v>
      </c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</row>
    <row r="873" spans="1:30" ht="15.75" x14ac:dyDescent="0.25">
      <c r="A873" s="13">
        <v>67876</v>
      </c>
      <c r="B873" s="67">
        <f t="shared" si="140"/>
        <v>31</v>
      </c>
      <c r="C873" s="56">
        <f>131.881</f>
        <v>131.881</v>
      </c>
      <c r="D873" s="56">
        <f>277.167</f>
        <v>277.16699999999997</v>
      </c>
      <c r="E873" s="64">
        <f>79.08</f>
        <v>79.08</v>
      </c>
      <c r="F873" s="56">
        <f>350.872-40-25-60-100</f>
        <v>125.87200000000001</v>
      </c>
      <c r="G873" s="59">
        <v>40</v>
      </c>
      <c r="H873" s="56">
        <f t="shared" si="146"/>
        <v>185</v>
      </c>
      <c r="I873" s="56">
        <f t="shared" si="147"/>
        <v>0</v>
      </c>
      <c r="J873" s="59">
        <v>100</v>
      </c>
      <c r="K873" s="59">
        <v>300</v>
      </c>
      <c r="L873" s="56">
        <f t="shared" si="141"/>
        <v>1239</v>
      </c>
      <c r="M873" s="66">
        <v>600</v>
      </c>
      <c r="N873" s="56">
        <f>75</f>
        <v>75</v>
      </c>
      <c r="O873" s="59">
        <v>240</v>
      </c>
      <c r="P873" s="59">
        <v>40</v>
      </c>
      <c r="Q873" s="59">
        <f t="shared" si="142"/>
        <v>315</v>
      </c>
      <c r="R873" s="59">
        <f t="shared" si="143"/>
        <v>100</v>
      </c>
      <c r="S873" s="56">
        <f t="shared" si="144"/>
        <v>695</v>
      </c>
      <c r="T873" s="56">
        <f>0</f>
        <v>0</v>
      </c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</row>
    <row r="874" spans="1:30" ht="15.75" x14ac:dyDescent="0.25">
      <c r="A874" s="13">
        <v>67906</v>
      </c>
      <c r="B874" s="67">
        <f t="shared" si="140"/>
        <v>30</v>
      </c>
      <c r="C874" s="56">
        <f>122.58</f>
        <v>122.58</v>
      </c>
      <c r="D874" s="56">
        <f>297.941</f>
        <v>297.94099999999997</v>
      </c>
      <c r="E874" s="64">
        <f>89.177</f>
        <v>89.177000000000007</v>
      </c>
      <c r="F874" s="56">
        <f>240.302-40-60-100</f>
        <v>40.301999999999992</v>
      </c>
      <c r="G874" s="59">
        <v>40</v>
      </c>
      <c r="H874" s="56">
        <f>60+100</f>
        <v>160</v>
      </c>
      <c r="I874" s="56">
        <f t="shared" si="147"/>
        <v>0</v>
      </c>
      <c r="J874" s="59">
        <v>100</v>
      </c>
      <c r="K874" s="59">
        <v>300</v>
      </c>
      <c r="L874" s="56">
        <f t="shared" si="141"/>
        <v>1150</v>
      </c>
      <c r="M874" s="66">
        <v>600</v>
      </c>
      <c r="N874" s="56">
        <f>100</f>
        <v>100</v>
      </c>
      <c r="O874" s="59">
        <v>240</v>
      </c>
      <c r="P874" s="59">
        <v>40</v>
      </c>
      <c r="Q874" s="59">
        <f t="shared" si="142"/>
        <v>315</v>
      </c>
      <c r="R874" s="59">
        <f t="shared" si="143"/>
        <v>100</v>
      </c>
      <c r="S874" s="56">
        <f t="shared" si="144"/>
        <v>695</v>
      </c>
      <c r="T874" s="56">
        <f>50</f>
        <v>50</v>
      </c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</row>
    <row r="875" spans="1:30" ht="15.75" x14ac:dyDescent="0.25">
      <c r="A875" s="13">
        <v>67937</v>
      </c>
      <c r="B875" s="67">
        <f t="shared" si="140"/>
        <v>31</v>
      </c>
      <c r="C875" s="56">
        <f>122.58</f>
        <v>122.58</v>
      </c>
      <c r="D875" s="56">
        <f>297.941</f>
        <v>297.94099999999997</v>
      </c>
      <c r="E875" s="64">
        <f>89.177</f>
        <v>89.177000000000007</v>
      </c>
      <c r="F875" s="56">
        <f>240.302-40-60-100</f>
        <v>40.301999999999992</v>
      </c>
      <c r="G875" s="59">
        <v>40</v>
      </c>
      <c r="H875" s="56">
        <f>60+100</f>
        <v>160</v>
      </c>
      <c r="I875" s="56">
        <f t="shared" si="147"/>
        <v>0</v>
      </c>
      <c r="J875" s="59">
        <v>100</v>
      </c>
      <c r="K875" s="59">
        <v>300</v>
      </c>
      <c r="L875" s="56">
        <f t="shared" si="141"/>
        <v>1150</v>
      </c>
      <c r="M875" s="66">
        <v>600</v>
      </c>
      <c r="N875" s="56">
        <f>100</f>
        <v>100</v>
      </c>
      <c r="O875" s="59">
        <v>240</v>
      </c>
      <c r="P875" s="59">
        <v>40</v>
      </c>
      <c r="Q875" s="59">
        <f t="shared" si="142"/>
        <v>315</v>
      </c>
      <c r="R875" s="59">
        <f t="shared" si="143"/>
        <v>100</v>
      </c>
      <c r="S875" s="56">
        <f t="shared" si="144"/>
        <v>695</v>
      </c>
      <c r="T875" s="56">
        <f>50</f>
        <v>50</v>
      </c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</row>
    <row r="876" spans="1:30" ht="15.75" x14ac:dyDescent="0.25">
      <c r="A876" s="13">
        <v>67968</v>
      </c>
      <c r="B876" s="67">
        <f t="shared" si="140"/>
        <v>31</v>
      </c>
      <c r="C876" s="56">
        <f>122.58</f>
        <v>122.58</v>
      </c>
      <c r="D876" s="56">
        <f>297.941</f>
        <v>297.94099999999997</v>
      </c>
      <c r="E876" s="64">
        <f>89.177</f>
        <v>89.177000000000007</v>
      </c>
      <c r="F876" s="56">
        <f>240.302-40-60-100</f>
        <v>40.301999999999992</v>
      </c>
      <c r="G876" s="59">
        <v>40</v>
      </c>
      <c r="H876" s="56">
        <f>60+100</f>
        <v>160</v>
      </c>
      <c r="I876" s="56">
        <f t="shared" si="147"/>
        <v>0</v>
      </c>
      <c r="J876" s="59">
        <v>100</v>
      </c>
      <c r="K876" s="59">
        <v>300</v>
      </c>
      <c r="L876" s="56">
        <f t="shared" si="141"/>
        <v>1150</v>
      </c>
      <c r="M876" s="66">
        <v>600</v>
      </c>
      <c r="N876" s="56">
        <f>100</f>
        <v>100</v>
      </c>
      <c r="O876" s="59">
        <v>240</v>
      </c>
      <c r="P876" s="59">
        <v>40</v>
      </c>
      <c r="Q876" s="59">
        <f t="shared" si="142"/>
        <v>315</v>
      </c>
      <c r="R876" s="59">
        <f t="shared" si="143"/>
        <v>100</v>
      </c>
      <c r="S876" s="56">
        <f t="shared" si="144"/>
        <v>695</v>
      </c>
      <c r="T876" s="56">
        <f>50</f>
        <v>50</v>
      </c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</row>
    <row r="877" spans="1:30" ht="15.75" x14ac:dyDescent="0.25">
      <c r="A877" s="13">
        <v>67996</v>
      </c>
      <c r="B877" s="67">
        <f t="shared" si="140"/>
        <v>28</v>
      </c>
      <c r="C877" s="56">
        <f>122.58</f>
        <v>122.58</v>
      </c>
      <c r="D877" s="56">
        <f>297.941</f>
        <v>297.94099999999997</v>
      </c>
      <c r="E877" s="64">
        <f>89.177</f>
        <v>89.177000000000007</v>
      </c>
      <c r="F877" s="56">
        <f>240.302-40-60-100</f>
        <v>40.301999999999992</v>
      </c>
      <c r="G877" s="59">
        <v>40</v>
      </c>
      <c r="H877" s="56">
        <f>60+100</f>
        <v>160</v>
      </c>
      <c r="I877" s="56">
        <f t="shared" si="147"/>
        <v>0</v>
      </c>
      <c r="J877" s="59">
        <v>100</v>
      </c>
      <c r="K877" s="59">
        <v>300</v>
      </c>
      <c r="L877" s="56">
        <f t="shared" si="141"/>
        <v>1150</v>
      </c>
      <c r="M877" s="66">
        <v>600</v>
      </c>
      <c r="N877" s="56">
        <f>100</f>
        <v>100</v>
      </c>
      <c r="O877" s="59">
        <v>240</v>
      </c>
      <c r="P877" s="59">
        <v>40</v>
      </c>
      <c r="Q877" s="59">
        <f t="shared" si="142"/>
        <v>315</v>
      </c>
      <c r="R877" s="59">
        <f t="shared" si="143"/>
        <v>100</v>
      </c>
      <c r="S877" s="56">
        <f t="shared" si="144"/>
        <v>695</v>
      </c>
      <c r="T877" s="56">
        <f>50</f>
        <v>50</v>
      </c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</row>
    <row r="878" spans="1:30" ht="15.75" x14ac:dyDescent="0.25">
      <c r="A878" s="13">
        <v>68027</v>
      </c>
      <c r="B878" s="67">
        <f t="shared" si="140"/>
        <v>31</v>
      </c>
      <c r="C878" s="56">
        <f>122.58</f>
        <v>122.58</v>
      </c>
      <c r="D878" s="56">
        <f>297.941</f>
        <v>297.94099999999997</v>
      </c>
      <c r="E878" s="64">
        <f>89.177</f>
        <v>89.177000000000007</v>
      </c>
      <c r="F878" s="56">
        <f>240.302-40-60-100</f>
        <v>40.301999999999992</v>
      </c>
      <c r="G878" s="59">
        <v>40</v>
      </c>
      <c r="H878" s="56">
        <f>60+100</f>
        <v>160</v>
      </c>
      <c r="I878" s="56">
        <f t="shared" si="147"/>
        <v>0</v>
      </c>
      <c r="J878" s="59">
        <v>100</v>
      </c>
      <c r="K878" s="59">
        <v>300</v>
      </c>
      <c r="L878" s="56">
        <f t="shared" si="141"/>
        <v>1150</v>
      </c>
      <c r="M878" s="66">
        <v>600</v>
      </c>
      <c r="N878" s="56">
        <f>100</f>
        <v>100</v>
      </c>
      <c r="O878" s="59">
        <v>240</v>
      </c>
      <c r="P878" s="59">
        <v>40</v>
      </c>
      <c r="Q878" s="59">
        <f t="shared" si="142"/>
        <v>315</v>
      </c>
      <c r="R878" s="59">
        <f t="shared" si="143"/>
        <v>100</v>
      </c>
      <c r="S878" s="56">
        <f t="shared" si="144"/>
        <v>695</v>
      </c>
      <c r="T878" s="56">
        <f>50</f>
        <v>50</v>
      </c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</row>
    <row r="879" spans="1:30" ht="15.75" x14ac:dyDescent="0.25">
      <c r="A879" s="13">
        <v>68057</v>
      </c>
      <c r="B879" s="67">
        <f t="shared" si="140"/>
        <v>30</v>
      </c>
      <c r="C879" s="56">
        <f>141.293</f>
        <v>141.29300000000001</v>
      </c>
      <c r="D879" s="56">
        <f>267.993</f>
        <v>267.99299999999999</v>
      </c>
      <c r="E879" s="64">
        <f>115.016</f>
        <v>115.01600000000001</v>
      </c>
      <c r="F879" s="56">
        <f>314.698-40-25-60-100</f>
        <v>89.697999999999979</v>
      </c>
      <c r="G879" s="59">
        <v>40</v>
      </c>
      <c r="H879" s="56">
        <f t="shared" ref="H879:H885" si="148">25+60+100</f>
        <v>185</v>
      </c>
      <c r="I879" s="56">
        <f t="shared" si="147"/>
        <v>0</v>
      </c>
      <c r="J879" s="59">
        <v>100</v>
      </c>
      <c r="K879" s="59">
        <v>300</v>
      </c>
      <c r="L879" s="56">
        <f t="shared" si="141"/>
        <v>1239</v>
      </c>
      <c r="M879" s="66">
        <v>600</v>
      </c>
      <c r="N879" s="56">
        <f>100</f>
        <v>100</v>
      </c>
      <c r="O879" s="59">
        <v>240</v>
      </c>
      <c r="P879" s="59">
        <v>40</v>
      </c>
      <c r="Q879" s="59">
        <f t="shared" si="142"/>
        <v>315</v>
      </c>
      <c r="R879" s="59">
        <f t="shared" si="143"/>
        <v>100</v>
      </c>
      <c r="S879" s="56">
        <f t="shared" si="144"/>
        <v>695</v>
      </c>
      <c r="T879" s="56">
        <f>50</f>
        <v>50</v>
      </c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</row>
    <row r="880" spans="1:30" ht="15.75" x14ac:dyDescent="0.25">
      <c r="A880" s="13">
        <v>68088</v>
      </c>
      <c r="B880" s="67">
        <f t="shared" si="140"/>
        <v>31</v>
      </c>
      <c r="C880" s="56">
        <f>194.205</f>
        <v>194.20500000000001</v>
      </c>
      <c r="D880" s="56">
        <f>267.466</f>
        <v>267.46600000000001</v>
      </c>
      <c r="E880" s="64">
        <f>133.845</f>
        <v>133.845</v>
      </c>
      <c r="F880" s="56">
        <f>278.484-40-25-60-100</f>
        <v>53.48399999999998</v>
      </c>
      <c r="G880" s="59">
        <v>40</v>
      </c>
      <c r="H880" s="56">
        <f t="shared" si="148"/>
        <v>185</v>
      </c>
      <c r="I880" s="56">
        <f t="shared" si="147"/>
        <v>0</v>
      </c>
      <c r="J880" s="59">
        <v>100</v>
      </c>
      <c r="K880" s="59">
        <v>300</v>
      </c>
      <c r="L880" s="56">
        <f t="shared" si="141"/>
        <v>1274</v>
      </c>
      <c r="M880" s="66">
        <v>600</v>
      </c>
      <c r="N880" s="56">
        <f>75</f>
        <v>75</v>
      </c>
      <c r="O880" s="59">
        <v>240</v>
      </c>
      <c r="P880" s="59">
        <v>40</v>
      </c>
      <c r="Q880" s="59">
        <f t="shared" si="142"/>
        <v>315</v>
      </c>
      <c r="R880" s="59">
        <f t="shared" si="143"/>
        <v>100</v>
      </c>
      <c r="S880" s="56">
        <f t="shared" si="144"/>
        <v>695</v>
      </c>
      <c r="T880" s="56">
        <f>50</f>
        <v>50</v>
      </c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</row>
    <row r="881" spans="1:30" ht="15.75" x14ac:dyDescent="0.25">
      <c r="A881" s="13">
        <v>68118</v>
      </c>
      <c r="B881" s="67">
        <f t="shared" si="140"/>
        <v>30</v>
      </c>
      <c r="C881" s="56">
        <f>194.205</f>
        <v>194.20500000000001</v>
      </c>
      <c r="D881" s="56">
        <f>267.466</f>
        <v>267.46600000000001</v>
      </c>
      <c r="E881" s="64">
        <f>133.845</f>
        <v>133.845</v>
      </c>
      <c r="F881" s="56">
        <f>278.484-40-25-60-100</f>
        <v>53.48399999999998</v>
      </c>
      <c r="G881" s="59">
        <v>40</v>
      </c>
      <c r="H881" s="56">
        <f t="shared" si="148"/>
        <v>185</v>
      </c>
      <c r="I881" s="56">
        <f t="shared" si="147"/>
        <v>0</v>
      </c>
      <c r="J881" s="59">
        <v>100</v>
      </c>
      <c r="K881" s="59">
        <v>300</v>
      </c>
      <c r="L881" s="56">
        <f t="shared" si="141"/>
        <v>1274</v>
      </c>
      <c r="M881" s="66">
        <v>600</v>
      </c>
      <c r="N881" s="56">
        <f>30</f>
        <v>30</v>
      </c>
      <c r="O881" s="59">
        <v>240</v>
      </c>
      <c r="P881" s="59">
        <v>40</v>
      </c>
      <c r="Q881" s="59">
        <f t="shared" si="142"/>
        <v>315</v>
      </c>
      <c r="R881" s="59">
        <f t="shared" si="143"/>
        <v>100</v>
      </c>
      <c r="S881" s="56">
        <f t="shared" si="144"/>
        <v>695</v>
      </c>
      <c r="T881" s="56">
        <f>50</f>
        <v>50</v>
      </c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</row>
    <row r="882" spans="1:30" ht="15.75" x14ac:dyDescent="0.25">
      <c r="A882" s="13">
        <v>68149</v>
      </c>
      <c r="B882" s="67">
        <f t="shared" si="140"/>
        <v>31</v>
      </c>
      <c r="C882" s="56">
        <f>194.205</f>
        <v>194.20500000000001</v>
      </c>
      <c r="D882" s="56">
        <f>267.466</f>
        <v>267.46600000000001</v>
      </c>
      <c r="E882" s="64">
        <f>133.845</f>
        <v>133.845</v>
      </c>
      <c r="F882" s="56">
        <f>278.484-40-25-60-100</f>
        <v>53.48399999999998</v>
      </c>
      <c r="G882" s="59">
        <v>40</v>
      </c>
      <c r="H882" s="56">
        <f t="shared" si="148"/>
        <v>185</v>
      </c>
      <c r="I882" s="56">
        <f t="shared" si="147"/>
        <v>0</v>
      </c>
      <c r="J882" s="59">
        <v>100</v>
      </c>
      <c r="K882" s="59">
        <v>300</v>
      </c>
      <c r="L882" s="56">
        <f t="shared" si="141"/>
        <v>1274</v>
      </c>
      <c r="M882" s="66">
        <v>600</v>
      </c>
      <c r="N882" s="56">
        <f>30</f>
        <v>30</v>
      </c>
      <c r="O882" s="59">
        <v>240</v>
      </c>
      <c r="P882" s="59">
        <v>40</v>
      </c>
      <c r="Q882" s="59">
        <f t="shared" si="142"/>
        <v>315</v>
      </c>
      <c r="R882" s="59">
        <f t="shared" si="143"/>
        <v>100</v>
      </c>
      <c r="S882" s="56">
        <f t="shared" si="144"/>
        <v>695</v>
      </c>
      <c r="T882" s="56">
        <f>0</f>
        <v>0</v>
      </c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</row>
    <row r="883" spans="1:30" ht="15.75" x14ac:dyDescent="0.25">
      <c r="A883" s="13">
        <v>68180</v>
      </c>
      <c r="B883" s="67">
        <f t="shared" si="140"/>
        <v>31</v>
      </c>
      <c r="C883" s="56">
        <f>194.205</f>
        <v>194.20500000000001</v>
      </c>
      <c r="D883" s="56">
        <f>267.466</f>
        <v>267.46600000000001</v>
      </c>
      <c r="E883" s="64">
        <f>133.845</f>
        <v>133.845</v>
      </c>
      <c r="F883" s="56">
        <f>278.484-40-25-60-100</f>
        <v>53.48399999999998</v>
      </c>
      <c r="G883" s="59">
        <v>40</v>
      </c>
      <c r="H883" s="56">
        <f t="shared" si="148"/>
        <v>185</v>
      </c>
      <c r="I883" s="56">
        <f t="shared" si="147"/>
        <v>0</v>
      </c>
      <c r="J883" s="59">
        <v>100</v>
      </c>
      <c r="K883" s="59">
        <v>300</v>
      </c>
      <c r="L883" s="56">
        <f t="shared" si="141"/>
        <v>1274</v>
      </c>
      <c r="M883" s="66">
        <v>600</v>
      </c>
      <c r="N883" s="56">
        <f>30</f>
        <v>30</v>
      </c>
      <c r="O883" s="59">
        <v>240</v>
      </c>
      <c r="P883" s="59">
        <v>40</v>
      </c>
      <c r="Q883" s="59">
        <f t="shared" si="142"/>
        <v>315</v>
      </c>
      <c r="R883" s="59">
        <f t="shared" si="143"/>
        <v>100</v>
      </c>
      <c r="S883" s="56">
        <f t="shared" si="144"/>
        <v>695</v>
      </c>
      <c r="T883" s="56">
        <f>0</f>
        <v>0</v>
      </c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</row>
    <row r="884" spans="1:30" ht="15.75" x14ac:dyDescent="0.25">
      <c r="A884" s="13">
        <v>68210</v>
      </c>
      <c r="B884" s="67">
        <f t="shared" si="140"/>
        <v>30</v>
      </c>
      <c r="C884" s="56">
        <f>194.205</f>
        <v>194.20500000000001</v>
      </c>
      <c r="D884" s="56">
        <f>267.466</f>
        <v>267.46600000000001</v>
      </c>
      <c r="E884" s="64">
        <f>133.845</f>
        <v>133.845</v>
      </c>
      <c r="F884" s="56">
        <f>278.484-40-25-60-100</f>
        <v>53.48399999999998</v>
      </c>
      <c r="G884" s="59">
        <v>40</v>
      </c>
      <c r="H884" s="56">
        <f t="shared" si="148"/>
        <v>185</v>
      </c>
      <c r="I884" s="56">
        <f t="shared" si="147"/>
        <v>0</v>
      </c>
      <c r="J884" s="59">
        <v>100</v>
      </c>
      <c r="K884" s="59">
        <v>300</v>
      </c>
      <c r="L884" s="56">
        <f t="shared" si="141"/>
        <v>1274</v>
      </c>
      <c r="M884" s="66">
        <v>600</v>
      </c>
      <c r="N884" s="56">
        <f>30</f>
        <v>30</v>
      </c>
      <c r="O884" s="59">
        <v>240</v>
      </c>
      <c r="P884" s="59">
        <v>40</v>
      </c>
      <c r="Q884" s="59">
        <f t="shared" si="142"/>
        <v>315</v>
      </c>
      <c r="R884" s="59">
        <f t="shared" si="143"/>
        <v>100</v>
      </c>
      <c r="S884" s="56">
        <f t="shared" si="144"/>
        <v>695</v>
      </c>
      <c r="T884" s="56">
        <f>0</f>
        <v>0</v>
      </c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</row>
    <row r="885" spans="1:30" ht="15.75" x14ac:dyDescent="0.25">
      <c r="A885" s="13">
        <v>68241</v>
      </c>
      <c r="B885" s="67">
        <f t="shared" si="140"/>
        <v>31</v>
      </c>
      <c r="C885" s="56">
        <f>131.881</f>
        <v>131.881</v>
      </c>
      <c r="D885" s="56">
        <f>277.167</f>
        <v>277.16699999999997</v>
      </c>
      <c r="E885" s="64">
        <f>79.08</f>
        <v>79.08</v>
      </c>
      <c r="F885" s="56">
        <f>350.872-40-25-60-100</f>
        <v>125.87200000000001</v>
      </c>
      <c r="G885" s="59">
        <v>40</v>
      </c>
      <c r="H885" s="56">
        <f t="shared" si="148"/>
        <v>185</v>
      </c>
      <c r="I885" s="56">
        <f t="shared" si="147"/>
        <v>0</v>
      </c>
      <c r="J885" s="59">
        <v>100</v>
      </c>
      <c r="K885" s="59">
        <v>300</v>
      </c>
      <c r="L885" s="56">
        <f t="shared" si="141"/>
        <v>1239</v>
      </c>
      <c r="M885" s="66">
        <v>600</v>
      </c>
      <c r="N885" s="56">
        <f>75</f>
        <v>75</v>
      </c>
      <c r="O885" s="59">
        <v>240</v>
      </c>
      <c r="P885" s="59">
        <v>40</v>
      </c>
      <c r="Q885" s="59">
        <f t="shared" si="142"/>
        <v>315</v>
      </c>
      <c r="R885" s="59">
        <f t="shared" si="143"/>
        <v>100</v>
      </c>
      <c r="S885" s="56">
        <f t="shared" si="144"/>
        <v>695</v>
      </c>
      <c r="T885" s="56">
        <f>0</f>
        <v>0</v>
      </c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</row>
    <row r="886" spans="1:30" ht="15.75" x14ac:dyDescent="0.25">
      <c r="A886" s="13">
        <v>68271</v>
      </c>
      <c r="B886" s="67">
        <f t="shared" si="140"/>
        <v>30</v>
      </c>
      <c r="C886" s="56">
        <f>122.58</f>
        <v>122.58</v>
      </c>
      <c r="D886" s="56">
        <f>297.941</f>
        <v>297.94099999999997</v>
      </c>
      <c r="E886" s="64">
        <f>89.177</f>
        <v>89.177000000000007</v>
      </c>
      <c r="F886" s="56">
        <f>240.302-40-60-100</f>
        <v>40.301999999999992</v>
      </c>
      <c r="G886" s="59">
        <v>40</v>
      </c>
      <c r="H886" s="56">
        <f>60+100</f>
        <v>160</v>
      </c>
      <c r="I886" s="56">
        <f t="shared" si="147"/>
        <v>0</v>
      </c>
      <c r="J886" s="59">
        <v>100</v>
      </c>
      <c r="K886" s="59">
        <v>300</v>
      </c>
      <c r="L886" s="56">
        <f t="shared" si="141"/>
        <v>1150</v>
      </c>
      <c r="M886" s="66">
        <v>600</v>
      </c>
      <c r="N886" s="56">
        <f>100</f>
        <v>100</v>
      </c>
      <c r="O886" s="59">
        <v>240</v>
      </c>
      <c r="P886" s="59">
        <v>40</v>
      </c>
      <c r="Q886" s="59">
        <f t="shared" si="142"/>
        <v>315</v>
      </c>
      <c r="R886" s="59">
        <f t="shared" si="143"/>
        <v>100</v>
      </c>
      <c r="S886" s="56">
        <f t="shared" si="144"/>
        <v>695</v>
      </c>
      <c r="T886" s="56">
        <f>50</f>
        <v>50</v>
      </c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</row>
    <row r="887" spans="1:30" ht="15.75" x14ac:dyDescent="0.25">
      <c r="A887" s="13">
        <v>68302</v>
      </c>
      <c r="B887" s="67">
        <f t="shared" si="140"/>
        <v>31</v>
      </c>
      <c r="C887" s="56">
        <f>122.58</f>
        <v>122.58</v>
      </c>
      <c r="D887" s="56">
        <f>297.941</f>
        <v>297.94099999999997</v>
      </c>
      <c r="E887" s="64">
        <f>89.177</f>
        <v>89.177000000000007</v>
      </c>
      <c r="F887" s="56">
        <f>240.302-40-60-100</f>
        <v>40.301999999999992</v>
      </c>
      <c r="G887" s="59">
        <v>40</v>
      </c>
      <c r="H887" s="56">
        <f>60+100</f>
        <v>160</v>
      </c>
      <c r="I887" s="56">
        <f t="shared" si="147"/>
        <v>0</v>
      </c>
      <c r="J887" s="59">
        <v>100</v>
      </c>
      <c r="K887" s="59">
        <v>300</v>
      </c>
      <c r="L887" s="56">
        <f t="shared" si="141"/>
        <v>1150</v>
      </c>
      <c r="M887" s="66">
        <v>600</v>
      </c>
      <c r="N887" s="56">
        <f>100</f>
        <v>100</v>
      </c>
      <c r="O887" s="59">
        <v>240</v>
      </c>
      <c r="P887" s="59">
        <v>40</v>
      </c>
      <c r="Q887" s="59">
        <f t="shared" si="142"/>
        <v>315</v>
      </c>
      <c r="R887" s="59">
        <f t="shared" si="143"/>
        <v>100</v>
      </c>
      <c r="S887" s="56">
        <f t="shared" si="144"/>
        <v>695</v>
      </c>
      <c r="T887" s="56">
        <f>50</f>
        <v>50</v>
      </c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</row>
    <row r="888" spans="1:30" ht="15.75" x14ac:dyDescent="0.25">
      <c r="A888" s="13">
        <v>68333</v>
      </c>
      <c r="B888" s="67">
        <f t="shared" si="140"/>
        <v>31</v>
      </c>
      <c r="C888" s="56">
        <f>122.58</f>
        <v>122.58</v>
      </c>
      <c r="D888" s="56">
        <f>297.941</f>
        <v>297.94099999999997</v>
      </c>
      <c r="E888" s="64">
        <f>89.177</f>
        <v>89.177000000000007</v>
      </c>
      <c r="F888" s="56">
        <f>240.302-40-60-100</f>
        <v>40.301999999999992</v>
      </c>
      <c r="G888" s="59">
        <v>40</v>
      </c>
      <c r="H888" s="56">
        <f>60+100</f>
        <v>160</v>
      </c>
      <c r="I888" s="56">
        <f t="shared" si="147"/>
        <v>0</v>
      </c>
      <c r="J888" s="59">
        <v>100</v>
      </c>
      <c r="K888" s="59">
        <v>300</v>
      </c>
      <c r="L888" s="56">
        <f t="shared" si="141"/>
        <v>1150</v>
      </c>
      <c r="M888" s="66">
        <v>600</v>
      </c>
      <c r="N888" s="56">
        <f>100</f>
        <v>100</v>
      </c>
      <c r="O888" s="59">
        <v>240</v>
      </c>
      <c r="P888" s="59">
        <v>40</v>
      </c>
      <c r="Q888" s="59">
        <f t="shared" si="142"/>
        <v>315</v>
      </c>
      <c r="R888" s="59">
        <f t="shared" si="143"/>
        <v>100</v>
      </c>
      <c r="S888" s="56">
        <f t="shared" si="144"/>
        <v>695</v>
      </c>
      <c r="T888" s="56">
        <f>50</f>
        <v>50</v>
      </c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</row>
    <row r="889" spans="1:30" ht="15.75" x14ac:dyDescent="0.25">
      <c r="A889" s="13">
        <v>68361</v>
      </c>
      <c r="B889" s="67">
        <f t="shared" si="140"/>
        <v>28</v>
      </c>
      <c r="C889" s="56">
        <f>122.58</f>
        <v>122.58</v>
      </c>
      <c r="D889" s="56">
        <f>297.941</f>
        <v>297.94099999999997</v>
      </c>
      <c r="E889" s="64">
        <f>89.177</f>
        <v>89.177000000000007</v>
      </c>
      <c r="F889" s="56">
        <f>240.302-40-60-100</f>
        <v>40.301999999999992</v>
      </c>
      <c r="G889" s="59">
        <v>40</v>
      </c>
      <c r="H889" s="56">
        <f>60+100</f>
        <v>160</v>
      </c>
      <c r="I889" s="56">
        <f t="shared" si="147"/>
        <v>0</v>
      </c>
      <c r="J889" s="59">
        <v>100</v>
      </c>
      <c r="K889" s="59">
        <v>300</v>
      </c>
      <c r="L889" s="56">
        <f t="shared" si="141"/>
        <v>1150</v>
      </c>
      <c r="M889" s="66">
        <v>600</v>
      </c>
      <c r="N889" s="56">
        <f>100</f>
        <v>100</v>
      </c>
      <c r="O889" s="59">
        <v>240</v>
      </c>
      <c r="P889" s="59">
        <v>40</v>
      </c>
      <c r="Q889" s="59">
        <f t="shared" si="142"/>
        <v>315</v>
      </c>
      <c r="R889" s="59">
        <f t="shared" si="143"/>
        <v>100</v>
      </c>
      <c r="S889" s="56">
        <f t="shared" si="144"/>
        <v>695</v>
      </c>
      <c r="T889" s="56">
        <f>50</f>
        <v>50</v>
      </c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</row>
    <row r="890" spans="1:30" ht="15.75" x14ac:dyDescent="0.25">
      <c r="A890" s="13">
        <v>68392</v>
      </c>
      <c r="B890" s="67">
        <f t="shared" si="140"/>
        <v>31</v>
      </c>
      <c r="C890" s="56">
        <f>122.58</f>
        <v>122.58</v>
      </c>
      <c r="D890" s="56">
        <f>297.941</f>
        <v>297.94099999999997</v>
      </c>
      <c r="E890" s="64">
        <f>89.177</f>
        <v>89.177000000000007</v>
      </c>
      <c r="F890" s="56">
        <f>240.302-40-60-100</f>
        <v>40.301999999999992</v>
      </c>
      <c r="G890" s="59">
        <v>40</v>
      </c>
      <c r="H890" s="56">
        <f>60+100</f>
        <v>160</v>
      </c>
      <c r="I890" s="56">
        <f t="shared" si="147"/>
        <v>0</v>
      </c>
      <c r="J890" s="59">
        <v>100</v>
      </c>
      <c r="K890" s="59">
        <v>300</v>
      </c>
      <c r="L890" s="56">
        <f t="shared" si="141"/>
        <v>1150</v>
      </c>
      <c r="M890" s="66">
        <v>600</v>
      </c>
      <c r="N890" s="56">
        <f>100</f>
        <v>100</v>
      </c>
      <c r="O890" s="59">
        <v>240</v>
      </c>
      <c r="P890" s="59">
        <v>40</v>
      </c>
      <c r="Q890" s="59">
        <f t="shared" si="142"/>
        <v>315</v>
      </c>
      <c r="R890" s="59">
        <f t="shared" si="143"/>
        <v>100</v>
      </c>
      <c r="S890" s="56">
        <f t="shared" si="144"/>
        <v>695</v>
      </c>
      <c r="T890" s="56">
        <f>50</f>
        <v>50</v>
      </c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</row>
    <row r="891" spans="1:30" ht="15.75" x14ac:dyDescent="0.25">
      <c r="A891" s="13">
        <v>68422</v>
      </c>
      <c r="B891" s="67">
        <f t="shared" si="140"/>
        <v>30</v>
      </c>
      <c r="C891" s="56">
        <f>141.293</f>
        <v>141.29300000000001</v>
      </c>
      <c r="D891" s="56">
        <f>267.993</f>
        <v>267.99299999999999</v>
      </c>
      <c r="E891" s="64">
        <f>115.016</f>
        <v>115.01600000000001</v>
      </c>
      <c r="F891" s="56">
        <f>314.698-40-25-60-100</f>
        <v>89.697999999999979</v>
      </c>
      <c r="G891" s="59">
        <v>40</v>
      </c>
      <c r="H891" s="56">
        <f t="shared" ref="H891:H897" si="149">25+60+100</f>
        <v>185</v>
      </c>
      <c r="I891" s="56">
        <f t="shared" si="147"/>
        <v>0</v>
      </c>
      <c r="J891" s="59">
        <v>100</v>
      </c>
      <c r="K891" s="59">
        <v>300</v>
      </c>
      <c r="L891" s="56">
        <f t="shared" si="141"/>
        <v>1239</v>
      </c>
      <c r="M891" s="66">
        <v>600</v>
      </c>
      <c r="N891" s="56">
        <f>100</f>
        <v>100</v>
      </c>
      <c r="O891" s="59">
        <v>240</v>
      </c>
      <c r="P891" s="59">
        <v>40</v>
      </c>
      <c r="Q891" s="59">
        <f t="shared" si="142"/>
        <v>315</v>
      </c>
      <c r="R891" s="59">
        <f t="shared" si="143"/>
        <v>100</v>
      </c>
      <c r="S891" s="56">
        <f t="shared" si="144"/>
        <v>695</v>
      </c>
      <c r="T891" s="56">
        <f>50</f>
        <v>50</v>
      </c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</row>
    <row r="892" spans="1:30" ht="15.75" x14ac:dyDescent="0.25">
      <c r="A892" s="13">
        <v>68453</v>
      </c>
      <c r="B892" s="67">
        <f t="shared" si="140"/>
        <v>31</v>
      </c>
      <c r="C892" s="56">
        <f>194.205</f>
        <v>194.20500000000001</v>
      </c>
      <c r="D892" s="56">
        <f>267.466</f>
        <v>267.46600000000001</v>
      </c>
      <c r="E892" s="64">
        <f>133.845</f>
        <v>133.845</v>
      </c>
      <c r="F892" s="56">
        <f>278.484-40-25-60-100</f>
        <v>53.48399999999998</v>
      </c>
      <c r="G892" s="59">
        <v>40</v>
      </c>
      <c r="H892" s="56">
        <f t="shared" si="149"/>
        <v>185</v>
      </c>
      <c r="I892" s="56">
        <f t="shared" si="147"/>
        <v>0</v>
      </c>
      <c r="J892" s="59">
        <v>100</v>
      </c>
      <c r="K892" s="59">
        <v>300</v>
      </c>
      <c r="L892" s="56">
        <f t="shared" si="141"/>
        <v>1274</v>
      </c>
      <c r="M892" s="66">
        <v>600</v>
      </c>
      <c r="N892" s="56">
        <f>75</f>
        <v>75</v>
      </c>
      <c r="O892" s="59">
        <v>240</v>
      </c>
      <c r="P892" s="59">
        <v>40</v>
      </c>
      <c r="Q892" s="59">
        <f t="shared" si="142"/>
        <v>315</v>
      </c>
      <c r="R892" s="59">
        <f t="shared" si="143"/>
        <v>100</v>
      </c>
      <c r="S892" s="56">
        <f t="shared" si="144"/>
        <v>695</v>
      </c>
      <c r="T892" s="56">
        <f>50</f>
        <v>50</v>
      </c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</row>
    <row r="893" spans="1:30" ht="15.75" x14ac:dyDescent="0.25">
      <c r="A893" s="13">
        <v>68483</v>
      </c>
      <c r="B893" s="67">
        <f t="shared" si="140"/>
        <v>30</v>
      </c>
      <c r="C893" s="56">
        <f>194.205</f>
        <v>194.20500000000001</v>
      </c>
      <c r="D893" s="56">
        <f>267.466</f>
        <v>267.46600000000001</v>
      </c>
      <c r="E893" s="64">
        <f>133.845</f>
        <v>133.845</v>
      </c>
      <c r="F893" s="56">
        <f>278.484-40-25-60-100</f>
        <v>53.48399999999998</v>
      </c>
      <c r="G893" s="59">
        <v>40</v>
      </c>
      <c r="H893" s="56">
        <f t="shared" si="149"/>
        <v>185</v>
      </c>
      <c r="I893" s="56">
        <f t="shared" si="147"/>
        <v>0</v>
      </c>
      <c r="J893" s="59">
        <v>100</v>
      </c>
      <c r="K893" s="59">
        <v>300</v>
      </c>
      <c r="L893" s="56">
        <f t="shared" si="141"/>
        <v>1274</v>
      </c>
      <c r="M893" s="66">
        <v>600</v>
      </c>
      <c r="N893" s="56">
        <f>30</f>
        <v>30</v>
      </c>
      <c r="O893" s="59">
        <v>240</v>
      </c>
      <c r="P893" s="59">
        <v>40</v>
      </c>
      <c r="Q893" s="59">
        <f t="shared" si="142"/>
        <v>315</v>
      </c>
      <c r="R893" s="59">
        <f t="shared" si="143"/>
        <v>100</v>
      </c>
      <c r="S893" s="56">
        <f t="shared" si="144"/>
        <v>695</v>
      </c>
      <c r="T893" s="56">
        <f>50</f>
        <v>50</v>
      </c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</row>
    <row r="894" spans="1:30" ht="15.75" x14ac:dyDescent="0.25">
      <c r="A894" s="13">
        <v>68514</v>
      </c>
      <c r="B894" s="67">
        <f t="shared" si="140"/>
        <v>31</v>
      </c>
      <c r="C894" s="56">
        <f>194.205</f>
        <v>194.20500000000001</v>
      </c>
      <c r="D894" s="56">
        <f>267.466</f>
        <v>267.46600000000001</v>
      </c>
      <c r="E894" s="64">
        <f>133.845</f>
        <v>133.845</v>
      </c>
      <c r="F894" s="56">
        <f>278.484-40-25-60-100</f>
        <v>53.48399999999998</v>
      </c>
      <c r="G894" s="59">
        <v>40</v>
      </c>
      <c r="H894" s="56">
        <f t="shared" si="149"/>
        <v>185</v>
      </c>
      <c r="I894" s="56">
        <f t="shared" si="147"/>
        <v>0</v>
      </c>
      <c r="J894" s="59">
        <v>100</v>
      </c>
      <c r="K894" s="59">
        <v>300</v>
      </c>
      <c r="L894" s="56">
        <f t="shared" si="141"/>
        <v>1274</v>
      </c>
      <c r="M894" s="66">
        <v>600</v>
      </c>
      <c r="N894" s="56">
        <f>30</f>
        <v>30</v>
      </c>
      <c r="O894" s="59">
        <v>240</v>
      </c>
      <c r="P894" s="59">
        <v>40</v>
      </c>
      <c r="Q894" s="59">
        <f t="shared" si="142"/>
        <v>315</v>
      </c>
      <c r="R894" s="59">
        <f t="shared" si="143"/>
        <v>100</v>
      </c>
      <c r="S894" s="56">
        <f t="shared" si="144"/>
        <v>695</v>
      </c>
      <c r="T894" s="56">
        <f>0</f>
        <v>0</v>
      </c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</row>
    <row r="895" spans="1:30" ht="15.75" x14ac:dyDescent="0.25">
      <c r="A895" s="13">
        <v>68545</v>
      </c>
      <c r="B895" s="67">
        <f t="shared" si="140"/>
        <v>31</v>
      </c>
      <c r="C895" s="56">
        <f>194.205</f>
        <v>194.20500000000001</v>
      </c>
      <c r="D895" s="56">
        <f>267.466</f>
        <v>267.46600000000001</v>
      </c>
      <c r="E895" s="64">
        <f>133.845</f>
        <v>133.845</v>
      </c>
      <c r="F895" s="56">
        <f>278.484-40-25-60-100</f>
        <v>53.48399999999998</v>
      </c>
      <c r="G895" s="59">
        <v>40</v>
      </c>
      <c r="H895" s="56">
        <f t="shared" si="149"/>
        <v>185</v>
      </c>
      <c r="I895" s="56">
        <f t="shared" si="147"/>
        <v>0</v>
      </c>
      <c r="J895" s="59">
        <v>100</v>
      </c>
      <c r="K895" s="59">
        <v>300</v>
      </c>
      <c r="L895" s="56">
        <f t="shared" si="141"/>
        <v>1274</v>
      </c>
      <c r="M895" s="66">
        <v>600</v>
      </c>
      <c r="N895" s="56">
        <f>30</f>
        <v>30</v>
      </c>
      <c r="O895" s="59">
        <v>240</v>
      </c>
      <c r="P895" s="59">
        <v>40</v>
      </c>
      <c r="Q895" s="59">
        <f t="shared" si="142"/>
        <v>315</v>
      </c>
      <c r="R895" s="59">
        <f t="shared" si="143"/>
        <v>100</v>
      </c>
      <c r="S895" s="56">
        <f t="shared" si="144"/>
        <v>695</v>
      </c>
      <c r="T895" s="56">
        <f>0</f>
        <v>0</v>
      </c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</row>
    <row r="896" spans="1:30" ht="15.75" x14ac:dyDescent="0.25">
      <c r="A896" s="13">
        <v>68575</v>
      </c>
      <c r="B896" s="67">
        <f t="shared" si="140"/>
        <v>30</v>
      </c>
      <c r="C896" s="56">
        <f>194.205</f>
        <v>194.20500000000001</v>
      </c>
      <c r="D896" s="56">
        <f>267.466</f>
        <v>267.46600000000001</v>
      </c>
      <c r="E896" s="64">
        <f>133.845</f>
        <v>133.845</v>
      </c>
      <c r="F896" s="56">
        <f>278.484-40-25-60-100</f>
        <v>53.48399999999998</v>
      </c>
      <c r="G896" s="59">
        <v>40</v>
      </c>
      <c r="H896" s="56">
        <f t="shared" si="149"/>
        <v>185</v>
      </c>
      <c r="I896" s="56">
        <f t="shared" si="147"/>
        <v>0</v>
      </c>
      <c r="J896" s="59">
        <v>100</v>
      </c>
      <c r="K896" s="59">
        <v>300</v>
      </c>
      <c r="L896" s="56">
        <f t="shared" si="141"/>
        <v>1274</v>
      </c>
      <c r="M896" s="66">
        <v>600</v>
      </c>
      <c r="N896" s="56">
        <f>30</f>
        <v>30</v>
      </c>
      <c r="O896" s="59">
        <v>240</v>
      </c>
      <c r="P896" s="59">
        <v>40</v>
      </c>
      <c r="Q896" s="59">
        <f t="shared" si="142"/>
        <v>315</v>
      </c>
      <c r="R896" s="59">
        <f t="shared" si="143"/>
        <v>100</v>
      </c>
      <c r="S896" s="56">
        <f t="shared" si="144"/>
        <v>695</v>
      </c>
      <c r="T896" s="56">
        <f>0</f>
        <v>0</v>
      </c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</row>
    <row r="897" spans="1:30" ht="15.75" x14ac:dyDescent="0.25">
      <c r="A897" s="13">
        <v>68606</v>
      </c>
      <c r="B897" s="67">
        <f t="shared" si="140"/>
        <v>31</v>
      </c>
      <c r="C897" s="56">
        <f>131.881</f>
        <v>131.881</v>
      </c>
      <c r="D897" s="56">
        <f>277.167</f>
        <v>277.16699999999997</v>
      </c>
      <c r="E897" s="64">
        <f>79.08</f>
        <v>79.08</v>
      </c>
      <c r="F897" s="56">
        <f>350.872-40-25-60-100</f>
        <v>125.87200000000001</v>
      </c>
      <c r="G897" s="59">
        <v>40</v>
      </c>
      <c r="H897" s="56">
        <f t="shared" si="149"/>
        <v>185</v>
      </c>
      <c r="I897" s="56">
        <f t="shared" si="147"/>
        <v>0</v>
      </c>
      <c r="J897" s="59">
        <v>100</v>
      </c>
      <c r="K897" s="59">
        <v>300</v>
      </c>
      <c r="L897" s="56">
        <f t="shared" si="141"/>
        <v>1239</v>
      </c>
      <c r="M897" s="66">
        <v>600</v>
      </c>
      <c r="N897" s="56">
        <f>75</f>
        <v>75</v>
      </c>
      <c r="O897" s="59">
        <v>240</v>
      </c>
      <c r="P897" s="59">
        <v>40</v>
      </c>
      <c r="Q897" s="59">
        <f t="shared" si="142"/>
        <v>315</v>
      </c>
      <c r="R897" s="59">
        <f t="shared" si="143"/>
        <v>100</v>
      </c>
      <c r="S897" s="56">
        <f t="shared" si="144"/>
        <v>695</v>
      </c>
      <c r="T897" s="56">
        <f>0</f>
        <v>0</v>
      </c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</row>
    <row r="898" spans="1:30" ht="15.75" x14ac:dyDescent="0.25">
      <c r="A898" s="13">
        <v>68636</v>
      </c>
      <c r="B898" s="67">
        <f t="shared" si="140"/>
        <v>30</v>
      </c>
      <c r="C898" s="56">
        <f>122.58</f>
        <v>122.58</v>
      </c>
      <c r="D898" s="56">
        <f>297.941</f>
        <v>297.94099999999997</v>
      </c>
      <c r="E898" s="64">
        <f>89.177</f>
        <v>89.177000000000007</v>
      </c>
      <c r="F898" s="56">
        <f>240.302-40-60-100</f>
        <v>40.301999999999992</v>
      </c>
      <c r="G898" s="59">
        <v>40</v>
      </c>
      <c r="H898" s="56">
        <f>60+100</f>
        <v>160</v>
      </c>
      <c r="I898" s="56">
        <f t="shared" si="147"/>
        <v>0</v>
      </c>
      <c r="J898" s="59">
        <v>100</v>
      </c>
      <c r="K898" s="59">
        <v>300</v>
      </c>
      <c r="L898" s="56">
        <f t="shared" si="141"/>
        <v>1150</v>
      </c>
      <c r="M898" s="66">
        <v>600</v>
      </c>
      <c r="N898" s="56">
        <f>100</f>
        <v>100</v>
      </c>
      <c r="O898" s="59">
        <v>240</v>
      </c>
      <c r="P898" s="59">
        <v>40</v>
      </c>
      <c r="Q898" s="59">
        <f t="shared" si="142"/>
        <v>315</v>
      </c>
      <c r="R898" s="59">
        <f t="shared" si="143"/>
        <v>100</v>
      </c>
      <c r="S898" s="56">
        <f t="shared" si="144"/>
        <v>695</v>
      </c>
      <c r="T898" s="56">
        <f>50</f>
        <v>50</v>
      </c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</row>
    <row r="899" spans="1:30" ht="15.75" x14ac:dyDescent="0.25">
      <c r="A899" s="13">
        <v>68667</v>
      </c>
      <c r="B899" s="67">
        <f t="shared" si="140"/>
        <v>31</v>
      </c>
      <c r="C899" s="56">
        <f>122.58</f>
        <v>122.58</v>
      </c>
      <c r="D899" s="56">
        <f>297.941</f>
        <v>297.94099999999997</v>
      </c>
      <c r="E899" s="64">
        <f>89.177</f>
        <v>89.177000000000007</v>
      </c>
      <c r="F899" s="56">
        <f>240.302-40-60-100</f>
        <v>40.301999999999992</v>
      </c>
      <c r="G899" s="59">
        <v>40</v>
      </c>
      <c r="H899" s="56">
        <f>60+100</f>
        <v>160</v>
      </c>
      <c r="I899" s="56">
        <f t="shared" si="147"/>
        <v>0</v>
      </c>
      <c r="J899" s="59">
        <v>100</v>
      </c>
      <c r="K899" s="59">
        <v>300</v>
      </c>
      <c r="L899" s="56">
        <f t="shared" si="141"/>
        <v>1150</v>
      </c>
      <c r="M899" s="66">
        <v>600</v>
      </c>
      <c r="N899" s="56">
        <f>100</f>
        <v>100</v>
      </c>
      <c r="O899" s="59">
        <v>240</v>
      </c>
      <c r="P899" s="59">
        <v>40</v>
      </c>
      <c r="Q899" s="59">
        <f t="shared" si="142"/>
        <v>315</v>
      </c>
      <c r="R899" s="59">
        <f t="shared" si="143"/>
        <v>100</v>
      </c>
      <c r="S899" s="56">
        <f t="shared" si="144"/>
        <v>695</v>
      </c>
      <c r="T899" s="56">
        <f>50</f>
        <v>50</v>
      </c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</row>
    <row r="900" spans="1:30" ht="15.75" x14ac:dyDescent="0.25">
      <c r="A900" s="13">
        <v>68698</v>
      </c>
      <c r="B900" s="67">
        <f t="shared" si="140"/>
        <v>31</v>
      </c>
      <c r="C900" s="56">
        <f>122.58</f>
        <v>122.58</v>
      </c>
      <c r="D900" s="56">
        <f>297.941</f>
        <v>297.94099999999997</v>
      </c>
      <c r="E900" s="64">
        <f>89.177</f>
        <v>89.177000000000007</v>
      </c>
      <c r="F900" s="56">
        <f>240.302-40-60-100</f>
        <v>40.301999999999992</v>
      </c>
      <c r="G900" s="59">
        <v>40</v>
      </c>
      <c r="H900" s="56">
        <f>60+100</f>
        <v>160</v>
      </c>
      <c r="I900" s="56">
        <f t="shared" si="147"/>
        <v>0</v>
      </c>
      <c r="J900" s="59">
        <v>100</v>
      </c>
      <c r="K900" s="59">
        <v>300</v>
      </c>
      <c r="L900" s="56">
        <f t="shared" si="141"/>
        <v>1150</v>
      </c>
      <c r="M900" s="66">
        <v>600</v>
      </c>
      <c r="N900" s="56">
        <f>100</f>
        <v>100</v>
      </c>
      <c r="O900" s="59">
        <v>240</v>
      </c>
      <c r="P900" s="59">
        <v>40</v>
      </c>
      <c r="Q900" s="59">
        <f t="shared" si="142"/>
        <v>315</v>
      </c>
      <c r="R900" s="59">
        <f t="shared" si="143"/>
        <v>100</v>
      </c>
      <c r="S900" s="56">
        <f t="shared" si="144"/>
        <v>695</v>
      </c>
      <c r="T900" s="56">
        <f>50</f>
        <v>50</v>
      </c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</row>
    <row r="901" spans="1:30" ht="15.75" x14ac:dyDescent="0.25">
      <c r="A901" s="13">
        <v>68727</v>
      </c>
      <c r="B901" s="67">
        <f t="shared" si="140"/>
        <v>29</v>
      </c>
      <c r="C901" s="56">
        <f>122.58</f>
        <v>122.58</v>
      </c>
      <c r="D901" s="56">
        <f>297.941</f>
        <v>297.94099999999997</v>
      </c>
      <c r="E901" s="64">
        <f>89.177</f>
        <v>89.177000000000007</v>
      </c>
      <c r="F901" s="56">
        <f>240.302-40-60-100</f>
        <v>40.301999999999992</v>
      </c>
      <c r="G901" s="59">
        <v>40</v>
      </c>
      <c r="H901" s="56">
        <f>60+100</f>
        <v>160</v>
      </c>
      <c r="I901" s="56">
        <f t="shared" si="147"/>
        <v>0</v>
      </c>
      <c r="J901" s="59">
        <v>100</v>
      </c>
      <c r="K901" s="59">
        <v>300</v>
      </c>
      <c r="L901" s="56">
        <f t="shared" si="141"/>
        <v>1150</v>
      </c>
      <c r="M901" s="66">
        <v>600</v>
      </c>
      <c r="N901" s="56">
        <f>100</f>
        <v>100</v>
      </c>
      <c r="O901" s="59">
        <v>240</v>
      </c>
      <c r="P901" s="59">
        <v>40</v>
      </c>
      <c r="Q901" s="59">
        <f t="shared" si="142"/>
        <v>315</v>
      </c>
      <c r="R901" s="59">
        <f t="shared" si="143"/>
        <v>100</v>
      </c>
      <c r="S901" s="56">
        <f t="shared" si="144"/>
        <v>695</v>
      </c>
      <c r="T901" s="56">
        <f>50</f>
        <v>50</v>
      </c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</row>
    <row r="902" spans="1:30" ht="15.75" x14ac:dyDescent="0.25">
      <c r="A902" s="13">
        <v>68758</v>
      </c>
      <c r="B902" s="67">
        <f t="shared" si="140"/>
        <v>31</v>
      </c>
      <c r="C902" s="56">
        <f>122.58</f>
        <v>122.58</v>
      </c>
      <c r="D902" s="56">
        <f>297.941</f>
        <v>297.94099999999997</v>
      </c>
      <c r="E902" s="64">
        <f>89.177</f>
        <v>89.177000000000007</v>
      </c>
      <c r="F902" s="56">
        <f>240.302-40-60-100</f>
        <v>40.301999999999992</v>
      </c>
      <c r="G902" s="59">
        <v>40</v>
      </c>
      <c r="H902" s="56">
        <f>60+100</f>
        <v>160</v>
      </c>
      <c r="I902" s="56">
        <f t="shared" si="147"/>
        <v>0</v>
      </c>
      <c r="J902" s="59">
        <v>100</v>
      </c>
      <c r="K902" s="59">
        <v>300</v>
      </c>
      <c r="L902" s="56">
        <f t="shared" si="141"/>
        <v>1150</v>
      </c>
      <c r="M902" s="66">
        <v>600</v>
      </c>
      <c r="N902" s="56">
        <f>100</f>
        <v>100</v>
      </c>
      <c r="O902" s="59">
        <v>240</v>
      </c>
      <c r="P902" s="59">
        <v>40</v>
      </c>
      <c r="Q902" s="59">
        <f t="shared" si="142"/>
        <v>315</v>
      </c>
      <c r="R902" s="59">
        <f t="shared" si="143"/>
        <v>100</v>
      </c>
      <c r="S902" s="56">
        <f t="shared" si="144"/>
        <v>695</v>
      </c>
      <c r="T902" s="56">
        <f>50</f>
        <v>50</v>
      </c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</row>
    <row r="903" spans="1:30" ht="15.75" x14ac:dyDescent="0.25">
      <c r="A903" s="13">
        <v>68788</v>
      </c>
      <c r="B903" s="67">
        <f t="shared" si="140"/>
        <v>30</v>
      </c>
      <c r="C903" s="56">
        <f>141.293</f>
        <v>141.29300000000001</v>
      </c>
      <c r="D903" s="56">
        <f>267.993</f>
        <v>267.99299999999999</v>
      </c>
      <c r="E903" s="64">
        <f>115.016</f>
        <v>115.01600000000001</v>
      </c>
      <c r="F903" s="56">
        <f>314.698-40-25-60-100</f>
        <v>89.697999999999979</v>
      </c>
      <c r="G903" s="59">
        <v>40</v>
      </c>
      <c r="H903" s="56">
        <f t="shared" ref="H903:H909" si="150">25+60+100</f>
        <v>185</v>
      </c>
      <c r="I903" s="56">
        <f t="shared" si="147"/>
        <v>0</v>
      </c>
      <c r="J903" s="59">
        <v>100</v>
      </c>
      <c r="K903" s="59">
        <v>300</v>
      </c>
      <c r="L903" s="56">
        <f t="shared" si="141"/>
        <v>1239</v>
      </c>
      <c r="M903" s="66">
        <v>600</v>
      </c>
      <c r="N903" s="56">
        <f>100</f>
        <v>100</v>
      </c>
      <c r="O903" s="59">
        <v>240</v>
      </c>
      <c r="P903" s="59">
        <v>40</v>
      </c>
      <c r="Q903" s="59">
        <f t="shared" si="142"/>
        <v>315</v>
      </c>
      <c r="R903" s="59">
        <f t="shared" si="143"/>
        <v>100</v>
      </c>
      <c r="S903" s="56">
        <f t="shared" si="144"/>
        <v>695</v>
      </c>
      <c r="T903" s="56">
        <f>50</f>
        <v>50</v>
      </c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</row>
    <row r="904" spans="1:30" ht="15.75" x14ac:dyDescent="0.25">
      <c r="A904" s="13">
        <v>68819</v>
      </c>
      <c r="B904" s="67">
        <f t="shared" si="140"/>
        <v>31</v>
      </c>
      <c r="C904" s="56">
        <f>194.205</f>
        <v>194.20500000000001</v>
      </c>
      <c r="D904" s="56">
        <f>267.466</f>
        <v>267.46600000000001</v>
      </c>
      <c r="E904" s="64">
        <f>133.845</f>
        <v>133.845</v>
      </c>
      <c r="F904" s="56">
        <f>278.484-40-25-60-100</f>
        <v>53.48399999999998</v>
      </c>
      <c r="G904" s="59">
        <v>40</v>
      </c>
      <c r="H904" s="56">
        <f t="shared" si="150"/>
        <v>185</v>
      </c>
      <c r="I904" s="56">
        <f t="shared" si="147"/>
        <v>0</v>
      </c>
      <c r="J904" s="59">
        <v>100</v>
      </c>
      <c r="K904" s="59">
        <v>300</v>
      </c>
      <c r="L904" s="56">
        <f t="shared" si="141"/>
        <v>1274</v>
      </c>
      <c r="M904" s="66">
        <v>600</v>
      </c>
      <c r="N904" s="56">
        <f>75</f>
        <v>75</v>
      </c>
      <c r="O904" s="59">
        <v>240</v>
      </c>
      <c r="P904" s="59">
        <v>40</v>
      </c>
      <c r="Q904" s="59">
        <f t="shared" si="142"/>
        <v>315</v>
      </c>
      <c r="R904" s="59">
        <f t="shared" si="143"/>
        <v>100</v>
      </c>
      <c r="S904" s="56">
        <f t="shared" si="144"/>
        <v>695</v>
      </c>
      <c r="T904" s="56">
        <f>50</f>
        <v>50</v>
      </c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</row>
    <row r="905" spans="1:30" ht="15.75" x14ac:dyDescent="0.25">
      <c r="A905" s="13">
        <v>68849</v>
      </c>
      <c r="B905" s="67">
        <f t="shared" si="140"/>
        <v>30</v>
      </c>
      <c r="C905" s="56">
        <f>194.205</f>
        <v>194.20500000000001</v>
      </c>
      <c r="D905" s="56">
        <f>267.466</f>
        <v>267.46600000000001</v>
      </c>
      <c r="E905" s="64">
        <f>133.845</f>
        <v>133.845</v>
      </c>
      <c r="F905" s="56">
        <f>278.484-40-25-60-100</f>
        <v>53.48399999999998</v>
      </c>
      <c r="G905" s="59">
        <v>40</v>
      </c>
      <c r="H905" s="56">
        <f t="shared" si="150"/>
        <v>185</v>
      </c>
      <c r="I905" s="56">
        <f t="shared" si="147"/>
        <v>0</v>
      </c>
      <c r="J905" s="59">
        <v>100</v>
      </c>
      <c r="K905" s="59">
        <v>300</v>
      </c>
      <c r="L905" s="56">
        <f t="shared" si="141"/>
        <v>1274</v>
      </c>
      <c r="M905" s="66">
        <v>600</v>
      </c>
      <c r="N905" s="56">
        <f>30</f>
        <v>30</v>
      </c>
      <c r="O905" s="59">
        <v>240</v>
      </c>
      <c r="P905" s="59">
        <v>40</v>
      </c>
      <c r="Q905" s="59">
        <f t="shared" si="142"/>
        <v>315</v>
      </c>
      <c r="R905" s="59">
        <f t="shared" si="143"/>
        <v>100</v>
      </c>
      <c r="S905" s="56">
        <f t="shared" si="144"/>
        <v>695</v>
      </c>
      <c r="T905" s="56">
        <f>50</f>
        <v>50</v>
      </c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</row>
    <row r="906" spans="1:30" ht="15.75" x14ac:dyDescent="0.25">
      <c r="A906" s="13">
        <v>68880</v>
      </c>
      <c r="B906" s="67">
        <f t="shared" si="140"/>
        <v>31</v>
      </c>
      <c r="C906" s="56">
        <f>194.205</f>
        <v>194.20500000000001</v>
      </c>
      <c r="D906" s="56">
        <f>267.466</f>
        <v>267.46600000000001</v>
      </c>
      <c r="E906" s="64">
        <f>133.845</f>
        <v>133.845</v>
      </c>
      <c r="F906" s="56">
        <f>278.484-40-25-60-100</f>
        <v>53.48399999999998</v>
      </c>
      <c r="G906" s="59">
        <v>40</v>
      </c>
      <c r="H906" s="56">
        <f t="shared" si="150"/>
        <v>185</v>
      </c>
      <c r="I906" s="56">
        <f t="shared" si="147"/>
        <v>0</v>
      </c>
      <c r="J906" s="59">
        <v>100</v>
      </c>
      <c r="K906" s="59">
        <v>300</v>
      </c>
      <c r="L906" s="56">
        <f t="shared" si="141"/>
        <v>1274</v>
      </c>
      <c r="M906" s="66">
        <v>600</v>
      </c>
      <c r="N906" s="56">
        <f>30</f>
        <v>30</v>
      </c>
      <c r="O906" s="59">
        <v>240</v>
      </c>
      <c r="P906" s="59">
        <v>40</v>
      </c>
      <c r="Q906" s="59">
        <f t="shared" si="142"/>
        <v>315</v>
      </c>
      <c r="R906" s="59">
        <f t="shared" si="143"/>
        <v>100</v>
      </c>
      <c r="S906" s="56">
        <f t="shared" si="144"/>
        <v>695</v>
      </c>
      <c r="T906" s="56">
        <f>0</f>
        <v>0</v>
      </c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</row>
    <row r="907" spans="1:30" ht="15.75" x14ac:dyDescent="0.25">
      <c r="A907" s="13">
        <v>68911</v>
      </c>
      <c r="B907" s="67">
        <f t="shared" si="140"/>
        <v>31</v>
      </c>
      <c r="C907" s="56">
        <f>194.205</f>
        <v>194.20500000000001</v>
      </c>
      <c r="D907" s="56">
        <f>267.466</f>
        <v>267.46600000000001</v>
      </c>
      <c r="E907" s="64">
        <f>133.845</f>
        <v>133.845</v>
      </c>
      <c r="F907" s="56">
        <f>278.484-40-25-60-100</f>
        <v>53.48399999999998</v>
      </c>
      <c r="G907" s="59">
        <v>40</v>
      </c>
      <c r="H907" s="56">
        <f t="shared" si="150"/>
        <v>185</v>
      </c>
      <c r="I907" s="56">
        <f t="shared" si="147"/>
        <v>0</v>
      </c>
      <c r="J907" s="59">
        <v>100</v>
      </c>
      <c r="K907" s="59">
        <v>300</v>
      </c>
      <c r="L907" s="56">
        <f t="shared" si="141"/>
        <v>1274</v>
      </c>
      <c r="M907" s="66">
        <v>600</v>
      </c>
      <c r="N907" s="56">
        <f>30</f>
        <v>30</v>
      </c>
      <c r="O907" s="59">
        <v>240</v>
      </c>
      <c r="P907" s="59">
        <v>40</v>
      </c>
      <c r="Q907" s="59">
        <f t="shared" si="142"/>
        <v>315</v>
      </c>
      <c r="R907" s="59">
        <f t="shared" si="143"/>
        <v>100</v>
      </c>
      <c r="S907" s="56">
        <f t="shared" si="144"/>
        <v>695</v>
      </c>
      <c r="T907" s="56">
        <f>0</f>
        <v>0</v>
      </c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</row>
    <row r="908" spans="1:30" ht="15.75" x14ac:dyDescent="0.25">
      <c r="A908" s="13">
        <v>68941</v>
      </c>
      <c r="B908" s="67">
        <f t="shared" ref="B908:B971" si="151">EOMONTH(A908,0)-EOMONTH(A908,-1)</f>
        <v>30</v>
      </c>
      <c r="C908" s="56">
        <f>194.205</f>
        <v>194.20500000000001</v>
      </c>
      <c r="D908" s="56">
        <f>267.466</f>
        <v>267.46600000000001</v>
      </c>
      <c r="E908" s="64">
        <f>133.845</f>
        <v>133.845</v>
      </c>
      <c r="F908" s="56">
        <f>278.484-40-25-60-100</f>
        <v>53.48399999999998</v>
      </c>
      <c r="G908" s="59">
        <v>40</v>
      </c>
      <c r="H908" s="56">
        <f t="shared" si="150"/>
        <v>185</v>
      </c>
      <c r="I908" s="56">
        <f t="shared" si="147"/>
        <v>0</v>
      </c>
      <c r="J908" s="59">
        <v>100</v>
      </c>
      <c r="K908" s="59">
        <v>300</v>
      </c>
      <c r="L908" s="56">
        <f t="shared" si="141"/>
        <v>1274</v>
      </c>
      <c r="M908" s="66">
        <v>600</v>
      </c>
      <c r="N908" s="56">
        <f>30</f>
        <v>30</v>
      </c>
      <c r="O908" s="59">
        <v>240</v>
      </c>
      <c r="P908" s="59">
        <v>40</v>
      </c>
      <c r="Q908" s="59">
        <f t="shared" si="142"/>
        <v>315</v>
      </c>
      <c r="R908" s="59">
        <f t="shared" si="143"/>
        <v>100</v>
      </c>
      <c r="S908" s="56">
        <f t="shared" si="144"/>
        <v>695</v>
      </c>
      <c r="T908" s="56">
        <f>0</f>
        <v>0</v>
      </c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</row>
    <row r="909" spans="1:30" ht="15.75" x14ac:dyDescent="0.25">
      <c r="A909" s="13">
        <v>68972</v>
      </c>
      <c r="B909" s="67">
        <f t="shared" si="151"/>
        <v>31</v>
      </c>
      <c r="C909" s="56">
        <f>131.881</f>
        <v>131.881</v>
      </c>
      <c r="D909" s="56">
        <f>277.167</f>
        <v>277.16699999999997</v>
      </c>
      <c r="E909" s="64">
        <f>79.08</f>
        <v>79.08</v>
      </c>
      <c r="F909" s="56">
        <f>350.872-40-25-60-100</f>
        <v>125.87200000000001</v>
      </c>
      <c r="G909" s="59">
        <v>40</v>
      </c>
      <c r="H909" s="56">
        <f t="shared" si="150"/>
        <v>185</v>
      </c>
      <c r="I909" s="56">
        <f t="shared" si="147"/>
        <v>0</v>
      </c>
      <c r="J909" s="59">
        <v>100</v>
      </c>
      <c r="K909" s="59">
        <v>300</v>
      </c>
      <c r="L909" s="56">
        <f t="shared" si="141"/>
        <v>1239</v>
      </c>
      <c r="M909" s="66">
        <v>600</v>
      </c>
      <c r="N909" s="56">
        <f>75</f>
        <v>75</v>
      </c>
      <c r="O909" s="59">
        <v>240</v>
      </c>
      <c r="P909" s="59">
        <v>40</v>
      </c>
      <c r="Q909" s="59">
        <f t="shared" si="142"/>
        <v>315</v>
      </c>
      <c r="R909" s="59">
        <f t="shared" si="143"/>
        <v>100</v>
      </c>
      <c r="S909" s="56">
        <f t="shared" si="144"/>
        <v>695</v>
      </c>
      <c r="T909" s="56">
        <f>0</f>
        <v>0</v>
      </c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</row>
    <row r="910" spans="1:30" ht="15.75" x14ac:dyDescent="0.25">
      <c r="A910" s="13">
        <v>69002</v>
      </c>
      <c r="B910" s="67">
        <f t="shared" si="151"/>
        <v>30</v>
      </c>
      <c r="C910" s="56">
        <f>122.58</f>
        <v>122.58</v>
      </c>
      <c r="D910" s="56">
        <f>297.941</f>
        <v>297.94099999999997</v>
      </c>
      <c r="E910" s="64">
        <f>89.177</f>
        <v>89.177000000000007</v>
      </c>
      <c r="F910" s="56">
        <f>240.302-40-60-100</f>
        <v>40.301999999999992</v>
      </c>
      <c r="G910" s="59">
        <v>40</v>
      </c>
      <c r="H910" s="56">
        <f>60+100</f>
        <v>160</v>
      </c>
      <c r="I910" s="56">
        <f t="shared" si="147"/>
        <v>0</v>
      </c>
      <c r="J910" s="59">
        <v>100</v>
      </c>
      <c r="K910" s="59">
        <v>300</v>
      </c>
      <c r="L910" s="56">
        <f t="shared" si="141"/>
        <v>1150</v>
      </c>
      <c r="M910" s="66">
        <v>600</v>
      </c>
      <c r="N910" s="56">
        <f>100</f>
        <v>100</v>
      </c>
      <c r="O910" s="59">
        <v>240</v>
      </c>
      <c r="P910" s="59">
        <v>40</v>
      </c>
      <c r="Q910" s="59">
        <f t="shared" si="142"/>
        <v>315</v>
      </c>
      <c r="R910" s="59">
        <f t="shared" si="143"/>
        <v>100</v>
      </c>
      <c r="S910" s="56">
        <f t="shared" si="144"/>
        <v>695</v>
      </c>
      <c r="T910" s="56">
        <f>50</f>
        <v>50</v>
      </c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</row>
    <row r="911" spans="1:30" ht="15.75" x14ac:dyDescent="0.25">
      <c r="A911" s="13">
        <v>69033</v>
      </c>
      <c r="B911" s="67">
        <f t="shared" si="151"/>
        <v>31</v>
      </c>
      <c r="C911" s="56">
        <f>122.58</f>
        <v>122.58</v>
      </c>
      <c r="D911" s="56">
        <f>297.941</f>
        <v>297.94099999999997</v>
      </c>
      <c r="E911" s="64">
        <f>89.177</f>
        <v>89.177000000000007</v>
      </c>
      <c r="F911" s="56">
        <f>240.302-40-60-100</f>
        <v>40.301999999999992</v>
      </c>
      <c r="G911" s="59">
        <v>40</v>
      </c>
      <c r="H911" s="56">
        <f>60+100</f>
        <v>160</v>
      </c>
      <c r="I911" s="56">
        <f t="shared" si="147"/>
        <v>0</v>
      </c>
      <c r="J911" s="59">
        <v>100</v>
      </c>
      <c r="K911" s="59">
        <v>300</v>
      </c>
      <c r="L911" s="56">
        <f t="shared" si="141"/>
        <v>1150</v>
      </c>
      <c r="M911" s="66">
        <v>600</v>
      </c>
      <c r="N911" s="56">
        <f>100</f>
        <v>100</v>
      </c>
      <c r="O911" s="59">
        <v>240</v>
      </c>
      <c r="P911" s="59">
        <v>40</v>
      </c>
      <c r="Q911" s="59">
        <f t="shared" si="142"/>
        <v>315</v>
      </c>
      <c r="R911" s="59">
        <f t="shared" si="143"/>
        <v>100</v>
      </c>
      <c r="S911" s="56">
        <f t="shared" si="144"/>
        <v>695</v>
      </c>
      <c r="T911" s="56">
        <f>50</f>
        <v>50</v>
      </c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</row>
    <row r="912" spans="1:30" ht="15.75" x14ac:dyDescent="0.25">
      <c r="A912" s="13">
        <v>69064</v>
      </c>
      <c r="B912" s="67">
        <f t="shared" si="151"/>
        <v>31</v>
      </c>
      <c r="C912" s="56">
        <f>122.58</f>
        <v>122.58</v>
      </c>
      <c r="D912" s="56">
        <f>297.941</f>
        <v>297.94099999999997</v>
      </c>
      <c r="E912" s="64">
        <f>89.177</f>
        <v>89.177000000000007</v>
      </c>
      <c r="F912" s="56">
        <f>240.302-40-60-100</f>
        <v>40.301999999999992</v>
      </c>
      <c r="G912" s="59">
        <v>40</v>
      </c>
      <c r="H912" s="56">
        <f>60+100</f>
        <v>160</v>
      </c>
      <c r="I912" s="56">
        <f t="shared" si="147"/>
        <v>0</v>
      </c>
      <c r="J912" s="59">
        <v>100</v>
      </c>
      <c r="K912" s="59">
        <v>300</v>
      </c>
      <c r="L912" s="56">
        <f t="shared" ref="L912:L975" si="152">SUM(C912:K912)</f>
        <v>1150</v>
      </c>
      <c r="M912" s="66">
        <v>600</v>
      </c>
      <c r="N912" s="56">
        <f>100</f>
        <v>100</v>
      </c>
      <c r="O912" s="59">
        <v>240</v>
      </c>
      <c r="P912" s="59">
        <v>40</v>
      </c>
      <c r="Q912" s="59">
        <f t="shared" ref="Q912:Q975" si="153">695-R912-O912-P912</f>
        <v>315</v>
      </c>
      <c r="R912" s="59">
        <f t="shared" ref="R912:R975" si="154">200-J912</f>
        <v>100</v>
      </c>
      <c r="S912" s="56">
        <f t="shared" ref="S912:S975" si="155">SUM(O912:R912)</f>
        <v>695</v>
      </c>
      <c r="T912" s="56">
        <f>50</f>
        <v>50</v>
      </c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</row>
    <row r="913" spans="1:30" ht="15.75" x14ac:dyDescent="0.25">
      <c r="A913" s="13">
        <v>69092</v>
      </c>
      <c r="B913" s="67">
        <f t="shared" si="151"/>
        <v>28</v>
      </c>
      <c r="C913" s="56">
        <f>122.58</f>
        <v>122.58</v>
      </c>
      <c r="D913" s="56">
        <f>297.941</f>
        <v>297.94099999999997</v>
      </c>
      <c r="E913" s="64">
        <f>89.177</f>
        <v>89.177000000000007</v>
      </c>
      <c r="F913" s="56">
        <f>240.302-40-60-100</f>
        <v>40.301999999999992</v>
      </c>
      <c r="G913" s="59">
        <v>40</v>
      </c>
      <c r="H913" s="56">
        <f>60+100</f>
        <v>160</v>
      </c>
      <c r="I913" s="56">
        <f t="shared" si="147"/>
        <v>0</v>
      </c>
      <c r="J913" s="59">
        <v>100</v>
      </c>
      <c r="K913" s="59">
        <v>300</v>
      </c>
      <c r="L913" s="56">
        <f t="shared" si="152"/>
        <v>1150</v>
      </c>
      <c r="M913" s="66">
        <v>600</v>
      </c>
      <c r="N913" s="56">
        <f>100</f>
        <v>100</v>
      </c>
      <c r="O913" s="59">
        <v>240</v>
      </c>
      <c r="P913" s="59">
        <v>40</v>
      </c>
      <c r="Q913" s="59">
        <f t="shared" si="153"/>
        <v>315</v>
      </c>
      <c r="R913" s="59">
        <f t="shared" si="154"/>
        <v>100</v>
      </c>
      <c r="S913" s="56">
        <f t="shared" si="155"/>
        <v>695</v>
      </c>
      <c r="T913" s="56">
        <f>50</f>
        <v>50</v>
      </c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</row>
    <row r="914" spans="1:30" ht="15.75" x14ac:dyDescent="0.25">
      <c r="A914" s="13">
        <v>69123</v>
      </c>
      <c r="B914" s="67">
        <f t="shared" si="151"/>
        <v>31</v>
      </c>
      <c r="C914" s="56">
        <f>122.58</f>
        <v>122.58</v>
      </c>
      <c r="D914" s="56">
        <f>297.941</f>
        <v>297.94099999999997</v>
      </c>
      <c r="E914" s="64">
        <f>89.177</f>
        <v>89.177000000000007</v>
      </c>
      <c r="F914" s="56">
        <f>240.302-40-60-100</f>
        <v>40.301999999999992</v>
      </c>
      <c r="G914" s="59">
        <v>40</v>
      </c>
      <c r="H914" s="56">
        <f>60+100</f>
        <v>160</v>
      </c>
      <c r="I914" s="56">
        <f t="shared" si="147"/>
        <v>0</v>
      </c>
      <c r="J914" s="59">
        <v>100</v>
      </c>
      <c r="K914" s="59">
        <v>300</v>
      </c>
      <c r="L914" s="56">
        <f t="shared" si="152"/>
        <v>1150</v>
      </c>
      <c r="M914" s="66">
        <v>600</v>
      </c>
      <c r="N914" s="56">
        <f>100</f>
        <v>100</v>
      </c>
      <c r="O914" s="59">
        <v>240</v>
      </c>
      <c r="P914" s="59">
        <v>40</v>
      </c>
      <c r="Q914" s="59">
        <f t="shared" si="153"/>
        <v>315</v>
      </c>
      <c r="R914" s="59">
        <f t="shared" si="154"/>
        <v>100</v>
      </c>
      <c r="S914" s="56">
        <f t="shared" si="155"/>
        <v>695</v>
      </c>
      <c r="T914" s="56">
        <f>50</f>
        <v>50</v>
      </c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</row>
    <row r="915" spans="1:30" ht="15.75" x14ac:dyDescent="0.25">
      <c r="A915" s="13">
        <v>69153</v>
      </c>
      <c r="B915" s="67">
        <f t="shared" si="151"/>
        <v>30</v>
      </c>
      <c r="C915" s="56">
        <f>141.293</f>
        <v>141.29300000000001</v>
      </c>
      <c r="D915" s="56">
        <f>267.993</f>
        <v>267.99299999999999</v>
      </c>
      <c r="E915" s="64">
        <f>115.016</f>
        <v>115.01600000000001</v>
      </c>
      <c r="F915" s="56">
        <f>314.698-40-25-60-100</f>
        <v>89.697999999999979</v>
      </c>
      <c r="G915" s="59">
        <v>40</v>
      </c>
      <c r="H915" s="56">
        <f t="shared" ref="H915:H921" si="156">25+60+100</f>
        <v>185</v>
      </c>
      <c r="I915" s="56">
        <f t="shared" si="147"/>
        <v>0</v>
      </c>
      <c r="J915" s="59">
        <v>100</v>
      </c>
      <c r="K915" s="59">
        <v>300</v>
      </c>
      <c r="L915" s="56">
        <f t="shared" si="152"/>
        <v>1239</v>
      </c>
      <c r="M915" s="66">
        <v>600</v>
      </c>
      <c r="N915" s="56">
        <f>100</f>
        <v>100</v>
      </c>
      <c r="O915" s="59">
        <v>240</v>
      </c>
      <c r="P915" s="59">
        <v>40</v>
      </c>
      <c r="Q915" s="59">
        <f t="shared" si="153"/>
        <v>315</v>
      </c>
      <c r="R915" s="59">
        <f t="shared" si="154"/>
        <v>100</v>
      </c>
      <c r="S915" s="56">
        <f t="shared" si="155"/>
        <v>695</v>
      </c>
      <c r="T915" s="56">
        <f>50</f>
        <v>50</v>
      </c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</row>
    <row r="916" spans="1:30" ht="15.75" x14ac:dyDescent="0.25">
      <c r="A916" s="13">
        <v>69184</v>
      </c>
      <c r="B916" s="67">
        <f t="shared" si="151"/>
        <v>31</v>
      </c>
      <c r="C916" s="56">
        <f>194.205</f>
        <v>194.20500000000001</v>
      </c>
      <c r="D916" s="56">
        <f>267.466</f>
        <v>267.46600000000001</v>
      </c>
      <c r="E916" s="64">
        <f>133.845</f>
        <v>133.845</v>
      </c>
      <c r="F916" s="56">
        <f>278.484-40-25-60-100</f>
        <v>53.48399999999998</v>
      </c>
      <c r="G916" s="59">
        <v>40</v>
      </c>
      <c r="H916" s="56">
        <f t="shared" si="156"/>
        <v>185</v>
      </c>
      <c r="I916" s="56">
        <f t="shared" si="147"/>
        <v>0</v>
      </c>
      <c r="J916" s="59">
        <v>100</v>
      </c>
      <c r="K916" s="59">
        <v>300</v>
      </c>
      <c r="L916" s="56">
        <f t="shared" si="152"/>
        <v>1274</v>
      </c>
      <c r="M916" s="66">
        <v>600</v>
      </c>
      <c r="N916" s="56">
        <f>75</f>
        <v>75</v>
      </c>
      <c r="O916" s="59">
        <v>240</v>
      </c>
      <c r="P916" s="59">
        <v>40</v>
      </c>
      <c r="Q916" s="59">
        <f t="shared" si="153"/>
        <v>315</v>
      </c>
      <c r="R916" s="59">
        <f t="shared" si="154"/>
        <v>100</v>
      </c>
      <c r="S916" s="56">
        <f t="shared" si="155"/>
        <v>695</v>
      </c>
      <c r="T916" s="56">
        <f>50</f>
        <v>50</v>
      </c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</row>
    <row r="917" spans="1:30" ht="15.75" x14ac:dyDescent="0.25">
      <c r="A917" s="13">
        <v>69214</v>
      </c>
      <c r="B917" s="67">
        <f t="shared" si="151"/>
        <v>30</v>
      </c>
      <c r="C917" s="56">
        <f>194.205</f>
        <v>194.20500000000001</v>
      </c>
      <c r="D917" s="56">
        <f>267.466</f>
        <v>267.46600000000001</v>
      </c>
      <c r="E917" s="64">
        <f>133.845</f>
        <v>133.845</v>
      </c>
      <c r="F917" s="56">
        <f>278.484-40-25-60-100</f>
        <v>53.48399999999998</v>
      </c>
      <c r="G917" s="59">
        <v>40</v>
      </c>
      <c r="H917" s="56">
        <f t="shared" si="156"/>
        <v>185</v>
      </c>
      <c r="I917" s="56">
        <f t="shared" si="147"/>
        <v>0</v>
      </c>
      <c r="J917" s="59">
        <v>100</v>
      </c>
      <c r="K917" s="59">
        <v>300</v>
      </c>
      <c r="L917" s="56">
        <f t="shared" si="152"/>
        <v>1274</v>
      </c>
      <c r="M917" s="66">
        <v>600</v>
      </c>
      <c r="N917" s="56">
        <f>30</f>
        <v>30</v>
      </c>
      <c r="O917" s="59">
        <v>240</v>
      </c>
      <c r="P917" s="59">
        <v>40</v>
      </c>
      <c r="Q917" s="59">
        <f t="shared" si="153"/>
        <v>315</v>
      </c>
      <c r="R917" s="59">
        <f t="shared" si="154"/>
        <v>100</v>
      </c>
      <c r="S917" s="56">
        <f t="shared" si="155"/>
        <v>695</v>
      </c>
      <c r="T917" s="56">
        <f>50</f>
        <v>50</v>
      </c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</row>
    <row r="918" spans="1:30" ht="15.75" x14ac:dyDescent="0.25">
      <c r="A918" s="13">
        <v>69245</v>
      </c>
      <c r="B918" s="67">
        <f t="shared" si="151"/>
        <v>31</v>
      </c>
      <c r="C918" s="56">
        <f>194.205</f>
        <v>194.20500000000001</v>
      </c>
      <c r="D918" s="56">
        <f>267.466</f>
        <v>267.46600000000001</v>
      </c>
      <c r="E918" s="64">
        <f>133.845</f>
        <v>133.845</v>
      </c>
      <c r="F918" s="56">
        <f>278.484-40-25-60-100</f>
        <v>53.48399999999998</v>
      </c>
      <c r="G918" s="59">
        <v>40</v>
      </c>
      <c r="H918" s="56">
        <f t="shared" si="156"/>
        <v>185</v>
      </c>
      <c r="I918" s="56">
        <f t="shared" si="147"/>
        <v>0</v>
      </c>
      <c r="J918" s="59">
        <v>100</v>
      </c>
      <c r="K918" s="59">
        <v>300</v>
      </c>
      <c r="L918" s="56">
        <f t="shared" si="152"/>
        <v>1274</v>
      </c>
      <c r="M918" s="66">
        <v>600</v>
      </c>
      <c r="N918" s="56">
        <f>30</f>
        <v>30</v>
      </c>
      <c r="O918" s="59">
        <v>240</v>
      </c>
      <c r="P918" s="59">
        <v>40</v>
      </c>
      <c r="Q918" s="59">
        <f t="shared" si="153"/>
        <v>315</v>
      </c>
      <c r="R918" s="59">
        <f t="shared" si="154"/>
        <v>100</v>
      </c>
      <c r="S918" s="56">
        <f t="shared" si="155"/>
        <v>695</v>
      </c>
      <c r="T918" s="56">
        <f>0</f>
        <v>0</v>
      </c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</row>
    <row r="919" spans="1:30" ht="15.75" x14ac:dyDescent="0.25">
      <c r="A919" s="13">
        <v>69276</v>
      </c>
      <c r="B919" s="67">
        <f t="shared" si="151"/>
        <v>31</v>
      </c>
      <c r="C919" s="56">
        <f>194.205</f>
        <v>194.20500000000001</v>
      </c>
      <c r="D919" s="56">
        <f>267.466</f>
        <v>267.46600000000001</v>
      </c>
      <c r="E919" s="64">
        <f>133.845</f>
        <v>133.845</v>
      </c>
      <c r="F919" s="56">
        <f>278.484-40-25-60-100</f>
        <v>53.48399999999998</v>
      </c>
      <c r="G919" s="59">
        <v>40</v>
      </c>
      <c r="H919" s="56">
        <f t="shared" si="156"/>
        <v>185</v>
      </c>
      <c r="I919" s="56">
        <f t="shared" si="147"/>
        <v>0</v>
      </c>
      <c r="J919" s="59">
        <v>100</v>
      </c>
      <c r="K919" s="59">
        <v>300</v>
      </c>
      <c r="L919" s="56">
        <f t="shared" si="152"/>
        <v>1274</v>
      </c>
      <c r="M919" s="66">
        <v>600</v>
      </c>
      <c r="N919" s="56">
        <f>30</f>
        <v>30</v>
      </c>
      <c r="O919" s="59">
        <v>240</v>
      </c>
      <c r="P919" s="59">
        <v>40</v>
      </c>
      <c r="Q919" s="59">
        <f t="shared" si="153"/>
        <v>315</v>
      </c>
      <c r="R919" s="59">
        <f t="shared" si="154"/>
        <v>100</v>
      </c>
      <c r="S919" s="56">
        <f t="shared" si="155"/>
        <v>695</v>
      </c>
      <c r="T919" s="56">
        <f>0</f>
        <v>0</v>
      </c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</row>
    <row r="920" spans="1:30" ht="15.75" x14ac:dyDescent="0.25">
      <c r="A920" s="13">
        <v>69306</v>
      </c>
      <c r="B920" s="67">
        <f t="shared" si="151"/>
        <v>30</v>
      </c>
      <c r="C920" s="56">
        <f>194.205</f>
        <v>194.20500000000001</v>
      </c>
      <c r="D920" s="56">
        <f>267.466</f>
        <v>267.46600000000001</v>
      </c>
      <c r="E920" s="64">
        <f>133.845</f>
        <v>133.845</v>
      </c>
      <c r="F920" s="56">
        <f>278.484-40-25-60-100</f>
        <v>53.48399999999998</v>
      </c>
      <c r="G920" s="59">
        <v>40</v>
      </c>
      <c r="H920" s="56">
        <f t="shared" si="156"/>
        <v>185</v>
      </c>
      <c r="I920" s="56">
        <f t="shared" si="147"/>
        <v>0</v>
      </c>
      <c r="J920" s="59">
        <v>100</v>
      </c>
      <c r="K920" s="59">
        <v>300</v>
      </c>
      <c r="L920" s="56">
        <f t="shared" si="152"/>
        <v>1274</v>
      </c>
      <c r="M920" s="66">
        <v>600</v>
      </c>
      <c r="N920" s="56">
        <f>30</f>
        <v>30</v>
      </c>
      <c r="O920" s="59">
        <v>240</v>
      </c>
      <c r="P920" s="59">
        <v>40</v>
      </c>
      <c r="Q920" s="59">
        <f t="shared" si="153"/>
        <v>315</v>
      </c>
      <c r="R920" s="59">
        <f t="shared" si="154"/>
        <v>100</v>
      </c>
      <c r="S920" s="56">
        <f t="shared" si="155"/>
        <v>695</v>
      </c>
      <c r="T920" s="56">
        <f>0</f>
        <v>0</v>
      </c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</row>
    <row r="921" spans="1:30" ht="15.75" x14ac:dyDescent="0.25">
      <c r="A921" s="13">
        <v>69337</v>
      </c>
      <c r="B921" s="67">
        <f t="shared" si="151"/>
        <v>31</v>
      </c>
      <c r="C921" s="56">
        <f>131.881</f>
        <v>131.881</v>
      </c>
      <c r="D921" s="56">
        <f>277.167</f>
        <v>277.16699999999997</v>
      </c>
      <c r="E921" s="64">
        <f>79.08</f>
        <v>79.08</v>
      </c>
      <c r="F921" s="56">
        <f>350.872-40-25-60-100</f>
        <v>125.87200000000001</v>
      </c>
      <c r="G921" s="59">
        <v>40</v>
      </c>
      <c r="H921" s="56">
        <f t="shared" si="156"/>
        <v>185</v>
      </c>
      <c r="I921" s="56">
        <f t="shared" si="147"/>
        <v>0</v>
      </c>
      <c r="J921" s="59">
        <v>100</v>
      </c>
      <c r="K921" s="59">
        <v>300</v>
      </c>
      <c r="L921" s="56">
        <f t="shared" si="152"/>
        <v>1239</v>
      </c>
      <c r="M921" s="66">
        <v>600</v>
      </c>
      <c r="N921" s="56">
        <f>75</f>
        <v>75</v>
      </c>
      <c r="O921" s="59">
        <v>240</v>
      </c>
      <c r="P921" s="59">
        <v>40</v>
      </c>
      <c r="Q921" s="59">
        <f t="shared" si="153"/>
        <v>315</v>
      </c>
      <c r="R921" s="59">
        <f t="shared" si="154"/>
        <v>100</v>
      </c>
      <c r="S921" s="56">
        <f t="shared" si="155"/>
        <v>695</v>
      </c>
      <c r="T921" s="56">
        <f>0</f>
        <v>0</v>
      </c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</row>
    <row r="922" spans="1:30" ht="15.75" x14ac:dyDescent="0.25">
      <c r="A922" s="13">
        <v>69367</v>
      </c>
      <c r="B922" s="67">
        <f t="shared" si="151"/>
        <v>30</v>
      </c>
      <c r="C922" s="56">
        <f>122.58</f>
        <v>122.58</v>
      </c>
      <c r="D922" s="56">
        <f>297.941</f>
        <v>297.94099999999997</v>
      </c>
      <c r="E922" s="64">
        <f>89.177</f>
        <v>89.177000000000007</v>
      </c>
      <c r="F922" s="56">
        <f>240.302-40-60-100</f>
        <v>40.301999999999992</v>
      </c>
      <c r="G922" s="59">
        <v>40</v>
      </c>
      <c r="H922" s="56">
        <f>60+100</f>
        <v>160</v>
      </c>
      <c r="I922" s="56">
        <f t="shared" si="147"/>
        <v>0</v>
      </c>
      <c r="J922" s="59">
        <v>100</v>
      </c>
      <c r="K922" s="59">
        <v>300</v>
      </c>
      <c r="L922" s="56">
        <f t="shared" si="152"/>
        <v>1150</v>
      </c>
      <c r="M922" s="66">
        <v>600</v>
      </c>
      <c r="N922" s="56">
        <f>100</f>
        <v>100</v>
      </c>
      <c r="O922" s="59">
        <v>240</v>
      </c>
      <c r="P922" s="59">
        <v>40</v>
      </c>
      <c r="Q922" s="59">
        <f t="shared" si="153"/>
        <v>315</v>
      </c>
      <c r="R922" s="59">
        <f t="shared" si="154"/>
        <v>100</v>
      </c>
      <c r="S922" s="56">
        <f t="shared" si="155"/>
        <v>695</v>
      </c>
      <c r="T922" s="56">
        <f>50</f>
        <v>50</v>
      </c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</row>
    <row r="923" spans="1:30" ht="15.75" x14ac:dyDescent="0.25">
      <c r="A923" s="13">
        <v>69398</v>
      </c>
      <c r="B923" s="67">
        <f t="shared" si="151"/>
        <v>31</v>
      </c>
      <c r="C923" s="56">
        <f>122.58</f>
        <v>122.58</v>
      </c>
      <c r="D923" s="56">
        <f>297.941</f>
        <v>297.94099999999997</v>
      </c>
      <c r="E923" s="64">
        <f>89.177</f>
        <v>89.177000000000007</v>
      </c>
      <c r="F923" s="56">
        <f>240.302-40-60-100</f>
        <v>40.301999999999992</v>
      </c>
      <c r="G923" s="59">
        <v>40</v>
      </c>
      <c r="H923" s="56">
        <f>60+100</f>
        <v>160</v>
      </c>
      <c r="I923" s="56">
        <f t="shared" si="147"/>
        <v>0</v>
      </c>
      <c r="J923" s="59">
        <v>100</v>
      </c>
      <c r="K923" s="59">
        <v>300</v>
      </c>
      <c r="L923" s="56">
        <f t="shared" si="152"/>
        <v>1150</v>
      </c>
      <c r="M923" s="66">
        <v>600</v>
      </c>
      <c r="N923" s="56">
        <f>100</f>
        <v>100</v>
      </c>
      <c r="O923" s="59">
        <v>240</v>
      </c>
      <c r="P923" s="59">
        <v>40</v>
      </c>
      <c r="Q923" s="59">
        <f t="shared" si="153"/>
        <v>315</v>
      </c>
      <c r="R923" s="59">
        <f t="shared" si="154"/>
        <v>100</v>
      </c>
      <c r="S923" s="56">
        <f t="shared" si="155"/>
        <v>695</v>
      </c>
      <c r="T923" s="56">
        <f>50</f>
        <v>50</v>
      </c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</row>
    <row r="924" spans="1:30" ht="15.75" x14ac:dyDescent="0.25">
      <c r="A924" s="13">
        <v>69429</v>
      </c>
      <c r="B924" s="67">
        <f t="shared" si="151"/>
        <v>31</v>
      </c>
      <c r="C924" s="56">
        <f>122.58</f>
        <v>122.58</v>
      </c>
      <c r="D924" s="56">
        <f>297.941</f>
        <v>297.94099999999997</v>
      </c>
      <c r="E924" s="64">
        <f>89.177</f>
        <v>89.177000000000007</v>
      </c>
      <c r="F924" s="56">
        <f>240.302-40-60-100</f>
        <v>40.301999999999992</v>
      </c>
      <c r="G924" s="59">
        <v>40</v>
      </c>
      <c r="H924" s="56">
        <f>60+100</f>
        <v>160</v>
      </c>
      <c r="I924" s="56">
        <f t="shared" si="147"/>
        <v>0</v>
      </c>
      <c r="J924" s="59">
        <v>100</v>
      </c>
      <c r="K924" s="59">
        <v>300</v>
      </c>
      <c r="L924" s="56">
        <f t="shared" si="152"/>
        <v>1150</v>
      </c>
      <c r="M924" s="66">
        <v>600</v>
      </c>
      <c r="N924" s="56">
        <f>100</f>
        <v>100</v>
      </c>
      <c r="O924" s="59">
        <v>240</v>
      </c>
      <c r="P924" s="59">
        <v>40</v>
      </c>
      <c r="Q924" s="59">
        <f t="shared" si="153"/>
        <v>315</v>
      </c>
      <c r="R924" s="59">
        <f t="shared" si="154"/>
        <v>100</v>
      </c>
      <c r="S924" s="56">
        <f t="shared" si="155"/>
        <v>695</v>
      </c>
      <c r="T924" s="56">
        <f>50</f>
        <v>50</v>
      </c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</row>
    <row r="925" spans="1:30" ht="15.75" x14ac:dyDescent="0.25">
      <c r="A925" s="13">
        <v>69457</v>
      </c>
      <c r="B925" s="67">
        <f t="shared" si="151"/>
        <v>28</v>
      </c>
      <c r="C925" s="56">
        <f>122.58</f>
        <v>122.58</v>
      </c>
      <c r="D925" s="56">
        <f>297.941</f>
        <v>297.94099999999997</v>
      </c>
      <c r="E925" s="64">
        <f>89.177</f>
        <v>89.177000000000007</v>
      </c>
      <c r="F925" s="56">
        <f>240.302-40-60-100</f>
        <v>40.301999999999992</v>
      </c>
      <c r="G925" s="59">
        <v>40</v>
      </c>
      <c r="H925" s="56">
        <f>60+100</f>
        <v>160</v>
      </c>
      <c r="I925" s="56">
        <f t="shared" si="147"/>
        <v>0</v>
      </c>
      <c r="J925" s="59">
        <v>100</v>
      </c>
      <c r="K925" s="59">
        <v>300</v>
      </c>
      <c r="L925" s="56">
        <f t="shared" si="152"/>
        <v>1150</v>
      </c>
      <c r="M925" s="66">
        <v>600</v>
      </c>
      <c r="N925" s="56">
        <f>100</f>
        <v>100</v>
      </c>
      <c r="O925" s="59">
        <v>240</v>
      </c>
      <c r="P925" s="59">
        <v>40</v>
      </c>
      <c r="Q925" s="59">
        <f t="shared" si="153"/>
        <v>315</v>
      </c>
      <c r="R925" s="59">
        <f t="shared" si="154"/>
        <v>100</v>
      </c>
      <c r="S925" s="56">
        <f t="shared" si="155"/>
        <v>695</v>
      </c>
      <c r="T925" s="56">
        <f>50</f>
        <v>50</v>
      </c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</row>
    <row r="926" spans="1:30" ht="15.75" x14ac:dyDescent="0.25">
      <c r="A926" s="13">
        <v>69488</v>
      </c>
      <c r="B926" s="67">
        <f t="shared" si="151"/>
        <v>31</v>
      </c>
      <c r="C926" s="56">
        <f>122.58</f>
        <v>122.58</v>
      </c>
      <c r="D926" s="56">
        <f>297.941</f>
        <v>297.94099999999997</v>
      </c>
      <c r="E926" s="64">
        <f>89.177</f>
        <v>89.177000000000007</v>
      </c>
      <c r="F926" s="56">
        <f>240.302-40-60-100</f>
        <v>40.301999999999992</v>
      </c>
      <c r="G926" s="59">
        <v>40</v>
      </c>
      <c r="H926" s="56">
        <f>60+100</f>
        <v>160</v>
      </c>
      <c r="I926" s="56">
        <f t="shared" si="147"/>
        <v>0</v>
      </c>
      <c r="J926" s="59">
        <v>100</v>
      </c>
      <c r="K926" s="59">
        <v>300</v>
      </c>
      <c r="L926" s="56">
        <f t="shared" si="152"/>
        <v>1150</v>
      </c>
      <c r="M926" s="66">
        <v>600</v>
      </c>
      <c r="N926" s="56">
        <f>100</f>
        <v>100</v>
      </c>
      <c r="O926" s="59">
        <v>240</v>
      </c>
      <c r="P926" s="59">
        <v>40</v>
      </c>
      <c r="Q926" s="59">
        <f t="shared" si="153"/>
        <v>315</v>
      </c>
      <c r="R926" s="59">
        <f t="shared" si="154"/>
        <v>100</v>
      </c>
      <c r="S926" s="56">
        <f t="shared" si="155"/>
        <v>695</v>
      </c>
      <c r="T926" s="56">
        <f>50</f>
        <v>50</v>
      </c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</row>
    <row r="927" spans="1:30" ht="15.75" x14ac:dyDescent="0.25">
      <c r="A927" s="13">
        <v>69518</v>
      </c>
      <c r="B927" s="67">
        <f t="shared" si="151"/>
        <v>30</v>
      </c>
      <c r="C927" s="56">
        <f>141.293</f>
        <v>141.29300000000001</v>
      </c>
      <c r="D927" s="56">
        <f>267.993</f>
        <v>267.99299999999999</v>
      </c>
      <c r="E927" s="64">
        <f>115.016</f>
        <v>115.01600000000001</v>
      </c>
      <c r="F927" s="56">
        <f>314.698-40-25-60-100</f>
        <v>89.697999999999979</v>
      </c>
      <c r="G927" s="59">
        <v>40</v>
      </c>
      <c r="H927" s="56">
        <f t="shared" ref="H927:H933" si="157">25+60+100</f>
        <v>185</v>
      </c>
      <c r="I927" s="56">
        <f t="shared" si="147"/>
        <v>0</v>
      </c>
      <c r="J927" s="59">
        <v>100</v>
      </c>
      <c r="K927" s="59">
        <v>300</v>
      </c>
      <c r="L927" s="56">
        <f t="shared" si="152"/>
        <v>1239</v>
      </c>
      <c r="M927" s="66">
        <v>600</v>
      </c>
      <c r="N927" s="56">
        <f>100</f>
        <v>100</v>
      </c>
      <c r="O927" s="59">
        <v>240</v>
      </c>
      <c r="P927" s="59">
        <v>40</v>
      </c>
      <c r="Q927" s="59">
        <f t="shared" si="153"/>
        <v>315</v>
      </c>
      <c r="R927" s="59">
        <f t="shared" si="154"/>
        <v>100</v>
      </c>
      <c r="S927" s="56">
        <f t="shared" si="155"/>
        <v>695</v>
      </c>
      <c r="T927" s="56">
        <f>50</f>
        <v>50</v>
      </c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</row>
    <row r="928" spans="1:30" ht="15.75" x14ac:dyDescent="0.25">
      <c r="A928" s="13">
        <v>69549</v>
      </c>
      <c r="B928" s="67">
        <f t="shared" si="151"/>
        <v>31</v>
      </c>
      <c r="C928" s="56">
        <f>194.205</f>
        <v>194.20500000000001</v>
      </c>
      <c r="D928" s="56">
        <f>267.466</f>
        <v>267.46600000000001</v>
      </c>
      <c r="E928" s="64">
        <f>133.845</f>
        <v>133.845</v>
      </c>
      <c r="F928" s="56">
        <f>278.484-40-25-60-100</f>
        <v>53.48399999999998</v>
      </c>
      <c r="G928" s="59">
        <v>40</v>
      </c>
      <c r="H928" s="56">
        <f t="shared" si="157"/>
        <v>185</v>
      </c>
      <c r="I928" s="56">
        <f t="shared" si="147"/>
        <v>0</v>
      </c>
      <c r="J928" s="59">
        <v>100</v>
      </c>
      <c r="K928" s="59">
        <v>300</v>
      </c>
      <c r="L928" s="56">
        <f t="shared" si="152"/>
        <v>1274</v>
      </c>
      <c r="M928" s="66">
        <v>600</v>
      </c>
      <c r="N928" s="56">
        <f>75</f>
        <v>75</v>
      </c>
      <c r="O928" s="59">
        <v>240</v>
      </c>
      <c r="P928" s="59">
        <v>40</v>
      </c>
      <c r="Q928" s="59">
        <f t="shared" si="153"/>
        <v>315</v>
      </c>
      <c r="R928" s="59">
        <f t="shared" si="154"/>
        <v>100</v>
      </c>
      <c r="S928" s="56">
        <f t="shared" si="155"/>
        <v>695</v>
      </c>
      <c r="T928" s="56">
        <f>50</f>
        <v>50</v>
      </c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</row>
    <row r="929" spans="1:30" ht="15.75" x14ac:dyDescent="0.25">
      <c r="A929" s="13">
        <v>69579</v>
      </c>
      <c r="B929" s="67">
        <f t="shared" si="151"/>
        <v>30</v>
      </c>
      <c r="C929" s="56">
        <f>194.205</f>
        <v>194.20500000000001</v>
      </c>
      <c r="D929" s="56">
        <f>267.466</f>
        <v>267.46600000000001</v>
      </c>
      <c r="E929" s="64">
        <f>133.845</f>
        <v>133.845</v>
      </c>
      <c r="F929" s="56">
        <f>278.484-40-25-60-100</f>
        <v>53.48399999999998</v>
      </c>
      <c r="G929" s="59">
        <v>40</v>
      </c>
      <c r="H929" s="56">
        <f t="shared" si="157"/>
        <v>185</v>
      </c>
      <c r="I929" s="56">
        <f t="shared" si="147"/>
        <v>0</v>
      </c>
      <c r="J929" s="59">
        <v>100</v>
      </c>
      <c r="K929" s="59">
        <v>300</v>
      </c>
      <c r="L929" s="56">
        <f t="shared" si="152"/>
        <v>1274</v>
      </c>
      <c r="M929" s="66">
        <v>600</v>
      </c>
      <c r="N929" s="56">
        <f>30</f>
        <v>30</v>
      </c>
      <c r="O929" s="59">
        <v>240</v>
      </c>
      <c r="P929" s="59">
        <v>40</v>
      </c>
      <c r="Q929" s="59">
        <f t="shared" si="153"/>
        <v>315</v>
      </c>
      <c r="R929" s="59">
        <f t="shared" si="154"/>
        <v>100</v>
      </c>
      <c r="S929" s="56">
        <f t="shared" si="155"/>
        <v>695</v>
      </c>
      <c r="T929" s="56">
        <f>50</f>
        <v>50</v>
      </c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</row>
    <row r="930" spans="1:30" ht="15.75" x14ac:dyDescent="0.25">
      <c r="A930" s="13">
        <v>69610</v>
      </c>
      <c r="B930" s="67">
        <f t="shared" si="151"/>
        <v>31</v>
      </c>
      <c r="C930" s="56">
        <f>194.205</f>
        <v>194.20500000000001</v>
      </c>
      <c r="D930" s="56">
        <f>267.466</f>
        <v>267.46600000000001</v>
      </c>
      <c r="E930" s="64">
        <f>133.845</f>
        <v>133.845</v>
      </c>
      <c r="F930" s="56">
        <f>278.484-40-25-60-100</f>
        <v>53.48399999999998</v>
      </c>
      <c r="G930" s="59">
        <v>40</v>
      </c>
      <c r="H930" s="56">
        <f t="shared" si="157"/>
        <v>185</v>
      </c>
      <c r="I930" s="56">
        <f t="shared" si="147"/>
        <v>0</v>
      </c>
      <c r="J930" s="59">
        <v>100</v>
      </c>
      <c r="K930" s="59">
        <v>300</v>
      </c>
      <c r="L930" s="56">
        <f t="shared" si="152"/>
        <v>1274</v>
      </c>
      <c r="M930" s="66">
        <v>600</v>
      </c>
      <c r="N930" s="56">
        <f>30</f>
        <v>30</v>
      </c>
      <c r="O930" s="59">
        <v>240</v>
      </c>
      <c r="P930" s="59">
        <v>40</v>
      </c>
      <c r="Q930" s="59">
        <f t="shared" si="153"/>
        <v>315</v>
      </c>
      <c r="R930" s="59">
        <f t="shared" si="154"/>
        <v>100</v>
      </c>
      <c r="S930" s="56">
        <f t="shared" si="155"/>
        <v>695</v>
      </c>
      <c r="T930" s="56">
        <f>0</f>
        <v>0</v>
      </c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</row>
    <row r="931" spans="1:30" ht="15.75" x14ac:dyDescent="0.25">
      <c r="A931" s="13">
        <v>69641</v>
      </c>
      <c r="B931" s="67">
        <f t="shared" si="151"/>
        <v>31</v>
      </c>
      <c r="C931" s="56">
        <f>194.205</f>
        <v>194.20500000000001</v>
      </c>
      <c r="D931" s="56">
        <f>267.466</f>
        <v>267.46600000000001</v>
      </c>
      <c r="E931" s="64">
        <f>133.845</f>
        <v>133.845</v>
      </c>
      <c r="F931" s="56">
        <f>278.484-40-25-60-100</f>
        <v>53.48399999999998</v>
      </c>
      <c r="G931" s="59">
        <v>40</v>
      </c>
      <c r="H931" s="56">
        <f t="shared" si="157"/>
        <v>185</v>
      </c>
      <c r="I931" s="56">
        <f t="shared" si="147"/>
        <v>0</v>
      </c>
      <c r="J931" s="59">
        <v>100</v>
      </c>
      <c r="K931" s="59">
        <v>300</v>
      </c>
      <c r="L931" s="56">
        <f t="shared" si="152"/>
        <v>1274</v>
      </c>
      <c r="M931" s="66">
        <v>600</v>
      </c>
      <c r="N931" s="56">
        <f>30</f>
        <v>30</v>
      </c>
      <c r="O931" s="59">
        <v>240</v>
      </c>
      <c r="P931" s="59">
        <v>40</v>
      </c>
      <c r="Q931" s="59">
        <f t="shared" si="153"/>
        <v>315</v>
      </c>
      <c r="R931" s="59">
        <f t="shared" si="154"/>
        <v>100</v>
      </c>
      <c r="S931" s="56">
        <f t="shared" si="155"/>
        <v>695</v>
      </c>
      <c r="T931" s="56">
        <f>0</f>
        <v>0</v>
      </c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</row>
    <row r="932" spans="1:30" ht="15.75" x14ac:dyDescent="0.25">
      <c r="A932" s="13">
        <v>69671</v>
      </c>
      <c r="B932" s="67">
        <f t="shared" si="151"/>
        <v>30</v>
      </c>
      <c r="C932" s="56">
        <f>194.205</f>
        <v>194.20500000000001</v>
      </c>
      <c r="D932" s="56">
        <f>267.466</f>
        <v>267.46600000000001</v>
      </c>
      <c r="E932" s="64">
        <f>133.845</f>
        <v>133.845</v>
      </c>
      <c r="F932" s="56">
        <f>278.484-40-25-60-100</f>
        <v>53.48399999999998</v>
      </c>
      <c r="G932" s="59">
        <v>40</v>
      </c>
      <c r="H932" s="56">
        <f t="shared" si="157"/>
        <v>185</v>
      </c>
      <c r="I932" s="56">
        <f t="shared" si="147"/>
        <v>0</v>
      </c>
      <c r="J932" s="59">
        <v>100</v>
      </c>
      <c r="K932" s="59">
        <v>300</v>
      </c>
      <c r="L932" s="56">
        <f t="shared" si="152"/>
        <v>1274</v>
      </c>
      <c r="M932" s="66">
        <v>600</v>
      </c>
      <c r="N932" s="56">
        <f>30</f>
        <v>30</v>
      </c>
      <c r="O932" s="59">
        <v>240</v>
      </c>
      <c r="P932" s="59">
        <v>40</v>
      </c>
      <c r="Q932" s="59">
        <f t="shared" si="153"/>
        <v>315</v>
      </c>
      <c r="R932" s="59">
        <f t="shared" si="154"/>
        <v>100</v>
      </c>
      <c r="S932" s="56">
        <f t="shared" si="155"/>
        <v>695</v>
      </c>
      <c r="T932" s="56">
        <f>0</f>
        <v>0</v>
      </c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</row>
    <row r="933" spans="1:30" ht="15.75" x14ac:dyDescent="0.25">
      <c r="A933" s="13">
        <v>69702</v>
      </c>
      <c r="B933" s="67">
        <f t="shared" si="151"/>
        <v>31</v>
      </c>
      <c r="C933" s="56">
        <f>131.881</f>
        <v>131.881</v>
      </c>
      <c r="D933" s="56">
        <f>277.167</f>
        <v>277.16699999999997</v>
      </c>
      <c r="E933" s="64">
        <f>79.08</f>
        <v>79.08</v>
      </c>
      <c r="F933" s="56">
        <f>350.872-40-25-60-100</f>
        <v>125.87200000000001</v>
      </c>
      <c r="G933" s="59">
        <v>40</v>
      </c>
      <c r="H933" s="56">
        <f t="shared" si="157"/>
        <v>185</v>
      </c>
      <c r="I933" s="56">
        <f t="shared" si="147"/>
        <v>0</v>
      </c>
      <c r="J933" s="59">
        <v>100</v>
      </c>
      <c r="K933" s="59">
        <v>300</v>
      </c>
      <c r="L933" s="56">
        <f t="shared" si="152"/>
        <v>1239</v>
      </c>
      <c r="M933" s="66">
        <v>600</v>
      </c>
      <c r="N933" s="56">
        <f>75</f>
        <v>75</v>
      </c>
      <c r="O933" s="59">
        <v>240</v>
      </c>
      <c r="P933" s="59">
        <v>40</v>
      </c>
      <c r="Q933" s="59">
        <f t="shared" si="153"/>
        <v>315</v>
      </c>
      <c r="R933" s="59">
        <f t="shared" si="154"/>
        <v>100</v>
      </c>
      <c r="S933" s="56">
        <f t="shared" si="155"/>
        <v>695</v>
      </c>
      <c r="T933" s="56">
        <f>0</f>
        <v>0</v>
      </c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</row>
    <row r="934" spans="1:30" ht="15.75" x14ac:dyDescent="0.25">
      <c r="A934" s="13">
        <v>69732</v>
      </c>
      <c r="B934" s="67">
        <f t="shared" si="151"/>
        <v>30</v>
      </c>
      <c r="C934" s="56">
        <f>122.58</f>
        <v>122.58</v>
      </c>
      <c r="D934" s="56">
        <f>297.941</f>
        <v>297.94099999999997</v>
      </c>
      <c r="E934" s="64">
        <f>89.177</f>
        <v>89.177000000000007</v>
      </c>
      <c r="F934" s="56">
        <f>240.302-40-60-100</f>
        <v>40.301999999999992</v>
      </c>
      <c r="G934" s="59">
        <v>40</v>
      </c>
      <c r="H934" s="56">
        <f>60+100</f>
        <v>160</v>
      </c>
      <c r="I934" s="56">
        <f t="shared" si="147"/>
        <v>0</v>
      </c>
      <c r="J934" s="59">
        <v>100</v>
      </c>
      <c r="K934" s="59">
        <v>300</v>
      </c>
      <c r="L934" s="56">
        <f t="shared" si="152"/>
        <v>1150</v>
      </c>
      <c r="M934" s="66">
        <v>600</v>
      </c>
      <c r="N934" s="56">
        <f>100</f>
        <v>100</v>
      </c>
      <c r="O934" s="59">
        <v>240</v>
      </c>
      <c r="P934" s="59">
        <v>40</v>
      </c>
      <c r="Q934" s="59">
        <f t="shared" si="153"/>
        <v>315</v>
      </c>
      <c r="R934" s="59">
        <f t="shared" si="154"/>
        <v>100</v>
      </c>
      <c r="S934" s="56">
        <f t="shared" si="155"/>
        <v>695</v>
      </c>
      <c r="T934" s="56">
        <f>50</f>
        <v>50</v>
      </c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</row>
    <row r="935" spans="1:30" ht="15.75" x14ac:dyDescent="0.25">
      <c r="A935" s="13">
        <v>69763</v>
      </c>
      <c r="B935" s="67">
        <f t="shared" si="151"/>
        <v>31</v>
      </c>
      <c r="C935" s="56">
        <f>122.58</f>
        <v>122.58</v>
      </c>
      <c r="D935" s="56">
        <f>297.941</f>
        <v>297.94099999999997</v>
      </c>
      <c r="E935" s="64">
        <f>89.177</f>
        <v>89.177000000000007</v>
      </c>
      <c r="F935" s="56">
        <f>240.302-40-60-100</f>
        <v>40.301999999999992</v>
      </c>
      <c r="G935" s="59">
        <v>40</v>
      </c>
      <c r="H935" s="56">
        <f>60+100</f>
        <v>160</v>
      </c>
      <c r="I935" s="56">
        <f t="shared" si="147"/>
        <v>0</v>
      </c>
      <c r="J935" s="59">
        <v>100</v>
      </c>
      <c r="K935" s="59">
        <v>300</v>
      </c>
      <c r="L935" s="56">
        <f t="shared" si="152"/>
        <v>1150</v>
      </c>
      <c r="M935" s="66">
        <v>600</v>
      </c>
      <c r="N935" s="56">
        <f>100</f>
        <v>100</v>
      </c>
      <c r="O935" s="59">
        <v>240</v>
      </c>
      <c r="P935" s="59">
        <v>40</v>
      </c>
      <c r="Q935" s="59">
        <f t="shared" si="153"/>
        <v>315</v>
      </c>
      <c r="R935" s="59">
        <f t="shared" si="154"/>
        <v>100</v>
      </c>
      <c r="S935" s="56">
        <f t="shared" si="155"/>
        <v>695</v>
      </c>
      <c r="T935" s="56">
        <f>50</f>
        <v>50</v>
      </c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</row>
    <row r="936" spans="1:30" ht="15.75" x14ac:dyDescent="0.25">
      <c r="A936" s="13">
        <v>69794</v>
      </c>
      <c r="B936" s="67">
        <f t="shared" si="151"/>
        <v>31</v>
      </c>
      <c r="C936" s="56">
        <f>122.58</f>
        <v>122.58</v>
      </c>
      <c r="D936" s="56">
        <f>297.941</f>
        <v>297.94099999999997</v>
      </c>
      <c r="E936" s="64">
        <f>89.177</f>
        <v>89.177000000000007</v>
      </c>
      <c r="F936" s="56">
        <f>240.302-40-60-100</f>
        <v>40.301999999999992</v>
      </c>
      <c r="G936" s="59">
        <v>40</v>
      </c>
      <c r="H936" s="56">
        <f>60+100</f>
        <v>160</v>
      </c>
      <c r="I936" s="56">
        <f t="shared" ref="I936:I999" si="158">400-J936-K936</f>
        <v>0</v>
      </c>
      <c r="J936" s="59">
        <v>100</v>
      </c>
      <c r="K936" s="59">
        <v>300</v>
      </c>
      <c r="L936" s="56">
        <f t="shared" si="152"/>
        <v>1150</v>
      </c>
      <c r="M936" s="66">
        <v>600</v>
      </c>
      <c r="N936" s="56">
        <f>100</f>
        <v>100</v>
      </c>
      <c r="O936" s="59">
        <v>240</v>
      </c>
      <c r="P936" s="59">
        <v>40</v>
      </c>
      <c r="Q936" s="59">
        <f t="shared" si="153"/>
        <v>315</v>
      </c>
      <c r="R936" s="59">
        <f t="shared" si="154"/>
        <v>100</v>
      </c>
      <c r="S936" s="56">
        <f t="shared" si="155"/>
        <v>695</v>
      </c>
      <c r="T936" s="56">
        <f>50</f>
        <v>50</v>
      </c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</row>
    <row r="937" spans="1:30" ht="15.75" x14ac:dyDescent="0.25">
      <c r="A937" s="13">
        <v>69822</v>
      </c>
      <c r="B937" s="67">
        <f t="shared" si="151"/>
        <v>28</v>
      </c>
      <c r="C937" s="56">
        <f>122.58</f>
        <v>122.58</v>
      </c>
      <c r="D937" s="56">
        <f>297.941</f>
        <v>297.94099999999997</v>
      </c>
      <c r="E937" s="64">
        <f>89.177</f>
        <v>89.177000000000007</v>
      </c>
      <c r="F937" s="56">
        <f>240.302-40-60-100</f>
        <v>40.301999999999992</v>
      </c>
      <c r="G937" s="59">
        <v>40</v>
      </c>
      <c r="H937" s="56">
        <f>60+100</f>
        <v>160</v>
      </c>
      <c r="I937" s="56">
        <f t="shared" si="158"/>
        <v>0</v>
      </c>
      <c r="J937" s="59">
        <v>100</v>
      </c>
      <c r="K937" s="59">
        <v>300</v>
      </c>
      <c r="L937" s="56">
        <f t="shared" si="152"/>
        <v>1150</v>
      </c>
      <c r="M937" s="66">
        <v>600</v>
      </c>
      <c r="N937" s="56">
        <f>100</f>
        <v>100</v>
      </c>
      <c r="O937" s="59">
        <v>240</v>
      </c>
      <c r="P937" s="59">
        <v>40</v>
      </c>
      <c r="Q937" s="59">
        <f t="shared" si="153"/>
        <v>315</v>
      </c>
      <c r="R937" s="59">
        <f t="shared" si="154"/>
        <v>100</v>
      </c>
      <c r="S937" s="56">
        <f t="shared" si="155"/>
        <v>695</v>
      </c>
      <c r="T937" s="56">
        <f>50</f>
        <v>50</v>
      </c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</row>
    <row r="938" spans="1:30" ht="15.75" x14ac:dyDescent="0.25">
      <c r="A938" s="13">
        <v>69853</v>
      </c>
      <c r="B938" s="67">
        <f t="shared" si="151"/>
        <v>31</v>
      </c>
      <c r="C938" s="56">
        <f>122.58</f>
        <v>122.58</v>
      </c>
      <c r="D938" s="56">
        <f>297.941</f>
        <v>297.94099999999997</v>
      </c>
      <c r="E938" s="64">
        <f>89.177</f>
        <v>89.177000000000007</v>
      </c>
      <c r="F938" s="56">
        <f>240.302-40-60-100</f>
        <v>40.301999999999992</v>
      </c>
      <c r="G938" s="59">
        <v>40</v>
      </c>
      <c r="H938" s="56">
        <f>60+100</f>
        <v>160</v>
      </c>
      <c r="I938" s="56">
        <f t="shared" si="158"/>
        <v>0</v>
      </c>
      <c r="J938" s="59">
        <v>100</v>
      </c>
      <c r="K938" s="59">
        <v>300</v>
      </c>
      <c r="L938" s="56">
        <f t="shared" si="152"/>
        <v>1150</v>
      </c>
      <c r="M938" s="66">
        <v>600</v>
      </c>
      <c r="N938" s="56">
        <f>100</f>
        <v>100</v>
      </c>
      <c r="O938" s="59">
        <v>240</v>
      </c>
      <c r="P938" s="59">
        <v>40</v>
      </c>
      <c r="Q938" s="59">
        <f t="shared" si="153"/>
        <v>315</v>
      </c>
      <c r="R938" s="59">
        <f t="shared" si="154"/>
        <v>100</v>
      </c>
      <c r="S938" s="56">
        <f t="shared" si="155"/>
        <v>695</v>
      </c>
      <c r="T938" s="56">
        <f>50</f>
        <v>50</v>
      </c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</row>
    <row r="939" spans="1:30" ht="15.75" x14ac:dyDescent="0.25">
      <c r="A939" s="13">
        <v>69883</v>
      </c>
      <c r="B939" s="67">
        <f t="shared" si="151"/>
        <v>30</v>
      </c>
      <c r="C939" s="56">
        <f>141.293</f>
        <v>141.29300000000001</v>
      </c>
      <c r="D939" s="56">
        <f>267.993</f>
        <v>267.99299999999999</v>
      </c>
      <c r="E939" s="64">
        <f>115.016</f>
        <v>115.01600000000001</v>
      </c>
      <c r="F939" s="56">
        <f>314.698-40-25-60-100</f>
        <v>89.697999999999979</v>
      </c>
      <c r="G939" s="59">
        <v>40</v>
      </c>
      <c r="H939" s="56">
        <f t="shared" ref="H939:H945" si="159">25+60+100</f>
        <v>185</v>
      </c>
      <c r="I939" s="56">
        <f t="shared" si="158"/>
        <v>0</v>
      </c>
      <c r="J939" s="59">
        <v>100</v>
      </c>
      <c r="K939" s="59">
        <v>300</v>
      </c>
      <c r="L939" s="56">
        <f t="shared" si="152"/>
        <v>1239</v>
      </c>
      <c r="M939" s="66">
        <v>600</v>
      </c>
      <c r="N939" s="56">
        <f>100</f>
        <v>100</v>
      </c>
      <c r="O939" s="59">
        <v>240</v>
      </c>
      <c r="P939" s="59">
        <v>40</v>
      </c>
      <c r="Q939" s="59">
        <f t="shared" si="153"/>
        <v>315</v>
      </c>
      <c r="R939" s="59">
        <f t="shared" si="154"/>
        <v>100</v>
      </c>
      <c r="S939" s="56">
        <f t="shared" si="155"/>
        <v>695</v>
      </c>
      <c r="T939" s="56">
        <f>50</f>
        <v>50</v>
      </c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</row>
    <row r="940" spans="1:30" ht="15.75" x14ac:dyDescent="0.25">
      <c r="A940" s="13">
        <v>69914</v>
      </c>
      <c r="B940" s="67">
        <f t="shared" si="151"/>
        <v>31</v>
      </c>
      <c r="C940" s="56">
        <f>194.205</f>
        <v>194.20500000000001</v>
      </c>
      <c r="D940" s="56">
        <f>267.466</f>
        <v>267.46600000000001</v>
      </c>
      <c r="E940" s="64">
        <f>133.845</f>
        <v>133.845</v>
      </c>
      <c r="F940" s="56">
        <f>278.484-40-25-60-100</f>
        <v>53.48399999999998</v>
      </c>
      <c r="G940" s="59">
        <v>40</v>
      </c>
      <c r="H940" s="56">
        <f t="shared" si="159"/>
        <v>185</v>
      </c>
      <c r="I940" s="56">
        <f t="shared" si="158"/>
        <v>0</v>
      </c>
      <c r="J940" s="59">
        <v>100</v>
      </c>
      <c r="K940" s="59">
        <v>300</v>
      </c>
      <c r="L940" s="56">
        <f t="shared" si="152"/>
        <v>1274</v>
      </c>
      <c r="M940" s="66">
        <v>600</v>
      </c>
      <c r="N940" s="56">
        <f>75</f>
        <v>75</v>
      </c>
      <c r="O940" s="59">
        <v>240</v>
      </c>
      <c r="P940" s="59">
        <v>40</v>
      </c>
      <c r="Q940" s="59">
        <f t="shared" si="153"/>
        <v>315</v>
      </c>
      <c r="R940" s="59">
        <f t="shared" si="154"/>
        <v>100</v>
      </c>
      <c r="S940" s="56">
        <f t="shared" si="155"/>
        <v>695</v>
      </c>
      <c r="T940" s="56">
        <f>50</f>
        <v>50</v>
      </c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</row>
    <row r="941" spans="1:30" ht="15.75" x14ac:dyDescent="0.25">
      <c r="A941" s="13">
        <v>69944</v>
      </c>
      <c r="B941" s="67">
        <f t="shared" si="151"/>
        <v>30</v>
      </c>
      <c r="C941" s="56">
        <f>194.205</f>
        <v>194.20500000000001</v>
      </c>
      <c r="D941" s="56">
        <f>267.466</f>
        <v>267.46600000000001</v>
      </c>
      <c r="E941" s="64">
        <f>133.845</f>
        <v>133.845</v>
      </c>
      <c r="F941" s="56">
        <f>278.484-40-25-60-100</f>
        <v>53.48399999999998</v>
      </c>
      <c r="G941" s="59">
        <v>40</v>
      </c>
      <c r="H941" s="56">
        <f t="shared" si="159"/>
        <v>185</v>
      </c>
      <c r="I941" s="56">
        <f t="shared" si="158"/>
        <v>0</v>
      </c>
      <c r="J941" s="59">
        <v>100</v>
      </c>
      <c r="K941" s="59">
        <v>300</v>
      </c>
      <c r="L941" s="56">
        <f t="shared" si="152"/>
        <v>1274</v>
      </c>
      <c r="M941" s="66">
        <v>600</v>
      </c>
      <c r="N941" s="56">
        <f>30</f>
        <v>30</v>
      </c>
      <c r="O941" s="59">
        <v>240</v>
      </c>
      <c r="P941" s="59">
        <v>40</v>
      </c>
      <c r="Q941" s="59">
        <f t="shared" si="153"/>
        <v>315</v>
      </c>
      <c r="R941" s="59">
        <f t="shared" si="154"/>
        <v>100</v>
      </c>
      <c r="S941" s="56">
        <f t="shared" si="155"/>
        <v>695</v>
      </c>
      <c r="T941" s="56">
        <f>50</f>
        <v>50</v>
      </c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</row>
    <row r="942" spans="1:30" ht="15.75" x14ac:dyDescent="0.25">
      <c r="A942" s="13">
        <v>69975</v>
      </c>
      <c r="B942" s="67">
        <f t="shared" si="151"/>
        <v>31</v>
      </c>
      <c r="C942" s="56">
        <f>194.205</f>
        <v>194.20500000000001</v>
      </c>
      <c r="D942" s="56">
        <f>267.466</f>
        <v>267.46600000000001</v>
      </c>
      <c r="E942" s="64">
        <f>133.845</f>
        <v>133.845</v>
      </c>
      <c r="F942" s="56">
        <f>278.484-40-25-60-100</f>
        <v>53.48399999999998</v>
      </c>
      <c r="G942" s="59">
        <v>40</v>
      </c>
      <c r="H942" s="56">
        <f t="shared" si="159"/>
        <v>185</v>
      </c>
      <c r="I942" s="56">
        <f t="shared" si="158"/>
        <v>0</v>
      </c>
      <c r="J942" s="59">
        <v>100</v>
      </c>
      <c r="K942" s="59">
        <v>300</v>
      </c>
      <c r="L942" s="56">
        <f t="shared" si="152"/>
        <v>1274</v>
      </c>
      <c r="M942" s="66">
        <v>600</v>
      </c>
      <c r="N942" s="56">
        <f>30</f>
        <v>30</v>
      </c>
      <c r="O942" s="59">
        <v>240</v>
      </c>
      <c r="P942" s="59">
        <v>40</v>
      </c>
      <c r="Q942" s="59">
        <f t="shared" si="153"/>
        <v>315</v>
      </c>
      <c r="R942" s="59">
        <f t="shared" si="154"/>
        <v>100</v>
      </c>
      <c r="S942" s="56">
        <f t="shared" si="155"/>
        <v>695</v>
      </c>
      <c r="T942" s="56">
        <f>0</f>
        <v>0</v>
      </c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</row>
    <row r="943" spans="1:30" ht="15.75" x14ac:dyDescent="0.25">
      <c r="A943" s="13">
        <v>70006</v>
      </c>
      <c r="B943" s="67">
        <f t="shared" si="151"/>
        <v>31</v>
      </c>
      <c r="C943" s="56">
        <f>194.205</f>
        <v>194.20500000000001</v>
      </c>
      <c r="D943" s="56">
        <f>267.466</f>
        <v>267.46600000000001</v>
      </c>
      <c r="E943" s="64">
        <f>133.845</f>
        <v>133.845</v>
      </c>
      <c r="F943" s="56">
        <f>278.484-40-25-60-100</f>
        <v>53.48399999999998</v>
      </c>
      <c r="G943" s="59">
        <v>40</v>
      </c>
      <c r="H943" s="56">
        <f t="shared" si="159"/>
        <v>185</v>
      </c>
      <c r="I943" s="56">
        <f t="shared" si="158"/>
        <v>0</v>
      </c>
      <c r="J943" s="59">
        <v>100</v>
      </c>
      <c r="K943" s="59">
        <v>300</v>
      </c>
      <c r="L943" s="56">
        <f t="shared" si="152"/>
        <v>1274</v>
      </c>
      <c r="M943" s="66">
        <v>600</v>
      </c>
      <c r="N943" s="56">
        <f>30</f>
        <v>30</v>
      </c>
      <c r="O943" s="59">
        <v>240</v>
      </c>
      <c r="P943" s="59">
        <v>40</v>
      </c>
      <c r="Q943" s="59">
        <f t="shared" si="153"/>
        <v>315</v>
      </c>
      <c r="R943" s="59">
        <f t="shared" si="154"/>
        <v>100</v>
      </c>
      <c r="S943" s="56">
        <f t="shared" si="155"/>
        <v>695</v>
      </c>
      <c r="T943" s="56">
        <f>0</f>
        <v>0</v>
      </c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</row>
    <row r="944" spans="1:30" ht="15.75" x14ac:dyDescent="0.25">
      <c r="A944" s="13">
        <v>70036</v>
      </c>
      <c r="B944" s="67">
        <f t="shared" si="151"/>
        <v>30</v>
      </c>
      <c r="C944" s="56">
        <f>194.205</f>
        <v>194.20500000000001</v>
      </c>
      <c r="D944" s="56">
        <f>267.466</f>
        <v>267.46600000000001</v>
      </c>
      <c r="E944" s="64">
        <f>133.845</f>
        <v>133.845</v>
      </c>
      <c r="F944" s="56">
        <f>278.484-40-25-60-100</f>
        <v>53.48399999999998</v>
      </c>
      <c r="G944" s="59">
        <v>40</v>
      </c>
      <c r="H944" s="56">
        <f t="shared" si="159"/>
        <v>185</v>
      </c>
      <c r="I944" s="56">
        <f t="shared" si="158"/>
        <v>0</v>
      </c>
      <c r="J944" s="59">
        <v>100</v>
      </c>
      <c r="K944" s="59">
        <v>300</v>
      </c>
      <c r="L944" s="56">
        <f t="shared" si="152"/>
        <v>1274</v>
      </c>
      <c r="M944" s="66">
        <v>600</v>
      </c>
      <c r="N944" s="56">
        <f>30</f>
        <v>30</v>
      </c>
      <c r="O944" s="59">
        <v>240</v>
      </c>
      <c r="P944" s="59">
        <v>40</v>
      </c>
      <c r="Q944" s="59">
        <f t="shared" si="153"/>
        <v>315</v>
      </c>
      <c r="R944" s="59">
        <f t="shared" si="154"/>
        <v>100</v>
      </c>
      <c r="S944" s="56">
        <f t="shared" si="155"/>
        <v>695</v>
      </c>
      <c r="T944" s="56">
        <f>0</f>
        <v>0</v>
      </c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</row>
    <row r="945" spans="1:30" ht="15.75" x14ac:dyDescent="0.25">
      <c r="A945" s="13">
        <v>70067</v>
      </c>
      <c r="B945" s="67">
        <f t="shared" si="151"/>
        <v>31</v>
      </c>
      <c r="C945" s="56">
        <f>131.881</f>
        <v>131.881</v>
      </c>
      <c r="D945" s="56">
        <f>277.167</f>
        <v>277.16699999999997</v>
      </c>
      <c r="E945" s="64">
        <f>79.08</f>
        <v>79.08</v>
      </c>
      <c r="F945" s="56">
        <f>350.872-40-25-60-100</f>
        <v>125.87200000000001</v>
      </c>
      <c r="G945" s="59">
        <v>40</v>
      </c>
      <c r="H945" s="56">
        <f t="shared" si="159"/>
        <v>185</v>
      </c>
      <c r="I945" s="56">
        <f t="shared" si="158"/>
        <v>0</v>
      </c>
      <c r="J945" s="59">
        <v>100</v>
      </c>
      <c r="K945" s="59">
        <v>300</v>
      </c>
      <c r="L945" s="56">
        <f t="shared" si="152"/>
        <v>1239</v>
      </c>
      <c r="M945" s="66">
        <v>600</v>
      </c>
      <c r="N945" s="56">
        <f>75</f>
        <v>75</v>
      </c>
      <c r="O945" s="59">
        <v>240</v>
      </c>
      <c r="P945" s="59">
        <v>40</v>
      </c>
      <c r="Q945" s="59">
        <f t="shared" si="153"/>
        <v>315</v>
      </c>
      <c r="R945" s="59">
        <f t="shared" si="154"/>
        <v>100</v>
      </c>
      <c r="S945" s="56">
        <f t="shared" si="155"/>
        <v>695</v>
      </c>
      <c r="T945" s="56">
        <f>0</f>
        <v>0</v>
      </c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</row>
    <row r="946" spans="1:30" ht="15.75" x14ac:dyDescent="0.25">
      <c r="A946" s="13">
        <v>70097</v>
      </c>
      <c r="B946" s="67">
        <f t="shared" si="151"/>
        <v>30</v>
      </c>
      <c r="C946" s="56">
        <f>122.58</f>
        <v>122.58</v>
      </c>
      <c r="D946" s="56">
        <f>297.941</f>
        <v>297.94099999999997</v>
      </c>
      <c r="E946" s="64">
        <f>89.177</f>
        <v>89.177000000000007</v>
      </c>
      <c r="F946" s="56">
        <f>240.302-40-60-100</f>
        <v>40.301999999999992</v>
      </c>
      <c r="G946" s="59">
        <v>40</v>
      </c>
      <c r="H946" s="56">
        <f>60+100</f>
        <v>160</v>
      </c>
      <c r="I946" s="56">
        <f t="shared" si="158"/>
        <v>0</v>
      </c>
      <c r="J946" s="59">
        <v>100</v>
      </c>
      <c r="K946" s="59">
        <v>300</v>
      </c>
      <c r="L946" s="56">
        <f t="shared" si="152"/>
        <v>1150</v>
      </c>
      <c r="M946" s="66">
        <v>600</v>
      </c>
      <c r="N946" s="56">
        <f>100</f>
        <v>100</v>
      </c>
      <c r="O946" s="59">
        <v>240</v>
      </c>
      <c r="P946" s="59">
        <v>40</v>
      </c>
      <c r="Q946" s="59">
        <f t="shared" si="153"/>
        <v>315</v>
      </c>
      <c r="R946" s="59">
        <f t="shared" si="154"/>
        <v>100</v>
      </c>
      <c r="S946" s="56">
        <f t="shared" si="155"/>
        <v>695</v>
      </c>
      <c r="T946" s="56">
        <f>50</f>
        <v>50</v>
      </c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</row>
    <row r="947" spans="1:30" ht="15.75" x14ac:dyDescent="0.25">
      <c r="A947" s="13">
        <v>70128</v>
      </c>
      <c r="B947" s="67">
        <f t="shared" si="151"/>
        <v>31</v>
      </c>
      <c r="C947" s="56">
        <f>122.58</f>
        <v>122.58</v>
      </c>
      <c r="D947" s="56">
        <f>297.941</f>
        <v>297.94099999999997</v>
      </c>
      <c r="E947" s="64">
        <f>89.177</f>
        <v>89.177000000000007</v>
      </c>
      <c r="F947" s="56">
        <f>240.302-40-60-100</f>
        <v>40.301999999999992</v>
      </c>
      <c r="G947" s="59">
        <v>40</v>
      </c>
      <c r="H947" s="56">
        <f>60+100</f>
        <v>160</v>
      </c>
      <c r="I947" s="56">
        <f t="shared" si="158"/>
        <v>0</v>
      </c>
      <c r="J947" s="59">
        <v>100</v>
      </c>
      <c r="K947" s="59">
        <v>300</v>
      </c>
      <c r="L947" s="56">
        <f t="shared" si="152"/>
        <v>1150</v>
      </c>
      <c r="M947" s="66">
        <v>600</v>
      </c>
      <c r="N947" s="56">
        <f>100</f>
        <v>100</v>
      </c>
      <c r="O947" s="59">
        <v>240</v>
      </c>
      <c r="P947" s="59">
        <v>40</v>
      </c>
      <c r="Q947" s="59">
        <f t="shared" si="153"/>
        <v>315</v>
      </c>
      <c r="R947" s="59">
        <f t="shared" si="154"/>
        <v>100</v>
      </c>
      <c r="S947" s="56">
        <f t="shared" si="155"/>
        <v>695</v>
      </c>
      <c r="T947" s="56">
        <f>50</f>
        <v>50</v>
      </c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</row>
    <row r="948" spans="1:30" ht="15.75" x14ac:dyDescent="0.25">
      <c r="A948" s="13">
        <v>70159</v>
      </c>
      <c r="B948" s="67">
        <f t="shared" si="151"/>
        <v>31</v>
      </c>
      <c r="C948" s="56">
        <f>122.58</f>
        <v>122.58</v>
      </c>
      <c r="D948" s="56">
        <f>297.941</f>
        <v>297.94099999999997</v>
      </c>
      <c r="E948" s="64">
        <f>89.177</f>
        <v>89.177000000000007</v>
      </c>
      <c r="F948" s="56">
        <f>240.302-40-60-100</f>
        <v>40.301999999999992</v>
      </c>
      <c r="G948" s="59">
        <v>40</v>
      </c>
      <c r="H948" s="56">
        <f>60+100</f>
        <v>160</v>
      </c>
      <c r="I948" s="56">
        <f t="shared" si="158"/>
        <v>0</v>
      </c>
      <c r="J948" s="59">
        <v>100</v>
      </c>
      <c r="K948" s="59">
        <v>300</v>
      </c>
      <c r="L948" s="56">
        <f t="shared" si="152"/>
        <v>1150</v>
      </c>
      <c r="M948" s="66">
        <v>600</v>
      </c>
      <c r="N948" s="56">
        <f>100</f>
        <v>100</v>
      </c>
      <c r="O948" s="59">
        <v>240</v>
      </c>
      <c r="P948" s="59">
        <v>40</v>
      </c>
      <c r="Q948" s="59">
        <f t="shared" si="153"/>
        <v>315</v>
      </c>
      <c r="R948" s="59">
        <f t="shared" si="154"/>
        <v>100</v>
      </c>
      <c r="S948" s="56">
        <f t="shared" si="155"/>
        <v>695</v>
      </c>
      <c r="T948" s="56">
        <f>50</f>
        <v>50</v>
      </c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</row>
    <row r="949" spans="1:30" ht="15.75" x14ac:dyDescent="0.25">
      <c r="A949" s="13">
        <v>70188</v>
      </c>
      <c r="B949" s="67">
        <f t="shared" si="151"/>
        <v>29</v>
      </c>
      <c r="C949" s="56">
        <f>122.58</f>
        <v>122.58</v>
      </c>
      <c r="D949" s="56">
        <f>297.941</f>
        <v>297.94099999999997</v>
      </c>
      <c r="E949" s="64">
        <f>89.177</f>
        <v>89.177000000000007</v>
      </c>
      <c r="F949" s="56">
        <f>240.302-40-60-100</f>
        <v>40.301999999999992</v>
      </c>
      <c r="G949" s="59">
        <v>40</v>
      </c>
      <c r="H949" s="56">
        <f>60+100</f>
        <v>160</v>
      </c>
      <c r="I949" s="56">
        <f t="shared" si="158"/>
        <v>0</v>
      </c>
      <c r="J949" s="59">
        <v>100</v>
      </c>
      <c r="K949" s="59">
        <v>300</v>
      </c>
      <c r="L949" s="56">
        <f t="shared" si="152"/>
        <v>1150</v>
      </c>
      <c r="M949" s="66">
        <v>600</v>
      </c>
      <c r="N949" s="56">
        <f>100</f>
        <v>100</v>
      </c>
      <c r="O949" s="59">
        <v>240</v>
      </c>
      <c r="P949" s="59">
        <v>40</v>
      </c>
      <c r="Q949" s="59">
        <f t="shared" si="153"/>
        <v>315</v>
      </c>
      <c r="R949" s="59">
        <f t="shared" si="154"/>
        <v>100</v>
      </c>
      <c r="S949" s="56">
        <f t="shared" si="155"/>
        <v>695</v>
      </c>
      <c r="T949" s="56">
        <f>50</f>
        <v>50</v>
      </c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</row>
    <row r="950" spans="1:30" ht="15.75" x14ac:dyDescent="0.25">
      <c r="A950" s="13">
        <v>70219</v>
      </c>
      <c r="B950" s="67">
        <f t="shared" si="151"/>
        <v>31</v>
      </c>
      <c r="C950" s="56">
        <f>122.58</f>
        <v>122.58</v>
      </c>
      <c r="D950" s="56">
        <f>297.941</f>
        <v>297.94099999999997</v>
      </c>
      <c r="E950" s="64">
        <f>89.177</f>
        <v>89.177000000000007</v>
      </c>
      <c r="F950" s="56">
        <f>240.302-40-60-100</f>
        <v>40.301999999999992</v>
      </c>
      <c r="G950" s="59">
        <v>40</v>
      </c>
      <c r="H950" s="56">
        <f>60+100</f>
        <v>160</v>
      </c>
      <c r="I950" s="56">
        <f t="shared" si="158"/>
        <v>0</v>
      </c>
      <c r="J950" s="59">
        <v>100</v>
      </c>
      <c r="K950" s="59">
        <v>300</v>
      </c>
      <c r="L950" s="56">
        <f t="shared" si="152"/>
        <v>1150</v>
      </c>
      <c r="M950" s="66">
        <v>600</v>
      </c>
      <c r="N950" s="56">
        <f>100</f>
        <v>100</v>
      </c>
      <c r="O950" s="59">
        <v>240</v>
      </c>
      <c r="P950" s="59">
        <v>40</v>
      </c>
      <c r="Q950" s="59">
        <f t="shared" si="153"/>
        <v>315</v>
      </c>
      <c r="R950" s="59">
        <f t="shared" si="154"/>
        <v>100</v>
      </c>
      <c r="S950" s="56">
        <f t="shared" si="155"/>
        <v>695</v>
      </c>
      <c r="T950" s="56">
        <f>50</f>
        <v>50</v>
      </c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</row>
    <row r="951" spans="1:30" ht="15.75" x14ac:dyDescent="0.25">
      <c r="A951" s="13">
        <v>70249</v>
      </c>
      <c r="B951" s="67">
        <f t="shared" si="151"/>
        <v>30</v>
      </c>
      <c r="C951" s="56">
        <f>141.293</f>
        <v>141.29300000000001</v>
      </c>
      <c r="D951" s="56">
        <f>267.993</f>
        <v>267.99299999999999</v>
      </c>
      <c r="E951" s="64">
        <f>115.016</f>
        <v>115.01600000000001</v>
      </c>
      <c r="F951" s="56">
        <f>314.698-40-25-60-100</f>
        <v>89.697999999999979</v>
      </c>
      <c r="G951" s="59">
        <v>40</v>
      </c>
      <c r="H951" s="56">
        <f t="shared" ref="H951:H957" si="160">25+60+100</f>
        <v>185</v>
      </c>
      <c r="I951" s="56">
        <f t="shared" si="158"/>
        <v>0</v>
      </c>
      <c r="J951" s="59">
        <v>100</v>
      </c>
      <c r="K951" s="59">
        <v>300</v>
      </c>
      <c r="L951" s="56">
        <f t="shared" si="152"/>
        <v>1239</v>
      </c>
      <c r="M951" s="66">
        <v>600</v>
      </c>
      <c r="N951" s="56">
        <f>100</f>
        <v>100</v>
      </c>
      <c r="O951" s="59">
        <v>240</v>
      </c>
      <c r="P951" s="59">
        <v>40</v>
      </c>
      <c r="Q951" s="59">
        <f t="shared" si="153"/>
        <v>315</v>
      </c>
      <c r="R951" s="59">
        <f t="shared" si="154"/>
        <v>100</v>
      </c>
      <c r="S951" s="56">
        <f t="shared" si="155"/>
        <v>695</v>
      </c>
      <c r="T951" s="56">
        <f>50</f>
        <v>50</v>
      </c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</row>
    <row r="952" spans="1:30" ht="15.75" x14ac:dyDescent="0.25">
      <c r="A952" s="13">
        <v>70280</v>
      </c>
      <c r="B952" s="67">
        <f t="shared" si="151"/>
        <v>31</v>
      </c>
      <c r="C952" s="56">
        <f>194.205</f>
        <v>194.20500000000001</v>
      </c>
      <c r="D952" s="56">
        <f>267.466</f>
        <v>267.46600000000001</v>
      </c>
      <c r="E952" s="64">
        <f>133.845</f>
        <v>133.845</v>
      </c>
      <c r="F952" s="56">
        <f>278.484-40-25-60-100</f>
        <v>53.48399999999998</v>
      </c>
      <c r="G952" s="59">
        <v>40</v>
      </c>
      <c r="H952" s="56">
        <f t="shared" si="160"/>
        <v>185</v>
      </c>
      <c r="I952" s="56">
        <f t="shared" si="158"/>
        <v>0</v>
      </c>
      <c r="J952" s="59">
        <v>100</v>
      </c>
      <c r="K952" s="59">
        <v>300</v>
      </c>
      <c r="L952" s="56">
        <f t="shared" si="152"/>
        <v>1274</v>
      </c>
      <c r="M952" s="66">
        <v>600</v>
      </c>
      <c r="N952" s="56">
        <f>75</f>
        <v>75</v>
      </c>
      <c r="O952" s="59">
        <v>240</v>
      </c>
      <c r="P952" s="59">
        <v>40</v>
      </c>
      <c r="Q952" s="59">
        <f t="shared" si="153"/>
        <v>315</v>
      </c>
      <c r="R952" s="59">
        <f t="shared" si="154"/>
        <v>100</v>
      </c>
      <c r="S952" s="56">
        <f t="shared" si="155"/>
        <v>695</v>
      </c>
      <c r="T952" s="56">
        <f>50</f>
        <v>50</v>
      </c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</row>
    <row r="953" spans="1:30" ht="15.75" x14ac:dyDescent="0.25">
      <c r="A953" s="13">
        <v>70310</v>
      </c>
      <c r="B953" s="67">
        <f t="shared" si="151"/>
        <v>30</v>
      </c>
      <c r="C953" s="56">
        <f>194.205</f>
        <v>194.20500000000001</v>
      </c>
      <c r="D953" s="56">
        <f>267.466</f>
        <v>267.46600000000001</v>
      </c>
      <c r="E953" s="64">
        <f>133.845</f>
        <v>133.845</v>
      </c>
      <c r="F953" s="56">
        <f>278.484-40-25-60-100</f>
        <v>53.48399999999998</v>
      </c>
      <c r="G953" s="59">
        <v>40</v>
      </c>
      <c r="H953" s="56">
        <f t="shared" si="160"/>
        <v>185</v>
      </c>
      <c r="I953" s="56">
        <f t="shared" si="158"/>
        <v>0</v>
      </c>
      <c r="J953" s="59">
        <v>100</v>
      </c>
      <c r="K953" s="59">
        <v>300</v>
      </c>
      <c r="L953" s="56">
        <f t="shared" si="152"/>
        <v>1274</v>
      </c>
      <c r="M953" s="66">
        <v>600</v>
      </c>
      <c r="N953" s="56">
        <f>30</f>
        <v>30</v>
      </c>
      <c r="O953" s="59">
        <v>240</v>
      </c>
      <c r="P953" s="59">
        <v>40</v>
      </c>
      <c r="Q953" s="59">
        <f t="shared" si="153"/>
        <v>315</v>
      </c>
      <c r="R953" s="59">
        <f t="shared" si="154"/>
        <v>100</v>
      </c>
      <c r="S953" s="56">
        <f t="shared" si="155"/>
        <v>695</v>
      </c>
      <c r="T953" s="56">
        <f>50</f>
        <v>50</v>
      </c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</row>
    <row r="954" spans="1:30" ht="15.75" x14ac:dyDescent="0.25">
      <c r="A954" s="13">
        <v>70341</v>
      </c>
      <c r="B954" s="67">
        <f t="shared" si="151"/>
        <v>31</v>
      </c>
      <c r="C954" s="56">
        <f>194.205</f>
        <v>194.20500000000001</v>
      </c>
      <c r="D954" s="56">
        <f>267.466</f>
        <v>267.46600000000001</v>
      </c>
      <c r="E954" s="64">
        <f>133.845</f>
        <v>133.845</v>
      </c>
      <c r="F954" s="56">
        <f>278.484-40-25-60-100</f>
        <v>53.48399999999998</v>
      </c>
      <c r="G954" s="59">
        <v>40</v>
      </c>
      <c r="H954" s="56">
        <f t="shared" si="160"/>
        <v>185</v>
      </c>
      <c r="I954" s="56">
        <f t="shared" si="158"/>
        <v>0</v>
      </c>
      <c r="J954" s="59">
        <v>100</v>
      </c>
      <c r="K954" s="59">
        <v>300</v>
      </c>
      <c r="L954" s="56">
        <f t="shared" si="152"/>
        <v>1274</v>
      </c>
      <c r="M954" s="66">
        <v>600</v>
      </c>
      <c r="N954" s="56">
        <f>30</f>
        <v>30</v>
      </c>
      <c r="O954" s="59">
        <v>240</v>
      </c>
      <c r="P954" s="59">
        <v>40</v>
      </c>
      <c r="Q954" s="59">
        <f t="shared" si="153"/>
        <v>315</v>
      </c>
      <c r="R954" s="59">
        <f t="shared" si="154"/>
        <v>100</v>
      </c>
      <c r="S954" s="56">
        <f t="shared" si="155"/>
        <v>695</v>
      </c>
      <c r="T954" s="56">
        <f>0</f>
        <v>0</v>
      </c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</row>
    <row r="955" spans="1:30" ht="15.75" x14ac:dyDescent="0.25">
      <c r="A955" s="13">
        <v>70372</v>
      </c>
      <c r="B955" s="67">
        <f t="shared" si="151"/>
        <v>31</v>
      </c>
      <c r="C955" s="56">
        <f>194.205</f>
        <v>194.20500000000001</v>
      </c>
      <c r="D955" s="56">
        <f>267.466</f>
        <v>267.46600000000001</v>
      </c>
      <c r="E955" s="64">
        <f>133.845</f>
        <v>133.845</v>
      </c>
      <c r="F955" s="56">
        <f>278.484-40-25-60-100</f>
        <v>53.48399999999998</v>
      </c>
      <c r="G955" s="59">
        <v>40</v>
      </c>
      <c r="H955" s="56">
        <f t="shared" si="160"/>
        <v>185</v>
      </c>
      <c r="I955" s="56">
        <f t="shared" si="158"/>
        <v>0</v>
      </c>
      <c r="J955" s="59">
        <v>100</v>
      </c>
      <c r="K955" s="59">
        <v>300</v>
      </c>
      <c r="L955" s="56">
        <f t="shared" si="152"/>
        <v>1274</v>
      </c>
      <c r="M955" s="66">
        <v>600</v>
      </c>
      <c r="N955" s="56">
        <f>30</f>
        <v>30</v>
      </c>
      <c r="O955" s="59">
        <v>240</v>
      </c>
      <c r="P955" s="59">
        <v>40</v>
      </c>
      <c r="Q955" s="59">
        <f t="shared" si="153"/>
        <v>315</v>
      </c>
      <c r="R955" s="59">
        <f t="shared" si="154"/>
        <v>100</v>
      </c>
      <c r="S955" s="56">
        <f t="shared" si="155"/>
        <v>695</v>
      </c>
      <c r="T955" s="56">
        <f>0</f>
        <v>0</v>
      </c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</row>
    <row r="956" spans="1:30" ht="15.75" x14ac:dyDescent="0.25">
      <c r="A956" s="13">
        <v>70402</v>
      </c>
      <c r="B956" s="67">
        <f t="shared" si="151"/>
        <v>30</v>
      </c>
      <c r="C956" s="56">
        <f>194.205</f>
        <v>194.20500000000001</v>
      </c>
      <c r="D956" s="56">
        <f>267.466</f>
        <v>267.46600000000001</v>
      </c>
      <c r="E956" s="64">
        <f>133.845</f>
        <v>133.845</v>
      </c>
      <c r="F956" s="56">
        <f>278.484-40-25-60-100</f>
        <v>53.48399999999998</v>
      </c>
      <c r="G956" s="59">
        <v>40</v>
      </c>
      <c r="H956" s="56">
        <f t="shared" si="160"/>
        <v>185</v>
      </c>
      <c r="I956" s="56">
        <f t="shared" si="158"/>
        <v>0</v>
      </c>
      <c r="J956" s="59">
        <v>100</v>
      </c>
      <c r="K956" s="59">
        <v>300</v>
      </c>
      <c r="L956" s="56">
        <f t="shared" si="152"/>
        <v>1274</v>
      </c>
      <c r="M956" s="66">
        <v>600</v>
      </c>
      <c r="N956" s="56">
        <f>30</f>
        <v>30</v>
      </c>
      <c r="O956" s="59">
        <v>240</v>
      </c>
      <c r="P956" s="59">
        <v>40</v>
      </c>
      <c r="Q956" s="59">
        <f t="shared" si="153"/>
        <v>315</v>
      </c>
      <c r="R956" s="59">
        <f t="shared" si="154"/>
        <v>100</v>
      </c>
      <c r="S956" s="56">
        <f t="shared" si="155"/>
        <v>695</v>
      </c>
      <c r="T956" s="56">
        <f>0</f>
        <v>0</v>
      </c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</row>
    <row r="957" spans="1:30" ht="15.75" x14ac:dyDescent="0.25">
      <c r="A957" s="13">
        <v>70433</v>
      </c>
      <c r="B957" s="67">
        <f t="shared" si="151"/>
        <v>31</v>
      </c>
      <c r="C957" s="56">
        <f>131.881</f>
        <v>131.881</v>
      </c>
      <c r="D957" s="56">
        <f>277.167</f>
        <v>277.16699999999997</v>
      </c>
      <c r="E957" s="64">
        <f>79.08</f>
        <v>79.08</v>
      </c>
      <c r="F957" s="56">
        <f>350.872-40-25-60-100</f>
        <v>125.87200000000001</v>
      </c>
      <c r="G957" s="59">
        <v>40</v>
      </c>
      <c r="H957" s="56">
        <f t="shared" si="160"/>
        <v>185</v>
      </c>
      <c r="I957" s="56">
        <f t="shared" si="158"/>
        <v>0</v>
      </c>
      <c r="J957" s="59">
        <v>100</v>
      </c>
      <c r="K957" s="59">
        <v>300</v>
      </c>
      <c r="L957" s="56">
        <f t="shared" si="152"/>
        <v>1239</v>
      </c>
      <c r="M957" s="66">
        <v>600</v>
      </c>
      <c r="N957" s="56">
        <f>75</f>
        <v>75</v>
      </c>
      <c r="O957" s="59">
        <v>240</v>
      </c>
      <c r="P957" s="59">
        <v>40</v>
      </c>
      <c r="Q957" s="59">
        <f t="shared" si="153"/>
        <v>315</v>
      </c>
      <c r="R957" s="59">
        <f t="shared" si="154"/>
        <v>100</v>
      </c>
      <c r="S957" s="56">
        <f t="shared" si="155"/>
        <v>695</v>
      </c>
      <c r="T957" s="56">
        <f>0</f>
        <v>0</v>
      </c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</row>
    <row r="958" spans="1:30" ht="15.75" x14ac:dyDescent="0.25">
      <c r="A958" s="13">
        <v>70463</v>
      </c>
      <c r="B958" s="67">
        <f t="shared" si="151"/>
        <v>30</v>
      </c>
      <c r="C958" s="56">
        <f>122.58</f>
        <v>122.58</v>
      </c>
      <c r="D958" s="56">
        <f>297.941</f>
        <v>297.94099999999997</v>
      </c>
      <c r="E958" s="64">
        <f>89.177</f>
        <v>89.177000000000007</v>
      </c>
      <c r="F958" s="56">
        <f>240.302-40-60-100</f>
        <v>40.301999999999992</v>
      </c>
      <c r="G958" s="59">
        <v>40</v>
      </c>
      <c r="H958" s="56">
        <f>60+100</f>
        <v>160</v>
      </c>
      <c r="I958" s="56">
        <f t="shared" si="158"/>
        <v>0</v>
      </c>
      <c r="J958" s="59">
        <v>100</v>
      </c>
      <c r="K958" s="59">
        <v>300</v>
      </c>
      <c r="L958" s="56">
        <f t="shared" si="152"/>
        <v>1150</v>
      </c>
      <c r="M958" s="66">
        <v>600</v>
      </c>
      <c r="N958" s="56">
        <f>100</f>
        <v>100</v>
      </c>
      <c r="O958" s="59">
        <v>240</v>
      </c>
      <c r="P958" s="59">
        <v>40</v>
      </c>
      <c r="Q958" s="59">
        <f t="shared" si="153"/>
        <v>315</v>
      </c>
      <c r="R958" s="59">
        <f t="shared" si="154"/>
        <v>100</v>
      </c>
      <c r="S958" s="56">
        <f t="shared" si="155"/>
        <v>695</v>
      </c>
      <c r="T958" s="56">
        <f>50</f>
        <v>50</v>
      </c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</row>
    <row r="959" spans="1:30" ht="15.75" x14ac:dyDescent="0.25">
      <c r="A959" s="13">
        <v>70494</v>
      </c>
      <c r="B959" s="67">
        <f t="shared" si="151"/>
        <v>31</v>
      </c>
      <c r="C959" s="56">
        <f>122.58</f>
        <v>122.58</v>
      </c>
      <c r="D959" s="56">
        <f>297.941</f>
        <v>297.94099999999997</v>
      </c>
      <c r="E959" s="64">
        <f>89.177</f>
        <v>89.177000000000007</v>
      </c>
      <c r="F959" s="56">
        <f>240.302-40-60-100</f>
        <v>40.301999999999992</v>
      </c>
      <c r="G959" s="59">
        <v>40</v>
      </c>
      <c r="H959" s="56">
        <f>60+100</f>
        <v>160</v>
      </c>
      <c r="I959" s="56">
        <f t="shared" si="158"/>
        <v>0</v>
      </c>
      <c r="J959" s="59">
        <v>100</v>
      </c>
      <c r="K959" s="59">
        <v>300</v>
      </c>
      <c r="L959" s="56">
        <f t="shared" si="152"/>
        <v>1150</v>
      </c>
      <c r="M959" s="66">
        <v>600</v>
      </c>
      <c r="N959" s="56">
        <f>100</f>
        <v>100</v>
      </c>
      <c r="O959" s="59">
        <v>240</v>
      </c>
      <c r="P959" s="59">
        <v>40</v>
      </c>
      <c r="Q959" s="59">
        <f t="shared" si="153"/>
        <v>315</v>
      </c>
      <c r="R959" s="59">
        <f t="shared" si="154"/>
        <v>100</v>
      </c>
      <c r="S959" s="56">
        <f t="shared" si="155"/>
        <v>695</v>
      </c>
      <c r="T959" s="56">
        <f>50</f>
        <v>50</v>
      </c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</row>
    <row r="960" spans="1:30" ht="15.75" x14ac:dyDescent="0.25">
      <c r="A960" s="13">
        <v>70525</v>
      </c>
      <c r="B960" s="67">
        <f t="shared" si="151"/>
        <v>31</v>
      </c>
      <c r="C960" s="56">
        <f>122.58</f>
        <v>122.58</v>
      </c>
      <c r="D960" s="56">
        <f>297.941</f>
        <v>297.94099999999997</v>
      </c>
      <c r="E960" s="64">
        <f>89.177</f>
        <v>89.177000000000007</v>
      </c>
      <c r="F960" s="56">
        <f>240.302-40-60-100</f>
        <v>40.301999999999992</v>
      </c>
      <c r="G960" s="59">
        <v>40</v>
      </c>
      <c r="H960" s="56">
        <f>60+100</f>
        <v>160</v>
      </c>
      <c r="I960" s="56">
        <f t="shared" si="158"/>
        <v>0</v>
      </c>
      <c r="J960" s="59">
        <v>100</v>
      </c>
      <c r="K960" s="59">
        <v>300</v>
      </c>
      <c r="L960" s="56">
        <f t="shared" si="152"/>
        <v>1150</v>
      </c>
      <c r="M960" s="66">
        <v>600</v>
      </c>
      <c r="N960" s="56">
        <f>100</f>
        <v>100</v>
      </c>
      <c r="O960" s="59">
        <v>240</v>
      </c>
      <c r="P960" s="59">
        <v>40</v>
      </c>
      <c r="Q960" s="59">
        <f t="shared" si="153"/>
        <v>315</v>
      </c>
      <c r="R960" s="59">
        <f t="shared" si="154"/>
        <v>100</v>
      </c>
      <c r="S960" s="56">
        <f t="shared" si="155"/>
        <v>695</v>
      </c>
      <c r="T960" s="56">
        <f>50</f>
        <v>50</v>
      </c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</row>
    <row r="961" spans="1:30" ht="15.75" x14ac:dyDescent="0.25">
      <c r="A961" s="13">
        <v>70553</v>
      </c>
      <c r="B961" s="67">
        <f t="shared" si="151"/>
        <v>28</v>
      </c>
      <c r="C961" s="56">
        <f>122.58</f>
        <v>122.58</v>
      </c>
      <c r="D961" s="56">
        <f>297.941</f>
        <v>297.94099999999997</v>
      </c>
      <c r="E961" s="64">
        <f>89.177</f>
        <v>89.177000000000007</v>
      </c>
      <c r="F961" s="56">
        <f>240.302-40-60-100</f>
        <v>40.301999999999992</v>
      </c>
      <c r="G961" s="59">
        <v>40</v>
      </c>
      <c r="H961" s="56">
        <f>60+100</f>
        <v>160</v>
      </c>
      <c r="I961" s="56">
        <f t="shared" si="158"/>
        <v>0</v>
      </c>
      <c r="J961" s="59">
        <v>100</v>
      </c>
      <c r="K961" s="59">
        <v>300</v>
      </c>
      <c r="L961" s="56">
        <f t="shared" si="152"/>
        <v>1150</v>
      </c>
      <c r="M961" s="66">
        <v>600</v>
      </c>
      <c r="N961" s="56">
        <f>100</f>
        <v>100</v>
      </c>
      <c r="O961" s="59">
        <v>240</v>
      </c>
      <c r="P961" s="59">
        <v>40</v>
      </c>
      <c r="Q961" s="59">
        <f t="shared" si="153"/>
        <v>315</v>
      </c>
      <c r="R961" s="59">
        <f t="shared" si="154"/>
        <v>100</v>
      </c>
      <c r="S961" s="56">
        <f t="shared" si="155"/>
        <v>695</v>
      </c>
      <c r="T961" s="56">
        <f>50</f>
        <v>50</v>
      </c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</row>
    <row r="962" spans="1:30" ht="15.75" x14ac:dyDescent="0.25">
      <c r="A962" s="13">
        <v>70584</v>
      </c>
      <c r="B962" s="67">
        <f t="shared" si="151"/>
        <v>31</v>
      </c>
      <c r="C962" s="56">
        <f>122.58</f>
        <v>122.58</v>
      </c>
      <c r="D962" s="56">
        <f>297.941</f>
        <v>297.94099999999997</v>
      </c>
      <c r="E962" s="64">
        <f>89.177</f>
        <v>89.177000000000007</v>
      </c>
      <c r="F962" s="56">
        <f>240.302-40-60-100</f>
        <v>40.301999999999992</v>
      </c>
      <c r="G962" s="59">
        <v>40</v>
      </c>
      <c r="H962" s="56">
        <f>60+100</f>
        <v>160</v>
      </c>
      <c r="I962" s="56">
        <f t="shared" si="158"/>
        <v>0</v>
      </c>
      <c r="J962" s="59">
        <v>100</v>
      </c>
      <c r="K962" s="59">
        <v>300</v>
      </c>
      <c r="L962" s="56">
        <f t="shared" si="152"/>
        <v>1150</v>
      </c>
      <c r="M962" s="66">
        <v>600</v>
      </c>
      <c r="N962" s="56">
        <f>100</f>
        <v>100</v>
      </c>
      <c r="O962" s="59">
        <v>240</v>
      </c>
      <c r="P962" s="59">
        <v>40</v>
      </c>
      <c r="Q962" s="59">
        <f t="shared" si="153"/>
        <v>315</v>
      </c>
      <c r="R962" s="59">
        <f t="shared" si="154"/>
        <v>100</v>
      </c>
      <c r="S962" s="56">
        <f t="shared" si="155"/>
        <v>695</v>
      </c>
      <c r="T962" s="56">
        <f>50</f>
        <v>50</v>
      </c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</row>
    <row r="963" spans="1:30" ht="15.75" x14ac:dyDescent="0.25">
      <c r="A963" s="13">
        <v>70614</v>
      </c>
      <c r="B963" s="67">
        <f t="shared" si="151"/>
        <v>30</v>
      </c>
      <c r="C963" s="56">
        <f>141.293</f>
        <v>141.29300000000001</v>
      </c>
      <c r="D963" s="56">
        <f>267.993</f>
        <v>267.99299999999999</v>
      </c>
      <c r="E963" s="64">
        <f>115.016</f>
        <v>115.01600000000001</v>
      </c>
      <c r="F963" s="56">
        <f>314.698-40-25-60-100</f>
        <v>89.697999999999979</v>
      </c>
      <c r="G963" s="59">
        <v>40</v>
      </c>
      <c r="H963" s="56">
        <f t="shared" ref="H963:H969" si="161">25+60+100</f>
        <v>185</v>
      </c>
      <c r="I963" s="56">
        <f t="shared" si="158"/>
        <v>0</v>
      </c>
      <c r="J963" s="59">
        <v>100</v>
      </c>
      <c r="K963" s="59">
        <v>300</v>
      </c>
      <c r="L963" s="56">
        <f t="shared" si="152"/>
        <v>1239</v>
      </c>
      <c r="M963" s="66">
        <v>600</v>
      </c>
      <c r="N963" s="56">
        <f>100</f>
        <v>100</v>
      </c>
      <c r="O963" s="59">
        <v>240</v>
      </c>
      <c r="P963" s="59">
        <v>40</v>
      </c>
      <c r="Q963" s="59">
        <f t="shared" si="153"/>
        <v>315</v>
      </c>
      <c r="R963" s="59">
        <f t="shared" si="154"/>
        <v>100</v>
      </c>
      <c r="S963" s="56">
        <f t="shared" si="155"/>
        <v>695</v>
      </c>
      <c r="T963" s="56">
        <f>50</f>
        <v>50</v>
      </c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</row>
    <row r="964" spans="1:30" ht="15.75" x14ac:dyDescent="0.25">
      <c r="A964" s="13">
        <v>70645</v>
      </c>
      <c r="B964" s="67">
        <f t="shared" si="151"/>
        <v>31</v>
      </c>
      <c r="C964" s="56">
        <f>194.205</f>
        <v>194.20500000000001</v>
      </c>
      <c r="D964" s="56">
        <f>267.466</f>
        <v>267.46600000000001</v>
      </c>
      <c r="E964" s="64">
        <f>133.845</f>
        <v>133.845</v>
      </c>
      <c r="F964" s="56">
        <f>278.484-40-25-60-100</f>
        <v>53.48399999999998</v>
      </c>
      <c r="G964" s="59">
        <v>40</v>
      </c>
      <c r="H964" s="56">
        <f t="shared" si="161"/>
        <v>185</v>
      </c>
      <c r="I964" s="56">
        <f t="shared" si="158"/>
        <v>0</v>
      </c>
      <c r="J964" s="59">
        <v>100</v>
      </c>
      <c r="K964" s="59">
        <v>300</v>
      </c>
      <c r="L964" s="56">
        <f t="shared" si="152"/>
        <v>1274</v>
      </c>
      <c r="M964" s="66">
        <v>600</v>
      </c>
      <c r="N964" s="56">
        <f>75</f>
        <v>75</v>
      </c>
      <c r="O964" s="59">
        <v>240</v>
      </c>
      <c r="P964" s="59">
        <v>40</v>
      </c>
      <c r="Q964" s="59">
        <f t="shared" si="153"/>
        <v>315</v>
      </c>
      <c r="R964" s="59">
        <f t="shared" si="154"/>
        <v>100</v>
      </c>
      <c r="S964" s="56">
        <f t="shared" si="155"/>
        <v>695</v>
      </c>
      <c r="T964" s="56">
        <f>50</f>
        <v>50</v>
      </c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</row>
    <row r="965" spans="1:30" ht="15.75" x14ac:dyDescent="0.25">
      <c r="A965" s="13">
        <v>70675</v>
      </c>
      <c r="B965" s="67">
        <f t="shared" si="151"/>
        <v>30</v>
      </c>
      <c r="C965" s="56">
        <f>194.205</f>
        <v>194.20500000000001</v>
      </c>
      <c r="D965" s="56">
        <f>267.466</f>
        <v>267.46600000000001</v>
      </c>
      <c r="E965" s="64">
        <f>133.845</f>
        <v>133.845</v>
      </c>
      <c r="F965" s="56">
        <f>278.484-40-25-60-100</f>
        <v>53.48399999999998</v>
      </c>
      <c r="G965" s="59">
        <v>40</v>
      </c>
      <c r="H965" s="56">
        <f t="shared" si="161"/>
        <v>185</v>
      </c>
      <c r="I965" s="56">
        <f t="shared" si="158"/>
        <v>0</v>
      </c>
      <c r="J965" s="59">
        <v>100</v>
      </c>
      <c r="K965" s="59">
        <v>300</v>
      </c>
      <c r="L965" s="56">
        <f t="shared" si="152"/>
        <v>1274</v>
      </c>
      <c r="M965" s="66">
        <v>600</v>
      </c>
      <c r="N965" s="56">
        <f>30</f>
        <v>30</v>
      </c>
      <c r="O965" s="59">
        <v>240</v>
      </c>
      <c r="P965" s="59">
        <v>40</v>
      </c>
      <c r="Q965" s="59">
        <f t="shared" si="153"/>
        <v>315</v>
      </c>
      <c r="R965" s="59">
        <f t="shared" si="154"/>
        <v>100</v>
      </c>
      <c r="S965" s="56">
        <f t="shared" si="155"/>
        <v>695</v>
      </c>
      <c r="T965" s="56">
        <f>50</f>
        <v>50</v>
      </c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</row>
    <row r="966" spans="1:30" ht="15.75" x14ac:dyDescent="0.25">
      <c r="A966" s="13">
        <v>70706</v>
      </c>
      <c r="B966" s="67">
        <f t="shared" si="151"/>
        <v>31</v>
      </c>
      <c r="C966" s="56">
        <f>194.205</f>
        <v>194.20500000000001</v>
      </c>
      <c r="D966" s="56">
        <f>267.466</f>
        <v>267.46600000000001</v>
      </c>
      <c r="E966" s="64">
        <f>133.845</f>
        <v>133.845</v>
      </c>
      <c r="F966" s="56">
        <f>278.484-40-25-60-100</f>
        <v>53.48399999999998</v>
      </c>
      <c r="G966" s="59">
        <v>40</v>
      </c>
      <c r="H966" s="56">
        <f t="shared" si="161"/>
        <v>185</v>
      </c>
      <c r="I966" s="56">
        <f t="shared" si="158"/>
        <v>0</v>
      </c>
      <c r="J966" s="59">
        <v>100</v>
      </c>
      <c r="K966" s="59">
        <v>300</v>
      </c>
      <c r="L966" s="56">
        <f t="shared" si="152"/>
        <v>1274</v>
      </c>
      <c r="M966" s="66">
        <v>600</v>
      </c>
      <c r="N966" s="56">
        <f>30</f>
        <v>30</v>
      </c>
      <c r="O966" s="59">
        <v>240</v>
      </c>
      <c r="P966" s="59">
        <v>40</v>
      </c>
      <c r="Q966" s="59">
        <f t="shared" si="153"/>
        <v>315</v>
      </c>
      <c r="R966" s="59">
        <f t="shared" si="154"/>
        <v>100</v>
      </c>
      <c r="S966" s="56">
        <f t="shared" si="155"/>
        <v>695</v>
      </c>
      <c r="T966" s="56">
        <f>0</f>
        <v>0</v>
      </c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</row>
    <row r="967" spans="1:30" ht="15.75" x14ac:dyDescent="0.25">
      <c r="A967" s="13">
        <v>70737</v>
      </c>
      <c r="B967" s="67">
        <f t="shared" si="151"/>
        <v>31</v>
      </c>
      <c r="C967" s="56">
        <f>194.205</f>
        <v>194.20500000000001</v>
      </c>
      <c r="D967" s="56">
        <f>267.466</f>
        <v>267.46600000000001</v>
      </c>
      <c r="E967" s="64">
        <f>133.845</f>
        <v>133.845</v>
      </c>
      <c r="F967" s="56">
        <f>278.484-40-25-60-100</f>
        <v>53.48399999999998</v>
      </c>
      <c r="G967" s="59">
        <v>40</v>
      </c>
      <c r="H967" s="56">
        <f t="shared" si="161"/>
        <v>185</v>
      </c>
      <c r="I967" s="56">
        <f t="shared" si="158"/>
        <v>0</v>
      </c>
      <c r="J967" s="59">
        <v>100</v>
      </c>
      <c r="K967" s="59">
        <v>300</v>
      </c>
      <c r="L967" s="56">
        <f t="shared" si="152"/>
        <v>1274</v>
      </c>
      <c r="M967" s="66">
        <v>600</v>
      </c>
      <c r="N967" s="56">
        <f>30</f>
        <v>30</v>
      </c>
      <c r="O967" s="59">
        <v>240</v>
      </c>
      <c r="P967" s="59">
        <v>40</v>
      </c>
      <c r="Q967" s="59">
        <f t="shared" si="153"/>
        <v>315</v>
      </c>
      <c r="R967" s="59">
        <f t="shared" si="154"/>
        <v>100</v>
      </c>
      <c r="S967" s="56">
        <f t="shared" si="155"/>
        <v>695</v>
      </c>
      <c r="T967" s="56">
        <f>0</f>
        <v>0</v>
      </c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</row>
    <row r="968" spans="1:30" ht="15.75" x14ac:dyDescent="0.25">
      <c r="A968" s="13">
        <v>70767</v>
      </c>
      <c r="B968" s="67">
        <f t="shared" si="151"/>
        <v>30</v>
      </c>
      <c r="C968" s="56">
        <f>194.205</f>
        <v>194.20500000000001</v>
      </c>
      <c r="D968" s="56">
        <f>267.466</f>
        <v>267.46600000000001</v>
      </c>
      <c r="E968" s="64">
        <f>133.845</f>
        <v>133.845</v>
      </c>
      <c r="F968" s="56">
        <f>278.484-40-25-60-100</f>
        <v>53.48399999999998</v>
      </c>
      <c r="G968" s="59">
        <v>40</v>
      </c>
      <c r="H968" s="56">
        <f t="shared" si="161"/>
        <v>185</v>
      </c>
      <c r="I968" s="56">
        <f t="shared" si="158"/>
        <v>0</v>
      </c>
      <c r="J968" s="59">
        <v>100</v>
      </c>
      <c r="K968" s="59">
        <v>300</v>
      </c>
      <c r="L968" s="56">
        <f t="shared" si="152"/>
        <v>1274</v>
      </c>
      <c r="M968" s="66">
        <v>600</v>
      </c>
      <c r="N968" s="56">
        <f>30</f>
        <v>30</v>
      </c>
      <c r="O968" s="59">
        <v>240</v>
      </c>
      <c r="P968" s="59">
        <v>40</v>
      </c>
      <c r="Q968" s="59">
        <f t="shared" si="153"/>
        <v>315</v>
      </c>
      <c r="R968" s="59">
        <f t="shared" si="154"/>
        <v>100</v>
      </c>
      <c r="S968" s="56">
        <f t="shared" si="155"/>
        <v>695</v>
      </c>
      <c r="T968" s="56">
        <f>0</f>
        <v>0</v>
      </c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</row>
    <row r="969" spans="1:30" ht="15.75" x14ac:dyDescent="0.25">
      <c r="A969" s="13">
        <v>70798</v>
      </c>
      <c r="B969" s="67">
        <f t="shared" si="151"/>
        <v>31</v>
      </c>
      <c r="C969" s="56">
        <f>131.881</f>
        <v>131.881</v>
      </c>
      <c r="D969" s="56">
        <f>277.167</f>
        <v>277.16699999999997</v>
      </c>
      <c r="E969" s="64">
        <f>79.08</f>
        <v>79.08</v>
      </c>
      <c r="F969" s="56">
        <f>350.872-40-25-60-100</f>
        <v>125.87200000000001</v>
      </c>
      <c r="G969" s="59">
        <v>40</v>
      </c>
      <c r="H969" s="56">
        <f t="shared" si="161"/>
        <v>185</v>
      </c>
      <c r="I969" s="56">
        <f t="shared" si="158"/>
        <v>0</v>
      </c>
      <c r="J969" s="59">
        <v>100</v>
      </c>
      <c r="K969" s="59">
        <v>300</v>
      </c>
      <c r="L969" s="56">
        <f t="shared" si="152"/>
        <v>1239</v>
      </c>
      <c r="M969" s="66">
        <v>600</v>
      </c>
      <c r="N969" s="56">
        <f>75</f>
        <v>75</v>
      </c>
      <c r="O969" s="59">
        <v>240</v>
      </c>
      <c r="P969" s="59">
        <v>40</v>
      </c>
      <c r="Q969" s="59">
        <f t="shared" si="153"/>
        <v>315</v>
      </c>
      <c r="R969" s="59">
        <f t="shared" si="154"/>
        <v>100</v>
      </c>
      <c r="S969" s="56">
        <f t="shared" si="155"/>
        <v>695</v>
      </c>
      <c r="T969" s="56">
        <f>0</f>
        <v>0</v>
      </c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</row>
    <row r="970" spans="1:30" ht="15.75" x14ac:dyDescent="0.25">
      <c r="A970" s="13">
        <v>70828</v>
      </c>
      <c r="B970" s="67">
        <f t="shared" si="151"/>
        <v>30</v>
      </c>
      <c r="C970" s="56">
        <f>122.58</f>
        <v>122.58</v>
      </c>
      <c r="D970" s="56">
        <f>297.941</f>
        <v>297.94099999999997</v>
      </c>
      <c r="E970" s="64">
        <f>89.177</f>
        <v>89.177000000000007</v>
      </c>
      <c r="F970" s="56">
        <f>240.302-40-60-100</f>
        <v>40.301999999999992</v>
      </c>
      <c r="G970" s="59">
        <v>40</v>
      </c>
      <c r="H970" s="56">
        <f>60+100</f>
        <v>160</v>
      </c>
      <c r="I970" s="56">
        <f t="shared" si="158"/>
        <v>0</v>
      </c>
      <c r="J970" s="59">
        <v>100</v>
      </c>
      <c r="K970" s="59">
        <v>300</v>
      </c>
      <c r="L970" s="56">
        <f t="shared" si="152"/>
        <v>1150</v>
      </c>
      <c r="M970" s="66">
        <v>600</v>
      </c>
      <c r="N970" s="56">
        <f>100</f>
        <v>100</v>
      </c>
      <c r="O970" s="59">
        <v>240</v>
      </c>
      <c r="P970" s="59">
        <v>40</v>
      </c>
      <c r="Q970" s="59">
        <f t="shared" si="153"/>
        <v>315</v>
      </c>
      <c r="R970" s="59">
        <f t="shared" si="154"/>
        <v>100</v>
      </c>
      <c r="S970" s="56">
        <f t="shared" si="155"/>
        <v>695</v>
      </c>
      <c r="T970" s="56">
        <f>50</f>
        <v>50</v>
      </c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</row>
    <row r="971" spans="1:30" ht="15.75" x14ac:dyDescent="0.25">
      <c r="A971" s="13">
        <v>70859</v>
      </c>
      <c r="B971" s="67">
        <f t="shared" si="151"/>
        <v>31</v>
      </c>
      <c r="C971" s="56">
        <f>122.58</f>
        <v>122.58</v>
      </c>
      <c r="D971" s="56">
        <f>297.941</f>
        <v>297.94099999999997</v>
      </c>
      <c r="E971" s="64">
        <f>89.177</f>
        <v>89.177000000000007</v>
      </c>
      <c r="F971" s="56">
        <f>240.302-40-60-100</f>
        <v>40.301999999999992</v>
      </c>
      <c r="G971" s="59">
        <v>40</v>
      </c>
      <c r="H971" s="56">
        <f>60+100</f>
        <v>160</v>
      </c>
      <c r="I971" s="56">
        <f t="shared" si="158"/>
        <v>0</v>
      </c>
      <c r="J971" s="59">
        <v>100</v>
      </c>
      <c r="K971" s="59">
        <v>300</v>
      </c>
      <c r="L971" s="56">
        <f t="shared" si="152"/>
        <v>1150</v>
      </c>
      <c r="M971" s="66">
        <v>600</v>
      </c>
      <c r="N971" s="56">
        <f>100</f>
        <v>100</v>
      </c>
      <c r="O971" s="59">
        <v>240</v>
      </c>
      <c r="P971" s="59">
        <v>40</v>
      </c>
      <c r="Q971" s="59">
        <f t="shared" si="153"/>
        <v>315</v>
      </c>
      <c r="R971" s="59">
        <f t="shared" si="154"/>
        <v>100</v>
      </c>
      <c r="S971" s="56">
        <f t="shared" si="155"/>
        <v>695</v>
      </c>
      <c r="T971" s="56">
        <f>50</f>
        <v>50</v>
      </c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</row>
    <row r="972" spans="1:30" ht="15.75" x14ac:dyDescent="0.25">
      <c r="A972" s="13">
        <v>70890</v>
      </c>
      <c r="B972" s="67">
        <f t="shared" ref="B972:B1035" si="162">EOMONTH(A972,0)-EOMONTH(A972,-1)</f>
        <v>31</v>
      </c>
      <c r="C972" s="56">
        <f>122.58</f>
        <v>122.58</v>
      </c>
      <c r="D972" s="56">
        <f>297.941</f>
        <v>297.94099999999997</v>
      </c>
      <c r="E972" s="64">
        <f>89.177</f>
        <v>89.177000000000007</v>
      </c>
      <c r="F972" s="56">
        <f>240.302-40-60-100</f>
        <v>40.301999999999992</v>
      </c>
      <c r="G972" s="59">
        <v>40</v>
      </c>
      <c r="H972" s="56">
        <f>60+100</f>
        <v>160</v>
      </c>
      <c r="I972" s="56">
        <f t="shared" si="158"/>
        <v>0</v>
      </c>
      <c r="J972" s="59">
        <v>100</v>
      </c>
      <c r="K972" s="59">
        <v>300</v>
      </c>
      <c r="L972" s="56">
        <f t="shared" si="152"/>
        <v>1150</v>
      </c>
      <c r="M972" s="66">
        <v>600</v>
      </c>
      <c r="N972" s="56">
        <f>100</f>
        <v>100</v>
      </c>
      <c r="O972" s="59">
        <v>240</v>
      </c>
      <c r="P972" s="59">
        <v>40</v>
      </c>
      <c r="Q972" s="59">
        <f t="shared" si="153"/>
        <v>315</v>
      </c>
      <c r="R972" s="59">
        <f t="shared" si="154"/>
        <v>100</v>
      </c>
      <c r="S972" s="56">
        <f t="shared" si="155"/>
        <v>695</v>
      </c>
      <c r="T972" s="56">
        <f>50</f>
        <v>50</v>
      </c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</row>
    <row r="973" spans="1:30" ht="15.75" x14ac:dyDescent="0.25">
      <c r="A973" s="13">
        <v>70918</v>
      </c>
      <c r="B973" s="67">
        <f t="shared" si="162"/>
        <v>28</v>
      </c>
      <c r="C973" s="56">
        <f>122.58</f>
        <v>122.58</v>
      </c>
      <c r="D973" s="56">
        <f>297.941</f>
        <v>297.94099999999997</v>
      </c>
      <c r="E973" s="64">
        <f>89.177</f>
        <v>89.177000000000007</v>
      </c>
      <c r="F973" s="56">
        <f>240.302-40-60-100</f>
        <v>40.301999999999992</v>
      </c>
      <c r="G973" s="59">
        <v>40</v>
      </c>
      <c r="H973" s="56">
        <f>60+100</f>
        <v>160</v>
      </c>
      <c r="I973" s="56">
        <f t="shared" si="158"/>
        <v>0</v>
      </c>
      <c r="J973" s="59">
        <v>100</v>
      </c>
      <c r="K973" s="59">
        <v>300</v>
      </c>
      <c r="L973" s="56">
        <f t="shared" si="152"/>
        <v>1150</v>
      </c>
      <c r="M973" s="66">
        <v>600</v>
      </c>
      <c r="N973" s="56">
        <f>100</f>
        <v>100</v>
      </c>
      <c r="O973" s="59">
        <v>240</v>
      </c>
      <c r="P973" s="59">
        <v>40</v>
      </c>
      <c r="Q973" s="59">
        <f t="shared" si="153"/>
        <v>315</v>
      </c>
      <c r="R973" s="59">
        <f t="shared" si="154"/>
        <v>100</v>
      </c>
      <c r="S973" s="56">
        <f t="shared" si="155"/>
        <v>695</v>
      </c>
      <c r="T973" s="56">
        <f>50</f>
        <v>50</v>
      </c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</row>
    <row r="974" spans="1:30" ht="15.75" x14ac:dyDescent="0.25">
      <c r="A974" s="13">
        <v>70949</v>
      </c>
      <c r="B974" s="67">
        <f t="shared" si="162"/>
        <v>31</v>
      </c>
      <c r="C974" s="56">
        <f>122.58</f>
        <v>122.58</v>
      </c>
      <c r="D974" s="56">
        <f>297.941</f>
        <v>297.94099999999997</v>
      </c>
      <c r="E974" s="64">
        <f>89.177</f>
        <v>89.177000000000007</v>
      </c>
      <c r="F974" s="56">
        <f>240.302-40-60-100</f>
        <v>40.301999999999992</v>
      </c>
      <c r="G974" s="59">
        <v>40</v>
      </c>
      <c r="H974" s="56">
        <f>60+100</f>
        <v>160</v>
      </c>
      <c r="I974" s="56">
        <f t="shared" si="158"/>
        <v>0</v>
      </c>
      <c r="J974" s="59">
        <v>100</v>
      </c>
      <c r="K974" s="59">
        <v>300</v>
      </c>
      <c r="L974" s="56">
        <f t="shared" si="152"/>
        <v>1150</v>
      </c>
      <c r="M974" s="66">
        <v>600</v>
      </c>
      <c r="N974" s="56">
        <f>100</f>
        <v>100</v>
      </c>
      <c r="O974" s="59">
        <v>240</v>
      </c>
      <c r="P974" s="59">
        <v>40</v>
      </c>
      <c r="Q974" s="59">
        <f t="shared" si="153"/>
        <v>315</v>
      </c>
      <c r="R974" s="59">
        <f t="shared" si="154"/>
        <v>100</v>
      </c>
      <c r="S974" s="56">
        <f t="shared" si="155"/>
        <v>695</v>
      </c>
      <c r="T974" s="56">
        <f>50</f>
        <v>50</v>
      </c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</row>
    <row r="975" spans="1:30" ht="15.75" x14ac:dyDescent="0.25">
      <c r="A975" s="13">
        <v>70979</v>
      </c>
      <c r="B975" s="67">
        <f t="shared" si="162"/>
        <v>30</v>
      </c>
      <c r="C975" s="56">
        <f>141.293</f>
        <v>141.29300000000001</v>
      </c>
      <c r="D975" s="56">
        <f>267.993</f>
        <v>267.99299999999999</v>
      </c>
      <c r="E975" s="64">
        <f>115.016</f>
        <v>115.01600000000001</v>
      </c>
      <c r="F975" s="56">
        <f>314.698-40-25-60-100</f>
        <v>89.697999999999979</v>
      </c>
      <c r="G975" s="59">
        <v>40</v>
      </c>
      <c r="H975" s="56">
        <f t="shared" ref="H975:H981" si="163">25+60+100</f>
        <v>185</v>
      </c>
      <c r="I975" s="56">
        <f t="shared" si="158"/>
        <v>0</v>
      </c>
      <c r="J975" s="59">
        <v>100</v>
      </c>
      <c r="K975" s="59">
        <v>300</v>
      </c>
      <c r="L975" s="56">
        <f t="shared" si="152"/>
        <v>1239</v>
      </c>
      <c r="M975" s="66">
        <v>600</v>
      </c>
      <c r="N975" s="56">
        <f>100</f>
        <v>100</v>
      </c>
      <c r="O975" s="59">
        <v>240</v>
      </c>
      <c r="P975" s="59">
        <v>40</v>
      </c>
      <c r="Q975" s="59">
        <f t="shared" si="153"/>
        <v>315</v>
      </c>
      <c r="R975" s="59">
        <f t="shared" si="154"/>
        <v>100</v>
      </c>
      <c r="S975" s="56">
        <f t="shared" si="155"/>
        <v>695</v>
      </c>
      <c r="T975" s="56">
        <f>50</f>
        <v>50</v>
      </c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</row>
    <row r="976" spans="1:30" ht="15.75" x14ac:dyDescent="0.25">
      <c r="A976" s="13">
        <v>71010</v>
      </c>
      <c r="B976" s="67">
        <f t="shared" si="162"/>
        <v>31</v>
      </c>
      <c r="C976" s="56">
        <f>194.205</f>
        <v>194.20500000000001</v>
      </c>
      <c r="D976" s="56">
        <f>267.466</f>
        <v>267.46600000000001</v>
      </c>
      <c r="E976" s="64">
        <f>133.845</f>
        <v>133.845</v>
      </c>
      <c r="F976" s="56">
        <f>278.484-40-25-60-100</f>
        <v>53.48399999999998</v>
      </c>
      <c r="G976" s="59">
        <v>40</v>
      </c>
      <c r="H976" s="56">
        <f t="shared" si="163"/>
        <v>185</v>
      </c>
      <c r="I976" s="56">
        <f t="shared" si="158"/>
        <v>0</v>
      </c>
      <c r="J976" s="59">
        <v>100</v>
      </c>
      <c r="K976" s="59">
        <v>300</v>
      </c>
      <c r="L976" s="56">
        <f t="shared" ref="L976:L1039" si="164">SUM(C976:K976)</f>
        <v>1274</v>
      </c>
      <c r="M976" s="66">
        <v>600</v>
      </c>
      <c r="N976" s="56">
        <f>75</f>
        <v>75</v>
      </c>
      <c r="O976" s="59">
        <v>240</v>
      </c>
      <c r="P976" s="59">
        <v>40</v>
      </c>
      <c r="Q976" s="59">
        <f t="shared" ref="Q976:Q1039" si="165">695-R976-O976-P976</f>
        <v>315</v>
      </c>
      <c r="R976" s="59">
        <f t="shared" ref="R976:R1039" si="166">200-J976</f>
        <v>100</v>
      </c>
      <c r="S976" s="56">
        <f t="shared" ref="S976:S1039" si="167">SUM(O976:R976)</f>
        <v>695</v>
      </c>
      <c r="T976" s="56">
        <f>50</f>
        <v>50</v>
      </c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</row>
    <row r="977" spans="1:30" ht="15.75" x14ac:dyDescent="0.25">
      <c r="A977" s="13">
        <v>71040</v>
      </c>
      <c r="B977" s="67">
        <f t="shared" si="162"/>
        <v>30</v>
      </c>
      <c r="C977" s="56">
        <f>194.205</f>
        <v>194.20500000000001</v>
      </c>
      <c r="D977" s="56">
        <f>267.466</f>
        <v>267.46600000000001</v>
      </c>
      <c r="E977" s="64">
        <f>133.845</f>
        <v>133.845</v>
      </c>
      <c r="F977" s="56">
        <f>278.484-40-25-60-100</f>
        <v>53.48399999999998</v>
      </c>
      <c r="G977" s="59">
        <v>40</v>
      </c>
      <c r="H977" s="56">
        <f t="shared" si="163"/>
        <v>185</v>
      </c>
      <c r="I977" s="56">
        <f t="shared" si="158"/>
        <v>0</v>
      </c>
      <c r="J977" s="59">
        <v>100</v>
      </c>
      <c r="K977" s="59">
        <v>300</v>
      </c>
      <c r="L977" s="56">
        <f t="shared" si="164"/>
        <v>1274</v>
      </c>
      <c r="M977" s="66">
        <v>600</v>
      </c>
      <c r="N977" s="56">
        <f>30</f>
        <v>30</v>
      </c>
      <c r="O977" s="59">
        <v>240</v>
      </c>
      <c r="P977" s="59">
        <v>40</v>
      </c>
      <c r="Q977" s="59">
        <f t="shared" si="165"/>
        <v>315</v>
      </c>
      <c r="R977" s="59">
        <f t="shared" si="166"/>
        <v>100</v>
      </c>
      <c r="S977" s="56">
        <f t="shared" si="167"/>
        <v>695</v>
      </c>
      <c r="T977" s="56">
        <f>50</f>
        <v>50</v>
      </c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</row>
    <row r="978" spans="1:30" ht="15.75" x14ac:dyDescent="0.25">
      <c r="A978" s="13">
        <v>71071</v>
      </c>
      <c r="B978" s="67">
        <f t="shared" si="162"/>
        <v>31</v>
      </c>
      <c r="C978" s="56">
        <f>194.205</f>
        <v>194.20500000000001</v>
      </c>
      <c r="D978" s="56">
        <f>267.466</f>
        <v>267.46600000000001</v>
      </c>
      <c r="E978" s="64">
        <f>133.845</f>
        <v>133.845</v>
      </c>
      <c r="F978" s="56">
        <f>278.484-40-25-60-100</f>
        <v>53.48399999999998</v>
      </c>
      <c r="G978" s="59">
        <v>40</v>
      </c>
      <c r="H978" s="56">
        <f t="shared" si="163"/>
        <v>185</v>
      </c>
      <c r="I978" s="56">
        <f t="shared" si="158"/>
        <v>0</v>
      </c>
      <c r="J978" s="59">
        <v>100</v>
      </c>
      <c r="K978" s="59">
        <v>300</v>
      </c>
      <c r="L978" s="56">
        <f t="shared" si="164"/>
        <v>1274</v>
      </c>
      <c r="M978" s="66">
        <v>600</v>
      </c>
      <c r="N978" s="56">
        <f>30</f>
        <v>30</v>
      </c>
      <c r="O978" s="59">
        <v>240</v>
      </c>
      <c r="P978" s="59">
        <v>40</v>
      </c>
      <c r="Q978" s="59">
        <f t="shared" si="165"/>
        <v>315</v>
      </c>
      <c r="R978" s="59">
        <f t="shared" si="166"/>
        <v>100</v>
      </c>
      <c r="S978" s="56">
        <f t="shared" si="167"/>
        <v>695</v>
      </c>
      <c r="T978" s="56">
        <f>0</f>
        <v>0</v>
      </c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</row>
    <row r="979" spans="1:30" ht="15.75" x14ac:dyDescent="0.25">
      <c r="A979" s="13">
        <v>71102</v>
      </c>
      <c r="B979" s="67">
        <f t="shared" si="162"/>
        <v>31</v>
      </c>
      <c r="C979" s="56">
        <f>194.205</f>
        <v>194.20500000000001</v>
      </c>
      <c r="D979" s="56">
        <f>267.466</f>
        <v>267.46600000000001</v>
      </c>
      <c r="E979" s="64">
        <f>133.845</f>
        <v>133.845</v>
      </c>
      <c r="F979" s="56">
        <f>278.484-40-25-60-100</f>
        <v>53.48399999999998</v>
      </c>
      <c r="G979" s="59">
        <v>40</v>
      </c>
      <c r="H979" s="56">
        <f t="shared" si="163"/>
        <v>185</v>
      </c>
      <c r="I979" s="56">
        <f t="shared" si="158"/>
        <v>0</v>
      </c>
      <c r="J979" s="59">
        <v>100</v>
      </c>
      <c r="K979" s="59">
        <v>300</v>
      </c>
      <c r="L979" s="56">
        <f t="shared" si="164"/>
        <v>1274</v>
      </c>
      <c r="M979" s="66">
        <v>600</v>
      </c>
      <c r="N979" s="56">
        <f>30</f>
        <v>30</v>
      </c>
      <c r="O979" s="59">
        <v>240</v>
      </c>
      <c r="P979" s="59">
        <v>40</v>
      </c>
      <c r="Q979" s="59">
        <f t="shared" si="165"/>
        <v>315</v>
      </c>
      <c r="R979" s="59">
        <f t="shared" si="166"/>
        <v>100</v>
      </c>
      <c r="S979" s="56">
        <f t="shared" si="167"/>
        <v>695</v>
      </c>
      <c r="T979" s="56">
        <f>0</f>
        <v>0</v>
      </c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</row>
    <row r="980" spans="1:30" ht="15.75" x14ac:dyDescent="0.25">
      <c r="A980" s="13">
        <v>71132</v>
      </c>
      <c r="B980" s="67">
        <f t="shared" si="162"/>
        <v>30</v>
      </c>
      <c r="C980" s="56">
        <f>194.205</f>
        <v>194.20500000000001</v>
      </c>
      <c r="D980" s="56">
        <f>267.466</f>
        <v>267.46600000000001</v>
      </c>
      <c r="E980" s="64">
        <f>133.845</f>
        <v>133.845</v>
      </c>
      <c r="F980" s="56">
        <f>278.484-40-25-60-100</f>
        <v>53.48399999999998</v>
      </c>
      <c r="G980" s="59">
        <v>40</v>
      </c>
      <c r="H980" s="56">
        <f t="shared" si="163"/>
        <v>185</v>
      </c>
      <c r="I980" s="56">
        <f t="shared" si="158"/>
        <v>0</v>
      </c>
      <c r="J980" s="59">
        <v>100</v>
      </c>
      <c r="K980" s="59">
        <v>300</v>
      </c>
      <c r="L980" s="56">
        <f t="shared" si="164"/>
        <v>1274</v>
      </c>
      <c r="M980" s="66">
        <v>600</v>
      </c>
      <c r="N980" s="56">
        <f>30</f>
        <v>30</v>
      </c>
      <c r="O980" s="59">
        <v>240</v>
      </c>
      <c r="P980" s="59">
        <v>40</v>
      </c>
      <c r="Q980" s="59">
        <f t="shared" si="165"/>
        <v>315</v>
      </c>
      <c r="R980" s="59">
        <f t="shared" si="166"/>
        <v>100</v>
      </c>
      <c r="S980" s="56">
        <f t="shared" si="167"/>
        <v>695</v>
      </c>
      <c r="T980" s="56">
        <f>0</f>
        <v>0</v>
      </c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</row>
    <row r="981" spans="1:30" ht="15.75" x14ac:dyDescent="0.25">
      <c r="A981" s="13">
        <v>71163</v>
      </c>
      <c r="B981" s="67">
        <f t="shared" si="162"/>
        <v>31</v>
      </c>
      <c r="C981" s="56">
        <f>131.881</f>
        <v>131.881</v>
      </c>
      <c r="D981" s="56">
        <f>277.167</f>
        <v>277.16699999999997</v>
      </c>
      <c r="E981" s="64">
        <f>79.08</f>
        <v>79.08</v>
      </c>
      <c r="F981" s="56">
        <f>350.872-40-25-60-100</f>
        <v>125.87200000000001</v>
      </c>
      <c r="G981" s="59">
        <v>40</v>
      </c>
      <c r="H981" s="56">
        <f t="shared" si="163"/>
        <v>185</v>
      </c>
      <c r="I981" s="56">
        <f t="shared" si="158"/>
        <v>0</v>
      </c>
      <c r="J981" s="59">
        <v>100</v>
      </c>
      <c r="K981" s="59">
        <v>300</v>
      </c>
      <c r="L981" s="56">
        <f t="shared" si="164"/>
        <v>1239</v>
      </c>
      <c r="M981" s="66">
        <v>600</v>
      </c>
      <c r="N981" s="56">
        <f>75</f>
        <v>75</v>
      </c>
      <c r="O981" s="59">
        <v>240</v>
      </c>
      <c r="P981" s="59">
        <v>40</v>
      </c>
      <c r="Q981" s="59">
        <f t="shared" si="165"/>
        <v>315</v>
      </c>
      <c r="R981" s="59">
        <f t="shared" si="166"/>
        <v>100</v>
      </c>
      <c r="S981" s="56">
        <f t="shared" si="167"/>
        <v>695</v>
      </c>
      <c r="T981" s="56">
        <f>0</f>
        <v>0</v>
      </c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</row>
    <row r="982" spans="1:30" ht="15.75" x14ac:dyDescent="0.25">
      <c r="A982" s="13">
        <v>71193</v>
      </c>
      <c r="B982" s="67">
        <f t="shared" si="162"/>
        <v>30</v>
      </c>
      <c r="C982" s="56">
        <f>122.58</f>
        <v>122.58</v>
      </c>
      <c r="D982" s="56">
        <f>297.941</f>
        <v>297.94099999999997</v>
      </c>
      <c r="E982" s="64">
        <f>89.177</f>
        <v>89.177000000000007</v>
      </c>
      <c r="F982" s="56">
        <f>240.302-40-60-100</f>
        <v>40.301999999999992</v>
      </c>
      <c r="G982" s="59">
        <v>40</v>
      </c>
      <c r="H982" s="56">
        <f>60+100</f>
        <v>160</v>
      </c>
      <c r="I982" s="56">
        <f t="shared" si="158"/>
        <v>0</v>
      </c>
      <c r="J982" s="59">
        <v>100</v>
      </c>
      <c r="K982" s="59">
        <v>300</v>
      </c>
      <c r="L982" s="56">
        <f t="shared" si="164"/>
        <v>1150</v>
      </c>
      <c r="M982" s="66">
        <v>600</v>
      </c>
      <c r="N982" s="56">
        <f>100</f>
        <v>100</v>
      </c>
      <c r="O982" s="59">
        <v>240</v>
      </c>
      <c r="P982" s="59">
        <v>40</v>
      </c>
      <c r="Q982" s="59">
        <f t="shared" si="165"/>
        <v>315</v>
      </c>
      <c r="R982" s="59">
        <f t="shared" si="166"/>
        <v>100</v>
      </c>
      <c r="S982" s="56">
        <f t="shared" si="167"/>
        <v>695</v>
      </c>
      <c r="T982" s="56">
        <f>50</f>
        <v>50</v>
      </c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</row>
    <row r="983" spans="1:30" ht="15.75" x14ac:dyDescent="0.25">
      <c r="A983" s="13">
        <v>71224</v>
      </c>
      <c r="B983" s="67">
        <f t="shared" si="162"/>
        <v>31</v>
      </c>
      <c r="C983" s="56">
        <f>122.58</f>
        <v>122.58</v>
      </c>
      <c r="D983" s="56">
        <f>297.941</f>
        <v>297.94099999999997</v>
      </c>
      <c r="E983" s="64">
        <f>89.177</f>
        <v>89.177000000000007</v>
      </c>
      <c r="F983" s="56">
        <f>240.302-40-60-100</f>
        <v>40.301999999999992</v>
      </c>
      <c r="G983" s="59">
        <v>40</v>
      </c>
      <c r="H983" s="56">
        <f>60+100</f>
        <v>160</v>
      </c>
      <c r="I983" s="56">
        <f t="shared" si="158"/>
        <v>0</v>
      </c>
      <c r="J983" s="59">
        <v>100</v>
      </c>
      <c r="K983" s="59">
        <v>300</v>
      </c>
      <c r="L983" s="56">
        <f t="shared" si="164"/>
        <v>1150</v>
      </c>
      <c r="M983" s="66">
        <v>600</v>
      </c>
      <c r="N983" s="56">
        <f>100</f>
        <v>100</v>
      </c>
      <c r="O983" s="59">
        <v>240</v>
      </c>
      <c r="P983" s="59">
        <v>40</v>
      </c>
      <c r="Q983" s="59">
        <f t="shared" si="165"/>
        <v>315</v>
      </c>
      <c r="R983" s="59">
        <f t="shared" si="166"/>
        <v>100</v>
      </c>
      <c r="S983" s="56">
        <f t="shared" si="167"/>
        <v>695</v>
      </c>
      <c r="T983" s="56">
        <f>50</f>
        <v>50</v>
      </c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</row>
    <row r="984" spans="1:30" ht="15.75" x14ac:dyDescent="0.25">
      <c r="A984" s="13">
        <v>71255</v>
      </c>
      <c r="B984" s="67">
        <f t="shared" si="162"/>
        <v>31</v>
      </c>
      <c r="C984" s="56">
        <f>122.58</f>
        <v>122.58</v>
      </c>
      <c r="D984" s="56">
        <f>297.941</f>
        <v>297.94099999999997</v>
      </c>
      <c r="E984" s="64">
        <f>89.177</f>
        <v>89.177000000000007</v>
      </c>
      <c r="F984" s="56">
        <f>240.302-40-60-100</f>
        <v>40.301999999999992</v>
      </c>
      <c r="G984" s="59">
        <v>40</v>
      </c>
      <c r="H984" s="56">
        <f>60+100</f>
        <v>160</v>
      </c>
      <c r="I984" s="56">
        <f t="shared" si="158"/>
        <v>0</v>
      </c>
      <c r="J984" s="59">
        <v>100</v>
      </c>
      <c r="K984" s="59">
        <v>300</v>
      </c>
      <c r="L984" s="56">
        <f t="shared" si="164"/>
        <v>1150</v>
      </c>
      <c r="M984" s="66">
        <v>600</v>
      </c>
      <c r="N984" s="56">
        <f>100</f>
        <v>100</v>
      </c>
      <c r="O984" s="59">
        <v>240</v>
      </c>
      <c r="P984" s="59">
        <v>40</v>
      </c>
      <c r="Q984" s="59">
        <f t="shared" si="165"/>
        <v>315</v>
      </c>
      <c r="R984" s="59">
        <f t="shared" si="166"/>
        <v>100</v>
      </c>
      <c r="S984" s="56">
        <f t="shared" si="167"/>
        <v>695</v>
      </c>
      <c r="T984" s="56">
        <f>50</f>
        <v>50</v>
      </c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</row>
    <row r="985" spans="1:30" ht="15.75" x14ac:dyDescent="0.25">
      <c r="A985" s="13">
        <v>71283</v>
      </c>
      <c r="B985" s="67">
        <f t="shared" si="162"/>
        <v>28</v>
      </c>
      <c r="C985" s="56">
        <f>122.58</f>
        <v>122.58</v>
      </c>
      <c r="D985" s="56">
        <f>297.941</f>
        <v>297.94099999999997</v>
      </c>
      <c r="E985" s="64">
        <f>89.177</f>
        <v>89.177000000000007</v>
      </c>
      <c r="F985" s="56">
        <f>240.302-40-60-100</f>
        <v>40.301999999999992</v>
      </c>
      <c r="G985" s="59">
        <v>40</v>
      </c>
      <c r="H985" s="56">
        <f>60+100</f>
        <v>160</v>
      </c>
      <c r="I985" s="56">
        <f t="shared" si="158"/>
        <v>0</v>
      </c>
      <c r="J985" s="59">
        <v>100</v>
      </c>
      <c r="K985" s="59">
        <v>300</v>
      </c>
      <c r="L985" s="56">
        <f t="shared" si="164"/>
        <v>1150</v>
      </c>
      <c r="M985" s="66">
        <v>600</v>
      </c>
      <c r="N985" s="56">
        <f>100</f>
        <v>100</v>
      </c>
      <c r="O985" s="59">
        <v>240</v>
      </c>
      <c r="P985" s="59">
        <v>40</v>
      </c>
      <c r="Q985" s="59">
        <f t="shared" si="165"/>
        <v>315</v>
      </c>
      <c r="R985" s="59">
        <f t="shared" si="166"/>
        <v>100</v>
      </c>
      <c r="S985" s="56">
        <f t="shared" si="167"/>
        <v>695</v>
      </c>
      <c r="T985" s="56">
        <f>50</f>
        <v>50</v>
      </c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</row>
    <row r="986" spans="1:30" ht="15.75" x14ac:dyDescent="0.25">
      <c r="A986" s="13">
        <v>71314</v>
      </c>
      <c r="B986" s="67">
        <f t="shared" si="162"/>
        <v>31</v>
      </c>
      <c r="C986" s="56">
        <f>122.58</f>
        <v>122.58</v>
      </c>
      <c r="D986" s="56">
        <f>297.941</f>
        <v>297.94099999999997</v>
      </c>
      <c r="E986" s="64">
        <f>89.177</f>
        <v>89.177000000000007</v>
      </c>
      <c r="F986" s="56">
        <f>240.302-40-60-100</f>
        <v>40.301999999999992</v>
      </c>
      <c r="G986" s="59">
        <v>40</v>
      </c>
      <c r="H986" s="56">
        <f>60+100</f>
        <v>160</v>
      </c>
      <c r="I986" s="56">
        <f t="shared" si="158"/>
        <v>0</v>
      </c>
      <c r="J986" s="59">
        <v>100</v>
      </c>
      <c r="K986" s="59">
        <v>300</v>
      </c>
      <c r="L986" s="56">
        <f t="shared" si="164"/>
        <v>1150</v>
      </c>
      <c r="M986" s="66">
        <v>600</v>
      </c>
      <c r="N986" s="56">
        <f>100</f>
        <v>100</v>
      </c>
      <c r="O986" s="59">
        <v>240</v>
      </c>
      <c r="P986" s="59">
        <v>40</v>
      </c>
      <c r="Q986" s="59">
        <f t="shared" si="165"/>
        <v>315</v>
      </c>
      <c r="R986" s="59">
        <f t="shared" si="166"/>
        <v>100</v>
      </c>
      <c r="S986" s="56">
        <f t="shared" si="167"/>
        <v>695</v>
      </c>
      <c r="T986" s="56">
        <f>50</f>
        <v>50</v>
      </c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</row>
    <row r="987" spans="1:30" ht="15.75" x14ac:dyDescent="0.25">
      <c r="A987" s="13">
        <v>71344</v>
      </c>
      <c r="B987" s="67">
        <f t="shared" si="162"/>
        <v>30</v>
      </c>
      <c r="C987" s="56">
        <f>141.293</f>
        <v>141.29300000000001</v>
      </c>
      <c r="D987" s="56">
        <f>267.993</f>
        <v>267.99299999999999</v>
      </c>
      <c r="E987" s="64">
        <f>115.016</f>
        <v>115.01600000000001</v>
      </c>
      <c r="F987" s="56">
        <f>314.698-40-25-60-100</f>
        <v>89.697999999999979</v>
      </c>
      <c r="G987" s="59">
        <v>40</v>
      </c>
      <c r="H987" s="56">
        <f t="shared" ref="H987:H993" si="168">25+60+100</f>
        <v>185</v>
      </c>
      <c r="I987" s="56">
        <f t="shared" si="158"/>
        <v>0</v>
      </c>
      <c r="J987" s="59">
        <v>100</v>
      </c>
      <c r="K987" s="59">
        <v>300</v>
      </c>
      <c r="L987" s="56">
        <f t="shared" si="164"/>
        <v>1239</v>
      </c>
      <c r="M987" s="66">
        <v>600</v>
      </c>
      <c r="N987" s="56">
        <f>100</f>
        <v>100</v>
      </c>
      <c r="O987" s="59">
        <v>240</v>
      </c>
      <c r="P987" s="59">
        <v>40</v>
      </c>
      <c r="Q987" s="59">
        <f t="shared" si="165"/>
        <v>315</v>
      </c>
      <c r="R987" s="59">
        <f t="shared" si="166"/>
        <v>100</v>
      </c>
      <c r="S987" s="56">
        <f t="shared" si="167"/>
        <v>695</v>
      </c>
      <c r="T987" s="56">
        <f>50</f>
        <v>50</v>
      </c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</row>
    <row r="988" spans="1:30" ht="15.75" x14ac:dyDescent="0.25">
      <c r="A988" s="13">
        <v>71375</v>
      </c>
      <c r="B988" s="67">
        <f t="shared" si="162"/>
        <v>31</v>
      </c>
      <c r="C988" s="56">
        <f>194.205</f>
        <v>194.20500000000001</v>
      </c>
      <c r="D988" s="56">
        <f>267.466</f>
        <v>267.46600000000001</v>
      </c>
      <c r="E988" s="64">
        <f>133.845</f>
        <v>133.845</v>
      </c>
      <c r="F988" s="56">
        <f>278.484-40-25-60-100</f>
        <v>53.48399999999998</v>
      </c>
      <c r="G988" s="59">
        <v>40</v>
      </c>
      <c r="H988" s="56">
        <f t="shared" si="168"/>
        <v>185</v>
      </c>
      <c r="I988" s="56">
        <f t="shared" si="158"/>
        <v>0</v>
      </c>
      <c r="J988" s="59">
        <v>100</v>
      </c>
      <c r="K988" s="59">
        <v>300</v>
      </c>
      <c r="L988" s="56">
        <f t="shared" si="164"/>
        <v>1274</v>
      </c>
      <c r="M988" s="66">
        <v>600</v>
      </c>
      <c r="N988" s="56">
        <f>75</f>
        <v>75</v>
      </c>
      <c r="O988" s="59">
        <v>240</v>
      </c>
      <c r="P988" s="59">
        <v>40</v>
      </c>
      <c r="Q988" s="59">
        <f t="shared" si="165"/>
        <v>315</v>
      </c>
      <c r="R988" s="59">
        <f t="shared" si="166"/>
        <v>100</v>
      </c>
      <c r="S988" s="56">
        <f t="shared" si="167"/>
        <v>695</v>
      </c>
      <c r="T988" s="56">
        <f>50</f>
        <v>50</v>
      </c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</row>
    <row r="989" spans="1:30" ht="15.75" x14ac:dyDescent="0.25">
      <c r="A989" s="13">
        <v>71405</v>
      </c>
      <c r="B989" s="67">
        <f t="shared" si="162"/>
        <v>30</v>
      </c>
      <c r="C989" s="56">
        <f>194.205</f>
        <v>194.20500000000001</v>
      </c>
      <c r="D989" s="56">
        <f>267.466</f>
        <v>267.46600000000001</v>
      </c>
      <c r="E989" s="64">
        <f>133.845</f>
        <v>133.845</v>
      </c>
      <c r="F989" s="56">
        <f>278.484-40-25-60-100</f>
        <v>53.48399999999998</v>
      </c>
      <c r="G989" s="59">
        <v>40</v>
      </c>
      <c r="H989" s="56">
        <f t="shared" si="168"/>
        <v>185</v>
      </c>
      <c r="I989" s="56">
        <f t="shared" si="158"/>
        <v>0</v>
      </c>
      <c r="J989" s="59">
        <v>100</v>
      </c>
      <c r="K989" s="59">
        <v>300</v>
      </c>
      <c r="L989" s="56">
        <f t="shared" si="164"/>
        <v>1274</v>
      </c>
      <c r="M989" s="66">
        <v>600</v>
      </c>
      <c r="N989" s="56">
        <f>30</f>
        <v>30</v>
      </c>
      <c r="O989" s="59">
        <v>240</v>
      </c>
      <c r="P989" s="59">
        <v>40</v>
      </c>
      <c r="Q989" s="59">
        <f t="shared" si="165"/>
        <v>315</v>
      </c>
      <c r="R989" s="59">
        <f t="shared" si="166"/>
        <v>100</v>
      </c>
      <c r="S989" s="56">
        <f t="shared" si="167"/>
        <v>695</v>
      </c>
      <c r="T989" s="56">
        <f>50</f>
        <v>50</v>
      </c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</row>
    <row r="990" spans="1:30" ht="15.75" x14ac:dyDescent="0.25">
      <c r="A990" s="13">
        <v>71436</v>
      </c>
      <c r="B990" s="67">
        <f t="shared" si="162"/>
        <v>31</v>
      </c>
      <c r="C990" s="56">
        <f>194.205</f>
        <v>194.20500000000001</v>
      </c>
      <c r="D990" s="56">
        <f>267.466</f>
        <v>267.46600000000001</v>
      </c>
      <c r="E990" s="64">
        <f>133.845</f>
        <v>133.845</v>
      </c>
      <c r="F990" s="56">
        <f>278.484-40-25-60-100</f>
        <v>53.48399999999998</v>
      </c>
      <c r="G990" s="59">
        <v>40</v>
      </c>
      <c r="H990" s="56">
        <f t="shared" si="168"/>
        <v>185</v>
      </c>
      <c r="I990" s="56">
        <f t="shared" si="158"/>
        <v>0</v>
      </c>
      <c r="J990" s="59">
        <v>100</v>
      </c>
      <c r="K990" s="59">
        <v>300</v>
      </c>
      <c r="L990" s="56">
        <f t="shared" si="164"/>
        <v>1274</v>
      </c>
      <c r="M990" s="66">
        <v>600</v>
      </c>
      <c r="N990" s="56">
        <f>30</f>
        <v>30</v>
      </c>
      <c r="O990" s="59">
        <v>240</v>
      </c>
      <c r="P990" s="59">
        <v>40</v>
      </c>
      <c r="Q990" s="59">
        <f t="shared" si="165"/>
        <v>315</v>
      </c>
      <c r="R990" s="59">
        <f t="shared" si="166"/>
        <v>100</v>
      </c>
      <c r="S990" s="56">
        <f t="shared" si="167"/>
        <v>695</v>
      </c>
      <c r="T990" s="56">
        <f>0</f>
        <v>0</v>
      </c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</row>
    <row r="991" spans="1:30" ht="15.75" x14ac:dyDescent="0.25">
      <c r="A991" s="13">
        <v>71467</v>
      </c>
      <c r="B991" s="67">
        <f t="shared" si="162"/>
        <v>31</v>
      </c>
      <c r="C991" s="56">
        <f>194.205</f>
        <v>194.20500000000001</v>
      </c>
      <c r="D991" s="56">
        <f>267.466</f>
        <v>267.46600000000001</v>
      </c>
      <c r="E991" s="64">
        <f>133.845</f>
        <v>133.845</v>
      </c>
      <c r="F991" s="56">
        <f>278.484-40-25-60-100</f>
        <v>53.48399999999998</v>
      </c>
      <c r="G991" s="59">
        <v>40</v>
      </c>
      <c r="H991" s="56">
        <f t="shared" si="168"/>
        <v>185</v>
      </c>
      <c r="I991" s="56">
        <f t="shared" si="158"/>
        <v>0</v>
      </c>
      <c r="J991" s="59">
        <v>100</v>
      </c>
      <c r="K991" s="59">
        <v>300</v>
      </c>
      <c r="L991" s="56">
        <f t="shared" si="164"/>
        <v>1274</v>
      </c>
      <c r="M991" s="66">
        <v>600</v>
      </c>
      <c r="N991" s="56">
        <f>30</f>
        <v>30</v>
      </c>
      <c r="O991" s="59">
        <v>240</v>
      </c>
      <c r="P991" s="59">
        <v>40</v>
      </c>
      <c r="Q991" s="59">
        <f t="shared" si="165"/>
        <v>315</v>
      </c>
      <c r="R991" s="59">
        <f t="shared" si="166"/>
        <v>100</v>
      </c>
      <c r="S991" s="56">
        <f t="shared" si="167"/>
        <v>695</v>
      </c>
      <c r="T991" s="56">
        <f>0</f>
        <v>0</v>
      </c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</row>
    <row r="992" spans="1:30" ht="15.75" x14ac:dyDescent="0.25">
      <c r="A992" s="13">
        <v>71497</v>
      </c>
      <c r="B992" s="67">
        <f t="shared" si="162"/>
        <v>30</v>
      </c>
      <c r="C992" s="56">
        <f>194.205</f>
        <v>194.20500000000001</v>
      </c>
      <c r="D992" s="56">
        <f>267.466</f>
        <v>267.46600000000001</v>
      </c>
      <c r="E992" s="64">
        <f>133.845</f>
        <v>133.845</v>
      </c>
      <c r="F992" s="56">
        <f>278.484-40-25-60-100</f>
        <v>53.48399999999998</v>
      </c>
      <c r="G992" s="59">
        <v>40</v>
      </c>
      <c r="H992" s="56">
        <f t="shared" si="168"/>
        <v>185</v>
      </c>
      <c r="I992" s="56">
        <f t="shared" si="158"/>
        <v>0</v>
      </c>
      <c r="J992" s="59">
        <v>100</v>
      </c>
      <c r="K992" s="59">
        <v>300</v>
      </c>
      <c r="L992" s="56">
        <f t="shared" si="164"/>
        <v>1274</v>
      </c>
      <c r="M992" s="66">
        <v>600</v>
      </c>
      <c r="N992" s="56">
        <f>30</f>
        <v>30</v>
      </c>
      <c r="O992" s="59">
        <v>240</v>
      </c>
      <c r="P992" s="59">
        <v>40</v>
      </c>
      <c r="Q992" s="59">
        <f t="shared" si="165"/>
        <v>315</v>
      </c>
      <c r="R992" s="59">
        <f t="shared" si="166"/>
        <v>100</v>
      </c>
      <c r="S992" s="56">
        <f t="shared" si="167"/>
        <v>695</v>
      </c>
      <c r="T992" s="56">
        <f>0</f>
        <v>0</v>
      </c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</row>
    <row r="993" spans="1:30" ht="15.75" x14ac:dyDescent="0.25">
      <c r="A993" s="13">
        <v>71528</v>
      </c>
      <c r="B993" s="67">
        <f t="shared" si="162"/>
        <v>31</v>
      </c>
      <c r="C993" s="56">
        <f>131.881</f>
        <v>131.881</v>
      </c>
      <c r="D993" s="56">
        <f>277.167</f>
        <v>277.16699999999997</v>
      </c>
      <c r="E993" s="64">
        <f>79.08</f>
        <v>79.08</v>
      </c>
      <c r="F993" s="56">
        <f>350.872-40-25-60-100</f>
        <v>125.87200000000001</v>
      </c>
      <c r="G993" s="59">
        <v>40</v>
      </c>
      <c r="H993" s="56">
        <f t="shared" si="168"/>
        <v>185</v>
      </c>
      <c r="I993" s="56">
        <f t="shared" si="158"/>
        <v>0</v>
      </c>
      <c r="J993" s="59">
        <v>100</v>
      </c>
      <c r="K993" s="59">
        <v>300</v>
      </c>
      <c r="L993" s="56">
        <f t="shared" si="164"/>
        <v>1239</v>
      </c>
      <c r="M993" s="66">
        <v>600</v>
      </c>
      <c r="N993" s="56">
        <f>75</f>
        <v>75</v>
      </c>
      <c r="O993" s="59">
        <v>240</v>
      </c>
      <c r="P993" s="59">
        <v>40</v>
      </c>
      <c r="Q993" s="59">
        <f t="shared" si="165"/>
        <v>315</v>
      </c>
      <c r="R993" s="59">
        <f t="shared" si="166"/>
        <v>100</v>
      </c>
      <c r="S993" s="56">
        <f t="shared" si="167"/>
        <v>695</v>
      </c>
      <c r="T993" s="56">
        <f>0</f>
        <v>0</v>
      </c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</row>
    <row r="994" spans="1:30" ht="15.75" x14ac:dyDescent="0.25">
      <c r="A994" s="13">
        <v>71558</v>
      </c>
      <c r="B994" s="67">
        <f t="shared" si="162"/>
        <v>30</v>
      </c>
      <c r="C994" s="56">
        <f>122.58</f>
        <v>122.58</v>
      </c>
      <c r="D994" s="56">
        <f>297.941</f>
        <v>297.94099999999997</v>
      </c>
      <c r="E994" s="64">
        <f>89.177</f>
        <v>89.177000000000007</v>
      </c>
      <c r="F994" s="56">
        <f>240.302-40-60-100</f>
        <v>40.301999999999992</v>
      </c>
      <c r="G994" s="59">
        <v>40</v>
      </c>
      <c r="H994" s="56">
        <f>60+100</f>
        <v>160</v>
      </c>
      <c r="I994" s="56">
        <f t="shared" si="158"/>
        <v>0</v>
      </c>
      <c r="J994" s="59">
        <v>100</v>
      </c>
      <c r="K994" s="59">
        <v>300</v>
      </c>
      <c r="L994" s="56">
        <f t="shared" si="164"/>
        <v>1150</v>
      </c>
      <c r="M994" s="66">
        <v>600</v>
      </c>
      <c r="N994" s="56">
        <f>100</f>
        <v>100</v>
      </c>
      <c r="O994" s="59">
        <v>240</v>
      </c>
      <c r="P994" s="59">
        <v>40</v>
      </c>
      <c r="Q994" s="59">
        <f t="shared" si="165"/>
        <v>315</v>
      </c>
      <c r="R994" s="59">
        <f t="shared" si="166"/>
        <v>100</v>
      </c>
      <c r="S994" s="56">
        <f t="shared" si="167"/>
        <v>695</v>
      </c>
      <c r="T994" s="56">
        <f>50</f>
        <v>50</v>
      </c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</row>
    <row r="995" spans="1:30" ht="15.75" x14ac:dyDescent="0.25">
      <c r="A995" s="13">
        <v>71589</v>
      </c>
      <c r="B995" s="67">
        <f t="shared" si="162"/>
        <v>31</v>
      </c>
      <c r="C995" s="56">
        <f>122.58</f>
        <v>122.58</v>
      </c>
      <c r="D995" s="56">
        <f>297.941</f>
        <v>297.94099999999997</v>
      </c>
      <c r="E995" s="64">
        <f>89.177</f>
        <v>89.177000000000007</v>
      </c>
      <c r="F995" s="56">
        <f>240.302-40-60-100</f>
        <v>40.301999999999992</v>
      </c>
      <c r="G995" s="59">
        <v>40</v>
      </c>
      <c r="H995" s="56">
        <f>60+100</f>
        <v>160</v>
      </c>
      <c r="I995" s="56">
        <f t="shared" si="158"/>
        <v>0</v>
      </c>
      <c r="J995" s="59">
        <v>100</v>
      </c>
      <c r="K995" s="59">
        <v>300</v>
      </c>
      <c r="L995" s="56">
        <f t="shared" si="164"/>
        <v>1150</v>
      </c>
      <c r="M995" s="66">
        <v>600</v>
      </c>
      <c r="N995" s="56">
        <f>100</f>
        <v>100</v>
      </c>
      <c r="O995" s="59">
        <v>240</v>
      </c>
      <c r="P995" s="59">
        <v>40</v>
      </c>
      <c r="Q995" s="59">
        <f t="shared" si="165"/>
        <v>315</v>
      </c>
      <c r="R995" s="59">
        <f t="shared" si="166"/>
        <v>100</v>
      </c>
      <c r="S995" s="56">
        <f t="shared" si="167"/>
        <v>695</v>
      </c>
      <c r="T995" s="56">
        <f>50</f>
        <v>50</v>
      </c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</row>
    <row r="996" spans="1:30" ht="15.75" x14ac:dyDescent="0.25">
      <c r="A996" s="13">
        <v>71620</v>
      </c>
      <c r="B996" s="67">
        <f t="shared" si="162"/>
        <v>31</v>
      </c>
      <c r="C996" s="56">
        <f>122.58</f>
        <v>122.58</v>
      </c>
      <c r="D996" s="56">
        <f>297.941</f>
        <v>297.94099999999997</v>
      </c>
      <c r="E996" s="64">
        <f>89.177</f>
        <v>89.177000000000007</v>
      </c>
      <c r="F996" s="56">
        <f>240.302-40-60-100</f>
        <v>40.301999999999992</v>
      </c>
      <c r="G996" s="59">
        <v>40</v>
      </c>
      <c r="H996" s="56">
        <f>60+100</f>
        <v>160</v>
      </c>
      <c r="I996" s="56">
        <f t="shared" si="158"/>
        <v>0</v>
      </c>
      <c r="J996" s="59">
        <v>100</v>
      </c>
      <c r="K996" s="59">
        <v>300</v>
      </c>
      <c r="L996" s="56">
        <f t="shared" si="164"/>
        <v>1150</v>
      </c>
      <c r="M996" s="66">
        <v>600</v>
      </c>
      <c r="N996" s="56">
        <f>100</f>
        <v>100</v>
      </c>
      <c r="O996" s="59">
        <v>240</v>
      </c>
      <c r="P996" s="59">
        <v>40</v>
      </c>
      <c r="Q996" s="59">
        <f t="shared" si="165"/>
        <v>315</v>
      </c>
      <c r="R996" s="59">
        <f t="shared" si="166"/>
        <v>100</v>
      </c>
      <c r="S996" s="56">
        <f t="shared" si="167"/>
        <v>695</v>
      </c>
      <c r="T996" s="56">
        <f>50</f>
        <v>50</v>
      </c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</row>
    <row r="997" spans="1:30" ht="15.75" x14ac:dyDescent="0.25">
      <c r="A997" s="13">
        <v>71649</v>
      </c>
      <c r="B997" s="67">
        <f t="shared" si="162"/>
        <v>29</v>
      </c>
      <c r="C997" s="56">
        <f>122.58</f>
        <v>122.58</v>
      </c>
      <c r="D997" s="56">
        <f>297.941</f>
        <v>297.94099999999997</v>
      </c>
      <c r="E997" s="64">
        <f>89.177</f>
        <v>89.177000000000007</v>
      </c>
      <c r="F997" s="56">
        <f>240.302-40-60-100</f>
        <v>40.301999999999992</v>
      </c>
      <c r="G997" s="59">
        <v>40</v>
      </c>
      <c r="H997" s="56">
        <f>60+100</f>
        <v>160</v>
      </c>
      <c r="I997" s="56">
        <f t="shared" si="158"/>
        <v>0</v>
      </c>
      <c r="J997" s="59">
        <v>100</v>
      </c>
      <c r="K997" s="59">
        <v>300</v>
      </c>
      <c r="L997" s="56">
        <f t="shared" si="164"/>
        <v>1150</v>
      </c>
      <c r="M997" s="66">
        <v>600</v>
      </c>
      <c r="N997" s="56">
        <f>100</f>
        <v>100</v>
      </c>
      <c r="O997" s="59">
        <v>240</v>
      </c>
      <c r="P997" s="59">
        <v>40</v>
      </c>
      <c r="Q997" s="59">
        <f t="shared" si="165"/>
        <v>315</v>
      </c>
      <c r="R997" s="59">
        <f t="shared" si="166"/>
        <v>100</v>
      </c>
      <c r="S997" s="56">
        <f t="shared" si="167"/>
        <v>695</v>
      </c>
      <c r="T997" s="56">
        <f>50</f>
        <v>50</v>
      </c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</row>
    <row r="998" spans="1:30" ht="15.75" x14ac:dyDescent="0.25">
      <c r="A998" s="13">
        <v>71680</v>
      </c>
      <c r="B998" s="67">
        <f t="shared" si="162"/>
        <v>31</v>
      </c>
      <c r="C998" s="56">
        <f>122.58</f>
        <v>122.58</v>
      </c>
      <c r="D998" s="56">
        <f>297.941</f>
        <v>297.94099999999997</v>
      </c>
      <c r="E998" s="64">
        <f>89.177</f>
        <v>89.177000000000007</v>
      </c>
      <c r="F998" s="56">
        <f>240.302-40-60-100</f>
        <v>40.301999999999992</v>
      </c>
      <c r="G998" s="59">
        <v>40</v>
      </c>
      <c r="H998" s="56">
        <f>60+100</f>
        <v>160</v>
      </c>
      <c r="I998" s="56">
        <f t="shared" si="158"/>
        <v>0</v>
      </c>
      <c r="J998" s="59">
        <v>100</v>
      </c>
      <c r="K998" s="59">
        <v>300</v>
      </c>
      <c r="L998" s="56">
        <f t="shared" si="164"/>
        <v>1150</v>
      </c>
      <c r="M998" s="66">
        <v>600</v>
      </c>
      <c r="N998" s="56">
        <f>100</f>
        <v>100</v>
      </c>
      <c r="O998" s="59">
        <v>240</v>
      </c>
      <c r="P998" s="59">
        <v>40</v>
      </c>
      <c r="Q998" s="59">
        <f t="shared" si="165"/>
        <v>315</v>
      </c>
      <c r="R998" s="59">
        <f t="shared" si="166"/>
        <v>100</v>
      </c>
      <c r="S998" s="56">
        <f t="shared" si="167"/>
        <v>695</v>
      </c>
      <c r="T998" s="56">
        <f>50</f>
        <v>50</v>
      </c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</row>
    <row r="999" spans="1:30" ht="15.75" x14ac:dyDescent="0.25">
      <c r="A999" s="13">
        <v>71710</v>
      </c>
      <c r="B999" s="67">
        <f t="shared" si="162"/>
        <v>30</v>
      </c>
      <c r="C999" s="56">
        <f>141.293</f>
        <v>141.29300000000001</v>
      </c>
      <c r="D999" s="56">
        <f>267.993</f>
        <v>267.99299999999999</v>
      </c>
      <c r="E999" s="64">
        <f>115.016</f>
        <v>115.01600000000001</v>
      </c>
      <c r="F999" s="56">
        <f>314.698-40-25-60-100</f>
        <v>89.697999999999979</v>
      </c>
      <c r="G999" s="59">
        <v>40</v>
      </c>
      <c r="H999" s="56">
        <f t="shared" ref="H999:H1005" si="169">25+60+100</f>
        <v>185</v>
      </c>
      <c r="I999" s="56">
        <f t="shared" si="158"/>
        <v>0</v>
      </c>
      <c r="J999" s="59">
        <v>100</v>
      </c>
      <c r="K999" s="59">
        <v>300</v>
      </c>
      <c r="L999" s="56">
        <f t="shared" si="164"/>
        <v>1239</v>
      </c>
      <c r="M999" s="66">
        <v>600</v>
      </c>
      <c r="N999" s="56">
        <f>100</f>
        <v>100</v>
      </c>
      <c r="O999" s="59">
        <v>240</v>
      </c>
      <c r="P999" s="59">
        <v>40</v>
      </c>
      <c r="Q999" s="59">
        <f t="shared" si="165"/>
        <v>315</v>
      </c>
      <c r="R999" s="59">
        <f t="shared" si="166"/>
        <v>100</v>
      </c>
      <c r="S999" s="56">
        <f t="shared" si="167"/>
        <v>695</v>
      </c>
      <c r="T999" s="56">
        <f>50</f>
        <v>50</v>
      </c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</row>
    <row r="1000" spans="1:30" ht="15.75" x14ac:dyDescent="0.25">
      <c r="A1000" s="13">
        <v>71741</v>
      </c>
      <c r="B1000" s="67">
        <f t="shared" si="162"/>
        <v>31</v>
      </c>
      <c r="C1000" s="56">
        <f>194.205</f>
        <v>194.20500000000001</v>
      </c>
      <c r="D1000" s="56">
        <f>267.466</f>
        <v>267.46600000000001</v>
      </c>
      <c r="E1000" s="64">
        <f>133.845</f>
        <v>133.845</v>
      </c>
      <c r="F1000" s="56">
        <f>278.484-40-25-60-100</f>
        <v>53.48399999999998</v>
      </c>
      <c r="G1000" s="59">
        <v>40</v>
      </c>
      <c r="H1000" s="56">
        <f t="shared" si="169"/>
        <v>185</v>
      </c>
      <c r="I1000" s="56">
        <f t="shared" ref="I1000:I1055" si="170">400-J1000-K1000</f>
        <v>0</v>
      </c>
      <c r="J1000" s="59">
        <v>100</v>
      </c>
      <c r="K1000" s="59">
        <v>300</v>
      </c>
      <c r="L1000" s="56">
        <f t="shared" si="164"/>
        <v>1274</v>
      </c>
      <c r="M1000" s="66">
        <v>600</v>
      </c>
      <c r="N1000" s="56">
        <f>75</f>
        <v>75</v>
      </c>
      <c r="O1000" s="59">
        <v>240</v>
      </c>
      <c r="P1000" s="59">
        <v>40</v>
      </c>
      <c r="Q1000" s="59">
        <f t="shared" si="165"/>
        <v>315</v>
      </c>
      <c r="R1000" s="59">
        <f t="shared" si="166"/>
        <v>100</v>
      </c>
      <c r="S1000" s="56">
        <f t="shared" si="167"/>
        <v>695</v>
      </c>
      <c r="T1000" s="56">
        <f>50</f>
        <v>50</v>
      </c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</row>
    <row r="1001" spans="1:30" ht="15.75" x14ac:dyDescent="0.25">
      <c r="A1001" s="13">
        <v>71771</v>
      </c>
      <c r="B1001" s="67">
        <f t="shared" si="162"/>
        <v>30</v>
      </c>
      <c r="C1001" s="56">
        <f>194.205</f>
        <v>194.20500000000001</v>
      </c>
      <c r="D1001" s="56">
        <f>267.466</f>
        <v>267.46600000000001</v>
      </c>
      <c r="E1001" s="64">
        <f>133.845</f>
        <v>133.845</v>
      </c>
      <c r="F1001" s="56">
        <f>278.484-40-25-60-100</f>
        <v>53.48399999999998</v>
      </c>
      <c r="G1001" s="59">
        <v>40</v>
      </c>
      <c r="H1001" s="56">
        <f t="shared" si="169"/>
        <v>185</v>
      </c>
      <c r="I1001" s="56">
        <f t="shared" si="170"/>
        <v>0</v>
      </c>
      <c r="J1001" s="59">
        <v>100</v>
      </c>
      <c r="K1001" s="59">
        <v>300</v>
      </c>
      <c r="L1001" s="56">
        <f t="shared" si="164"/>
        <v>1274</v>
      </c>
      <c r="M1001" s="66">
        <v>600</v>
      </c>
      <c r="N1001" s="56">
        <f>30</f>
        <v>30</v>
      </c>
      <c r="O1001" s="59">
        <v>240</v>
      </c>
      <c r="P1001" s="59">
        <v>40</v>
      </c>
      <c r="Q1001" s="59">
        <f t="shared" si="165"/>
        <v>315</v>
      </c>
      <c r="R1001" s="59">
        <f t="shared" si="166"/>
        <v>100</v>
      </c>
      <c r="S1001" s="56">
        <f t="shared" si="167"/>
        <v>695</v>
      </c>
      <c r="T1001" s="56">
        <f>50</f>
        <v>50</v>
      </c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</row>
    <row r="1002" spans="1:30" ht="15.75" x14ac:dyDescent="0.25">
      <c r="A1002" s="13">
        <v>71802</v>
      </c>
      <c r="B1002" s="67">
        <f t="shared" si="162"/>
        <v>31</v>
      </c>
      <c r="C1002" s="56">
        <f>194.205</f>
        <v>194.20500000000001</v>
      </c>
      <c r="D1002" s="56">
        <f>267.466</f>
        <v>267.46600000000001</v>
      </c>
      <c r="E1002" s="64">
        <f>133.845</f>
        <v>133.845</v>
      </c>
      <c r="F1002" s="56">
        <f>278.484-40-25-60-100</f>
        <v>53.48399999999998</v>
      </c>
      <c r="G1002" s="59">
        <v>40</v>
      </c>
      <c r="H1002" s="56">
        <f t="shared" si="169"/>
        <v>185</v>
      </c>
      <c r="I1002" s="56">
        <f t="shared" si="170"/>
        <v>0</v>
      </c>
      <c r="J1002" s="59">
        <v>100</v>
      </c>
      <c r="K1002" s="59">
        <v>300</v>
      </c>
      <c r="L1002" s="56">
        <f t="shared" si="164"/>
        <v>1274</v>
      </c>
      <c r="M1002" s="66">
        <v>600</v>
      </c>
      <c r="N1002" s="56">
        <f>30</f>
        <v>30</v>
      </c>
      <c r="O1002" s="59">
        <v>240</v>
      </c>
      <c r="P1002" s="59">
        <v>40</v>
      </c>
      <c r="Q1002" s="59">
        <f t="shared" si="165"/>
        <v>315</v>
      </c>
      <c r="R1002" s="59">
        <f t="shared" si="166"/>
        <v>100</v>
      </c>
      <c r="S1002" s="56">
        <f t="shared" si="167"/>
        <v>695</v>
      </c>
      <c r="T1002" s="56">
        <f>0</f>
        <v>0</v>
      </c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</row>
    <row r="1003" spans="1:30" ht="15.75" x14ac:dyDescent="0.25">
      <c r="A1003" s="13">
        <v>71833</v>
      </c>
      <c r="B1003" s="67">
        <f t="shared" si="162"/>
        <v>31</v>
      </c>
      <c r="C1003" s="56">
        <f>194.205</f>
        <v>194.20500000000001</v>
      </c>
      <c r="D1003" s="56">
        <f>267.466</f>
        <v>267.46600000000001</v>
      </c>
      <c r="E1003" s="64">
        <f>133.845</f>
        <v>133.845</v>
      </c>
      <c r="F1003" s="56">
        <f>278.484-40-25-60-100</f>
        <v>53.48399999999998</v>
      </c>
      <c r="G1003" s="59">
        <v>40</v>
      </c>
      <c r="H1003" s="56">
        <f t="shared" si="169"/>
        <v>185</v>
      </c>
      <c r="I1003" s="56">
        <f t="shared" si="170"/>
        <v>0</v>
      </c>
      <c r="J1003" s="59">
        <v>100</v>
      </c>
      <c r="K1003" s="59">
        <v>300</v>
      </c>
      <c r="L1003" s="56">
        <f t="shared" si="164"/>
        <v>1274</v>
      </c>
      <c r="M1003" s="66">
        <v>600</v>
      </c>
      <c r="N1003" s="56">
        <f>30</f>
        <v>30</v>
      </c>
      <c r="O1003" s="59">
        <v>240</v>
      </c>
      <c r="P1003" s="59">
        <v>40</v>
      </c>
      <c r="Q1003" s="59">
        <f t="shared" si="165"/>
        <v>315</v>
      </c>
      <c r="R1003" s="59">
        <f t="shared" si="166"/>
        <v>100</v>
      </c>
      <c r="S1003" s="56">
        <f t="shared" si="167"/>
        <v>695</v>
      </c>
      <c r="T1003" s="56">
        <f>0</f>
        <v>0</v>
      </c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</row>
    <row r="1004" spans="1:30" ht="15.75" x14ac:dyDescent="0.25">
      <c r="A1004" s="13">
        <v>71863</v>
      </c>
      <c r="B1004" s="67">
        <f t="shared" si="162"/>
        <v>30</v>
      </c>
      <c r="C1004" s="56">
        <f>194.205</f>
        <v>194.20500000000001</v>
      </c>
      <c r="D1004" s="56">
        <f>267.466</f>
        <v>267.46600000000001</v>
      </c>
      <c r="E1004" s="64">
        <f>133.845</f>
        <v>133.845</v>
      </c>
      <c r="F1004" s="56">
        <f>278.484-40-25-60-100</f>
        <v>53.48399999999998</v>
      </c>
      <c r="G1004" s="59">
        <v>40</v>
      </c>
      <c r="H1004" s="56">
        <f t="shared" si="169"/>
        <v>185</v>
      </c>
      <c r="I1004" s="56">
        <f t="shared" si="170"/>
        <v>0</v>
      </c>
      <c r="J1004" s="59">
        <v>100</v>
      </c>
      <c r="K1004" s="59">
        <v>300</v>
      </c>
      <c r="L1004" s="56">
        <f t="shared" si="164"/>
        <v>1274</v>
      </c>
      <c r="M1004" s="66">
        <v>600</v>
      </c>
      <c r="N1004" s="56">
        <f>30</f>
        <v>30</v>
      </c>
      <c r="O1004" s="59">
        <v>240</v>
      </c>
      <c r="P1004" s="59">
        <v>40</v>
      </c>
      <c r="Q1004" s="59">
        <f t="shared" si="165"/>
        <v>315</v>
      </c>
      <c r="R1004" s="59">
        <f t="shared" si="166"/>
        <v>100</v>
      </c>
      <c r="S1004" s="56">
        <f t="shared" si="167"/>
        <v>695</v>
      </c>
      <c r="T1004" s="56">
        <f>0</f>
        <v>0</v>
      </c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</row>
    <row r="1005" spans="1:30" ht="15.75" x14ac:dyDescent="0.25">
      <c r="A1005" s="13">
        <v>71894</v>
      </c>
      <c r="B1005" s="67">
        <f t="shared" si="162"/>
        <v>31</v>
      </c>
      <c r="C1005" s="56">
        <f>131.881</f>
        <v>131.881</v>
      </c>
      <c r="D1005" s="56">
        <f>277.167</f>
        <v>277.16699999999997</v>
      </c>
      <c r="E1005" s="64">
        <f>79.08</f>
        <v>79.08</v>
      </c>
      <c r="F1005" s="56">
        <f>350.872-40-25-60-100</f>
        <v>125.87200000000001</v>
      </c>
      <c r="G1005" s="59">
        <v>40</v>
      </c>
      <c r="H1005" s="56">
        <f t="shared" si="169"/>
        <v>185</v>
      </c>
      <c r="I1005" s="56">
        <f t="shared" si="170"/>
        <v>0</v>
      </c>
      <c r="J1005" s="59">
        <v>100</v>
      </c>
      <c r="K1005" s="59">
        <v>300</v>
      </c>
      <c r="L1005" s="56">
        <f t="shared" si="164"/>
        <v>1239</v>
      </c>
      <c r="M1005" s="66">
        <v>600</v>
      </c>
      <c r="N1005" s="56">
        <f>75</f>
        <v>75</v>
      </c>
      <c r="O1005" s="59">
        <v>240</v>
      </c>
      <c r="P1005" s="59">
        <v>40</v>
      </c>
      <c r="Q1005" s="59">
        <f t="shared" si="165"/>
        <v>315</v>
      </c>
      <c r="R1005" s="59">
        <f t="shared" si="166"/>
        <v>100</v>
      </c>
      <c r="S1005" s="56">
        <f t="shared" si="167"/>
        <v>695</v>
      </c>
      <c r="T1005" s="56">
        <f>0</f>
        <v>0</v>
      </c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</row>
    <row r="1006" spans="1:30" ht="15.75" x14ac:dyDescent="0.25">
      <c r="A1006" s="13">
        <v>71924</v>
      </c>
      <c r="B1006" s="67">
        <f t="shared" si="162"/>
        <v>30</v>
      </c>
      <c r="C1006" s="56">
        <f>122.58</f>
        <v>122.58</v>
      </c>
      <c r="D1006" s="56">
        <f>297.941</f>
        <v>297.94099999999997</v>
      </c>
      <c r="E1006" s="64">
        <f>89.177</f>
        <v>89.177000000000007</v>
      </c>
      <c r="F1006" s="56">
        <f>240.302-40-60-100</f>
        <v>40.301999999999992</v>
      </c>
      <c r="G1006" s="59">
        <v>40</v>
      </c>
      <c r="H1006" s="56">
        <f>60+100</f>
        <v>160</v>
      </c>
      <c r="I1006" s="56">
        <f t="shared" si="170"/>
        <v>0</v>
      </c>
      <c r="J1006" s="59">
        <v>100</v>
      </c>
      <c r="K1006" s="59">
        <v>300</v>
      </c>
      <c r="L1006" s="56">
        <f t="shared" si="164"/>
        <v>1150</v>
      </c>
      <c r="M1006" s="66">
        <v>600</v>
      </c>
      <c r="N1006" s="56">
        <f>100</f>
        <v>100</v>
      </c>
      <c r="O1006" s="59">
        <v>240</v>
      </c>
      <c r="P1006" s="59">
        <v>40</v>
      </c>
      <c r="Q1006" s="59">
        <f t="shared" si="165"/>
        <v>315</v>
      </c>
      <c r="R1006" s="59">
        <f t="shared" si="166"/>
        <v>100</v>
      </c>
      <c r="S1006" s="56">
        <f t="shared" si="167"/>
        <v>695</v>
      </c>
      <c r="T1006" s="56">
        <f>50</f>
        <v>50</v>
      </c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</row>
    <row r="1007" spans="1:30" ht="15.75" x14ac:dyDescent="0.25">
      <c r="A1007" s="13">
        <v>71955</v>
      </c>
      <c r="B1007" s="67">
        <f t="shared" si="162"/>
        <v>31</v>
      </c>
      <c r="C1007" s="56">
        <f>122.58</f>
        <v>122.58</v>
      </c>
      <c r="D1007" s="56">
        <f>297.941</f>
        <v>297.94099999999997</v>
      </c>
      <c r="E1007" s="64">
        <f>89.177</f>
        <v>89.177000000000007</v>
      </c>
      <c r="F1007" s="56">
        <f>240.302-40-60-100</f>
        <v>40.301999999999992</v>
      </c>
      <c r="G1007" s="59">
        <v>40</v>
      </c>
      <c r="H1007" s="56">
        <f>60+100</f>
        <v>160</v>
      </c>
      <c r="I1007" s="56">
        <f t="shared" si="170"/>
        <v>0</v>
      </c>
      <c r="J1007" s="59">
        <v>100</v>
      </c>
      <c r="K1007" s="59">
        <v>300</v>
      </c>
      <c r="L1007" s="56">
        <f t="shared" si="164"/>
        <v>1150</v>
      </c>
      <c r="M1007" s="66">
        <v>600</v>
      </c>
      <c r="N1007" s="56">
        <f>100</f>
        <v>100</v>
      </c>
      <c r="O1007" s="59">
        <v>240</v>
      </c>
      <c r="P1007" s="59">
        <v>40</v>
      </c>
      <c r="Q1007" s="59">
        <f t="shared" si="165"/>
        <v>315</v>
      </c>
      <c r="R1007" s="59">
        <f t="shared" si="166"/>
        <v>100</v>
      </c>
      <c r="S1007" s="56">
        <f t="shared" si="167"/>
        <v>695</v>
      </c>
      <c r="T1007" s="56">
        <f>50</f>
        <v>50</v>
      </c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</row>
    <row r="1008" spans="1:30" ht="15.75" x14ac:dyDescent="0.25">
      <c r="A1008" s="13">
        <v>71986</v>
      </c>
      <c r="B1008" s="67">
        <f t="shared" si="162"/>
        <v>31</v>
      </c>
      <c r="C1008" s="56">
        <f>122.58</f>
        <v>122.58</v>
      </c>
      <c r="D1008" s="56">
        <f>297.941</f>
        <v>297.94099999999997</v>
      </c>
      <c r="E1008" s="64">
        <f>89.177</f>
        <v>89.177000000000007</v>
      </c>
      <c r="F1008" s="56">
        <f>240.302-40-60-100</f>
        <v>40.301999999999992</v>
      </c>
      <c r="G1008" s="59">
        <v>40</v>
      </c>
      <c r="H1008" s="56">
        <f>60+100</f>
        <v>160</v>
      </c>
      <c r="I1008" s="56">
        <f t="shared" si="170"/>
        <v>0</v>
      </c>
      <c r="J1008" s="59">
        <v>100</v>
      </c>
      <c r="K1008" s="59">
        <v>300</v>
      </c>
      <c r="L1008" s="56">
        <f t="shared" si="164"/>
        <v>1150</v>
      </c>
      <c r="M1008" s="66">
        <v>600</v>
      </c>
      <c r="N1008" s="56">
        <f>100</f>
        <v>100</v>
      </c>
      <c r="O1008" s="59">
        <v>240</v>
      </c>
      <c r="P1008" s="59">
        <v>40</v>
      </c>
      <c r="Q1008" s="59">
        <f t="shared" si="165"/>
        <v>315</v>
      </c>
      <c r="R1008" s="59">
        <f t="shared" si="166"/>
        <v>100</v>
      </c>
      <c r="S1008" s="56">
        <f t="shared" si="167"/>
        <v>695</v>
      </c>
      <c r="T1008" s="56">
        <f>50</f>
        <v>50</v>
      </c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</row>
    <row r="1009" spans="1:30" ht="15.75" x14ac:dyDescent="0.25">
      <c r="A1009" s="13">
        <v>72014</v>
      </c>
      <c r="B1009" s="67">
        <f t="shared" si="162"/>
        <v>28</v>
      </c>
      <c r="C1009" s="56">
        <f>122.58</f>
        <v>122.58</v>
      </c>
      <c r="D1009" s="56">
        <f>297.941</f>
        <v>297.94099999999997</v>
      </c>
      <c r="E1009" s="64">
        <f>89.177</f>
        <v>89.177000000000007</v>
      </c>
      <c r="F1009" s="56">
        <f>240.302-40-60-100</f>
        <v>40.301999999999992</v>
      </c>
      <c r="G1009" s="59">
        <v>40</v>
      </c>
      <c r="H1009" s="56">
        <f>60+100</f>
        <v>160</v>
      </c>
      <c r="I1009" s="56">
        <f t="shared" si="170"/>
        <v>0</v>
      </c>
      <c r="J1009" s="59">
        <v>100</v>
      </c>
      <c r="K1009" s="59">
        <v>300</v>
      </c>
      <c r="L1009" s="56">
        <f t="shared" si="164"/>
        <v>1150</v>
      </c>
      <c r="M1009" s="66">
        <v>600</v>
      </c>
      <c r="N1009" s="56">
        <f>100</f>
        <v>100</v>
      </c>
      <c r="O1009" s="59">
        <v>240</v>
      </c>
      <c r="P1009" s="59">
        <v>40</v>
      </c>
      <c r="Q1009" s="59">
        <f t="shared" si="165"/>
        <v>315</v>
      </c>
      <c r="R1009" s="59">
        <f t="shared" si="166"/>
        <v>100</v>
      </c>
      <c r="S1009" s="56">
        <f t="shared" si="167"/>
        <v>695</v>
      </c>
      <c r="T1009" s="56">
        <f>50</f>
        <v>50</v>
      </c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</row>
    <row r="1010" spans="1:30" ht="15.75" x14ac:dyDescent="0.25">
      <c r="A1010" s="13">
        <v>72045</v>
      </c>
      <c r="B1010" s="67">
        <f t="shared" si="162"/>
        <v>31</v>
      </c>
      <c r="C1010" s="56">
        <f>122.58</f>
        <v>122.58</v>
      </c>
      <c r="D1010" s="56">
        <f>297.941</f>
        <v>297.94099999999997</v>
      </c>
      <c r="E1010" s="64">
        <f>89.177</f>
        <v>89.177000000000007</v>
      </c>
      <c r="F1010" s="56">
        <f>240.302-40-60-100</f>
        <v>40.301999999999992</v>
      </c>
      <c r="G1010" s="59">
        <v>40</v>
      </c>
      <c r="H1010" s="56">
        <f>60+100</f>
        <v>160</v>
      </c>
      <c r="I1010" s="56">
        <f t="shared" si="170"/>
        <v>0</v>
      </c>
      <c r="J1010" s="59">
        <v>100</v>
      </c>
      <c r="K1010" s="59">
        <v>300</v>
      </c>
      <c r="L1010" s="56">
        <f t="shared" si="164"/>
        <v>1150</v>
      </c>
      <c r="M1010" s="66">
        <v>600</v>
      </c>
      <c r="N1010" s="56">
        <f>100</f>
        <v>100</v>
      </c>
      <c r="O1010" s="59">
        <v>240</v>
      </c>
      <c r="P1010" s="59">
        <v>40</v>
      </c>
      <c r="Q1010" s="59">
        <f t="shared" si="165"/>
        <v>315</v>
      </c>
      <c r="R1010" s="59">
        <f t="shared" si="166"/>
        <v>100</v>
      </c>
      <c r="S1010" s="56">
        <f t="shared" si="167"/>
        <v>695</v>
      </c>
      <c r="T1010" s="56">
        <f>50</f>
        <v>50</v>
      </c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</row>
    <row r="1011" spans="1:30" ht="15.75" x14ac:dyDescent="0.25">
      <c r="A1011" s="13">
        <v>72075</v>
      </c>
      <c r="B1011" s="67">
        <f t="shared" si="162"/>
        <v>30</v>
      </c>
      <c r="C1011" s="56">
        <f>141.293</f>
        <v>141.29300000000001</v>
      </c>
      <c r="D1011" s="56">
        <f>267.993</f>
        <v>267.99299999999999</v>
      </c>
      <c r="E1011" s="64">
        <f>115.016</f>
        <v>115.01600000000001</v>
      </c>
      <c r="F1011" s="56">
        <f>314.698-40-25-60-100</f>
        <v>89.697999999999979</v>
      </c>
      <c r="G1011" s="59">
        <v>40</v>
      </c>
      <c r="H1011" s="56">
        <f t="shared" ref="H1011:H1017" si="171">25+60+100</f>
        <v>185</v>
      </c>
      <c r="I1011" s="56">
        <f t="shared" si="170"/>
        <v>0</v>
      </c>
      <c r="J1011" s="59">
        <v>100</v>
      </c>
      <c r="K1011" s="59">
        <v>300</v>
      </c>
      <c r="L1011" s="56">
        <f t="shared" si="164"/>
        <v>1239</v>
      </c>
      <c r="M1011" s="66">
        <v>600</v>
      </c>
      <c r="N1011" s="56">
        <f>100</f>
        <v>100</v>
      </c>
      <c r="O1011" s="59">
        <v>240</v>
      </c>
      <c r="P1011" s="59">
        <v>40</v>
      </c>
      <c r="Q1011" s="59">
        <f t="shared" si="165"/>
        <v>315</v>
      </c>
      <c r="R1011" s="59">
        <f t="shared" si="166"/>
        <v>100</v>
      </c>
      <c r="S1011" s="56">
        <f t="shared" si="167"/>
        <v>695</v>
      </c>
      <c r="T1011" s="56">
        <f>50</f>
        <v>50</v>
      </c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</row>
    <row r="1012" spans="1:30" ht="15.75" x14ac:dyDescent="0.25">
      <c r="A1012" s="13">
        <v>72106</v>
      </c>
      <c r="B1012" s="67">
        <f t="shared" si="162"/>
        <v>31</v>
      </c>
      <c r="C1012" s="56">
        <f>194.205</f>
        <v>194.20500000000001</v>
      </c>
      <c r="D1012" s="56">
        <f>267.466</f>
        <v>267.46600000000001</v>
      </c>
      <c r="E1012" s="64">
        <f>133.845</f>
        <v>133.845</v>
      </c>
      <c r="F1012" s="56">
        <f>278.484-40-25-60-100</f>
        <v>53.48399999999998</v>
      </c>
      <c r="G1012" s="59">
        <v>40</v>
      </c>
      <c r="H1012" s="56">
        <f t="shared" si="171"/>
        <v>185</v>
      </c>
      <c r="I1012" s="56">
        <f t="shared" si="170"/>
        <v>0</v>
      </c>
      <c r="J1012" s="59">
        <v>100</v>
      </c>
      <c r="K1012" s="59">
        <v>300</v>
      </c>
      <c r="L1012" s="56">
        <f t="shared" si="164"/>
        <v>1274</v>
      </c>
      <c r="M1012" s="66">
        <v>600</v>
      </c>
      <c r="N1012" s="56">
        <f>75</f>
        <v>75</v>
      </c>
      <c r="O1012" s="59">
        <v>240</v>
      </c>
      <c r="P1012" s="59">
        <v>40</v>
      </c>
      <c r="Q1012" s="59">
        <f t="shared" si="165"/>
        <v>315</v>
      </c>
      <c r="R1012" s="59">
        <f t="shared" si="166"/>
        <v>100</v>
      </c>
      <c r="S1012" s="56">
        <f t="shared" si="167"/>
        <v>695</v>
      </c>
      <c r="T1012" s="56">
        <f>50</f>
        <v>50</v>
      </c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</row>
    <row r="1013" spans="1:30" ht="15.75" x14ac:dyDescent="0.25">
      <c r="A1013" s="13">
        <v>72136</v>
      </c>
      <c r="B1013" s="67">
        <f t="shared" si="162"/>
        <v>30</v>
      </c>
      <c r="C1013" s="56">
        <f>194.205</f>
        <v>194.20500000000001</v>
      </c>
      <c r="D1013" s="56">
        <f>267.466</f>
        <v>267.46600000000001</v>
      </c>
      <c r="E1013" s="64">
        <f>133.845</f>
        <v>133.845</v>
      </c>
      <c r="F1013" s="56">
        <f>278.484-40-25-60-100</f>
        <v>53.48399999999998</v>
      </c>
      <c r="G1013" s="59">
        <v>40</v>
      </c>
      <c r="H1013" s="56">
        <f t="shared" si="171"/>
        <v>185</v>
      </c>
      <c r="I1013" s="56">
        <f t="shared" si="170"/>
        <v>0</v>
      </c>
      <c r="J1013" s="59">
        <v>100</v>
      </c>
      <c r="K1013" s="59">
        <v>300</v>
      </c>
      <c r="L1013" s="56">
        <f t="shared" si="164"/>
        <v>1274</v>
      </c>
      <c r="M1013" s="66">
        <v>600</v>
      </c>
      <c r="N1013" s="56">
        <f>30</f>
        <v>30</v>
      </c>
      <c r="O1013" s="59">
        <v>240</v>
      </c>
      <c r="P1013" s="59">
        <v>40</v>
      </c>
      <c r="Q1013" s="59">
        <f t="shared" si="165"/>
        <v>315</v>
      </c>
      <c r="R1013" s="59">
        <f t="shared" si="166"/>
        <v>100</v>
      </c>
      <c r="S1013" s="56">
        <f t="shared" si="167"/>
        <v>695</v>
      </c>
      <c r="T1013" s="56">
        <f>50</f>
        <v>50</v>
      </c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</row>
    <row r="1014" spans="1:30" ht="15.75" x14ac:dyDescent="0.25">
      <c r="A1014" s="13">
        <v>72167</v>
      </c>
      <c r="B1014" s="67">
        <f t="shared" si="162"/>
        <v>31</v>
      </c>
      <c r="C1014" s="56">
        <f>194.205</f>
        <v>194.20500000000001</v>
      </c>
      <c r="D1014" s="56">
        <f>267.466</f>
        <v>267.46600000000001</v>
      </c>
      <c r="E1014" s="64">
        <f>133.845</f>
        <v>133.845</v>
      </c>
      <c r="F1014" s="56">
        <f>278.484-40-25-60-100</f>
        <v>53.48399999999998</v>
      </c>
      <c r="G1014" s="59">
        <v>40</v>
      </c>
      <c r="H1014" s="56">
        <f t="shared" si="171"/>
        <v>185</v>
      </c>
      <c r="I1014" s="56">
        <f t="shared" si="170"/>
        <v>0</v>
      </c>
      <c r="J1014" s="59">
        <v>100</v>
      </c>
      <c r="K1014" s="59">
        <v>300</v>
      </c>
      <c r="L1014" s="56">
        <f t="shared" si="164"/>
        <v>1274</v>
      </c>
      <c r="M1014" s="66">
        <v>600</v>
      </c>
      <c r="N1014" s="56">
        <f>30</f>
        <v>30</v>
      </c>
      <c r="O1014" s="59">
        <v>240</v>
      </c>
      <c r="P1014" s="59">
        <v>40</v>
      </c>
      <c r="Q1014" s="59">
        <f t="shared" si="165"/>
        <v>315</v>
      </c>
      <c r="R1014" s="59">
        <f t="shared" si="166"/>
        <v>100</v>
      </c>
      <c r="S1014" s="56">
        <f t="shared" si="167"/>
        <v>695</v>
      </c>
      <c r="T1014" s="56">
        <f>0</f>
        <v>0</v>
      </c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</row>
    <row r="1015" spans="1:30" ht="15.75" x14ac:dyDescent="0.25">
      <c r="A1015" s="13">
        <v>72198</v>
      </c>
      <c r="B1015" s="67">
        <f t="shared" si="162"/>
        <v>31</v>
      </c>
      <c r="C1015" s="56">
        <f>194.205</f>
        <v>194.20500000000001</v>
      </c>
      <c r="D1015" s="56">
        <f>267.466</f>
        <v>267.46600000000001</v>
      </c>
      <c r="E1015" s="64">
        <f>133.845</f>
        <v>133.845</v>
      </c>
      <c r="F1015" s="56">
        <f>278.484-40-25-60-100</f>
        <v>53.48399999999998</v>
      </c>
      <c r="G1015" s="59">
        <v>40</v>
      </c>
      <c r="H1015" s="56">
        <f t="shared" si="171"/>
        <v>185</v>
      </c>
      <c r="I1015" s="56">
        <f t="shared" si="170"/>
        <v>0</v>
      </c>
      <c r="J1015" s="59">
        <v>100</v>
      </c>
      <c r="K1015" s="59">
        <v>300</v>
      </c>
      <c r="L1015" s="56">
        <f t="shared" si="164"/>
        <v>1274</v>
      </c>
      <c r="M1015" s="66">
        <v>600</v>
      </c>
      <c r="N1015" s="56">
        <f>30</f>
        <v>30</v>
      </c>
      <c r="O1015" s="59">
        <v>240</v>
      </c>
      <c r="P1015" s="59">
        <v>40</v>
      </c>
      <c r="Q1015" s="59">
        <f t="shared" si="165"/>
        <v>315</v>
      </c>
      <c r="R1015" s="59">
        <f t="shared" si="166"/>
        <v>100</v>
      </c>
      <c r="S1015" s="56">
        <f t="shared" si="167"/>
        <v>695</v>
      </c>
      <c r="T1015" s="56">
        <f>0</f>
        <v>0</v>
      </c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</row>
    <row r="1016" spans="1:30" ht="15.75" x14ac:dyDescent="0.25">
      <c r="A1016" s="13">
        <v>72228</v>
      </c>
      <c r="B1016" s="67">
        <f t="shared" si="162"/>
        <v>30</v>
      </c>
      <c r="C1016" s="56">
        <f>194.205</f>
        <v>194.20500000000001</v>
      </c>
      <c r="D1016" s="56">
        <f>267.466</f>
        <v>267.46600000000001</v>
      </c>
      <c r="E1016" s="64">
        <f>133.845</f>
        <v>133.845</v>
      </c>
      <c r="F1016" s="56">
        <f>278.484-40-25-60-100</f>
        <v>53.48399999999998</v>
      </c>
      <c r="G1016" s="59">
        <v>40</v>
      </c>
      <c r="H1016" s="56">
        <f t="shared" si="171"/>
        <v>185</v>
      </c>
      <c r="I1016" s="56">
        <f t="shared" si="170"/>
        <v>0</v>
      </c>
      <c r="J1016" s="59">
        <v>100</v>
      </c>
      <c r="K1016" s="59">
        <v>300</v>
      </c>
      <c r="L1016" s="56">
        <f t="shared" si="164"/>
        <v>1274</v>
      </c>
      <c r="M1016" s="66">
        <v>600</v>
      </c>
      <c r="N1016" s="56">
        <f>30</f>
        <v>30</v>
      </c>
      <c r="O1016" s="59">
        <v>240</v>
      </c>
      <c r="P1016" s="59">
        <v>40</v>
      </c>
      <c r="Q1016" s="59">
        <f t="shared" si="165"/>
        <v>315</v>
      </c>
      <c r="R1016" s="59">
        <f t="shared" si="166"/>
        <v>100</v>
      </c>
      <c r="S1016" s="56">
        <f t="shared" si="167"/>
        <v>695</v>
      </c>
      <c r="T1016" s="56">
        <f>0</f>
        <v>0</v>
      </c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</row>
    <row r="1017" spans="1:30" ht="15.75" x14ac:dyDescent="0.25">
      <c r="A1017" s="13">
        <v>72259</v>
      </c>
      <c r="B1017" s="67">
        <f t="shared" si="162"/>
        <v>31</v>
      </c>
      <c r="C1017" s="56">
        <f>131.881</f>
        <v>131.881</v>
      </c>
      <c r="D1017" s="56">
        <f>277.167</f>
        <v>277.16699999999997</v>
      </c>
      <c r="E1017" s="64">
        <f>79.08</f>
        <v>79.08</v>
      </c>
      <c r="F1017" s="56">
        <f>350.872-40-25-60-100</f>
        <v>125.87200000000001</v>
      </c>
      <c r="G1017" s="59">
        <v>40</v>
      </c>
      <c r="H1017" s="56">
        <f t="shared" si="171"/>
        <v>185</v>
      </c>
      <c r="I1017" s="56">
        <f t="shared" si="170"/>
        <v>0</v>
      </c>
      <c r="J1017" s="59">
        <v>100</v>
      </c>
      <c r="K1017" s="59">
        <v>300</v>
      </c>
      <c r="L1017" s="56">
        <f t="shared" si="164"/>
        <v>1239</v>
      </c>
      <c r="M1017" s="66">
        <v>600</v>
      </c>
      <c r="N1017" s="56">
        <f>75</f>
        <v>75</v>
      </c>
      <c r="O1017" s="59">
        <v>240</v>
      </c>
      <c r="P1017" s="59">
        <v>40</v>
      </c>
      <c r="Q1017" s="59">
        <f t="shared" si="165"/>
        <v>315</v>
      </c>
      <c r="R1017" s="59">
        <f t="shared" si="166"/>
        <v>100</v>
      </c>
      <c r="S1017" s="56">
        <f t="shared" si="167"/>
        <v>695</v>
      </c>
      <c r="T1017" s="56">
        <f>0</f>
        <v>0</v>
      </c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</row>
    <row r="1018" spans="1:30" ht="15.75" x14ac:dyDescent="0.25">
      <c r="A1018" s="13">
        <v>72289</v>
      </c>
      <c r="B1018" s="67">
        <f t="shared" si="162"/>
        <v>30</v>
      </c>
      <c r="C1018" s="56">
        <f>122.58</f>
        <v>122.58</v>
      </c>
      <c r="D1018" s="56">
        <f>297.941</f>
        <v>297.94099999999997</v>
      </c>
      <c r="E1018" s="64">
        <f>89.177</f>
        <v>89.177000000000007</v>
      </c>
      <c r="F1018" s="56">
        <f>240.302-40-60-100</f>
        <v>40.301999999999992</v>
      </c>
      <c r="G1018" s="59">
        <v>40</v>
      </c>
      <c r="H1018" s="56">
        <f>60+100</f>
        <v>160</v>
      </c>
      <c r="I1018" s="56">
        <f t="shared" si="170"/>
        <v>0</v>
      </c>
      <c r="J1018" s="59">
        <v>100</v>
      </c>
      <c r="K1018" s="59">
        <v>300</v>
      </c>
      <c r="L1018" s="56">
        <f t="shared" si="164"/>
        <v>1150</v>
      </c>
      <c r="M1018" s="66">
        <v>600</v>
      </c>
      <c r="N1018" s="56">
        <f>100</f>
        <v>100</v>
      </c>
      <c r="O1018" s="59">
        <v>240</v>
      </c>
      <c r="P1018" s="59">
        <v>40</v>
      </c>
      <c r="Q1018" s="59">
        <f t="shared" si="165"/>
        <v>315</v>
      </c>
      <c r="R1018" s="59">
        <f t="shared" si="166"/>
        <v>100</v>
      </c>
      <c r="S1018" s="56">
        <f t="shared" si="167"/>
        <v>695</v>
      </c>
      <c r="T1018" s="56">
        <f>50</f>
        <v>50</v>
      </c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</row>
    <row r="1019" spans="1:30" ht="15.75" x14ac:dyDescent="0.25">
      <c r="A1019" s="13">
        <v>72320</v>
      </c>
      <c r="B1019" s="67">
        <f t="shared" si="162"/>
        <v>31</v>
      </c>
      <c r="C1019" s="56">
        <f>122.58</f>
        <v>122.58</v>
      </c>
      <c r="D1019" s="56">
        <f>297.941</f>
        <v>297.94099999999997</v>
      </c>
      <c r="E1019" s="64">
        <f>89.177</f>
        <v>89.177000000000007</v>
      </c>
      <c r="F1019" s="56">
        <f>240.302-40-60-100</f>
        <v>40.301999999999992</v>
      </c>
      <c r="G1019" s="59">
        <v>40</v>
      </c>
      <c r="H1019" s="56">
        <f>60+100</f>
        <v>160</v>
      </c>
      <c r="I1019" s="56">
        <f t="shared" si="170"/>
        <v>0</v>
      </c>
      <c r="J1019" s="59">
        <v>100</v>
      </c>
      <c r="K1019" s="59">
        <v>300</v>
      </c>
      <c r="L1019" s="56">
        <f t="shared" si="164"/>
        <v>1150</v>
      </c>
      <c r="M1019" s="66">
        <v>600</v>
      </c>
      <c r="N1019" s="56">
        <f>100</f>
        <v>100</v>
      </c>
      <c r="O1019" s="59">
        <v>240</v>
      </c>
      <c r="P1019" s="59">
        <v>40</v>
      </c>
      <c r="Q1019" s="59">
        <f t="shared" si="165"/>
        <v>315</v>
      </c>
      <c r="R1019" s="59">
        <f t="shared" si="166"/>
        <v>100</v>
      </c>
      <c r="S1019" s="56">
        <f t="shared" si="167"/>
        <v>695</v>
      </c>
      <c r="T1019" s="56">
        <f>50</f>
        <v>50</v>
      </c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</row>
    <row r="1020" spans="1:30" ht="15.75" x14ac:dyDescent="0.25">
      <c r="A1020" s="13">
        <v>72351</v>
      </c>
      <c r="B1020" s="67">
        <f t="shared" si="162"/>
        <v>31</v>
      </c>
      <c r="C1020" s="56">
        <f>122.58</f>
        <v>122.58</v>
      </c>
      <c r="D1020" s="56">
        <f>297.941</f>
        <v>297.94099999999997</v>
      </c>
      <c r="E1020" s="64">
        <f>89.177</f>
        <v>89.177000000000007</v>
      </c>
      <c r="F1020" s="56">
        <f>240.302-40-60-100</f>
        <v>40.301999999999992</v>
      </c>
      <c r="G1020" s="59">
        <v>40</v>
      </c>
      <c r="H1020" s="56">
        <f>60+100</f>
        <v>160</v>
      </c>
      <c r="I1020" s="56">
        <f t="shared" si="170"/>
        <v>0</v>
      </c>
      <c r="J1020" s="59">
        <v>100</v>
      </c>
      <c r="K1020" s="59">
        <v>300</v>
      </c>
      <c r="L1020" s="56">
        <f t="shared" si="164"/>
        <v>1150</v>
      </c>
      <c r="M1020" s="66">
        <v>600</v>
      </c>
      <c r="N1020" s="56">
        <f>100</f>
        <v>100</v>
      </c>
      <c r="O1020" s="59">
        <v>240</v>
      </c>
      <c r="P1020" s="59">
        <v>40</v>
      </c>
      <c r="Q1020" s="59">
        <f t="shared" si="165"/>
        <v>315</v>
      </c>
      <c r="R1020" s="59">
        <f t="shared" si="166"/>
        <v>100</v>
      </c>
      <c r="S1020" s="56">
        <f t="shared" si="167"/>
        <v>695</v>
      </c>
      <c r="T1020" s="56">
        <f>50</f>
        <v>50</v>
      </c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</row>
    <row r="1021" spans="1:30" ht="15.75" x14ac:dyDescent="0.25">
      <c r="A1021" s="13">
        <v>72379</v>
      </c>
      <c r="B1021" s="67">
        <f t="shared" si="162"/>
        <v>28</v>
      </c>
      <c r="C1021" s="56">
        <f>122.58</f>
        <v>122.58</v>
      </c>
      <c r="D1021" s="56">
        <f>297.941</f>
        <v>297.94099999999997</v>
      </c>
      <c r="E1021" s="64">
        <f>89.177</f>
        <v>89.177000000000007</v>
      </c>
      <c r="F1021" s="56">
        <f>240.302-40-60-100</f>
        <v>40.301999999999992</v>
      </c>
      <c r="G1021" s="59">
        <v>40</v>
      </c>
      <c r="H1021" s="56">
        <f>60+100</f>
        <v>160</v>
      </c>
      <c r="I1021" s="56">
        <f t="shared" si="170"/>
        <v>0</v>
      </c>
      <c r="J1021" s="59">
        <v>100</v>
      </c>
      <c r="K1021" s="59">
        <v>300</v>
      </c>
      <c r="L1021" s="56">
        <f t="shared" si="164"/>
        <v>1150</v>
      </c>
      <c r="M1021" s="66">
        <v>600</v>
      </c>
      <c r="N1021" s="56">
        <f>100</f>
        <v>100</v>
      </c>
      <c r="O1021" s="59">
        <v>240</v>
      </c>
      <c r="P1021" s="59">
        <v>40</v>
      </c>
      <c r="Q1021" s="59">
        <f t="shared" si="165"/>
        <v>315</v>
      </c>
      <c r="R1021" s="59">
        <f t="shared" si="166"/>
        <v>100</v>
      </c>
      <c r="S1021" s="56">
        <f t="shared" si="167"/>
        <v>695</v>
      </c>
      <c r="T1021" s="56">
        <f>50</f>
        <v>50</v>
      </c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</row>
    <row r="1022" spans="1:30" ht="15.75" x14ac:dyDescent="0.25">
      <c r="A1022" s="13">
        <v>72410</v>
      </c>
      <c r="B1022" s="67">
        <f t="shared" si="162"/>
        <v>31</v>
      </c>
      <c r="C1022" s="56">
        <f>122.58</f>
        <v>122.58</v>
      </c>
      <c r="D1022" s="56">
        <f>297.941</f>
        <v>297.94099999999997</v>
      </c>
      <c r="E1022" s="64">
        <f>89.177</f>
        <v>89.177000000000007</v>
      </c>
      <c r="F1022" s="56">
        <f>240.302-40-60-100</f>
        <v>40.301999999999992</v>
      </c>
      <c r="G1022" s="59">
        <v>40</v>
      </c>
      <c r="H1022" s="56">
        <f>60+100</f>
        <v>160</v>
      </c>
      <c r="I1022" s="56">
        <f t="shared" si="170"/>
        <v>0</v>
      </c>
      <c r="J1022" s="59">
        <v>100</v>
      </c>
      <c r="K1022" s="59">
        <v>300</v>
      </c>
      <c r="L1022" s="56">
        <f t="shared" si="164"/>
        <v>1150</v>
      </c>
      <c r="M1022" s="66">
        <v>600</v>
      </c>
      <c r="N1022" s="56">
        <f>100</f>
        <v>100</v>
      </c>
      <c r="O1022" s="59">
        <v>240</v>
      </c>
      <c r="P1022" s="59">
        <v>40</v>
      </c>
      <c r="Q1022" s="59">
        <f t="shared" si="165"/>
        <v>315</v>
      </c>
      <c r="R1022" s="59">
        <f t="shared" si="166"/>
        <v>100</v>
      </c>
      <c r="S1022" s="56">
        <f t="shared" si="167"/>
        <v>695</v>
      </c>
      <c r="T1022" s="56">
        <f>50</f>
        <v>50</v>
      </c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</row>
    <row r="1023" spans="1:30" ht="15.75" x14ac:dyDescent="0.25">
      <c r="A1023" s="13">
        <v>72440</v>
      </c>
      <c r="B1023" s="67">
        <f t="shared" si="162"/>
        <v>30</v>
      </c>
      <c r="C1023" s="56">
        <f>141.293</f>
        <v>141.29300000000001</v>
      </c>
      <c r="D1023" s="56">
        <f>267.993</f>
        <v>267.99299999999999</v>
      </c>
      <c r="E1023" s="64">
        <f>115.016</f>
        <v>115.01600000000001</v>
      </c>
      <c r="F1023" s="56">
        <f>314.698-40-25-60-100</f>
        <v>89.697999999999979</v>
      </c>
      <c r="G1023" s="59">
        <v>40</v>
      </c>
      <c r="H1023" s="56">
        <f t="shared" ref="H1023:H1029" si="172">25+60+100</f>
        <v>185</v>
      </c>
      <c r="I1023" s="56">
        <f t="shared" si="170"/>
        <v>0</v>
      </c>
      <c r="J1023" s="59">
        <v>100</v>
      </c>
      <c r="K1023" s="59">
        <v>300</v>
      </c>
      <c r="L1023" s="56">
        <f t="shared" si="164"/>
        <v>1239</v>
      </c>
      <c r="M1023" s="66">
        <v>600</v>
      </c>
      <c r="N1023" s="56">
        <f>100</f>
        <v>100</v>
      </c>
      <c r="O1023" s="59">
        <v>240</v>
      </c>
      <c r="P1023" s="59">
        <v>40</v>
      </c>
      <c r="Q1023" s="59">
        <f t="shared" si="165"/>
        <v>315</v>
      </c>
      <c r="R1023" s="59">
        <f t="shared" si="166"/>
        <v>100</v>
      </c>
      <c r="S1023" s="56">
        <f t="shared" si="167"/>
        <v>695</v>
      </c>
      <c r="T1023" s="56">
        <f>50</f>
        <v>50</v>
      </c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</row>
    <row r="1024" spans="1:30" ht="15.75" x14ac:dyDescent="0.25">
      <c r="A1024" s="13">
        <v>72471</v>
      </c>
      <c r="B1024" s="67">
        <f t="shared" si="162"/>
        <v>31</v>
      </c>
      <c r="C1024" s="56">
        <f>194.205</f>
        <v>194.20500000000001</v>
      </c>
      <c r="D1024" s="56">
        <f>267.466</f>
        <v>267.46600000000001</v>
      </c>
      <c r="E1024" s="64">
        <f>133.845</f>
        <v>133.845</v>
      </c>
      <c r="F1024" s="56">
        <f>278.484-40-25-60-100</f>
        <v>53.48399999999998</v>
      </c>
      <c r="G1024" s="59">
        <v>40</v>
      </c>
      <c r="H1024" s="56">
        <f t="shared" si="172"/>
        <v>185</v>
      </c>
      <c r="I1024" s="56">
        <f t="shared" si="170"/>
        <v>0</v>
      </c>
      <c r="J1024" s="59">
        <v>100</v>
      </c>
      <c r="K1024" s="59">
        <v>300</v>
      </c>
      <c r="L1024" s="56">
        <f t="shared" si="164"/>
        <v>1274</v>
      </c>
      <c r="M1024" s="66">
        <v>600</v>
      </c>
      <c r="N1024" s="56">
        <f>75</f>
        <v>75</v>
      </c>
      <c r="O1024" s="59">
        <v>240</v>
      </c>
      <c r="P1024" s="59">
        <v>40</v>
      </c>
      <c r="Q1024" s="59">
        <f t="shared" si="165"/>
        <v>315</v>
      </c>
      <c r="R1024" s="59">
        <f t="shared" si="166"/>
        <v>100</v>
      </c>
      <c r="S1024" s="56">
        <f t="shared" si="167"/>
        <v>695</v>
      </c>
      <c r="T1024" s="56">
        <f>50</f>
        <v>50</v>
      </c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</row>
    <row r="1025" spans="1:30" ht="15.75" x14ac:dyDescent="0.25">
      <c r="A1025" s="13">
        <v>72501</v>
      </c>
      <c r="B1025" s="67">
        <f t="shared" si="162"/>
        <v>30</v>
      </c>
      <c r="C1025" s="56">
        <f>194.205</f>
        <v>194.20500000000001</v>
      </c>
      <c r="D1025" s="56">
        <f>267.466</f>
        <v>267.46600000000001</v>
      </c>
      <c r="E1025" s="64">
        <f>133.845</f>
        <v>133.845</v>
      </c>
      <c r="F1025" s="56">
        <f>278.484-40-25-60-100</f>
        <v>53.48399999999998</v>
      </c>
      <c r="G1025" s="59">
        <v>40</v>
      </c>
      <c r="H1025" s="56">
        <f t="shared" si="172"/>
        <v>185</v>
      </c>
      <c r="I1025" s="56">
        <f t="shared" si="170"/>
        <v>0</v>
      </c>
      <c r="J1025" s="59">
        <v>100</v>
      </c>
      <c r="K1025" s="59">
        <v>300</v>
      </c>
      <c r="L1025" s="56">
        <f t="shared" si="164"/>
        <v>1274</v>
      </c>
      <c r="M1025" s="66">
        <v>600</v>
      </c>
      <c r="N1025" s="56">
        <f>30</f>
        <v>30</v>
      </c>
      <c r="O1025" s="59">
        <v>240</v>
      </c>
      <c r="P1025" s="59">
        <v>40</v>
      </c>
      <c r="Q1025" s="59">
        <f t="shared" si="165"/>
        <v>315</v>
      </c>
      <c r="R1025" s="59">
        <f t="shared" si="166"/>
        <v>100</v>
      </c>
      <c r="S1025" s="56">
        <f t="shared" si="167"/>
        <v>695</v>
      </c>
      <c r="T1025" s="56">
        <f>50</f>
        <v>50</v>
      </c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</row>
    <row r="1026" spans="1:30" ht="15.75" x14ac:dyDescent="0.25">
      <c r="A1026" s="13">
        <v>72532</v>
      </c>
      <c r="B1026" s="67">
        <f t="shared" si="162"/>
        <v>31</v>
      </c>
      <c r="C1026" s="56">
        <f>194.205</f>
        <v>194.20500000000001</v>
      </c>
      <c r="D1026" s="56">
        <f>267.466</f>
        <v>267.46600000000001</v>
      </c>
      <c r="E1026" s="64">
        <f>133.845</f>
        <v>133.845</v>
      </c>
      <c r="F1026" s="56">
        <f>278.484-40-25-60-100</f>
        <v>53.48399999999998</v>
      </c>
      <c r="G1026" s="59">
        <v>40</v>
      </c>
      <c r="H1026" s="56">
        <f t="shared" si="172"/>
        <v>185</v>
      </c>
      <c r="I1026" s="56">
        <f t="shared" si="170"/>
        <v>0</v>
      </c>
      <c r="J1026" s="59">
        <v>100</v>
      </c>
      <c r="K1026" s="59">
        <v>300</v>
      </c>
      <c r="L1026" s="56">
        <f t="shared" si="164"/>
        <v>1274</v>
      </c>
      <c r="M1026" s="66">
        <v>600</v>
      </c>
      <c r="N1026" s="56">
        <f>30</f>
        <v>30</v>
      </c>
      <c r="O1026" s="59">
        <v>240</v>
      </c>
      <c r="P1026" s="59">
        <v>40</v>
      </c>
      <c r="Q1026" s="59">
        <f t="shared" si="165"/>
        <v>315</v>
      </c>
      <c r="R1026" s="59">
        <f t="shared" si="166"/>
        <v>100</v>
      </c>
      <c r="S1026" s="56">
        <f t="shared" si="167"/>
        <v>695</v>
      </c>
      <c r="T1026" s="56">
        <f>0</f>
        <v>0</v>
      </c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</row>
    <row r="1027" spans="1:30" ht="15.75" x14ac:dyDescent="0.25">
      <c r="A1027" s="13">
        <v>72563</v>
      </c>
      <c r="B1027" s="67">
        <f t="shared" si="162"/>
        <v>31</v>
      </c>
      <c r="C1027" s="56">
        <f>194.205</f>
        <v>194.20500000000001</v>
      </c>
      <c r="D1027" s="56">
        <f>267.466</f>
        <v>267.46600000000001</v>
      </c>
      <c r="E1027" s="64">
        <f>133.845</f>
        <v>133.845</v>
      </c>
      <c r="F1027" s="56">
        <f>278.484-40-25-60-100</f>
        <v>53.48399999999998</v>
      </c>
      <c r="G1027" s="59">
        <v>40</v>
      </c>
      <c r="H1027" s="56">
        <f t="shared" si="172"/>
        <v>185</v>
      </c>
      <c r="I1027" s="56">
        <f t="shared" si="170"/>
        <v>0</v>
      </c>
      <c r="J1027" s="59">
        <v>100</v>
      </c>
      <c r="K1027" s="59">
        <v>300</v>
      </c>
      <c r="L1027" s="56">
        <f t="shared" si="164"/>
        <v>1274</v>
      </c>
      <c r="M1027" s="66">
        <v>600</v>
      </c>
      <c r="N1027" s="56">
        <f>30</f>
        <v>30</v>
      </c>
      <c r="O1027" s="59">
        <v>240</v>
      </c>
      <c r="P1027" s="59">
        <v>40</v>
      </c>
      <c r="Q1027" s="59">
        <f t="shared" si="165"/>
        <v>315</v>
      </c>
      <c r="R1027" s="59">
        <f t="shared" si="166"/>
        <v>100</v>
      </c>
      <c r="S1027" s="56">
        <f t="shared" si="167"/>
        <v>695</v>
      </c>
      <c r="T1027" s="56">
        <f>0</f>
        <v>0</v>
      </c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</row>
    <row r="1028" spans="1:30" ht="15.75" x14ac:dyDescent="0.25">
      <c r="A1028" s="13">
        <v>72593</v>
      </c>
      <c r="B1028" s="67">
        <f t="shared" si="162"/>
        <v>30</v>
      </c>
      <c r="C1028" s="56">
        <f>194.205</f>
        <v>194.20500000000001</v>
      </c>
      <c r="D1028" s="56">
        <f>267.466</f>
        <v>267.46600000000001</v>
      </c>
      <c r="E1028" s="64">
        <f>133.845</f>
        <v>133.845</v>
      </c>
      <c r="F1028" s="56">
        <f>278.484-40-25-60-100</f>
        <v>53.48399999999998</v>
      </c>
      <c r="G1028" s="59">
        <v>40</v>
      </c>
      <c r="H1028" s="56">
        <f t="shared" si="172"/>
        <v>185</v>
      </c>
      <c r="I1028" s="56">
        <f t="shared" si="170"/>
        <v>0</v>
      </c>
      <c r="J1028" s="59">
        <v>100</v>
      </c>
      <c r="K1028" s="59">
        <v>300</v>
      </c>
      <c r="L1028" s="56">
        <f t="shared" si="164"/>
        <v>1274</v>
      </c>
      <c r="M1028" s="66">
        <v>600</v>
      </c>
      <c r="N1028" s="56">
        <f>30</f>
        <v>30</v>
      </c>
      <c r="O1028" s="59">
        <v>240</v>
      </c>
      <c r="P1028" s="59">
        <v>40</v>
      </c>
      <c r="Q1028" s="59">
        <f t="shared" si="165"/>
        <v>315</v>
      </c>
      <c r="R1028" s="59">
        <f t="shared" si="166"/>
        <v>100</v>
      </c>
      <c r="S1028" s="56">
        <f t="shared" si="167"/>
        <v>695</v>
      </c>
      <c r="T1028" s="56">
        <f>0</f>
        <v>0</v>
      </c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</row>
    <row r="1029" spans="1:30" ht="15.75" x14ac:dyDescent="0.25">
      <c r="A1029" s="13">
        <v>72624</v>
      </c>
      <c r="B1029" s="67">
        <f t="shared" si="162"/>
        <v>31</v>
      </c>
      <c r="C1029" s="56">
        <f>131.881</f>
        <v>131.881</v>
      </c>
      <c r="D1029" s="56">
        <f>277.167</f>
        <v>277.16699999999997</v>
      </c>
      <c r="E1029" s="64">
        <f>79.08</f>
        <v>79.08</v>
      </c>
      <c r="F1029" s="56">
        <f>350.872-40-25-60-100</f>
        <v>125.87200000000001</v>
      </c>
      <c r="G1029" s="59">
        <v>40</v>
      </c>
      <c r="H1029" s="56">
        <f t="shared" si="172"/>
        <v>185</v>
      </c>
      <c r="I1029" s="56">
        <f t="shared" si="170"/>
        <v>0</v>
      </c>
      <c r="J1029" s="59">
        <v>100</v>
      </c>
      <c r="K1029" s="59">
        <v>300</v>
      </c>
      <c r="L1029" s="56">
        <f t="shared" si="164"/>
        <v>1239</v>
      </c>
      <c r="M1029" s="66">
        <v>600</v>
      </c>
      <c r="N1029" s="56">
        <f>75</f>
        <v>75</v>
      </c>
      <c r="O1029" s="59">
        <v>240</v>
      </c>
      <c r="P1029" s="59">
        <v>40</v>
      </c>
      <c r="Q1029" s="59">
        <f t="shared" si="165"/>
        <v>315</v>
      </c>
      <c r="R1029" s="59">
        <f t="shared" si="166"/>
        <v>100</v>
      </c>
      <c r="S1029" s="56">
        <f t="shared" si="167"/>
        <v>695</v>
      </c>
      <c r="T1029" s="56">
        <f>0</f>
        <v>0</v>
      </c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</row>
    <row r="1030" spans="1:30" ht="15.75" x14ac:dyDescent="0.25">
      <c r="A1030" s="13">
        <v>72654</v>
      </c>
      <c r="B1030" s="67">
        <f t="shared" si="162"/>
        <v>30</v>
      </c>
      <c r="C1030" s="56">
        <f>122.58</f>
        <v>122.58</v>
      </c>
      <c r="D1030" s="56">
        <f>297.941</f>
        <v>297.94099999999997</v>
      </c>
      <c r="E1030" s="64">
        <f>89.177</f>
        <v>89.177000000000007</v>
      </c>
      <c r="F1030" s="56">
        <f>240.302-40-60-100</f>
        <v>40.301999999999992</v>
      </c>
      <c r="G1030" s="59">
        <v>40</v>
      </c>
      <c r="H1030" s="56">
        <f>60+100</f>
        <v>160</v>
      </c>
      <c r="I1030" s="56">
        <f t="shared" si="170"/>
        <v>0</v>
      </c>
      <c r="J1030" s="59">
        <v>100</v>
      </c>
      <c r="K1030" s="59">
        <v>300</v>
      </c>
      <c r="L1030" s="56">
        <f t="shared" si="164"/>
        <v>1150</v>
      </c>
      <c r="M1030" s="66">
        <v>600</v>
      </c>
      <c r="N1030" s="56">
        <f>100</f>
        <v>100</v>
      </c>
      <c r="O1030" s="59">
        <v>240</v>
      </c>
      <c r="P1030" s="59">
        <v>40</v>
      </c>
      <c r="Q1030" s="59">
        <f t="shared" si="165"/>
        <v>315</v>
      </c>
      <c r="R1030" s="59">
        <f t="shared" si="166"/>
        <v>100</v>
      </c>
      <c r="S1030" s="56">
        <f t="shared" si="167"/>
        <v>695</v>
      </c>
      <c r="T1030" s="56">
        <f>50</f>
        <v>50</v>
      </c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</row>
    <row r="1031" spans="1:30" ht="15.75" x14ac:dyDescent="0.25">
      <c r="A1031" s="13">
        <v>72685</v>
      </c>
      <c r="B1031" s="67">
        <f t="shared" si="162"/>
        <v>31</v>
      </c>
      <c r="C1031" s="56">
        <f>122.58</f>
        <v>122.58</v>
      </c>
      <c r="D1031" s="56">
        <f>297.941</f>
        <v>297.94099999999997</v>
      </c>
      <c r="E1031" s="64">
        <f>89.177</f>
        <v>89.177000000000007</v>
      </c>
      <c r="F1031" s="56">
        <f>240.302-40-60-100</f>
        <v>40.301999999999992</v>
      </c>
      <c r="G1031" s="59">
        <v>40</v>
      </c>
      <c r="H1031" s="56">
        <f>60+100</f>
        <v>160</v>
      </c>
      <c r="I1031" s="56">
        <f t="shared" si="170"/>
        <v>0</v>
      </c>
      <c r="J1031" s="59">
        <v>100</v>
      </c>
      <c r="K1031" s="59">
        <v>300</v>
      </c>
      <c r="L1031" s="56">
        <f t="shared" si="164"/>
        <v>1150</v>
      </c>
      <c r="M1031" s="66">
        <v>600</v>
      </c>
      <c r="N1031" s="56">
        <f>100</f>
        <v>100</v>
      </c>
      <c r="O1031" s="59">
        <v>240</v>
      </c>
      <c r="P1031" s="59">
        <v>40</v>
      </c>
      <c r="Q1031" s="59">
        <f t="shared" si="165"/>
        <v>315</v>
      </c>
      <c r="R1031" s="59">
        <f t="shared" si="166"/>
        <v>100</v>
      </c>
      <c r="S1031" s="56">
        <f t="shared" si="167"/>
        <v>695</v>
      </c>
      <c r="T1031" s="56">
        <f>50</f>
        <v>50</v>
      </c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</row>
    <row r="1032" spans="1:30" ht="15.75" x14ac:dyDescent="0.25">
      <c r="A1032" s="13">
        <v>72716</v>
      </c>
      <c r="B1032" s="67">
        <f t="shared" si="162"/>
        <v>31</v>
      </c>
      <c r="C1032" s="56">
        <f>122.58</f>
        <v>122.58</v>
      </c>
      <c r="D1032" s="56">
        <f>297.941</f>
        <v>297.94099999999997</v>
      </c>
      <c r="E1032" s="64">
        <f>89.177</f>
        <v>89.177000000000007</v>
      </c>
      <c r="F1032" s="56">
        <f>240.302-40-60-100</f>
        <v>40.301999999999992</v>
      </c>
      <c r="G1032" s="59">
        <v>40</v>
      </c>
      <c r="H1032" s="56">
        <f>60+100</f>
        <v>160</v>
      </c>
      <c r="I1032" s="56">
        <f t="shared" si="170"/>
        <v>0</v>
      </c>
      <c r="J1032" s="59">
        <v>100</v>
      </c>
      <c r="K1032" s="59">
        <v>300</v>
      </c>
      <c r="L1032" s="56">
        <f t="shared" si="164"/>
        <v>1150</v>
      </c>
      <c r="M1032" s="66">
        <v>600</v>
      </c>
      <c r="N1032" s="56">
        <f>100</f>
        <v>100</v>
      </c>
      <c r="O1032" s="59">
        <v>240</v>
      </c>
      <c r="P1032" s="59">
        <v>40</v>
      </c>
      <c r="Q1032" s="59">
        <f t="shared" si="165"/>
        <v>315</v>
      </c>
      <c r="R1032" s="59">
        <f t="shared" si="166"/>
        <v>100</v>
      </c>
      <c r="S1032" s="56">
        <f t="shared" si="167"/>
        <v>695</v>
      </c>
      <c r="T1032" s="56">
        <f>50</f>
        <v>50</v>
      </c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</row>
    <row r="1033" spans="1:30" ht="15.75" x14ac:dyDescent="0.25">
      <c r="A1033" s="13">
        <v>72744</v>
      </c>
      <c r="B1033" s="67">
        <f t="shared" si="162"/>
        <v>28</v>
      </c>
      <c r="C1033" s="56">
        <f>122.58</f>
        <v>122.58</v>
      </c>
      <c r="D1033" s="56">
        <f>297.941</f>
        <v>297.94099999999997</v>
      </c>
      <c r="E1033" s="64">
        <f>89.177</f>
        <v>89.177000000000007</v>
      </c>
      <c r="F1033" s="56">
        <f>240.302-40-60-100</f>
        <v>40.301999999999992</v>
      </c>
      <c r="G1033" s="59">
        <v>40</v>
      </c>
      <c r="H1033" s="56">
        <f>60+100</f>
        <v>160</v>
      </c>
      <c r="I1033" s="56">
        <f t="shared" si="170"/>
        <v>0</v>
      </c>
      <c r="J1033" s="59">
        <v>100</v>
      </c>
      <c r="K1033" s="59">
        <v>300</v>
      </c>
      <c r="L1033" s="56">
        <f t="shared" si="164"/>
        <v>1150</v>
      </c>
      <c r="M1033" s="66">
        <v>600</v>
      </c>
      <c r="N1033" s="56">
        <f>100</f>
        <v>100</v>
      </c>
      <c r="O1033" s="59">
        <v>240</v>
      </c>
      <c r="P1033" s="59">
        <v>40</v>
      </c>
      <c r="Q1033" s="59">
        <f t="shared" si="165"/>
        <v>315</v>
      </c>
      <c r="R1033" s="59">
        <f t="shared" si="166"/>
        <v>100</v>
      </c>
      <c r="S1033" s="56">
        <f t="shared" si="167"/>
        <v>695</v>
      </c>
      <c r="T1033" s="56">
        <f>50</f>
        <v>50</v>
      </c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</row>
    <row r="1034" spans="1:30" ht="15.75" x14ac:dyDescent="0.25">
      <c r="A1034" s="13">
        <v>72775</v>
      </c>
      <c r="B1034" s="67">
        <f t="shared" si="162"/>
        <v>31</v>
      </c>
      <c r="C1034" s="56">
        <f>122.58</f>
        <v>122.58</v>
      </c>
      <c r="D1034" s="56">
        <f>297.941</f>
        <v>297.94099999999997</v>
      </c>
      <c r="E1034" s="64">
        <f>89.177</f>
        <v>89.177000000000007</v>
      </c>
      <c r="F1034" s="56">
        <f>240.302-40-60-100</f>
        <v>40.301999999999992</v>
      </c>
      <c r="G1034" s="59">
        <v>40</v>
      </c>
      <c r="H1034" s="56">
        <f>60+100</f>
        <v>160</v>
      </c>
      <c r="I1034" s="56">
        <f t="shared" si="170"/>
        <v>0</v>
      </c>
      <c r="J1034" s="59">
        <v>100</v>
      </c>
      <c r="K1034" s="59">
        <v>300</v>
      </c>
      <c r="L1034" s="56">
        <f t="shared" si="164"/>
        <v>1150</v>
      </c>
      <c r="M1034" s="66">
        <v>600</v>
      </c>
      <c r="N1034" s="56">
        <f>100</f>
        <v>100</v>
      </c>
      <c r="O1034" s="59">
        <v>240</v>
      </c>
      <c r="P1034" s="59">
        <v>40</v>
      </c>
      <c r="Q1034" s="59">
        <f t="shared" si="165"/>
        <v>315</v>
      </c>
      <c r="R1034" s="59">
        <f t="shared" si="166"/>
        <v>100</v>
      </c>
      <c r="S1034" s="56">
        <f t="shared" si="167"/>
        <v>695</v>
      </c>
      <c r="T1034" s="56">
        <f>50</f>
        <v>50</v>
      </c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</row>
    <row r="1035" spans="1:30" ht="15.75" x14ac:dyDescent="0.25">
      <c r="A1035" s="13">
        <v>72805</v>
      </c>
      <c r="B1035" s="67">
        <f t="shared" si="162"/>
        <v>30</v>
      </c>
      <c r="C1035" s="56">
        <f>141.293</f>
        <v>141.29300000000001</v>
      </c>
      <c r="D1035" s="56">
        <f>267.993</f>
        <v>267.99299999999999</v>
      </c>
      <c r="E1035" s="64">
        <f>115.016</f>
        <v>115.01600000000001</v>
      </c>
      <c r="F1035" s="56">
        <f>314.698-40-25-60-100</f>
        <v>89.697999999999979</v>
      </c>
      <c r="G1035" s="59">
        <v>40</v>
      </c>
      <c r="H1035" s="56">
        <f t="shared" ref="H1035:H1041" si="173">25+60+100</f>
        <v>185</v>
      </c>
      <c r="I1035" s="56">
        <f t="shared" si="170"/>
        <v>0</v>
      </c>
      <c r="J1035" s="59">
        <v>100</v>
      </c>
      <c r="K1035" s="59">
        <v>300</v>
      </c>
      <c r="L1035" s="56">
        <f t="shared" si="164"/>
        <v>1239</v>
      </c>
      <c r="M1035" s="66">
        <v>600</v>
      </c>
      <c r="N1035" s="56">
        <f>100</f>
        <v>100</v>
      </c>
      <c r="O1035" s="59">
        <v>240</v>
      </c>
      <c r="P1035" s="59">
        <v>40</v>
      </c>
      <c r="Q1035" s="59">
        <f t="shared" si="165"/>
        <v>315</v>
      </c>
      <c r="R1035" s="59">
        <f t="shared" si="166"/>
        <v>100</v>
      </c>
      <c r="S1035" s="56">
        <f t="shared" si="167"/>
        <v>695</v>
      </c>
      <c r="T1035" s="56">
        <f>50</f>
        <v>50</v>
      </c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</row>
    <row r="1036" spans="1:30" ht="15.75" x14ac:dyDescent="0.25">
      <c r="A1036" s="13">
        <v>72836</v>
      </c>
      <c r="B1036" s="67">
        <f t="shared" ref="B1036:B1055" si="174">EOMONTH(A1036,0)-EOMONTH(A1036,-1)</f>
        <v>31</v>
      </c>
      <c r="C1036" s="56">
        <f>194.205</f>
        <v>194.20500000000001</v>
      </c>
      <c r="D1036" s="56">
        <f>267.466</f>
        <v>267.46600000000001</v>
      </c>
      <c r="E1036" s="64">
        <f>133.845</f>
        <v>133.845</v>
      </c>
      <c r="F1036" s="56">
        <f>278.484-40-25-60-100</f>
        <v>53.48399999999998</v>
      </c>
      <c r="G1036" s="59">
        <v>40</v>
      </c>
      <c r="H1036" s="56">
        <f t="shared" si="173"/>
        <v>185</v>
      </c>
      <c r="I1036" s="56">
        <f t="shared" si="170"/>
        <v>0</v>
      </c>
      <c r="J1036" s="59">
        <v>100</v>
      </c>
      <c r="K1036" s="59">
        <v>300</v>
      </c>
      <c r="L1036" s="56">
        <f t="shared" si="164"/>
        <v>1274</v>
      </c>
      <c r="M1036" s="66">
        <v>600</v>
      </c>
      <c r="N1036" s="56">
        <f>75</f>
        <v>75</v>
      </c>
      <c r="O1036" s="59">
        <v>240</v>
      </c>
      <c r="P1036" s="59">
        <v>40</v>
      </c>
      <c r="Q1036" s="59">
        <f t="shared" si="165"/>
        <v>315</v>
      </c>
      <c r="R1036" s="59">
        <f t="shared" si="166"/>
        <v>100</v>
      </c>
      <c r="S1036" s="56">
        <f t="shared" si="167"/>
        <v>695</v>
      </c>
      <c r="T1036" s="56">
        <f>50</f>
        <v>50</v>
      </c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</row>
    <row r="1037" spans="1:30" ht="15.75" x14ac:dyDescent="0.25">
      <c r="A1037" s="13">
        <v>72866</v>
      </c>
      <c r="B1037" s="67">
        <f t="shared" si="174"/>
        <v>30</v>
      </c>
      <c r="C1037" s="56">
        <f>194.205</f>
        <v>194.20500000000001</v>
      </c>
      <c r="D1037" s="56">
        <f>267.466</f>
        <v>267.46600000000001</v>
      </c>
      <c r="E1037" s="64">
        <f>133.845</f>
        <v>133.845</v>
      </c>
      <c r="F1037" s="56">
        <f>278.484-40-25-60-100</f>
        <v>53.48399999999998</v>
      </c>
      <c r="G1037" s="59">
        <v>40</v>
      </c>
      <c r="H1037" s="56">
        <f t="shared" si="173"/>
        <v>185</v>
      </c>
      <c r="I1037" s="56">
        <f t="shared" si="170"/>
        <v>0</v>
      </c>
      <c r="J1037" s="59">
        <v>100</v>
      </c>
      <c r="K1037" s="59">
        <v>300</v>
      </c>
      <c r="L1037" s="56">
        <f t="shared" si="164"/>
        <v>1274</v>
      </c>
      <c r="M1037" s="66">
        <v>600</v>
      </c>
      <c r="N1037" s="56">
        <f>30</f>
        <v>30</v>
      </c>
      <c r="O1037" s="59">
        <v>240</v>
      </c>
      <c r="P1037" s="59">
        <v>40</v>
      </c>
      <c r="Q1037" s="59">
        <f t="shared" si="165"/>
        <v>315</v>
      </c>
      <c r="R1037" s="59">
        <f t="shared" si="166"/>
        <v>100</v>
      </c>
      <c r="S1037" s="56">
        <f t="shared" si="167"/>
        <v>695</v>
      </c>
      <c r="T1037" s="56">
        <f>50</f>
        <v>50</v>
      </c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</row>
    <row r="1038" spans="1:30" ht="15.75" x14ac:dyDescent="0.25">
      <c r="A1038" s="13">
        <v>72897</v>
      </c>
      <c r="B1038" s="67">
        <f t="shared" si="174"/>
        <v>31</v>
      </c>
      <c r="C1038" s="56">
        <f>194.205</f>
        <v>194.20500000000001</v>
      </c>
      <c r="D1038" s="56">
        <f>267.466</f>
        <v>267.46600000000001</v>
      </c>
      <c r="E1038" s="64">
        <f>133.845</f>
        <v>133.845</v>
      </c>
      <c r="F1038" s="56">
        <f>278.484-40-25-60-100</f>
        <v>53.48399999999998</v>
      </c>
      <c r="G1038" s="59">
        <v>40</v>
      </c>
      <c r="H1038" s="56">
        <f t="shared" si="173"/>
        <v>185</v>
      </c>
      <c r="I1038" s="56">
        <f t="shared" si="170"/>
        <v>0</v>
      </c>
      <c r="J1038" s="59">
        <v>100</v>
      </c>
      <c r="K1038" s="59">
        <v>300</v>
      </c>
      <c r="L1038" s="56">
        <f t="shared" si="164"/>
        <v>1274</v>
      </c>
      <c r="M1038" s="66">
        <v>600</v>
      </c>
      <c r="N1038" s="56">
        <f>30</f>
        <v>30</v>
      </c>
      <c r="O1038" s="59">
        <v>240</v>
      </c>
      <c r="P1038" s="59">
        <v>40</v>
      </c>
      <c r="Q1038" s="59">
        <f t="shared" si="165"/>
        <v>315</v>
      </c>
      <c r="R1038" s="59">
        <f t="shared" si="166"/>
        <v>100</v>
      </c>
      <c r="S1038" s="56">
        <f t="shared" si="167"/>
        <v>695</v>
      </c>
      <c r="T1038" s="56">
        <f>0</f>
        <v>0</v>
      </c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</row>
    <row r="1039" spans="1:30" ht="15.75" x14ac:dyDescent="0.25">
      <c r="A1039" s="13">
        <v>72928</v>
      </c>
      <c r="B1039" s="67">
        <f t="shared" si="174"/>
        <v>31</v>
      </c>
      <c r="C1039" s="56">
        <f>194.205</f>
        <v>194.20500000000001</v>
      </c>
      <c r="D1039" s="56">
        <f>267.466</f>
        <v>267.46600000000001</v>
      </c>
      <c r="E1039" s="64">
        <f>133.845</f>
        <v>133.845</v>
      </c>
      <c r="F1039" s="56">
        <f>278.484-40-25-60-100</f>
        <v>53.48399999999998</v>
      </c>
      <c r="G1039" s="59">
        <v>40</v>
      </c>
      <c r="H1039" s="56">
        <f t="shared" si="173"/>
        <v>185</v>
      </c>
      <c r="I1039" s="56">
        <f t="shared" si="170"/>
        <v>0</v>
      </c>
      <c r="J1039" s="59">
        <v>100</v>
      </c>
      <c r="K1039" s="59">
        <v>300</v>
      </c>
      <c r="L1039" s="56">
        <f t="shared" si="164"/>
        <v>1274</v>
      </c>
      <c r="M1039" s="66">
        <v>600</v>
      </c>
      <c r="N1039" s="56">
        <f>30</f>
        <v>30</v>
      </c>
      <c r="O1039" s="59">
        <v>240</v>
      </c>
      <c r="P1039" s="59">
        <v>40</v>
      </c>
      <c r="Q1039" s="59">
        <f t="shared" si="165"/>
        <v>315</v>
      </c>
      <c r="R1039" s="59">
        <f t="shared" si="166"/>
        <v>100</v>
      </c>
      <c r="S1039" s="56">
        <f t="shared" si="167"/>
        <v>695</v>
      </c>
      <c r="T1039" s="56">
        <f>0</f>
        <v>0</v>
      </c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</row>
    <row r="1040" spans="1:30" ht="15.75" x14ac:dyDescent="0.25">
      <c r="A1040" s="13">
        <v>72958</v>
      </c>
      <c r="B1040" s="67">
        <f t="shared" si="174"/>
        <v>30</v>
      </c>
      <c r="C1040" s="56">
        <f>194.205</f>
        <v>194.20500000000001</v>
      </c>
      <c r="D1040" s="56">
        <f>267.466</f>
        <v>267.46600000000001</v>
      </c>
      <c r="E1040" s="64">
        <f>133.845</f>
        <v>133.845</v>
      </c>
      <c r="F1040" s="56">
        <f>278.484-40-25-60-100</f>
        <v>53.48399999999998</v>
      </c>
      <c r="G1040" s="59">
        <v>40</v>
      </c>
      <c r="H1040" s="56">
        <f t="shared" si="173"/>
        <v>185</v>
      </c>
      <c r="I1040" s="56">
        <f t="shared" si="170"/>
        <v>0</v>
      </c>
      <c r="J1040" s="59">
        <v>100</v>
      </c>
      <c r="K1040" s="59">
        <v>300</v>
      </c>
      <c r="L1040" s="56">
        <f t="shared" ref="L1040:L1055" si="175">SUM(C1040:K1040)</f>
        <v>1274</v>
      </c>
      <c r="M1040" s="66">
        <v>600</v>
      </c>
      <c r="N1040" s="56">
        <f>30</f>
        <v>30</v>
      </c>
      <c r="O1040" s="59">
        <v>240</v>
      </c>
      <c r="P1040" s="59">
        <v>40</v>
      </c>
      <c r="Q1040" s="59">
        <f t="shared" ref="Q1040:Q1055" si="176">695-R1040-O1040-P1040</f>
        <v>315</v>
      </c>
      <c r="R1040" s="59">
        <f t="shared" ref="R1040:R1055" si="177">200-J1040</f>
        <v>100</v>
      </c>
      <c r="S1040" s="56">
        <f t="shared" ref="S1040:S1055" si="178">SUM(O1040:R1040)</f>
        <v>695</v>
      </c>
      <c r="T1040" s="56">
        <f>0</f>
        <v>0</v>
      </c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</row>
    <row r="1041" spans="1:30" ht="15.75" x14ac:dyDescent="0.25">
      <c r="A1041" s="13">
        <v>72989</v>
      </c>
      <c r="B1041" s="67">
        <f t="shared" si="174"/>
        <v>31</v>
      </c>
      <c r="C1041" s="56">
        <f>131.881</f>
        <v>131.881</v>
      </c>
      <c r="D1041" s="56">
        <f>277.167</f>
        <v>277.16699999999997</v>
      </c>
      <c r="E1041" s="64">
        <f>79.08</f>
        <v>79.08</v>
      </c>
      <c r="F1041" s="56">
        <f>350.872-40-25-60-100</f>
        <v>125.87200000000001</v>
      </c>
      <c r="G1041" s="59">
        <v>40</v>
      </c>
      <c r="H1041" s="56">
        <f t="shared" si="173"/>
        <v>185</v>
      </c>
      <c r="I1041" s="56">
        <f t="shared" si="170"/>
        <v>0</v>
      </c>
      <c r="J1041" s="59">
        <v>100</v>
      </c>
      <c r="K1041" s="59">
        <v>300</v>
      </c>
      <c r="L1041" s="56">
        <f t="shared" si="175"/>
        <v>1239</v>
      </c>
      <c r="M1041" s="66">
        <v>600</v>
      </c>
      <c r="N1041" s="56">
        <f>75</f>
        <v>75</v>
      </c>
      <c r="O1041" s="59">
        <v>240</v>
      </c>
      <c r="P1041" s="59">
        <v>40</v>
      </c>
      <c r="Q1041" s="59">
        <f t="shared" si="176"/>
        <v>315</v>
      </c>
      <c r="R1041" s="59">
        <f t="shared" si="177"/>
        <v>100</v>
      </c>
      <c r="S1041" s="56">
        <f t="shared" si="178"/>
        <v>695</v>
      </c>
      <c r="T1041" s="56">
        <f>0</f>
        <v>0</v>
      </c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</row>
    <row r="1042" spans="1:30" ht="15.75" x14ac:dyDescent="0.25">
      <c r="A1042" s="13">
        <v>73019</v>
      </c>
      <c r="B1042" s="67">
        <f t="shared" si="174"/>
        <v>30</v>
      </c>
      <c r="C1042" s="56">
        <f>122.58</f>
        <v>122.58</v>
      </c>
      <c r="D1042" s="56">
        <f>297.941</f>
        <v>297.94099999999997</v>
      </c>
      <c r="E1042" s="64">
        <f>89.177</f>
        <v>89.177000000000007</v>
      </c>
      <c r="F1042" s="56">
        <f>240.302-40-60-100</f>
        <v>40.301999999999992</v>
      </c>
      <c r="G1042" s="59">
        <v>40</v>
      </c>
      <c r="H1042" s="56">
        <f>60+100</f>
        <v>160</v>
      </c>
      <c r="I1042" s="56">
        <f t="shared" si="170"/>
        <v>0</v>
      </c>
      <c r="J1042" s="59">
        <v>100</v>
      </c>
      <c r="K1042" s="59">
        <v>300</v>
      </c>
      <c r="L1042" s="56">
        <f t="shared" si="175"/>
        <v>1150</v>
      </c>
      <c r="M1042" s="66">
        <v>600</v>
      </c>
      <c r="N1042" s="56">
        <f>100</f>
        <v>100</v>
      </c>
      <c r="O1042" s="59">
        <v>240</v>
      </c>
      <c r="P1042" s="59">
        <v>40</v>
      </c>
      <c r="Q1042" s="59">
        <f t="shared" si="176"/>
        <v>315</v>
      </c>
      <c r="R1042" s="59">
        <f t="shared" si="177"/>
        <v>100</v>
      </c>
      <c r="S1042" s="56">
        <f t="shared" si="178"/>
        <v>695</v>
      </c>
      <c r="T1042" s="56">
        <f>50</f>
        <v>50</v>
      </c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</row>
    <row r="1043" spans="1:30" ht="15.75" x14ac:dyDescent="0.25">
      <c r="A1043" s="13">
        <v>73050</v>
      </c>
      <c r="B1043" s="67">
        <f t="shared" si="174"/>
        <v>31</v>
      </c>
      <c r="C1043" s="56">
        <f>122.58</f>
        <v>122.58</v>
      </c>
      <c r="D1043" s="56">
        <f>297.941</f>
        <v>297.94099999999997</v>
      </c>
      <c r="E1043" s="64">
        <f>89.177</f>
        <v>89.177000000000007</v>
      </c>
      <c r="F1043" s="56">
        <f>240.302-40-60-100</f>
        <v>40.301999999999992</v>
      </c>
      <c r="G1043" s="59">
        <v>40</v>
      </c>
      <c r="H1043" s="56">
        <f>60+100</f>
        <v>160</v>
      </c>
      <c r="I1043" s="56">
        <f t="shared" si="170"/>
        <v>0</v>
      </c>
      <c r="J1043" s="59">
        <v>100</v>
      </c>
      <c r="K1043" s="59">
        <v>300</v>
      </c>
      <c r="L1043" s="56">
        <f t="shared" si="175"/>
        <v>1150</v>
      </c>
      <c r="M1043" s="66">
        <v>600</v>
      </c>
      <c r="N1043" s="56">
        <f>100</f>
        <v>100</v>
      </c>
      <c r="O1043" s="59">
        <v>240</v>
      </c>
      <c r="P1043" s="59">
        <v>40</v>
      </c>
      <c r="Q1043" s="59">
        <f t="shared" si="176"/>
        <v>315</v>
      </c>
      <c r="R1043" s="59">
        <f t="shared" si="177"/>
        <v>100</v>
      </c>
      <c r="S1043" s="56">
        <f t="shared" si="178"/>
        <v>695</v>
      </c>
      <c r="T1043" s="56">
        <f>50</f>
        <v>50</v>
      </c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</row>
    <row r="1044" spans="1:30" ht="15.75" x14ac:dyDescent="0.25">
      <c r="A1044" s="13">
        <v>73081</v>
      </c>
      <c r="B1044" s="67">
        <f t="shared" si="174"/>
        <v>31</v>
      </c>
      <c r="C1044" s="56">
        <f>122.58</f>
        <v>122.58</v>
      </c>
      <c r="D1044" s="56">
        <f>297.941</f>
        <v>297.94099999999997</v>
      </c>
      <c r="E1044" s="64">
        <f>89.177</f>
        <v>89.177000000000007</v>
      </c>
      <c r="F1044" s="56">
        <f>240.302-40-60-100</f>
        <v>40.301999999999992</v>
      </c>
      <c r="G1044" s="59">
        <v>40</v>
      </c>
      <c r="H1044" s="56">
        <f>60+100</f>
        <v>160</v>
      </c>
      <c r="I1044" s="56">
        <f t="shared" si="170"/>
        <v>0</v>
      </c>
      <c r="J1044" s="59">
        <v>100</v>
      </c>
      <c r="K1044" s="59">
        <v>300</v>
      </c>
      <c r="L1044" s="56">
        <f t="shared" si="175"/>
        <v>1150</v>
      </c>
      <c r="M1044" s="66">
        <v>600</v>
      </c>
      <c r="N1044" s="56">
        <f>100</f>
        <v>100</v>
      </c>
      <c r="O1044" s="59">
        <v>240</v>
      </c>
      <c r="P1044" s="59">
        <v>40</v>
      </c>
      <c r="Q1044" s="59">
        <f t="shared" si="176"/>
        <v>315</v>
      </c>
      <c r="R1044" s="59">
        <f t="shared" si="177"/>
        <v>100</v>
      </c>
      <c r="S1044" s="56">
        <f t="shared" si="178"/>
        <v>695</v>
      </c>
      <c r="T1044" s="56">
        <f>50</f>
        <v>50</v>
      </c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</row>
    <row r="1045" spans="1:30" ht="15.75" x14ac:dyDescent="0.25">
      <c r="A1045" s="13">
        <v>73109</v>
      </c>
      <c r="B1045" s="67">
        <f t="shared" si="174"/>
        <v>28</v>
      </c>
      <c r="C1045" s="56">
        <f>122.58</f>
        <v>122.58</v>
      </c>
      <c r="D1045" s="56">
        <f>297.941</f>
        <v>297.94099999999997</v>
      </c>
      <c r="E1045" s="64">
        <f>89.177</f>
        <v>89.177000000000007</v>
      </c>
      <c r="F1045" s="56">
        <f>240.302-40-60-100</f>
        <v>40.301999999999992</v>
      </c>
      <c r="G1045" s="59">
        <v>40</v>
      </c>
      <c r="H1045" s="56">
        <f>60+100</f>
        <v>160</v>
      </c>
      <c r="I1045" s="56">
        <f t="shared" si="170"/>
        <v>0</v>
      </c>
      <c r="J1045" s="59">
        <v>100</v>
      </c>
      <c r="K1045" s="59">
        <v>300</v>
      </c>
      <c r="L1045" s="56">
        <f t="shared" si="175"/>
        <v>1150</v>
      </c>
      <c r="M1045" s="66">
        <v>600</v>
      </c>
      <c r="N1045" s="56">
        <f>100</f>
        <v>100</v>
      </c>
      <c r="O1045" s="59">
        <v>240</v>
      </c>
      <c r="P1045" s="59">
        <v>40</v>
      </c>
      <c r="Q1045" s="59">
        <f t="shared" si="176"/>
        <v>315</v>
      </c>
      <c r="R1045" s="59">
        <f t="shared" si="177"/>
        <v>100</v>
      </c>
      <c r="S1045" s="56">
        <f t="shared" si="178"/>
        <v>695</v>
      </c>
      <c r="T1045" s="56">
        <f>50</f>
        <v>50</v>
      </c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</row>
    <row r="1046" spans="1:30" ht="15.75" x14ac:dyDescent="0.25">
      <c r="A1046" s="13">
        <v>73140</v>
      </c>
      <c r="B1046" s="67">
        <f t="shared" si="174"/>
        <v>31</v>
      </c>
      <c r="C1046" s="56">
        <f>122.58</f>
        <v>122.58</v>
      </c>
      <c r="D1046" s="56">
        <f>297.941</f>
        <v>297.94099999999997</v>
      </c>
      <c r="E1046" s="64">
        <f>89.177</f>
        <v>89.177000000000007</v>
      </c>
      <c r="F1046" s="56">
        <f>240.302-40-60-100</f>
        <v>40.301999999999992</v>
      </c>
      <c r="G1046" s="59">
        <v>40</v>
      </c>
      <c r="H1046" s="56">
        <f>60+100</f>
        <v>160</v>
      </c>
      <c r="I1046" s="56">
        <f t="shared" si="170"/>
        <v>0</v>
      </c>
      <c r="J1046" s="59">
        <v>100</v>
      </c>
      <c r="K1046" s="59">
        <v>300</v>
      </c>
      <c r="L1046" s="56">
        <f t="shared" si="175"/>
        <v>1150</v>
      </c>
      <c r="M1046" s="66">
        <v>600</v>
      </c>
      <c r="N1046" s="56">
        <f>100</f>
        <v>100</v>
      </c>
      <c r="O1046" s="59">
        <v>240</v>
      </c>
      <c r="P1046" s="59">
        <v>40</v>
      </c>
      <c r="Q1046" s="59">
        <f t="shared" si="176"/>
        <v>315</v>
      </c>
      <c r="R1046" s="59">
        <f t="shared" si="177"/>
        <v>100</v>
      </c>
      <c r="S1046" s="56">
        <f t="shared" si="178"/>
        <v>695</v>
      </c>
      <c r="T1046" s="56">
        <f>50</f>
        <v>50</v>
      </c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</row>
    <row r="1047" spans="1:30" ht="15.75" x14ac:dyDescent="0.25">
      <c r="A1047" s="13">
        <v>73170</v>
      </c>
      <c r="B1047" s="67">
        <f t="shared" si="174"/>
        <v>30</v>
      </c>
      <c r="C1047" s="56">
        <f>141.293</f>
        <v>141.29300000000001</v>
      </c>
      <c r="D1047" s="56">
        <f>267.993</f>
        <v>267.99299999999999</v>
      </c>
      <c r="E1047" s="64">
        <f>115.016</f>
        <v>115.01600000000001</v>
      </c>
      <c r="F1047" s="56">
        <f>314.698-40-25-60-100</f>
        <v>89.697999999999979</v>
      </c>
      <c r="G1047" s="59">
        <v>40</v>
      </c>
      <c r="H1047" s="56">
        <f t="shared" ref="H1047:H1053" si="179">25+60+100</f>
        <v>185</v>
      </c>
      <c r="I1047" s="56">
        <f t="shared" si="170"/>
        <v>0</v>
      </c>
      <c r="J1047" s="59">
        <v>100</v>
      </c>
      <c r="K1047" s="59">
        <v>300</v>
      </c>
      <c r="L1047" s="56">
        <f t="shared" si="175"/>
        <v>1239</v>
      </c>
      <c r="M1047" s="66">
        <v>600</v>
      </c>
      <c r="N1047" s="56">
        <f>100</f>
        <v>100</v>
      </c>
      <c r="O1047" s="59">
        <v>240</v>
      </c>
      <c r="P1047" s="59">
        <v>40</v>
      </c>
      <c r="Q1047" s="59">
        <f t="shared" si="176"/>
        <v>315</v>
      </c>
      <c r="R1047" s="59">
        <f t="shared" si="177"/>
        <v>100</v>
      </c>
      <c r="S1047" s="56">
        <f t="shared" si="178"/>
        <v>695</v>
      </c>
      <c r="T1047" s="56">
        <f>50</f>
        <v>50</v>
      </c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</row>
    <row r="1048" spans="1:30" ht="15.75" x14ac:dyDescent="0.25">
      <c r="A1048" s="13">
        <v>73201</v>
      </c>
      <c r="B1048" s="67">
        <f t="shared" si="174"/>
        <v>31</v>
      </c>
      <c r="C1048" s="56">
        <f>194.205</f>
        <v>194.20500000000001</v>
      </c>
      <c r="D1048" s="56">
        <f>267.466</f>
        <v>267.46600000000001</v>
      </c>
      <c r="E1048" s="64">
        <f>133.845</f>
        <v>133.845</v>
      </c>
      <c r="F1048" s="56">
        <f>278.484-40-25-60-100</f>
        <v>53.48399999999998</v>
      </c>
      <c r="G1048" s="59">
        <v>40</v>
      </c>
      <c r="H1048" s="56">
        <f t="shared" si="179"/>
        <v>185</v>
      </c>
      <c r="I1048" s="56">
        <f t="shared" si="170"/>
        <v>0</v>
      </c>
      <c r="J1048" s="59">
        <v>100</v>
      </c>
      <c r="K1048" s="59">
        <v>300</v>
      </c>
      <c r="L1048" s="56">
        <f t="shared" si="175"/>
        <v>1274</v>
      </c>
      <c r="M1048" s="66">
        <v>600</v>
      </c>
      <c r="N1048" s="56">
        <f>75</f>
        <v>75</v>
      </c>
      <c r="O1048" s="59">
        <v>240</v>
      </c>
      <c r="P1048" s="59">
        <v>40</v>
      </c>
      <c r="Q1048" s="59">
        <f t="shared" si="176"/>
        <v>315</v>
      </c>
      <c r="R1048" s="59">
        <f t="shared" si="177"/>
        <v>100</v>
      </c>
      <c r="S1048" s="56">
        <f t="shared" si="178"/>
        <v>695</v>
      </c>
      <c r="T1048" s="56">
        <f>50</f>
        <v>50</v>
      </c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</row>
    <row r="1049" spans="1:30" ht="15.75" x14ac:dyDescent="0.25">
      <c r="A1049" s="13">
        <v>73231</v>
      </c>
      <c r="B1049" s="67">
        <f t="shared" si="174"/>
        <v>30</v>
      </c>
      <c r="C1049" s="56">
        <f>194.205</f>
        <v>194.20500000000001</v>
      </c>
      <c r="D1049" s="56">
        <f>267.466</f>
        <v>267.46600000000001</v>
      </c>
      <c r="E1049" s="64">
        <f>133.845</f>
        <v>133.845</v>
      </c>
      <c r="F1049" s="56">
        <f>278.484-40-25-60-100</f>
        <v>53.48399999999998</v>
      </c>
      <c r="G1049" s="59">
        <v>40</v>
      </c>
      <c r="H1049" s="56">
        <f t="shared" si="179"/>
        <v>185</v>
      </c>
      <c r="I1049" s="56">
        <f t="shared" si="170"/>
        <v>0</v>
      </c>
      <c r="J1049" s="59">
        <v>100</v>
      </c>
      <c r="K1049" s="59">
        <v>300</v>
      </c>
      <c r="L1049" s="56">
        <f t="shared" si="175"/>
        <v>1274</v>
      </c>
      <c r="M1049" s="66">
        <v>600</v>
      </c>
      <c r="N1049" s="56">
        <f>30</f>
        <v>30</v>
      </c>
      <c r="O1049" s="59">
        <v>240</v>
      </c>
      <c r="P1049" s="59">
        <v>40</v>
      </c>
      <c r="Q1049" s="59">
        <f t="shared" si="176"/>
        <v>315</v>
      </c>
      <c r="R1049" s="59">
        <f t="shared" si="177"/>
        <v>100</v>
      </c>
      <c r="S1049" s="56">
        <f t="shared" si="178"/>
        <v>695</v>
      </c>
      <c r="T1049" s="56">
        <f>50</f>
        <v>50</v>
      </c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</row>
    <row r="1050" spans="1:30" ht="15.75" x14ac:dyDescent="0.25">
      <c r="A1050" s="13">
        <v>73262</v>
      </c>
      <c r="B1050" s="67">
        <f t="shared" si="174"/>
        <v>31</v>
      </c>
      <c r="C1050" s="56">
        <f>194.205</f>
        <v>194.20500000000001</v>
      </c>
      <c r="D1050" s="56">
        <f>267.466</f>
        <v>267.46600000000001</v>
      </c>
      <c r="E1050" s="64">
        <f>133.845</f>
        <v>133.845</v>
      </c>
      <c r="F1050" s="56">
        <f>278.484-40-25-60-100</f>
        <v>53.48399999999998</v>
      </c>
      <c r="G1050" s="59">
        <v>40</v>
      </c>
      <c r="H1050" s="56">
        <f t="shared" si="179"/>
        <v>185</v>
      </c>
      <c r="I1050" s="56">
        <f t="shared" si="170"/>
        <v>0</v>
      </c>
      <c r="J1050" s="59">
        <v>100</v>
      </c>
      <c r="K1050" s="59">
        <v>300</v>
      </c>
      <c r="L1050" s="56">
        <f t="shared" si="175"/>
        <v>1274</v>
      </c>
      <c r="M1050" s="66">
        <v>600</v>
      </c>
      <c r="N1050" s="56">
        <f>30</f>
        <v>30</v>
      </c>
      <c r="O1050" s="59">
        <v>240</v>
      </c>
      <c r="P1050" s="59">
        <v>40</v>
      </c>
      <c r="Q1050" s="59">
        <f t="shared" si="176"/>
        <v>315</v>
      </c>
      <c r="R1050" s="59">
        <f t="shared" si="177"/>
        <v>100</v>
      </c>
      <c r="S1050" s="56">
        <f t="shared" si="178"/>
        <v>695</v>
      </c>
      <c r="T1050" s="56">
        <f>0</f>
        <v>0</v>
      </c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</row>
    <row r="1051" spans="1:30" ht="15.75" x14ac:dyDescent="0.25">
      <c r="A1051" s="13">
        <v>73293</v>
      </c>
      <c r="B1051" s="67">
        <f t="shared" si="174"/>
        <v>31</v>
      </c>
      <c r="C1051" s="56">
        <f>194.205</f>
        <v>194.20500000000001</v>
      </c>
      <c r="D1051" s="56">
        <f>267.466</f>
        <v>267.46600000000001</v>
      </c>
      <c r="E1051" s="64">
        <f>133.845</f>
        <v>133.845</v>
      </c>
      <c r="F1051" s="56">
        <f>278.484-40-25-60-100</f>
        <v>53.48399999999998</v>
      </c>
      <c r="G1051" s="59">
        <v>40</v>
      </c>
      <c r="H1051" s="56">
        <f t="shared" si="179"/>
        <v>185</v>
      </c>
      <c r="I1051" s="56">
        <f t="shared" si="170"/>
        <v>0</v>
      </c>
      <c r="J1051" s="59">
        <v>100</v>
      </c>
      <c r="K1051" s="59">
        <v>300</v>
      </c>
      <c r="L1051" s="56">
        <f t="shared" si="175"/>
        <v>1274</v>
      </c>
      <c r="M1051" s="66">
        <v>600</v>
      </c>
      <c r="N1051" s="56">
        <f>30</f>
        <v>30</v>
      </c>
      <c r="O1051" s="59">
        <v>240</v>
      </c>
      <c r="P1051" s="59">
        <v>40</v>
      </c>
      <c r="Q1051" s="59">
        <f t="shared" si="176"/>
        <v>315</v>
      </c>
      <c r="R1051" s="59">
        <f t="shared" si="177"/>
        <v>100</v>
      </c>
      <c r="S1051" s="56">
        <f t="shared" si="178"/>
        <v>695</v>
      </c>
      <c r="T1051" s="56">
        <f>0</f>
        <v>0</v>
      </c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</row>
    <row r="1052" spans="1:30" ht="15.75" x14ac:dyDescent="0.25">
      <c r="A1052" s="13">
        <v>73323</v>
      </c>
      <c r="B1052" s="67">
        <f t="shared" si="174"/>
        <v>30</v>
      </c>
      <c r="C1052" s="56">
        <f>194.205</f>
        <v>194.20500000000001</v>
      </c>
      <c r="D1052" s="56">
        <f>267.466</f>
        <v>267.46600000000001</v>
      </c>
      <c r="E1052" s="64">
        <f>133.845</f>
        <v>133.845</v>
      </c>
      <c r="F1052" s="56">
        <f>278.484-40-25-60-100</f>
        <v>53.48399999999998</v>
      </c>
      <c r="G1052" s="59">
        <v>40</v>
      </c>
      <c r="H1052" s="56">
        <f t="shared" si="179"/>
        <v>185</v>
      </c>
      <c r="I1052" s="56">
        <f t="shared" si="170"/>
        <v>0</v>
      </c>
      <c r="J1052" s="59">
        <v>100</v>
      </c>
      <c r="K1052" s="59">
        <v>300</v>
      </c>
      <c r="L1052" s="56">
        <f t="shared" si="175"/>
        <v>1274</v>
      </c>
      <c r="M1052" s="66">
        <v>600</v>
      </c>
      <c r="N1052" s="56">
        <f>30</f>
        <v>30</v>
      </c>
      <c r="O1052" s="59">
        <v>240</v>
      </c>
      <c r="P1052" s="59">
        <v>40</v>
      </c>
      <c r="Q1052" s="59">
        <f t="shared" si="176"/>
        <v>315</v>
      </c>
      <c r="R1052" s="59">
        <f t="shared" si="177"/>
        <v>100</v>
      </c>
      <c r="S1052" s="56">
        <f t="shared" si="178"/>
        <v>695</v>
      </c>
      <c r="T1052" s="56">
        <f>0</f>
        <v>0</v>
      </c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</row>
    <row r="1053" spans="1:30" ht="15.75" x14ac:dyDescent="0.25">
      <c r="A1053" s="13">
        <v>73354</v>
      </c>
      <c r="B1053" s="67">
        <f t="shared" si="174"/>
        <v>31</v>
      </c>
      <c r="C1053" s="56">
        <f>131.881</f>
        <v>131.881</v>
      </c>
      <c r="D1053" s="56">
        <f>277.167</f>
        <v>277.16699999999997</v>
      </c>
      <c r="E1053" s="64">
        <f>79.08</f>
        <v>79.08</v>
      </c>
      <c r="F1053" s="56">
        <f>350.872-40-25-60-100</f>
        <v>125.87200000000001</v>
      </c>
      <c r="G1053" s="59">
        <v>40</v>
      </c>
      <c r="H1053" s="56">
        <f t="shared" si="179"/>
        <v>185</v>
      </c>
      <c r="I1053" s="56">
        <f t="shared" si="170"/>
        <v>0</v>
      </c>
      <c r="J1053" s="59">
        <v>100</v>
      </c>
      <c r="K1053" s="59">
        <v>300</v>
      </c>
      <c r="L1053" s="56">
        <f t="shared" si="175"/>
        <v>1239</v>
      </c>
      <c r="M1053" s="66">
        <v>600</v>
      </c>
      <c r="N1053" s="56">
        <f>75</f>
        <v>75</v>
      </c>
      <c r="O1053" s="59">
        <v>240</v>
      </c>
      <c r="P1053" s="59">
        <v>40</v>
      </c>
      <c r="Q1053" s="59">
        <f t="shared" si="176"/>
        <v>315</v>
      </c>
      <c r="R1053" s="59">
        <f t="shared" si="177"/>
        <v>100</v>
      </c>
      <c r="S1053" s="56">
        <f t="shared" si="178"/>
        <v>695</v>
      </c>
      <c r="T1053" s="56">
        <f>0</f>
        <v>0</v>
      </c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</row>
    <row r="1054" spans="1:30" ht="15.75" x14ac:dyDescent="0.25">
      <c r="A1054" s="13">
        <v>73384</v>
      </c>
      <c r="B1054" s="67">
        <f t="shared" si="174"/>
        <v>30</v>
      </c>
      <c r="C1054" s="56">
        <f>122.58</f>
        <v>122.58</v>
      </c>
      <c r="D1054" s="56">
        <f>297.941</f>
        <v>297.94099999999997</v>
      </c>
      <c r="E1054" s="64">
        <f>89.177</f>
        <v>89.177000000000007</v>
      </c>
      <c r="F1054" s="56">
        <f>240.302-40-60-100</f>
        <v>40.301999999999992</v>
      </c>
      <c r="G1054" s="59">
        <v>40</v>
      </c>
      <c r="H1054" s="56">
        <f>60+100</f>
        <v>160</v>
      </c>
      <c r="I1054" s="56">
        <f t="shared" si="170"/>
        <v>0</v>
      </c>
      <c r="J1054" s="59">
        <v>100</v>
      </c>
      <c r="K1054" s="59">
        <v>300</v>
      </c>
      <c r="L1054" s="56">
        <f t="shared" si="175"/>
        <v>1150</v>
      </c>
      <c r="M1054" s="66">
        <v>600</v>
      </c>
      <c r="N1054" s="56">
        <f>100</f>
        <v>100</v>
      </c>
      <c r="O1054" s="59">
        <v>240</v>
      </c>
      <c r="P1054" s="59">
        <v>40</v>
      </c>
      <c r="Q1054" s="59">
        <f t="shared" si="176"/>
        <v>315</v>
      </c>
      <c r="R1054" s="59">
        <f t="shared" si="177"/>
        <v>100</v>
      </c>
      <c r="S1054" s="56">
        <f t="shared" si="178"/>
        <v>695</v>
      </c>
      <c r="T1054" s="56">
        <f>50</f>
        <v>50</v>
      </c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</row>
    <row r="1055" spans="1:30" ht="15.75" x14ac:dyDescent="0.25">
      <c r="A1055" s="13">
        <v>73415</v>
      </c>
      <c r="B1055" s="67">
        <f t="shared" si="174"/>
        <v>31</v>
      </c>
      <c r="C1055" s="56">
        <f>122.58</f>
        <v>122.58</v>
      </c>
      <c r="D1055" s="56">
        <f>297.941</f>
        <v>297.94099999999997</v>
      </c>
      <c r="E1055" s="64">
        <f>89.177</f>
        <v>89.177000000000007</v>
      </c>
      <c r="F1055" s="56">
        <f>240.302-40-60-100</f>
        <v>40.301999999999992</v>
      </c>
      <c r="G1055" s="59">
        <v>40</v>
      </c>
      <c r="H1055" s="56">
        <f>60+100</f>
        <v>160</v>
      </c>
      <c r="I1055" s="56">
        <f t="shared" si="170"/>
        <v>0</v>
      </c>
      <c r="J1055" s="59">
        <v>100</v>
      </c>
      <c r="K1055" s="59">
        <v>300</v>
      </c>
      <c r="L1055" s="56">
        <f t="shared" si="175"/>
        <v>1150</v>
      </c>
      <c r="M1055" s="66">
        <v>600</v>
      </c>
      <c r="N1055" s="56">
        <f>100</f>
        <v>100</v>
      </c>
      <c r="O1055" s="59">
        <v>240</v>
      </c>
      <c r="P1055" s="59">
        <v>40</v>
      </c>
      <c r="Q1055" s="59">
        <f t="shared" si="176"/>
        <v>315</v>
      </c>
      <c r="R1055" s="59">
        <f t="shared" si="177"/>
        <v>100</v>
      </c>
      <c r="S1055" s="56">
        <f t="shared" si="178"/>
        <v>695</v>
      </c>
      <c r="T1055" s="56">
        <f>50</f>
        <v>50</v>
      </c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</row>
    <row r="1056" spans="1:30" ht="15" x14ac:dyDescent="0.2">
      <c r="A1056" s="12"/>
      <c r="B1056" s="65"/>
      <c r="C1056" s="56"/>
      <c r="D1056" s="56"/>
      <c r="E1056" s="64"/>
      <c r="F1056" s="56"/>
      <c r="G1056" s="56"/>
      <c r="H1056" s="56"/>
      <c r="I1056" s="56"/>
      <c r="J1056" s="56"/>
      <c r="K1056" s="56"/>
      <c r="L1056" s="56"/>
      <c r="M1056" s="56"/>
      <c r="N1056" s="56"/>
      <c r="O1056" s="59"/>
      <c r="P1056" s="59"/>
      <c r="Q1056" s="59"/>
      <c r="R1056" s="59"/>
      <c r="S1056" s="56"/>
      <c r="T1056" s="56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</row>
    <row r="1057" spans="1:30" ht="15.75" x14ac:dyDescent="0.25">
      <c r="A1057" s="11">
        <v>2014</v>
      </c>
      <c r="B1057" s="11">
        <f t="shared" ref="B1057:B1088" si="180">DATE(A1057+1,1,1)-DATE(A1057,1,1)</f>
        <v>365</v>
      </c>
      <c r="C1057" s="60">
        <f t="shared" ref="C1057:L1057" si="181">AVERAGE(C12:C23)</f>
        <v>154.75825</v>
      </c>
      <c r="D1057" s="60">
        <f t="shared" si="181"/>
        <v>281.0162499999999</v>
      </c>
      <c r="E1057" s="60">
        <f t="shared" si="181"/>
        <v>109.1005</v>
      </c>
      <c r="F1057" s="60">
        <f t="shared" si="181"/>
        <v>217.04166666666666</v>
      </c>
      <c r="G1057" s="60">
        <f t="shared" si="181"/>
        <v>40</v>
      </c>
      <c r="H1057" s="60">
        <f t="shared" si="181"/>
        <v>14.583333333333334</v>
      </c>
      <c r="I1057" s="60">
        <f t="shared" si="181"/>
        <v>20.833333333333332</v>
      </c>
      <c r="J1057" s="60">
        <f t="shared" si="181"/>
        <v>100</v>
      </c>
      <c r="K1057" s="60">
        <f t="shared" si="181"/>
        <v>300</v>
      </c>
      <c r="L1057" s="60">
        <f t="shared" si="181"/>
        <v>1237.3333333333333</v>
      </c>
      <c r="M1057" s="63"/>
      <c r="N1057" s="60">
        <f t="shared" ref="N1057:T1057" si="182">AVERAGE(N12:N23)</f>
        <v>72.5</v>
      </c>
      <c r="O1057" s="61">
        <f t="shared" si="182"/>
        <v>240</v>
      </c>
      <c r="P1057" s="61">
        <f t="shared" si="182"/>
        <v>70</v>
      </c>
      <c r="Q1057" s="61">
        <f t="shared" si="182"/>
        <v>285</v>
      </c>
      <c r="R1057" s="61">
        <f t="shared" si="182"/>
        <v>100</v>
      </c>
      <c r="S1057" s="60">
        <f t="shared" si="182"/>
        <v>695</v>
      </c>
      <c r="T1057" s="60">
        <f t="shared" si="182"/>
        <v>33.333333333333336</v>
      </c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</row>
    <row r="1058" spans="1:30" ht="15.75" x14ac:dyDescent="0.25">
      <c r="A1058" s="11">
        <v>2015</v>
      </c>
      <c r="B1058" s="11">
        <f t="shared" si="180"/>
        <v>365</v>
      </c>
      <c r="C1058" s="60">
        <f t="shared" ref="C1058:L1058" si="183">AVERAGE(C24:C35)</f>
        <v>154.75825</v>
      </c>
      <c r="D1058" s="60">
        <f t="shared" si="183"/>
        <v>281.0162499999999</v>
      </c>
      <c r="E1058" s="60">
        <f t="shared" si="183"/>
        <v>109.1005</v>
      </c>
      <c r="F1058" s="60">
        <f t="shared" si="183"/>
        <v>97.041666666666629</v>
      </c>
      <c r="G1058" s="60">
        <f t="shared" si="183"/>
        <v>40</v>
      </c>
      <c r="H1058" s="60">
        <f t="shared" si="183"/>
        <v>134.58333333333334</v>
      </c>
      <c r="I1058" s="60">
        <f t="shared" si="183"/>
        <v>20.833333333333332</v>
      </c>
      <c r="J1058" s="60">
        <f t="shared" si="183"/>
        <v>100</v>
      </c>
      <c r="K1058" s="60">
        <f t="shared" si="183"/>
        <v>300</v>
      </c>
      <c r="L1058" s="60">
        <f t="shared" si="183"/>
        <v>1237.3333333333333</v>
      </c>
      <c r="M1058" s="63"/>
      <c r="N1058" s="60">
        <f t="shared" ref="N1058:T1058" si="184">AVERAGE(N24:N35)</f>
        <v>72.5</v>
      </c>
      <c r="O1058" s="61">
        <f t="shared" si="184"/>
        <v>240</v>
      </c>
      <c r="P1058" s="61">
        <f t="shared" si="184"/>
        <v>100</v>
      </c>
      <c r="Q1058" s="61">
        <f t="shared" si="184"/>
        <v>255</v>
      </c>
      <c r="R1058" s="61">
        <f t="shared" si="184"/>
        <v>100</v>
      </c>
      <c r="S1058" s="60">
        <f t="shared" si="184"/>
        <v>695</v>
      </c>
      <c r="T1058" s="60">
        <f t="shared" si="184"/>
        <v>33.333333333333336</v>
      </c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</row>
    <row r="1059" spans="1:30" ht="15.75" x14ac:dyDescent="0.25">
      <c r="A1059" s="11">
        <v>2016</v>
      </c>
      <c r="B1059" s="11">
        <f t="shared" si="180"/>
        <v>366</v>
      </c>
      <c r="C1059" s="60">
        <f t="shared" ref="C1059:L1059" si="185">AVERAGE(C36:C47)</f>
        <v>154.75825</v>
      </c>
      <c r="D1059" s="60">
        <f t="shared" si="185"/>
        <v>281.0162499999999</v>
      </c>
      <c r="E1059" s="60">
        <f t="shared" si="185"/>
        <v>109.1005</v>
      </c>
      <c r="F1059" s="60">
        <f t="shared" si="185"/>
        <v>57.041666666666664</v>
      </c>
      <c r="G1059" s="60">
        <f t="shared" si="185"/>
        <v>40</v>
      </c>
      <c r="H1059" s="60">
        <f t="shared" si="185"/>
        <v>174.58333333333334</v>
      </c>
      <c r="I1059" s="60">
        <f t="shared" si="185"/>
        <v>0</v>
      </c>
      <c r="J1059" s="60">
        <f t="shared" si="185"/>
        <v>100</v>
      </c>
      <c r="K1059" s="60">
        <f t="shared" si="185"/>
        <v>300</v>
      </c>
      <c r="L1059" s="60">
        <f t="shared" si="185"/>
        <v>1216.5</v>
      </c>
      <c r="M1059" s="63"/>
      <c r="N1059" s="60">
        <f t="shared" ref="N1059:T1059" si="186">AVERAGE(N36:N47)</f>
        <v>72.5</v>
      </c>
      <c r="O1059" s="61">
        <f t="shared" si="186"/>
        <v>240</v>
      </c>
      <c r="P1059" s="61">
        <f t="shared" si="186"/>
        <v>110</v>
      </c>
      <c r="Q1059" s="61">
        <f t="shared" si="186"/>
        <v>245</v>
      </c>
      <c r="R1059" s="61">
        <f t="shared" si="186"/>
        <v>100</v>
      </c>
      <c r="S1059" s="60">
        <f t="shared" si="186"/>
        <v>695</v>
      </c>
      <c r="T1059" s="60">
        <f t="shared" si="186"/>
        <v>33.333333333333336</v>
      </c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</row>
    <row r="1060" spans="1:30" ht="15" x14ac:dyDescent="0.2">
      <c r="A1060" s="11">
        <v>2017</v>
      </c>
      <c r="B1060" s="11">
        <f t="shared" si="180"/>
        <v>365</v>
      </c>
      <c r="C1060" s="60">
        <f t="shared" ref="C1060:T1060" si="187">AVERAGE(C48:C59)</f>
        <v>154.75825</v>
      </c>
      <c r="D1060" s="60">
        <f t="shared" si="187"/>
        <v>281.0162499999999</v>
      </c>
      <c r="E1060" s="60">
        <f t="shared" si="187"/>
        <v>109.1005</v>
      </c>
      <c r="F1060" s="60">
        <f t="shared" si="187"/>
        <v>57.041666666666664</v>
      </c>
      <c r="G1060" s="60">
        <f t="shared" si="187"/>
        <v>40</v>
      </c>
      <c r="H1060" s="60">
        <f t="shared" si="187"/>
        <v>174.58333333333334</v>
      </c>
      <c r="I1060" s="60">
        <f t="shared" si="187"/>
        <v>0</v>
      </c>
      <c r="J1060" s="60">
        <f t="shared" si="187"/>
        <v>100</v>
      </c>
      <c r="K1060" s="60">
        <f t="shared" si="187"/>
        <v>300</v>
      </c>
      <c r="L1060" s="60">
        <f t="shared" si="187"/>
        <v>1216.5</v>
      </c>
      <c r="M1060" s="62">
        <f t="shared" si="187"/>
        <v>400</v>
      </c>
      <c r="N1060" s="60">
        <f t="shared" si="187"/>
        <v>72.5</v>
      </c>
      <c r="O1060" s="61">
        <f t="shared" si="187"/>
        <v>240</v>
      </c>
      <c r="P1060" s="61">
        <f t="shared" si="187"/>
        <v>110</v>
      </c>
      <c r="Q1060" s="61">
        <f t="shared" si="187"/>
        <v>245</v>
      </c>
      <c r="R1060" s="61">
        <f t="shared" si="187"/>
        <v>100</v>
      </c>
      <c r="S1060" s="60">
        <f t="shared" si="187"/>
        <v>695</v>
      </c>
      <c r="T1060" s="60">
        <f t="shared" si="187"/>
        <v>33.333333333333336</v>
      </c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</row>
    <row r="1061" spans="1:30" ht="15" x14ac:dyDescent="0.2">
      <c r="A1061" s="11">
        <v>2018</v>
      </c>
      <c r="B1061" s="11">
        <f t="shared" si="180"/>
        <v>365</v>
      </c>
      <c r="C1061" s="60">
        <f t="shared" ref="C1061:T1061" si="188">AVERAGE(C60:C71)</f>
        <v>154.75825</v>
      </c>
      <c r="D1061" s="60">
        <f t="shared" si="188"/>
        <v>281.0162499999999</v>
      </c>
      <c r="E1061" s="60">
        <f t="shared" si="188"/>
        <v>109.1005</v>
      </c>
      <c r="F1061" s="60">
        <f t="shared" si="188"/>
        <v>57.041666666666664</v>
      </c>
      <c r="G1061" s="60">
        <f t="shared" si="188"/>
        <v>40</v>
      </c>
      <c r="H1061" s="60">
        <f t="shared" si="188"/>
        <v>174.58333333333334</v>
      </c>
      <c r="I1061" s="60">
        <f t="shared" si="188"/>
        <v>0</v>
      </c>
      <c r="J1061" s="60">
        <f t="shared" si="188"/>
        <v>100</v>
      </c>
      <c r="K1061" s="60">
        <f t="shared" si="188"/>
        <v>300</v>
      </c>
      <c r="L1061" s="60">
        <f t="shared" si="188"/>
        <v>1216.5</v>
      </c>
      <c r="M1061" s="62">
        <f t="shared" si="188"/>
        <v>400</v>
      </c>
      <c r="N1061" s="60">
        <f t="shared" si="188"/>
        <v>72.5</v>
      </c>
      <c r="O1061" s="61">
        <f t="shared" si="188"/>
        <v>240</v>
      </c>
      <c r="P1061" s="61">
        <f t="shared" si="188"/>
        <v>110</v>
      </c>
      <c r="Q1061" s="61">
        <f t="shared" si="188"/>
        <v>245</v>
      </c>
      <c r="R1061" s="61">
        <f t="shared" si="188"/>
        <v>100</v>
      </c>
      <c r="S1061" s="60">
        <f t="shared" si="188"/>
        <v>695</v>
      </c>
      <c r="T1061" s="60">
        <f t="shared" si="188"/>
        <v>33.333333333333336</v>
      </c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</row>
    <row r="1062" spans="1:30" ht="15" x14ac:dyDescent="0.2">
      <c r="A1062" s="11">
        <v>2019</v>
      </c>
      <c r="B1062" s="11">
        <f t="shared" si="180"/>
        <v>365</v>
      </c>
      <c r="C1062" s="60">
        <f t="shared" ref="C1062:T1062" si="189">AVERAGE(C72:C83)</f>
        <v>154.75825</v>
      </c>
      <c r="D1062" s="60">
        <f t="shared" si="189"/>
        <v>281.0162499999999</v>
      </c>
      <c r="E1062" s="60">
        <f t="shared" si="189"/>
        <v>109.1005</v>
      </c>
      <c r="F1062" s="60">
        <f t="shared" si="189"/>
        <v>57.041666666666664</v>
      </c>
      <c r="G1062" s="60">
        <f t="shared" si="189"/>
        <v>40</v>
      </c>
      <c r="H1062" s="60">
        <f t="shared" si="189"/>
        <v>174.58333333333334</v>
      </c>
      <c r="I1062" s="60">
        <f t="shared" si="189"/>
        <v>0</v>
      </c>
      <c r="J1062" s="60">
        <f t="shared" si="189"/>
        <v>100</v>
      </c>
      <c r="K1062" s="60">
        <f t="shared" si="189"/>
        <v>300</v>
      </c>
      <c r="L1062" s="60">
        <f t="shared" si="189"/>
        <v>1216.5</v>
      </c>
      <c r="M1062" s="62">
        <f t="shared" si="189"/>
        <v>400</v>
      </c>
      <c r="N1062" s="60">
        <f t="shared" si="189"/>
        <v>72.5</v>
      </c>
      <c r="O1062" s="61">
        <f t="shared" si="189"/>
        <v>240</v>
      </c>
      <c r="P1062" s="61">
        <f t="shared" si="189"/>
        <v>110</v>
      </c>
      <c r="Q1062" s="61">
        <f t="shared" si="189"/>
        <v>245</v>
      </c>
      <c r="R1062" s="61">
        <f t="shared" si="189"/>
        <v>100</v>
      </c>
      <c r="S1062" s="60">
        <f t="shared" si="189"/>
        <v>695</v>
      </c>
      <c r="T1062" s="60">
        <f t="shared" si="189"/>
        <v>33.333333333333336</v>
      </c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</row>
    <row r="1063" spans="1:30" ht="15" x14ac:dyDescent="0.2">
      <c r="A1063" s="11">
        <v>2020</v>
      </c>
      <c r="B1063" s="11">
        <f t="shared" si="180"/>
        <v>366</v>
      </c>
      <c r="C1063" s="60">
        <f t="shared" ref="C1063:T1063" si="190">AVERAGE(C84:C95)</f>
        <v>154.75825</v>
      </c>
      <c r="D1063" s="60">
        <f t="shared" si="190"/>
        <v>281.0162499999999</v>
      </c>
      <c r="E1063" s="60">
        <f t="shared" si="190"/>
        <v>109.1005</v>
      </c>
      <c r="F1063" s="60">
        <f t="shared" si="190"/>
        <v>57.041666666666664</v>
      </c>
      <c r="G1063" s="60">
        <f t="shared" si="190"/>
        <v>40</v>
      </c>
      <c r="H1063" s="60">
        <f t="shared" si="190"/>
        <v>174.58333333333334</v>
      </c>
      <c r="I1063" s="60">
        <f t="shared" si="190"/>
        <v>0</v>
      </c>
      <c r="J1063" s="60">
        <f t="shared" si="190"/>
        <v>100</v>
      </c>
      <c r="K1063" s="60">
        <f t="shared" si="190"/>
        <v>300</v>
      </c>
      <c r="L1063" s="60">
        <f t="shared" si="190"/>
        <v>1216.5</v>
      </c>
      <c r="M1063" s="62">
        <f t="shared" si="190"/>
        <v>533.33333333333337</v>
      </c>
      <c r="N1063" s="60">
        <f t="shared" si="190"/>
        <v>72.5</v>
      </c>
      <c r="O1063" s="61">
        <f t="shared" si="190"/>
        <v>240</v>
      </c>
      <c r="P1063" s="61">
        <f t="shared" si="190"/>
        <v>110</v>
      </c>
      <c r="Q1063" s="61">
        <f t="shared" si="190"/>
        <v>245</v>
      </c>
      <c r="R1063" s="61">
        <f t="shared" si="190"/>
        <v>100</v>
      </c>
      <c r="S1063" s="60">
        <f t="shared" si="190"/>
        <v>695</v>
      </c>
      <c r="T1063" s="60">
        <f t="shared" si="190"/>
        <v>33.333333333333336</v>
      </c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</row>
    <row r="1064" spans="1:30" ht="15" x14ac:dyDescent="0.2">
      <c r="A1064" s="11">
        <v>2021</v>
      </c>
      <c r="B1064" s="11">
        <f t="shared" si="180"/>
        <v>365</v>
      </c>
      <c r="C1064" s="60">
        <f t="shared" ref="C1064:T1064" si="191">AVERAGE(C96:C107)</f>
        <v>154.75825</v>
      </c>
      <c r="D1064" s="60">
        <f t="shared" si="191"/>
        <v>281.0162499999999</v>
      </c>
      <c r="E1064" s="60">
        <f t="shared" si="191"/>
        <v>109.1005</v>
      </c>
      <c r="F1064" s="60">
        <f t="shared" si="191"/>
        <v>57.041666666666664</v>
      </c>
      <c r="G1064" s="60">
        <f t="shared" si="191"/>
        <v>40</v>
      </c>
      <c r="H1064" s="60">
        <f t="shared" si="191"/>
        <v>174.58333333333334</v>
      </c>
      <c r="I1064" s="60">
        <f t="shared" si="191"/>
        <v>0</v>
      </c>
      <c r="J1064" s="60">
        <f t="shared" si="191"/>
        <v>100</v>
      </c>
      <c r="K1064" s="60">
        <f t="shared" si="191"/>
        <v>300</v>
      </c>
      <c r="L1064" s="60">
        <f t="shared" si="191"/>
        <v>1216.5</v>
      </c>
      <c r="M1064" s="62">
        <f t="shared" si="191"/>
        <v>600</v>
      </c>
      <c r="N1064" s="60">
        <f t="shared" si="191"/>
        <v>72.5</v>
      </c>
      <c r="O1064" s="61">
        <f t="shared" si="191"/>
        <v>240</v>
      </c>
      <c r="P1064" s="61">
        <f t="shared" si="191"/>
        <v>110</v>
      </c>
      <c r="Q1064" s="61">
        <f t="shared" si="191"/>
        <v>245</v>
      </c>
      <c r="R1064" s="61">
        <f t="shared" si="191"/>
        <v>100</v>
      </c>
      <c r="S1064" s="60">
        <f t="shared" si="191"/>
        <v>695</v>
      </c>
      <c r="T1064" s="60">
        <f t="shared" si="191"/>
        <v>33.333333333333336</v>
      </c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</row>
    <row r="1065" spans="1:30" ht="15" x14ac:dyDescent="0.2">
      <c r="A1065" s="11">
        <v>2022</v>
      </c>
      <c r="B1065" s="11">
        <f t="shared" si="180"/>
        <v>365</v>
      </c>
      <c r="C1065" s="60">
        <f t="shared" ref="C1065:T1065" si="192">AVERAGE(C108:C119)</f>
        <v>154.75825</v>
      </c>
      <c r="D1065" s="60">
        <f t="shared" si="192"/>
        <v>281.0162499999999</v>
      </c>
      <c r="E1065" s="60">
        <f t="shared" si="192"/>
        <v>109.1005</v>
      </c>
      <c r="F1065" s="60">
        <f t="shared" si="192"/>
        <v>57.041666666666664</v>
      </c>
      <c r="G1065" s="60">
        <f t="shared" si="192"/>
        <v>40</v>
      </c>
      <c r="H1065" s="60">
        <f t="shared" si="192"/>
        <v>174.58333333333334</v>
      </c>
      <c r="I1065" s="60">
        <f t="shared" si="192"/>
        <v>0</v>
      </c>
      <c r="J1065" s="60">
        <f t="shared" si="192"/>
        <v>100</v>
      </c>
      <c r="K1065" s="60">
        <f t="shared" si="192"/>
        <v>300</v>
      </c>
      <c r="L1065" s="60">
        <f t="shared" si="192"/>
        <v>1216.5</v>
      </c>
      <c r="M1065" s="62">
        <f t="shared" si="192"/>
        <v>600</v>
      </c>
      <c r="N1065" s="60">
        <f t="shared" si="192"/>
        <v>72.5</v>
      </c>
      <c r="O1065" s="61">
        <f t="shared" si="192"/>
        <v>240</v>
      </c>
      <c r="P1065" s="61">
        <f t="shared" si="192"/>
        <v>110</v>
      </c>
      <c r="Q1065" s="61">
        <f t="shared" si="192"/>
        <v>245</v>
      </c>
      <c r="R1065" s="61">
        <f t="shared" si="192"/>
        <v>100</v>
      </c>
      <c r="S1065" s="60">
        <f t="shared" si="192"/>
        <v>695</v>
      </c>
      <c r="T1065" s="60">
        <f t="shared" si="192"/>
        <v>33.333333333333336</v>
      </c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</row>
    <row r="1066" spans="1:30" ht="15" x14ac:dyDescent="0.2">
      <c r="A1066" s="11">
        <v>2023</v>
      </c>
      <c r="B1066" s="11">
        <f t="shared" si="180"/>
        <v>365</v>
      </c>
      <c r="C1066" s="60">
        <f t="shared" ref="C1066:T1066" si="193">AVERAGE(C120:C131)</f>
        <v>154.75825</v>
      </c>
      <c r="D1066" s="60">
        <f t="shared" si="193"/>
        <v>281.0162499999999</v>
      </c>
      <c r="E1066" s="60">
        <f t="shared" si="193"/>
        <v>109.1005</v>
      </c>
      <c r="F1066" s="60">
        <f t="shared" si="193"/>
        <v>57.041666666666664</v>
      </c>
      <c r="G1066" s="60">
        <f t="shared" si="193"/>
        <v>40</v>
      </c>
      <c r="H1066" s="60">
        <f t="shared" si="193"/>
        <v>174.58333333333334</v>
      </c>
      <c r="I1066" s="60">
        <f t="shared" si="193"/>
        <v>0</v>
      </c>
      <c r="J1066" s="60">
        <f t="shared" si="193"/>
        <v>100</v>
      </c>
      <c r="K1066" s="60">
        <f t="shared" si="193"/>
        <v>300</v>
      </c>
      <c r="L1066" s="60">
        <f t="shared" si="193"/>
        <v>1216.5</v>
      </c>
      <c r="M1066" s="62">
        <f t="shared" si="193"/>
        <v>600</v>
      </c>
      <c r="N1066" s="60">
        <f t="shared" si="193"/>
        <v>72.5</v>
      </c>
      <c r="O1066" s="61">
        <f t="shared" si="193"/>
        <v>240</v>
      </c>
      <c r="P1066" s="61">
        <f t="shared" si="193"/>
        <v>110</v>
      </c>
      <c r="Q1066" s="61">
        <f t="shared" si="193"/>
        <v>245</v>
      </c>
      <c r="R1066" s="61">
        <f t="shared" si="193"/>
        <v>100</v>
      </c>
      <c r="S1066" s="60">
        <f t="shared" si="193"/>
        <v>695</v>
      </c>
      <c r="T1066" s="60">
        <f t="shared" si="193"/>
        <v>33.333333333333336</v>
      </c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</row>
    <row r="1067" spans="1:30" ht="15" x14ac:dyDescent="0.2">
      <c r="A1067" s="11">
        <v>2024</v>
      </c>
      <c r="B1067" s="11">
        <f t="shared" si="180"/>
        <v>366</v>
      </c>
      <c r="C1067" s="60">
        <f t="shared" ref="C1067:T1067" si="194">AVERAGE(C132:C143)</f>
        <v>154.75825</v>
      </c>
      <c r="D1067" s="60">
        <f t="shared" si="194"/>
        <v>281.0162499999999</v>
      </c>
      <c r="E1067" s="60">
        <f t="shared" si="194"/>
        <v>109.1005</v>
      </c>
      <c r="F1067" s="60">
        <f t="shared" si="194"/>
        <v>57.041666666666664</v>
      </c>
      <c r="G1067" s="60">
        <f t="shared" si="194"/>
        <v>40</v>
      </c>
      <c r="H1067" s="60">
        <f t="shared" si="194"/>
        <v>174.58333333333334</v>
      </c>
      <c r="I1067" s="60">
        <f t="shared" si="194"/>
        <v>0</v>
      </c>
      <c r="J1067" s="60">
        <f t="shared" si="194"/>
        <v>100</v>
      </c>
      <c r="K1067" s="60">
        <f t="shared" si="194"/>
        <v>300</v>
      </c>
      <c r="L1067" s="60">
        <f t="shared" si="194"/>
        <v>1216.5</v>
      </c>
      <c r="M1067" s="62">
        <f t="shared" si="194"/>
        <v>600</v>
      </c>
      <c r="N1067" s="60">
        <f t="shared" si="194"/>
        <v>72.5</v>
      </c>
      <c r="O1067" s="61">
        <f t="shared" si="194"/>
        <v>240</v>
      </c>
      <c r="P1067" s="61">
        <f t="shared" si="194"/>
        <v>110</v>
      </c>
      <c r="Q1067" s="61">
        <f t="shared" si="194"/>
        <v>245</v>
      </c>
      <c r="R1067" s="61">
        <f t="shared" si="194"/>
        <v>100</v>
      </c>
      <c r="S1067" s="60">
        <f t="shared" si="194"/>
        <v>695</v>
      </c>
      <c r="T1067" s="60">
        <f t="shared" si="194"/>
        <v>33.333333333333336</v>
      </c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</row>
    <row r="1068" spans="1:30" ht="15" x14ac:dyDescent="0.2">
      <c r="A1068" s="11">
        <v>2025</v>
      </c>
      <c r="B1068" s="11">
        <f t="shared" si="180"/>
        <v>365</v>
      </c>
      <c r="C1068" s="60">
        <f t="shared" ref="C1068:T1068" si="195">AVERAGE(C144:C155)</f>
        <v>154.75825</v>
      </c>
      <c r="D1068" s="60">
        <f t="shared" si="195"/>
        <v>281.0162499999999</v>
      </c>
      <c r="E1068" s="60">
        <f t="shared" si="195"/>
        <v>109.1005</v>
      </c>
      <c r="F1068" s="60">
        <f t="shared" si="195"/>
        <v>57.041666666666664</v>
      </c>
      <c r="G1068" s="60">
        <f t="shared" si="195"/>
        <v>40</v>
      </c>
      <c r="H1068" s="60">
        <f t="shared" si="195"/>
        <v>174.58333333333334</v>
      </c>
      <c r="I1068" s="60">
        <f t="shared" si="195"/>
        <v>0</v>
      </c>
      <c r="J1068" s="60">
        <f t="shared" si="195"/>
        <v>100</v>
      </c>
      <c r="K1068" s="60">
        <f t="shared" si="195"/>
        <v>300</v>
      </c>
      <c r="L1068" s="60">
        <f t="shared" si="195"/>
        <v>1216.5</v>
      </c>
      <c r="M1068" s="62">
        <f t="shared" si="195"/>
        <v>600</v>
      </c>
      <c r="N1068" s="60">
        <f t="shared" si="195"/>
        <v>72.5</v>
      </c>
      <c r="O1068" s="61">
        <f t="shared" si="195"/>
        <v>240</v>
      </c>
      <c r="P1068" s="61">
        <f t="shared" si="195"/>
        <v>110</v>
      </c>
      <c r="Q1068" s="61">
        <f t="shared" si="195"/>
        <v>245</v>
      </c>
      <c r="R1068" s="61">
        <f t="shared" si="195"/>
        <v>100</v>
      </c>
      <c r="S1068" s="60">
        <f t="shared" si="195"/>
        <v>695</v>
      </c>
      <c r="T1068" s="60">
        <f t="shared" si="195"/>
        <v>33.333333333333336</v>
      </c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</row>
    <row r="1069" spans="1:30" ht="15" x14ac:dyDescent="0.2">
      <c r="A1069" s="11">
        <v>2026</v>
      </c>
      <c r="B1069" s="11">
        <f t="shared" si="180"/>
        <v>365</v>
      </c>
      <c r="C1069" s="60">
        <f t="shared" ref="C1069:T1069" si="196">AVERAGE(C156:C167)</f>
        <v>154.75825</v>
      </c>
      <c r="D1069" s="60">
        <f t="shared" si="196"/>
        <v>281.0162499999999</v>
      </c>
      <c r="E1069" s="60">
        <f t="shared" si="196"/>
        <v>109.1005</v>
      </c>
      <c r="F1069" s="60">
        <f t="shared" si="196"/>
        <v>57.041666666666664</v>
      </c>
      <c r="G1069" s="60">
        <f t="shared" si="196"/>
        <v>40</v>
      </c>
      <c r="H1069" s="60">
        <f t="shared" si="196"/>
        <v>174.58333333333334</v>
      </c>
      <c r="I1069" s="60">
        <f t="shared" si="196"/>
        <v>0</v>
      </c>
      <c r="J1069" s="60">
        <f t="shared" si="196"/>
        <v>100</v>
      </c>
      <c r="K1069" s="60">
        <f t="shared" si="196"/>
        <v>300</v>
      </c>
      <c r="L1069" s="60">
        <f t="shared" si="196"/>
        <v>1216.5</v>
      </c>
      <c r="M1069" s="62">
        <f t="shared" si="196"/>
        <v>600</v>
      </c>
      <c r="N1069" s="60">
        <f t="shared" si="196"/>
        <v>72.5</v>
      </c>
      <c r="O1069" s="61">
        <f t="shared" si="196"/>
        <v>240</v>
      </c>
      <c r="P1069" s="61">
        <f t="shared" si="196"/>
        <v>110</v>
      </c>
      <c r="Q1069" s="61">
        <f t="shared" si="196"/>
        <v>245</v>
      </c>
      <c r="R1069" s="61">
        <f t="shared" si="196"/>
        <v>100</v>
      </c>
      <c r="S1069" s="60">
        <f t="shared" si="196"/>
        <v>695</v>
      </c>
      <c r="T1069" s="60">
        <f t="shared" si="196"/>
        <v>33.333333333333336</v>
      </c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</row>
    <row r="1070" spans="1:30" ht="15" x14ac:dyDescent="0.2">
      <c r="A1070" s="11">
        <v>2027</v>
      </c>
      <c r="B1070" s="11">
        <f t="shared" si="180"/>
        <v>365</v>
      </c>
      <c r="C1070" s="60">
        <f t="shared" ref="C1070:T1070" si="197">AVERAGE(C168:C179)</f>
        <v>154.75825</v>
      </c>
      <c r="D1070" s="60">
        <f t="shared" si="197"/>
        <v>281.0162499999999</v>
      </c>
      <c r="E1070" s="60">
        <f t="shared" si="197"/>
        <v>109.1005</v>
      </c>
      <c r="F1070" s="60">
        <f t="shared" si="197"/>
        <v>57.041666666666664</v>
      </c>
      <c r="G1070" s="60">
        <f t="shared" si="197"/>
        <v>40</v>
      </c>
      <c r="H1070" s="60">
        <f t="shared" si="197"/>
        <v>174.58333333333334</v>
      </c>
      <c r="I1070" s="60">
        <f t="shared" si="197"/>
        <v>0</v>
      </c>
      <c r="J1070" s="60">
        <f t="shared" si="197"/>
        <v>100</v>
      </c>
      <c r="K1070" s="60">
        <f t="shared" si="197"/>
        <v>300</v>
      </c>
      <c r="L1070" s="60">
        <f t="shared" si="197"/>
        <v>1216.5</v>
      </c>
      <c r="M1070" s="62">
        <f t="shared" si="197"/>
        <v>600</v>
      </c>
      <c r="N1070" s="60">
        <f t="shared" si="197"/>
        <v>72.5</v>
      </c>
      <c r="O1070" s="61">
        <f t="shared" si="197"/>
        <v>240</v>
      </c>
      <c r="P1070" s="61">
        <f t="shared" si="197"/>
        <v>110</v>
      </c>
      <c r="Q1070" s="61">
        <f t="shared" si="197"/>
        <v>245</v>
      </c>
      <c r="R1070" s="61">
        <f t="shared" si="197"/>
        <v>100</v>
      </c>
      <c r="S1070" s="60">
        <f t="shared" si="197"/>
        <v>695</v>
      </c>
      <c r="T1070" s="60">
        <f t="shared" si="197"/>
        <v>33.333333333333336</v>
      </c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</row>
    <row r="1071" spans="1:30" ht="15" x14ac:dyDescent="0.2">
      <c r="A1071" s="11">
        <v>2028</v>
      </c>
      <c r="B1071" s="11">
        <f t="shared" si="180"/>
        <v>366</v>
      </c>
      <c r="C1071" s="60">
        <f t="shared" ref="C1071:T1071" si="198">AVERAGE(C180:C191)</f>
        <v>154.75825</v>
      </c>
      <c r="D1071" s="60">
        <f t="shared" si="198"/>
        <v>281.0162499999999</v>
      </c>
      <c r="E1071" s="60">
        <f t="shared" si="198"/>
        <v>109.1005</v>
      </c>
      <c r="F1071" s="60">
        <f t="shared" si="198"/>
        <v>57.041666666666664</v>
      </c>
      <c r="G1071" s="60">
        <f t="shared" si="198"/>
        <v>40</v>
      </c>
      <c r="H1071" s="60">
        <f t="shared" si="198"/>
        <v>174.58333333333334</v>
      </c>
      <c r="I1071" s="60">
        <f t="shared" si="198"/>
        <v>0</v>
      </c>
      <c r="J1071" s="60">
        <f t="shared" si="198"/>
        <v>100</v>
      </c>
      <c r="K1071" s="60">
        <f t="shared" si="198"/>
        <v>300</v>
      </c>
      <c r="L1071" s="60">
        <f t="shared" si="198"/>
        <v>1216.5</v>
      </c>
      <c r="M1071" s="62">
        <f t="shared" si="198"/>
        <v>600</v>
      </c>
      <c r="N1071" s="60">
        <f t="shared" si="198"/>
        <v>72.5</v>
      </c>
      <c r="O1071" s="61">
        <f t="shared" si="198"/>
        <v>240</v>
      </c>
      <c r="P1071" s="61">
        <f t="shared" si="198"/>
        <v>110</v>
      </c>
      <c r="Q1071" s="61">
        <f t="shared" si="198"/>
        <v>245</v>
      </c>
      <c r="R1071" s="61">
        <f t="shared" si="198"/>
        <v>100</v>
      </c>
      <c r="S1071" s="60">
        <f t="shared" si="198"/>
        <v>695</v>
      </c>
      <c r="T1071" s="60">
        <f t="shared" si="198"/>
        <v>33.333333333333336</v>
      </c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</row>
    <row r="1072" spans="1:30" ht="15" x14ac:dyDescent="0.2">
      <c r="A1072" s="11">
        <v>2029</v>
      </c>
      <c r="B1072" s="11">
        <f t="shared" si="180"/>
        <v>365</v>
      </c>
      <c r="C1072" s="60">
        <f t="shared" ref="C1072:T1072" si="199">AVERAGE(C192:C203)</f>
        <v>154.75825</v>
      </c>
      <c r="D1072" s="60">
        <f t="shared" si="199"/>
        <v>281.0162499999999</v>
      </c>
      <c r="E1072" s="60">
        <f t="shared" si="199"/>
        <v>109.1005</v>
      </c>
      <c r="F1072" s="60">
        <f t="shared" si="199"/>
        <v>57.041666666666664</v>
      </c>
      <c r="G1072" s="60">
        <f t="shared" si="199"/>
        <v>40</v>
      </c>
      <c r="H1072" s="60">
        <f t="shared" si="199"/>
        <v>174.58333333333334</v>
      </c>
      <c r="I1072" s="60">
        <f t="shared" si="199"/>
        <v>0</v>
      </c>
      <c r="J1072" s="60">
        <f t="shared" si="199"/>
        <v>100</v>
      </c>
      <c r="K1072" s="60">
        <f t="shared" si="199"/>
        <v>300</v>
      </c>
      <c r="L1072" s="60">
        <f t="shared" si="199"/>
        <v>1216.5</v>
      </c>
      <c r="M1072" s="62">
        <f t="shared" si="199"/>
        <v>600</v>
      </c>
      <c r="N1072" s="60">
        <f t="shared" si="199"/>
        <v>72.5</v>
      </c>
      <c r="O1072" s="61">
        <f t="shared" si="199"/>
        <v>240</v>
      </c>
      <c r="P1072" s="61">
        <f t="shared" si="199"/>
        <v>110</v>
      </c>
      <c r="Q1072" s="61">
        <f t="shared" si="199"/>
        <v>245</v>
      </c>
      <c r="R1072" s="61">
        <f t="shared" si="199"/>
        <v>100</v>
      </c>
      <c r="S1072" s="60">
        <f t="shared" si="199"/>
        <v>695</v>
      </c>
      <c r="T1072" s="60">
        <f t="shared" si="199"/>
        <v>33.333333333333336</v>
      </c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</row>
    <row r="1073" spans="1:30" ht="15" x14ac:dyDescent="0.2">
      <c r="A1073" s="11">
        <v>2030</v>
      </c>
      <c r="B1073" s="11">
        <f t="shared" si="180"/>
        <v>365</v>
      </c>
      <c r="C1073" s="60">
        <f t="shared" ref="C1073:T1073" si="200">AVERAGE(C204:C215)</f>
        <v>154.75825</v>
      </c>
      <c r="D1073" s="60">
        <f t="shared" si="200"/>
        <v>281.0162499999999</v>
      </c>
      <c r="E1073" s="60">
        <f t="shared" si="200"/>
        <v>109.1005</v>
      </c>
      <c r="F1073" s="60">
        <f t="shared" si="200"/>
        <v>57.041666666666664</v>
      </c>
      <c r="G1073" s="60">
        <f t="shared" si="200"/>
        <v>40</v>
      </c>
      <c r="H1073" s="60">
        <f t="shared" si="200"/>
        <v>174.58333333333334</v>
      </c>
      <c r="I1073" s="60">
        <f t="shared" si="200"/>
        <v>0</v>
      </c>
      <c r="J1073" s="60">
        <f t="shared" si="200"/>
        <v>100</v>
      </c>
      <c r="K1073" s="60">
        <f t="shared" si="200"/>
        <v>300</v>
      </c>
      <c r="L1073" s="60">
        <f t="shared" si="200"/>
        <v>1216.5</v>
      </c>
      <c r="M1073" s="62">
        <f t="shared" si="200"/>
        <v>600</v>
      </c>
      <c r="N1073" s="60">
        <f t="shared" si="200"/>
        <v>72.5</v>
      </c>
      <c r="O1073" s="61">
        <f t="shared" si="200"/>
        <v>240</v>
      </c>
      <c r="P1073" s="61">
        <f t="shared" si="200"/>
        <v>110</v>
      </c>
      <c r="Q1073" s="61">
        <f t="shared" si="200"/>
        <v>245</v>
      </c>
      <c r="R1073" s="61">
        <f t="shared" si="200"/>
        <v>100</v>
      </c>
      <c r="S1073" s="60">
        <f t="shared" si="200"/>
        <v>695</v>
      </c>
      <c r="T1073" s="60">
        <f t="shared" si="200"/>
        <v>33.333333333333336</v>
      </c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</row>
    <row r="1074" spans="1:30" ht="15" x14ac:dyDescent="0.2">
      <c r="A1074" s="11">
        <v>2031</v>
      </c>
      <c r="B1074" s="11">
        <f t="shared" si="180"/>
        <v>365</v>
      </c>
      <c r="C1074" s="60">
        <f t="shared" ref="C1074:T1074" si="201">AVERAGE(C216:C227)</f>
        <v>154.75825</v>
      </c>
      <c r="D1074" s="60">
        <f t="shared" si="201"/>
        <v>281.0162499999999</v>
      </c>
      <c r="E1074" s="60">
        <f t="shared" si="201"/>
        <v>109.1005</v>
      </c>
      <c r="F1074" s="60">
        <f t="shared" si="201"/>
        <v>57.041666666666664</v>
      </c>
      <c r="G1074" s="60">
        <f t="shared" si="201"/>
        <v>40</v>
      </c>
      <c r="H1074" s="60">
        <f t="shared" si="201"/>
        <v>174.58333333333334</v>
      </c>
      <c r="I1074" s="60">
        <f t="shared" si="201"/>
        <v>0</v>
      </c>
      <c r="J1074" s="60">
        <f t="shared" si="201"/>
        <v>100</v>
      </c>
      <c r="K1074" s="60">
        <f t="shared" si="201"/>
        <v>300</v>
      </c>
      <c r="L1074" s="60">
        <f t="shared" si="201"/>
        <v>1216.5</v>
      </c>
      <c r="M1074" s="62">
        <f t="shared" si="201"/>
        <v>600</v>
      </c>
      <c r="N1074" s="60">
        <f t="shared" si="201"/>
        <v>72.5</v>
      </c>
      <c r="O1074" s="61">
        <f t="shared" si="201"/>
        <v>240</v>
      </c>
      <c r="P1074" s="61">
        <f t="shared" si="201"/>
        <v>110</v>
      </c>
      <c r="Q1074" s="61">
        <f t="shared" si="201"/>
        <v>245</v>
      </c>
      <c r="R1074" s="61">
        <f t="shared" si="201"/>
        <v>100</v>
      </c>
      <c r="S1074" s="60">
        <f t="shared" si="201"/>
        <v>695</v>
      </c>
      <c r="T1074" s="60">
        <f t="shared" si="201"/>
        <v>33.333333333333336</v>
      </c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</row>
    <row r="1075" spans="1:30" ht="15" x14ac:dyDescent="0.2">
      <c r="A1075" s="11">
        <v>2032</v>
      </c>
      <c r="B1075" s="11">
        <f t="shared" si="180"/>
        <v>366</v>
      </c>
      <c r="C1075" s="60">
        <f t="shared" ref="C1075:T1075" si="202">AVERAGE(C228:C239)</f>
        <v>154.75825</v>
      </c>
      <c r="D1075" s="60">
        <f t="shared" si="202"/>
        <v>281.0162499999999</v>
      </c>
      <c r="E1075" s="60">
        <f t="shared" si="202"/>
        <v>109.1005</v>
      </c>
      <c r="F1075" s="60">
        <f t="shared" si="202"/>
        <v>57.041666666666664</v>
      </c>
      <c r="G1075" s="60">
        <f t="shared" si="202"/>
        <v>40</v>
      </c>
      <c r="H1075" s="60">
        <f t="shared" si="202"/>
        <v>174.58333333333334</v>
      </c>
      <c r="I1075" s="60">
        <f t="shared" si="202"/>
        <v>0</v>
      </c>
      <c r="J1075" s="60">
        <f t="shared" si="202"/>
        <v>100</v>
      </c>
      <c r="K1075" s="60">
        <f t="shared" si="202"/>
        <v>300</v>
      </c>
      <c r="L1075" s="60">
        <f t="shared" si="202"/>
        <v>1216.5</v>
      </c>
      <c r="M1075" s="62">
        <f t="shared" si="202"/>
        <v>600</v>
      </c>
      <c r="N1075" s="60">
        <f t="shared" si="202"/>
        <v>72.5</v>
      </c>
      <c r="O1075" s="61">
        <f t="shared" si="202"/>
        <v>240</v>
      </c>
      <c r="P1075" s="61">
        <f t="shared" si="202"/>
        <v>110</v>
      </c>
      <c r="Q1075" s="61">
        <f t="shared" si="202"/>
        <v>245</v>
      </c>
      <c r="R1075" s="61">
        <f t="shared" si="202"/>
        <v>100</v>
      </c>
      <c r="S1075" s="60">
        <f t="shared" si="202"/>
        <v>695</v>
      </c>
      <c r="T1075" s="60">
        <f t="shared" si="202"/>
        <v>33.333333333333336</v>
      </c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</row>
    <row r="1076" spans="1:30" ht="15" x14ac:dyDescent="0.2">
      <c r="A1076" s="11">
        <v>2033</v>
      </c>
      <c r="B1076" s="11">
        <f t="shared" si="180"/>
        <v>365</v>
      </c>
      <c r="C1076" s="60">
        <f t="shared" ref="C1076:T1076" si="203">AVERAGE(C240:C251)</f>
        <v>154.75825</v>
      </c>
      <c r="D1076" s="60">
        <f t="shared" si="203"/>
        <v>281.0162499999999</v>
      </c>
      <c r="E1076" s="60">
        <f t="shared" si="203"/>
        <v>109.1005</v>
      </c>
      <c r="F1076" s="60">
        <f t="shared" si="203"/>
        <v>57.041666666666664</v>
      </c>
      <c r="G1076" s="60">
        <f t="shared" si="203"/>
        <v>40</v>
      </c>
      <c r="H1076" s="60">
        <f t="shared" si="203"/>
        <v>174.58333333333334</v>
      </c>
      <c r="I1076" s="60">
        <f t="shared" si="203"/>
        <v>0</v>
      </c>
      <c r="J1076" s="60">
        <f t="shared" si="203"/>
        <v>100</v>
      </c>
      <c r="K1076" s="60">
        <f t="shared" si="203"/>
        <v>300</v>
      </c>
      <c r="L1076" s="60">
        <f t="shared" si="203"/>
        <v>1216.5</v>
      </c>
      <c r="M1076" s="62">
        <f t="shared" si="203"/>
        <v>600</v>
      </c>
      <c r="N1076" s="60">
        <f t="shared" si="203"/>
        <v>72.5</v>
      </c>
      <c r="O1076" s="61">
        <f t="shared" si="203"/>
        <v>240</v>
      </c>
      <c r="P1076" s="61">
        <f t="shared" si="203"/>
        <v>110</v>
      </c>
      <c r="Q1076" s="61">
        <f t="shared" si="203"/>
        <v>245</v>
      </c>
      <c r="R1076" s="61">
        <f t="shared" si="203"/>
        <v>100</v>
      </c>
      <c r="S1076" s="60">
        <f t="shared" si="203"/>
        <v>695</v>
      </c>
      <c r="T1076" s="60">
        <f t="shared" si="203"/>
        <v>33.333333333333336</v>
      </c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</row>
    <row r="1077" spans="1:30" ht="15" x14ac:dyDescent="0.2">
      <c r="A1077" s="11">
        <v>2034</v>
      </c>
      <c r="B1077" s="11">
        <f t="shared" si="180"/>
        <v>365</v>
      </c>
      <c r="C1077" s="60">
        <f t="shared" ref="C1077:T1077" si="204">AVERAGE(C252:C263)</f>
        <v>154.75825</v>
      </c>
      <c r="D1077" s="60">
        <f t="shared" si="204"/>
        <v>281.0162499999999</v>
      </c>
      <c r="E1077" s="60">
        <f t="shared" si="204"/>
        <v>109.1005</v>
      </c>
      <c r="F1077" s="60">
        <f t="shared" si="204"/>
        <v>57.041666666666664</v>
      </c>
      <c r="G1077" s="60">
        <f t="shared" si="204"/>
        <v>40</v>
      </c>
      <c r="H1077" s="60">
        <f t="shared" si="204"/>
        <v>174.58333333333334</v>
      </c>
      <c r="I1077" s="60">
        <f t="shared" si="204"/>
        <v>0</v>
      </c>
      <c r="J1077" s="60">
        <f t="shared" si="204"/>
        <v>100</v>
      </c>
      <c r="K1077" s="60">
        <f t="shared" si="204"/>
        <v>300</v>
      </c>
      <c r="L1077" s="60">
        <f t="shared" si="204"/>
        <v>1216.5</v>
      </c>
      <c r="M1077" s="62">
        <f t="shared" si="204"/>
        <v>600</v>
      </c>
      <c r="N1077" s="60">
        <f t="shared" si="204"/>
        <v>72.5</v>
      </c>
      <c r="O1077" s="61">
        <f t="shared" si="204"/>
        <v>240</v>
      </c>
      <c r="P1077" s="61">
        <f t="shared" si="204"/>
        <v>110</v>
      </c>
      <c r="Q1077" s="61">
        <f t="shared" si="204"/>
        <v>245</v>
      </c>
      <c r="R1077" s="61">
        <f t="shared" si="204"/>
        <v>100</v>
      </c>
      <c r="S1077" s="60">
        <f t="shared" si="204"/>
        <v>695</v>
      </c>
      <c r="T1077" s="60">
        <f t="shared" si="204"/>
        <v>33.333333333333336</v>
      </c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</row>
    <row r="1078" spans="1:30" ht="15" x14ac:dyDescent="0.2">
      <c r="A1078" s="11">
        <v>2035</v>
      </c>
      <c r="B1078" s="11">
        <f t="shared" si="180"/>
        <v>365</v>
      </c>
      <c r="C1078" s="60">
        <f t="shared" ref="C1078:T1078" si="205">AVERAGE(C264:C275)</f>
        <v>154.75825</v>
      </c>
      <c r="D1078" s="60">
        <f t="shared" si="205"/>
        <v>281.0162499999999</v>
      </c>
      <c r="E1078" s="60">
        <f t="shared" si="205"/>
        <v>109.1005</v>
      </c>
      <c r="F1078" s="60">
        <f t="shared" si="205"/>
        <v>57.041666666666664</v>
      </c>
      <c r="G1078" s="60">
        <f t="shared" si="205"/>
        <v>40</v>
      </c>
      <c r="H1078" s="60">
        <f t="shared" si="205"/>
        <v>174.58333333333334</v>
      </c>
      <c r="I1078" s="60">
        <f t="shared" si="205"/>
        <v>0</v>
      </c>
      <c r="J1078" s="60">
        <f t="shared" si="205"/>
        <v>100</v>
      </c>
      <c r="K1078" s="60">
        <f t="shared" si="205"/>
        <v>300</v>
      </c>
      <c r="L1078" s="60">
        <f t="shared" si="205"/>
        <v>1216.5</v>
      </c>
      <c r="M1078" s="62">
        <f t="shared" si="205"/>
        <v>600</v>
      </c>
      <c r="N1078" s="60">
        <f t="shared" si="205"/>
        <v>72.5</v>
      </c>
      <c r="O1078" s="61">
        <f t="shared" si="205"/>
        <v>240</v>
      </c>
      <c r="P1078" s="61">
        <f t="shared" si="205"/>
        <v>110</v>
      </c>
      <c r="Q1078" s="61">
        <f t="shared" si="205"/>
        <v>245</v>
      </c>
      <c r="R1078" s="61">
        <f t="shared" si="205"/>
        <v>100</v>
      </c>
      <c r="S1078" s="60">
        <f t="shared" si="205"/>
        <v>695</v>
      </c>
      <c r="T1078" s="60">
        <f t="shared" si="205"/>
        <v>33.333333333333336</v>
      </c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</row>
    <row r="1079" spans="1:30" ht="15" x14ac:dyDescent="0.2">
      <c r="A1079" s="11">
        <v>2036</v>
      </c>
      <c r="B1079" s="11">
        <f t="shared" si="180"/>
        <v>366</v>
      </c>
      <c r="C1079" s="60">
        <f t="shared" ref="C1079:T1079" si="206">AVERAGE(C276:C287)</f>
        <v>154.75825</v>
      </c>
      <c r="D1079" s="60">
        <f t="shared" si="206"/>
        <v>281.0162499999999</v>
      </c>
      <c r="E1079" s="60">
        <f t="shared" si="206"/>
        <v>109.1005</v>
      </c>
      <c r="F1079" s="60">
        <f t="shared" si="206"/>
        <v>57.041666666666664</v>
      </c>
      <c r="G1079" s="60">
        <f t="shared" si="206"/>
        <v>40</v>
      </c>
      <c r="H1079" s="60">
        <f t="shared" si="206"/>
        <v>174.58333333333334</v>
      </c>
      <c r="I1079" s="60">
        <f t="shared" si="206"/>
        <v>0</v>
      </c>
      <c r="J1079" s="60">
        <f t="shared" si="206"/>
        <v>100</v>
      </c>
      <c r="K1079" s="60">
        <f t="shared" si="206"/>
        <v>300</v>
      </c>
      <c r="L1079" s="60">
        <f t="shared" si="206"/>
        <v>1216.5</v>
      </c>
      <c r="M1079" s="62">
        <f t="shared" si="206"/>
        <v>600</v>
      </c>
      <c r="N1079" s="60">
        <f t="shared" si="206"/>
        <v>72.5</v>
      </c>
      <c r="O1079" s="61">
        <f t="shared" si="206"/>
        <v>240</v>
      </c>
      <c r="P1079" s="61">
        <f t="shared" si="206"/>
        <v>110</v>
      </c>
      <c r="Q1079" s="61">
        <f t="shared" si="206"/>
        <v>245</v>
      </c>
      <c r="R1079" s="61">
        <f t="shared" si="206"/>
        <v>100</v>
      </c>
      <c r="S1079" s="60">
        <f t="shared" si="206"/>
        <v>695</v>
      </c>
      <c r="T1079" s="60">
        <f t="shared" si="206"/>
        <v>33.333333333333336</v>
      </c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</row>
    <row r="1080" spans="1:30" ht="15" x14ac:dyDescent="0.2">
      <c r="A1080" s="11">
        <v>2037</v>
      </c>
      <c r="B1080" s="11">
        <f t="shared" si="180"/>
        <v>365</v>
      </c>
      <c r="C1080" s="60">
        <f t="shared" ref="C1080:T1080" si="207">AVERAGE(C288:C299)</f>
        <v>154.75825</v>
      </c>
      <c r="D1080" s="60">
        <f t="shared" si="207"/>
        <v>281.0162499999999</v>
      </c>
      <c r="E1080" s="60">
        <f t="shared" si="207"/>
        <v>109.1005</v>
      </c>
      <c r="F1080" s="60">
        <f t="shared" si="207"/>
        <v>57.041666666666664</v>
      </c>
      <c r="G1080" s="60">
        <f t="shared" si="207"/>
        <v>40</v>
      </c>
      <c r="H1080" s="60">
        <f t="shared" si="207"/>
        <v>174.58333333333334</v>
      </c>
      <c r="I1080" s="60">
        <f t="shared" si="207"/>
        <v>0</v>
      </c>
      <c r="J1080" s="60">
        <f t="shared" si="207"/>
        <v>100</v>
      </c>
      <c r="K1080" s="60">
        <f t="shared" si="207"/>
        <v>300</v>
      </c>
      <c r="L1080" s="60">
        <f t="shared" si="207"/>
        <v>1216.5</v>
      </c>
      <c r="M1080" s="62">
        <f t="shared" si="207"/>
        <v>600</v>
      </c>
      <c r="N1080" s="60">
        <f t="shared" si="207"/>
        <v>72.5</v>
      </c>
      <c r="O1080" s="61">
        <f t="shared" si="207"/>
        <v>240</v>
      </c>
      <c r="P1080" s="61">
        <f t="shared" si="207"/>
        <v>110</v>
      </c>
      <c r="Q1080" s="61">
        <f t="shared" si="207"/>
        <v>245</v>
      </c>
      <c r="R1080" s="61">
        <f t="shared" si="207"/>
        <v>100</v>
      </c>
      <c r="S1080" s="60">
        <f t="shared" si="207"/>
        <v>695</v>
      </c>
      <c r="T1080" s="60">
        <f t="shared" si="207"/>
        <v>33.333333333333336</v>
      </c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</row>
    <row r="1081" spans="1:30" ht="15" x14ac:dyDescent="0.2">
      <c r="A1081" s="11">
        <f t="shared" ref="A1081:A1112" si="208">A1080+1</f>
        <v>2038</v>
      </c>
      <c r="B1081" s="11">
        <f t="shared" si="180"/>
        <v>365</v>
      </c>
      <c r="C1081" s="56">
        <f t="shared" ref="C1081:T1081" si="209">AVERAGE(C300:C311)</f>
        <v>154.75825</v>
      </c>
      <c r="D1081" s="56">
        <f t="shared" si="209"/>
        <v>281.0162499999999</v>
      </c>
      <c r="E1081" s="56">
        <f t="shared" si="209"/>
        <v>109.1005</v>
      </c>
      <c r="F1081" s="56">
        <f t="shared" si="209"/>
        <v>57.041666666666664</v>
      </c>
      <c r="G1081" s="56">
        <f t="shared" si="209"/>
        <v>40</v>
      </c>
      <c r="H1081" s="56">
        <f t="shared" si="209"/>
        <v>174.58333333333334</v>
      </c>
      <c r="I1081" s="56">
        <f t="shared" si="209"/>
        <v>0</v>
      </c>
      <c r="J1081" s="56">
        <f t="shared" si="209"/>
        <v>100</v>
      </c>
      <c r="K1081" s="56">
        <f t="shared" si="209"/>
        <v>300</v>
      </c>
      <c r="L1081" s="56">
        <f t="shared" si="209"/>
        <v>1216.5</v>
      </c>
      <c r="M1081" s="58">
        <f t="shared" si="209"/>
        <v>600</v>
      </c>
      <c r="N1081" s="56">
        <f t="shared" si="209"/>
        <v>72.5</v>
      </c>
      <c r="O1081" s="59">
        <f t="shared" si="209"/>
        <v>240</v>
      </c>
      <c r="P1081" s="59">
        <f t="shared" si="209"/>
        <v>110</v>
      </c>
      <c r="Q1081" s="59">
        <f t="shared" si="209"/>
        <v>245</v>
      </c>
      <c r="R1081" s="59">
        <f t="shared" si="209"/>
        <v>100</v>
      </c>
      <c r="S1081" s="56">
        <f t="shared" si="209"/>
        <v>695</v>
      </c>
      <c r="T1081" s="56">
        <f t="shared" si="209"/>
        <v>33.333333333333336</v>
      </c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</row>
    <row r="1082" spans="1:30" ht="15" x14ac:dyDescent="0.2">
      <c r="A1082" s="11">
        <f t="shared" si="208"/>
        <v>2039</v>
      </c>
      <c r="B1082" s="11">
        <f t="shared" si="180"/>
        <v>365</v>
      </c>
      <c r="C1082" s="56">
        <f t="shared" ref="C1082:T1082" si="210">AVERAGE(C312:C323)</f>
        <v>154.75825</v>
      </c>
      <c r="D1082" s="56">
        <f t="shared" si="210"/>
        <v>281.0162499999999</v>
      </c>
      <c r="E1082" s="56">
        <f t="shared" si="210"/>
        <v>109.1005</v>
      </c>
      <c r="F1082" s="56">
        <f t="shared" si="210"/>
        <v>57.041666666666664</v>
      </c>
      <c r="G1082" s="56">
        <f t="shared" si="210"/>
        <v>40</v>
      </c>
      <c r="H1082" s="56">
        <f t="shared" si="210"/>
        <v>174.58333333333334</v>
      </c>
      <c r="I1082" s="56">
        <f t="shared" si="210"/>
        <v>0</v>
      </c>
      <c r="J1082" s="56">
        <f t="shared" si="210"/>
        <v>100</v>
      </c>
      <c r="K1082" s="56">
        <f t="shared" si="210"/>
        <v>300</v>
      </c>
      <c r="L1082" s="56">
        <f t="shared" si="210"/>
        <v>1216.5</v>
      </c>
      <c r="M1082" s="58">
        <f t="shared" si="210"/>
        <v>600</v>
      </c>
      <c r="N1082" s="56">
        <f t="shared" si="210"/>
        <v>72.5</v>
      </c>
      <c r="O1082" s="59">
        <f t="shared" si="210"/>
        <v>240</v>
      </c>
      <c r="P1082" s="59">
        <f t="shared" si="210"/>
        <v>110</v>
      </c>
      <c r="Q1082" s="59">
        <f t="shared" si="210"/>
        <v>245</v>
      </c>
      <c r="R1082" s="59">
        <f t="shared" si="210"/>
        <v>100</v>
      </c>
      <c r="S1082" s="56">
        <f t="shared" si="210"/>
        <v>695</v>
      </c>
      <c r="T1082" s="56">
        <f t="shared" si="210"/>
        <v>33.333333333333336</v>
      </c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</row>
    <row r="1083" spans="1:30" ht="15" x14ac:dyDescent="0.2">
      <c r="A1083" s="11">
        <f t="shared" si="208"/>
        <v>2040</v>
      </c>
      <c r="B1083" s="11">
        <f t="shared" si="180"/>
        <v>366</v>
      </c>
      <c r="C1083" s="56">
        <f t="shared" ref="C1083:T1083" si="211">AVERAGE(C324:C335)</f>
        <v>154.75825</v>
      </c>
      <c r="D1083" s="56">
        <f t="shared" si="211"/>
        <v>281.0162499999999</v>
      </c>
      <c r="E1083" s="56">
        <f t="shared" si="211"/>
        <v>109.1005</v>
      </c>
      <c r="F1083" s="56">
        <f t="shared" si="211"/>
        <v>57.041666666666664</v>
      </c>
      <c r="G1083" s="56">
        <f t="shared" si="211"/>
        <v>40</v>
      </c>
      <c r="H1083" s="56">
        <f t="shared" si="211"/>
        <v>174.58333333333334</v>
      </c>
      <c r="I1083" s="56">
        <f t="shared" si="211"/>
        <v>0</v>
      </c>
      <c r="J1083" s="56">
        <f t="shared" si="211"/>
        <v>100</v>
      </c>
      <c r="K1083" s="56">
        <f t="shared" si="211"/>
        <v>300</v>
      </c>
      <c r="L1083" s="56">
        <f t="shared" si="211"/>
        <v>1216.5</v>
      </c>
      <c r="M1083" s="58">
        <f t="shared" si="211"/>
        <v>600</v>
      </c>
      <c r="N1083" s="56">
        <f t="shared" si="211"/>
        <v>72.5</v>
      </c>
      <c r="O1083" s="59">
        <f t="shared" si="211"/>
        <v>240</v>
      </c>
      <c r="P1083" s="59">
        <f t="shared" si="211"/>
        <v>110</v>
      </c>
      <c r="Q1083" s="59">
        <f t="shared" si="211"/>
        <v>245</v>
      </c>
      <c r="R1083" s="59">
        <f t="shared" si="211"/>
        <v>100</v>
      </c>
      <c r="S1083" s="56">
        <f t="shared" si="211"/>
        <v>695</v>
      </c>
      <c r="T1083" s="56">
        <f t="shared" si="211"/>
        <v>33.333333333333336</v>
      </c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</row>
    <row r="1084" spans="1:30" ht="15" x14ac:dyDescent="0.2">
      <c r="A1084" s="11">
        <f t="shared" si="208"/>
        <v>2041</v>
      </c>
      <c r="B1084" s="11">
        <f t="shared" si="180"/>
        <v>365</v>
      </c>
      <c r="C1084" s="56">
        <f t="shared" ref="C1084:T1084" si="212">AVERAGE(C336:C347)</f>
        <v>154.75825</v>
      </c>
      <c r="D1084" s="56">
        <f t="shared" si="212"/>
        <v>281.0162499999999</v>
      </c>
      <c r="E1084" s="56">
        <f t="shared" si="212"/>
        <v>109.1005</v>
      </c>
      <c r="F1084" s="56">
        <f t="shared" si="212"/>
        <v>57.041666666666664</v>
      </c>
      <c r="G1084" s="56">
        <f t="shared" si="212"/>
        <v>40</v>
      </c>
      <c r="H1084" s="56">
        <f t="shared" si="212"/>
        <v>174.58333333333334</v>
      </c>
      <c r="I1084" s="56">
        <f t="shared" si="212"/>
        <v>0</v>
      </c>
      <c r="J1084" s="56">
        <f t="shared" si="212"/>
        <v>100</v>
      </c>
      <c r="K1084" s="56">
        <f t="shared" si="212"/>
        <v>300</v>
      </c>
      <c r="L1084" s="56">
        <f t="shared" si="212"/>
        <v>1216.5</v>
      </c>
      <c r="M1084" s="58">
        <f t="shared" si="212"/>
        <v>600</v>
      </c>
      <c r="N1084" s="56">
        <f t="shared" si="212"/>
        <v>72.5</v>
      </c>
      <c r="O1084" s="59">
        <f t="shared" si="212"/>
        <v>240</v>
      </c>
      <c r="P1084" s="59">
        <f t="shared" si="212"/>
        <v>110</v>
      </c>
      <c r="Q1084" s="59">
        <f t="shared" si="212"/>
        <v>245</v>
      </c>
      <c r="R1084" s="59">
        <f t="shared" si="212"/>
        <v>100</v>
      </c>
      <c r="S1084" s="56">
        <f t="shared" si="212"/>
        <v>695</v>
      </c>
      <c r="T1084" s="56">
        <f t="shared" si="212"/>
        <v>33.333333333333336</v>
      </c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</row>
    <row r="1085" spans="1:30" ht="15" x14ac:dyDescent="0.2">
      <c r="A1085" s="11">
        <f t="shared" si="208"/>
        <v>2042</v>
      </c>
      <c r="B1085" s="11">
        <f t="shared" si="180"/>
        <v>365</v>
      </c>
      <c r="C1085" s="56">
        <f t="shared" ref="C1085:T1085" si="213">AVERAGE(C348:C359)</f>
        <v>154.75825</v>
      </c>
      <c r="D1085" s="56">
        <f t="shared" si="213"/>
        <v>281.0162499999999</v>
      </c>
      <c r="E1085" s="56">
        <f t="shared" si="213"/>
        <v>109.1005</v>
      </c>
      <c r="F1085" s="56">
        <f t="shared" si="213"/>
        <v>57.041666666666664</v>
      </c>
      <c r="G1085" s="56">
        <f t="shared" si="213"/>
        <v>40</v>
      </c>
      <c r="H1085" s="56">
        <f t="shared" si="213"/>
        <v>174.58333333333334</v>
      </c>
      <c r="I1085" s="56">
        <f t="shared" si="213"/>
        <v>0</v>
      </c>
      <c r="J1085" s="56">
        <f t="shared" si="213"/>
        <v>100</v>
      </c>
      <c r="K1085" s="56">
        <f t="shared" si="213"/>
        <v>300</v>
      </c>
      <c r="L1085" s="56">
        <f t="shared" si="213"/>
        <v>1216.5</v>
      </c>
      <c r="M1085" s="58">
        <f t="shared" si="213"/>
        <v>600</v>
      </c>
      <c r="N1085" s="56">
        <f t="shared" si="213"/>
        <v>72.5</v>
      </c>
      <c r="O1085" s="59">
        <f t="shared" si="213"/>
        <v>240</v>
      </c>
      <c r="P1085" s="59">
        <f t="shared" si="213"/>
        <v>110</v>
      </c>
      <c r="Q1085" s="59">
        <f t="shared" si="213"/>
        <v>245</v>
      </c>
      <c r="R1085" s="59">
        <f t="shared" si="213"/>
        <v>100</v>
      </c>
      <c r="S1085" s="56">
        <f t="shared" si="213"/>
        <v>695</v>
      </c>
      <c r="T1085" s="56">
        <f t="shared" si="213"/>
        <v>33.333333333333336</v>
      </c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</row>
    <row r="1086" spans="1:30" ht="15" x14ac:dyDescent="0.2">
      <c r="A1086" s="11">
        <f t="shared" si="208"/>
        <v>2043</v>
      </c>
      <c r="B1086" s="11">
        <f t="shared" si="180"/>
        <v>365</v>
      </c>
      <c r="C1086" s="56">
        <f t="shared" ref="C1086:T1086" si="214">AVERAGE(C360:C371)</f>
        <v>154.75825</v>
      </c>
      <c r="D1086" s="56">
        <f t="shared" si="214"/>
        <v>281.0162499999999</v>
      </c>
      <c r="E1086" s="56">
        <f t="shared" si="214"/>
        <v>109.1005</v>
      </c>
      <c r="F1086" s="56">
        <f t="shared" si="214"/>
        <v>57.041666666666664</v>
      </c>
      <c r="G1086" s="56">
        <f t="shared" si="214"/>
        <v>40</v>
      </c>
      <c r="H1086" s="56">
        <f t="shared" si="214"/>
        <v>174.58333333333334</v>
      </c>
      <c r="I1086" s="56">
        <f t="shared" si="214"/>
        <v>0</v>
      </c>
      <c r="J1086" s="56">
        <f t="shared" si="214"/>
        <v>100</v>
      </c>
      <c r="K1086" s="56">
        <f t="shared" si="214"/>
        <v>300</v>
      </c>
      <c r="L1086" s="56">
        <f t="shared" si="214"/>
        <v>1216.5</v>
      </c>
      <c r="M1086" s="58">
        <f t="shared" si="214"/>
        <v>600</v>
      </c>
      <c r="N1086" s="56">
        <f t="shared" si="214"/>
        <v>72.5</v>
      </c>
      <c r="O1086" s="59">
        <f t="shared" si="214"/>
        <v>240</v>
      </c>
      <c r="P1086" s="59">
        <f t="shared" si="214"/>
        <v>110</v>
      </c>
      <c r="Q1086" s="59">
        <f t="shared" si="214"/>
        <v>245</v>
      </c>
      <c r="R1086" s="59">
        <f t="shared" si="214"/>
        <v>100</v>
      </c>
      <c r="S1086" s="56">
        <f t="shared" si="214"/>
        <v>695</v>
      </c>
      <c r="T1086" s="56">
        <f t="shared" si="214"/>
        <v>33.333333333333336</v>
      </c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</row>
    <row r="1087" spans="1:30" ht="15" x14ac:dyDescent="0.2">
      <c r="A1087" s="11">
        <f t="shared" si="208"/>
        <v>2044</v>
      </c>
      <c r="B1087" s="11">
        <f t="shared" si="180"/>
        <v>366</v>
      </c>
      <c r="C1087" s="56">
        <f t="shared" ref="C1087:T1087" si="215">AVERAGE(C372:C383)</f>
        <v>154.75825</v>
      </c>
      <c r="D1087" s="56">
        <f t="shared" si="215"/>
        <v>281.0162499999999</v>
      </c>
      <c r="E1087" s="56">
        <f t="shared" si="215"/>
        <v>109.1005</v>
      </c>
      <c r="F1087" s="56">
        <f t="shared" si="215"/>
        <v>57.041666666666664</v>
      </c>
      <c r="G1087" s="56">
        <f t="shared" si="215"/>
        <v>40</v>
      </c>
      <c r="H1087" s="56">
        <f t="shared" si="215"/>
        <v>174.58333333333334</v>
      </c>
      <c r="I1087" s="56">
        <f t="shared" si="215"/>
        <v>0</v>
      </c>
      <c r="J1087" s="56">
        <f t="shared" si="215"/>
        <v>100</v>
      </c>
      <c r="K1087" s="56">
        <f t="shared" si="215"/>
        <v>300</v>
      </c>
      <c r="L1087" s="56">
        <f t="shared" si="215"/>
        <v>1216.5</v>
      </c>
      <c r="M1087" s="58">
        <f t="shared" si="215"/>
        <v>600</v>
      </c>
      <c r="N1087" s="56">
        <f t="shared" si="215"/>
        <v>72.5</v>
      </c>
      <c r="O1087" s="59">
        <f t="shared" si="215"/>
        <v>240</v>
      </c>
      <c r="P1087" s="59">
        <f t="shared" si="215"/>
        <v>110</v>
      </c>
      <c r="Q1087" s="59">
        <f t="shared" si="215"/>
        <v>245</v>
      </c>
      <c r="R1087" s="59">
        <f t="shared" si="215"/>
        <v>100</v>
      </c>
      <c r="S1087" s="56">
        <f t="shared" si="215"/>
        <v>695</v>
      </c>
      <c r="T1087" s="56">
        <f t="shared" si="215"/>
        <v>33.333333333333336</v>
      </c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</row>
    <row r="1088" spans="1:30" ht="15" x14ac:dyDescent="0.2">
      <c r="A1088" s="11">
        <f t="shared" si="208"/>
        <v>2045</v>
      </c>
      <c r="B1088" s="11">
        <f t="shared" si="180"/>
        <v>365</v>
      </c>
      <c r="C1088" s="56">
        <f t="shared" ref="C1088:T1088" si="216">AVERAGE(C384:C395)</f>
        <v>154.75825</v>
      </c>
      <c r="D1088" s="56">
        <f t="shared" si="216"/>
        <v>281.0162499999999</v>
      </c>
      <c r="E1088" s="56">
        <f t="shared" si="216"/>
        <v>109.1005</v>
      </c>
      <c r="F1088" s="56">
        <f t="shared" si="216"/>
        <v>57.041666666666664</v>
      </c>
      <c r="G1088" s="56">
        <f t="shared" si="216"/>
        <v>40</v>
      </c>
      <c r="H1088" s="56">
        <f t="shared" si="216"/>
        <v>174.58333333333334</v>
      </c>
      <c r="I1088" s="56">
        <f t="shared" si="216"/>
        <v>0</v>
      </c>
      <c r="J1088" s="56">
        <f t="shared" si="216"/>
        <v>100</v>
      </c>
      <c r="K1088" s="56">
        <f t="shared" si="216"/>
        <v>300</v>
      </c>
      <c r="L1088" s="56">
        <f t="shared" si="216"/>
        <v>1216.5</v>
      </c>
      <c r="M1088" s="58">
        <f t="shared" si="216"/>
        <v>600</v>
      </c>
      <c r="N1088" s="56">
        <f t="shared" si="216"/>
        <v>72.5</v>
      </c>
      <c r="O1088" s="59">
        <f t="shared" si="216"/>
        <v>240</v>
      </c>
      <c r="P1088" s="59">
        <f t="shared" si="216"/>
        <v>110</v>
      </c>
      <c r="Q1088" s="59">
        <f t="shared" si="216"/>
        <v>245</v>
      </c>
      <c r="R1088" s="59">
        <f t="shared" si="216"/>
        <v>100</v>
      </c>
      <c r="S1088" s="56">
        <f t="shared" si="216"/>
        <v>695</v>
      </c>
      <c r="T1088" s="56">
        <f t="shared" si="216"/>
        <v>33.333333333333336</v>
      </c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</row>
    <row r="1089" spans="1:30" ht="15" x14ac:dyDescent="0.2">
      <c r="A1089" s="11">
        <f t="shared" si="208"/>
        <v>2046</v>
      </c>
      <c r="B1089" s="11">
        <f t="shared" ref="B1089:B1120" si="217">DATE(A1089+1,1,1)-DATE(A1089,1,1)</f>
        <v>365</v>
      </c>
      <c r="C1089" s="56">
        <f t="shared" ref="C1089:T1089" si="218">AVERAGE(C396:C407)</f>
        <v>154.75825</v>
      </c>
      <c r="D1089" s="56">
        <f t="shared" si="218"/>
        <v>281.0162499999999</v>
      </c>
      <c r="E1089" s="56">
        <f t="shared" si="218"/>
        <v>109.1005</v>
      </c>
      <c r="F1089" s="56">
        <f t="shared" si="218"/>
        <v>57.041666666666664</v>
      </c>
      <c r="G1089" s="56">
        <f t="shared" si="218"/>
        <v>40</v>
      </c>
      <c r="H1089" s="56">
        <f t="shared" si="218"/>
        <v>174.58333333333334</v>
      </c>
      <c r="I1089" s="56">
        <f t="shared" si="218"/>
        <v>0</v>
      </c>
      <c r="J1089" s="56">
        <f t="shared" si="218"/>
        <v>100</v>
      </c>
      <c r="K1089" s="56">
        <f t="shared" si="218"/>
        <v>300</v>
      </c>
      <c r="L1089" s="56">
        <f t="shared" si="218"/>
        <v>1216.5</v>
      </c>
      <c r="M1089" s="58">
        <f t="shared" si="218"/>
        <v>600</v>
      </c>
      <c r="N1089" s="56">
        <f t="shared" si="218"/>
        <v>72.5</v>
      </c>
      <c r="O1089" s="59">
        <f t="shared" si="218"/>
        <v>240</v>
      </c>
      <c r="P1089" s="59">
        <f t="shared" si="218"/>
        <v>110</v>
      </c>
      <c r="Q1089" s="59">
        <f t="shared" si="218"/>
        <v>245</v>
      </c>
      <c r="R1089" s="59">
        <f t="shared" si="218"/>
        <v>100</v>
      </c>
      <c r="S1089" s="56">
        <f t="shared" si="218"/>
        <v>695</v>
      </c>
      <c r="T1089" s="56">
        <f t="shared" si="218"/>
        <v>33.333333333333336</v>
      </c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</row>
    <row r="1090" spans="1:30" ht="15" x14ac:dyDescent="0.2">
      <c r="A1090" s="11">
        <f t="shared" si="208"/>
        <v>2047</v>
      </c>
      <c r="B1090" s="11">
        <f t="shared" si="217"/>
        <v>365</v>
      </c>
      <c r="C1090" s="56">
        <f t="shared" ref="C1090:T1090" si="219">AVERAGE(C408:C419)</f>
        <v>154.75825</v>
      </c>
      <c r="D1090" s="56">
        <f t="shared" si="219"/>
        <v>281.0162499999999</v>
      </c>
      <c r="E1090" s="56">
        <f t="shared" si="219"/>
        <v>109.1005</v>
      </c>
      <c r="F1090" s="56">
        <f t="shared" si="219"/>
        <v>57.041666666666664</v>
      </c>
      <c r="G1090" s="56">
        <f t="shared" si="219"/>
        <v>40</v>
      </c>
      <c r="H1090" s="56">
        <f t="shared" si="219"/>
        <v>174.58333333333334</v>
      </c>
      <c r="I1090" s="56">
        <f t="shared" si="219"/>
        <v>0</v>
      </c>
      <c r="J1090" s="56">
        <f t="shared" si="219"/>
        <v>100</v>
      </c>
      <c r="K1090" s="56">
        <f t="shared" si="219"/>
        <v>300</v>
      </c>
      <c r="L1090" s="56">
        <f t="shared" si="219"/>
        <v>1216.5</v>
      </c>
      <c r="M1090" s="58">
        <f t="shared" si="219"/>
        <v>600</v>
      </c>
      <c r="N1090" s="56">
        <f t="shared" si="219"/>
        <v>72.5</v>
      </c>
      <c r="O1090" s="59">
        <f t="shared" si="219"/>
        <v>240</v>
      </c>
      <c r="P1090" s="59">
        <f t="shared" si="219"/>
        <v>110</v>
      </c>
      <c r="Q1090" s="59">
        <f t="shared" si="219"/>
        <v>245</v>
      </c>
      <c r="R1090" s="59">
        <f t="shared" si="219"/>
        <v>100</v>
      </c>
      <c r="S1090" s="56">
        <f t="shared" si="219"/>
        <v>695</v>
      </c>
      <c r="T1090" s="56">
        <f t="shared" si="219"/>
        <v>33.333333333333336</v>
      </c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</row>
    <row r="1091" spans="1:30" ht="15" x14ac:dyDescent="0.2">
      <c r="A1091" s="11">
        <f t="shared" si="208"/>
        <v>2048</v>
      </c>
      <c r="B1091" s="11">
        <f t="shared" si="217"/>
        <v>366</v>
      </c>
      <c r="C1091" s="56">
        <f t="shared" ref="C1091:T1091" si="220">AVERAGE(C420:C431)</f>
        <v>154.75825</v>
      </c>
      <c r="D1091" s="56">
        <f t="shared" si="220"/>
        <v>281.0162499999999</v>
      </c>
      <c r="E1091" s="56">
        <f t="shared" si="220"/>
        <v>109.1005</v>
      </c>
      <c r="F1091" s="56">
        <f t="shared" si="220"/>
        <v>57.041666666666664</v>
      </c>
      <c r="G1091" s="56">
        <f t="shared" si="220"/>
        <v>40</v>
      </c>
      <c r="H1091" s="56">
        <f t="shared" si="220"/>
        <v>174.58333333333334</v>
      </c>
      <c r="I1091" s="56">
        <f t="shared" si="220"/>
        <v>0</v>
      </c>
      <c r="J1091" s="56">
        <f t="shared" si="220"/>
        <v>100</v>
      </c>
      <c r="K1091" s="56">
        <f t="shared" si="220"/>
        <v>300</v>
      </c>
      <c r="L1091" s="56">
        <f t="shared" si="220"/>
        <v>1216.5</v>
      </c>
      <c r="M1091" s="58">
        <f t="shared" si="220"/>
        <v>600</v>
      </c>
      <c r="N1091" s="56">
        <f t="shared" si="220"/>
        <v>72.5</v>
      </c>
      <c r="O1091" s="59">
        <f t="shared" si="220"/>
        <v>240</v>
      </c>
      <c r="P1091" s="59">
        <f t="shared" si="220"/>
        <v>110</v>
      </c>
      <c r="Q1091" s="59">
        <f t="shared" si="220"/>
        <v>245</v>
      </c>
      <c r="R1091" s="59">
        <f t="shared" si="220"/>
        <v>100</v>
      </c>
      <c r="S1091" s="56">
        <f t="shared" si="220"/>
        <v>695</v>
      </c>
      <c r="T1091" s="56">
        <f t="shared" si="220"/>
        <v>33.333333333333336</v>
      </c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</row>
    <row r="1092" spans="1:30" ht="15" x14ac:dyDescent="0.2">
      <c r="A1092" s="11">
        <f t="shared" si="208"/>
        <v>2049</v>
      </c>
      <c r="B1092" s="11">
        <f t="shared" si="217"/>
        <v>365</v>
      </c>
      <c r="C1092" s="56">
        <f t="shared" ref="C1092:T1092" si="221">AVERAGE(C432:C443)</f>
        <v>154.75825</v>
      </c>
      <c r="D1092" s="56">
        <f t="shared" si="221"/>
        <v>281.0162499999999</v>
      </c>
      <c r="E1092" s="56">
        <f t="shared" si="221"/>
        <v>109.1005</v>
      </c>
      <c r="F1092" s="56">
        <f t="shared" si="221"/>
        <v>57.041666666666664</v>
      </c>
      <c r="G1092" s="56">
        <f t="shared" si="221"/>
        <v>40</v>
      </c>
      <c r="H1092" s="56">
        <f t="shared" si="221"/>
        <v>174.58333333333334</v>
      </c>
      <c r="I1092" s="56">
        <f t="shared" si="221"/>
        <v>0</v>
      </c>
      <c r="J1092" s="56">
        <f t="shared" si="221"/>
        <v>100</v>
      </c>
      <c r="K1092" s="56">
        <f t="shared" si="221"/>
        <v>300</v>
      </c>
      <c r="L1092" s="56">
        <f t="shared" si="221"/>
        <v>1216.5</v>
      </c>
      <c r="M1092" s="58">
        <f t="shared" si="221"/>
        <v>600</v>
      </c>
      <c r="N1092" s="56">
        <f t="shared" si="221"/>
        <v>72.5</v>
      </c>
      <c r="O1092" s="59">
        <f t="shared" si="221"/>
        <v>240</v>
      </c>
      <c r="P1092" s="59">
        <f t="shared" si="221"/>
        <v>110</v>
      </c>
      <c r="Q1092" s="59">
        <f t="shared" si="221"/>
        <v>245</v>
      </c>
      <c r="R1092" s="59">
        <f t="shared" si="221"/>
        <v>100</v>
      </c>
      <c r="S1092" s="56">
        <f t="shared" si="221"/>
        <v>695</v>
      </c>
      <c r="T1092" s="56">
        <f t="shared" si="221"/>
        <v>33.333333333333336</v>
      </c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</row>
    <row r="1093" spans="1:30" ht="15" x14ac:dyDescent="0.2">
      <c r="A1093" s="11">
        <f t="shared" si="208"/>
        <v>2050</v>
      </c>
      <c r="B1093" s="11">
        <f t="shared" si="217"/>
        <v>365</v>
      </c>
      <c r="C1093" s="56">
        <f t="shared" ref="C1093:T1093" si="222">AVERAGE(C444:C455)</f>
        <v>154.75825</v>
      </c>
      <c r="D1093" s="56">
        <f t="shared" si="222"/>
        <v>281.0162499999999</v>
      </c>
      <c r="E1093" s="56">
        <f t="shared" si="222"/>
        <v>109.1005</v>
      </c>
      <c r="F1093" s="56">
        <f t="shared" si="222"/>
        <v>57.041666666666664</v>
      </c>
      <c r="G1093" s="56">
        <f t="shared" si="222"/>
        <v>40</v>
      </c>
      <c r="H1093" s="56">
        <f t="shared" si="222"/>
        <v>174.58333333333334</v>
      </c>
      <c r="I1093" s="56">
        <f t="shared" si="222"/>
        <v>0</v>
      </c>
      <c r="J1093" s="56">
        <f t="shared" si="222"/>
        <v>100</v>
      </c>
      <c r="K1093" s="56">
        <f t="shared" si="222"/>
        <v>300</v>
      </c>
      <c r="L1093" s="56">
        <f t="shared" si="222"/>
        <v>1216.5</v>
      </c>
      <c r="M1093" s="58">
        <f t="shared" si="222"/>
        <v>600</v>
      </c>
      <c r="N1093" s="56">
        <f t="shared" si="222"/>
        <v>72.5</v>
      </c>
      <c r="O1093" s="59">
        <f t="shared" si="222"/>
        <v>240</v>
      </c>
      <c r="P1093" s="59">
        <f t="shared" si="222"/>
        <v>110</v>
      </c>
      <c r="Q1093" s="59">
        <f t="shared" si="222"/>
        <v>245</v>
      </c>
      <c r="R1093" s="59">
        <f t="shared" si="222"/>
        <v>100</v>
      </c>
      <c r="S1093" s="56">
        <f t="shared" si="222"/>
        <v>695</v>
      </c>
      <c r="T1093" s="56">
        <f t="shared" si="222"/>
        <v>33.333333333333336</v>
      </c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</row>
    <row r="1094" spans="1:30" ht="15" x14ac:dyDescent="0.2">
      <c r="A1094" s="11">
        <f t="shared" si="208"/>
        <v>2051</v>
      </c>
      <c r="B1094" s="11">
        <f t="shared" si="217"/>
        <v>365</v>
      </c>
      <c r="C1094" s="56">
        <f t="shared" ref="C1094:T1094" si="223">AVERAGE(C456:C467)</f>
        <v>154.75825</v>
      </c>
      <c r="D1094" s="56">
        <f t="shared" si="223"/>
        <v>281.0162499999999</v>
      </c>
      <c r="E1094" s="56">
        <f t="shared" si="223"/>
        <v>109.1005</v>
      </c>
      <c r="F1094" s="56">
        <f t="shared" si="223"/>
        <v>57.041666666666664</v>
      </c>
      <c r="G1094" s="56">
        <f t="shared" si="223"/>
        <v>40</v>
      </c>
      <c r="H1094" s="56">
        <f t="shared" si="223"/>
        <v>174.58333333333334</v>
      </c>
      <c r="I1094" s="56">
        <f t="shared" si="223"/>
        <v>0</v>
      </c>
      <c r="J1094" s="56">
        <f t="shared" si="223"/>
        <v>100</v>
      </c>
      <c r="K1094" s="56">
        <f t="shared" si="223"/>
        <v>300</v>
      </c>
      <c r="L1094" s="56">
        <f t="shared" si="223"/>
        <v>1216.5</v>
      </c>
      <c r="M1094" s="58">
        <f t="shared" si="223"/>
        <v>600</v>
      </c>
      <c r="N1094" s="56">
        <f t="shared" si="223"/>
        <v>72.5</v>
      </c>
      <c r="O1094" s="59">
        <f t="shared" si="223"/>
        <v>240</v>
      </c>
      <c r="P1094" s="59">
        <f t="shared" si="223"/>
        <v>110</v>
      </c>
      <c r="Q1094" s="59">
        <f t="shared" si="223"/>
        <v>245</v>
      </c>
      <c r="R1094" s="59">
        <f t="shared" si="223"/>
        <v>100</v>
      </c>
      <c r="S1094" s="56">
        <f t="shared" si="223"/>
        <v>695</v>
      </c>
      <c r="T1094" s="56">
        <f t="shared" si="223"/>
        <v>33.333333333333336</v>
      </c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</row>
    <row r="1095" spans="1:30" ht="15" x14ac:dyDescent="0.2">
      <c r="A1095" s="11">
        <f t="shared" si="208"/>
        <v>2052</v>
      </c>
      <c r="B1095" s="11">
        <f t="shared" si="217"/>
        <v>366</v>
      </c>
      <c r="C1095" s="56">
        <f t="shared" ref="C1095:T1095" si="224">AVERAGE(C468:C479)</f>
        <v>154.75825</v>
      </c>
      <c r="D1095" s="56">
        <f t="shared" si="224"/>
        <v>281.0162499999999</v>
      </c>
      <c r="E1095" s="56">
        <f t="shared" si="224"/>
        <v>109.1005</v>
      </c>
      <c r="F1095" s="56">
        <f t="shared" si="224"/>
        <v>57.041666666666664</v>
      </c>
      <c r="G1095" s="56">
        <f t="shared" si="224"/>
        <v>40</v>
      </c>
      <c r="H1095" s="56">
        <f t="shared" si="224"/>
        <v>174.58333333333334</v>
      </c>
      <c r="I1095" s="56">
        <f t="shared" si="224"/>
        <v>0</v>
      </c>
      <c r="J1095" s="56">
        <f t="shared" si="224"/>
        <v>100</v>
      </c>
      <c r="K1095" s="56">
        <f t="shared" si="224"/>
        <v>300</v>
      </c>
      <c r="L1095" s="56">
        <f t="shared" si="224"/>
        <v>1216.5</v>
      </c>
      <c r="M1095" s="58">
        <f t="shared" si="224"/>
        <v>600</v>
      </c>
      <c r="N1095" s="56">
        <f t="shared" si="224"/>
        <v>72.5</v>
      </c>
      <c r="O1095" s="59">
        <f t="shared" si="224"/>
        <v>240</v>
      </c>
      <c r="P1095" s="59">
        <f t="shared" si="224"/>
        <v>110</v>
      </c>
      <c r="Q1095" s="59">
        <f t="shared" si="224"/>
        <v>245</v>
      </c>
      <c r="R1095" s="59">
        <f t="shared" si="224"/>
        <v>100</v>
      </c>
      <c r="S1095" s="56">
        <f t="shared" si="224"/>
        <v>695</v>
      </c>
      <c r="T1095" s="56">
        <f t="shared" si="224"/>
        <v>33.333333333333336</v>
      </c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</row>
    <row r="1096" spans="1:30" ht="15" x14ac:dyDescent="0.2">
      <c r="A1096" s="11">
        <f t="shared" si="208"/>
        <v>2053</v>
      </c>
      <c r="B1096" s="11">
        <f t="shared" si="217"/>
        <v>365</v>
      </c>
      <c r="C1096" s="56">
        <f t="shared" ref="C1096:T1096" si="225">AVERAGE(C480:C491)</f>
        <v>154.75825</v>
      </c>
      <c r="D1096" s="56">
        <f t="shared" si="225"/>
        <v>281.0162499999999</v>
      </c>
      <c r="E1096" s="56">
        <f t="shared" si="225"/>
        <v>109.1005</v>
      </c>
      <c r="F1096" s="56">
        <f t="shared" si="225"/>
        <v>57.041666666666664</v>
      </c>
      <c r="G1096" s="56">
        <f t="shared" si="225"/>
        <v>40</v>
      </c>
      <c r="H1096" s="56">
        <f t="shared" si="225"/>
        <v>174.58333333333334</v>
      </c>
      <c r="I1096" s="56">
        <f t="shared" si="225"/>
        <v>0</v>
      </c>
      <c r="J1096" s="56">
        <f t="shared" si="225"/>
        <v>100</v>
      </c>
      <c r="K1096" s="56">
        <f t="shared" si="225"/>
        <v>300</v>
      </c>
      <c r="L1096" s="56">
        <f t="shared" si="225"/>
        <v>1216.5</v>
      </c>
      <c r="M1096" s="58">
        <f t="shared" si="225"/>
        <v>600</v>
      </c>
      <c r="N1096" s="56">
        <f t="shared" si="225"/>
        <v>72.5</v>
      </c>
      <c r="O1096" s="59">
        <f t="shared" si="225"/>
        <v>240</v>
      </c>
      <c r="P1096" s="59">
        <f t="shared" si="225"/>
        <v>110</v>
      </c>
      <c r="Q1096" s="59">
        <f t="shared" si="225"/>
        <v>245</v>
      </c>
      <c r="R1096" s="59">
        <f t="shared" si="225"/>
        <v>100</v>
      </c>
      <c r="S1096" s="56">
        <f t="shared" si="225"/>
        <v>695</v>
      </c>
      <c r="T1096" s="56">
        <f t="shared" si="225"/>
        <v>33.333333333333336</v>
      </c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</row>
    <row r="1097" spans="1:30" ht="15" x14ac:dyDescent="0.2">
      <c r="A1097" s="11">
        <f t="shared" si="208"/>
        <v>2054</v>
      </c>
      <c r="B1097" s="11">
        <f t="shared" si="217"/>
        <v>365</v>
      </c>
      <c r="C1097" s="56">
        <f t="shared" ref="C1097:T1097" si="226">AVERAGE(C492:C503)</f>
        <v>154.75825</v>
      </c>
      <c r="D1097" s="56">
        <f t="shared" si="226"/>
        <v>281.0162499999999</v>
      </c>
      <c r="E1097" s="56">
        <f t="shared" si="226"/>
        <v>109.1005</v>
      </c>
      <c r="F1097" s="56">
        <f t="shared" si="226"/>
        <v>57.041666666666664</v>
      </c>
      <c r="G1097" s="56">
        <f t="shared" si="226"/>
        <v>40</v>
      </c>
      <c r="H1097" s="56">
        <f t="shared" si="226"/>
        <v>174.58333333333334</v>
      </c>
      <c r="I1097" s="56">
        <f t="shared" si="226"/>
        <v>0</v>
      </c>
      <c r="J1097" s="56">
        <f t="shared" si="226"/>
        <v>100</v>
      </c>
      <c r="K1097" s="56">
        <f t="shared" si="226"/>
        <v>300</v>
      </c>
      <c r="L1097" s="56">
        <f t="shared" si="226"/>
        <v>1216.5</v>
      </c>
      <c r="M1097" s="58">
        <f t="shared" si="226"/>
        <v>600</v>
      </c>
      <c r="N1097" s="56">
        <f t="shared" si="226"/>
        <v>72.5</v>
      </c>
      <c r="O1097" s="56">
        <f t="shared" si="226"/>
        <v>240</v>
      </c>
      <c r="P1097" s="56">
        <f t="shared" si="226"/>
        <v>110</v>
      </c>
      <c r="Q1097" s="56">
        <f t="shared" si="226"/>
        <v>245</v>
      </c>
      <c r="R1097" s="56">
        <f t="shared" si="226"/>
        <v>100</v>
      </c>
      <c r="S1097" s="56">
        <f t="shared" si="226"/>
        <v>695</v>
      </c>
      <c r="T1097" s="56">
        <f t="shared" si="226"/>
        <v>33.333333333333336</v>
      </c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</row>
    <row r="1098" spans="1:30" ht="15" x14ac:dyDescent="0.2">
      <c r="A1098" s="11">
        <f t="shared" si="208"/>
        <v>2055</v>
      </c>
      <c r="B1098" s="11">
        <f t="shared" si="217"/>
        <v>365</v>
      </c>
      <c r="C1098" s="56">
        <f t="shared" ref="C1098:T1098" si="227">AVERAGE(C493:C504)</f>
        <v>154.75825</v>
      </c>
      <c r="D1098" s="56">
        <f t="shared" si="227"/>
        <v>281.0162499999999</v>
      </c>
      <c r="E1098" s="56">
        <f t="shared" si="227"/>
        <v>109.1005</v>
      </c>
      <c r="F1098" s="56">
        <f t="shared" si="227"/>
        <v>57.041666666666657</v>
      </c>
      <c r="G1098" s="56">
        <f t="shared" si="227"/>
        <v>40</v>
      </c>
      <c r="H1098" s="56">
        <f t="shared" si="227"/>
        <v>174.58333333333334</v>
      </c>
      <c r="I1098" s="56">
        <f t="shared" si="227"/>
        <v>0</v>
      </c>
      <c r="J1098" s="56">
        <f t="shared" si="227"/>
        <v>100</v>
      </c>
      <c r="K1098" s="56">
        <f t="shared" si="227"/>
        <v>300</v>
      </c>
      <c r="L1098" s="56">
        <f t="shared" si="227"/>
        <v>1216.5</v>
      </c>
      <c r="M1098" s="58">
        <f t="shared" si="227"/>
        <v>600</v>
      </c>
      <c r="N1098" s="56">
        <f t="shared" si="227"/>
        <v>72.5</v>
      </c>
      <c r="O1098" s="56">
        <f t="shared" si="227"/>
        <v>240</v>
      </c>
      <c r="P1098" s="56">
        <f t="shared" si="227"/>
        <v>110</v>
      </c>
      <c r="Q1098" s="56">
        <f t="shared" si="227"/>
        <v>245</v>
      </c>
      <c r="R1098" s="56">
        <f t="shared" si="227"/>
        <v>100</v>
      </c>
      <c r="S1098" s="56">
        <f t="shared" si="227"/>
        <v>695</v>
      </c>
      <c r="T1098" s="56">
        <f t="shared" si="227"/>
        <v>33.333333333333336</v>
      </c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</row>
    <row r="1099" spans="1:30" ht="15" x14ac:dyDescent="0.2">
      <c r="A1099" s="11">
        <f t="shared" si="208"/>
        <v>2056</v>
      </c>
      <c r="B1099" s="11">
        <f t="shared" si="217"/>
        <v>366</v>
      </c>
      <c r="C1099" s="56">
        <f t="shared" ref="C1099:T1099" si="228">AVERAGE(C494:C505)</f>
        <v>154.75824999999998</v>
      </c>
      <c r="D1099" s="56">
        <f t="shared" si="228"/>
        <v>281.0162499999999</v>
      </c>
      <c r="E1099" s="56">
        <f t="shared" si="228"/>
        <v>109.1005</v>
      </c>
      <c r="F1099" s="56">
        <f t="shared" si="228"/>
        <v>57.041666666666664</v>
      </c>
      <c r="G1099" s="56">
        <f t="shared" si="228"/>
        <v>40</v>
      </c>
      <c r="H1099" s="56">
        <f t="shared" si="228"/>
        <v>174.58333333333334</v>
      </c>
      <c r="I1099" s="56">
        <f t="shared" si="228"/>
        <v>0</v>
      </c>
      <c r="J1099" s="56">
        <f t="shared" si="228"/>
        <v>100</v>
      </c>
      <c r="K1099" s="56">
        <f t="shared" si="228"/>
        <v>300</v>
      </c>
      <c r="L1099" s="56">
        <f t="shared" si="228"/>
        <v>1216.5</v>
      </c>
      <c r="M1099" s="58">
        <f t="shared" si="228"/>
        <v>600</v>
      </c>
      <c r="N1099" s="56">
        <f t="shared" si="228"/>
        <v>72.5</v>
      </c>
      <c r="O1099" s="56">
        <f t="shared" si="228"/>
        <v>240</v>
      </c>
      <c r="P1099" s="56">
        <f t="shared" si="228"/>
        <v>110</v>
      </c>
      <c r="Q1099" s="56">
        <f t="shared" si="228"/>
        <v>245</v>
      </c>
      <c r="R1099" s="56">
        <f t="shared" si="228"/>
        <v>100</v>
      </c>
      <c r="S1099" s="56">
        <f t="shared" si="228"/>
        <v>695</v>
      </c>
      <c r="T1099" s="56">
        <f t="shared" si="228"/>
        <v>33.333333333333336</v>
      </c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</row>
    <row r="1100" spans="1:30" ht="15" x14ac:dyDescent="0.2">
      <c r="A1100" s="11">
        <f t="shared" si="208"/>
        <v>2057</v>
      </c>
      <c r="B1100" s="11">
        <f t="shared" si="217"/>
        <v>365</v>
      </c>
      <c r="C1100" s="56">
        <f t="shared" ref="C1100:T1100" si="229">AVERAGE(C495:C506)</f>
        <v>154.75825</v>
      </c>
      <c r="D1100" s="56">
        <f t="shared" si="229"/>
        <v>281.0162499999999</v>
      </c>
      <c r="E1100" s="56">
        <f t="shared" si="229"/>
        <v>109.1005</v>
      </c>
      <c r="F1100" s="56">
        <f t="shared" si="229"/>
        <v>57.041666666666664</v>
      </c>
      <c r="G1100" s="56">
        <f t="shared" si="229"/>
        <v>40</v>
      </c>
      <c r="H1100" s="56">
        <f t="shared" si="229"/>
        <v>174.58333333333334</v>
      </c>
      <c r="I1100" s="56">
        <f t="shared" si="229"/>
        <v>0</v>
      </c>
      <c r="J1100" s="56">
        <f t="shared" si="229"/>
        <v>100</v>
      </c>
      <c r="K1100" s="56">
        <f t="shared" si="229"/>
        <v>300</v>
      </c>
      <c r="L1100" s="56">
        <f t="shared" si="229"/>
        <v>1216.5</v>
      </c>
      <c r="M1100" s="58">
        <f t="shared" si="229"/>
        <v>600</v>
      </c>
      <c r="N1100" s="56">
        <f t="shared" si="229"/>
        <v>72.5</v>
      </c>
      <c r="O1100" s="56">
        <f t="shared" si="229"/>
        <v>240</v>
      </c>
      <c r="P1100" s="56">
        <f t="shared" si="229"/>
        <v>110</v>
      </c>
      <c r="Q1100" s="56">
        <f t="shared" si="229"/>
        <v>245</v>
      </c>
      <c r="R1100" s="56">
        <f t="shared" si="229"/>
        <v>100</v>
      </c>
      <c r="S1100" s="56">
        <f t="shared" si="229"/>
        <v>695</v>
      </c>
      <c r="T1100" s="56">
        <f t="shared" si="229"/>
        <v>33.333333333333336</v>
      </c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</row>
    <row r="1101" spans="1:30" ht="15" x14ac:dyDescent="0.2">
      <c r="A1101" s="11">
        <f t="shared" si="208"/>
        <v>2058</v>
      </c>
      <c r="B1101" s="11">
        <f t="shared" si="217"/>
        <v>365</v>
      </c>
      <c r="C1101" s="56">
        <f t="shared" ref="C1101:T1101" si="230">AVERAGE(C496:C507)</f>
        <v>154.75824999999998</v>
      </c>
      <c r="D1101" s="56">
        <f t="shared" si="230"/>
        <v>281.01624999999996</v>
      </c>
      <c r="E1101" s="56">
        <f t="shared" si="230"/>
        <v>109.10050000000001</v>
      </c>
      <c r="F1101" s="56">
        <f t="shared" si="230"/>
        <v>57.041666666666664</v>
      </c>
      <c r="G1101" s="56">
        <f t="shared" si="230"/>
        <v>40</v>
      </c>
      <c r="H1101" s="56">
        <f t="shared" si="230"/>
        <v>174.58333333333334</v>
      </c>
      <c r="I1101" s="56">
        <f t="shared" si="230"/>
        <v>0</v>
      </c>
      <c r="J1101" s="56">
        <f t="shared" si="230"/>
        <v>100</v>
      </c>
      <c r="K1101" s="56">
        <f t="shared" si="230"/>
        <v>300</v>
      </c>
      <c r="L1101" s="56">
        <f t="shared" si="230"/>
        <v>1216.5</v>
      </c>
      <c r="M1101" s="58">
        <f t="shared" si="230"/>
        <v>600</v>
      </c>
      <c r="N1101" s="56">
        <f t="shared" si="230"/>
        <v>72.5</v>
      </c>
      <c r="O1101" s="56">
        <f t="shared" si="230"/>
        <v>240</v>
      </c>
      <c r="P1101" s="56">
        <f t="shared" si="230"/>
        <v>110</v>
      </c>
      <c r="Q1101" s="56">
        <f t="shared" si="230"/>
        <v>245</v>
      </c>
      <c r="R1101" s="56">
        <f t="shared" si="230"/>
        <v>100</v>
      </c>
      <c r="S1101" s="56">
        <f t="shared" si="230"/>
        <v>695</v>
      </c>
      <c r="T1101" s="56">
        <f t="shared" si="230"/>
        <v>33.333333333333336</v>
      </c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</row>
    <row r="1102" spans="1:30" ht="15" x14ac:dyDescent="0.2">
      <c r="A1102" s="11">
        <f t="shared" si="208"/>
        <v>2059</v>
      </c>
      <c r="B1102" s="11">
        <f t="shared" si="217"/>
        <v>365</v>
      </c>
      <c r="C1102" s="56">
        <f t="shared" ref="C1102:T1102" si="231">AVERAGE(C497:C508)</f>
        <v>154.75824999999998</v>
      </c>
      <c r="D1102" s="56">
        <f t="shared" si="231"/>
        <v>281.01624999999996</v>
      </c>
      <c r="E1102" s="56">
        <f t="shared" si="231"/>
        <v>109.10050000000001</v>
      </c>
      <c r="F1102" s="56">
        <f t="shared" si="231"/>
        <v>57.041666666666664</v>
      </c>
      <c r="G1102" s="56">
        <f t="shared" si="231"/>
        <v>40</v>
      </c>
      <c r="H1102" s="56">
        <f t="shared" si="231"/>
        <v>174.58333333333334</v>
      </c>
      <c r="I1102" s="56">
        <f t="shared" si="231"/>
        <v>0</v>
      </c>
      <c r="J1102" s="56">
        <f t="shared" si="231"/>
        <v>100</v>
      </c>
      <c r="K1102" s="56">
        <f t="shared" si="231"/>
        <v>300</v>
      </c>
      <c r="L1102" s="56">
        <f t="shared" si="231"/>
        <v>1216.5</v>
      </c>
      <c r="M1102" s="58">
        <f t="shared" si="231"/>
        <v>600</v>
      </c>
      <c r="N1102" s="56">
        <f t="shared" si="231"/>
        <v>72.5</v>
      </c>
      <c r="O1102" s="56">
        <f t="shared" si="231"/>
        <v>240</v>
      </c>
      <c r="P1102" s="56">
        <f t="shared" si="231"/>
        <v>110</v>
      </c>
      <c r="Q1102" s="56">
        <f t="shared" si="231"/>
        <v>245</v>
      </c>
      <c r="R1102" s="56">
        <f t="shared" si="231"/>
        <v>100</v>
      </c>
      <c r="S1102" s="56">
        <f t="shared" si="231"/>
        <v>695</v>
      </c>
      <c r="T1102" s="56">
        <f t="shared" si="231"/>
        <v>33.333333333333336</v>
      </c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</row>
    <row r="1103" spans="1:30" ht="15" x14ac:dyDescent="0.2">
      <c r="A1103" s="11">
        <f t="shared" si="208"/>
        <v>2060</v>
      </c>
      <c r="B1103" s="11">
        <f t="shared" si="217"/>
        <v>366</v>
      </c>
      <c r="C1103" s="56">
        <f t="shared" ref="C1103:T1103" si="232">AVERAGE(C498:C509)</f>
        <v>154.75824999999998</v>
      </c>
      <c r="D1103" s="56">
        <f t="shared" si="232"/>
        <v>281.01624999999996</v>
      </c>
      <c r="E1103" s="56">
        <f t="shared" si="232"/>
        <v>109.10050000000001</v>
      </c>
      <c r="F1103" s="56">
        <f t="shared" si="232"/>
        <v>57.041666666666664</v>
      </c>
      <c r="G1103" s="56">
        <f t="shared" si="232"/>
        <v>40</v>
      </c>
      <c r="H1103" s="56">
        <f t="shared" si="232"/>
        <v>174.58333333333334</v>
      </c>
      <c r="I1103" s="56">
        <f t="shared" si="232"/>
        <v>0</v>
      </c>
      <c r="J1103" s="56">
        <f t="shared" si="232"/>
        <v>100</v>
      </c>
      <c r="K1103" s="56">
        <f t="shared" si="232"/>
        <v>300</v>
      </c>
      <c r="L1103" s="56">
        <f t="shared" si="232"/>
        <v>1216.5</v>
      </c>
      <c r="M1103" s="58">
        <f t="shared" si="232"/>
        <v>600</v>
      </c>
      <c r="N1103" s="56">
        <f t="shared" si="232"/>
        <v>72.5</v>
      </c>
      <c r="O1103" s="56">
        <f t="shared" si="232"/>
        <v>240</v>
      </c>
      <c r="P1103" s="56">
        <f t="shared" si="232"/>
        <v>110</v>
      </c>
      <c r="Q1103" s="56">
        <f t="shared" si="232"/>
        <v>245</v>
      </c>
      <c r="R1103" s="56">
        <f t="shared" si="232"/>
        <v>100</v>
      </c>
      <c r="S1103" s="56">
        <f t="shared" si="232"/>
        <v>695</v>
      </c>
      <c r="T1103" s="56">
        <f t="shared" si="232"/>
        <v>33.333333333333336</v>
      </c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</row>
    <row r="1104" spans="1:30" ht="15" x14ac:dyDescent="0.2">
      <c r="A1104" s="11">
        <f t="shared" si="208"/>
        <v>2061</v>
      </c>
      <c r="B1104" s="11">
        <f t="shared" si="217"/>
        <v>365</v>
      </c>
      <c r="C1104" s="56">
        <f t="shared" ref="C1104:T1104" si="233">AVERAGE(C499:C510)</f>
        <v>154.75825</v>
      </c>
      <c r="D1104" s="56">
        <f t="shared" si="233"/>
        <v>281.01624999999996</v>
      </c>
      <c r="E1104" s="56">
        <f t="shared" si="233"/>
        <v>109.10050000000001</v>
      </c>
      <c r="F1104" s="56">
        <f t="shared" si="233"/>
        <v>57.04166666666665</v>
      </c>
      <c r="G1104" s="56">
        <f t="shared" si="233"/>
        <v>40</v>
      </c>
      <c r="H1104" s="56">
        <f t="shared" si="233"/>
        <v>174.58333333333334</v>
      </c>
      <c r="I1104" s="56">
        <f t="shared" si="233"/>
        <v>0</v>
      </c>
      <c r="J1104" s="56">
        <f t="shared" si="233"/>
        <v>100</v>
      </c>
      <c r="K1104" s="56">
        <f t="shared" si="233"/>
        <v>300</v>
      </c>
      <c r="L1104" s="56">
        <f t="shared" si="233"/>
        <v>1216.5</v>
      </c>
      <c r="M1104" s="58">
        <f t="shared" si="233"/>
        <v>600</v>
      </c>
      <c r="N1104" s="56">
        <f t="shared" si="233"/>
        <v>72.5</v>
      </c>
      <c r="O1104" s="56">
        <f t="shared" si="233"/>
        <v>240</v>
      </c>
      <c r="P1104" s="56">
        <f t="shared" si="233"/>
        <v>110</v>
      </c>
      <c r="Q1104" s="56">
        <f t="shared" si="233"/>
        <v>245</v>
      </c>
      <c r="R1104" s="56">
        <f t="shared" si="233"/>
        <v>100</v>
      </c>
      <c r="S1104" s="56">
        <f t="shared" si="233"/>
        <v>695</v>
      </c>
      <c r="T1104" s="56">
        <f t="shared" si="233"/>
        <v>33.333333333333336</v>
      </c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</row>
    <row r="1105" spans="1:30" ht="15" x14ac:dyDescent="0.2">
      <c r="A1105" s="11">
        <f t="shared" si="208"/>
        <v>2062</v>
      </c>
      <c r="B1105" s="11">
        <f t="shared" si="217"/>
        <v>365</v>
      </c>
      <c r="C1105" s="56">
        <f t="shared" ref="C1105:L1114" ca="1" si="234">AVERAGE(OFFSET(C$588,($A1105-$A$1105)*12,0,12,1))</f>
        <v>154.75825</v>
      </c>
      <c r="D1105" s="56">
        <f t="shared" ca="1" si="234"/>
        <v>281.0162499999999</v>
      </c>
      <c r="E1105" s="56">
        <f t="shared" ca="1" si="234"/>
        <v>109.1005</v>
      </c>
      <c r="F1105" s="56">
        <f t="shared" ca="1" si="234"/>
        <v>57.041666666666664</v>
      </c>
      <c r="G1105" s="56">
        <f t="shared" ca="1" si="234"/>
        <v>40</v>
      </c>
      <c r="H1105" s="56">
        <f t="shared" ca="1" si="234"/>
        <v>174.58333333333334</v>
      </c>
      <c r="I1105" s="56">
        <f t="shared" ca="1" si="234"/>
        <v>0</v>
      </c>
      <c r="J1105" s="56">
        <f t="shared" ca="1" si="234"/>
        <v>100</v>
      </c>
      <c r="K1105" s="56">
        <f t="shared" ca="1" si="234"/>
        <v>300</v>
      </c>
      <c r="L1105" s="56">
        <f t="shared" ca="1" si="234"/>
        <v>1216.5</v>
      </c>
      <c r="M1105" s="56">
        <f t="shared" ref="M1105:T1114" ca="1" si="235">AVERAGE(OFFSET(M$588,($A1105-$A$1105)*12,0,12,1))</f>
        <v>600</v>
      </c>
      <c r="N1105" s="56">
        <f t="shared" ca="1" si="235"/>
        <v>72.5</v>
      </c>
      <c r="O1105" s="56">
        <f t="shared" ca="1" si="235"/>
        <v>240</v>
      </c>
      <c r="P1105" s="56">
        <f t="shared" ca="1" si="235"/>
        <v>40</v>
      </c>
      <c r="Q1105" s="56">
        <f t="shared" ca="1" si="235"/>
        <v>315</v>
      </c>
      <c r="R1105" s="56">
        <f t="shared" ca="1" si="235"/>
        <v>100</v>
      </c>
      <c r="S1105" s="56">
        <f t="shared" ca="1" si="235"/>
        <v>695</v>
      </c>
      <c r="T1105" s="56">
        <f t="shared" ca="1" si="235"/>
        <v>33.333333333333336</v>
      </c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</row>
    <row r="1106" spans="1:30" ht="15" x14ac:dyDescent="0.2">
      <c r="A1106" s="11">
        <f t="shared" si="208"/>
        <v>2063</v>
      </c>
      <c r="B1106" s="11">
        <f t="shared" si="217"/>
        <v>365</v>
      </c>
      <c r="C1106" s="56">
        <f t="shared" ca="1" si="234"/>
        <v>154.75825</v>
      </c>
      <c r="D1106" s="56">
        <f t="shared" ca="1" si="234"/>
        <v>281.0162499999999</v>
      </c>
      <c r="E1106" s="56">
        <f t="shared" ca="1" si="234"/>
        <v>109.1005</v>
      </c>
      <c r="F1106" s="56">
        <f t="shared" ca="1" si="234"/>
        <v>57.041666666666664</v>
      </c>
      <c r="G1106" s="56">
        <f t="shared" ca="1" si="234"/>
        <v>40</v>
      </c>
      <c r="H1106" s="56">
        <f t="shared" ca="1" si="234"/>
        <v>174.58333333333334</v>
      </c>
      <c r="I1106" s="56">
        <f t="shared" ca="1" si="234"/>
        <v>0</v>
      </c>
      <c r="J1106" s="56">
        <f t="shared" ca="1" si="234"/>
        <v>100</v>
      </c>
      <c r="K1106" s="56">
        <f t="shared" ca="1" si="234"/>
        <v>300</v>
      </c>
      <c r="L1106" s="56">
        <f t="shared" ca="1" si="234"/>
        <v>1216.5</v>
      </c>
      <c r="M1106" s="56">
        <f t="shared" ca="1" si="235"/>
        <v>600</v>
      </c>
      <c r="N1106" s="56">
        <f t="shared" ca="1" si="235"/>
        <v>72.5</v>
      </c>
      <c r="O1106" s="56">
        <f t="shared" ca="1" si="235"/>
        <v>240</v>
      </c>
      <c r="P1106" s="56">
        <f t="shared" ca="1" si="235"/>
        <v>40</v>
      </c>
      <c r="Q1106" s="56">
        <f t="shared" ca="1" si="235"/>
        <v>315</v>
      </c>
      <c r="R1106" s="56">
        <f t="shared" ca="1" si="235"/>
        <v>100</v>
      </c>
      <c r="S1106" s="56">
        <f t="shared" ca="1" si="235"/>
        <v>695</v>
      </c>
      <c r="T1106" s="56">
        <f t="shared" ca="1" si="235"/>
        <v>33.333333333333336</v>
      </c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</row>
    <row r="1107" spans="1:30" ht="15" x14ac:dyDescent="0.2">
      <c r="A1107" s="11">
        <f t="shared" si="208"/>
        <v>2064</v>
      </c>
      <c r="B1107" s="11">
        <f t="shared" si="217"/>
        <v>366</v>
      </c>
      <c r="C1107" s="56">
        <f t="shared" ca="1" si="234"/>
        <v>154.75825</v>
      </c>
      <c r="D1107" s="56">
        <f t="shared" ca="1" si="234"/>
        <v>281.0162499999999</v>
      </c>
      <c r="E1107" s="56">
        <f t="shared" ca="1" si="234"/>
        <v>109.1005</v>
      </c>
      <c r="F1107" s="56">
        <f t="shared" ca="1" si="234"/>
        <v>57.041666666666664</v>
      </c>
      <c r="G1107" s="56">
        <f t="shared" ca="1" si="234"/>
        <v>40</v>
      </c>
      <c r="H1107" s="56">
        <f t="shared" ca="1" si="234"/>
        <v>174.58333333333334</v>
      </c>
      <c r="I1107" s="56">
        <f t="shared" ca="1" si="234"/>
        <v>0</v>
      </c>
      <c r="J1107" s="56">
        <f t="shared" ca="1" si="234"/>
        <v>100</v>
      </c>
      <c r="K1107" s="56">
        <f t="shared" ca="1" si="234"/>
        <v>300</v>
      </c>
      <c r="L1107" s="56">
        <f t="shared" ca="1" si="234"/>
        <v>1216.5</v>
      </c>
      <c r="M1107" s="56">
        <f t="shared" ca="1" si="235"/>
        <v>600</v>
      </c>
      <c r="N1107" s="56">
        <f t="shared" ca="1" si="235"/>
        <v>72.5</v>
      </c>
      <c r="O1107" s="56">
        <f t="shared" ca="1" si="235"/>
        <v>240</v>
      </c>
      <c r="P1107" s="56">
        <f t="shared" ca="1" si="235"/>
        <v>40</v>
      </c>
      <c r="Q1107" s="56">
        <f t="shared" ca="1" si="235"/>
        <v>315</v>
      </c>
      <c r="R1107" s="56">
        <f t="shared" ca="1" si="235"/>
        <v>100</v>
      </c>
      <c r="S1107" s="56">
        <f t="shared" ca="1" si="235"/>
        <v>695</v>
      </c>
      <c r="T1107" s="56">
        <f t="shared" ca="1" si="235"/>
        <v>33.333333333333336</v>
      </c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</row>
    <row r="1108" spans="1:30" ht="15" x14ac:dyDescent="0.2">
      <c r="A1108" s="11">
        <f t="shared" si="208"/>
        <v>2065</v>
      </c>
      <c r="B1108" s="11">
        <f t="shared" si="217"/>
        <v>365</v>
      </c>
      <c r="C1108" s="56">
        <f t="shared" ca="1" si="234"/>
        <v>154.75825</v>
      </c>
      <c r="D1108" s="56">
        <f t="shared" ca="1" si="234"/>
        <v>281.0162499999999</v>
      </c>
      <c r="E1108" s="56">
        <f t="shared" ca="1" si="234"/>
        <v>109.1005</v>
      </c>
      <c r="F1108" s="56">
        <f t="shared" ca="1" si="234"/>
        <v>57.041666666666664</v>
      </c>
      <c r="G1108" s="56">
        <f t="shared" ca="1" si="234"/>
        <v>40</v>
      </c>
      <c r="H1108" s="56">
        <f t="shared" ca="1" si="234"/>
        <v>174.58333333333334</v>
      </c>
      <c r="I1108" s="56">
        <f t="shared" ca="1" si="234"/>
        <v>0</v>
      </c>
      <c r="J1108" s="56">
        <f t="shared" ca="1" si="234"/>
        <v>100</v>
      </c>
      <c r="K1108" s="56">
        <f t="shared" ca="1" si="234"/>
        <v>300</v>
      </c>
      <c r="L1108" s="56">
        <f t="shared" ca="1" si="234"/>
        <v>1216.5</v>
      </c>
      <c r="M1108" s="56">
        <f t="shared" ca="1" si="235"/>
        <v>600</v>
      </c>
      <c r="N1108" s="56">
        <f t="shared" ca="1" si="235"/>
        <v>72.5</v>
      </c>
      <c r="O1108" s="56">
        <f t="shared" ca="1" si="235"/>
        <v>240</v>
      </c>
      <c r="P1108" s="56">
        <f t="shared" ca="1" si="235"/>
        <v>40</v>
      </c>
      <c r="Q1108" s="56">
        <f t="shared" ca="1" si="235"/>
        <v>315</v>
      </c>
      <c r="R1108" s="56">
        <f t="shared" ca="1" si="235"/>
        <v>100</v>
      </c>
      <c r="S1108" s="56">
        <f t="shared" ca="1" si="235"/>
        <v>695</v>
      </c>
      <c r="T1108" s="56">
        <f t="shared" ca="1" si="235"/>
        <v>33.333333333333336</v>
      </c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</row>
    <row r="1109" spans="1:30" ht="15" x14ac:dyDescent="0.2">
      <c r="A1109" s="11">
        <f t="shared" si="208"/>
        <v>2066</v>
      </c>
      <c r="B1109" s="11">
        <f t="shared" si="217"/>
        <v>365</v>
      </c>
      <c r="C1109" s="56">
        <f t="shared" ca="1" si="234"/>
        <v>154.75825</v>
      </c>
      <c r="D1109" s="56">
        <f t="shared" ca="1" si="234"/>
        <v>281.0162499999999</v>
      </c>
      <c r="E1109" s="56">
        <f t="shared" ca="1" si="234"/>
        <v>109.1005</v>
      </c>
      <c r="F1109" s="56">
        <f t="shared" ca="1" si="234"/>
        <v>57.041666666666664</v>
      </c>
      <c r="G1109" s="56">
        <f t="shared" ca="1" si="234"/>
        <v>40</v>
      </c>
      <c r="H1109" s="56">
        <f t="shared" ca="1" si="234"/>
        <v>174.58333333333334</v>
      </c>
      <c r="I1109" s="56">
        <f t="shared" ca="1" si="234"/>
        <v>0</v>
      </c>
      <c r="J1109" s="56">
        <f t="shared" ca="1" si="234"/>
        <v>100</v>
      </c>
      <c r="K1109" s="56">
        <f t="shared" ca="1" si="234"/>
        <v>300</v>
      </c>
      <c r="L1109" s="56">
        <f t="shared" ca="1" si="234"/>
        <v>1216.5</v>
      </c>
      <c r="M1109" s="56">
        <f t="shared" ca="1" si="235"/>
        <v>600</v>
      </c>
      <c r="N1109" s="56">
        <f t="shared" ca="1" si="235"/>
        <v>72.5</v>
      </c>
      <c r="O1109" s="56">
        <f t="shared" ca="1" si="235"/>
        <v>240</v>
      </c>
      <c r="P1109" s="56">
        <f t="shared" ca="1" si="235"/>
        <v>40</v>
      </c>
      <c r="Q1109" s="56">
        <f t="shared" ca="1" si="235"/>
        <v>315</v>
      </c>
      <c r="R1109" s="56">
        <f t="shared" ca="1" si="235"/>
        <v>100</v>
      </c>
      <c r="S1109" s="56">
        <f t="shared" ca="1" si="235"/>
        <v>695</v>
      </c>
      <c r="T1109" s="56">
        <f t="shared" ca="1" si="235"/>
        <v>33.333333333333336</v>
      </c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</row>
    <row r="1110" spans="1:30" ht="15" x14ac:dyDescent="0.2">
      <c r="A1110" s="11">
        <f t="shared" si="208"/>
        <v>2067</v>
      </c>
      <c r="B1110" s="11">
        <f t="shared" si="217"/>
        <v>365</v>
      </c>
      <c r="C1110" s="56">
        <f t="shared" ca="1" si="234"/>
        <v>154.75825</v>
      </c>
      <c r="D1110" s="56">
        <f t="shared" ca="1" si="234"/>
        <v>281.0162499999999</v>
      </c>
      <c r="E1110" s="56">
        <f t="shared" ca="1" si="234"/>
        <v>109.1005</v>
      </c>
      <c r="F1110" s="56">
        <f t="shared" ca="1" si="234"/>
        <v>57.041666666666664</v>
      </c>
      <c r="G1110" s="56">
        <f t="shared" ca="1" si="234"/>
        <v>40</v>
      </c>
      <c r="H1110" s="56">
        <f t="shared" ca="1" si="234"/>
        <v>174.58333333333334</v>
      </c>
      <c r="I1110" s="56">
        <f t="shared" ca="1" si="234"/>
        <v>0</v>
      </c>
      <c r="J1110" s="56">
        <f t="shared" ca="1" si="234"/>
        <v>100</v>
      </c>
      <c r="K1110" s="56">
        <f t="shared" ca="1" si="234"/>
        <v>300</v>
      </c>
      <c r="L1110" s="56">
        <f t="shared" ca="1" si="234"/>
        <v>1216.5</v>
      </c>
      <c r="M1110" s="56">
        <f t="shared" ca="1" si="235"/>
        <v>600</v>
      </c>
      <c r="N1110" s="56">
        <f t="shared" ca="1" si="235"/>
        <v>72.5</v>
      </c>
      <c r="O1110" s="56">
        <f t="shared" ca="1" si="235"/>
        <v>240</v>
      </c>
      <c r="P1110" s="56">
        <f t="shared" ca="1" si="235"/>
        <v>40</v>
      </c>
      <c r="Q1110" s="56">
        <f t="shared" ca="1" si="235"/>
        <v>315</v>
      </c>
      <c r="R1110" s="56">
        <f t="shared" ca="1" si="235"/>
        <v>100</v>
      </c>
      <c r="S1110" s="56">
        <f t="shared" ca="1" si="235"/>
        <v>695</v>
      </c>
      <c r="T1110" s="56">
        <f t="shared" ca="1" si="235"/>
        <v>33.333333333333336</v>
      </c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</row>
    <row r="1111" spans="1:30" ht="15" x14ac:dyDescent="0.2">
      <c r="A1111" s="11">
        <f t="shared" si="208"/>
        <v>2068</v>
      </c>
      <c r="B1111" s="11">
        <f t="shared" si="217"/>
        <v>366</v>
      </c>
      <c r="C1111" s="56">
        <f t="shared" ca="1" si="234"/>
        <v>154.75825</v>
      </c>
      <c r="D1111" s="56">
        <f t="shared" ca="1" si="234"/>
        <v>281.0162499999999</v>
      </c>
      <c r="E1111" s="56">
        <f t="shared" ca="1" si="234"/>
        <v>109.1005</v>
      </c>
      <c r="F1111" s="56">
        <f t="shared" ca="1" si="234"/>
        <v>57.041666666666664</v>
      </c>
      <c r="G1111" s="56">
        <f t="shared" ca="1" si="234"/>
        <v>40</v>
      </c>
      <c r="H1111" s="56">
        <f t="shared" ca="1" si="234"/>
        <v>174.58333333333334</v>
      </c>
      <c r="I1111" s="56">
        <f t="shared" ca="1" si="234"/>
        <v>0</v>
      </c>
      <c r="J1111" s="56">
        <f t="shared" ca="1" si="234"/>
        <v>100</v>
      </c>
      <c r="K1111" s="56">
        <f t="shared" ca="1" si="234"/>
        <v>300</v>
      </c>
      <c r="L1111" s="56">
        <f t="shared" ca="1" si="234"/>
        <v>1216.5</v>
      </c>
      <c r="M1111" s="56">
        <f t="shared" ca="1" si="235"/>
        <v>600</v>
      </c>
      <c r="N1111" s="56">
        <f t="shared" ca="1" si="235"/>
        <v>72.5</v>
      </c>
      <c r="O1111" s="56">
        <f t="shared" ca="1" si="235"/>
        <v>240</v>
      </c>
      <c r="P1111" s="56">
        <f t="shared" ca="1" si="235"/>
        <v>40</v>
      </c>
      <c r="Q1111" s="56">
        <f t="shared" ca="1" si="235"/>
        <v>315</v>
      </c>
      <c r="R1111" s="56">
        <f t="shared" ca="1" si="235"/>
        <v>100</v>
      </c>
      <c r="S1111" s="56">
        <f t="shared" ca="1" si="235"/>
        <v>695</v>
      </c>
      <c r="T1111" s="56">
        <f t="shared" ca="1" si="235"/>
        <v>33.333333333333336</v>
      </c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</row>
    <row r="1112" spans="1:30" ht="15" x14ac:dyDescent="0.2">
      <c r="A1112" s="11">
        <f t="shared" si="208"/>
        <v>2069</v>
      </c>
      <c r="B1112" s="11">
        <f t="shared" si="217"/>
        <v>365</v>
      </c>
      <c r="C1112" s="56">
        <f t="shared" ca="1" si="234"/>
        <v>154.75825</v>
      </c>
      <c r="D1112" s="56">
        <f t="shared" ca="1" si="234"/>
        <v>281.0162499999999</v>
      </c>
      <c r="E1112" s="56">
        <f t="shared" ca="1" si="234"/>
        <v>109.1005</v>
      </c>
      <c r="F1112" s="56">
        <f t="shared" ca="1" si="234"/>
        <v>57.041666666666664</v>
      </c>
      <c r="G1112" s="56">
        <f t="shared" ca="1" si="234"/>
        <v>40</v>
      </c>
      <c r="H1112" s="56">
        <f t="shared" ca="1" si="234"/>
        <v>174.58333333333334</v>
      </c>
      <c r="I1112" s="56">
        <f t="shared" ca="1" si="234"/>
        <v>0</v>
      </c>
      <c r="J1112" s="56">
        <f t="shared" ca="1" si="234"/>
        <v>100</v>
      </c>
      <c r="K1112" s="56">
        <f t="shared" ca="1" si="234"/>
        <v>300</v>
      </c>
      <c r="L1112" s="56">
        <f t="shared" ca="1" si="234"/>
        <v>1216.5</v>
      </c>
      <c r="M1112" s="56">
        <f t="shared" ca="1" si="235"/>
        <v>600</v>
      </c>
      <c r="N1112" s="56">
        <f t="shared" ca="1" si="235"/>
        <v>72.5</v>
      </c>
      <c r="O1112" s="56">
        <f t="shared" ca="1" si="235"/>
        <v>240</v>
      </c>
      <c r="P1112" s="56">
        <f t="shared" ca="1" si="235"/>
        <v>40</v>
      </c>
      <c r="Q1112" s="56">
        <f t="shared" ca="1" si="235"/>
        <v>315</v>
      </c>
      <c r="R1112" s="56">
        <f t="shared" ca="1" si="235"/>
        <v>100</v>
      </c>
      <c r="S1112" s="56">
        <f t="shared" ca="1" si="235"/>
        <v>695</v>
      </c>
      <c r="T1112" s="56">
        <f t="shared" ca="1" si="235"/>
        <v>33.333333333333336</v>
      </c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</row>
    <row r="1113" spans="1:30" ht="15" x14ac:dyDescent="0.2">
      <c r="A1113" s="11">
        <f t="shared" ref="A1113:A1143" si="236">A1112+1</f>
        <v>2070</v>
      </c>
      <c r="B1113" s="11">
        <f t="shared" si="217"/>
        <v>365</v>
      </c>
      <c r="C1113" s="56">
        <f t="shared" ca="1" si="234"/>
        <v>154.75825</v>
      </c>
      <c r="D1113" s="56">
        <f t="shared" ca="1" si="234"/>
        <v>281.0162499999999</v>
      </c>
      <c r="E1113" s="56">
        <f t="shared" ca="1" si="234"/>
        <v>109.1005</v>
      </c>
      <c r="F1113" s="56">
        <f t="shared" ca="1" si="234"/>
        <v>57.041666666666664</v>
      </c>
      <c r="G1113" s="56">
        <f t="shared" ca="1" si="234"/>
        <v>40</v>
      </c>
      <c r="H1113" s="56">
        <f t="shared" ca="1" si="234"/>
        <v>174.58333333333334</v>
      </c>
      <c r="I1113" s="56">
        <f t="shared" ca="1" si="234"/>
        <v>0</v>
      </c>
      <c r="J1113" s="56">
        <f t="shared" ca="1" si="234"/>
        <v>100</v>
      </c>
      <c r="K1113" s="56">
        <f t="shared" ca="1" si="234"/>
        <v>300</v>
      </c>
      <c r="L1113" s="56">
        <f t="shared" ca="1" si="234"/>
        <v>1216.5</v>
      </c>
      <c r="M1113" s="56">
        <f t="shared" ca="1" si="235"/>
        <v>600</v>
      </c>
      <c r="N1113" s="56">
        <f t="shared" ca="1" si="235"/>
        <v>72.5</v>
      </c>
      <c r="O1113" s="56">
        <f t="shared" ca="1" si="235"/>
        <v>240</v>
      </c>
      <c r="P1113" s="56">
        <f t="shared" ca="1" si="235"/>
        <v>40</v>
      </c>
      <c r="Q1113" s="56">
        <f t="shared" ca="1" si="235"/>
        <v>315</v>
      </c>
      <c r="R1113" s="56">
        <f t="shared" ca="1" si="235"/>
        <v>100</v>
      </c>
      <c r="S1113" s="56">
        <f t="shared" ca="1" si="235"/>
        <v>695</v>
      </c>
      <c r="T1113" s="56">
        <f t="shared" ca="1" si="235"/>
        <v>33.333333333333336</v>
      </c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</row>
    <row r="1114" spans="1:30" ht="15" x14ac:dyDescent="0.2">
      <c r="A1114" s="11">
        <f t="shared" si="236"/>
        <v>2071</v>
      </c>
      <c r="B1114" s="11">
        <f t="shared" si="217"/>
        <v>365</v>
      </c>
      <c r="C1114" s="56">
        <f t="shared" ca="1" si="234"/>
        <v>154.75825</v>
      </c>
      <c r="D1114" s="56">
        <f t="shared" ca="1" si="234"/>
        <v>281.0162499999999</v>
      </c>
      <c r="E1114" s="56">
        <f t="shared" ca="1" si="234"/>
        <v>109.1005</v>
      </c>
      <c r="F1114" s="56">
        <f t="shared" ca="1" si="234"/>
        <v>57.041666666666664</v>
      </c>
      <c r="G1114" s="56">
        <f t="shared" ca="1" si="234"/>
        <v>40</v>
      </c>
      <c r="H1114" s="56">
        <f t="shared" ca="1" si="234"/>
        <v>174.58333333333334</v>
      </c>
      <c r="I1114" s="56">
        <f t="shared" ca="1" si="234"/>
        <v>0</v>
      </c>
      <c r="J1114" s="56">
        <f t="shared" ca="1" si="234"/>
        <v>100</v>
      </c>
      <c r="K1114" s="56">
        <f t="shared" ca="1" si="234"/>
        <v>300</v>
      </c>
      <c r="L1114" s="56">
        <f t="shared" ca="1" si="234"/>
        <v>1216.5</v>
      </c>
      <c r="M1114" s="56">
        <f t="shared" ca="1" si="235"/>
        <v>600</v>
      </c>
      <c r="N1114" s="56">
        <f t="shared" ca="1" si="235"/>
        <v>72.5</v>
      </c>
      <c r="O1114" s="56">
        <f t="shared" ca="1" si="235"/>
        <v>240</v>
      </c>
      <c r="P1114" s="56">
        <f t="shared" ca="1" si="235"/>
        <v>40</v>
      </c>
      <c r="Q1114" s="56">
        <f t="shared" ca="1" si="235"/>
        <v>315</v>
      </c>
      <c r="R1114" s="56">
        <f t="shared" ca="1" si="235"/>
        <v>100</v>
      </c>
      <c r="S1114" s="56">
        <f t="shared" ca="1" si="235"/>
        <v>695</v>
      </c>
      <c r="T1114" s="56">
        <f t="shared" ca="1" si="235"/>
        <v>33.333333333333336</v>
      </c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</row>
    <row r="1115" spans="1:30" ht="15" x14ac:dyDescent="0.2">
      <c r="A1115" s="11">
        <f t="shared" si="236"/>
        <v>2072</v>
      </c>
      <c r="B1115" s="11">
        <f t="shared" si="217"/>
        <v>366</v>
      </c>
      <c r="C1115" s="56">
        <f t="shared" ref="C1115:L1124" ca="1" si="237">AVERAGE(OFFSET(C$588,($A1115-$A$1105)*12,0,12,1))</f>
        <v>154.75825</v>
      </c>
      <c r="D1115" s="56">
        <f t="shared" ca="1" si="237"/>
        <v>281.0162499999999</v>
      </c>
      <c r="E1115" s="56">
        <f t="shared" ca="1" si="237"/>
        <v>109.1005</v>
      </c>
      <c r="F1115" s="56">
        <f t="shared" ca="1" si="237"/>
        <v>57.041666666666664</v>
      </c>
      <c r="G1115" s="56">
        <f t="shared" ca="1" si="237"/>
        <v>40</v>
      </c>
      <c r="H1115" s="56">
        <f t="shared" ca="1" si="237"/>
        <v>174.58333333333334</v>
      </c>
      <c r="I1115" s="56">
        <f t="shared" ca="1" si="237"/>
        <v>0</v>
      </c>
      <c r="J1115" s="56">
        <f t="shared" ca="1" si="237"/>
        <v>100</v>
      </c>
      <c r="K1115" s="56">
        <f t="shared" ca="1" si="237"/>
        <v>300</v>
      </c>
      <c r="L1115" s="56">
        <f t="shared" ca="1" si="237"/>
        <v>1216.5</v>
      </c>
      <c r="M1115" s="56">
        <f t="shared" ref="M1115:T1124" ca="1" si="238">AVERAGE(OFFSET(M$588,($A1115-$A$1105)*12,0,12,1))</f>
        <v>600</v>
      </c>
      <c r="N1115" s="56">
        <f t="shared" ca="1" si="238"/>
        <v>72.5</v>
      </c>
      <c r="O1115" s="56">
        <f t="shared" ca="1" si="238"/>
        <v>240</v>
      </c>
      <c r="P1115" s="56">
        <f t="shared" ca="1" si="238"/>
        <v>40</v>
      </c>
      <c r="Q1115" s="56">
        <f t="shared" ca="1" si="238"/>
        <v>315</v>
      </c>
      <c r="R1115" s="56">
        <f t="shared" ca="1" si="238"/>
        <v>100</v>
      </c>
      <c r="S1115" s="56">
        <f t="shared" ca="1" si="238"/>
        <v>695</v>
      </c>
      <c r="T1115" s="56">
        <f t="shared" ca="1" si="238"/>
        <v>33.333333333333336</v>
      </c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</row>
    <row r="1116" spans="1:30" ht="15" x14ac:dyDescent="0.2">
      <c r="A1116" s="11">
        <f t="shared" si="236"/>
        <v>2073</v>
      </c>
      <c r="B1116" s="11">
        <f t="shared" si="217"/>
        <v>365</v>
      </c>
      <c r="C1116" s="56">
        <f t="shared" ca="1" si="237"/>
        <v>154.75825</v>
      </c>
      <c r="D1116" s="56">
        <f t="shared" ca="1" si="237"/>
        <v>281.0162499999999</v>
      </c>
      <c r="E1116" s="56">
        <f t="shared" ca="1" si="237"/>
        <v>109.1005</v>
      </c>
      <c r="F1116" s="56">
        <f t="shared" ca="1" si="237"/>
        <v>57.041666666666664</v>
      </c>
      <c r="G1116" s="56">
        <f t="shared" ca="1" si="237"/>
        <v>40</v>
      </c>
      <c r="H1116" s="56">
        <f t="shared" ca="1" si="237"/>
        <v>174.58333333333334</v>
      </c>
      <c r="I1116" s="56">
        <f t="shared" ca="1" si="237"/>
        <v>0</v>
      </c>
      <c r="J1116" s="56">
        <f t="shared" ca="1" si="237"/>
        <v>100</v>
      </c>
      <c r="K1116" s="56">
        <f t="shared" ca="1" si="237"/>
        <v>300</v>
      </c>
      <c r="L1116" s="56">
        <f t="shared" ca="1" si="237"/>
        <v>1216.5</v>
      </c>
      <c r="M1116" s="56">
        <f t="shared" ca="1" si="238"/>
        <v>600</v>
      </c>
      <c r="N1116" s="56">
        <f t="shared" ca="1" si="238"/>
        <v>72.5</v>
      </c>
      <c r="O1116" s="56">
        <f t="shared" ca="1" si="238"/>
        <v>240</v>
      </c>
      <c r="P1116" s="56">
        <f t="shared" ca="1" si="238"/>
        <v>40</v>
      </c>
      <c r="Q1116" s="56">
        <f t="shared" ca="1" si="238"/>
        <v>315</v>
      </c>
      <c r="R1116" s="56">
        <f t="shared" ca="1" si="238"/>
        <v>100</v>
      </c>
      <c r="S1116" s="56">
        <f t="shared" ca="1" si="238"/>
        <v>695</v>
      </c>
      <c r="T1116" s="56">
        <f t="shared" ca="1" si="238"/>
        <v>33.333333333333336</v>
      </c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</row>
    <row r="1117" spans="1:30" ht="15" x14ac:dyDescent="0.2">
      <c r="A1117" s="11">
        <f t="shared" si="236"/>
        <v>2074</v>
      </c>
      <c r="B1117" s="11">
        <f t="shared" si="217"/>
        <v>365</v>
      </c>
      <c r="C1117" s="56">
        <f t="shared" ca="1" si="237"/>
        <v>154.75825</v>
      </c>
      <c r="D1117" s="56">
        <f t="shared" ca="1" si="237"/>
        <v>281.0162499999999</v>
      </c>
      <c r="E1117" s="56">
        <f t="shared" ca="1" si="237"/>
        <v>109.1005</v>
      </c>
      <c r="F1117" s="56">
        <f t="shared" ca="1" si="237"/>
        <v>57.041666666666664</v>
      </c>
      <c r="G1117" s="56">
        <f t="shared" ca="1" si="237"/>
        <v>40</v>
      </c>
      <c r="H1117" s="56">
        <f t="shared" ca="1" si="237"/>
        <v>174.58333333333334</v>
      </c>
      <c r="I1117" s="56">
        <f t="shared" ca="1" si="237"/>
        <v>0</v>
      </c>
      <c r="J1117" s="56">
        <f t="shared" ca="1" si="237"/>
        <v>100</v>
      </c>
      <c r="K1117" s="56">
        <f t="shared" ca="1" si="237"/>
        <v>300</v>
      </c>
      <c r="L1117" s="56">
        <f t="shared" ca="1" si="237"/>
        <v>1216.5</v>
      </c>
      <c r="M1117" s="56">
        <f t="shared" ca="1" si="238"/>
        <v>600</v>
      </c>
      <c r="N1117" s="56">
        <f t="shared" ca="1" si="238"/>
        <v>72.5</v>
      </c>
      <c r="O1117" s="56">
        <f t="shared" ca="1" si="238"/>
        <v>240</v>
      </c>
      <c r="P1117" s="56">
        <f t="shared" ca="1" si="238"/>
        <v>40</v>
      </c>
      <c r="Q1117" s="56">
        <f t="shared" ca="1" si="238"/>
        <v>315</v>
      </c>
      <c r="R1117" s="56">
        <f t="shared" ca="1" si="238"/>
        <v>100</v>
      </c>
      <c r="S1117" s="56">
        <f t="shared" ca="1" si="238"/>
        <v>695</v>
      </c>
      <c r="T1117" s="56">
        <f t="shared" ca="1" si="238"/>
        <v>33.333333333333336</v>
      </c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</row>
    <row r="1118" spans="1:30" ht="15" x14ac:dyDescent="0.2">
      <c r="A1118" s="11">
        <f t="shared" si="236"/>
        <v>2075</v>
      </c>
      <c r="B1118" s="11">
        <f t="shared" si="217"/>
        <v>365</v>
      </c>
      <c r="C1118" s="56">
        <f t="shared" ca="1" si="237"/>
        <v>154.75825</v>
      </c>
      <c r="D1118" s="56">
        <f t="shared" ca="1" si="237"/>
        <v>281.0162499999999</v>
      </c>
      <c r="E1118" s="56">
        <f t="shared" ca="1" si="237"/>
        <v>109.1005</v>
      </c>
      <c r="F1118" s="56">
        <f t="shared" ca="1" si="237"/>
        <v>57.041666666666664</v>
      </c>
      <c r="G1118" s="56">
        <f t="shared" ca="1" si="237"/>
        <v>40</v>
      </c>
      <c r="H1118" s="56">
        <f t="shared" ca="1" si="237"/>
        <v>174.58333333333334</v>
      </c>
      <c r="I1118" s="56">
        <f t="shared" ca="1" si="237"/>
        <v>0</v>
      </c>
      <c r="J1118" s="56">
        <f t="shared" ca="1" si="237"/>
        <v>100</v>
      </c>
      <c r="K1118" s="56">
        <f t="shared" ca="1" si="237"/>
        <v>300</v>
      </c>
      <c r="L1118" s="56">
        <f t="shared" ca="1" si="237"/>
        <v>1216.5</v>
      </c>
      <c r="M1118" s="56">
        <f t="shared" ca="1" si="238"/>
        <v>600</v>
      </c>
      <c r="N1118" s="56">
        <f t="shared" ca="1" si="238"/>
        <v>72.5</v>
      </c>
      <c r="O1118" s="56">
        <f t="shared" ca="1" si="238"/>
        <v>240</v>
      </c>
      <c r="P1118" s="56">
        <f t="shared" ca="1" si="238"/>
        <v>40</v>
      </c>
      <c r="Q1118" s="56">
        <f t="shared" ca="1" si="238"/>
        <v>315</v>
      </c>
      <c r="R1118" s="56">
        <f t="shared" ca="1" si="238"/>
        <v>100</v>
      </c>
      <c r="S1118" s="56">
        <f t="shared" ca="1" si="238"/>
        <v>695</v>
      </c>
      <c r="T1118" s="56">
        <f t="shared" ca="1" si="238"/>
        <v>33.333333333333336</v>
      </c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</row>
    <row r="1119" spans="1:30" ht="15" x14ac:dyDescent="0.2">
      <c r="A1119" s="11">
        <f t="shared" si="236"/>
        <v>2076</v>
      </c>
      <c r="B1119" s="11">
        <f t="shared" si="217"/>
        <v>366</v>
      </c>
      <c r="C1119" s="56">
        <f t="shared" ca="1" si="237"/>
        <v>154.75825</v>
      </c>
      <c r="D1119" s="56">
        <f t="shared" ca="1" si="237"/>
        <v>281.0162499999999</v>
      </c>
      <c r="E1119" s="56">
        <f t="shared" ca="1" si="237"/>
        <v>109.1005</v>
      </c>
      <c r="F1119" s="56">
        <f t="shared" ca="1" si="237"/>
        <v>57.041666666666664</v>
      </c>
      <c r="G1119" s="56">
        <f t="shared" ca="1" si="237"/>
        <v>40</v>
      </c>
      <c r="H1119" s="56">
        <f t="shared" ca="1" si="237"/>
        <v>174.58333333333334</v>
      </c>
      <c r="I1119" s="56">
        <f t="shared" ca="1" si="237"/>
        <v>0</v>
      </c>
      <c r="J1119" s="56">
        <f t="shared" ca="1" si="237"/>
        <v>100</v>
      </c>
      <c r="K1119" s="56">
        <f t="shared" ca="1" si="237"/>
        <v>300</v>
      </c>
      <c r="L1119" s="56">
        <f t="shared" ca="1" si="237"/>
        <v>1216.5</v>
      </c>
      <c r="M1119" s="56">
        <f t="shared" ca="1" si="238"/>
        <v>600</v>
      </c>
      <c r="N1119" s="56">
        <f t="shared" ca="1" si="238"/>
        <v>72.5</v>
      </c>
      <c r="O1119" s="56">
        <f t="shared" ca="1" si="238"/>
        <v>240</v>
      </c>
      <c r="P1119" s="56">
        <f t="shared" ca="1" si="238"/>
        <v>40</v>
      </c>
      <c r="Q1119" s="56">
        <f t="shared" ca="1" si="238"/>
        <v>315</v>
      </c>
      <c r="R1119" s="56">
        <f t="shared" ca="1" si="238"/>
        <v>100</v>
      </c>
      <c r="S1119" s="56">
        <f t="shared" ca="1" si="238"/>
        <v>695</v>
      </c>
      <c r="T1119" s="56">
        <f t="shared" ca="1" si="238"/>
        <v>33.333333333333336</v>
      </c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</row>
    <row r="1120" spans="1:30" ht="15" x14ac:dyDescent="0.2">
      <c r="A1120" s="11">
        <f t="shared" si="236"/>
        <v>2077</v>
      </c>
      <c r="B1120" s="11">
        <f t="shared" si="217"/>
        <v>365</v>
      </c>
      <c r="C1120" s="56">
        <f t="shared" ca="1" si="237"/>
        <v>154.75825</v>
      </c>
      <c r="D1120" s="56">
        <f t="shared" ca="1" si="237"/>
        <v>281.0162499999999</v>
      </c>
      <c r="E1120" s="56">
        <f t="shared" ca="1" si="237"/>
        <v>109.1005</v>
      </c>
      <c r="F1120" s="56">
        <f t="shared" ca="1" si="237"/>
        <v>57.041666666666664</v>
      </c>
      <c r="G1120" s="56">
        <f t="shared" ca="1" si="237"/>
        <v>40</v>
      </c>
      <c r="H1120" s="56">
        <f t="shared" ca="1" si="237"/>
        <v>174.58333333333334</v>
      </c>
      <c r="I1120" s="56">
        <f t="shared" ca="1" si="237"/>
        <v>0</v>
      </c>
      <c r="J1120" s="56">
        <f t="shared" ca="1" si="237"/>
        <v>100</v>
      </c>
      <c r="K1120" s="56">
        <f t="shared" ca="1" si="237"/>
        <v>300</v>
      </c>
      <c r="L1120" s="56">
        <f t="shared" ca="1" si="237"/>
        <v>1216.5</v>
      </c>
      <c r="M1120" s="56">
        <f t="shared" ca="1" si="238"/>
        <v>600</v>
      </c>
      <c r="N1120" s="56">
        <f t="shared" ca="1" si="238"/>
        <v>72.5</v>
      </c>
      <c r="O1120" s="56">
        <f t="shared" ca="1" si="238"/>
        <v>240</v>
      </c>
      <c r="P1120" s="56">
        <f t="shared" ca="1" si="238"/>
        <v>40</v>
      </c>
      <c r="Q1120" s="56">
        <f t="shared" ca="1" si="238"/>
        <v>315</v>
      </c>
      <c r="R1120" s="56">
        <f t="shared" ca="1" si="238"/>
        <v>100</v>
      </c>
      <c r="S1120" s="56">
        <f t="shared" ca="1" si="238"/>
        <v>695</v>
      </c>
      <c r="T1120" s="56">
        <f t="shared" ca="1" si="238"/>
        <v>33.333333333333336</v>
      </c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</row>
    <row r="1121" spans="1:30" ht="15" x14ac:dyDescent="0.2">
      <c r="A1121" s="11">
        <f t="shared" si="236"/>
        <v>2078</v>
      </c>
      <c r="B1121" s="11">
        <f t="shared" ref="B1121:B1143" si="239">DATE(A1121+1,1,1)-DATE(A1121,1,1)</f>
        <v>365</v>
      </c>
      <c r="C1121" s="56">
        <f t="shared" ca="1" si="237"/>
        <v>154.75825</v>
      </c>
      <c r="D1121" s="56">
        <f t="shared" ca="1" si="237"/>
        <v>281.0162499999999</v>
      </c>
      <c r="E1121" s="56">
        <f t="shared" ca="1" si="237"/>
        <v>109.1005</v>
      </c>
      <c r="F1121" s="56">
        <f t="shared" ca="1" si="237"/>
        <v>57.041666666666664</v>
      </c>
      <c r="G1121" s="56">
        <f t="shared" ca="1" si="237"/>
        <v>40</v>
      </c>
      <c r="H1121" s="56">
        <f t="shared" ca="1" si="237"/>
        <v>174.58333333333334</v>
      </c>
      <c r="I1121" s="56">
        <f t="shared" ca="1" si="237"/>
        <v>0</v>
      </c>
      <c r="J1121" s="56">
        <f t="shared" ca="1" si="237"/>
        <v>100</v>
      </c>
      <c r="K1121" s="56">
        <f t="shared" ca="1" si="237"/>
        <v>300</v>
      </c>
      <c r="L1121" s="56">
        <f t="shared" ca="1" si="237"/>
        <v>1216.5</v>
      </c>
      <c r="M1121" s="56">
        <f t="shared" ca="1" si="238"/>
        <v>600</v>
      </c>
      <c r="N1121" s="56">
        <f t="shared" ca="1" si="238"/>
        <v>72.5</v>
      </c>
      <c r="O1121" s="56">
        <f t="shared" ca="1" si="238"/>
        <v>240</v>
      </c>
      <c r="P1121" s="56">
        <f t="shared" ca="1" si="238"/>
        <v>40</v>
      </c>
      <c r="Q1121" s="56">
        <f t="shared" ca="1" si="238"/>
        <v>315</v>
      </c>
      <c r="R1121" s="56">
        <f t="shared" ca="1" si="238"/>
        <v>100</v>
      </c>
      <c r="S1121" s="56">
        <f t="shared" ca="1" si="238"/>
        <v>695</v>
      </c>
      <c r="T1121" s="56">
        <f t="shared" ca="1" si="238"/>
        <v>33.333333333333336</v>
      </c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</row>
    <row r="1122" spans="1:30" ht="15" x14ac:dyDescent="0.2">
      <c r="A1122" s="11">
        <f t="shared" si="236"/>
        <v>2079</v>
      </c>
      <c r="B1122" s="11">
        <f t="shared" si="239"/>
        <v>365</v>
      </c>
      <c r="C1122" s="56">
        <f t="shared" ca="1" si="237"/>
        <v>154.75825</v>
      </c>
      <c r="D1122" s="56">
        <f t="shared" ca="1" si="237"/>
        <v>281.0162499999999</v>
      </c>
      <c r="E1122" s="56">
        <f t="shared" ca="1" si="237"/>
        <v>109.1005</v>
      </c>
      <c r="F1122" s="56">
        <f t="shared" ca="1" si="237"/>
        <v>57.041666666666664</v>
      </c>
      <c r="G1122" s="56">
        <f t="shared" ca="1" si="237"/>
        <v>40</v>
      </c>
      <c r="H1122" s="56">
        <f t="shared" ca="1" si="237"/>
        <v>174.58333333333334</v>
      </c>
      <c r="I1122" s="56">
        <f t="shared" ca="1" si="237"/>
        <v>0</v>
      </c>
      <c r="J1122" s="56">
        <f t="shared" ca="1" si="237"/>
        <v>100</v>
      </c>
      <c r="K1122" s="56">
        <f t="shared" ca="1" si="237"/>
        <v>300</v>
      </c>
      <c r="L1122" s="56">
        <f t="shared" ca="1" si="237"/>
        <v>1216.5</v>
      </c>
      <c r="M1122" s="56">
        <f t="shared" ca="1" si="238"/>
        <v>600</v>
      </c>
      <c r="N1122" s="56">
        <f t="shared" ca="1" si="238"/>
        <v>72.5</v>
      </c>
      <c r="O1122" s="56">
        <f t="shared" ca="1" si="238"/>
        <v>240</v>
      </c>
      <c r="P1122" s="56">
        <f t="shared" ca="1" si="238"/>
        <v>40</v>
      </c>
      <c r="Q1122" s="56">
        <f t="shared" ca="1" si="238"/>
        <v>315</v>
      </c>
      <c r="R1122" s="56">
        <f t="shared" ca="1" si="238"/>
        <v>100</v>
      </c>
      <c r="S1122" s="56">
        <f t="shared" ca="1" si="238"/>
        <v>695</v>
      </c>
      <c r="T1122" s="56">
        <f t="shared" ca="1" si="238"/>
        <v>33.333333333333336</v>
      </c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</row>
    <row r="1123" spans="1:30" ht="15" x14ac:dyDescent="0.2">
      <c r="A1123" s="11">
        <f t="shared" si="236"/>
        <v>2080</v>
      </c>
      <c r="B1123" s="11">
        <f t="shared" si="239"/>
        <v>366</v>
      </c>
      <c r="C1123" s="56">
        <f t="shared" ca="1" si="237"/>
        <v>154.75825</v>
      </c>
      <c r="D1123" s="56">
        <f t="shared" ca="1" si="237"/>
        <v>281.0162499999999</v>
      </c>
      <c r="E1123" s="56">
        <f t="shared" ca="1" si="237"/>
        <v>109.1005</v>
      </c>
      <c r="F1123" s="56">
        <f t="shared" ca="1" si="237"/>
        <v>57.041666666666664</v>
      </c>
      <c r="G1123" s="56">
        <f t="shared" ca="1" si="237"/>
        <v>40</v>
      </c>
      <c r="H1123" s="56">
        <f t="shared" ca="1" si="237"/>
        <v>174.58333333333334</v>
      </c>
      <c r="I1123" s="56">
        <f t="shared" ca="1" si="237"/>
        <v>0</v>
      </c>
      <c r="J1123" s="56">
        <f t="shared" ca="1" si="237"/>
        <v>100</v>
      </c>
      <c r="K1123" s="56">
        <f t="shared" ca="1" si="237"/>
        <v>300</v>
      </c>
      <c r="L1123" s="56">
        <f t="shared" ca="1" si="237"/>
        <v>1216.5</v>
      </c>
      <c r="M1123" s="56">
        <f t="shared" ca="1" si="238"/>
        <v>600</v>
      </c>
      <c r="N1123" s="56">
        <f t="shared" ca="1" si="238"/>
        <v>72.5</v>
      </c>
      <c r="O1123" s="56">
        <f t="shared" ca="1" si="238"/>
        <v>240</v>
      </c>
      <c r="P1123" s="56">
        <f t="shared" ca="1" si="238"/>
        <v>40</v>
      </c>
      <c r="Q1123" s="56">
        <f t="shared" ca="1" si="238"/>
        <v>315</v>
      </c>
      <c r="R1123" s="56">
        <f t="shared" ca="1" si="238"/>
        <v>100</v>
      </c>
      <c r="S1123" s="56">
        <f t="shared" ca="1" si="238"/>
        <v>695</v>
      </c>
      <c r="T1123" s="56">
        <f t="shared" ca="1" si="238"/>
        <v>33.333333333333336</v>
      </c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</row>
    <row r="1124" spans="1:30" ht="15" x14ac:dyDescent="0.2">
      <c r="A1124" s="11">
        <f t="shared" si="236"/>
        <v>2081</v>
      </c>
      <c r="B1124" s="11">
        <f t="shared" si="239"/>
        <v>365</v>
      </c>
      <c r="C1124" s="56">
        <f t="shared" ca="1" si="237"/>
        <v>154.75825</v>
      </c>
      <c r="D1124" s="56">
        <f t="shared" ca="1" si="237"/>
        <v>281.0162499999999</v>
      </c>
      <c r="E1124" s="56">
        <f t="shared" ca="1" si="237"/>
        <v>109.1005</v>
      </c>
      <c r="F1124" s="56">
        <f t="shared" ca="1" si="237"/>
        <v>57.041666666666664</v>
      </c>
      <c r="G1124" s="56">
        <f t="shared" ca="1" si="237"/>
        <v>40</v>
      </c>
      <c r="H1124" s="56">
        <f t="shared" ca="1" si="237"/>
        <v>174.58333333333334</v>
      </c>
      <c r="I1124" s="56">
        <f t="shared" ca="1" si="237"/>
        <v>0</v>
      </c>
      <c r="J1124" s="56">
        <f t="shared" ca="1" si="237"/>
        <v>100</v>
      </c>
      <c r="K1124" s="56">
        <f t="shared" ca="1" si="237"/>
        <v>300</v>
      </c>
      <c r="L1124" s="56">
        <f t="shared" ca="1" si="237"/>
        <v>1216.5</v>
      </c>
      <c r="M1124" s="56">
        <f t="shared" ca="1" si="238"/>
        <v>600</v>
      </c>
      <c r="N1124" s="56">
        <f t="shared" ca="1" si="238"/>
        <v>72.5</v>
      </c>
      <c r="O1124" s="56">
        <f t="shared" ca="1" si="238"/>
        <v>240</v>
      </c>
      <c r="P1124" s="56">
        <f t="shared" ca="1" si="238"/>
        <v>40</v>
      </c>
      <c r="Q1124" s="56">
        <f t="shared" ca="1" si="238"/>
        <v>315</v>
      </c>
      <c r="R1124" s="56">
        <f t="shared" ca="1" si="238"/>
        <v>100</v>
      </c>
      <c r="S1124" s="56">
        <f t="shared" ca="1" si="238"/>
        <v>695</v>
      </c>
      <c r="T1124" s="56">
        <f t="shared" ca="1" si="238"/>
        <v>33.333333333333336</v>
      </c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</row>
    <row r="1125" spans="1:30" ht="15" x14ac:dyDescent="0.2">
      <c r="A1125" s="11">
        <f t="shared" si="236"/>
        <v>2082</v>
      </c>
      <c r="B1125" s="11">
        <f t="shared" si="239"/>
        <v>365</v>
      </c>
      <c r="C1125" s="56">
        <f t="shared" ref="C1125:L1134" ca="1" si="240">AVERAGE(OFFSET(C$588,($A1125-$A$1105)*12,0,12,1))</f>
        <v>154.75825</v>
      </c>
      <c r="D1125" s="56">
        <f t="shared" ca="1" si="240"/>
        <v>281.0162499999999</v>
      </c>
      <c r="E1125" s="56">
        <f t="shared" ca="1" si="240"/>
        <v>109.1005</v>
      </c>
      <c r="F1125" s="56">
        <f t="shared" ca="1" si="240"/>
        <v>57.041666666666664</v>
      </c>
      <c r="G1125" s="56">
        <f t="shared" ca="1" si="240"/>
        <v>40</v>
      </c>
      <c r="H1125" s="56">
        <f t="shared" ca="1" si="240"/>
        <v>174.58333333333334</v>
      </c>
      <c r="I1125" s="56">
        <f t="shared" ca="1" si="240"/>
        <v>0</v>
      </c>
      <c r="J1125" s="56">
        <f t="shared" ca="1" si="240"/>
        <v>100</v>
      </c>
      <c r="K1125" s="56">
        <f t="shared" ca="1" si="240"/>
        <v>300</v>
      </c>
      <c r="L1125" s="56">
        <f t="shared" ca="1" si="240"/>
        <v>1216.5</v>
      </c>
      <c r="M1125" s="56">
        <f t="shared" ref="M1125:T1134" ca="1" si="241">AVERAGE(OFFSET(M$588,($A1125-$A$1105)*12,0,12,1))</f>
        <v>600</v>
      </c>
      <c r="N1125" s="56">
        <f t="shared" ca="1" si="241"/>
        <v>72.5</v>
      </c>
      <c r="O1125" s="56">
        <f t="shared" ca="1" si="241"/>
        <v>240</v>
      </c>
      <c r="P1125" s="56">
        <f t="shared" ca="1" si="241"/>
        <v>40</v>
      </c>
      <c r="Q1125" s="56">
        <f t="shared" ca="1" si="241"/>
        <v>315</v>
      </c>
      <c r="R1125" s="56">
        <f t="shared" ca="1" si="241"/>
        <v>100</v>
      </c>
      <c r="S1125" s="56">
        <f t="shared" ca="1" si="241"/>
        <v>695</v>
      </c>
      <c r="T1125" s="56">
        <f t="shared" ca="1" si="241"/>
        <v>33.333333333333336</v>
      </c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</row>
    <row r="1126" spans="1:30" ht="15" x14ac:dyDescent="0.2">
      <c r="A1126" s="11">
        <f t="shared" si="236"/>
        <v>2083</v>
      </c>
      <c r="B1126" s="11">
        <f t="shared" si="239"/>
        <v>365</v>
      </c>
      <c r="C1126" s="56">
        <f t="shared" ca="1" si="240"/>
        <v>154.75825</v>
      </c>
      <c r="D1126" s="56">
        <f t="shared" ca="1" si="240"/>
        <v>281.0162499999999</v>
      </c>
      <c r="E1126" s="56">
        <f t="shared" ca="1" si="240"/>
        <v>109.1005</v>
      </c>
      <c r="F1126" s="56">
        <f t="shared" ca="1" si="240"/>
        <v>57.041666666666664</v>
      </c>
      <c r="G1126" s="56">
        <f t="shared" ca="1" si="240"/>
        <v>40</v>
      </c>
      <c r="H1126" s="56">
        <f t="shared" ca="1" si="240"/>
        <v>174.58333333333334</v>
      </c>
      <c r="I1126" s="56">
        <f t="shared" ca="1" si="240"/>
        <v>0</v>
      </c>
      <c r="J1126" s="56">
        <f t="shared" ca="1" si="240"/>
        <v>100</v>
      </c>
      <c r="K1126" s="56">
        <f t="shared" ca="1" si="240"/>
        <v>300</v>
      </c>
      <c r="L1126" s="56">
        <f t="shared" ca="1" si="240"/>
        <v>1216.5</v>
      </c>
      <c r="M1126" s="56">
        <f t="shared" ca="1" si="241"/>
        <v>600</v>
      </c>
      <c r="N1126" s="56">
        <f t="shared" ca="1" si="241"/>
        <v>72.5</v>
      </c>
      <c r="O1126" s="56">
        <f t="shared" ca="1" si="241"/>
        <v>240</v>
      </c>
      <c r="P1126" s="56">
        <f t="shared" ca="1" si="241"/>
        <v>40</v>
      </c>
      <c r="Q1126" s="56">
        <f t="shared" ca="1" si="241"/>
        <v>315</v>
      </c>
      <c r="R1126" s="56">
        <f t="shared" ca="1" si="241"/>
        <v>100</v>
      </c>
      <c r="S1126" s="56">
        <f t="shared" ca="1" si="241"/>
        <v>695</v>
      </c>
      <c r="T1126" s="56">
        <f t="shared" ca="1" si="241"/>
        <v>33.333333333333336</v>
      </c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</row>
    <row r="1127" spans="1:30" ht="15" x14ac:dyDescent="0.2">
      <c r="A1127" s="11">
        <f t="shared" si="236"/>
        <v>2084</v>
      </c>
      <c r="B1127" s="11">
        <f t="shared" si="239"/>
        <v>366</v>
      </c>
      <c r="C1127" s="56">
        <f t="shared" ca="1" si="240"/>
        <v>154.75825</v>
      </c>
      <c r="D1127" s="56">
        <f t="shared" ca="1" si="240"/>
        <v>281.0162499999999</v>
      </c>
      <c r="E1127" s="56">
        <f t="shared" ca="1" si="240"/>
        <v>109.1005</v>
      </c>
      <c r="F1127" s="56">
        <f t="shared" ca="1" si="240"/>
        <v>57.041666666666664</v>
      </c>
      <c r="G1127" s="56">
        <f t="shared" ca="1" si="240"/>
        <v>40</v>
      </c>
      <c r="H1127" s="56">
        <f t="shared" ca="1" si="240"/>
        <v>174.58333333333334</v>
      </c>
      <c r="I1127" s="56">
        <f t="shared" ca="1" si="240"/>
        <v>0</v>
      </c>
      <c r="J1127" s="56">
        <f t="shared" ca="1" si="240"/>
        <v>100</v>
      </c>
      <c r="K1127" s="56">
        <f t="shared" ca="1" si="240"/>
        <v>300</v>
      </c>
      <c r="L1127" s="56">
        <f t="shared" ca="1" si="240"/>
        <v>1216.5</v>
      </c>
      <c r="M1127" s="56">
        <f t="shared" ca="1" si="241"/>
        <v>600</v>
      </c>
      <c r="N1127" s="56">
        <f t="shared" ca="1" si="241"/>
        <v>72.5</v>
      </c>
      <c r="O1127" s="56">
        <f t="shared" ca="1" si="241"/>
        <v>240</v>
      </c>
      <c r="P1127" s="56">
        <f t="shared" ca="1" si="241"/>
        <v>40</v>
      </c>
      <c r="Q1127" s="56">
        <f t="shared" ca="1" si="241"/>
        <v>315</v>
      </c>
      <c r="R1127" s="56">
        <f t="shared" ca="1" si="241"/>
        <v>100</v>
      </c>
      <c r="S1127" s="56">
        <f t="shared" ca="1" si="241"/>
        <v>695</v>
      </c>
      <c r="T1127" s="56">
        <f t="shared" ca="1" si="241"/>
        <v>33.333333333333336</v>
      </c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</row>
    <row r="1128" spans="1:30" ht="15" x14ac:dyDescent="0.2">
      <c r="A1128" s="11">
        <f t="shared" si="236"/>
        <v>2085</v>
      </c>
      <c r="B1128" s="11">
        <f t="shared" si="239"/>
        <v>365</v>
      </c>
      <c r="C1128" s="56">
        <f t="shared" ca="1" si="240"/>
        <v>154.75825</v>
      </c>
      <c r="D1128" s="56">
        <f t="shared" ca="1" si="240"/>
        <v>281.0162499999999</v>
      </c>
      <c r="E1128" s="56">
        <f t="shared" ca="1" si="240"/>
        <v>109.1005</v>
      </c>
      <c r="F1128" s="56">
        <f t="shared" ca="1" si="240"/>
        <v>57.041666666666664</v>
      </c>
      <c r="G1128" s="56">
        <f t="shared" ca="1" si="240"/>
        <v>40</v>
      </c>
      <c r="H1128" s="56">
        <f t="shared" ca="1" si="240"/>
        <v>174.58333333333334</v>
      </c>
      <c r="I1128" s="56">
        <f t="shared" ca="1" si="240"/>
        <v>0</v>
      </c>
      <c r="J1128" s="56">
        <f t="shared" ca="1" si="240"/>
        <v>100</v>
      </c>
      <c r="K1128" s="56">
        <f t="shared" ca="1" si="240"/>
        <v>300</v>
      </c>
      <c r="L1128" s="56">
        <f t="shared" ca="1" si="240"/>
        <v>1216.5</v>
      </c>
      <c r="M1128" s="56">
        <f t="shared" ca="1" si="241"/>
        <v>600</v>
      </c>
      <c r="N1128" s="56">
        <f t="shared" ca="1" si="241"/>
        <v>72.5</v>
      </c>
      <c r="O1128" s="56">
        <f t="shared" ca="1" si="241"/>
        <v>240</v>
      </c>
      <c r="P1128" s="56">
        <f t="shared" ca="1" si="241"/>
        <v>40</v>
      </c>
      <c r="Q1128" s="56">
        <f t="shared" ca="1" si="241"/>
        <v>315</v>
      </c>
      <c r="R1128" s="56">
        <f t="shared" ca="1" si="241"/>
        <v>100</v>
      </c>
      <c r="S1128" s="56">
        <f t="shared" ca="1" si="241"/>
        <v>695</v>
      </c>
      <c r="T1128" s="56">
        <f t="shared" ca="1" si="241"/>
        <v>33.333333333333336</v>
      </c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</row>
    <row r="1129" spans="1:30" ht="15" x14ac:dyDescent="0.2">
      <c r="A1129" s="11">
        <f t="shared" si="236"/>
        <v>2086</v>
      </c>
      <c r="B1129" s="11">
        <f t="shared" si="239"/>
        <v>365</v>
      </c>
      <c r="C1129" s="56">
        <f t="shared" ca="1" si="240"/>
        <v>154.75825</v>
      </c>
      <c r="D1129" s="56">
        <f t="shared" ca="1" si="240"/>
        <v>281.0162499999999</v>
      </c>
      <c r="E1129" s="56">
        <f t="shared" ca="1" si="240"/>
        <v>109.1005</v>
      </c>
      <c r="F1129" s="56">
        <f t="shared" ca="1" si="240"/>
        <v>57.041666666666664</v>
      </c>
      <c r="G1129" s="56">
        <f t="shared" ca="1" si="240"/>
        <v>40</v>
      </c>
      <c r="H1129" s="56">
        <f t="shared" ca="1" si="240"/>
        <v>174.58333333333334</v>
      </c>
      <c r="I1129" s="56">
        <f t="shared" ca="1" si="240"/>
        <v>0</v>
      </c>
      <c r="J1129" s="56">
        <f t="shared" ca="1" si="240"/>
        <v>100</v>
      </c>
      <c r="K1129" s="56">
        <f t="shared" ca="1" si="240"/>
        <v>300</v>
      </c>
      <c r="L1129" s="56">
        <f t="shared" ca="1" si="240"/>
        <v>1216.5</v>
      </c>
      <c r="M1129" s="56">
        <f t="shared" ca="1" si="241"/>
        <v>600</v>
      </c>
      <c r="N1129" s="56">
        <f t="shared" ca="1" si="241"/>
        <v>72.5</v>
      </c>
      <c r="O1129" s="56">
        <f t="shared" ca="1" si="241"/>
        <v>240</v>
      </c>
      <c r="P1129" s="56">
        <f t="shared" ca="1" si="241"/>
        <v>40</v>
      </c>
      <c r="Q1129" s="56">
        <f t="shared" ca="1" si="241"/>
        <v>315</v>
      </c>
      <c r="R1129" s="56">
        <f t="shared" ca="1" si="241"/>
        <v>100</v>
      </c>
      <c r="S1129" s="56">
        <f t="shared" ca="1" si="241"/>
        <v>695</v>
      </c>
      <c r="T1129" s="56">
        <f t="shared" ca="1" si="241"/>
        <v>33.333333333333336</v>
      </c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</row>
    <row r="1130" spans="1:30" ht="15" x14ac:dyDescent="0.2">
      <c r="A1130" s="11">
        <f t="shared" si="236"/>
        <v>2087</v>
      </c>
      <c r="B1130" s="11">
        <f t="shared" si="239"/>
        <v>365</v>
      </c>
      <c r="C1130" s="56">
        <f t="shared" ca="1" si="240"/>
        <v>154.75825</v>
      </c>
      <c r="D1130" s="56">
        <f t="shared" ca="1" si="240"/>
        <v>281.0162499999999</v>
      </c>
      <c r="E1130" s="56">
        <f t="shared" ca="1" si="240"/>
        <v>109.1005</v>
      </c>
      <c r="F1130" s="56">
        <f t="shared" ca="1" si="240"/>
        <v>57.041666666666664</v>
      </c>
      <c r="G1130" s="56">
        <f t="shared" ca="1" si="240"/>
        <v>40</v>
      </c>
      <c r="H1130" s="56">
        <f t="shared" ca="1" si="240"/>
        <v>174.58333333333334</v>
      </c>
      <c r="I1130" s="56">
        <f t="shared" ca="1" si="240"/>
        <v>0</v>
      </c>
      <c r="J1130" s="56">
        <f t="shared" ca="1" si="240"/>
        <v>100</v>
      </c>
      <c r="K1130" s="56">
        <f t="shared" ca="1" si="240"/>
        <v>300</v>
      </c>
      <c r="L1130" s="56">
        <f t="shared" ca="1" si="240"/>
        <v>1216.5</v>
      </c>
      <c r="M1130" s="56">
        <f t="shared" ca="1" si="241"/>
        <v>600</v>
      </c>
      <c r="N1130" s="56">
        <f t="shared" ca="1" si="241"/>
        <v>72.5</v>
      </c>
      <c r="O1130" s="56">
        <f t="shared" ca="1" si="241"/>
        <v>240</v>
      </c>
      <c r="P1130" s="56">
        <f t="shared" ca="1" si="241"/>
        <v>40</v>
      </c>
      <c r="Q1130" s="56">
        <f t="shared" ca="1" si="241"/>
        <v>315</v>
      </c>
      <c r="R1130" s="56">
        <f t="shared" ca="1" si="241"/>
        <v>100</v>
      </c>
      <c r="S1130" s="56">
        <f t="shared" ca="1" si="241"/>
        <v>695</v>
      </c>
      <c r="T1130" s="56">
        <f t="shared" ca="1" si="241"/>
        <v>33.333333333333336</v>
      </c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</row>
    <row r="1131" spans="1:30" ht="15" x14ac:dyDescent="0.2">
      <c r="A1131" s="11">
        <f t="shared" si="236"/>
        <v>2088</v>
      </c>
      <c r="B1131" s="11">
        <f t="shared" si="239"/>
        <v>366</v>
      </c>
      <c r="C1131" s="56">
        <f t="shared" ca="1" si="240"/>
        <v>154.75825</v>
      </c>
      <c r="D1131" s="56">
        <f t="shared" ca="1" si="240"/>
        <v>281.0162499999999</v>
      </c>
      <c r="E1131" s="56">
        <f t="shared" ca="1" si="240"/>
        <v>109.1005</v>
      </c>
      <c r="F1131" s="56">
        <f t="shared" ca="1" si="240"/>
        <v>57.041666666666664</v>
      </c>
      <c r="G1131" s="56">
        <f t="shared" ca="1" si="240"/>
        <v>40</v>
      </c>
      <c r="H1131" s="56">
        <f t="shared" ca="1" si="240"/>
        <v>174.58333333333334</v>
      </c>
      <c r="I1131" s="56">
        <f t="shared" ca="1" si="240"/>
        <v>0</v>
      </c>
      <c r="J1131" s="56">
        <f t="shared" ca="1" si="240"/>
        <v>100</v>
      </c>
      <c r="K1131" s="56">
        <f t="shared" ca="1" si="240"/>
        <v>300</v>
      </c>
      <c r="L1131" s="56">
        <f t="shared" ca="1" si="240"/>
        <v>1216.5</v>
      </c>
      <c r="M1131" s="56">
        <f t="shared" ca="1" si="241"/>
        <v>600</v>
      </c>
      <c r="N1131" s="56">
        <f t="shared" ca="1" si="241"/>
        <v>72.5</v>
      </c>
      <c r="O1131" s="56">
        <f t="shared" ca="1" si="241"/>
        <v>240</v>
      </c>
      <c r="P1131" s="56">
        <f t="shared" ca="1" si="241"/>
        <v>40</v>
      </c>
      <c r="Q1131" s="56">
        <f t="shared" ca="1" si="241"/>
        <v>315</v>
      </c>
      <c r="R1131" s="56">
        <f t="shared" ca="1" si="241"/>
        <v>100</v>
      </c>
      <c r="S1131" s="56">
        <f t="shared" ca="1" si="241"/>
        <v>695</v>
      </c>
      <c r="T1131" s="56">
        <f t="shared" ca="1" si="241"/>
        <v>33.333333333333336</v>
      </c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</row>
    <row r="1132" spans="1:30" ht="15" x14ac:dyDescent="0.2">
      <c r="A1132" s="11">
        <f t="shared" si="236"/>
        <v>2089</v>
      </c>
      <c r="B1132" s="11">
        <f t="shared" si="239"/>
        <v>365</v>
      </c>
      <c r="C1132" s="56">
        <f t="shared" ca="1" si="240"/>
        <v>154.75825</v>
      </c>
      <c r="D1132" s="56">
        <f t="shared" ca="1" si="240"/>
        <v>281.0162499999999</v>
      </c>
      <c r="E1132" s="56">
        <f t="shared" ca="1" si="240"/>
        <v>109.1005</v>
      </c>
      <c r="F1132" s="56">
        <f t="shared" ca="1" si="240"/>
        <v>57.041666666666664</v>
      </c>
      <c r="G1132" s="56">
        <f t="shared" ca="1" si="240"/>
        <v>40</v>
      </c>
      <c r="H1132" s="56">
        <f t="shared" ca="1" si="240"/>
        <v>174.58333333333334</v>
      </c>
      <c r="I1132" s="56">
        <f t="shared" ca="1" si="240"/>
        <v>0</v>
      </c>
      <c r="J1132" s="56">
        <f t="shared" ca="1" si="240"/>
        <v>100</v>
      </c>
      <c r="K1132" s="56">
        <f t="shared" ca="1" si="240"/>
        <v>300</v>
      </c>
      <c r="L1132" s="56">
        <f t="shared" ca="1" si="240"/>
        <v>1216.5</v>
      </c>
      <c r="M1132" s="56">
        <f t="shared" ca="1" si="241"/>
        <v>600</v>
      </c>
      <c r="N1132" s="56">
        <f t="shared" ca="1" si="241"/>
        <v>72.5</v>
      </c>
      <c r="O1132" s="56">
        <f t="shared" ca="1" si="241"/>
        <v>240</v>
      </c>
      <c r="P1132" s="56">
        <f t="shared" ca="1" si="241"/>
        <v>40</v>
      </c>
      <c r="Q1132" s="56">
        <f t="shared" ca="1" si="241"/>
        <v>315</v>
      </c>
      <c r="R1132" s="56">
        <f t="shared" ca="1" si="241"/>
        <v>100</v>
      </c>
      <c r="S1132" s="56">
        <f t="shared" ca="1" si="241"/>
        <v>695</v>
      </c>
      <c r="T1132" s="56">
        <f t="shared" ca="1" si="241"/>
        <v>33.333333333333336</v>
      </c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</row>
    <row r="1133" spans="1:30" ht="15" x14ac:dyDescent="0.2">
      <c r="A1133" s="11">
        <f t="shared" si="236"/>
        <v>2090</v>
      </c>
      <c r="B1133" s="11">
        <f t="shared" si="239"/>
        <v>365</v>
      </c>
      <c r="C1133" s="56">
        <f t="shared" ca="1" si="240"/>
        <v>154.75825</v>
      </c>
      <c r="D1133" s="56">
        <f t="shared" ca="1" si="240"/>
        <v>281.0162499999999</v>
      </c>
      <c r="E1133" s="56">
        <f t="shared" ca="1" si="240"/>
        <v>109.1005</v>
      </c>
      <c r="F1133" s="56">
        <f t="shared" ca="1" si="240"/>
        <v>57.041666666666664</v>
      </c>
      <c r="G1133" s="56">
        <f t="shared" ca="1" si="240"/>
        <v>40</v>
      </c>
      <c r="H1133" s="56">
        <f t="shared" ca="1" si="240"/>
        <v>174.58333333333334</v>
      </c>
      <c r="I1133" s="56">
        <f t="shared" ca="1" si="240"/>
        <v>0</v>
      </c>
      <c r="J1133" s="56">
        <f t="shared" ca="1" si="240"/>
        <v>100</v>
      </c>
      <c r="K1133" s="56">
        <f t="shared" ca="1" si="240"/>
        <v>300</v>
      </c>
      <c r="L1133" s="56">
        <f t="shared" ca="1" si="240"/>
        <v>1216.5</v>
      </c>
      <c r="M1133" s="56">
        <f t="shared" ca="1" si="241"/>
        <v>600</v>
      </c>
      <c r="N1133" s="56">
        <f t="shared" ca="1" si="241"/>
        <v>72.5</v>
      </c>
      <c r="O1133" s="56">
        <f t="shared" ca="1" si="241"/>
        <v>240</v>
      </c>
      <c r="P1133" s="56">
        <f t="shared" ca="1" si="241"/>
        <v>40</v>
      </c>
      <c r="Q1133" s="56">
        <f t="shared" ca="1" si="241"/>
        <v>315</v>
      </c>
      <c r="R1133" s="56">
        <f t="shared" ca="1" si="241"/>
        <v>100</v>
      </c>
      <c r="S1133" s="56">
        <f t="shared" ca="1" si="241"/>
        <v>695</v>
      </c>
      <c r="T1133" s="56">
        <f t="shared" ca="1" si="241"/>
        <v>33.333333333333336</v>
      </c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</row>
    <row r="1134" spans="1:30" ht="15" x14ac:dyDescent="0.2">
      <c r="A1134" s="11">
        <f t="shared" si="236"/>
        <v>2091</v>
      </c>
      <c r="B1134" s="11">
        <f t="shared" si="239"/>
        <v>365</v>
      </c>
      <c r="C1134" s="56">
        <f t="shared" ca="1" si="240"/>
        <v>154.75825</v>
      </c>
      <c r="D1134" s="56">
        <f t="shared" ca="1" si="240"/>
        <v>281.0162499999999</v>
      </c>
      <c r="E1134" s="56">
        <f t="shared" ca="1" si="240"/>
        <v>109.1005</v>
      </c>
      <c r="F1134" s="56">
        <f t="shared" ca="1" si="240"/>
        <v>57.041666666666664</v>
      </c>
      <c r="G1134" s="56">
        <f t="shared" ca="1" si="240"/>
        <v>40</v>
      </c>
      <c r="H1134" s="56">
        <f t="shared" ca="1" si="240"/>
        <v>174.58333333333334</v>
      </c>
      <c r="I1134" s="56">
        <f t="shared" ca="1" si="240"/>
        <v>0</v>
      </c>
      <c r="J1134" s="56">
        <f t="shared" ca="1" si="240"/>
        <v>100</v>
      </c>
      <c r="K1134" s="56">
        <f t="shared" ca="1" si="240"/>
        <v>300</v>
      </c>
      <c r="L1134" s="56">
        <f t="shared" ca="1" si="240"/>
        <v>1216.5</v>
      </c>
      <c r="M1134" s="56">
        <f t="shared" ca="1" si="241"/>
        <v>600</v>
      </c>
      <c r="N1134" s="56">
        <f t="shared" ca="1" si="241"/>
        <v>72.5</v>
      </c>
      <c r="O1134" s="56">
        <f t="shared" ca="1" si="241"/>
        <v>240</v>
      </c>
      <c r="P1134" s="56">
        <f t="shared" ca="1" si="241"/>
        <v>40</v>
      </c>
      <c r="Q1134" s="56">
        <f t="shared" ca="1" si="241"/>
        <v>315</v>
      </c>
      <c r="R1134" s="56">
        <f t="shared" ca="1" si="241"/>
        <v>100</v>
      </c>
      <c r="S1134" s="56">
        <f t="shared" ca="1" si="241"/>
        <v>695</v>
      </c>
      <c r="T1134" s="56">
        <f t="shared" ca="1" si="241"/>
        <v>33.333333333333336</v>
      </c>
    </row>
    <row r="1135" spans="1:30" ht="15" x14ac:dyDescent="0.2">
      <c r="A1135" s="11">
        <f t="shared" si="236"/>
        <v>2092</v>
      </c>
      <c r="B1135" s="11">
        <f t="shared" si="239"/>
        <v>366</v>
      </c>
      <c r="C1135" s="56">
        <f t="shared" ref="C1135:L1143" ca="1" si="242">AVERAGE(OFFSET(C$588,($A1135-$A$1105)*12,0,12,1))</f>
        <v>154.75825</v>
      </c>
      <c r="D1135" s="56">
        <f t="shared" ca="1" si="242"/>
        <v>281.0162499999999</v>
      </c>
      <c r="E1135" s="56">
        <f t="shared" ca="1" si="242"/>
        <v>109.1005</v>
      </c>
      <c r="F1135" s="56">
        <f t="shared" ca="1" si="242"/>
        <v>57.041666666666664</v>
      </c>
      <c r="G1135" s="56">
        <f t="shared" ca="1" si="242"/>
        <v>40</v>
      </c>
      <c r="H1135" s="56">
        <f t="shared" ca="1" si="242"/>
        <v>174.58333333333334</v>
      </c>
      <c r="I1135" s="56">
        <f t="shared" ca="1" si="242"/>
        <v>0</v>
      </c>
      <c r="J1135" s="56">
        <f t="shared" ca="1" si="242"/>
        <v>100</v>
      </c>
      <c r="K1135" s="56">
        <f t="shared" ca="1" si="242"/>
        <v>300</v>
      </c>
      <c r="L1135" s="56">
        <f t="shared" ca="1" si="242"/>
        <v>1216.5</v>
      </c>
      <c r="M1135" s="56">
        <f t="shared" ref="M1135:T1143" ca="1" si="243">AVERAGE(OFFSET(M$588,($A1135-$A$1105)*12,0,12,1))</f>
        <v>600</v>
      </c>
      <c r="N1135" s="56">
        <f t="shared" ca="1" si="243"/>
        <v>72.5</v>
      </c>
      <c r="O1135" s="56">
        <f t="shared" ca="1" si="243"/>
        <v>240</v>
      </c>
      <c r="P1135" s="56">
        <f t="shared" ca="1" si="243"/>
        <v>40</v>
      </c>
      <c r="Q1135" s="56">
        <f t="shared" ca="1" si="243"/>
        <v>315</v>
      </c>
      <c r="R1135" s="56">
        <f t="shared" ca="1" si="243"/>
        <v>100</v>
      </c>
      <c r="S1135" s="56">
        <f t="shared" ca="1" si="243"/>
        <v>695</v>
      </c>
      <c r="T1135" s="56">
        <f t="shared" ca="1" si="243"/>
        <v>33.333333333333336</v>
      </c>
    </row>
    <row r="1136" spans="1:30" ht="15" x14ac:dyDescent="0.2">
      <c r="A1136" s="11">
        <f t="shared" si="236"/>
        <v>2093</v>
      </c>
      <c r="B1136" s="11">
        <f t="shared" si="239"/>
        <v>365</v>
      </c>
      <c r="C1136" s="56">
        <f t="shared" ca="1" si="242"/>
        <v>154.75825</v>
      </c>
      <c r="D1136" s="56">
        <f t="shared" ca="1" si="242"/>
        <v>281.0162499999999</v>
      </c>
      <c r="E1136" s="56">
        <f t="shared" ca="1" si="242"/>
        <v>109.1005</v>
      </c>
      <c r="F1136" s="56">
        <f t="shared" ca="1" si="242"/>
        <v>57.041666666666664</v>
      </c>
      <c r="G1136" s="56">
        <f t="shared" ca="1" si="242"/>
        <v>40</v>
      </c>
      <c r="H1136" s="56">
        <f t="shared" ca="1" si="242"/>
        <v>174.58333333333334</v>
      </c>
      <c r="I1136" s="56">
        <f t="shared" ca="1" si="242"/>
        <v>0</v>
      </c>
      <c r="J1136" s="56">
        <f t="shared" ca="1" si="242"/>
        <v>100</v>
      </c>
      <c r="K1136" s="56">
        <f t="shared" ca="1" si="242"/>
        <v>300</v>
      </c>
      <c r="L1136" s="56">
        <f t="shared" ca="1" si="242"/>
        <v>1216.5</v>
      </c>
      <c r="M1136" s="56">
        <f t="shared" ca="1" si="243"/>
        <v>600</v>
      </c>
      <c r="N1136" s="56">
        <f t="shared" ca="1" si="243"/>
        <v>72.5</v>
      </c>
      <c r="O1136" s="56">
        <f t="shared" ca="1" si="243"/>
        <v>240</v>
      </c>
      <c r="P1136" s="56">
        <f t="shared" ca="1" si="243"/>
        <v>40</v>
      </c>
      <c r="Q1136" s="56">
        <f t="shared" ca="1" si="243"/>
        <v>315</v>
      </c>
      <c r="R1136" s="56">
        <f t="shared" ca="1" si="243"/>
        <v>100</v>
      </c>
      <c r="S1136" s="56">
        <f t="shared" ca="1" si="243"/>
        <v>695</v>
      </c>
      <c r="T1136" s="56">
        <f t="shared" ca="1" si="243"/>
        <v>33.333333333333336</v>
      </c>
    </row>
    <row r="1137" spans="1:20" ht="15" x14ac:dyDescent="0.2">
      <c r="A1137" s="11">
        <f t="shared" si="236"/>
        <v>2094</v>
      </c>
      <c r="B1137" s="11">
        <f t="shared" si="239"/>
        <v>365</v>
      </c>
      <c r="C1137" s="56">
        <f t="shared" ca="1" si="242"/>
        <v>154.75825</v>
      </c>
      <c r="D1137" s="56">
        <f t="shared" ca="1" si="242"/>
        <v>281.0162499999999</v>
      </c>
      <c r="E1137" s="56">
        <f t="shared" ca="1" si="242"/>
        <v>109.1005</v>
      </c>
      <c r="F1137" s="56">
        <f t="shared" ca="1" si="242"/>
        <v>57.041666666666664</v>
      </c>
      <c r="G1137" s="56">
        <f t="shared" ca="1" si="242"/>
        <v>40</v>
      </c>
      <c r="H1137" s="56">
        <f t="shared" ca="1" si="242"/>
        <v>174.58333333333334</v>
      </c>
      <c r="I1137" s="56">
        <f t="shared" ca="1" si="242"/>
        <v>0</v>
      </c>
      <c r="J1137" s="56">
        <f t="shared" ca="1" si="242"/>
        <v>100</v>
      </c>
      <c r="K1137" s="56">
        <f t="shared" ca="1" si="242"/>
        <v>300</v>
      </c>
      <c r="L1137" s="56">
        <f t="shared" ca="1" si="242"/>
        <v>1216.5</v>
      </c>
      <c r="M1137" s="56">
        <f t="shared" ca="1" si="243"/>
        <v>600</v>
      </c>
      <c r="N1137" s="56">
        <f t="shared" ca="1" si="243"/>
        <v>72.5</v>
      </c>
      <c r="O1137" s="56">
        <f t="shared" ca="1" si="243"/>
        <v>240</v>
      </c>
      <c r="P1137" s="56">
        <f t="shared" ca="1" si="243"/>
        <v>40</v>
      </c>
      <c r="Q1137" s="56">
        <f t="shared" ca="1" si="243"/>
        <v>315</v>
      </c>
      <c r="R1137" s="56">
        <f t="shared" ca="1" si="243"/>
        <v>100</v>
      </c>
      <c r="S1137" s="56">
        <f t="shared" ca="1" si="243"/>
        <v>695</v>
      </c>
      <c r="T1137" s="56">
        <f t="shared" ca="1" si="243"/>
        <v>33.333333333333336</v>
      </c>
    </row>
    <row r="1138" spans="1:20" ht="15" x14ac:dyDescent="0.2">
      <c r="A1138" s="11">
        <f t="shared" si="236"/>
        <v>2095</v>
      </c>
      <c r="B1138" s="11">
        <f t="shared" si="239"/>
        <v>365</v>
      </c>
      <c r="C1138" s="56">
        <f t="shared" ca="1" si="242"/>
        <v>154.75825</v>
      </c>
      <c r="D1138" s="56">
        <f t="shared" ca="1" si="242"/>
        <v>281.0162499999999</v>
      </c>
      <c r="E1138" s="56">
        <f t="shared" ca="1" si="242"/>
        <v>109.1005</v>
      </c>
      <c r="F1138" s="56">
        <f t="shared" ca="1" si="242"/>
        <v>57.041666666666664</v>
      </c>
      <c r="G1138" s="56">
        <f t="shared" ca="1" si="242"/>
        <v>40</v>
      </c>
      <c r="H1138" s="56">
        <f t="shared" ca="1" si="242"/>
        <v>174.58333333333334</v>
      </c>
      <c r="I1138" s="56">
        <f t="shared" ca="1" si="242"/>
        <v>0</v>
      </c>
      <c r="J1138" s="56">
        <f t="shared" ca="1" si="242"/>
        <v>100</v>
      </c>
      <c r="K1138" s="56">
        <f t="shared" ca="1" si="242"/>
        <v>300</v>
      </c>
      <c r="L1138" s="56">
        <f t="shared" ca="1" si="242"/>
        <v>1216.5</v>
      </c>
      <c r="M1138" s="56">
        <f t="shared" ca="1" si="243"/>
        <v>600</v>
      </c>
      <c r="N1138" s="56">
        <f t="shared" ca="1" si="243"/>
        <v>72.5</v>
      </c>
      <c r="O1138" s="56">
        <f t="shared" ca="1" si="243"/>
        <v>240</v>
      </c>
      <c r="P1138" s="56">
        <f t="shared" ca="1" si="243"/>
        <v>40</v>
      </c>
      <c r="Q1138" s="56">
        <f t="shared" ca="1" si="243"/>
        <v>315</v>
      </c>
      <c r="R1138" s="56">
        <f t="shared" ca="1" si="243"/>
        <v>100</v>
      </c>
      <c r="S1138" s="56">
        <f t="shared" ca="1" si="243"/>
        <v>695</v>
      </c>
      <c r="T1138" s="56">
        <f t="shared" ca="1" si="243"/>
        <v>33.333333333333336</v>
      </c>
    </row>
    <row r="1139" spans="1:20" ht="15" x14ac:dyDescent="0.2">
      <c r="A1139" s="11">
        <f t="shared" si="236"/>
        <v>2096</v>
      </c>
      <c r="B1139" s="11">
        <f t="shared" si="239"/>
        <v>366</v>
      </c>
      <c r="C1139" s="56">
        <f t="shared" ca="1" si="242"/>
        <v>154.75825</v>
      </c>
      <c r="D1139" s="56">
        <f t="shared" ca="1" si="242"/>
        <v>281.0162499999999</v>
      </c>
      <c r="E1139" s="56">
        <f t="shared" ca="1" si="242"/>
        <v>109.1005</v>
      </c>
      <c r="F1139" s="56">
        <f t="shared" ca="1" si="242"/>
        <v>57.041666666666664</v>
      </c>
      <c r="G1139" s="56">
        <f t="shared" ca="1" si="242"/>
        <v>40</v>
      </c>
      <c r="H1139" s="56">
        <f t="shared" ca="1" si="242"/>
        <v>174.58333333333334</v>
      </c>
      <c r="I1139" s="56">
        <f t="shared" ca="1" si="242"/>
        <v>0</v>
      </c>
      <c r="J1139" s="56">
        <f t="shared" ca="1" si="242"/>
        <v>100</v>
      </c>
      <c r="K1139" s="56">
        <f t="shared" ca="1" si="242"/>
        <v>300</v>
      </c>
      <c r="L1139" s="56">
        <f t="shared" ca="1" si="242"/>
        <v>1216.5</v>
      </c>
      <c r="M1139" s="56">
        <f t="shared" ca="1" si="243"/>
        <v>600</v>
      </c>
      <c r="N1139" s="56">
        <f t="shared" ca="1" si="243"/>
        <v>72.5</v>
      </c>
      <c r="O1139" s="56">
        <f t="shared" ca="1" si="243"/>
        <v>240</v>
      </c>
      <c r="P1139" s="56">
        <f t="shared" ca="1" si="243"/>
        <v>40</v>
      </c>
      <c r="Q1139" s="56">
        <f t="shared" ca="1" si="243"/>
        <v>315</v>
      </c>
      <c r="R1139" s="56">
        <f t="shared" ca="1" si="243"/>
        <v>100</v>
      </c>
      <c r="S1139" s="56">
        <f t="shared" ca="1" si="243"/>
        <v>695</v>
      </c>
      <c r="T1139" s="56">
        <f t="shared" ca="1" si="243"/>
        <v>33.333333333333336</v>
      </c>
    </row>
    <row r="1140" spans="1:20" ht="15" x14ac:dyDescent="0.2">
      <c r="A1140" s="11">
        <f t="shared" si="236"/>
        <v>2097</v>
      </c>
      <c r="B1140" s="11">
        <f t="shared" si="239"/>
        <v>365</v>
      </c>
      <c r="C1140" s="56">
        <f t="shared" ca="1" si="242"/>
        <v>154.75825</v>
      </c>
      <c r="D1140" s="56">
        <f t="shared" ca="1" si="242"/>
        <v>281.0162499999999</v>
      </c>
      <c r="E1140" s="56">
        <f t="shared" ca="1" si="242"/>
        <v>109.1005</v>
      </c>
      <c r="F1140" s="56">
        <f t="shared" ca="1" si="242"/>
        <v>57.041666666666664</v>
      </c>
      <c r="G1140" s="56">
        <f t="shared" ca="1" si="242"/>
        <v>40</v>
      </c>
      <c r="H1140" s="56">
        <f t="shared" ca="1" si="242"/>
        <v>174.58333333333334</v>
      </c>
      <c r="I1140" s="56">
        <f t="shared" ca="1" si="242"/>
        <v>0</v>
      </c>
      <c r="J1140" s="56">
        <f t="shared" ca="1" si="242"/>
        <v>100</v>
      </c>
      <c r="K1140" s="56">
        <f t="shared" ca="1" si="242"/>
        <v>300</v>
      </c>
      <c r="L1140" s="56">
        <f t="shared" ca="1" si="242"/>
        <v>1216.5</v>
      </c>
      <c r="M1140" s="56">
        <f t="shared" ca="1" si="243"/>
        <v>600</v>
      </c>
      <c r="N1140" s="56">
        <f t="shared" ca="1" si="243"/>
        <v>72.5</v>
      </c>
      <c r="O1140" s="56">
        <f t="shared" ca="1" si="243"/>
        <v>240</v>
      </c>
      <c r="P1140" s="56">
        <f t="shared" ca="1" si="243"/>
        <v>40</v>
      </c>
      <c r="Q1140" s="56">
        <f t="shared" ca="1" si="243"/>
        <v>315</v>
      </c>
      <c r="R1140" s="56">
        <f t="shared" ca="1" si="243"/>
        <v>100</v>
      </c>
      <c r="S1140" s="56">
        <f t="shared" ca="1" si="243"/>
        <v>695</v>
      </c>
      <c r="T1140" s="56">
        <f t="shared" ca="1" si="243"/>
        <v>33.333333333333336</v>
      </c>
    </row>
    <row r="1141" spans="1:20" ht="15" x14ac:dyDescent="0.2">
      <c r="A1141" s="11">
        <f t="shared" si="236"/>
        <v>2098</v>
      </c>
      <c r="B1141" s="11">
        <f t="shared" si="239"/>
        <v>365</v>
      </c>
      <c r="C1141" s="56">
        <f t="shared" ca="1" si="242"/>
        <v>154.75825</v>
      </c>
      <c r="D1141" s="56">
        <f t="shared" ca="1" si="242"/>
        <v>281.0162499999999</v>
      </c>
      <c r="E1141" s="56">
        <f t="shared" ca="1" si="242"/>
        <v>109.1005</v>
      </c>
      <c r="F1141" s="56">
        <f t="shared" ca="1" si="242"/>
        <v>57.041666666666664</v>
      </c>
      <c r="G1141" s="56">
        <f t="shared" ca="1" si="242"/>
        <v>40</v>
      </c>
      <c r="H1141" s="56">
        <f t="shared" ca="1" si="242"/>
        <v>174.58333333333334</v>
      </c>
      <c r="I1141" s="56">
        <f t="shared" ca="1" si="242"/>
        <v>0</v>
      </c>
      <c r="J1141" s="56">
        <f t="shared" ca="1" si="242"/>
        <v>100</v>
      </c>
      <c r="K1141" s="56">
        <f t="shared" ca="1" si="242"/>
        <v>300</v>
      </c>
      <c r="L1141" s="56">
        <f t="shared" ca="1" si="242"/>
        <v>1216.5</v>
      </c>
      <c r="M1141" s="56">
        <f t="shared" ca="1" si="243"/>
        <v>600</v>
      </c>
      <c r="N1141" s="56">
        <f t="shared" ca="1" si="243"/>
        <v>72.5</v>
      </c>
      <c r="O1141" s="56">
        <f t="shared" ca="1" si="243"/>
        <v>240</v>
      </c>
      <c r="P1141" s="56">
        <f t="shared" ca="1" si="243"/>
        <v>40</v>
      </c>
      <c r="Q1141" s="56">
        <f t="shared" ca="1" si="243"/>
        <v>315</v>
      </c>
      <c r="R1141" s="56">
        <f t="shared" ca="1" si="243"/>
        <v>100</v>
      </c>
      <c r="S1141" s="56">
        <f t="shared" ca="1" si="243"/>
        <v>695</v>
      </c>
      <c r="T1141" s="56">
        <f t="shared" ca="1" si="243"/>
        <v>33.333333333333336</v>
      </c>
    </row>
    <row r="1142" spans="1:20" ht="15" x14ac:dyDescent="0.2">
      <c r="A1142" s="11">
        <f t="shared" si="236"/>
        <v>2099</v>
      </c>
      <c r="B1142" s="11">
        <f t="shared" si="239"/>
        <v>365</v>
      </c>
      <c r="C1142" s="56">
        <f t="shared" ca="1" si="242"/>
        <v>154.75825</v>
      </c>
      <c r="D1142" s="56">
        <f t="shared" ca="1" si="242"/>
        <v>281.0162499999999</v>
      </c>
      <c r="E1142" s="56">
        <f t="shared" ca="1" si="242"/>
        <v>109.1005</v>
      </c>
      <c r="F1142" s="56">
        <f t="shared" ca="1" si="242"/>
        <v>57.041666666666664</v>
      </c>
      <c r="G1142" s="56">
        <f t="shared" ca="1" si="242"/>
        <v>40</v>
      </c>
      <c r="H1142" s="56">
        <f t="shared" ca="1" si="242"/>
        <v>174.58333333333334</v>
      </c>
      <c r="I1142" s="56">
        <f t="shared" ca="1" si="242"/>
        <v>0</v>
      </c>
      <c r="J1142" s="56">
        <f t="shared" ca="1" si="242"/>
        <v>100</v>
      </c>
      <c r="K1142" s="56">
        <f t="shared" ca="1" si="242"/>
        <v>300</v>
      </c>
      <c r="L1142" s="56">
        <f t="shared" ca="1" si="242"/>
        <v>1216.5</v>
      </c>
      <c r="M1142" s="56">
        <f t="shared" ca="1" si="243"/>
        <v>600</v>
      </c>
      <c r="N1142" s="56">
        <f t="shared" ca="1" si="243"/>
        <v>72.5</v>
      </c>
      <c r="O1142" s="56">
        <f t="shared" ca="1" si="243"/>
        <v>240</v>
      </c>
      <c r="P1142" s="56">
        <f t="shared" ca="1" si="243"/>
        <v>40</v>
      </c>
      <c r="Q1142" s="56">
        <f t="shared" ca="1" si="243"/>
        <v>315</v>
      </c>
      <c r="R1142" s="56">
        <f t="shared" ca="1" si="243"/>
        <v>100</v>
      </c>
      <c r="S1142" s="56">
        <f t="shared" ca="1" si="243"/>
        <v>695</v>
      </c>
      <c r="T1142" s="56">
        <f t="shared" ca="1" si="243"/>
        <v>33.333333333333336</v>
      </c>
    </row>
    <row r="1143" spans="1:20" ht="15" x14ac:dyDescent="0.2">
      <c r="A1143" s="11">
        <f t="shared" si="236"/>
        <v>2100</v>
      </c>
      <c r="B1143" s="11">
        <f t="shared" si="239"/>
        <v>365</v>
      </c>
      <c r="C1143" s="56">
        <f t="shared" ca="1" si="242"/>
        <v>154.75825</v>
      </c>
      <c r="D1143" s="56">
        <f t="shared" ca="1" si="242"/>
        <v>281.0162499999999</v>
      </c>
      <c r="E1143" s="56">
        <f t="shared" ca="1" si="242"/>
        <v>109.1005</v>
      </c>
      <c r="F1143" s="56">
        <f t="shared" ca="1" si="242"/>
        <v>57.041666666666664</v>
      </c>
      <c r="G1143" s="56">
        <f t="shared" ca="1" si="242"/>
        <v>40</v>
      </c>
      <c r="H1143" s="56">
        <f t="shared" ca="1" si="242"/>
        <v>174.58333333333334</v>
      </c>
      <c r="I1143" s="56">
        <f t="shared" ca="1" si="242"/>
        <v>0</v>
      </c>
      <c r="J1143" s="56">
        <f t="shared" ca="1" si="242"/>
        <v>100</v>
      </c>
      <c r="K1143" s="56">
        <f t="shared" ca="1" si="242"/>
        <v>300</v>
      </c>
      <c r="L1143" s="56">
        <f t="shared" ca="1" si="242"/>
        <v>1216.5</v>
      </c>
      <c r="M1143" s="56">
        <f t="shared" ca="1" si="243"/>
        <v>600</v>
      </c>
      <c r="N1143" s="56">
        <f t="shared" ca="1" si="243"/>
        <v>72.5</v>
      </c>
      <c r="O1143" s="56">
        <f t="shared" ca="1" si="243"/>
        <v>240</v>
      </c>
      <c r="P1143" s="56">
        <f t="shared" ca="1" si="243"/>
        <v>40</v>
      </c>
      <c r="Q1143" s="56">
        <f t="shared" ca="1" si="243"/>
        <v>315</v>
      </c>
      <c r="R1143" s="56">
        <f t="shared" ca="1" si="243"/>
        <v>100</v>
      </c>
      <c r="S1143" s="56">
        <f t="shared" ca="1" si="243"/>
        <v>695</v>
      </c>
      <c r="T1143" s="56">
        <f t="shared" ca="1" si="243"/>
        <v>33.333333333333336</v>
      </c>
    </row>
    <row r="1144" spans="1:20" x14ac:dyDescent="0.2">
      <c r="A1144" s="8"/>
      <c r="B1144" s="8"/>
    </row>
    <row r="1145" spans="1:20" x14ac:dyDescent="0.2">
      <c r="A1145" s="8"/>
      <c r="B1145" s="8"/>
    </row>
    <row r="1146" spans="1:20" x14ac:dyDescent="0.2">
      <c r="A1146" s="8"/>
      <c r="B1146" s="8"/>
    </row>
    <row r="1147" spans="1:20" x14ac:dyDescent="0.2">
      <c r="A1147" s="8"/>
      <c r="B1147" s="8"/>
    </row>
    <row r="1148" spans="1:20" x14ac:dyDescent="0.2">
      <c r="A1148" s="8"/>
      <c r="B1148" s="8"/>
    </row>
    <row r="1149" spans="1:20" x14ac:dyDescent="0.2">
      <c r="A1149" s="8"/>
      <c r="B1149" s="8"/>
    </row>
    <row r="1150" spans="1:20" x14ac:dyDescent="0.2">
      <c r="A1150" s="8"/>
      <c r="B1150" s="8"/>
    </row>
    <row r="1151" spans="1:20" x14ac:dyDescent="0.2">
      <c r="A1151" s="8"/>
      <c r="B1151" s="8"/>
    </row>
    <row r="1152" spans="1:20" x14ac:dyDescent="0.2">
      <c r="A1152" s="8"/>
      <c r="B1152" s="8"/>
    </row>
    <row r="1153" spans="1:2" x14ac:dyDescent="0.2">
      <c r="A1153" s="8"/>
      <c r="B1153" s="8"/>
    </row>
    <row r="1154" spans="1:2" x14ac:dyDescent="0.2">
      <c r="A1154" s="8"/>
      <c r="B1154" s="8"/>
    </row>
    <row r="1155" spans="1:2" x14ac:dyDescent="0.2">
      <c r="A1155" s="8"/>
      <c r="B1155" s="8"/>
    </row>
    <row r="1156" spans="1:2" x14ac:dyDescent="0.2">
      <c r="A1156" s="8"/>
      <c r="B1156" s="8"/>
    </row>
    <row r="1157" spans="1:2" x14ac:dyDescent="0.2">
      <c r="A1157" s="8"/>
      <c r="B1157" s="8"/>
    </row>
    <row r="1158" spans="1:2" x14ac:dyDescent="0.2">
      <c r="A1158" s="8"/>
      <c r="B1158" s="8"/>
    </row>
    <row r="1159" spans="1:2" x14ac:dyDescent="0.2">
      <c r="A1159" s="8"/>
      <c r="B1159" s="8"/>
    </row>
    <row r="1160" spans="1:2" x14ac:dyDescent="0.2">
      <c r="A1160" s="8"/>
      <c r="B1160" s="8"/>
    </row>
    <row r="1161" spans="1:2" x14ac:dyDescent="0.2">
      <c r="A1161" s="8"/>
      <c r="B1161" s="8"/>
    </row>
    <row r="1162" spans="1:2" x14ac:dyDescent="0.2">
      <c r="A1162" s="8"/>
      <c r="B1162" s="8"/>
    </row>
    <row r="1163" spans="1:2" x14ac:dyDescent="0.2">
      <c r="A1163" s="8"/>
      <c r="B1163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3" scale="55" orientation="landscape" r:id="rId1"/>
  <headerFooter alignWithMargins="0">
    <oddFooter>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45"/>
  <sheetViews>
    <sheetView zoomScale="70" zoomScaleNormal="70" workbookViewId="0">
      <pane xSplit="1" ySplit="13" topLeftCell="B14" activePane="bottomRight" state="frozen"/>
      <selection activeCell="C1056" sqref="C1056"/>
      <selection pane="topRight" activeCell="C1056" sqref="C1056"/>
      <selection pane="bottomLeft" activeCell="C1056" sqref="C1056"/>
      <selection pane="bottomRight" activeCell="B14" sqref="B14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98" t="s">
        <v>93</v>
      </c>
    </row>
    <row r="2" spans="1:19" ht="15.75" x14ac:dyDescent="0.25">
      <c r="A2" s="98" t="s">
        <v>94</v>
      </c>
    </row>
    <row r="3" spans="1:19" ht="15.75" x14ac:dyDescent="0.25">
      <c r="A3" s="98" t="s">
        <v>95</v>
      </c>
    </row>
    <row r="4" spans="1:19" ht="15.75" x14ac:dyDescent="0.25">
      <c r="A4" s="98" t="s">
        <v>96</v>
      </c>
    </row>
    <row r="5" spans="1:19" ht="15.75" x14ac:dyDescent="0.25">
      <c r="A5" s="98" t="s">
        <v>98</v>
      </c>
    </row>
    <row r="6" spans="1:19" ht="15.75" x14ac:dyDescent="0.25">
      <c r="A6" s="98" t="s">
        <v>97</v>
      </c>
    </row>
    <row r="7" spans="1:19" ht="20.25" x14ac:dyDescent="0.3">
      <c r="A7" s="97"/>
    </row>
    <row r="8" spans="1:19" ht="18" x14ac:dyDescent="0.25">
      <c r="A8" s="96" t="s">
        <v>28</v>
      </c>
      <c r="B8" s="96"/>
      <c r="H8" s="93" t="s">
        <v>92</v>
      </c>
    </row>
    <row r="9" spans="1:19" ht="18" x14ac:dyDescent="0.25">
      <c r="A9" s="96"/>
      <c r="B9" s="95" t="s">
        <v>27</v>
      </c>
      <c r="C9" s="94">
        <f>1-0.149</f>
        <v>0.85099999999999998</v>
      </c>
      <c r="D9" s="95" t="s">
        <v>26</v>
      </c>
      <c r="E9" s="94">
        <f>1+0.149</f>
        <v>1.149</v>
      </c>
      <c r="H9" s="93"/>
      <c r="P9" s="102"/>
      <c r="Q9" s="102"/>
      <c r="R9" s="102"/>
      <c r="S9" s="102"/>
    </row>
    <row r="10" spans="1:19" ht="15.75" x14ac:dyDescent="0.25">
      <c r="B10" s="110" t="s">
        <v>91</v>
      </c>
      <c r="C10" s="110"/>
      <c r="D10" s="110"/>
      <c r="E10" s="111" t="s">
        <v>90</v>
      </c>
      <c r="F10" s="111"/>
      <c r="G10" s="112"/>
      <c r="H10" s="113" t="s">
        <v>89</v>
      </c>
      <c r="I10" s="113"/>
      <c r="J10" s="113"/>
      <c r="K10" s="113"/>
      <c r="L10" s="112" t="s">
        <v>88</v>
      </c>
      <c r="M10" s="112"/>
      <c r="N10" s="112"/>
      <c r="O10" s="112"/>
      <c r="P10" s="102"/>
      <c r="Q10" s="102"/>
      <c r="R10" s="102"/>
      <c r="S10" s="102"/>
    </row>
    <row r="11" spans="1:19" ht="63" x14ac:dyDescent="0.25">
      <c r="B11" s="92" t="s">
        <v>87</v>
      </c>
      <c r="C11" s="91" t="s">
        <v>85</v>
      </c>
      <c r="D11" s="90" t="s">
        <v>84</v>
      </c>
      <c r="E11" s="92" t="s">
        <v>87</v>
      </c>
      <c r="F11" s="91" t="s">
        <v>85</v>
      </c>
      <c r="G11" s="90" t="s">
        <v>84</v>
      </c>
      <c r="H11" s="92" t="s">
        <v>87</v>
      </c>
      <c r="I11" s="92" t="s">
        <v>86</v>
      </c>
      <c r="J11" s="91" t="s">
        <v>85</v>
      </c>
      <c r="K11" s="90" t="s">
        <v>84</v>
      </c>
      <c r="L11" s="92" t="s">
        <v>87</v>
      </c>
      <c r="M11" s="92" t="s">
        <v>86</v>
      </c>
      <c r="N11" s="91" t="s">
        <v>85</v>
      </c>
      <c r="O11" s="90" t="s">
        <v>84</v>
      </c>
      <c r="P11" s="89"/>
      <c r="Q11" s="85"/>
      <c r="R11" s="85"/>
      <c r="S11" s="85"/>
    </row>
    <row r="12" spans="1:19" ht="13.5" customHeight="1" x14ac:dyDescent="0.25">
      <c r="B12" s="88"/>
      <c r="C12" s="87"/>
      <c r="D12" s="86"/>
      <c r="E12" s="88"/>
      <c r="F12" s="87"/>
      <c r="G12" s="86"/>
      <c r="H12" s="88"/>
      <c r="I12" s="88"/>
      <c r="J12" s="87"/>
      <c r="K12" s="86"/>
      <c r="L12" s="88"/>
      <c r="M12" s="88"/>
      <c r="N12" s="87"/>
      <c r="O12" s="86"/>
      <c r="P12" s="85"/>
      <c r="Q12" s="84"/>
      <c r="R12" s="84"/>
      <c r="S12" s="84"/>
    </row>
    <row r="13" spans="1:19" ht="20.25" x14ac:dyDescent="0.55000000000000004">
      <c r="A13" s="83" t="s">
        <v>15</v>
      </c>
      <c r="B13" s="82" t="s">
        <v>14</v>
      </c>
      <c r="C13" s="82" t="s">
        <v>14</v>
      </c>
      <c r="D13" s="82" t="s">
        <v>14</v>
      </c>
      <c r="E13" s="82" t="s">
        <v>14</v>
      </c>
      <c r="F13" s="82" t="s">
        <v>14</v>
      </c>
      <c r="G13" s="82" t="s">
        <v>14</v>
      </c>
      <c r="H13" s="82" t="s">
        <v>14</v>
      </c>
      <c r="I13" s="82" t="s">
        <v>14</v>
      </c>
      <c r="J13" s="82" t="s">
        <v>14</v>
      </c>
      <c r="K13" s="82" t="s">
        <v>14</v>
      </c>
      <c r="L13" s="82" t="s">
        <v>14</v>
      </c>
      <c r="M13" s="82" t="s">
        <v>14</v>
      </c>
      <c r="N13" s="82" t="s">
        <v>14</v>
      </c>
      <c r="O13" s="82" t="s">
        <v>14</v>
      </c>
      <c r="P13" s="82"/>
      <c r="Q13" s="82"/>
      <c r="R13" s="82"/>
      <c r="S13" s="82"/>
    </row>
    <row r="14" spans="1:19" ht="15" x14ac:dyDescent="0.2">
      <c r="A14" s="16">
        <v>41640</v>
      </c>
      <c r="B14" s="80">
        <v>2.3259726527614299</v>
      </c>
      <c r="C14" s="80">
        <v>2.2881931818181802</v>
      </c>
      <c r="D14" s="80">
        <v>2.3271061818181802</v>
      </c>
      <c r="E14" s="81">
        <v>3.4997846904753001</v>
      </c>
      <c r="F14" s="81">
        <v>3.2737288135593201</v>
      </c>
      <c r="G14" s="81">
        <v>3.2866738135593199</v>
      </c>
      <c r="H14" s="81">
        <v>5.6851303602769301</v>
      </c>
      <c r="I14" s="81">
        <v>5.6980753602769303</v>
      </c>
      <c r="J14" s="81">
        <v>5.6851303602769301</v>
      </c>
      <c r="K14" s="81">
        <v>5.6980753602769303</v>
      </c>
      <c r="L14" s="81">
        <v>3.4997846904753001</v>
      </c>
      <c r="M14" s="81">
        <v>3.5127296904752998</v>
      </c>
      <c r="N14" s="81">
        <v>3.4997846904753001</v>
      </c>
      <c r="O14" s="81">
        <v>3.5127296904752998</v>
      </c>
      <c r="P14" s="10"/>
      <c r="Q14" s="81"/>
      <c r="R14" s="81"/>
    </row>
    <row r="15" spans="1:19" ht="15" x14ac:dyDescent="0.2">
      <c r="A15" s="16">
        <v>41671</v>
      </c>
      <c r="B15" s="80">
        <f>2.338 * CHOOSE(CONTROL!$C$32, $C$9, 100%, $E$9)</f>
        <v>2.3380000000000001</v>
      </c>
      <c r="C15" s="80">
        <f>2.3077 * CHOOSE(CONTROL!$C$32, $C$9, 100%, $E$9)</f>
        <v>2.3077000000000001</v>
      </c>
      <c r="D15" s="80">
        <f>2.3467 * CHOOSE(CONTROL!$C$32, $C$9, 100%, $E$9)</f>
        <v>2.3466999999999998</v>
      </c>
      <c r="E15" s="81">
        <f>3.5012 * CHOOSE(CONTROL!$C$32, $C$9, 100%, $E$9)</f>
        <v>3.5011999999999999</v>
      </c>
      <c r="F15" s="81">
        <f>3.2886 * CHOOSE(CONTROL!$C$32, $C$9, 100%, $E$9)</f>
        <v>3.2886000000000002</v>
      </c>
      <c r="G15" s="81">
        <f>3.3015 * CHOOSE(CONTROL!$C$32, $C$9, 100%, $E$9)</f>
        <v>3.3014999999999999</v>
      </c>
      <c r="H15" s="81">
        <f>5.8292 * CHOOSE(CONTROL!$C$32, $C$9, 100%, $E$9)</f>
        <v>5.8292000000000002</v>
      </c>
      <c r="I15" s="81">
        <f>5.8422 * CHOOSE(CONTROL!$C$32, $C$9, 100%, $E$9)</f>
        <v>5.8422000000000001</v>
      </c>
      <c r="J15" s="81">
        <f>5.8292 * CHOOSE(CONTROL!$C$32, $C$9, 100%, $E$9)</f>
        <v>5.8292000000000002</v>
      </c>
      <c r="K15" s="81">
        <f>5.8422 * CHOOSE(CONTROL!$C$32, $C$9, 100%, $E$9)</f>
        <v>5.8422000000000001</v>
      </c>
      <c r="L15" s="81">
        <f>3.5012 * CHOOSE(CONTROL!$C$32, $C$9, 100%, $E$9)</f>
        <v>3.5011999999999999</v>
      </c>
      <c r="M15" s="81">
        <f>3.5142 * CHOOSE(CONTROL!$C$32, $C$9, 100%, $E$9)</f>
        <v>3.5142000000000002</v>
      </c>
      <c r="N15" s="81">
        <f>3.5012 * CHOOSE(CONTROL!$C$32, $C$9, 100%, $E$9)</f>
        <v>3.5011999999999999</v>
      </c>
      <c r="O15" s="81">
        <f>3.5142 * CHOOSE(CONTROL!$C$32, $C$9, 100%, $E$9)</f>
        <v>3.5142000000000002</v>
      </c>
      <c r="P15" s="10"/>
      <c r="Q15" s="81"/>
      <c r="R15" s="81"/>
    </row>
    <row r="16" spans="1:19" ht="15" x14ac:dyDescent="0.2">
      <c r="A16" s="16">
        <v>41699</v>
      </c>
      <c r="B16" s="80">
        <f>2.3423 * CHOOSE(CONTROL!$C$32, $C$9, 100%, $E$9)</f>
        <v>2.3422999999999998</v>
      </c>
      <c r="C16" s="80">
        <f>2.3166 * CHOOSE(CONTROL!$C$32, $C$9, 100%, $E$9)</f>
        <v>2.3166000000000002</v>
      </c>
      <c r="D16" s="80">
        <f>2.3555 * CHOOSE(CONTROL!$C$32, $C$9, 100%, $E$9)</f>
        <v>2.3555000000000001</v>
      </c>
      <c r="E16" s="81">
        <f>3.4055 * CHOOSE(CONTROL!$C$32, $C$9, 100%, $E$9)</f>
        <v>3.4055</v>
      </c>
      <c r="F16" s="81">
        <f>3.2949 * CHOOSE(CONTROL!$C$32, $C$9, 100%, $E$9)</f>
        <v>3.2949000000000002</v>
      </c>
      <c r="G16" s="81">
        <f>3.3079 * CHOOSE(CONTROL!$C$32, $C$9, 100%, $E$9)</f>
        <v>3.3079000000000001</v>
      </c>
      <c r="H16" s="81">
        <f>5.8414 * CHOOSE(CONTROL!$C$32, $C$9, 100%, $E$9)</f>
        <v>5.8414000000000001</v>
      </c>
      <c r="I16" s="81">
        <f>5.8543 * CHOOSE(CONTROL!$C$32, $C$9, 100%, $E$9)</f>
        <v>5.8543000000000003</v>
      </c>
      <c r="J16" s="81">
        <f>5.8414 * CHOOSE(CONTROL!$C$32, $C$9, 100%, $E$9)</f>
        <v>5.8414000000000001</v>
      </c>
      <c r="K16" s="81">
        <f>5.8543 * CHOOSE(CONTROL!$C$32, $C$9, 100%, $E$9)</f>
        <v>5.8543000000000003</v>
      </c>
      <c r="L16" s="81">
        <f>3.4055 * CHOOSE(CONTROL!$C$32, $C$9, 100%, $E$9)</f>
        <v>3.4055</v>
      </c>
      <c r="M16" s="81">
        <f>3.4184 * CHOOSE(CONTROL!$C$32, $C$9, 100%, $E$9)</f>
        <v>3.4184000000000001</v>
      </c>
      <c r="N16" s="81">
        <f>3.4055 * CHOOSE(CONTROL!$C$32, $C$9, 100%, $E$9)</f>
        <v>3.4055</v>
      </c>
      <c r="O16" s="81">
        <f>3.4184 * CHOOSE(CONTROL!$C$32, $C$9, 100%, $E$9)</f>
        <v>3.4184000000000001</v>
      </c>
      <c r="P16" s="10"/>
      <c r="Q16" s="81"/>
      <c r="R16" s="81"/>
    </row>
    <row r="17" spans="1:18" ht="15" x14ac:dyDescent="0.2">
      <c r="A17" s="16">
        <v>41730</v>
      </c>
      <c r="B17" s="80">
        <f>2.3408 * CHOOSE(CONTROL!$C$32, $C$9, 100%, $E$9)</f>
        <v>2.3408000000000002</v>
      </c>
      <c r="C17" s="80">
        <f>2.3136 * CHOOSE(CONTROL!$C$32, $C$9, 100%, $E$9)</f>
        <v>2.3136000000000001</v>
      </c>
      <c r="D17" s="80">
        <f>2.3525 * CHOOSE(CONTROL!$C$32, $C$9, 100%, $E$9)</f>
        <v>2.3525</v>
      </c>
      <c r="E17" s="81">
        <f>3.4026 * CHOOSE(CONTROL!$C$32, $C$9, 100%, $E$9)</f>
        <v>3.4026000000000001</v>
      </c>
      <c r="F17" s="81">
        <f>3.3055 * CHOOSE(CONTROL!$C$32, $C$9, 100%, $E$9)</f>
        <v>3.3054999999999999</v>
      </c>
      <c r="G17" s="81">
        <f>3.3185 * CHOOSE(CONTROL!$C$32, $C$9, 100%, $E$9)</f>
        <v>3.3184999999999998</v>
      </c>
      <c r="H17" s="81">
        <f>5.8535 * CHOOSE(CONTROL!$C$32, $C$9, 100%, $E$9)</f>
        <v>5.8535000000000004</v>
      </c>
      <c r="I17" s="81">
        <f>5.8665 * CHOOSE(CONTROL!$C$32, $C$9, 100%, $E$9)</f>
        <v>5.8665000000000003</v>
      </c>
      <c r="J17" s="81">
        <f>5.8535 * CHOOSE(CONTROL!$C$32, $C$9, 100%, $E$9)</f>
        <v>5.8535000000000004</v>
      </c>
      <c r="K17" s="81">
        <f>5.8665 * CHOOSE(CONTROL!$C$32, $C$9, 100%, $E$9)</f>
        <v>5.8665000000000003</v>
      </c>
      <c r="L17" s="81">
        <f>3.4026 * CHOOSE(CONTROL!$C$32, $C$9, 100%, $E$9)</f>
        <v>3.4026000000000001</v>
      </c>
      <c r="M17" s="81">
        <f>3.4156 * CHOOSE(CONTROL!$C$32, $C$9, 100%, $E$9)</f>
        <v>3.4156</v>
      </c>
      <c r="N17" s="81">
        <f>3.4026 * CHOOSE(CONTROL!$C$32, $C$9, 100%, $E$9)</f>
        <v>3.4026000000000001</v>
      </c>
      <c r="O17" s="81">
        <f>3.4156 * CHOOSE(CONTROL!$C$32, $C$9, 100%, $E$9)</f>
        <v>3.4156</v>
      </c>
      <c r="P17" s="10"/>
      <c r="Q17" s="81"/>
      <c r="R17" s="81"/>
    </row>
    <row r="18" spans="1:18" ht="15" x14ac:dyDescent="0.2">
      <c r="A18" s="16">
        <v>41760</v>
      </c>
      <c r="B18" s="80">
        <f>2.3438 * CHOOSE(CONTROL!$C$32, $C$9, 100%, $E$9)</f>
        <v>2.3437999999999999</v>
      </c>
      <c r="C18" s="80">
        <f>2.3151 * CHOOSE(CONTROL!$C$32, $C$9, 100%, $E$9)</f>
        <v>2.3151000000000002</v>
      </c>
      <c r="D18" s="80">
        <f>2.3726 * CHOOSE(CONTROL!$C$32, $C$9, 100%, $E$9)</f>
        <v>2.3725999999999998</v>
      </c>
      <c r="E18" s="81">
        <f>3.4085 * CHOOSE(CONTROL!$C$32, $C$9, 100%, $E$9)</f>
        <v>3.4085000000000001</v>
      </c>
      <c r="F18" s="81">
        <f>3.3161 * CHOOSE(CONTROL!$C$32, $C$9, 100%, $E$9)</f>
        <v>3.3161</v>
      </c>
      <c r="G18" s="81">
        <f>3.3352 * CHOOSE(CONTROL!$C$32, $C$9, 100%, $E$9)</f>
        <v>3.3351999999999999</v>
      </c>
      <c r="H18" s="81">
        <f>5.8657 * CHOOSE(CONTROL!$C$32, $C$9, 100%, $E$9)</f>
        <v>5.8657000000000004</v>
      </c>
      <c r="I18" s="81">
        <f>5.8848 * CHOOSE(CONTROL!$C$32, $C$9, 100%, $E$9)</f>
        <v>5.8848000000000003</v>
      </c>
      <c r="J18" s="81">
        <f>5.8657 * CHOOSE(CONTROL!$C$32, $C$9, 100%, $E$9)</f>
        <v>5.8657000000000004</v>
      </c>
      <c r="K18" s="81">
        <f>5.8848 * CHOOSE(CONTROL!$C$32, $C$9, 100%, $E$9)</f>
        <v>5.8848000000000003</v>
      </c>
      <c r="L18" s="81">
        <f>3.4085 * CHOOSE(CONTROL!$C$32, $C$9, 100%, $E$9)</f>
        <v>3.4085000000000001</v>
      </c>
      <c r="M18" s="81">
        <f>3.4276 * CHOOSE(CONTROL!$C$32, $C$9, 100%, $E$9)</f>
        <v>3.4276</v>
      </c>
      <c r="N18" s="81">
        <f>3.4085 * CHOOSE(CONTROL!$C$32, $C$9, 100%, $E$9)</f>
        <v>3.4085000000000001</v>
      </c>
      <c r="O18" s="81">
        <f>3.4276 * CHOOSE(CONTROL!$C$32, $C$9, 100%, $E$9)</f>
        <v>3.4276</v>
      </c>
      <c r="P18" s="10"/>
      <c r="Q18" s="81"/>
      <c r="R18" s="81"/>
    </row>
    <row r="19" spans="1:18" ht="15" x14ac:dyDescent="0.2">
      <c r="A19" s="16">
        <v>41791</v>
      </c>
      <c r="B19" s="80">
        <f>2.3496 * CHOOSE(CONTROL!$C$32, $C$9, 100%, $E$9)</f>
        <v>2.3496000000000001</v>
      </c>
      <c r="C19" s="80">
        <f>2.327 * CHOOSE(CONTROL!$C$32, $C$9, 100%, $E$9)</f>
        <v>2.327</v>
      </c>
      <c r="D19" s="80">
        <f>2.3845 * CHOOSE(CONTROL!$C$32, $C$9, 100%, $E$9)</f>
        <v>2.3845000000000001</v>
      </c>
      <c r="E19" s="81">
        <f>3.4321 * CHOOSE(CONTROL!$C$32, $C$9, 100%, $E$9)</f>
        <v>3.4321000000000002</v>
      </c>
      <c r="F19" s="81">
        <f>3.3585 * CHOOSE(CONTROL!$C$32, $C$9, 100%, $E$9)</f>
        <v>3.3584999999999998</v>
      </c>
      <c r="G19" s="81">
        <f>3.3775 * CHOOSE(CONTROL!$C$32, $C$9, 100%, $E$9)</f>
        <v>3.3774999999999999</v>
      </c>
      <c r="H19" s="81">
        <f>5.8779 * CHOOSE(CONTROL!$C$32, $C$9, 100%, $E$9)</f>
        <v>5.8779000000000003</v>
      </c>
      <c r="I19" s="81">
        <f>5.897 * CHOOSE(CONTROL!$C$32, $C$9, 100%, $E$9)</f>
        <v>5.8970000000000002</v>
      </c>
      <c r="J19" s="81">
        <f>5.8779 * CHOOSE(CONTROL!$C$32, $C$9, 100%, $E$9)</f>
        <v>5.8779000000000003</v>
      </c>
      <c r="K19" s="81">
        <f>5.897 * CHOOSE(CONTROL!$C$32, $C$9, 100%, $E$9)</f>
        <v>5.8970000000000002</v>
      </c>
      <c r="L19" s="81">
        <f>3.4321 * CHOOSE(CONTROL!$C$32, $C$9, 100%, $E$9)</f>
        <v>3.4321000000000002</v>
      </c>
      <c r="M19" s="81">
        <f>3.4511 * CHOOSE(CONTROL!$C$32, $C$9, 100%, $E$9)</f>
        <v>3.4510999999999998</v>
      </c>
      <c r="N19" s="81">
        <f>3.4321 * CHOOSE(CONTROL!$C$32, $C$9, 100%, $E$9)</f>
        <v>3.4321000000000002</v>
      </c>
      <c r="O19" s="81">
        <f>3.4511 * CHOOSE(CONTROL!$C$32, $C$9, 100%, $E$9)</f>
        <v>3.4510999999999998</v>
      </c>
      <c r="P19" s="10"/>
      <c r="Q19" s="81"/>
      <c r="R19" s="81"/>
    </row>
    <row r="20" spans="1:18" ht="15" x14ac:dyDescent="0.2">
      <c r="A20" s="16">
        <v>41821</v>
      </c>
      <c r="B20" s="80">
        <f>2.3649 * CHOOSE(CONTROL!$C$32, $C$9, 100%, $E$9)</f>
        <v>2.3649</v>
      </c>
      <c r="C20" s="80">
        <f>2.3574 * CHOOSE(CONTROL!$C$32, $C$9, 100%, $E$9)</f>
        <v>2.3574000000000002</v>
      </c>
      <c r="D20" s="80">
        <f>2.4149 * CHOOSE(CONTROL!$C$32, $C$9, 100%, $E$9)</f>
        <v>2.4148999999999998</v>
      </c>
      <c r="E20" s="81">
        <f>3.4478 * CHOOSE(CONTROL!$C$32, $C$9, 100%, $E$9)</f>
        <v>3.4478</v>
      </c>
      <c r="F20" s="81">
        <f>3.4008 * CHOOSE(CONTROL!$C$32, $C$9, 100%, $E$9)</f>
        <v>3.4007999999999998</v>
      </c>
      <c r="G20" s="81">
        <f>3.4199 * CHOOSE(CONTROL!$C$32, $C$9, 100%, $E$9)</f>
        <v>3.4199000000000002</v>
      </c>
      <c r="H20" s="81">
        <f>5.8902 * CHOOSE(CONTROL!$C$32, $C$9, 100%, $E$9)</f>
        <v>5.8902000000000001</v>
      </c>
      <c r="I20" s="81">
        <f>5.9092 * CHOOSE(CONTROL!$C$32, $C$9, 100%, $E$9)</f>
        <v>5.9092000000000002</v>
      </c>
      <c r="J20" s="81">
        <f>5.8902 * CHOOSE(CONTROL!$C$32, $C$9, 100%, $E$9)</f>
        <v>5.8902000000000001</v>
      </c>
      <c r="K20" s="81">
        <f>5.9092 * CHOOSE(CONTROL!$C$32, $C$9, 100%, $E$9)</f>
        <v>5.9092000000000002</v>
      </c>
      <c r="L20" s="81">
        <f>3.4478 * CHOOSE(CONTROL!$C$32, $C$9, 100%, $E$9)</f>
        <v>3.4478</v>
      </c>
      <c r="M20" s="81">
        <f>3.4668 * CHOOSE(CONTROL!$C$32, $C$9, 100%, $E$9)</f>
        <v>3.4668000000000001</v>
      </c>
      <c r="N20" s="81">
        <f>3.4478 * CHOOSE(CONTROL!$C$32, $C$9, 100%, $E$9)</f>
        <v>3.4478</v>
      </c>
      <c r="O20" s="81">
        <f>3.4668 * CHOOSE(CONTROL!$C$32, $C$9, 100%, $E$9)</f>
        <v>3.4668000000000001</v>
      </c>
      <c r="P20" s="10"/>
      <c r="Q20" s="81"/>
      <c r="R20" s="81"/>
    </row>
    <row r="21" spans="1:18" ht="15" x14ac:dyDescent="0.2">
      <c r="A21" s="16">
        <v>41852</v>
      </c>
      <c r="B21" s="80">
        <f>2.3848 * CHOOSE(CONTROL!$C$32, $C$9, 100%, $E$9)</f>
        <v>2.3847999999999998</v>
      </c>
      <c r="C21" s="80">
        <f>2.3923 * CHOOSE(CONTROL!$C$32, $C$9, 100%, $E$9)</f>
        <v>2.3923000000000001</v>
      </c>
      <c r="D21" s="80">
        <f>2.4498 * CHOOSE(CONTROL!$C$32, $C$9, 100%, $E$9)</f>
        <v>2.4498000000000002</v>
      </c>
      <c r="E21" s="81">
        <f>3.4793 * CHOOSE(CONTROL!$C$32, $C$9, 100%, $E$9)</f>
        <v>3.4792999999999998</v>
      </c>
      <c r="F21" s="81">
        <f>3.4517 * CHOOSE(CONTROL!$C$32, $C$9, 100%, $E$9)</f>
        <v>3.4517000000000002</v>
      </c>
      <c r="G21" s="81">
        <f>3.4707 * CHOOSE(CONTROL!$C$32, $C$9, 100%, $E$9)</f>
        <v>3.4706999999999999</v>
      </c>
      <c r="H21" s="81">
        <f>5.9025 * CHOOSE(CONTROL!$C$32, $C$9, 100%, $E$9)</f>
        <v>5.9024999999999999</v>
      </c>
      <c r="I21" s="81">
        <f>5.9215 * CHOOSE(CONTROL!$C$32, $C$9, 100%, $E$9)</f>
        <v>5.9215</v>
      </c>
      <c r="J21" s="81">
        <f>5.9025 * CHOOSE(CONTROL!$C$32, $C$9, 100%, $E$9)</f>
        <v>5.9024999999999999</v>
      </c>
      <c r="K21" s="81">
        <f>5.9215 * CHOOSE(CONTROL!$C$32, $C$9, 100%, $E$9)</f>
        <v>5.9215</v>
      </c>
      <c r="L21" s="81">
        <f>3.4793 * CHOOSE(CONTROL!$C$32, $C$9, 100%, $E$9)</f>
        <v>3.4792999999999998</v>
      </c>
      <c r="M21" s="81">
        <f>3.4983 * CHOOSE(CONTROL!$C$32, $C$9, 100%, $E$9)</f>
        <v>3.4983</v>
      </c>
      <c r="N21" s="81">
        <f>3.4793 * CHOOSE(CONTROL!$C$32, $C$9, 100%, $E$9)</f>
        <v>3.4792999999999998</v>
      </c>
      <c r="O21" s="81">
        <f>3.4983 * CHOOSE(CONTROL!$C$32, $C$9, 100%, $E$9)</f>
        <v>3.4983</v>
      </c>
      <c r="P21" s="10"/>
      <c r="Q21" s="81"/>
      <c r="R21" s="81"/>
    </row>
    <row r="22" spans="1:18" ht="15" x14ac:dyDescent="0.2">
      <c r="A22" s="16">
        <v>41883</v>
      </c>
      <c r="B22" s="80">
        <f>2.3937 * CHOOSE(CONTROL!$C$32, $C$9, 100%, $E$9)</f>
        <v>2.3936999999999999</v>
      </c>
      <c r="C22" s="80">
        <f>2.4103 * CHOOSE(CONTROL!$C$32, $C$9, 100%, $E$9)</f>
        <v>2.4102999999999999</v>
      </c>
      <c r="D22" s="80">
        <f>2.4678 * CHOOSE(CONTROL!$C$32, $C$9, 100%, $E$9)</f>
        <v>2.4678</v>
      </c>
      <c r="E22" s="81">
        <f>3.4806 * CHOOSE(CONTROL!$C$32, $C$9, 100%, $E$9)</f>
        <v>3.4805999999999999</v>
      </c>
      <c r="F22" s="81">
        <f>3.4538 * CHOOSE(CONTROL!$C$32, $C$9, 100%, $E$9)</f>
        <v>3.4538000000000002</v>
      </c>
      <c r="G22" s="81">
        <f>3.4729 * CHOOSE(CONTROL!$C$32, $C$9, 100%, $E$9)</f>
        <v>3.4729000000000001</v>
      </c>
      <c r="H22" s="81">
        <f>5.9148 * CHOOSE(CONTROL!$C$32, $C$9, 100%, $E$9)</f>
        <v>5.9147999999999996</v>
      </c>
      <c r="I22" s="81">
        <f>5.9338 * CHOOSE(CONTROL!$C$32, $C$9, 100%, $E$9)</f>
        <v>5.9337999999999997</v>
      </c>
      <c r="J22" s="81">
        <f>5.9148 * CHOOSE(CONTROL!$C$32, $C$9, 100%, $E$9)</f>
        <v>5.9147999999999996</v>
      </c>
      <c r="K22" s="81">
        <f>5.9338 * CHOOSE(CONTROL!$C$32, $C$9, 100%, $E$9)</f>
        <v>5.9337999999999997</v>
      </c>
      <c r="L22" s="81">
        <f>3.4806 * CHOOSE(CONTROL!$C$32, $C$9, 100%, $E$9)</f>
        <v>3.4805999999999999</v>
      </c>
      <c r="M22" s="81">
        <f>3.4996 * CHOOSE(CONTROL!$C$32, $C$9, 100%, $E$9)</f>
        <v>3.4996</v>
      </c>
      <c r="N22" s="81">
        <f>3.4806 * CHOOSE(CONTROL!$C$32, $C$9, 100%, $E$9)</f>
        <v>3.4805999999999999</v>
      </c>
      <c r="O22" s="81">
        <f>3.4996 * CHOOSE(CONTROL!$C$32, $C$9, 100%, $E$9)</f>
        <v>3.4996</v>
      </c>
      <c r="P22" s="10"/>
      <c r="Q22" s="81"/>
      <c r="R22" s="81"/>
    </row>
    <row r="23" spans="1:18" ht="15" x14ac:dyDescent="0.2">
      <c r="A23" s="16">
        <v>41913</v>
      </c>
      <c r="B23" s="80">
        <f>2.3937 * CHOOSE(CONTROL!$C$32, $C$9, 100%, $E$9)</f>
        <v>2.3936999999999999</v>
      </c>
      <c r="C23" s="80">
        <f>2.4103 * CHOOSE(CONTROL!$C$32, $C$9, 100%, $E$9)</f>
        <v>2.4102999999999999</v>
      </c>
      <c r="D23" s="80">
        <f>2.4492 * CHOOSE(CONTROL!$C$32, $C$9, 100%, $E$9)</f>
        <v>2.4491999999999998</v>
      </c>
      <c r="E23" s="81">
        <f>3.4819 * CHOOSE(CONTROL!$C$32, $C$9, 100%, $E$9)</f>
        <v>3.4819</v>
      </c>
      <c r="F23" s="81">
        <f>3.4559 * CHOOSE(CONTROL!$C$32, $C$9, 100%, $E$9)</f>
        <v>3.4559000000000002</v>
      </c>
      <c r="G23" s="81">
        <f>3.4689 * CHOOSE(CONTROL!$C$32, $C$9, 100%, $E$9)</f>
        <v>3.4689000000000001</v>
      </c>
      <c r="H23" s="81">
        <f>5.9271 * CHOOSE(CONTROL!$C$32, $C$9, 100%, $E$9)</f>
        <v>5.9271000000000003</v>
      </c>
      <c r="I23" s="81">
        <f>5.94 * CHOOSE(CONTROL!$C$32, $C$9, 100%, $E$9)</f>
        <v>5.94</v>
      </c>
      <c r="J23" s="81">
        <f>5.9271 * CHOOSE(CONTROL!$C$32, $C$9, 100%, $E$9)</f>
        <v>5.9271000000000003</v>
      </c>
      <c r="K23" s="81">
        <f>5.94 * CHOOSE(CONTROL!$C$32, $C$9, 100%, $E$9)</f>
        <v>5.94</v>
      </c>
      <c r="L23" s="81">
        <f>3.4819 * CHOOSE(CONTROL!$C$32, $C$9, 100%, $E$9)</f>
        <v>3.4819</v>
      </c>
      <c r="M23" s="81">
        <f>3.4948 * CHOOSE(CONTROL!$C$32, $C$9, 100%, $E$9)</f>
        <v>3.4948000000000001</v>
      </c>
      <c r="N23" s="81">
        <f>3.4819 * CHOOSE(CONTROL!$C$32, $C$9, 100%, $E$9)</f>
        <v>3.4819</v>
      </c>
      <c r="O23" s="81">
        <f>3.4948 * CHOOSE(CONTROL!$C$32, $C$9, 100%, $E$9)</f>
        <v>3.4948000000000001</v>
      </c>
      <c r="P23" s="10"/>
      <c r="Q23" s="81"/>
      <c r="R23" s="81"/>
    </row>
    <row r="24" spans="1:18" ht="15" x14ac:dyDescent="0.2">
      <c r="A24" s="16">
        <v>41944</v>
      </c>
      <c r="B24" s="80">
        <f>2.4013 * CHOOSE(CONTROL!$C$32, $C$9, 100%, $E$9)</f>
        <v>2.4013</v>
      </c>
      <c r="C24" s="80">
        <f>2.421 * CHOOSE(CONTROL!$C$32, $C$9, 100%, $E$9)</f>
        <v>2.4209999999999998</v>
      </c>
      <c r="D24" s="80">
        <f>2.4599 * CHOOSE(CONTROL!$C$32, $C$9, 100%, $E$9)</f>
        <v>2.4599000000000002</v>
      </c>
      <c r="E24" s="81">
        <f>3.4897 * CHOOSE(CONTROL!$C$32, $C$9, 100%, $E$9)</f>
        <v>3.4897</v>
      </c>
      <c r="F24" s="81">
        <f>3.4623 * CHOOSE(CONTROL!$C$32, $C$9, 100%, $E$9)</f>
        <v>3.4622999999999999</v>
      </c>
      <c r="G24" s="81">
        <f>3.4752 * CHOOSE(CONTROL!$C$32, $C$9, 100%, $E$9)</f>
        <v>3.4752000000000001</v>
      </c>
      <c r="H24" s="81">
        <f>5.9394 * CHOOSE(CONTROL!$C$32, $C$9, 100%, $E$9)</f>
        <v>5.9394</v>
      </c>
      <c r="I24" s="81">
        <f>5.9524 * CHOOSE(CONTROL!$C$32, $C$9, 100%, $E$9)</f>
        <v>5.9523999999999999</v>
      </c>
      <c r="J24" s="81">
        <f>5.9394 * CHOOSE(CONTROL!$C$32, $C$9, 100%, $E$9)</f>
        <v>5.9394</v>
      </c>
      <c r="K24" s="81">
        <f>5.9524 * CHOOSE(CONTROL!$C$32, $C$9, 100%, $E$9)</f>
        <v>5.9523999999999999</v>
      </c>
      <c r="L24" s="81">
        <f>3.4897 * CHOOSE(CONTROL!$C$32, $C$9, 100%, $E$9)</f>
        <v>3.4897</v>
      </c>
      <c r="M24" s="81">
        <f>3.5027 * CHOOSE(CONTROL!$C$32, $C$9, 100%, $E$9)</f>
        <v>3.5026999999999999</v>
      </c>
      <c r="N24" s="81">
        <f>3.4897 * CHOOSE(CONTROL!$C$32, $C$9, 100%, $E$9)</f>
        <v>3.4897</v>
      </c>
      <c r="O24" s="81">
        <f>3.5027 * CHOOSE(CONTROL!$C$32, $C$9, 100%, $E$9)</f>
        <v>3.5026999999999999</v>
      </c>
      <c r="P24" s="10"/>
      <c r="Q24" s="81"/>
      <c r="R24" s="81"/>
    </row>
    <row r="25" spans="1:18" ht="15" x14ac:dyDescent="0.2">
      <c r="A25" s="16">
        <v>41974</v>
      </c>
      <c r="B25" s="80">
        <f>2.4071 * CHOOSE(CONTROL!$C$32, $C$9, 100%, $E$9)</f>
        <v>2.4070999999999998</v>
      </c>
      <c r="C25" s="80">
        <f>2.4328 * CHOOSE(CONTROL!$C$32, $C$9, 100%, $E$9)</f>
        <v>2.4327999999999999</v>
      </c>
      <c r="D25" s="80">
        <f>2.4717 * CHOOSE(CONTROL!$C$32, $C$9, 100%, $E$9)</f>
        <v>2.4716999999999998</v>
      </c>
      <c r="E25" s="81">
        <f>3.4979 * CHOOSE(CONTROL!$C$32, $C$9, 100%, $E$9)</f>
        <v>3.4979</v>
      </c>
      <c r="F25" s="81">
        <f>3.475 * CHOOSE(CONTROL!$C$32, $C$9, 100%, $E$9)</f>
        <v>3.4750000000000001</v>
      </c>
      <c r="G25" s="81">
        <f>3.4879 * CHOOSE(CONTROL!$C$32, $C$9, 100%, $E$9)</f>
        <v>3.4878999999999998</v>
      </c>
      <c r="H25" s="81">
        <f>5.9518 * CHOOSE(CONTROL!$C$32, $C$9, 100%, $E$9)</f>
        <v>5.9518000000000004</v>
      </c>
      <c r="I25" s="81">
        <f>5.9647 * CHOOSE(CONTROL!$C$32, $C$9, 100%, $E$9)</f>
        <v>5.9646999999999997</v>
      </c>
      <c r="J25" s="81">
        <f>5.9518 * CHOOSE(CONTROL!$C$32, $C$9, 100%, $E$9)</f>
        <v>5.9518000000000004</v>
      </c>
      <c r="K25" s="81">
        <f>5.9647 * CHOOSE(CONTROL!$C$32, $C$9, 100%, $E$9)</f>
        <v>5.9646999999999997</v>
      </c>
      <c r="L25" s="81">
        <f>3.4979 * CHOOSE(CONTROL!$C$32, $C$9, 100%, $E$9)</f>
        <v>3.4979</v>
      </c>
      <c r="M25" s="81">
        <f>3.5108 * CHOOSE(CONTROL!$C$32, $C$9, 100%, $E$9)</f>
        <v>3.5108000000000001</v>
      </c>
      <c r="N25" s="81">
        <f>3.4979 * CHOOSE(CONTROL!$C$32, $C$9, 100%, $E$9)</f>
        <v>3.4979</v>
      </c>
      <c r="O25" s="81">
        <f>3.5108 * CHOOSE(CONTROL!$C$32, $C$9, 100%, $E$9)</f>
        <v>3.5108000000000001</v>
      </c>
      <c r="P25" s="10"/>
      <c r="Q25" s="81"/>
      <c r="R25" s="81"/>
    </row>
    <row r="26" spans="1:18" ht="15" x14ac:dyDescent="0.2">
      <c r="A26" s="16">
        <v>42005</v>
      </c>
      <c r="B26" s="80">
        <f>2.4532 * CHOOSE(CONTROL!$C$32, $C$9, 100%, $E$9)</f>
        <v>2.4531999999999998</v>
      </c>
      <c r="C26" s="80">
        <f>2.4532 * CHOOSE(CONTROL!$C$32, $C$9, 100%, $E$9)</f>
        <v>2.4531999999999998</v>
      </c>
      <c r="D26" s="80">
        <f>2.4542 * CHOOSE(CONTROL!$C$32, $C$9, 100%, $E$9)</f>
        <v>2.4542000000000002</v>
      </c>
      <c r="E26" s="81">
        <f>3.8055 * CHOOSE(CONTROL!$C$32, $C$9, 100%, $E$9)</f>
        <v>3.8054999999999999</v>
      </c>
      <c r="F26" s="81">
        <f>3.5836 * CHOOSE(CONTROL!$C$32, $C$9, 100%, $E$9)</f>
        <v>3.5836000000000001</v>
      </c>
      <c r="G26" s="81">
        <f>3.5872 * CHOOSE(CONTROL!$C$32, $C$9, 100%, $E$9)</f>
        <v>3.5872000000000002</v>
      </c>
      <c r="H26" s="81">
        <f>5.9642 * CHOOSE(CONTROL!$C$32, $C$9, 100%, $E$9)</f>
        <v>5.9641999999999999</v>
      </c>
      <c r="I26" s="81">
        <f>5.9678 * CHOOSE(CONTROL!$C$32, $C$9, 100%, $E$9)</f>
        <v>5.9678000000000004</v>
      </c>
      <c r="J26" s="81">
        <f>5.9642 * CHOOSE(CONTROL!$C$32, $C$9, 100%, $E$9)</f>
        <v>5.9641999999999999</v>
      </c>
      <c r="K26" s="81">
        <f>5.9678 * CHOOSE(CONTROL!$C$32, $C$9, 100%, $E$9)</f>
        <v>5.9678000000000004</v>
      </c>
      <c r="L26" s="81">
        <f>3.8055 * CHOOSE(CONTROL!$C$32, $C$9, 100%, $E$9)</f>
        <v>3.8054999999999999</v>
      </c>
      <c r="M26" s="81">
        <f>3.8091 * CHOOSE(CONTROL!$C$32, $C$9, 100%, $E$9)</f>
        <v>3.8090999999999999</v>
      </c>
      <c r="N26" s="81">
        <f>3.8055 * CHOOSE(CONTROL!$C$32, $C$9, 100%, $E$9)</f>
        <v>3.8054999999999999</v>
      </c>
      <c r="O26" s="81">
        <f>3.8091 * CHOOSE(CONTROL!$C$32, $C$9, 100%, $E$9)</f>
        <v>3.8090999999999999</v>
      </c>
      <c r="P26" s="10"/>
      <c r="Q26" s="81"/>
      <c r="R26" s="81"/>
    </row>
    <row r="27" spans="1:18" ht="15" x14ac:dyDescent="0.2">
      <c r="A27" s="16">
        <v>42036</v>
      </c>
      <c r="B27" s="80">
        <f>2.4638 * CHOOSE(CONTROL!$C$32, $C$9, 100%, $E$9)</f>
        <v>2.4638</v>
      </c>
      <c r="C27" s="80">
        <f>2.4638 * CHOOSE(CONTROL!$C$32, $C$9, 100%, $E$9)</f>
        <v>2.4638</v>
      </c>
      <c r="D27" s="80">
        <f>2.4648 * CHOOSE(CONTROL!$C$32, $C$9, 100%, $E$9)</f>
        <v>2.4647999999999999</v>
      </c>
      <c r="E27" s="81">
        <f>3.7577 * CHOOSE(CONTROL!$C$32, $C$9, 100%, $E$9)</f>
        <v>3.7576999999999998</v>
      </c>
      <c r="F27" s="81">
        <f>3.5836 * CHOOSE(CONTROL!$C$32, $C$9, 100%, $E$9)</f>
        <v>3.5836000000000001</v>
      </c>
      <c r="G27" s="81">
        <f>3.5872 * CHOOSE(CONTROL!$C$32, $C$9, 100%, $E$9)</f>
        <v>3.5872000000000002</v>
      </c>
      <c r="H27" s="81">
        <f>5.9766 * CHOOSE(CONTROL!$C$32, $C$9, 100%, $E$9)</f>
        <v>5.9766000000000004</v>
      </c>
      <c r="I27" s="81">
        <f>5.9802 * CHOOSE(CONTROL!$C$32, $C$9, 100%, $E$9)</f>
        <v>5.9802</v>
      </c>
      <c r="J27" s="81">
        <f>5.9766 * CHOOSE(CONTROL!$C$32, $C$9, 100%, $E$9)</f>
        <v>5.9766000000000004</v>
      </c>
      <c r="K27" s="81">
        <f>5.9802 * CHOOSE(CONTROL!$C$32, $C$9, 100%, $E$9)</f>
        <v>5.9802</v>
      </c>
      <c r="L27" s="81">
        <f>3.7577 * CHOOSE(CONTROL!$C$32, $C$9, 100%, $E$9)</f>
        <v>3.7576999999999998</v>
      </c>
      <c r="M27" s="81">
        <f>3.7613 * CHOOSE(CONTROL!$C$32, $C$9, 100%, $E$9)</f>
        <v>3.7612999999999999</v>
      </c>
      <c r="N27" s="81">
        <f>3.7577 * CHOOSE(CONTROL!$C$32, $C$9, 100%, $E$9)</f>
        <v>3.7576999999999998</v>
      </c>
      <c r="O27" s="81">
        <f>3.7613 * CHOOSE(CONTROL!$C$32, $C$9, 100%, $E$9)</f>
        <v>3.7612999999999999</v>
      </c>
      <c r="P27" s="10"/>
      <c r="Q27" s="81"/>
      <c r="R27" s="81"/>
    </row>
    <row r="28" spans="1:18" ht="15" x14ac:dyDescent="0.2">
      <c r="A28" s="16">
        <v>42064</v>
      </c>
      <c r="B28" s="80">
        <f>2.4574 * CHOOSE(CONTROL!$C$32, $C$9, 100%, $E$9)</f>
        <v>2.4573999999999998</v>
      </c>
      <c r="C28" s="80">
        <f>2.4574 * CHOOSE(CONTROL!$C$32, $C$9, 100%, $E$9)</f>
        <v>2.4573999999999998</v>
      </c>
      <c r="D28" s="80">
        <f>2.4584 * CHOOSE(CONTROL!$C$32, $C$9, 100%, $E$9)</f>
        <v>2.4584000000000001</v>
      </c>
      <c r="E28" s="81">
        <f>3.686 * CHOOSE(CONTROL!$C$32, $C$9, 100%, $E$9)</f>
        <v>3.6859999999999999</v>
      </c>
      <c r="F28" s="81">
        <f>3.5836 * CHOOSE(CONTROL!$C$32, $C$9, 100%, $E$9)</f>
        <v>3.5836000000000001</v>
      </c>
      <c r="G28" s="81">
        <f>3.5872 * CHOOSE(CONTROL!$C$32, $C$9, 100%, $E$9)</f>
        <v>3.5872000000000002</v>
      </c>
      <c r="H28" s="81">
        <f>5.9891 * CHOOSE(CONTROL!$C$32, $C$9, 100%, $E$9)</f>
        <v>5.9890999999999996</v>
      </c>
      <c r="I28" s="81">
        <f>5.9927 * CHOOSE(CONTROL!$C$32, $C$9, 100%, $E$9)</f>
        <v>5.9927000000000001</v>
      </c>
      <c r="J28" s="81">
        <f>5.9891 * CHOOSE(CONTROL!$C$32, $C$9, 100%, $E$9)</f>
        <v>5.9890999999999996</v>
      </c>
      <c r="K28" s="81">
        <f>5.9927 * CHOOSE(CONTROL!$C$32, $C$9, 100%, $E$9)</f>
        <v>5.9927000000000001</v>
      </c>
      <c r="L28" s="81">
        <f>3.686 * CHOOSE(CONTROL!$C$32, $C$9, 100%, $E$9)</f>
        <v>3.6859999999999999</v>
      </c>
      <c r="M28" s="81">
        <f>3.6896 * CHOOSE(CONTROL!$C$32, $C$9, 100%, $E$9)</f>
        <v>3.6896</v>
      </c>
      <c r="N28" s="81">
        <f>3.686 * CHOOSE(CONTROL!$C$32, $C$9, 100%, $E$9)</f>
        <v>3.6859999999999999</v>
      </c>
      <c r="O28" s="81">
        <f>3.6896 * CHOOSE(CONTROL!$C$32, $C$9, 100%, $E$9)</f>
        <v>3.6896</v>
      </c>
      <c r="P28" s="10"/>
      <c r="Q28" s="81"/>
      <c r="R28" s="81"/>
    </row>
    <row r="29" spans="1:18" ht="15" x14ac:dyDescent="0.2">
      <c r="A29" s="16">
        <v>42095</v>
      </c>
      <c r="B29" s="80">
        <f>2.4574 * CHOOSE(CONTROL!$C$32, $C$9, 100%, $E$9)</f>
        <v>2.4573999999999998</v>
      </c>
      <c r="C29" s="80">
        <f>2.4574 * CHOOSE(CONTROL!$C$32, $C$9, 100%, $E$9)</f>
        <v>2.4573999999999998</v>
      </c>
      <c r="D29" s="80">
        <f>2.4584 * CHOOSE(CONTROL!$C$32, $C$9, 100%, $E$9)</f>
        <v>2.4584000000000001</v>
      </c>
      <c r="E29" s="81">
        <f>3.6986 * CHOOSE(CONTROL!$C$32, $C$9, 100%, $E$9)</f>
        <v>3.6985999999999999</v>
      </c>
      <c r="F29" s="81">
        <f>3.5836 * CHOOSE(CONTROL!$C$32, $C$9, 100%, $E$9)</f>
        <v>3.5836000000000001</v>
      </c>
      <c r="G29" s="81">
        <f>3.5872 * CHOOSE(CONTROL!$C$32, $C$9, 100%, $E$9)</f>
        <v>3.5872000000000002</v>
      </c>
      <c r="H29" s="81">
        <f>6.0016 * CHOOSE(CONTROL!$C$32, $C$9, 100%, $E$9)</f>
        <v>6.0015999999999998</v>
      </c>
      <c r="I29" s="81">
        <f>6.0052 * CHOOSE(CONTROL!$C$32, $C$9, 100%, $E$9)</f>
        <v>6.0052000000000003</v>
      </c>
      <c r="J29" s="81">
        <f>6.0016 * CHOOSE(CONTROL!$C$32, $C$9, 100%, $E$9)</f>
        <v>6.0015999999999998</v>
      </c>
      <c r="K29" s="81">
        <f>6.0052 * CHOOSE(CONTROL!$C$32, $C$9, 100%, $E$9)</f>
        <v>6.0052000000000003</v>
      </c>
      <c r="L29" s="81">
        <f>3.6986 * CHOOSE(CONTROL!$C$32, $C$9, 100%, $E$9)</f>
        <v>3.6985999999999999</v>
      </c>
      <c r="M29" s="81">
        <f>3.7022 * CHOOSE(CONTROL!$C$32, $C$9, 100%, $E$9)</f>
        <v>3.7021999999999999</v>
      </c>
      <c r="N29" s="81">
        <f>3.6986 * CHOOSE(CONTROL!$C$32, $C$9, 100%, $E$9)</f>
        <v>3.6985999999999999</v>
      </c>
      <c r="O29" s="81">
        <f>3.7022 * CHOOSE(CONTROL!$C$32, $C$9, 100%, $E$9)</f>
        <v>3.7021999999999999</v>
      </c>
      <c r="P29" s="10"/>
      <c r="Q29" s="81"/>
      <c r="R29" s="81"/>
    </row>
    <row r="30" spans="1:18" ht="15" x14ac:dyDescent="0.2">
      <c r="A30" s="16">
        <v>42125</v>
      </c>
      <c r="B30" s="80">
        <f>2.4559 * CHOOSE(CONTROL!$C$32, $C$9, 100%, $E$9)</f>
        <v>2.4559000000000002</v>
      </c>
      <c r="C30" s="80">
        <f>2.4559 * CHOOSE(CONTROL!$C$32, $C$9, 100%, $E$9)</f>
        <v>2.4559000000000002</v>
      </c>
      <c r="D30" s="80">
        <f>2.4575 * CHOOSE(CONTROL!$C$32, $C$9, 100%, $E$9)</f>
        <v>2.4575</v>
      </c>
      <c r="E30" s="81">
        <f>3.7718 * CHOOSE(CONTROL!$C$32, $C$9, 100%, $E$9)</f>
        <v>3.7717999999999998</v>
      </c>
      <c r="F30" s="81">
        <f>3.5836 * CHOOSE(CONTROL!$C$32, $C$9, 100%, $E$9)</f>
        <v>3.5836000000000001</v>
      </c>
      <c r="G30" s="81">
        <f>3.5889 * CHOOSE(CONTROL!$C$32, $C$9, 100%, $E$9)</f>
        <v>3.5889000000000002</v>
      </c>
      <c r="H30" s="81">
        <f>6.0141 * CHOOSE(CONTROL!$C$32, $C$9, 100%, $E$9)</f>
        <v>6.0141</v>
      </c>
      <c r="I30" s="81">
        <f>6.0194 * CHOOSE(CONTROL!$C$32, $C$9, 100%, $E$9)</f>
        <v>6.0194000000000001</v>
      </c>
      <c r="J30" s="81">
        <f>6.0141 * CHOOSE(CONTROL!$C$32, $C$9, 100%, $E$9)</f>
        <v>6.0141</v>
      </c>
      <c r="K30" s="81">
        <f>6.0194 * CHOOSE(CONTROL!$C$32, $C$9, 100%, $E$9)</f>
        <v>6.0194000000000001</v>
      </c>
      <c r="L30" s="81">
        <f>3.7718 * CHOOSE(CONTROL!$C$32, $C$9, 100%, $E$9)</f>
        <v>3.7717999999999998</v>
      </c>
      <c r="M30" s="81">
        <f>3.7771 * CHOOSE(CONTROL!$C$32, $C$9, 100%, $E$9)</f>
        <v>3.7770999999999999</v>
      </c>
      <c r="N30" s="81">
        <f>3.7718 * CHOOSE(CONTROL!$C$32, $C$9, 100%, $E$9)</f>
        <v>3.7717999999999998</v>
      </c>
      <c r="O30" s="81">
        <f>3.7771 * CHOOSE(CONTROL!$C$32, $C$9, 100%, $E$9)</f>
        <v>3.7770999999999999</v>
      </c>
      <c r="P30" s="10"/>
      <c r="Q30" s="81"/>
      <c r="R30" s="81"/>
    </row>
    <row r="31" spans="1:18" ht="15" x14ac:dyDescent="0.2">
      <c r="A31" s="16">
        <v>42156</v>
      </c>
      <c r="B31" s="80">
        <f>2.4775 * CHOOSE(CONTROL!$C$32, $C$9, 100%, $E$9)</f>
        <v>2.4775</v>
      </c>
      <c r="C31" s="80">
        <f>2.4775 * CHOOSE(CONTROL!$C$32, $C$9, 100%, $E$9)</f>
        <v>2.4775</v>
      </c>
      <c r="D31" s="80">
        <f>2.4791 * CHOOSE(CONTROL!$C$32, $C$9, 100%, $E$9)</f>
        <v>2.4790999999999999</v>
      </c>
      <c r="E31" s="81">
        <f>3.8167 * CHOOSE(CONTROL!$C$32, $C$9, 100%, $E$9)</f>
        <v>3.8167</v>
      </c>
      <c r="F31" s="81">
        <f>3.5836 * CHOOSE(CONTROL!$C$32, $C$9, 100%, $E$9)</f>
        <v>3.5836000000000001</v>
      </c>
      <c r="G31" s="81">
        <f>3.5889 * CHOOSE(CONTROL!$C$32, $C$9, 100%, $E$9)</f>
        <v>3.5889000000000002</v>
      </c>
      <c r="H31" s="81">
        <f>6.0266 * CHOOSE(CONTROL!$C$32, $C$9, 100%, $E$9)</f>
        <v>6.0266000000000002</v>
      </c>
      <c r="I31" s="81">
        <f>6.0319 * CHOOSE(CONTROL!$C$32, $C$9, 100%, $E$9)</f>
        <v>6.0319000000000003</v>
      </c>
      <c r="J31" s="81">
        <f>6.0266 * CHOOSE(CONTROL!$C$32, $C$9, 100%, $E$9)</f>
        <v>6.0266000000000002</v>
      </c>
      <c r="K31" s="81">
        <f>6.0319 * CHOOSE(CONTROL!$C$32, $C$9, 100%, $E$9)</f>
        <v>6.0319000000000003</v>
      </c>
      <c r="L31" s="81">
        <f>3.8167 * CHOOSE(CONTROL!$C$32, $C$9, 100%, $E$9)</f>
        <v>3.8167</v>
      </c>
      <c r="M31" s="81">
        <f>3.822 * CHOOSE(CONTROL!$C$32, $C$9, 100%, $E$9)</f>
        <v>3.8220000000000001</v>
      </c>
      <c r="N31" s="81">
        <f>3.8167 * CHOOSE(CONTROL!$C$32, $C$9, 100%, $E$9)</f>
        <v>3.8167</v>
      </c>
      <c r="O31" s="81">
        <f>3.822 * CHOOSE(CONTROL!$C$32, $C$9, 100%, $E$9)</f>
        <v>3.8220000000000001</v>
      </c>
      <c r="P31" s="10"/>
      <c r="Q31" s="81"/>
      <c r="R31" s="81"/>
    </row>
    <row r="32" spans="1:18" ht="15" x14ac:dyDescent="0.2">
      <c r="A32" s="16">
        <v>42186</v>
      </c>
      <c r="B32" s="80">
        <f>2.5019 * CHOOSE(CONTROL!$C$32, $C$9, 100%, $E$9)</f>
        <v>2.5019</v>
      </c>
      <c r="C32" s="80">
        <f>2.5019 * CHOOSE(CONTROL!$C$32, $C$9, 100%, $E$9)</f>
        <v>2.5019</v>
      </c>
      <c r="D32" s="80">
        <f>2.5034 * CHOOSE(CONTROL!$C$32, $C$9, 100%, $E$9)</f>
        <v>2.5034000000000001</v>
      </c>
      <c r="E32" s="81">
        <f>3.8864 * CHOOSE(CONTROL!$C$32, $C$9, 100%, $E$9)</f>
        <v>3.8864000000000001</v>
      </c>
      <c r="F32" s="81">
        <f>3.5836 * CHOOSE(CONTROL!$C$32, $C$9, 100%, $E$9)</f>
        <v>3.5836000000000001</v>
      </c>
      <c r="G32" s="81">
        <f>3.5889 * CHOOSE(CONTROL!$C$32, $C$9, 100%, $E$9)</f>
        <v>3.5889000000000002</v>
      </c>
      <c r="H32" s="81">
        <f>6.0391 * CHOOSE(CONTROL!$C$32, $C$9, 100%, $E$9)</f>
        <v>6.0391000000000004</v>
      </c>
      <c r="I32" s="81">
        <f>6.0444 * CHOOSE(CONTROL!$C$32, $C$9, 100%, $E$9)</f>
        <v>6.0444000000000004</v>
      </c>
      <c r="J32" s="81">
        <f>6.0391 * CHOOSE(CONTROL!$C$32, $C$9, 100%, $E$9)</f>
        <v>6.0391000000000004</v>
      </c>
      <c r="K32" s="81">
        <f>6.0444 * CHOOSE(CONTROL!$C$32, $C$9, 100%, $E$9)</f>
        <v>6.0444000000000004</v>
      </c>
      <c r="L32" s="81">
        <f>3.8864 * CHOOSE(CONTROL!$C$32, $C$9, 100%, $E$9)</f>
        <v>3.8864000000000001</v>
      </c>
      <c r="M32" s="81">
        <f>3.8917 * CHOOSE(CONTROL!$C$32, $C$9, 100%, $E$9)</f>
        <v>3.8917000000000002</v>
      </c>
      <c r="N32" s="81">
        <f>3.8864 * CHOOSE(CONTROL!$C$32, $C$9, 100%, $E$9)</f>
        <v>3.8864000000000001</v>
      </c>
      <c r="O32" s="81">
        <f>3.8917 * CHOOSE(CONTROL!$C$32, $C$9, 100%, $E$9)</f>
        <v>3.8917000000000002</v>
      </c>
      <c r="P32" s="10"/>
      <c r="Q32" s="81"/>
      <c r="R32" s="81"/>
    </row>
    <row r="33" spans="1:18" ht="15" x14ac:dyDescent="0.2">
      <c r="A33" s="16">
        <v>42217</v>
      </c>
      <c r="B33" s="80">
        <f>2.5126 * CHOOSE(CONTROL!$C$32, $C$9, 100%, $E$9)</f>
        <v>2.5125999999999999</v>
      </c>
      <c r="C33" s="80">
        <f>2.5126 * CHOOSE(CONTROL!$C$32, $C$9, 100%, $E$9)</f>
        <v>2.5125999999999999</v>
      </c>
      <c r="D33" s="80">
        <f>2.5142 * CHOOSE(CONTROL!$C$32, $C$9, 100%, $E$9)</f>
        <v>2.5142000000000002</v>
      </c>
      <c r="E33" s="81">
        <f>3.8864 * CHOOSE(CONTROL!$C$32, $C$9, 100%, $E$9)</f>
        <v>3.8864000000000001</v>
      </c>
      <c r="F33" s="81">
        <f>3.5836 * CHOOSE(CONTROL!$C$32, $C$9, 100%, $E$9)</f>
        <v>3.5836000000000001</v>
      </c>
      <c r="G33" s="81">
        <f>3.5889 * CHOOSE(CONTROL!$C$32, $C$9, 100%, $E$9)</f>
        <v>3.5889000000000002</v>
      </c>
      <c r="H33" s="81">
        <f>6.0517 * CHOOSE(CONTROL!$C$32, $C$9, 100%, $E$9)</f>
        <v>6.0517000000000003</v>
      </c>
      <c r="I33" s="81">
        <f>6.057 * CHOOSE(CONTROL!$C$32, $C$9, 100%, $E$9)</f>
        <v>6.0570000000000004</v>
      </c>
      <c r="J33" s="81">
        <f>6.0517 * CHOOSE(CONTROL!$C$32, $C$9, 100%, $E$9)</f>
        <v>6.0517000000000003</v>
      </c>
      <c r="K33" s="81">
        <f>6.057 * CHOOSE(CONTROL!$C$32, $C$9, 100%, $E$9)</f>
        <v>6.0570000000000004</v>
      </c>
      <c r="L33" s="81">
        <f>3.8864 * CHOOSE(CONTROL!$C$32, $C$9, 100%, $E$9)</f>
        <v>3.8864000000000001</v>
      </c>
      <c r="M33" s="81">
        <f>3.8917 * CHOOSE(CONTROL!$C$32, $C$9, 100%, $E$9)</f>
        <v>3.8917000000000002</v>
      </c>
      <c r="N33" s="81">
        <f>3.8864 * CHOOSE(CONTROL!$C$32, $C$9, 100%, $E$9)</f>
        <v>3.8864000000000001</v>
      </c>
      <c r="O33" s="81">
        <f>3.8917 * CHOOSE(CONTROL!$C$32, $C$9, 100%, $E$9)</f>
        <v>3.8917000000000002</v>
      </c>
      <c r="P33" s="10"/>
      <c r="Q33" s="81"/>
      <c r="R33" s="81"/>
    </row>
    <row r="34" spans="1:18" ht="15" x14ac:dyDescent="0.2">
      <c r="A34" s="16">
        <v>42248</v>
      </c>
      <c r="B34" s="80">
        <f>2.5129 * CHOOSE(CONTROL!$C$32, $C$9, 100%, $E$9)</f>
        <v>2.5129000000000001</v>
      </c>
      <c r="C34" s="80">
        <f>2.5129 * CHOOSE(CONTROL!$C$32, $C$9, 100%, $E$9)</f>
        <v>2.5129000000000001</v>
      </c>
      <c r="D34" s="80">
        <f>2.5145 * CHOOSE(CONTROL!$C$32, $C$9, 100%, $E$9)</f>
        <v>2.5145</v>
      </c>
      <c r="E34" s="81">
        <f>3.7811 * CHOOSE(CONTROL!$C$32, $C$9, 100%, $E$9)</f>
        <v>3.7810999999999999</v>
      </c>
      <c r="F34" s="81">
        <f>3.5836 * CHOOSE(CONTROL!$C$32, $C$9, 100%, $E$9)</f>
        <v>3.5836000000000001</v>
      </c>
      <c r="G34" s="81">
        <f>3.5889 * CHOOSE(CONTROL!$C$32, $C$9, 100%, $E$9)</f>
        <v>3.5889000000000002</v>
      </c>
      <c r="H34" s="81">
        <f>6.0643 * CHOOSE(CONTROL!$C$32, $C$9, 100%, $E$9)</f>
        <v>6.0643000000000002</v>
      </c>
      <c r="I34" s="81">
        <f>6.0696 * CHOOSE(CONTROL!$C$32, $C$9, 100%, $E$9)</f>
        <v>6.0696000000000003</v>
      </c>
      <c r="J34" s="81">
        <f>6.0643 * CHOOSE(CONTROL!$C$32, $C$9, 100%, $E$9)</f>
        <v>6.0643000000000002</v>
      </c>
      <c r="K34" s="81">
        <f>6.0696 * CHOOSE(CONTROL!$C$32, $C$9, 100%, $E$9)</f>
        <v>6.0696000000000003</v>
      </c>
      <c r="L34" s="81">
        <f>3.7811 * CHOOSE(CONTROL!$C$32, $C$9, 100%, $E$9)</f>
        <v>3.7810999999999999</v>
      </c>
      <c r="M34" s="81">
        <f>3.7864 * CHOOSE(CONTROL!$C$32, $C$9, 100%, $E$9)</f>
        <v>3.7864</v>
      </c>
      <c r="N34" s="81">
        <f>3.7811 * CHOOSE(CONTROL!$C$32, $C$9, 100%, $E$9)</f>
        <v>3.7810999999999999</v>
      </c>
      <c r="O34" s="81">
        <f>3.7864 * CHOOSE(CONTROL!$C$32, $C$9, 100%, $E$9)</f>
        <v>3.7864</v>
      </c>
      <c r="P34" s="10"/>
      <c r="Q34" s="81"/>
      <c r="R34" s="81"/>
    </row>
    <row r="35" spans="1:18" ht="15" x14ac:dyDescent="0.2">
      <c r="A35" s="16">
        <v>42278</v>
      </c>
      <c r="B35" s="80">
        <f>2.5008 * CHOOSE(CONTROL!$C$32, $C$9, 100%, $E$9)</f>
        <v>2.5007999999999999</v>
      </c>
      <c r="C35" s="80">
        <f>2.5008 * CHOOSE(CONTROL!$C$32, $C$9, 100%, $E$9)</f>
        <v>2.5007999999999999</v>
      </c>
      <c r="D35" s="80">
        <f>2.5019 * CHOOSE(CONTROL!$C$32, $C$9, 100%, $E$9)</f>
        <v>2.5019</v>
      </c>
      <c r="E35" s="81">
        <f>3.865 * CHOOSE(CONTROL!$C$32, $C$9, 100%, $E$9)</f>
        <v>3.8650000000000002</v>
      </c>
      <c r="F35" s="81">
        <f>3.5836 * CHOOSE(CONTROL!$C$32, $C$9, 100%, $E$9)</f>
        <v>3.5836000000000001</v>
      </c>
      <c r="G35" s="81">
        <f>3.5872 * CHOOSE(CONTROL!$C$32, $C$9, 100%, $E$9)</f>
        <v>3.5872000000000002</v>
      </c>
      <c r="H35" s="81">
        <f>6.077 * CHOOSE(CONTROL!$C$32, $C$9, 100%, $E$9)</f>
        <v>6.077</v>
      </c>
      <c r="I35" s="81">
        <f>6.0806 * CHOOSE(CONTROL!$C$32, $C$9, 100%, $E$9)</f>
        <v>6.0805999999999996</v>
      </c>
      <c r="J35" s="81">
        <f>6.077 * CHOOSE(CONTROL!$C$32, $C$9, 100%, $E$9)</f>
        <v>6.077</v>
      </c>
      <c r="K35" s="81">
        <f>6.0806 * CHOOSE(CONTROL!$C$32, $C$9, 100%, $E$9)</f>
        <v>6.0805999999999996</v>
      </c>
      <c r="L35" s="81">
        <f>3.865 * CHOOSE(CONTROL!$C$32, $C$9, 100%, $E$9)</f>
        <v>3.8650000000000002</v>
      </c>
      <c r="M35" s="81">
        <f>3.8686 * CHOOSE(CONTROL!$C$32, $C$9, 100%, $E$9)</f>
        <v>3.8685999999999998</v>
      </c>
      <c r="N35" s="81">
        <f>3.865 * CHOOSE(CONTROL!$C$32, $C$9, 100%, $E$9)</f>
        <v>3.8650000000000002</v>
      </c>
      <c r="O35" s="81">
        <f>3.8686 * CHOOSE(CONTROL!$C$32, $C$9, 100%, $E$9)</f>
        <v>3.8685999999999998</v>
      </c>
      <c r="P35" s="10"/>
      <c r="Q35" s="81"/>
      <c r="R35" s="81"/>
    </row>
    <row r="36" spans="1:18" ht="15" x14ac:dyDescent="0.2">
      <c r="A36" s="16">
        <v>42309</v>
      </c>
      <c r="B36" s="80">
        <f>2.5055 * CHOOSE(CONTROL!$C$32, $C$9, 100%, $E$9)</f>
        <v>2.5055000000000001</v>
      </c>
      <c r="C36" s="80">
        <f>2.5055 * CHOOSE(CONTROL!$C$32, $C$9, 100%, $E$9)</f>
        <v>2.5055000000000001</v>
      </c>
      <c r="D36" s="80">
        <f>2.5065 * CHOOSE(CONTROL!$C$32, $C$9, 100%, $E$9)</f>
        <v>2.5065</v>
      </c>
      <c r="E36" s="81">
        <f>3.865 * CHOOSE(CONTROL!$C$32, $C$9, 100%, $E$9)</f>
        <v>3.8650000000000002</v>
      </c>
      <c r="F36" s="81">
        <f>3.5836 * CHOOSE(CONTROL!$C$32, $C$9, 100%, $E$9)</f>
        <v>3.5836000000000001</v>
      </c>
      <c r="G36" s="81">
        <f>3.5872 * CHOOSE(CONTROL!$C$32, $C$9, 100%, $E$9)</f>
        <v>3.5872000000000002</v>
      </c>
      <c r="H36" s="81">
        <f>6.0896 * CHOOSE(CONTROL!$C$32, $C$9, 100%, $E$9)</f>
        <v>6.0895999999999999</v>
      </c>
      <c r="I36" s="81">
        <f>6.0932 * CHOOSE(CONTROL!$C$32, $C$9, 100%, $E$9)</f>
        <v>6.0932000000000004</v>
      </c>
      <c r="J36" s="81">
        <f>6.0896 * CHOOSE(CONTROL!$C$32, $C$9, 100%, $E$9)</f>
        <v>6.0895999999999999</v>
      </c>
      <c r="K36" s="81">
        <f>6.0932 * CHOOSE(CONTROL!$C$32, $C$9, 100%, $E$9)</f>
        <v>6.0932000000000004</v>
      </c>
      <c r="L36" s="81">
        <f>3.865 * CHOOSE(CONTROL!$C$32, $C$9, 100%, $E$9)</f>
        <v>3.8650000000000002</v>
      </c>
      <c r="M36" s="81">
        <f>3.8686 * CHOOSE(CONTROL!$C$32, $C$9, 100%, $E$9)</f>
        <v>3.8685999999999998</v>
      </c>
      <c r="N36" s="81">
        <f>3.865 * CHOOSE(CONTROL!$C$32, $C$9, 100%, $E$9)</f>
        <v>3.8650000000000002</v>
      </c>
      <c r="O36" s="81">
        <f>3.8686 * CHOOSE(CONTROL!$C$32, $C$9, 100%, $E$9)</f>
        <v>3.8685999999999998</v>
      </c>
      <c r="P36" s="10"/>
      <c r="Q36" s="81"/>
      <c r="R36" s="81"/>
    </row>
    <row r="37" spans="1:18" ht="15" x14ac:dyDescent="0.2">
      <c r="A37" s="16">
        <v>42339</v>
      </c>
      <c r="B37" s="80">
        <f>2.5088 * CHOOSE(CONTROL!$C$32, $C$9, 100%, $E$9)</f>
        <v>2.5087999999999999</v>
      </c>
      <c r="C37" s="80">
        <f>2.5088 * CHOOSE(CONTROL!$C$32, $C$9, 100%, $E$9)</f>
        <v>2.5087999999999999</v>
      </c>
      <c r="D37" s="80">
        <f>2.5099 * CHOOSE(CONTROL!$C$32, $C$9, 100%, $E$9)</f>
        <v>2.5099</v>
      </c>
      <c r="E37" s="81">
        <f>3.8041 * CHOOSE(CONTROL!$C$32, $C$9, 100%, $E$9)</f>
        <v>3.8041</v>
      </c>
      <c r="F37" s="81">
        <f>3.5836 * CHOOSE(CONTROL!$C$32, $C$9, 100%, $E$9)</f>
        <v>3.5836000000000001</v>
      </c>
      <c r="G37" s="81">
        <f>3.5872 * CHOOSE(CONTROL!$C$32, $C$9, 100%, $E$9)</f>
        <v>3.5872000000000002</v>
      </c>
      <c r="H37" s="81">
        <f>6.1023 * CHOOSE(CONTROL!$C$32, $C$9, 100%, $E$9)</f>
        <v>6.1022999999999996</v>
      </c>
      <c r="I37" s="81">
        <f>6.1059 * CHOOSE(CONTROL!$C$32, $C$9, 100%, $E$9)</f>
        <v>6.1059000000000001</v>
      </c>
      <c r="J37" s="81">
        <f>6.1023 * CHOOSE(CONTROL!$C$32, $C$9, 100%, $E$9)</f>
        <v>6.1022999999999996</v>
      </c>
      <c r="K37" s="81">
        <f>6.1059 * CHOOSE(CONTROL!$C$32, $C$9, 100%, $E$9)</f>
        <v>6.1059000000000001</v>
      </c>
      <c r="L37" s="81">
        <f>3.8041 * CHOOSE(CONTROL!$C$32, $C$9, 100%, $E$9)</f>
        <v>3.8041</v>
      </c>
      <c r="M37" s="81">
        <f>3.8077 * CHOOSE(CONTROL!$C$32, $C$9, 100%, $E$9)</f>
        <v>3.8077000000000001</v>
      </c>
      <c r="N37" s="81">
        <f>3.8041 * CHOOSE(CONTROL!$C$32, $C$9, 100%, $E$9)</f>
        <v>3.8041</v>
      </c>
      <c r="O37" s="81">
        <f>3.8077 * CHOOSE(CONTROL!$C$32, $C$9, 100%, $E$9)</f>
        <v>3.8077000000000001</v>
      </c>
      <c r="P37" s="10"/>
      <c r="Q37" s="81"/>
      <c r="R37" s="81"/>
    </row>
    <row r="38" spans="1:18" ht="15" x14ac:dyDescent="0.2">
      <c r="A38" s="16">
        <v>42370</v>
      </c>
      <c r="B38" s="80">
        <f>3.2679 * CHOOSE(CONTROL!$C$32, $C$9, 100%, $E$9)</f>
        <v>3.2679</v>
      </c>
      <c r="C38" s="80">
        <f>3.2679 * CHOOSE(CONTROL!$C$32, $C$9, 100%, $E$9)</f>
        <v>3.2679</v>
      </c>
      <c r="D38" s="80">
        <f>3.269 * CHOOSE(CONTROL!$C$32, $C$9, 100%, $E$9)</f>
        <v>3.2690000000000001</v>
      </c>
      <c r="E38" s="81">
        <f>3.9546 * CHOOSE(CONTROL!$C$32, $C$9, 100%, $E$9)</f>
        <v>3.9546000000000001</v>
      </c>
      <c r="F38" s="81">
        <f>3.6856 * CHOOSE(CONTROL!$C$32, $C$9, 100%, $E$9)</f>
        <v>3.6856</v>
      </c>
      <c r="G38" s="81">
        <f>3.6892 * CHOOSE(CONTROL!$C$32, $C$9, 100%, $E$9)</f>
        <v>3.6892</v>
      </c>
      <c r="H38" s="81">
        <f>6.115 * CHOOSE(CONTROL!$C$32, $C$9, 100%, $E$9)</f>
        <v>6.1150000000000002</v>
      </c>
      <c r="I38" s="81">
        <f>6.1186 * CHOOSE(CONTROL!$C$32, $C$9, 100%, $E$9)</f>
        <v>6.1185999999999998</v>
      </c>
      <c r="J38" s="81">
        <f>6.115 * CHOOSE(CONTROL!$C$32, $C$9, 100%, $E$9)</f>
        <v>6.1150000000000002</v>
      </c>
      <c r="K38" s="81">
        <f>6.1186 * CHOOSE(CONTROL!$C$32, $C$9, 100%, $E$9)</f>
        <v>6.1185999999999998</v>
      </c>
      <c r="L38" s="81">
        <f>3.9546 * CHOOSE(CONTROL!$C$32, $C$9, 100%, $E$9)</f>
        <v>3.9546000000000001</v>
      </c>
      <c r="M38" s="81">
        <f>3.9582 * CHOOSE(CONTROL!$C$32, $C$9, 100%, $E$9)</f>
        <v>3.9582000000000002</v>
      </c>
      <c r="N38" s="81">
        <f>3.9546 * CHOOSE(CONTROL!$C$32, $C$9, 100%, $E$9)</f>
        <v>3.9546000000000001</v>
      </c>
      <c r="O38" s="81">
        <f>3.9582 * CHOOSE(CONTROL!$C$32, $C$9, 100%, $E$9)</f>
        <v>3.9582000000000002</v>
      </c>
      <c r="P38" s="10"/>
      <c r="Q38" s="81"/>
      <c r="R38" s="81"/>
    </row>
    <row r="39" spans="1:18" ht="15" x14ac:dyDescent="0.2">
      <c r="A39" s="16">
        <v>42401</v>
      </c>
      <c r="B39" s="80">
        <f>3.2731 * CHOOSE(CONTROL!$C$32, $C$9, 100%, $E$9)</f>
        <v>3.2730999999999999</v>
      </c>
      <c r="C39" s="80">
        <f>3.2731 * CHOOSE(CONTROL!$C$32, $C$9, 100%, $E$9)</f>
        <v>3.2730999999999999</v>
      </c>
      <c r="D39" s="80">
        <f>3.2741 * CHOOSE(CONTROL!$C$32, $C$9, 100%, $E$9)</f>
        <v>3.2740999999999998</v>
      </c>
      <c r="E39" s="81">
        <f>3.8942 * CHOOSE(CONTROL!$C$32, $C$9, 100%, $E$9)</f>
        <v>3.8942000000000001</v>
      </c>
      <c r="F39" s="81">
        <f>3.6856 * CHOOSE(CONTROL!$C$32, $C$9, 100%, $E$9)</f>
        <v>3.6856</v>
      </c>
      <c r="G39" s="81">
        <f>3.6892 * CHOOSE(CONTROL!$C$32, $C$9, 100%, $E$9)</f>
        <v>3.6892</v>
      </c>
      <c r="H39" s="81">
        <f>6.1278 * CHOOSE(CONTROL!$C$32, $C$9, 100%, $E$9)</f>
        <v>6.1277999999999997</v>
      </c>
      <c r="I39" s="81">
        <f>6.1314 * CHOOSE(CONTROL!$C$32, $C$9, 100%, $E$9)</f>
        <v>6.1314000000000002</v>
      </c>
      <c r="J39" s="81">
        <f>6.1278 * CHOOSE(CONTROL!$C$32, $C$9, 100%, $E$9)</f>
        <v>6.1277999999999997</v>
      </c>
      <c r="K39" s="81">
        <f>6.1314 * CHOOSE(CONTROL!$C$32, $C$9, 100%, $E$9)</f>
        <v>6.1314000000000002</v>
      </c>
      <c r="L39" s="81">
        <f>3.8942 * CHOOSE(CONTROL!$C$32, $C$9, 100%, $E$9)</f>
        <v>3.8942000000000001</v>
      </c>
      <c r="M39" s="81">
        <f>3.8978 * CHOOSE(CONTROL!$C$32, $C$9, 100%, $E$9)</f>
        <v>3.8978000000000002</v>
      </c>
      <c r="N39" s="81">
        <f>3.8942 * CHOOSE(CONTROL!$C$32, $C$9, 100%, $E$9)</f>
        <v>3.8942000000000001</v>
      </c>
      <c r="O39" s="81">
        <f>3.8978 * CHOOSE(CONTROL!$C$32, $C$9, 100%, $E$9)</f>
        <v>3.8978000000000002</v>
      </c>
      <c r="P39" s="10"/>
      <c r="Q39" s="81"/>
      <c r="R39" s="81"/>
    </row>
    <row r="40" spans="1:18" ht="15" x14ac:dyDescent="0.2">
      <c r="A40" s="16">
        <v>42430</v>
      </c>
      <c r="B40" s="80">
        <f>3.2698 * CHOOSE(CONTROL!$C$32, $C$9, 100%, $E$9)</f>
        <v>3.2698</v>
      </c>
      <c r="C40" s="80">
        <f>3.2698 * CHOOSE(CONTROL!$C$32, $C$9, 100%, $E$9)</f>
        <v>3.2698</v>
      </c>
      <c r="D40" s="80">
        <f>3.2709 * CHOOSE(CONTROL!$C$32, $C$9, 100%, $E$9)</f>
        <v>3.2709000000000001</v>
      </c>
      <c r="E40" s="81">
        <f>3.8028 * CHOOSE(CONTROL!$C$32, $C$9, 100%, $E$9)</f>
        <v>3.8028</v>
      </c>
      <c r="F40" s="81">
        <f>3.6856 * CHOOSE(CONTROL!$C$32, $C$9, 100%, $E$9)</f>
        <v>3.6856</v>
      </c>
      <c r="G40" s="81">
        <f>3.6892 * CHOOSE(CONTROL!$C$32, $C$9, 100%, $E$9)</f>
        <v>3.6892</v>
      </c>
      <c r="H40" s="81">
        <f>6.1405 * CHOOSE(CONTROL!$C$32, $C$9, 100%, $E$9)</f>
        <v>6.1405000000000003</v>
      </c>
      <c r="I40" s="81">
        <f>6.1441 * CHOOSE(CONTROL!$C$32, $C$9, 100%, $E$9)</f>
        <v>6.1440999999999999</v>
      </c>
      <c r="J40" s="81">
        <f>6.1405 * CHOOSE(CONTROL!$C$32, $C$9, 100%, $E$9)</f>
        <v>6.1405000000000003</v>
      </c>
      <c r="K40" s="81">
        <f>6.1441 * CHOOSE(CONTROL!$C$32, $C$9, 100%, $E$9)</f>
        <v>6.1440999999999999</v>
      </c>
      <c r="L40" s="81">
        <f>3.8028 * CHOOSE(CONTROL!$C$32, $C$9, 100%, $E$9)</f>
        <v>3.8028</v>
      </c>
      <c r="M40" s="81">
        <f>3.8064 * CHOOSE(CONTROL!$C$32, $C$9, 100%, $E$9)</f>
        <v>3.8064</v>
      </c>
      <c r="N40" s="81">
        <f>3.8028 * CHOOSE(CONTROL!$C$32, $C$9, 100%, $E$9)</f>
        <v>3.8028</v>
      </c>
      <c r="O40" s="81">
        <f>3.8064 * CHOOSE(CONTROL!$C$32, $C$9, 100%, $E$9)</f>
        <v>3.8064</v>
      </c>
      <c r="P40" s="10"/>
      <c r="Q40" s="81"/>
      <c r="R40" s="81"/>
    </row>
    <row r="41" spans="1:18" ht="15" x14ac:dyDescent="0.2">
      <c r="A41" s="16">
        <v>42461</v>
      </c>
      <c r="B41" s="80">
        <f>3.2637 * CHOOSE(CONTROL!$C$32, $C$9, 100%, $E$9)</f>
        <v>3.2637</v>
      </c>
      <c r="C41" s="80">
        <f>3.2637 * CHOOSE(CONTROL!$C$32, $C$9, 100%, $E$9)</f>
        <v>3.2637</v>
      </c>
      <c r="D41" s="80">
        <f>3.2648 * CHOOSE(CONTROL!$C$32, $C$9, 100%, $E$9)</f>
        <v>3.2648000000000001</v>
      </c>
      <c r="E41" s="81">
        <f>3.8942 * CHOOSE(CONTROL!$C$32, $C$9, 100%, $E$9)</f>
        <v>3.8942000000000001</v>
      </c>
      <c r="F41" s="81">
        <f>3.6856 * CHOOSE(CONTROL!$C$32, $C$9, 100%, $E$9)</f>
        <v>3.6856</v>
      </c>
      <c r="G41" s="81">
        <f>3.6892 * CHOOSE(CONTROL!$C$32, $C$9, 100%, $E$9)</f>
        <v>3.6892</v>
      </c>
      <c r="H41" s="81">
        <f>6.1533 * CHOOSE(CONTROL!$C$32, $C$9, 100%, $E$9)</f>
        <v>6.1532999999999998</v>
      </c>
      <c r="I41" s="81">
        <f>6.1569 * CHOOSE(CONTROL!$C$32, $C$9, 100%, $E$9)</f>
        <v>6.1569000000000003</v>
      </c>
      <c r="J41" s="81">
        <f>6.1533 * CHOOSE(CONTROL!$C$32, $C$9, 100%, $E$9)</f>
        <v>6.1532999999999998</v>
      </c>
      <c r="K41" s="81">
        <f>6.1569 * CHOOSE(CONTROL!$C$32, $C$9, 100%, $E$9)</f>
        <v>6.1569000000000003</v>
      </c>
      <c r="L41" s="81">
        <f>3.8942 * CHOOSE(CONTROL!$C$32, $C$9, 100%, $E$9)</f>
        <v>3.8942000000000001</v>
      </c>
      <c r="M41" s="81">
        <f>3.8978 * CHOOSE(CONTROL!$C$32, $C$9, 100%, $E$9)</f>
        <v>3.8978000000000002</v>
      </c>
      <c r="N41" s="81">
        <f>3.8942 * CHOOSE(CONTROL!$C$32, $C$9, 100%, $E$9)</f>
        <v>3.8942000000000001</v>
      </c>
      <c r="O41" s="81">
        <f>3.8978 * CHOOSE(CONTROL!$C$32, $C$9, 100%, $E$9)</f>
        <v>3.8978000000000002</v>
      </c>
      <c r="P41" s="10"/>
      <c r="Q41" s="81"/>
      <c r="R41" s="81"/>
    </row>
    <row r="42" spans="1:18" ht="15" x14ac:dyDescent="0.2">
      <c r="A42" s="16">
        <v>42491</v>
      </c>
      <c r="B42" s="80">
        <f>3.2722 * CHOOSE(CONTROL!$C$32, $C$9, 100%, $E$9)</f>
        <v>3.2722000000000002</v>
      </c>
      <c r="C42" s="80">
        <f>3.2722 * CHOOSE(CONTROL!$C$32, $C$9, 100%, $E$9)</f>
        <v>3.2722000000000002</v>
      </c>
      <c r="D42" s="80">
        <f>3.2738 * CHOOSE(CONTROL!$C$32, $C$9, 100%, $E$9)</f>
        <v>3.2738</v>
      </c>
      <c r="E42" s="81">
        <f>3.9546 * CHOOSE(CONTROL!$C$32, $C$9, 100%, $E$9)</f>
        <v>3.9546000000000001</v>
      </c>
      <c r="F42" s="81">
        <f>3.6856 * CHOOSE(CONTROL!$C$32, $C$9, 100%, $E$9)</f>
        <v>3.6856</v>
      </c>
      <c r="G42" s="81">
        <f>3.6909 * CHOOSE(CONTROL!$C$32, $C$9, 100%, $E$9)</f>
        <v>3.6909000000000001</v>
      </c>
      <c r="H42" s="81">
        <f>6.1661 * CHOOSE(CONTROL!$C$32, $C$9, 100%, $E$9)</f>
        <v>6.1661000000000001</v>
      </c>
      <c r="I42" s="81">
        <f>6.1714 * CHOOSE(CONTROL!$C$32, $C$9, 100%, $E$9)</f>
        <v>6.1714000000000002</v>
      </c>
      <c r="J42" s="81">
        <f>6.1661 * CHOOSE(CONTROL!$C$32, $C$9, 100%, $E$9)</f>
        <v>6.1661000000000001</v>
      </c>
      <c r="K42" s="81">
        <f>6.1714 * CHOOSE(CONTROL!$C$32, $C$9, 100%, $E$9)</f>
        <v>6.1714000000000002</v>
      </c>
      <c r="L42" s="81">
        <f>3.9546 * CHOOSE(CONTROL!$C$32, $C$9, 100%, $E$9)</f>
        <v>3.9546000000000001</v>
      </c>
      <c r="M42" s="81">
        <f>3.9599 * CHOOSE(CONTROL!$C$32, $C$9, 100%, $E$9)</f>
        <v>3.9599000000000002</v>
      </c>
      <c r="N42" s="81">
        <f>3.9546 * CHOOSE(CONTROL!$C$32, $C$9, 100%, $E$9)</f>
        <v>3.9546000000000001</v>
      </c>
      <c r="O42" s="81">
        <f>3.9599 * CHOOSE(CONTROL!$C$32, $C$9, 100%, $E$9)</f>
        <v>3.9599000000000002</v>
      </c>
      <c r="P42" s="10"/>
      <c r="Q42" s="81"/>
      <c r="R42" s="81"/>
    </row>
    <row r="43" spans="1:18" ht="15" x14ac:dyDescent="0.2">
      <c r="A43" s="16">
        <v>42522</v>
      </c>
      <c r="B43" s="80">
        <f>3.2786 * CHOOSE(CONTROL!$C$32, $C$9, 100%, $E$9)</f>
        <v>3.2786</v>
      </c>
      <c r="C43" s="80">
        <f>3.2786 * CHOOSE(CONTROL!$C$32, $C$9, 100%, $E$9)</f>
        <v>3.2786</v>
      </c>
      <c r="D43" s="80">
        <f>3.2801 * CHOOSE(CONTROL!$C$32, $C$9, 100%, $E$9)</f>
        <v>3.2801</v>
      </c>
      <c r="E43" s="81">
        <f>3.9458 * CHOOSE(CONTROL!$C$32, $C$9, 100%, $E$9)</f>
        <v>3.9458000000000002</v>
      </c>
      <c r="F43" s="81">
        <f>3.6856 * CHOOSE(CONTROL!$C$32, $C$9, 100%, $E$9)</f>
        <v>3.6856</v>
      </c>
      <c r="G43" s="81">
        <f>3.6909 * CHOOSE(CONTROL!$C$32, $C$9, 100%, $E$9)</f>
        <v>3.6909000000000001</v>
      </c>
      <c r="H43" s="81">
        <f>6.179 * CHOOSE(CONTROL!$C$32, $C$9, 100%, $E$9)</f>
        <v>6.1790000000000003</v>
      </c>
      <c r="I43" s="81">
        <f>6.1843 * CHOOSE(CONTROL!$C$32, $C$9, 100%, $E$9)</f>
        <v>6.1843000000000004</v>
      </c>
      <c r="J43" s="81">
        <f>6.179 * CHOOSE(CONTROL!$C$32, $C$9, 100%, $E$9)</f>
        <v>6.1790000000000003</v>
      </c>
      <c r="K43" s="81">
        <f>6.1843 * CHOOSE(CONTROL!$C$32, $C$9, 100%, $E$9)</f>
        <v>6.1843000000000004</v>
      </c>
      <c r="L43" s="81">
        <f>3.9458 * CHOOSE(CONTROL!$C$32, $C$9, 100%, $E$9)</f>
        <v>3.9458000000000002</v>
      </c>
      <c r="M43" s="81">
        <f>3.9511 * CHOOSE(CONTROL!$C$32, $C$9, 100%, $E$9)</f>
        <v>3.9510999999999998</v>
      </c>
      <c r="N43" s="81">
        <f>3.9458 * CHOOSE(CONTROL!$C$32, $C$9, 100%, $E$9)</f>
        <v>3.9458000000000002</v>
      </c>
      <c r="O43" s="81">
        <f>3.9511 * CHOOSE(CONTROL!$C$32, $C$9, 100%, $E$9)</f>
        <v>3.9510999999999998</v>
      </c>
      <c r="P43" s="10"/>
      <c r="Q43" s="81"/>
      <c r="R43" s="81"/>
    </row>
    <row r="44" spans="1:18" ht="15" x14ac:dyDescent="0.2">
      <c r="A44" s="16">
        <v>42552</v>
      </c>
      <c r="B44" s="80">
        <f>3.2759 * CHOOSE(CONTROL!$C$32, $C$9, 100%, $E$9)</f>
        <v>3.2759</v>
      </c>
      <c r="C44" s="80">
        <f>3.2759 * CHOOSE(CONTROL!$C$32, $C$9, 100%, $E$9)</f>
        <v>3.2759</v>
      </c>
      <c r="D44" s="80">
        <f>3.2774 * CHOOSE(CONTROL!$C$32, $C$9, 100%, $E$9)</f>
        <v>3.2774000000000001</v>
      </c>
      <c r="E44" s="81">
        <f>3.9546 * CHOOSE(CONTROL!$C$32, $C$9, 100%, $E$9)</f>
        <v>3.9546000000000001</v>
      </c>
      <c r="F44" s="81">
        <f>3.6856 * CHOOSE(CONTROL!$C$32, $C$9, 100%, $E$9)</f>
        <v>3.6856</v>
      </c>
      <c r="G44" s="81">
        <f>3.6909 * CHOOSE(CONTROL!$C$32, $C$9, 100%, $E$9)</f>
        <v>3.6909000000000001</v>
      </c>
      <c r="H44" s="81">
        <f>6.1919 * CHOOSE(CONTROL!$C$32, $C$9, 100%, $E$9)</f>
        <v>6.1919000000000004</v>
      </c>
      <c r="I44" s="81">
        <f>6.1972 * CHOOSE(CONTROL!$C$32, $C$9, 100%, $E$9)</f>
        <v>6.1971999999999996</v>
      </c>
      <c r="J44" s="81">
        <f>6.1919 * CHOOSE(CONTROL!$C$32, $C$9, 100%, $E$9)</f>
        <v>6.1919000000000004</v>
      </c>
      <c r="K44" s="81">
        <f>6.1972 * CHOOSE(CONTROL!$C$32, $C$9, 100%, $E$9)</f>
        <v>6.1971999999999996</v>
      </c>
      <c r="L44" s="81">
        <f>3.9546 * CHOOSE(CONTROL!$C$32, $C$9, 100%, $E$9)</f>
        <v>3.9546000000000001</v>
      </c>
      <c r="M44" s="81">
        <f>3.9599 * CHOOSE(CONTROL!$C$32, $C$9, 100%, $E$9)</f>
        <v>3.9599000000000002</v>
      </c>
      <c r="N44" s="81">
        <f>3.9546 * CHOOSE(CONTROL!$C$32, $C$9, 100%, $E$9)</f>
        <v>3.9546000000000001</v>
      </c>
      <c r="O44" s="81">
        <f>3.9599 * CHOOSE(CONTROL!$C$32, $C$9, 100%, $E$9)</f>
        <v>3.9599000000000002</v>
      </c>
      <c r="P44" s="10"/>
      <c r="Q44" s="10"/>
      <c r="R44" s="10"/>
    </row>
    <row r="45" spans="1:18" ht="15" x14ac:dyDescent="0.2">
      <c r="A45" s="16">
        <v>42583</v>
      </c>
      <c r="B45" s="80">
        <f>3.2911 * CHOOSE(CONTROL!$C$32, $C$9, 100%, $E$9)</f>
        <v>3.2911000000000001</v>
      </c>
      <c r="C45" s="80">
        <f>3.2911 * CHOOSE(CONTROL!$C$32, $C$9, 100%, $E$9)</f>
        <v>3.2911000000000001</v>
      </c>
      <c r="D45" s="80">
        <f>3.2926 * CHOOSE(CONTROL!$C$32, $C$9, 100%, $E$9)</f>
        <v>3.2926000000000002</v>
      </c>
      <c r="E45" s="81">
        <f>3.9996 * CHOOSE(CONTROL!$C$32, $C$9, 100%, $E$9)</f>
        <v>3.9996</v>
      </c>
      <c r="F45" s="81">
        <f>3.6856 * CHOOSE(CONTROL!$C$32, $C$9, 100%, $E$9)</f>
        <v>3.6856</v>
      </c>
      <c r="G45" s="81">
        <f>3.6909 * CHOOSE(CONTROL!$C$32, $C$9, 100%, $E$9)</f>
        <v>3.6909000000000001</v>
      </c>
      <c r="H45" s="81">
        <f>6.2048 * CHOOSE(CONTROL!$C$32, $C$9, 100%, $E$9)</f>
        <v>6.2047999999999996</v>
      </c>
      <c r="I45" s="81">
        <f>6.2101 * CHOOSE(CONTROL!$C$32, $C$9, 100%, $E$9)</f>
        <v>6.2100999999999997</v>
      </c>
      <c r="J45" s="81">
        <f>6.2048 * CHOOSE(CONTROL!$C$32, $C$9, 100%, $E$9)</f>
        <v>6.2047999999999996</v>
      </c>
      <c r="K45" s="81">
        <f>6.2101 * CHOOSE(CONTROL!$C$32, $C$9, 100%, $E$9)</f>
        <v>6.2100999999999997</v>
      </c>
      <c r="L45" s="81">
        <f>3.9996 * CHOOSE(CONTROL!$C$32, $C$9, 100%, $E$9)</f>
        <v>3.9996</v>
      </c>
      <c r="M45" s="81">
        <f>4.0049 * CHOOSE(CONTROL!$C$32, $C$9, 100%, $E$9)</f>
        <v>4.0049000000000001</v>
      </c>
      <c r="N45" s="81">
        <f>3.9996 * CHOOSE(CONTROL!$C$32, $C$9, 100%, $E$9)</f>
        <v>3.9996</v>
      </c>
      <c r="O45" s="81">
        <f>4.0049 * CHOOSE(CONTROL!$C$32, $C$9, 100%, $E$9)</f>
        <v>4.0049000000000001</v>
      </c>
      <c r="P45" s="10"/>
      <c r="Q45" s="10"/>
      <c r="R45" s="10"/>
    </row>
    <row r="46" spans="1:18" ht="15" x14ac:dyDescent="0.2">
      <c r="A46" s="16">
        <v>42614</v>
      </c>
      <c r="B46" s="80">
        <f>3.2883 * CHOOSE(CONTROL!$C$32, $C$9, 100%, $E$9)</f>
        <v>3.2883</v>
      </c>
      <c r="C46" s="80">
        <f>3.2883 * CHOOSE(CONTROL!$C$32, $C$9, 100%, $E$9)</f>
        <v>3.2883</v>
      </c>
      <c r="D46" s="80">
        <f>3.2898 * CHOOSE(CONTROL!$C$32, $C$9, 100%, $E$9)</f>
        <v>3.2898000000000001</v>
      </c>
      <c r="E46" s="81">
        <f>3.9458 * CHOOSE(CONTROL!$C$32, $C$9, 100%, $E$9)</f>
        <v>3.9458000000000002</v>
      </c>
      <c r="F46" s="81">
        <f>3.6856 * CHOOSE(CONTROL!$C$32, $C$9, 100%, $E$9)</f>
        <v>3.6856</v>
      </c>
      <c r="G46" s="81">
        <f>3.6909 * CHOOSE(CONTROL!$C$32, $C$9, 100%, $E$9)</f>
        <v>3.6909000000000001</v>
      </c>
      <c r="H46" s="81">
        <f>6.2177 * CHOOSE(CONTROL!$C$32, $C$9, 100%, $E$9)</f>
        <v>6.2176999999999998</v>
      </c>
      <c r="I46" s="81">
        <f>6.223 * CHOOSE(CONTROL!$C$32, $C$9, 100%, $E$9)</f>
        <v>6.2229999999999999</v>
      </c>
      <c r="J46" s="81">
        <f>6.2177 * CHOOSE(CONTROL!$C$32, $C$9, 100%, $E$9)</f>
        <v>6.2176999999999998</v>
      </c>
      <c r="K46" s="81">
        <f>6.223 * CHOOSE(CONTROL!$C$32, $C$9, 100%, $E$9)</f>
        <v>6.2229999999999999</v>
      </c>
      <c r="L46" s="81">
        <f>3.9458 * CHOOSE(CONTROL!$C$32, $C$9, 100%, $E$9)</f>
        <v>3.9458000000000002</v>
      </c>
      <c r="M46" s="81">
        <f>3.9511 * CHOOSE(CONTROL!$C$32, $C$9, 100%, $E$9)</f>
        <v>3.9510999999999998</v>
      </c>
      <c r="N46" s="81">
        <f>3.9458 * CHOOSE(CONTROL!$C$32, $C$9, 100%, $E$9)</f>
        <v>3.9458000000000002</v>
      </c>
      <c r="O46" s="81">
        <f>3.9511 * CHOOSE(CONTROL!$C$32, $C$9, 100%, $E$9)</f>
        <v>3.9510999999999998</v>
      </c>
      <c r="P46" s="10"/>
      <c r="Q46" s="10"/>
      <c r="R46" s="10"/>
    </row>
    <row r="47" spans="1:18" ht="15" x14ac:dyDescent="0.2">
      <c r="A47" s="16">
        <v>42644</v>
      </c>
      <c r="B47" s="80">
        <f>3.269 * CHOOSE(CONTROL!$C$32, $C$9, 100%, $E$9)</f>
        <v>3.2690000000000001</v>
      </c>
      <c r="C47" s="80">
        <f>3.269 * CHOOSE(CONTROL!$C$32, $C$9, 100%, $E$9)</f>
        <v>3.2690000000000001</v>
      </c>
      <c r="D47" s="80">
        <f>3.2701 * CHOOSE(CONTROL!$C$32, $C$9, 100%, $E$9)</f>
        <v>3.2700999999999998</v>
      </c>
      <c r="E47" s="81">
        <f>4.0035 * CHOOSE(CONTROL!$C$32, $C$9, 100%, $E$9)</f>
        <v>4.0034999999999998</v>
      </c>
      <c r="F47" s="81">
        <f>3.6856 * CHOOSE(CONTROL!$C$32, $C$9, 100%, $E$9)</f>
        <v>3.6856</v>
      </c>
      <c r="G47" s="81">
        <f>3.6892 * CHOOSE(CONTROL!$C$32, $C$9, 100%, $E$9)</f>
        <v>3.6892</v>
      </c>
      <c r="H47" s="81">
        <f>6.2306 * CHOOSE(CONTROL!$C$32, $C$9, 100%, $E$9)</f>
        <v>6.2305999999999999</v>
      </c>
      <c r="I47" s="81">
        <f>6.2343 * CHOOSE(CONTROL!$C$32, $C$9, 100%, $E$9)</f>
        <v>6.2343000000000002</v>
      </c>
      <c r="J47" s="81">
        <f>6.2306 * CHOOSE(CONTROL!$C$32, $C$9, 100%, $E$9)</f>
        <v>6.2305999999999999</v>
      </c>
      <c r="K47" s="81">
        <f>6.2343 * CHOOSE(CONTROL!$C$32, $C$9, 100%, $E$9)</f>
        <v>6.2343000000000002</v>
      </c>
      <c r="L47" s="81">
        <f>4.0035 * CHOOSE(CONTROL!$C$32, $C$9, 100%, $E$9)</f>
        <v>4.0034999999999998</v>
      </c>
      <c r="M47" s="81">
        <f>4.0071 * CHOOSE(CONTROL!$C$32, $C$9, 100%, $E$9)</f>
        <v>4.0071000000000003</v>
      </c>
      <c r="N47" s="81">
        <f>4.0035 * CHOOSE(CONTROL!$C$32, $C$9, 100%, $E$9)</f>
        <v>4.0034999999999998</v>
      </c>
      <c r="O47" s="81">
        <f>4.0071 * CHOOSE(CONTROL!$C$32, $C$9, 100%, $E$9)</f>
        <v>4.0071000000000003</v>
      </c>
      <c r="P47" s="10"/>
      <c r="Q47" s="10"/>
      <c r="R47" s="10"/>
    </row>
    <row r="48" spans="1:18" ht="15" x14ac:dyDescent="0.2">
      <c r="A48" s="16">
        <v>42675</v>
      </c>
      <c r="B48" s="80">
        <f>3.2806 * CHOOSE(CONTROL!$C$32, $C$9, 100%, $E$9)</f>
        <v>3.2806000000000002</v>
      </c>
      <c r="C48" s="80">
        <f>3.2806 * CHOOSE(CONTROL!$C$32, $C$9, 100%, $E$9)</f>
        <v>3.2806000000000002</v>
      </c>
      <c r="D48" s="80">
        <f>3.2817 * CHOOSE(CONTROL!$C$32, $C$9, 100%, $E$9)</f>
        <v>3.2816999999999998</v>
      </c>
      <c r="E48" s="81">
        <f>3.9579 * CHOOSE(CONTROL!$C$32, $C$9, 100%, $E$9)</f>
        <v>3.9579</v>
      </c>
      <c r="F48" s="81">
        <f>3.6856 * CHOOSE(CONTROL!$C$32, $C$9, 100%, $E$9)</f>
        <v>3.6856</v>
      </c>
      <c r="G48" s="81">
        <f>3.6892 * CHOOSE(CONTROL!$C$32, $C$9, 100%, $E$9)</f>
        <v>3.6892</v>
      </c>
      <c r="H48" s="81">
        <f>6.2436 * CHOOSE(CONTROL!$C$32, $C$9, 100%, $E$9)</f>
        <v>6.2435999999999998</v>
      </c>
      <c r="I48" s="81">
        <f>6.2472 * CHOOSE(CONTROL!$C$32, $C$9, 100%, $E$9)</f>
        <v>6.2472000000000003</v>
      </c>
      <c r="J48" s="81">
        <f>6.2436 * CHOOSE(CONTROL!$C$32, $C$9, 100%, $E$9)</f>
        <v>6.2435999999999998</v>
      </c>
      <c r="K48" s="81">
        <f>6.2472 * CHOOSE(CONTROL!$C$32, $C$9, 100%, $E$9)</f>
        <v>6.2472000000000003</v>
      </c>
      <c r="L48" s="81">
        <f>3.9579 * CHOOSE(CONTROL!$C$32, $C$9, 100%, $E$9)</f>
        <v>3.9579</v>
      </c>
      <c r="M48" s="81">
        <f>3.9615 * CHOOSE(CONTROL!$C$32, $C$9, 100%, $E$9)</f>
        <v>3.9615</v>
      </c>
      <c r="N48" s="81">
        <f>3.9579 * CHOOSE(CONTROL!$C$32, $C$9, 100%, $E$9)</f>
        <v>3.9579</v>
      </c>
      <c r="O48" s="81">
        <f>3.9615 * CHOOSE(CONTROL!$C$32, $C$9, 100%, $E$9)</f>
        <v>3.9615</v>
      </c>
      <c r="P48" s="10"/>
      <c r="Q48" s="10"/>
      <c r="R48" s="10"/>
    </row>
    <row r="49" spans="1:18" ht="15" x14ac:dyDescent="0.2">
      <c r="A49" s="16">
        <v>42705</v>
      </c>
      <c r="B49" s="80">
        <f>3.2808 * CHOOSE(CONTROL!$C$32, $C$9, 100%, $E$9)</f>
        <v>3.2808000000000002</v>
      </c>
      <c r="C49" s="80">
        <f>3.2808 * CHOOSE(CONTROL!$C$32, $C$9, 100%, $E$9)</f>
        <v>3.2808000000000002</v>
      </c>
      <c r="D49" s="80">
        <f>3.2819 * CHOOSE(CONTROL!$C$32, $C$9, 100%, $E$9)</f>
        <v>3.2818999999999998</v>
      </c>
      <c r="E49" s="81">
        <f>3.8968 * CHOOSE(CONTROL!$C$32, $C$9, 100%, $E$9)</f>
        <v>3.8967999999999998</v>
      </c>
      <c r="F49" s="81">
        <f>3.6856 * CHOOSE(CONTROL!$C$32, $C$9, 100%, $E$9)</f>
        <v>3.6856</v>
      </c>
      <c r="G49" s="81">
        <f>3.6892 * CHOOSE(CONTROL!$C$32, $C$9, 100%, $E$9)</f>
        <v>3.6892</v>
      </c>
      <c r="H49" s="81">
        <f>6.2566 * CHOOSE(CONTROL!$C$32, $C$9, 100%, $E$9)</f>
        <v>6.2565999999999997</v>
      </c>
      <c r="I49" s="81">
        <f>6.2602 * CHOOSE(CONTROL!$C$32, $C$9, 100%, $E$9)</f>
        <v>6.2602000000000002</v>
      </c>
      <c r="J49" s="81">
        <f>6.2566 * CHOOSE(CONTROL!$C$32, $C$9, 100%, $E$9)</f>
        <v>6.2565999999999997</v>
      </c>
      <c r="K49" s="81">
        <f>6.2602 * CHOOSE(CONTROL!$C$32, $C$9, 100%, $E$9)</f>
        <v>6.2602000000000002</v>
      </c>
      <c r="L49" s="81">
        <f>3.8968 * CHOOSE(CONTROL!$C$32, $C$9, 100%, $E$9)</f>
        <v>3.8967999999999998</v>
      </c>
      <c r="M49" s="81">
        <f>3.9004 * CHOOSE(CONTROL!$C$32, $C$9, 100%, $E$9)</f>
        <v>3.9003999999999999</v>
      </c>
      <c r="N49" s="81">
        <f>3.8968 * CHOOSE(CONTROL!$C$32, $C$9, 100%, $E$9)</f>
        <v>3.8967999999999998</v>
      </c>
      <c r="O49" s="81">
        <f>3.9004 * CHOOSE(CONTROL!$C$32, $C$9, 100%, $E$9)</f>
        <v>3.9003999999999999</v>
      </c>
      <c r="P49" s="10"/>
      <c r="Q49" s="10"/>
      <c r="R49" s="10"/>
    </row>
    <row r="50" spans="1:18" ht="15" x14ac:dyDescent="0.2">
      <c r="A50" s="16">
        <v>42736</v>
      </c>
      <c r="B50" s="80">
        <f>3.2762 * CHOOSE(CONTROL!$C$32, $C$9, 100%, $E$9)</f>
        <v>3.2761999999999998</v>
      </c>
      <c r="C50" s="80">
        <f>3.2762 * CHOOSE(CONTROL!$C$32, $C$9, 100%, $E$9)</f>
        <v>3.2761999999999998</v>
      </c>
      <c r="D50" s="80">
        <f>3.2773 * CHOOSE(CONTROL!$C$32, $C$9, 100%, $E$9)</f>
        <v>3.2772999999999999</v>
      </c>
      <c r="E50" s="81">
        <f>3.8371 * CHOOSE(CONTROL!$C$32, $C$9, 100%, $E$9)</f>
        <v>3.8371</v>
      </c>
      <c r="F50" s="81">
        <f>3.8371 * CHOOSE(CONTROL!$C$32, $C$9, 100%, $E$9)</f>
        <v>3.8371</v>
      </c>
      <c r="G50" s="81">
        <f>3.8407 * CHOOSE(CONTROL!$C$32, $C$9, 100%, $E$9)</f>
        <v>3.8407</v>
      </c>
      <c r="H50" s="81">
        <f>6.2697 * CHOOSE(CONTROL!$C$32, $C$9, 100%, $E$9)</f>
        <v>6.2697000000000003</v>
      </c>
      <c r="I50" s="81">
        <f>6.2733 * CHOOSE(CONTROL!$C$32, $C$9, 100%, $E$9)</f>
        <v>6.2732999999999999</v>
      </c>
      <c r="J50" s="81">
        <f>6.2697 * CHOOSE(CONTROL!$C$32, $C$9, 100%, $E$9)</f>
        <v>6.2697000000000003</v>
      </c>
      <c r="K50" s="81">
        <f>6.2733 * CHOOSE(CONTROL!$C$32, $C$9, 100%, $E$9)</f>
        <v>6.2732999999999999</v>
      </c>
      <c r="L50" s="81">
        <f>3.8371 * CHOOSE(CONTROL!$C$32, $C$9, 100%, $E$9)</f>
        <v>3.8371</v>
      </c>
      <c r="M50" s="81">
        <f>3.8407 * CHOOSE(CONTROL!$C$32, $C$9, 100%, $E$9)</f>
        <v>3.8407</v>
      </c>
      <c r="N50" s="81">
        <f>3.8371 * CHOOSE(CONTROL!$C$32, $C$9, 100%, $E$9)</f>
        <v>3.8371</v>
      </c>
      <c r="O50" s="81">
        <f>3.8407 * CHOOSE(CONTROL!$C$32, $C$9, 100%, $E$9)</f>
        <v>3.8407</v>
      </c>
      <c r="P50" s="10"/>
      <c r="Q50" s="10"/>
      <c r="R50" s="10"/>
    </row>
    <row r="51" spans="1:18" ht="15" x14ac:dyDescent="0.2">
      <c r="A51" s="16">
        <v>42767</v>
      </c>
      <c r="B51" s="80">
        <f>3.2814 * CHOOSE(CONTROL!$C$32, $C$9, 100%, $E$9)</f>
        <v>3.2814000000000001</v>
      </c>
      <c r="C51" s="80">
        <f>3.2814 * CHOOSE(CONTROL!$C$32, $C$9, 100%, $E$9)</f>
        <v>3.2814000000000001</v>
      </c>
      <c r="D51" s="80">
        <f>3.2825 * CHOOSE(CONTROL!$C$32, $C$9, 100%, $E$9)</f>
        <v>3.2825000000000002</v>
      </c>
      <c r="E51" s="81">
        <f>3.8351 * CHOOSE(CONTROL!$C$32, $C$9, 100%, $E$9)</f>
        <v>3.8351000000000002</v>
      </c>
      <c r="F51" s="81">
        <f>3.8351 * CHOOSE(CONTROL!$C$32, $C$9, 100%, $E$9)</f>
        <v>3.8351000000000002</v>
      </c>
      <c r="G51" s="81">
        <f>3.8387 * CHOOSE(CONTROL!$C$32, $C$9, 100%, $E$9)</f>
        <v>3.8386999999999998</v>
      </c>
      <c r="H51" s="81">
        <f>6.2827 * CHOOSE(CONTROL!$C$32, $C$9, 100%, $E$9)</f>
        <v>6.2827000000000002</v>
      </c>
      <c r="I51" s="81">
        <f>6.2863 * CHOOSE(CONTROL!$C$32, $C$9, 100%, $E$9)</f>
        <v>6.2862999999999998</v>
      </c>
      <c r="J51" s="81">
        <f>6.2827 * CHOOSE(CONTROL!$C$32, $C$9, 100%, $E$9)</f>
        <v>6.2827000000000002</v>
      </c>
      <c r="K51" s="81">
        <f>6.2863 * CHOOSE(CONTROL!$C$32, $C$9, 100%, $E$9)</f>
        <v>6.2862999999999998</v>
      </c>
      <c r="L51" s="81">
        <f>3.8351 * CHOOSE(CONTROL!$C$32, $C$9, 100%, $E$9)</f>
        <v>3.8351000000000002</v>
      </c>
      <c r="M51" s="81">
        <f>3.8387 * CHOOSE(CONTROL!$C$32, $C$9, 100%, $E$9)</f>
        <v>3.8386999999999998</v>
      </c>
      <c r="N51" s="81">
        <f>3.8351 * CHOOSE(CONTROL!$C$32, $C$9, 100%, $E$9)</f>
        <v>3.8351000000000002</v>
      </c>
      <c r="O51" s="81">
        <f>3.8387 * CHOOSE(CONTROL!$C$32, $C$9, 100%, $E$9)</f>
        <v>3.8386999999999998</v>
      </c>
      <c r="P51" s="10"/>
      <c r="Q51" s="10"/>
      <c r="R51" s="10"/>
    </row>
    <row r="52" spans="1:18" ht="15" x14ac:dyDescent="0.2">
      <c r="A52" s="16">
        <v>42795</v>
      </c>
      <c r="B52" s="80">
        <f>3.2785 * CHOOSE(CONTROL!$C$32, $C$9, 100%, $E$9)</f>
        <v>3.2785000000000002</v>
      </c>
      <c r="C52" s="80">
        <f>3.2785 * CHOOSE(CONTROL!$C$32, $C$9, 100%, $E$9)</f>
        <v>3.2785000000000002</v>
      </c>
      <c r="D52" s="80">
        <f>3.2796 * CHOOSE(CONTROL!$C$32, $C$9, 100%, $E$9)</f>
        <v>3.2795999999999998</v>
      </c>
      <c r="E52" s="81">
        <f>3.8331 * CHOOSE(CONTROL!$C$32, $C$9, 100%, $E$9)</f>
        <v>3.8331</v>
      </c>
      <c r="F52" s="81">
        <f>3.8331 * CHOOSE(CONTROL!$C$32, $C$9, 100%, $E$9)</f>
        <v>3.8331</v>
      </c>
      <c r="G52" s="81">
        <f>3.8367 * CHOOSE(CONTROL!$C$32, $C$9, 100%, $E$9)</f>
        <v>3.8367</v>
      </c>
      <c r="H52" s="81">
        <f>6.2958 * CHOOSE(CONTROL!$C$32, $C$9, 100%, $E$9)</f>
        <v>6.2957999999999998</v>
      </c>
      <c r="I52" s="81">
        <f>6.2994 * CHOOSE(CONTROL!$C$32, $C$9, 100%, $E$9)</f>
        <v>6.2994000000000003</v>
      </c>
      <c r="J52" s="81">
        <f>6.2958 * CHOOSE(CONTROL!$C$32, $C$9, 100%, $E$9)</f>
        <v>6.2957999999999998</v>
      </c>
      <c r="K52" s="81">
        <f>6.2994 * CHOOSE(CONTROL!$C$32, $C$9, 100%, $E$9)</f>
        <v>6.2994000000000003</v>
      </c>
      <c r="L52" s="81">
        <f>3.8331 * CHOOSE(CONTROL!$C$32, $C$9, 100%, $E$9)</f>
        <v>3.8331</v>
      </c>
      <c r="M52" s="81">
        <f>3.8367 * CHOOSE(CONTROL!$C$32, $C$9, 100%, $E$9)</f>
        <v>3.8367</v>
      </c>
      <c r="N52" s="81">
        <f>3.8331 * CHOOSE(CONTROL!$C$32, $C$9, 100%, $E$9)</f>
        <v>3.8331</v>
      </c>
      <c r="O52" s="81">
        <f>3.8367 * CHOOSE(CONTROL!$C$32, $C$9, 100%, $E$9)</f>
        <v>3.8367</v>
      </c>
      <c r="P52" s="10"/>
      <c r="Q52" s="10"/>
      <c r="R52" s="10"/>
    </row>
    <row r="53" spans="1:18" ht="15" x14ac:dyDescent="0.2">
      <c r="A53" s="16">
        <v>42826</v>
      </c>
      <c r="B53" s="80">
        <f>3.2725 * CHOOSE(CONTROL!$C$32, $C$9, 100%, $E$9)</f>
        <v>3.2725</v>
      </c>
      <c r="C53" s="80">
        <f>3.2725 * CHOOSE(CONTROL!$C$32, $C$9, 100%, $E$9)</f>
        <v>3.2725</v>
      </c>
      <c r="D53" s="80">
        <f>3.2735 * CHOOSE(CONTROL!$C$32, $C$9, 100%, $E$9)</f>
        <v>3.2734999999999999</v>
      </c>
      <c r="E53" s="81">
        <f>3.8305 * CHOOSE(CONTROL!$C$32, $C$9, 100%, $E$9)</f>
        <v>3.8304999999999998</v>
      </c>
      <c r="F53" s="81">
        <f>3.8305 * CHOOSE(CONTROL!$C$32, $C$9, 100%, $E$9)</f>
        <v>3.8304999999999998</v>
      </c>
      <c r="G53" s="81">
        <f>3.8342 * CHOOSE(CONTROL!$C$32, $C$9, 100%, $E$9)</f>
        <v>3.8342000000000001</v>
      </c>
      <c r="H53" s="81">
        <f>6.3089 * CHOOSE(CONTROL!$C$32, $C$9, 100%, $E$9)</f>
        <v>6.3089000000000004</v>
      </c>
      <c r="I53" s="81">
        <f>6.3125 * CHOOSE(CONTROL!$C$32, $C$9, 100%, $E$9)</f>
        <v>6.3125</v>
      </c>
      <c r="J53" s="81">
        <f>6.3089 * CHOOSE(CONTROL!$C$32, $C$9, 100%, $E$9)</f>
        <v>6.3089000000000004</v>
      </c>
      <c r="K53" s="81">
        <f>6.3125 * CHOOSE(CONTROL!$C$32, $C$9, 100%, $E$9)</f>
        <v>6.3125</v>
      </c>
      <c r="L53" s="81">
        <f>3.8305 * CHOOSE(CONTROL!$C$32, $C$9, 100%, $E$9)</f>
        <v>3.8304999999999998</v>
      </c>
      <c r="M53" s="81">
        <f>3.8342 * CHOOSE(CONTROL!$C$32, $C$9, 100%, $E$9)</f>
        <v>3.8342000000000001</v>
      </c>
      <c r="N53" s="81">
        <f>3.8305 * CHOOSE(CONTROL!$C$32, $C$9, 100%, $E$9)</f>
        <v>3.8304999999999998</v>
      </c>
      <c r="O53" s="81">
        <f>3.8342 * CHOOSE(CONTROL!$C$32, $C$9, 100%, $E$9)</f>
        <v>3.8342000000000001</v>
      </c>
      <c r="P53" s="10"/>
      <c r="Q53" s="10"/>
      <c r="R53" s="10"/>
    </row>
    <row r="54" spans="1:18" ht="15" x14ac:dyDescent="0.2">
      <c r="A54" s="16">
        <v>42856</v>
      </c>
      <c r="B54" s="80">
        <f>3.2809 * CHOOSE(CONTROL!$C$32, $C$9, 100%, $E$9)</f>
        <v>3.2808999999999999</v>
      </c>
      <c r="C54" s="80">
        <f>3.2809 * CHOOSE(CONTROL!$C$32, $C$9, 100%, $E$9)</f>
        <v>3.2808999999999999</v>
      </c>
      <c r="D54" s="80">
        <f>3.2825 * CHOOSE(CONTROL!$C$32, $C$9, 100%, $E$9)</f>
        <v>3.2825000000000002</v>
      </c>
      <c r="E54" s="81">
        <f>3.8305 * CHOOSE(CONTROL!$C$32, $C$9, 100%, $E$9)</f>
        <v>3.8304999999999998</v>
      </c>
      <c r="F54" s="81">
        <f>3.8305 * CHOOSE(CONTROL!$C$32, $C$9, 100%, $E$9)</f>
        <v>3.8304999999999998</v>
      </c>
      <c r="G54" s="81">
        <f>3.8358 * CHOOSE(CONTROL!$C$32, $C$9, 100%, $E$9)</f>
        <v>3.8357999999999999</v>
      </c>
      <c r="H54" s="81">
        <f>6.3221 * CHOOSE(CONTROL!$C$32, $C$9, 100%, $E$9)</f>
        <v>6.3220999999999998</v>
      </c>
      <c r="I54" s="81">
        <f>6.3274 * CHOOSE(CONTROL!$C$32, $C$9, 100%, $E$9)</f>
        <v>6.3273999999999999</v>
      </c>
      <c r="J54" s="81">
        <f>6.3221 * CHOOSE(CONTROL!$C$32, $C$9, 100%, $E$9)</f>
        <v>6.3220999999999998</v>
      </c>
      <c r="K54" s="81">
        <f>6.3274 * CHOOSE(CONTROL!$C$32, $C$9, 100%, $E$9)</f>
        <v>6.3273999999999999</v>
      </c>
      <c r="L54" s="81">
        <f>3.8305 * CHOOSE(CONTROL!$C$32, $C$9, 100%, $E$9)</f>
        <v>3.8304999999999998</v>
      </c>
      <c r="M54" s="81">
        <f>3.8358 * CHOOSE(CONTROL!$C$32, $C$9, 100%, $E$9)</f>
        <v>3.8357999999999999</v>
      </c>
      <c r="N54" s="81">
        <f>3.8305 * CHOOSE(CONTROL!$C$32, $C$9, 100%, $E$9)</f>
        <v>3.8304999999999998</v>
      </c>
      <c r="O54" s="81">
        <f>3.8358 * CHOOSE(CONTROL!$C$32, $C$9, 100%, $E$9)</f>
        <v>3.8357999999999999</v>
      </c>
      <c r="P54" s="10"/>
      <c r="Q54" s="10"/>
      <c r="R54" s="10"/>
    </row>
    <row r="55" spans="1:18" ht="15" x14ac:dyDescent="0.2">
      <c r="A55" s="16">
        <v>42887</v>
      </c>
      <c r="B55" s="80">
        <f>3.2871 * CHOOSE(CONTROL!$C$32, $C$9, 100%, $E$9)</f>
        <v>3.2871000000000001</v>
      </c>
      <c r="C55" s="80">
        <f>3.2871 * CHOOSE(CONTROL!$C$32, $C$9, 100%, $E$9)</f>
        <v>3.2871000000000001</v>
      </c>
      <c r="D55" s="80">
        <f>3.2887 * CHOOSE(CONTROL!$C$32, $C$9, 100%, $E$9)</f>
        <v>3.2887</v>
      </c>
      <c r="E55" s="81">
        <f>3.8345 * CHOOSE(CONTROL!$C$32, $C$9, 100%, $E$9)</f>
        <v>3.8344999999999998</v>
      </c>
      <c r="F55" s="81">
        <f>3.8345 * CHOOSE(CONTROL!$C$32, $C$9, 100%, $E$9)</f>
        <v>3.8344999999999998</v>
      </c>
      <c r="G55" s="81">
        <f>3.8398 * CHOOSE(CONTROL!$C$32, $C$9, 100%, $E$9)</f>
        <v>3.8397999999999999</v>
      </c>
      <c r="H55" s="81">
        <f>6.3352 * CHOOSE(CONTROL!$C$32, $C$9, 100%, $E$9)</f>
        <v>6.3352000000000004</v>
      </c>
      <c r="I55" s="81">
        <f>6.3405 * CHOOSE(CONTROL!$C$32, $C$9, 100%, $E$9)</f>
        <v>6.3404999999999996</v>
      </c>
      <c r="J55" s="81">
        <f>6.3352 * CHOOSE(CONTROL!$C$32, $C$9, 100%, $E$9)</f>
        <v>6.3352000000000004</v>
      </c>
      <c r="K55" s="81">
        <f>6.3405 * CHOOSE(CONTROL!$C$32, $C$9, 100%, $E$9)</f>
        <v>6.3404999999999996</v>
      </c>
      <c r="L55" s="81">
        <f>3.8345 * CHOOSE(CONTROL!$C$32, $C$9, 100%, $E$9)</f>
        <v>3.8344999999999998</v>
      </c>
      <c r="M55" s="81">
        <f>3.8398 * CHOOSE(CONTROL!$C$32, $C$9, 100%, $E$9)</f>
        <v>3.8397999999999999</v>
      </c>
      <c r="N55" s="81">
        <f>3.8345 * CHOOSE(CONTROL!$C$32, $C$9, 100%, $E$9)</f>
        <v>3.8344999999999998</v>
      </c>
      <c r="O55" s="81">
        <f>3.8398 * CHOOSE(CONTROL!$C$32, $C$9, 100%, $E$9)</f>
        <v>3.8397999999999999</v>
      </c>
      <c r="P55" s="10"/>
      <c r="Q55" s="10"/>
      <c r="R55" s="10"/>
    </row>
    <row r="56" spans="1:18" ht="15" x14ac:dyDescent="0.2">
      <c r="A56" s="16">
        <v>42917</v>
      </c>
      <c r="B56" s="80">
        <f>3.3418 * CHOOSE(CONTROL!$C$32, $C$9, 100%, $E$9)</f>
        <v>3.3418000000000001</v>
      </c>
      <c r="C56" s="80">
        <f>3.3418 * CHOOSE(CONTROL!$C$32, $C$9, 100%, $E$9)</f>
        <v>3.3418000000000001</v>
      </c>
      <c r="D56" s="80">
        <f>3.3434 * CHOOSE(CONTROL!$C$32, $C$9, 100%, $E$9)</f>
        <v>3.3433999999999999</v>
      </c>
      <c r="E56" s="81">
        <f>3.9255 * CHOOSE(CONTROL!$C$32, $C$9, 100%, $E$9)</f>
        <v>3.9255</v>
      </c>
      <c r="F56" s="81">
        <f>3.9255 * CHOOSE(CONTROL!$C$32, $C$9, 100%, $E$9)</f>
        <v>3.9255</v>
      </c>
      <c r="G56" s="81">
        <f>3.9308 * CHOOSE(CONTROL!$C$32, $C$9, 100%, $E$9)</f>
        <v>3.9308000000000001</v>
      </c>
      <c r="H56" s="81">
        <f>6.3484 * CHOOSE(CONTROL!$C$32, $C$9, 100%, $E$9)</f>
        <v>6.3483999999999998</v>
      </c>
      <c r="I56" s="81">
        <f>6.3537 * CHOOSE(CONTROL!$C$32, $C$9, 100%, $E$9)</f>
        <v>6.3536999999999999</v>
      </c>
      <c r="J56" s="81">
        <f>6.3484 * CHOOSE(CONTROL!$C$32, $C$9, 100%, $E$9)</f>
        <v>6.3483999999999998</v>
      </c>
      <c r="K56" s="81">
        <f>6.3537 * CHOOSE(CONTROL!$C$32, $C$9, 100%, $E$9)</f>
        <v>6.3536999999999999</v>
      </c>
      <c r="L56" s="81">
        <f>3.9255 * CHOOSE(CONTROL!$C$32, $C$9, 100%, $E$9)</f>
        <v>3.9255</v>
      </c>
      <c r="M56" s="81">
        <f>3.9308 * CHOOSE(CONTROL!$C$32, $C$9, 100%, $E$9)</f>
        <v>3.9308000000000001</v>
      </c>
      <c r="N56" s="81">
        <f>3.9255 * CHOOSE(CONTROL!$C$32, $C$9, 100%, $E$9)</f>
        <v>3.9255</v>
      </c>
      <c r="O56" s="81">
        <f>3.9308 * CHOOSE(CONTROL!$C$32, $C$9, 100%, $E$9)</f>
        <v>3.9308000000000001</v>
      </c>
      <c r="P56" s="10"/>
      <c r="Q56" s="10"/>
      <c r="R56" s="10"/>
    </row>
    <row r="57" spans="1:18" ht="15" x14ac:dyDescent="0.2">
      <c r="A57" s="16">
        <v>42948</v>
      </c>
      <c r="B57" s="80">
        <f>3.357 * CHOOSE(CONTROL!$C$32, $C$9, 100%, $E$9)</f>
        <v>3.3570000000000002</v>
      </c>
      <c r="C57" s="80">
        <f>3.357 * CHOOSE(CONTROL!$C$32, $C$9, 100%, $E$9)</f>
        <v>3.3570000000000002</v>
      </c>
      <c r="D57" s="80">
        <f>3.3586 * CHOOSE(CONTROL!$C$32, $C$9, 100%, $E$9)</f>
        <v>3.3586</v>
      </c>
      <c r="E57" s="81">
        <f>3.9299 * CHOOSE(CONTROL!$C$32, $C$9, 100%, $E$9)</f>
        <v>3.9298999999999999</v>
      </c>
      <c r="F57" s="81">
        <f>3.9299 * CHOOSE(CONTROL!$C$32, $C$9, 100%, $E$9)</f>
        <v>3.9298999999999999</v>
      </c>
      <c r="G57" s="81">
        <f>3.9352 * CHOOSE(CONTROL!$C$32, $C$9, 100%, $E$9)</f>
        <v>3.9352</v>
      </c>
      <c r="H57" s="81">
        <f>6.3617 * CHOOSE(CONTROL!$C$32, $C$9, 100%, $E$9)</f>
        <v>6.3616999999999999</v>
      </c>
      <c r="I57" s="81">
        <f>6.367 * CHOOSE(CONTROL!$C$32, $C$9, 100%, $E$9)</f>
        <v>6.367</v>
      </c>
      <c r="J57" s="81">
        <f>6.3617 * CHOOSE(CONTROL!$C$32, $C$9, 100%, $E$9)</f>
        <v>6.3616999999999999</v>
      </c>
      <c r="K57" s="81">
        <f>6.367 * CHOOSE(CONTROL!$C$32, $C$9, 100%, $E$9)</f>
        <v>6.367</v>
      </c>
      <c r="L57" s="81">
        <f>3.9299 * CHOOSE(CONTROL!$C$32, $C$9, 100%, $E$9)</f>
        <v>3.9298999999999999</v>
      </c>
      <c r="M57" s="81">
        <f>3.9352 * CHOOSE(CONTROL!$C$32, $C$9, 100%, $E$9)</f>
        <v>3.9352</v>
      </c>
      <c r="N57" s="81">
        <f>3.9299 * CHOOSE(CONTROL!$C$32, $C$9, 100%, $E$9)</f>
        <v>3.9298999999999999</v>
      </c>
      <c r="O57" s="81">
        <f>3.9352 * CHOOSE(CONTROL!$C$32, $C$9, 100%, $E$9)</f>
        <v>3.9352</v>
      </c>
      <c r="P57" s="10"/>
      <c r="Q57" s="10"/>
      <c r="R57" s="10"/>
    </row>
    <row r="58" spans="1:18" ht="15" x14ac:dyDescent="0.2">
      <c r="A58" s="16">
        <v>42979</v>
      </c>
      <c r="B58" s="80">
        <f>3.354 * CHOOSE(CONTROL!$C$32, $C$9, 100%, $E$9)</f>
        <v>3.3540000000000001</v>
      </c>
      <c r="C58" s="80">
        <f>3.354 * CHOOSE(CONTROL!$C$32, $C$9, 100%, $E$9)</f>
        <v>3.3540000000000001</v>
      </c>
      <c r="D58" s="80">
        <f>3.3556 * CHOOSE(CONTROL!$C$32, $C$9, 100%, $E$9)</f>
        <v>3.3555999999999999</v>
      </c>
      <c r="E58" s="81">
        <f>3.9279 * CHOOSE(CONTROL!$C$32, $C$9, 100%, $E$9)</f>
        <v>3.9279000000000002</v>
      </c>
      <c r="F58" s="81">
        <f>3.9279 * CHOOSE(CONTROL!$C$32, $C$9, 100%, $E$9)</f>
        <v>3.9279000000000002</v>
      </c>
      <c r="G58" s="81">
        <f>3.9332 * CHOOSE(CONTROL!$C$32, $C$9, 100%, $E$9)</f>
        <v>3.9331999999999998</v>
      </c>
      <c r="H58" s="81">
        <f>6.3749 * CHOOSE(CONTROL!$C$32, $C$9, 100%, $E$9)</f>
        <v>6.3749000000000002</v>
      </c>
      <c r="I58" s="81">
        <f>6.3802 * CHOOSE(CONTROL!$C$32, $C$9, 100%, $E$9)</f>
        <v>6.3802000000000003</v>
      </c>
      <c r="J58" s="81">
        <f>6.3749 * CHOOSE(CONTROL!$C$32, $C$9, 100%, $E$9)</f>
        <v>6.3749000000000002</v>
      </c>
      <c r="K58" s="81">
        <f>6.3802 * CHOOSE(CONTROL!$C$32, $C$9, 100%, $E$9)</f>
        <v>6.3802000000000003</v>
      </c>
      <c r="L58" s="81">
        <f>3.9279 * CHOOSE(CONTROL!$C$32, $C$9, 100%, $E$9)</f>
        <v>3.9279000000000002</v>
      </c>
      <c r="M58" s="81">
        <f>3.9332 * CHOOSE(CONTROL!$C$32, $C$9, 100%, $E$9)</f>
        <v>3.9331999999999998</v>
      </c>
      <c r="N58" s="81">
        <f>3.9279 * CHOOSE(CONTROL!$C$32, $C$9, 100%, $E$9)</f>
        <v>3.9279000000000002</v>
      </c>
      <c r="O58" s="81">
        <f>3.9332 * CHOOSE(CONTROL!$C$32, $C$9, 100%, $E$9)</f>
        <v>3.9331999999999998</v>
      </c>
      <c r="P58" s="10"/>
      <c r="Q58" s="10"/>
      <c r="R58" s="10"/>
    </row>
    <row r="59" spans="1:18" ht="15" x14ac:dyDescent="0.2">
      <c r="A59" s="16">
        <v>43009</v>
      </c>
      <c r="B59" s="80">
        <f>3.3348 * CHOOSE(CONTROL!$C$32, $C$9, 100%, $E$9)</f>
        <v>3.3348</v>
      </c>
      <c r="C59" s="80">
        <f>3.3348 * CHOOSE(CONTROL!$C$32, $C$9, 100%, $E$9)</f>
        <v>3.3348</v>
      </c>
      <c r="D59" s="80">
        <f>3.3358 * CHOOSE(CONTROL!$C$32, $C$9, 100%, $E$9)</f>
        <v>3.3357999999999999</v>
      </c>
      <c r="E59" s="81">
        <f>3.9209 * CHOOSE(CONTROL!$C$32, $C$9, 100%, $E$9)</f>
        <v>3.9209000000000001</v>
      </c>
      <c r="F59" s="81">
        <f>3.9209 * CHOOSE(CONTROL!$C$32, $C$9, 100%, $E$9)</f>
        <v>3.9209000000000001</v>
      </c>
      <c r="G59" s="81">
        <f>3.9245 * CHOOSE(CONTROL!$C$32, $C$9, 100%, $E$9)</f>
        <v>3.9245000000000001</v>
      </c>
      <c r="H59" s="81">
        <f>6.3882 * CHOOSE(CONTROL!$C$32, $C$9, 100%, $E$9)</f>
        <v>6.3882000000000003</v>
      </c>
      <c r="I59" s="81">
        <f>6.3918 * CHOOSE(CONTROL!$C$32, $C$9, 100%, $E$9)</f>
        <v>6.3917999999999999</v>
      </c>
      <c r="J59" s="81">
        <f>6.3882 * CHOOSE(CONTROL!$C$32, $C$9, 100%, $E$9)</f>
        <v>6.3882000000000003</v>
      </c>
      <c r="K59" s="81">
        <f>6.3918 * CHOOSE(CONTROL!$C$32, $C$9, 100%, $E$9)</f>
        <v>6.3917999999999999</v>
      </c>
      <c r="L59" s="81">
        <f>3.9209 * CHOOSE(CONTROL!$C$32, $C$9, 100%, $E$9)</f>
        <v>3.9209000000000001</v>
      </c>
      <c r="M59" s="81">
        <f>3.9245 * CHOOSE(CONTROL!$C$32, $C$9, 100%, $E$9)</f>
        <v>3.9245000000000001</v>
      </c>
      <c r="N59" s="81">
        <f>3.9209 * CHOOSE(CONTROL!$C$32, $C$9, 100%, $E$9)</f>
        <v>3.9209000000000001</v>
      </c>
      <c r="O59" s="81">
        <f>3.9245 * CHOOSE(CONTROL!$C$32, $C$9, 100%, $E$9)</f>
        <v>3.9245000000000001</v>
      </c>
      <c r="P59" s="10"/>
      <c r="Q59" s="10"/>
      <c r="R59" s="10"/>
    </row>
    <row r="60" spans="1:18" ht="15" x14ac:dyDescent="0.2">
      <c r="A60" s="16">
        <v>43040</v>
      </c>
      <c r="B60" s="80">
        <f>3.3463 * CHOOSE(CONTROL!$C$32, $C$9, 100%, $E$9)</f>
        <v>3.3462999999999998</v>
      </c>
      <c r="C60" s="80">
        <f>3.3463 * CHOOSE(CONTROL!$C$32, $C$9, 100%, $E$9)</f>
        <v>3.3462999999999998</v>
      </c>
      <c r="D60" s="80">
        <f>3.3474 * CHOOSE(CONTROL!$C$32, $C$9, 100%, $E$9)</f>
        <v>3.3473999999999999</v>
      </c>
      <c r="E60" s="81">
        <f>3.9229 * CHOOSE(CONTROL!$C$32, $C$9, 100%, $E$9)</f>
        <v>3.9228999999999998</v>
      </c>
      <c r="F60" s="81">
        <f>3.9229 * CHOOSE(CONTROL!$C$32, $C$9, 100%, $E$9)</f>
        <v>3.9228999999999998</v>
      </c>
      <c r="G60" s="81">
        <f>3.9265 * CHOOSE(CONTROL!$C$32, $C$9, 100%, $E$9)</f>
        <v>3.9264999999999999</v>
      </c>
      <c r="H60" s="81">
        <f>6.4015 * CHOOSE(CONTROL!$C$32, $C$9, 100%, $E$9)</f>
        <v>6.4015000000000004</v>
      </c>
      <c r="I60" s="81">
        <f>6.4051 * CHOOSE(CONTROL!$C$32, $C$9, 100%, $E$9)</f>
        <v>6.4051</v>
      </c>
      <c r="J60" s="81">
        <f>6.4015 * CHOOSE(CONTROL!$C$32, $C$9, 100%, $E$9)</f>
        <v>6.4015000000000004</v>
      </c>
      <c r="K60" s="81">
        <f>6.4051 * CHOOSE(CONTROL!$C$32, $C$9, 100%, $E$9)</f>
        <v>6.4051</v>
      </c>
      <c r="L60" s="81">
        <f>3.9229 * CHOOSE(CONTROL!$C$32, $C$9, 100%, $E$9)</f>
        <v>3.9228999999999998</v>
      </c>
      <c r="M60" s="81">
        <f>3.9265 * CHOOSE(CONTROL!$C$32, $C$9, 100%, $E$9)</f>
        <v>3.9264999999999999</v>
      </c>
      <c r="N60" s="81">
        <f>3.9229 * CHOOSE(CONTROL!$C$32, $C$9, 100%, $E$9)</f>
        <v>3.9228999999999998</v>
      </c>
      <c r="O60" s="81">
        <f>3.9265 * CHOOSE(CONTROL!$C$32, $C$9, 100%, $E$9)</f>
        <v>3.9264999999999999</v>
      </c>
      <c r="P60" s="10"/>
      <c r="Q60" s="10"/>
      <c r="R60" s="10"/>
    </row>
    <row r="61" spans="1:18" ht="15" x14ac:dyDescent="0.2">
      <c r="A61" s="16">
        <v>43070</v>
      </c>
      <c r="B61" s="80">
        <f>3.3463 * CHOOSE(CONTROL!$C$32, $C$9, 100%, $E$9)</f>
        <v>3.3462999999999998</v>
      </c>
      <c r="C61" s="80">
        <f>3.3463 * CHOOSE(CONTROL!$C$32, $C$9, 100%, $E$9)</f>
        <v>3.3462999999999998</v>
      </c>
      <c r="D61" s="80">
        <f>3.3474 * CHOOSE(CONTROL!$C$32, $C$9, 100%, $E$9)</f>
        <v>3.3473999999999999</v>
      </c>
      <c r="E61" s="81">
        <f>3.9229 * CHOOSE(CONTROL!$C$32, $C$9, 100%, $E$9)</f>
        <v>3.9228999999999998</v>
      </c>
      <c r="F61" s="81">
        <f>3.9229 * CHOOSE(CONTROL!$C$32, $C$9, 100%, $E$9)</f>
        <v>3.9228999999999998</v>
      </c>
      <c r="G61" s="81">
        <f>3.9265 * CHOOSE(CONTROL!$C$32, $C$9, 100%, $E$9)</f>
        <v>3.9264999999999999</v>
      </c>
      <c r="H61" s="81">
        <f>6.4148 * CHOOSE(CONTROL!$C$32, $C$9, 100%, $E$9)</f>
        <v>6.4147999999999996</v>
      </c>
      <c r="I61" s="81">
        <f>6.4185 * CHOOSE(CONTROL!$C$32, $C$9, 100%, $E$9)</f>
        <v>6.4184999999999999</v>
      </c>
      <c r="J61" s="81">
        <f>6.4148 * CHOOSE(CONTROL!$C$32, $C$9, 100%, $E$9)</f>
        <v>6.4147999999999996</v>
      </c>
      <c r="K61" s="81">
        <f>6.4185 * CHOOSE(CONTROL!$C$32, $C$9, 100%, $E$9)</f>
        <v>6.4184999999999999</v>
      </c>
      <c r="L61" s="81">
        <f>3.9229 * CHOOSE(CONTROL!$C$32, $C$9, 100%, $E$9)</f>
        <v>3.9228999999999998</v>
      </c>
      <c r="M61" s="81">
        <f>3.9265 * CHOOSE(CONTROL!$C$32, $C$9, 100%, $E$9)</f>
        <v>3.9264999999999999</v>
      </c>
      <c r="N61" s="81">
        <f>3.9229 * CHOOSE(CONTROL!$C$32, $C$9, 100%, $E$9)</f>
        <v>3.9228999999999998</v>
      </c>
      <c r="O61" s="81">
        <f>3.9265 * CHOOSE(CONTROL!$C$32, $C$9, 100%, $E$9)</f>
        <v>3.9264999999999999</v>
      </c>
      <c r="P61" s="10"/>
      <c r="Q61" s="10"/>
      <c r="R61" s="10"/>
    </row>
    <row r="62" spans="1:18" ht="15" x14ac:dyDescent="0.2">
      <c r="A62" s="16">
        <v>43101</v>
      </c>
      <c r="B62" s="80">
        <f>3.3747 * CHOOSE(CONTROL!$C$32, $C$9, 100%, $E$9)</f>
        <v>3.3746999999999998</v>
      </c>
      <c r="C62" s="80">
        <f>3.3747 * CHOOSE(CONTROL!$C$32, $C$9, 100%, $E$9)</f>
        <v>3.3746999999999998</v>
      </c>
      <c r="D62" s="80">
        <f>3.3758 * CHOOSE(CONTROL!$C$32, $C$9, 100%, $E$9)</f>
        <v>3.3757999999999999</v>
      </c>
      <c r="E62" s="81">
        <f>3.9606 * CHOOSE(CONTROL!$C$32, $C$9, 100%, $E$9)</f>
        <v>3.9605999999999999</v>
      </c>
      <c r="F62" s="81">
        <f>3.9606 * CHOOSE(CONTROL!$C$32, $C$9, 100%, $E$9)</f>
        <v>3.9605999999999999</v>
      </c>
      <c r="G62" s="81">
        <f>3.9642 * CHOOSE(CONTROL!$C$32, $C$9, 100%, $E$9)</f>
        <v>3.9641999999999999</v>
      </c>
      <c r="H62" s="81">
        <f>6.4282 * CHOOSE(CONTROL!$C$32, $C$9, 100%, $E$9)</f>
        <v>6.4282000000000004</v>
      </c>
      <c r="I62" s="81">
        <f>6.4318 * CHOOSE(CONTROL!$C$32, $C$9, 100%, $E$9)</f>
        <v>6.4318</v>
      </c>
      <c r="J62" s="81">
        <f>6.4282 * CHOOSE(CONTROL!$C$32, $C$9, 100%, $E$9)</f>
        <v>6.4282000000000004</v>
      </c>
      <c r="K62" s="81">
        <f>6.4318 * CHOOSE(CONTROL!$C$32, $C$9, 100%, $E$9)</f>
        <v>6.4318</v>
      </c>
      <c r="L62" s="81">
        <f>3.9606 * CHOOSE(CONTROL!$C$32, $C$9, 100%, $E$9)</f>
        <v>3.9605999999999999</v>
      </c>
      <c r="M62" s="81">
        <f>3.9642 * CHOOSE(CONTROL!$C$32, $C$9, 100%, $E$9)</f>
        <v>3.9641999999999999</v>
      </c>
      <c r="N62" s="81">
        <f>3.9606 * CHOOSE(CONTROL!$C$32, $C$9, 100%, $E$9)</f>
        <v>3.9605999999999999</v>
      </c>
      <c r="O62" s="81">
        <f>3.9642 * CHOOSE(CONTROL!$C$32, $C$9, 100%, $E$9)</f>
        <v>3.9641999999999999</v>
      </c>
      <c r="P62" s="10"/>
      <c r="Q62" s="10"/>
      <c r="R62" s="10"/>
    </row>
    <row r="63" spans="1:18" ht="15" x14ac:dyDescent="0.2">
      <c r="A63" s="16">
        <v>43132</v>
      </c>
      <c r="B63" s="80">
        <f>3.3805 * CHOOSE(CONTROL!$C$32, $C$9, 100%, $E$9)</f>
        <v>3.3805000000000001</v>
      </c>
      <c r="C63" s="80">
        <f>3.3805 * CHOOSE(CONTROL!$C$32, $C$9, 100%, $E$9)</f>
        <v>3.3805000000000001</v>
      </c>
      <c r="D63" s="80">
        <f>3.3816 * CHOOSE(CONTROL!$C$32, $C$9, 100%, $E$9)</f>
        <v>3.3816000000000002</v>
      </c>
      <c r="E63" s="81">
        <f>3.9586 * CHOOSE(CONTROL!$C$32, $C$9, 100%, $E$9)</f>
        <v>3.9586000000000001</v>
      </c>
      <c r="F63" s="81">
        <f>3.9586 * CHOOSE(CONTROL!$C$32, $C$9, 100%, $E$9)</f>
        <v>3.9586000000000001</v>
      </c>
      <c r="G63" s="81">
        <f>3.9622 * CHOOSE(CONTROL!$C$32, $C$9, 100%, $E$9)</f>
        <v>3.9622000000000002</v>
      </c>
      <c r="H63" s="81">
        <f>6.4416 * CHOOSE(CONTROL!$C$32, $C$9, 100%, $E$9)</f>
        <v>6.4416000000000002</v>
      </c>
      <c r="I63" s="81">
        <f>6.4452 * CHOOSE(CONTROL!$C$32, $C$9, 100%, $E$9)</f>
        <v>6.4451999999999998</v>
      </c>
      <c r="J63" s="81">
        <f>6.4416 * CHOOSE(CONTROL!$C$32, $C$9, 100%, $E$9)</f>
        <v>6.4416000000000002</v>
      </c>
      <c r="K63" s="81">
        <f>6.4452 * CHOOSE(CONTROL!$C$32, $C$9, 100%, $E$9)</f>
        <v>6.4451999999999998</v>
      </c>
      <c r="L63" s="81">
        <f>3.9586 * CHOOSE(CONTROL!$C$32, $C$9, 100%, $E$9)</f>
        <v>3.9586000000000001</v>
      </c>
      <c r="M63" s="81">
        <f>3.9622 * CHOOSE(CONTROL!$C$32, $C$9, 100%, $E$9)</f>
        <v>3.9622000000000002</v>
      </c>
      <c r="N63" s="81">
        <f>3.9586 * CHOOSE(CONTROL!$C$32, $C$9, 100%, $E$9)</f>
        <v>3.9586000000000001</v>
      </c>
      <c r="O63" s="81">
        <f>3.9622 * CHOOSE(CONTROL!$C$32, $C$9, 100%, $E$9)</f>
        <v>3.9622000000000002</v>
      </c>
      <c r="P63" s="10"/>
      <c r="Q63" s="10"/>
      <c r="R63" s="10"/>
    </row>
    <row r="64" spans="1:18" ht="15" x14ac:dyDescent="0.2">
      <c r="A64" s="16">
        <v>43160</v>
      </c>
      <c r="B64" s="80">
        <f>3.3774 * CHOOSE(CONTROL!$C$32, $C$9, 100%, $E$9)</f>
        <v>3.3774000000000002</v>
      </c>
      <c r="C64" s="80">
        <f>3.3774 * CHOOSE(CONTROL!$C$32, $C$9, 100%, $E$9)</f>
        <v>3.3774000000000002</v>
      </c>
      <c r="D64" s="80">
        <f>3.3785 * CHOOSE(CONTROL!$C$32, $C$9, 100%, $E$9)</f>
        <v>3.3784999999999998</v>
      </c>
      <c r="E64" s="81">
        <f>3.9566 * CHOOSE(CONTROL!$C$32, $C$9, 100%, $E$9)</f>
        <v>3.9565999999999999</v>
      </c>
      <c r="F64" s="81">
        <f>3.9566 * CHOOSE(CONTROL!$C$32, $C$9, 100%, $E$9)</f>
        <v>3.9565999999999999</v>
      </c>
      <c r="G64" s="81">
        <f>3.9602 * CHOOSE(CONTROL!$C$32, $C$9, 100%, $E$9)</f>
        <v>3.9601999999999999</v>
      </c>
      <c r="H64" s="81">
        <f>6.455 * CHOOSE(CONTROL!$C$32, $C$9, 100%, $E$9)</f>
        <v>6.4550000000000001</v>
      </c>
      <c r="I64" s="81">
        <f>6.4586 * CHOOSE(CONTROL!$C$32, $C$9, 100%, $E$9)</f>
        <v>6.4585999999999997</v>
      </c>
      <c r="J64" s="81">
        <f>6.455 * CHOOSE(CONTROL!$C$32, $C$9, 100%, $E$9)</f>
        <v>6.4550000000000001</v>
      </c>
      <c r="K64" s="81">
        <f>6.4586 * CHOOSE(CONTROL!$C$32, $C$9, 100%, $E$9)</f>
        <v>6.4585999999999997</v>
      </c>
      <c r="L64" s="81">
        <f>3.9566 * CHOOSE(CONTROL!$C$32, $C$9, 100%, $E$9)</f>
        <v>3.9565999999999999</v>
      </c>
      <c r="M64" s="81">
        <f>3.9602 * CHOOSE(CONTROL!$C$32, $C$9, 100%, $E$9)</f>
        <v>3.9601999999999999</v>
      </c>
      <c r="N64" s="81">
        <f>3.9566 * CHOOSE(CONTROL!$C$32, $C$9, 100%, $E$9)</f>
        <v>3.9565999999999999</v>
      </c>
      <c r="O64" s="81">
        <f>3.9602 * CHOOSE(CONTROL!$C$32, $C$9, 100%, $E$9)</f>
        <v>3.9601999999999999</v>
      </c>
      <c r="P64" s="10"/>
      <c r="Q64" s="10"/>
      <c r="R64" s="10"/>
    </row>
    <row r="65" spans="1:18" ht="15" x14ac:dyDescent="0.2">
      <c r="A65" s="16">
        <v>43191</v>
      </c>
      <c r="B65" s="80">
        <f>3.3713 * CHOOSE(CONTROL!$C$32, $C$9, 100%, $E$9)</f>
        <v>3.3713000000000002</v>
      </c>
      <c r="C65" s="80">
        <f>3.3713 * CHOOSE(CONTROL!$C$32, $C$9, 100%, $E$9)</f>
        <v>3.3713000000000002</v>
      </c>
      <c r="D65" s="80">
        <f>3.3724 * CHOOSE(CONTROL!$C$32, $C$9, 100%, $E$9)</f>
        <v>3.3723999999999998</v>
      </c>
      <c r="E65" s="81">
        <f>3.9541 * CHOOSE(CONTROL!$C$32, $C$9, 100%, $E$9)</f>
        <v>3.9540999999999999</v>
      </c>
      <c r="F65" s="81">
        <f>3.9541 * CHOOSE(CONTROL!$C$32, $C$9, 100%, $E$9)</f>
        <v>3.9540999999999999</v>
      </c>
      <c r="G65" s="81">
        <f>3.9577 * CHOOSE(CONTROL!$C$32, $C$9, 100%, $E$9)</f>
        <v>3.9577</v>
      </c>
      <c r="H65" s="81">
        <f>6.4685 * CHOOSE(CONTROL!$C$32, $C$9, 100%, $E$9)</f>
        <v>6.4684999999999997</v>
      </c>
      <c r="I65" s="81">
        <f>6.4721 * CHOOSE(CONTROL!$C$32, $C$9, 100%, $E$9)</f>
        <v>6.4721000000000002</v>
      </c>
      <c r="J65" s="81">
        <f>6.4685 * CHOOSE(CONTROL!$C$32, $C$9, 100%, $E$9)</f>
        <v>6.4684999999999997</v>
      </c>
      <c r="K65" s="81">
        <f>6.4721 * CHOOSE(CONTROL!$C$32, $C$9, 100%, $E$9)</f>
        <v>6.4721000000000002</v>
      </c>
      <c r="L65" s="81">
        <f>3.9541 * CHOOSE(CONTROL!$C$32, $C$9, 100%, $E$9)</f>
        <v>3.9540999999999999</v>
      </c>
      <c r="M65" s="81">
        <f>3.9577 * CHOOSE(CONTROL!$C$32, $C$9, 100%, $E$9)</f>
        <v>3.9577</v>
      </c>
      <c r="N65" s="81">
        <f>3.9541 * CHOOSE(CONTROL!$C$32, $C$9, 100%, $E$9)</f>
        <v>3.9540999999999999</v>
      </c>
      <c r="O65" s="81">
        <f>3.9577 * CHOOSE(CONTROL!$C$32, $C$9, 100%, $E$9)</f>
        <v>3.9577</v>
      </c>
      <c r="P65" s="10"/>
      <c r="Q65" s="10"/>
      <c r="R65" s="10"/>
    </row>
    <row r="66" spans="1:18" ht="15" x14ac:dyDescent="0.2">
      <c r="A66" s="16">
        <v>43221</v>
      </c>
      <c r="B66" s="80">
        <f>3.38 * CHOOSE(CONTROL!$C$32, $C$9, 100%, $E$9)</f>
        <v>3.38</v>
      </c>
      <c r="C66" s="80">
        <f>3.38 * CHOOSE(CONTROL!$C$32, $C$9, 100%, $E$9)</f>
        <v>3.38</v>
      </c>
      <c r="D66" s="80">
        <f>3.3815 * CHOOSE(CONTROL!$C$32, $C$9, 100%, $E$9)</f>
        <v>3.3815</v>
      </c>
      <c r="E66" s="81">
        <f>3.9541 * CHOOSE(CONTROL!$C$32, $C$9, 100%, $E$9)</f>
        <v>3.9540999999999999</v>
      </c>
      <c r="F66" s="81">
        <f>3.9541 * CHOOSE(CONTROL!$C$32, $C$9, 100%, $E$9)</f>
        <v>3.9540999999999999</v>
      </c>
      <c r="G66" s="81">
        <f>3.9594 * CHOOSE(CONTROL!$C$32, $C$9, 100%, $E$9)</f>
        <v>3.9594</v>
      </c>
      <c r="H66" s="81">
        <f>6.482 * CHOOSE(CONTROL!$C$32, $C$9, 100%, $E$9)</f>
        <v>6.4820000000000002</v>
      </c>
      <c r="I66" s="81">
        <f>6.4872 * CHOOSE(CONTROL!$C$32, $C$9, 100%, $E$9)</f>
        <v>6.4871999999999996</v>
      </c>
      <c r="J66" s="81">
        <f>6.482 * CHOOSE(CONTROL!$C$32, $C$9, 100%, $E$9)</f>
        <v>6.4820000000000002</v>
      </c>
      <c r="K66" s="81">
        <f>6.4872 * CHOOSE(CONTROL!$C$32, $C$9, 100%, $E$9)</f>
        <v>6.4871999999999996</v>
      </c>
      <c r="L66" s="81">
        <f>3.9541 * CHOOSE(CONTROL!$C$32, $C$9, 100%, $E$9)</f>
        <v>3.9540999999999999</v>
      </c>
      <c r="M66" s="81">
        <f>3.9594 * CHOOSE(CONTROL!$C$32, $C$9, 100%, $E$9)</f>
        <v>3.9594</v>
      </c>
      <c r="N66" s="81">
        <f>3.9541 * CHOOSE(CONTROL!$C$32, $C$9, 100%, $E$9)</f>
        <v>3.9540999999999999</v>
      </c>
      <c r="O66" s="81">
        <f>3.9594 * CHOOSE(CONTROL!$C$32, $C$9, 100%, $E$9)</f>
        <v>3.9594</v>
      </c>
      <c r="P66" s="10"/>
      <c r="Q66" s="10"/>
      <c r="R66" s="10"/>
    </row>
    <row r="67" spans="1:18" ht="15" x14ac:dyDescent="0.2">
      <c r="A67" s="16">
        <v>43252</v>
      </c>
      <c r="B67" s="80">
        <f>3.386 * CHOOSE(CONTROL!$C$32, $C$9, 100%, $E$9)</f>
        <v>3.3860000000000001</v>
      </c>
      <c r="C67" s="80">
        <f>3.386 * CHOOSE(CONTROL!$C$32, $C$9, 100%, $E$9)</f>
        <v>3.3860000000000001</v>
      </c>
      <c r="D67" s="80">
        <f>3.3876 * CHOOSE(CONTROL!$C$32, $C$9, 100%, $E$9)</f>
        <v>3.3875999999999999</v>
      </c>
      <c r="E67" s="81">
        <f>3.9581 * CHOOSE(CONTROL!$C$32, $C$9, 100%, $E$9)</f>
        <v>3.9581</v>
      </c>
      <c r="F67" s="81">
        <f>3.9581 * CHOOSE(CONTROL!$C$32, $C$9, 100%, $E$9)</f>
        <v>3.9581</v>
      </c>
      <c r="G67" s="81">
        <f>3.9634 * CHOOSE(CONTROL!$C$32, $C$9, 100%, $E$9)</f>
        <v>3.9634</v>
      </c>
      <c r="H67" s="81">
        <f>6.4955 * CHOOSE(CONTROL!$C$32, $C$9, 100%, $E$9)</f>
        <v>6.4954999999999998</v>
      </c>
      <c r="I67" s="81">
        <f>6.5007 * CHOOSE(CONTROL!$C$32, $C$9, 100%, $E$9)</f>
        <v>6.5007000000000001</v>
      </c>
      <c r="J67" s="81">
        <f>6.4955 * CHOOSE(CONTROL!$C$32, $C$9, 100%, $E$9)</f>
        <v>6.4954999999999998</v>
      </c>
      <c r="K67" s="81">
        <f>6.5007 * CHOOSE(CONTROL!$C$32, $C$9, 100%, $E$9)</f>
        <v>6.5007000000000001</v>
      </c>
      <c r="L67" s="81">
        <f>3.9581 * CHOOSE(CONTROL!$C$32, $C$9, 100%, $E$9)</f>
        <v>3.9581</v>
      </c>
      <c r="M67" s="81">
        <f>3.9634 * CHOOSE(CONTROL!$C$32, $C$9, 100%, $E$9)</f>
        <v>3.9634</v>
      </c>
      <c r="N67" s="81">
        <f>3.9581 * CHOOSE(CONTROL!$C$32, $C$9, 100%, $E$9)</f>
        <v>3.9581</v>
      </c>
      <c r="O67" s="81">
        <f>3.9634 * CHOOSE(CONTROL!$C$32, $C$9, 100%, $E$9)</f>
        <v>3.9634</v>
      </c>
      <c r="P67" s="10"/>
      <c r="Q67" s="10"/>
      <c r="R67" s="10"/>
    </row>
    <row r="68" spans="1:18" ht="15" x14ac:dyDescent="0.2">
      <c r="A68" s="16">
        <v>43282</v>
      </c>
      <c r="B68" s="80">
        <f>3.4206 * CHOOSE(CONTROL!$C$32, $C$9, 100%, $E$9)</f>
        <v>3.4205999999999999</v>
      </c>
      <c r="C68" s="80">
        <f>3.4206 * CHOOSE(CONTROL!$C$32, $C$9, 100%, $E$9)</f>
        <v>3.4205999999999999</v>
      </c>
      <c r="D68" s="80">
        <f>3.4222 * CHOOSE(CONTROL!$C$32, $C$9, 100%, $E$9)</f>
        <v>3.4222000000000001</v>
      </c>
      <c r="E68" s="81">
        <f>4.0414 * CHOOSE(CONTROL!$C$32, $C$9, 100%, $E$9)</f>
        <v>4.0414000000000003</v>
      </c>
      <c r="F68" s="81">
        <f>4.0414 * CHOOSE(CONTROL!$C$32, $C$9, 100%, $E$9)</f>
        <v>4.0414000000000003</v>
      </c>
      <c r="G68" s="81">
        <f>4.0467 * CHOOSE(CONTROL!$C$32, $C$9, 100%, $E$9)</f>
        <v>4.0467000000000004</v>
      </c>
      <c r="H68" s="81">
        <f>6.509 * CHOOSE(CONTROL!$C$32, $C$9, 100%, $E$9)</f>
        <v>6.5090000000000003</v>
      </c>
      <c r="I68" s="81">
        <f>6.5143 * CHOOSE(CONTROL!$C$32, $C$9, 100%, $E$9)</f>
        <v>6.5143000000000004</v>
      </c>
      <c r="J68" s="81">
        <f>6.509 * CHOOSE(CONTROL!$C$32, $C$9, 100%, $E$9)</f>
        <v>6.5090000000000003</v>
      </c>
      <c r="K68" s="81">
        <f>6.5143 * CHOOSE(CONTROL!$C$32, $C$9, 100%, $E$9)</f>
        <v>6.5143000000000004</v>
      </c>
      <c r="L68" s="81">
        <f>4.0414 * CHOOSE(CONTROL!$C$32, $C$9, 100%, $E$9)</f>
        <v>4.0414000000000003</v>
      </c>
      <c r="M68" s="81">
        <f>4.0467 * CHOOSE(CONTROL!$C$32, $C$9, 100%, $E$9)</f>
        <v>4.0467000000000004</v>
      </c>
      <c r="N68" s="81">
        <f>4.0414 * CHOOSE(CONTROL!$C$32, $C$9, 100%, $E$9)</f>
        <v>4.0414000000000003</v>
      </c>
      <c r="O68" s="81">
        <f>4.0467 * CHOOSE(CONTROL!$C$32, $C$9, 100%, $E$9)</f>
        <v>4.0467000000000004</v>
      </c>
      <c r="P68" s="10"/>
      <c r="Q68" s="10"/>
      <c r="R68" s="10"/>
    </row>
    <row r="69" spans="1:18" ht="15" x14ac:dyDescent="0.2">
      <c r="A69" s="16">
        <v>43313</v>
      </c>
      <c r="B69" s="80">
        <f>3.4359 * CHOOSE(CONTROL!$C$32, $C$9, 100%, $E$9)</f>
        <v>3.4359000000000002</v>
      </c>
      <c r="C69" s="80">
        <f>3.4359 * CHOOSE(CONTROL!$C$32, $C$9, 100%, $E$9)</f>
        <v>3.4359000000000002</v>
      </c>
      <c r="D69" s="80">
        <f>3.4375 * CHOOSE(CONTROL!$C$32, $C$9, 100%, $E$9)</f>
        <v>3.4375</v>
      </c>
      <c r="E69" s="81">
        <f>4.0458 * CHOOSE(CONTROL!$C$32, $C$9, 100%, $E$9)</f>
        <v>4.0457999999999998</v>
      </c>
      <c r="F69" s="81">
        <f>4.0458 * CHOOSE(CONTROL!$C$32, $C$9, 100%, $E$9)</f>
        <v>4.0457999999999998</v>
      </c>
      <c r="G69" s="81">
        <f>4.0511 * CHOOSE(CONTROL!$C$32, $C$9, 100%, $E$9)</f>
        <v>4.0510999999999999</v>
      </c>
      <c r="H69" s="81">
        <f>6.5225 * CHOOSE(CONTROL!$C$32, $C$9, 100%, $E$9)</f>
        <v>6.5225</v>
      </c>
      <c r="I69" s="81">
        <f>6.5278 * CHOOSE(CONTROL!$C$32, $C$9, 100%, $E$9)</f>
        <v>6.5278</v>
      </c>
      <c r="J69" s="81">
        <f>6.5225 * CHOOSE(CONTROL!$C$32, $C$9, 100%, $E$9)</f>
        <v>6.5225</v>
      </c>
      <c r="K69" s="81">
        <f>6.5278 * CHOOSE(CONTROL!$C$32, $C$9, 100%, $E$9)</f>
        <v>6.5278</v>
      </c>
      <c r="L69" s="81">
        <f>4.0458 * CHOOSE(CONTROL!$C$32, $C$9, 100%, $E$9)</f>
        <v>4.0457999999999998</v>
      </c>
      <c r="M69" s="81">
        <f>4.0511 * CHOOSE(CONTROL!$C$32, $C$9, 100%, $E$9)</f>
        <v>4.0510999999999999</v>
      </c>
      <c r="N69" s="81">
        <f>4.0458 * CHOOSE(CONTROL!$C$32, $C$9, 100%, $E$9)</f>
        <v>4.0457999999999998</v>
      </c>
      <c r="O69" s="81">
        <f>4.0511 * CHOOSE(CONTROL!$C$32, $C$9, 100%, $E$9)</f>
        <v>4.0510999999999999</v>
      </c>
      <c r="P69" s="10"/>
      <c r="Q69" s="10"/>
      <c r="R69" s="10"/>
    </row>
    <row r="70" spans="1:18" ht="15" x14ac:dyDescent="0.2">
      <c r="A70" s="16">
        <v>43344</v>
      </c>
      <c r="B70" s="80">
        <f>3.4328 * CHOOSE(CONTROL!$C$32, $C$9, 100%, $E$9)</f>
        <v>3.4327999999999999</v>
      </c>
      <c r="C70" s="80">
        <f>3.4328 * CHOOSE(CONTROL!$C$32, $C$9, 100%, $E$9)</f>
        <v>3.4327999999999999</v>
      </c>
      <c r="D70" s="80">
        <f>3.4344 * CHOOSE(CONTROL!$C$32, $C$9, 100%, $E$9)</f>
        <v>3.4344000000000001</v>
      </c>
      <c r="E70" s="81">
        <f>4.0438 * CHOOSE(CONTROL!$C$32, $C$9, 100%, $E$9)</f>
        <v>4.0438000000000001</v>
      </c>
      <c r="F70" s="81">
        <f>4.0438 * CHOOSE(CONTROL!$C$32, $C$9, 100%, $E$9)</f>
        <v>4.0438000000000001</v>
      </c>
      <c r="G70" s="81">
        <f>4.0491 * CHOOSE(CONTROL!$C$32, $C$9, 100%, $E$9)</f>
        <v>4.0491000000000001</v>
      </c>
      <c r="H70" s="81">
        <f>6.5361 * CHOOSE(CONTROL!$C$32, $C$9, 100%, $E$9)</f>
        <v>6.5361000000000002</v>
      </c>
      <c r="I70" s="81">
        <f>6.5414 * CHOOSE(CONTROL!$C$32, $C$9, 100%, $E$9)</f>
        <v>6.5414000000000003</v>
      </c>
      <c r="J70" s="81">
        <f>6.5361 * CHOOSE(CONTROL!$C$32, $C$9, 100%, $E$9)</f>
        <v>6.5361000000000002</v>
      </c>
      <c r="K70" s="81">
        <f>6.5414 * CHOOSE(CONTROL!$C$32, $C$9, 100%, $E$9)</f>
        <v>6.5414000000000003</v>
      </c>
      <c r="L70" s="81">
        <f>4.0438 * CHOOSE(CONTROL!$C$32, $C$9, 100%, $E$9)</f>
        <v>4.0438000000000001</v>
      </c>
      <c r="M70" s="81">
        <f>4.0491 * CHOOSE(CONTROL!$C$32, $C$9, 100%, $E$9)</f>
        <v>4.0491000000000001</v>
      </c>
      <c r="N70" s="81">
        <f>4.0438 * CHOOSE(CONTROL!$C$32, $C$9, 100%, $E$9)</f>
        <v>4.0438000000000001</v>
      </c>
      <c r="O70" s="81">
        <f>4.0491 * CHOOSE(CONTROL!$C$32, $C$9, 100%, $E$9)</f>
        <v>4.0491000000000001</v>
      </c>
      <c r="P70" s="10"/>
      <c r="Q70" s="10"/>
      <c r="R70" s="10"/>
    </row>
    <row r="71" spans="1:18" ht="15" x14ac:dyDescent="0.2">
      <c r="A71" s="16">
        <v>43374</v>
      </c>
      <c r="B71" s="80">
        <f>3.4135 * CHOOSE(CONTROL!$C$32, $C$9, 100%, $E$9)</f>
        <v>3.4135</v>
      </c>
      <c r="C71" s="80">
        <f>3.4135 * CHOOSE(CONTROL!$C$32, $C$9, 100%, $E$9)</f>
        <v>3.4135</v>
      </c>
      <c r="D71" s="80">
        <f>3.4146 * CHOOSE(CONTROL!$C$32, $C$9, 100%, $E$9)</f>
        <v>3.4146000000000001</v>
      </c>
      <c r="E71" s="81">
        <f>4.0369 * CHOOSE(CONTROL!$C$32, $C$9, 100%, $E$9)</f>
        <v>4.0369000000000002</v>
      </c>
      <c r="F71" s="81">
        <f>4.0369 * CHOOSE(CONTROL!$C$32, $C$9, 100%, $E$9)</f>
        <v>4.0369000000000002</v>
      </c>
      <c r="G71" s="81">
        <f>4.0406 * CHOOSE(CONTROL!$C$32, $C$9, 100%, $E$9)</f>
        <v>4.0406000000000004</v>
      </c>
      <c r="H71" s="81">
        <f>6.5498 * CHOOSE(CONTROL!$C$32, $C$9, 100%, $E$9)</f>
        <v>6.5498000000000003</v>
      </c>
      <c r="I71" s="81">
        <f>6.5534 * CHOOSE(CONTROL!$C$32, $C$9, 100%, $E$9)</f>
        <v>6.5533999999999999</v>
      </c>
      <c r="J71" s="81">
        <f>6.5498 * CHOOSE(CONTROL!$C$32, $C$9, 100%, $E$9)</f>
        <v>6.5498000000000003</v>
      </c>
      <c r="K71" s="81">
        <f>6.5534 * CHOOSE(CONTROL!$C$32, $C$9, 100%, $E$9)</f>
        <v>6.5533999999999999</v>
      </c>
      <c r="L71" s="81">
        <f>4.0369 * CHOOSE(CONTROL!$C$32, $C$9, 100%, $E$9)</f>
        <v>4.0369000000000002</v>
      </c>
      <c r="M71" s="81">
        <f>4.0406 * CHOOSE(CONTROL!$C$32, $C$9, 100%, $E$9)</f>
        <v>4.0406000000000004</v>
      </c>
      <c r="N71" s="81">
        <f>4.0369 * CHOOSE(CONTROL!$C$32, $C$9, 100%, $E$9)</f>
        <v>4.0369000000000002</v>
      </c>
      <c r="O71" s="81">
        <f>4.0406 * CHOOSE(CONTROL!$C$32, $C$9, 100%, $E$9)</f>
        <v>4.0406000000000004</v>
      </c>
      <c r="P71" s="10"/>
      <c r="Q71" s="10"/>
      <c r="R71" s="10"/>
    </row>
    <row r="72" spans="1:18" ht="15" x14ac:dyDescent="0.2">
      <c r="A72" s="16">
        <v>43405</v>
      </c>
      <c r="B72" s="80">
        <f>3.4253 * CHOOSE(CONTROL!$C$32, $C$9, 100%, $E$9)</f>
        <v>3.4253</v>
      </c>
      <c r="C72" s="80">
        <f>3.4253 * CHOOSE(CONTROL!$C$32, $C$9, 100%, $E$9)</f>
        <v>3.4253</v>
      </c>
      <c r="D72" s="80">
        <f>3.4263 * CHOOSE(CONTROL!$C$32, $C$9, 100%, $E$9)</f>
        <v>3.4262999999999999</v>
      </c>
      <c r="E72" s="81">
        <f>4.0389 * CHOOSE(CONTROL!$C$32, $C$9, 100%, $E$9)</f>
        <v>4.0388999999999999</v>
      </c>
      <c r="F72" s="81">
        <f>4.0389 * CHOOSE(CONTROL!$C$32, $C$9, 100%, $E$9)</f>
        <v>4.0388999999999999</v>
      </c>
      <c r="G72" s="81">
        <f>4.0426 * CHOOSE(CONTROL!$C$32, $C$9, 100%, $E$9)</f>
        <v>4.0426000000000002</v>
      </c>
      <c r="H72" s="81">
        <f>6.5634 * CHOOSE(CONTROL!$C$32, $C$9, 100%, $E$9)</f>
        <v>6.5633999999999997</v>
      </c>
      <c r="I72" s="81">
        <f>6.567 * CHOOSE(CONTROL!$C$32, $C$9, 100%, $E$9)</f>
        <v>6.5670000000000002</v>
      </c>
      <c r="J72" s="81">
        <f>6.5634 * CHOOSE(CONTROL!$C$32, $C$9, 100%, $E$9)</f>
        <v>6.5633999999999997</v>
      </c>
      <c r="K72" s="81">
        <f>6.567 * CHOOSE(CONTROL!$C$32, $C$9, 100%, $E$9)</f>
        <v>6.5670000000000002</v>
      </c>
      <c r="L72" s="81">
        <f>4.0389 * CHOOSE(CONTROL!$C$32, $C$9, 100%, $E$9)</f>
        <v>4.0388999999999999</v>
      </c>
      <c r="M72" s="81">
        <f>4.0426 * CHOOSE(CONTROL!$C$32, $C$9, 100%, $E$9)</f>
        <v>4.0426000000000002</v>
      </c>
      <c r="N72" s="81">
        <f>4.0389 * CHOOSE(CONTROL!$C$32, $C$9, 100%, $E$9)</f>
        <v>4.0388999999999999</v>
      </c>
      <c r="O72" s="81">
        <f>4.0426 * CHOOSE(CONTROL!$C$32, $C$9, 100%, $E$9)</f>
        <v>4.0426000000000002</v>
      </c>
      <c r="P72" s="10"/>
      <c r="Q72" s="10"/>
      <c r="R72" s="10"/>
    </row>
    <row r="73" spans="1:18" ht="15" x14ac:dyDescent="0.2">
      <c r="A73" s="16">
        <v>43435</v>
      </c>
      <c r="B73" s="80">
        <f>3.4251 * CHOOSE(CONTROL!$C$32, $C$9, 100%, $E$9)</f>
        <v>3.4251</v>
      </c>
      <c r="C73" s="80">
        <f>3.4251 * CHOOSE(CONTROL!$C$32, $C$9, 100%, $E$9)</f>
        <v>3.4251</v>
      </c>
      <c r="D73" s="80">
        <f>3.4262 * CHOOSE(CONTROL!$C$32, $C$9, 100%, $E$9)</f>
        <v>3.4262000000000001</v>
      </c>
      <c r="E73" s="81">
        <f>4.0389 * CHOOSE(CONTROL!$C$32, $C$9, 100%, $E$9)</f>
        <v>4.0388999999999999</v>
      </c>
      <c r="F73" s="81">
        <f>4.0389 * CHOOSE(CONTROL!$C$32, $C$9, 100%, $E$9)</f>
        <v>4.0388999999999999</v>
      </c>
      <c r="G73" s="81">
        <f>4.0426 * CHOOSE(CONTROL!$C$32, $C$9, 100%, $E$9)</f>
        <v>4.0426000000000002</v>
      </c>
      <c r="H73" s="81">
        <f>6.5771 * CHOOSE(CONTROL!$C$32, $C$9, 100%, $E$9)</f>
        <v>6.5770999999999997</v>
      </c>
      <c r="I73" s="81">
        <f>6.5807 * CHOOSE(CONTROL!$C$32, $C$9, 100%, $E$9)</f>
        <v>6.5807000000000002</v>
      </c>
      <c r="J73" s="81">
        <f>6.5771 * CHOOSE(CONTROL!$C$32, $C$9, 100%, $E$9)</f>
        <v>6.5770999999999997</v>
      </c>
      <c r="K73" s="81">
        <f>6.5807 * CHOOSE(CONTROL!$C$32, $C$9, 100%, $E$9)</f>
        <v>6.5807000000000002</v>
      </c>
      <c r="L73" s="81">
        <f>4.0389 * CHOOSE(CONTROL!$C$32, $C$9, 100%, $E$9)</f>
        <v>4.0388999999999999</v>
      </c>
      <c r="M73" s="81">
        <f>4.0426 * CHOOSE(CONTROL!$C$32, $C$9, 100%, $E$9)</f>
        <v>4.0426000000000002</v>
      </c>
      <c r="N73" s="81">
        <f>4.0389 * CHOOSE(CONTROL!$C$32, $C$9, 100%, $E$9)</f>
        <v>4.0388999999999999</v>
      </c>
      <c r="O73" s="81">
        <f>4.0426 * CHOOSE(CONTROL!$C$32, $C$9, 100%, $E$9)</f>
        <v>4.0426000000000002</v>
      </c>
      <c r="P73" s="10"/>
      <c r="Q73" s="10"/>
      <c r="R73" s="10"/>
    </row>
    <row r="74" spans="1:18" ht="15" x14ac:dyDescent="0.2">
      <c r="A74" s="16">
        <v>43466</v>
      </c>
      <c r="B74" s="80">
        <f>3.206 * CHOOSE(CONTROL!$C$32, $C$9, 100%, $E$9)</f>
        <v>3.206</v>
      </c>
      <c r="C74" s="80">
        <f>3.206 * CHOOSE(CONTROL!$C$32, $C$9, 100%, $E$9)</f>
        <v>3.206</v>
      </c>
      <c r="D74" s="80">
        <f>3.2071 * CHOOSE(CONTROL!$C$32, $C$9, 100%, $E$9)</f>
        <v>3.2071000000000001</v>
      </c>
      <c r="E74" s="81">
        <f>4.0646 * CHOOSE(CONTROL!$C$32, $C$9, 100%, $E$9)</f>
        <v>4.0646000000000004</v>
      </c>
      <c r="F74" s="81">
        <f>4.0646 * CHOOSE(CONTROL!$C$32, $C$9, 100%, $E$9)</f>
        <v>4.0646000000000004</v>
      </c>
      <c r="G74" s="81">
        <f>4.0682 * CHOOSE(CONTROL!$C$32, $C$9, 100%, $E$9)</f>
        <v>4.0682</v>
      </c>
      <c r="H74" s="81">
        <f>6.5908 * CHOOSE(CONTROL!$C$32, $C$9, 100%, $E$9)</f>
        <v>6.5907999999999998</v>
      </c>
      <c r="I74" s="81">
        <f>6.5944 * CHOOSE(CONTROL!$C$32, $C$9, 100%, $E$9)</f>
        <v>6.5944000000000003</v>
      </c>
      <c r="J74" s="81">
        <f>6.5908 * CHOOSE(CONTROL!$C$32, $C$9, 100%, $E$9)</f>
        <v>6.5907999999999998</v>
      </c>
      <c r="K74" s="81">
        <f>6.5944 * CHOOSE(CONTROL!$C$32, $C$9, 100%, $E$9)</f>
        <v>6.5944000000000003</v>
      </c>
      <c r="L74" s="81">
        <f>4.0646 * CHOOSE(CONTROL!$C$32, $C$9, 100%, $E$9)</f>
        <v>4.0646000000000004</v>
      </c>
      <c r="M74" s="81">
        <f>4.0682 * CHOOSE(CONTROL!$C$32, $C$9, 100%, $E$9)</f>
        <v>4.0682</v>
      </c>
      <c r="N74" s="81">
        <f>4.0646 * CHOOSE(CONTROL!$C$32, $C$9, 100%, $E$9)</f>
        <v>4.0646000000000004</v>
      </c>
      <c r="O74" s="81">
        <f>4.0682 * CHOOSE(CONTROL!$C$32, $C$9, 100%, $E$9)</f>
        <v>4.0682</v>
      </c>
      <c r="P74" s="10"/>
      <c r="Q74" s="10"/>
      <c r="R74" s="10"/>
    </row>
    <row r="75" spans="1:18" ht="15" x14ac:dyDescent="0.2">
      <c r="A75" s="16">
        <v>43497</v>
      </c>
      <c r="B75" s="80">
        <f>3.2029 * CHOOSE(CONTROL!$C$32, $C$9, 100%, $E$9)</f>
        <v>3.2029000000000001</v>
      </c>
      <c r="C75" s="80">
        <f>3.2029 * CHOOSE(CONTROL!$C$32, $C$9, 100%, $E$9)</f>
        <v>3.2029000000000001</v>
      </c>
      <c r="D75" s="80">
        <f>3.204 * CHOOSE(CONTROL!$C$32, $C$9, 100%, $E$9)</f>
        <v>3.2040000000000002</v>
      </c>
      <c r="E75" s="81">
        <f>4.0626 * CHOOSE(CONTROL!$C$32, $C$9, 100%, $E$9)</f>
        <v>4.0625999999999998</v>
      </c>
      <c r="F75" s="81">
        <f>4.0626 * CHOOSE(CONTROL!$C$32, $C$9, 100%, $E$9)</f>
        <v>4.0625999999999998</v>
      </c>
      <c r="G75" s="81">
        <f>4.0662 * CHOOSE(CONTROL!$C$32, $C$9, 100%, $E$9)</f>
        <v>4.0662000000000003</v>
      </c>
      <c r="H75" s="81">
        <f>6.6045 * CHOOSE(CONTROL!$C$32, $C$9, 100%, $E$9)</f>
        <v>6.6044999999999998</v>
      </c>
      <c r="I75" s="81">
        <f>6.6081 * CHOOSE(CONTROL!$C$32, $C$9, 100%, $E$9)</f>
        <v>6.6081000000000003</v>
      </c>
      <c r="J75" s="81">
        <f>6.6045 * CHOOSE(CONTROL!$C$32, $C$9, 100%, $E$9)</f>
        <v>6.6044999999999998</v>
      </c>
      <c r="K75" s="81">
        <f>6.6081 * CHOOSE(CONTROL!$C$32, $C$9, 100%, $E$9)</f>
        <v>6.6081000000000003</v>
      </c>
      <c r="L75" s="81">
        <f>4.0626 * CHOOSE(CONTROL!$C$32, $C$9, 100%, $E$9)</f>
        <v>4.0625999999999998</v>
      </c>
      <c r="M75" s="81">
        <f>4.0662 * CHOOSE(CONTROL!$C$32, $C$9, 100%, $E$9)</f>
        <v>4.0662000000000003</v>
      </c>
      <c r="N75" s="81">
        <f>4.0626 * CHOOSE(CONTROL!$C$32, $C$9, 100%, $E$9)</f>
        <v>4.0625999999999998</v>
      </c>
      <c r="O75" s="81">
        <f>4.0662 * CHOOSE(CONTROL!$C$32, $C$9, 100%, $E$9)</f>
        <v>4.0662000000000003</v>
      </c>
      <c r="P75" s="10"/>
      <c r="Q75" s="10"/>
      <c r="R75" s="10"/>
    </row>
    <row r="76" spans="1:18" ht="15" x14ac:dyDescent="0.2">
      <c r="A76" s="16">
        <v>43525</v>
      </c>
      <c r="B76" s="80">
        <f>3.1999 * CHOOSE(CONTROL!$C$32, $C$9, 100%, $E$9)</f>
        <v>3.1999</v>
      </c>
      <c r="C76" s="80">
        <f>3.1999 * CHOOSE(CONTROL!$C$32, $C$9, 100%, $E$9)</f>
        <v>3.1999</v>
      </c>
      <c r="D76" s="80">
        <f>3.201 * CHOOSE(CONTROL!$C$32, $C$9, 100%, $E$9)</f>
        <v>3.2010000000000001</v>
      </c>
      <c r="E76" s="81">
        <f>4.0606 * CHOOSE(CONTROL!$C$32, $C$9, 100%, $E$9)</f>
        <v>4.0606</v>
      </c>
      <c r="F76" s="81">
        <f>4.0606 * CHOOSE(CONTROL!$C$32, $C$9, 100%, $E$9)</f>
        <v>4.0606</v>
      </c>
      <c r="G76" s="81">
        <f>4.0642 * CHOOSE(CONTROL!$C$32, $C$9, 100%, $E$9)</f>
        <v>4.0641999999999996</v>
      </c>
      <c r="H76" s="81">
        <f>6.6183 * CHOOSE(CONTROL!$C$32, $C$9, 100%, $E$9)</f>
        <v>6.6182999999999996</v>
      </c>
      <c r="I76" s="81">
        <f>6.6219 * CHOOSE(CONTROL!$C$32, $C$9, 100%, $E$9)</f>
        <v>6.6219000000000001</v>
      </c>
      <c r="J76" s="81">
        <f>6.6183 * CHOOSE(CONTROL!$C$32, $C$9, 100%, $E$9)</f>
        <v>6.6182999999999996</v>
      </c>
      <c r="K76" s="81">
        <f>6.6219 * CHOOSE(CONTROL!$C$32, $C$9, 100%, $E$9)</f>
        <v>6.6219000000000001</v>
      </c>
      <c r="L76" s="81">
        <f>4.0606 * CHOOSE(CONTROL!$C$32, $C$9, 100%, $E$9)</f>
        <v>4.0606</v>
      </c>
      <c r="M76" s="81">
        <f>4.0642 * CHOOSE(CONTROL!$C$32, $C$9, 100%, $E$9)</f>
        <v>4.0641999999999996</v>
      </c>
      <c r="N76" s="81">
        <f>4.0606 * CHOOSE(CONTROL!$C$32, $C$9, 100%, $E$9)</f>
        <v>4.0606</v>
      </c>
      <c r="O76" s="81">
        <f>4.0642 * CHOOSE(CONTROL!$C$32, $C$9, 100%, $E$9)</f>
        <v>4.0641999999999996</v>
      </c>
      <c r="P76" s="10"/>
      <c r="Q76" s="10"/>
      <c r="R76" s="10"/>
    </row>
    <row r="77" spans="1:18" ht="15" x14ac:dyDescent="0.2">
      <c r="A77" s="16">
        <v>43556</v>
      </c>
      <c r="B77" s="80">
        <f>3.1968 * CHOOSE(CONTROL!$C$32, $C$9, 100%, $E$9)</f>
        <v>3.1968000000000001</v>
      </c>
      <c r="C77" s="80">
        <f>3.1968 * CHOOSE(CONTROL!$C$32, $C$9, 100%, $E$9)</f>
        <v>3.1968000000000001</v>
      </c>
      <c r="D77" s="80">
        <f>3.1979 * CHOOSE(CONTROL!$C$32, $C$9, 100%, $E$9)</f>
        <v>3.1979000000000002</v>
      </c>
      <c r="E77" s="81">
        <f>4.0581 * CHOOSE(CONTROL!$C$32, $C$9, 100%, $E$9)</f>
        <v>4.0580999999999996</v>
      </c>
      <c r="F77" s="81">
        <f>4.0581 * CHOOSE(CONTROL!$C$32, $C$9, 100%, $E$9)</f>
        <v>4.0580999999999996</v>
      </c>
      <c r="G77" s="81">
        <f>4.0617 * CHOOSE(CONTROL!$C$32, $C$9, 100%, $E$9)</f>
        <v>4.0617000000000001</v>
      </c>
      <c r="H77" s="81">
        <f>6.6321 * CHOOSE(CONTROL!$C$32, $C$9, 100%, $E$9)</f>
        <v>6.6321000000000003</v>
      </c>
      <c r="I77" s="81">
        <f>6.6357 * CHOOSE(CONTROL!$C$32, $C$9, 100%, $E$9)</f>
        <v>6.6356999999999999</v>
      </c>
      <c r="J77" s="81">
        <f>6.6321 * CHOOSE(CONTROL!$C$32, $C$9, 100%, $E$9)</f>
        <v>6.6321000000000003</v>
      </c>
      <c r="K77" s="81">
        <f>6.6357 * CHOOSE(CONTROL!$C$32, $C$9, 100%, $E$9)</f>
        <v>6.6356999999999999</v>
      </c>
      <c r="L77" s="81">
        <f>4.0581 * CHOOSE(CONTROL!$C$32, $C$9, 100%, $E$9)</f>
        <v>4.0580999999999996</v>
      </c>
      <c r="M77" s="81">
        <f>4.0617 * CHOOSE(CONTROL!$C$32, $C$9, 100%, $E$9)</f>
        <v>4.0617000000000001</v>
      </c>
      <c r="N77" s="81">
        <f>4.0581 * CHOOSE(CONTROL!$C$32, $C$9, 100%, $E$9)</f>
        <v>4.0580999999999996</v>
      </c>
      <c r="O77" s="81">
        <f>4.0617 * CHOOSE(CONTROL!$C$32, $C$9, 100%, $E$9)</f>
        <v>4.0617000000000001</v>
      </c>
      <c r="P77" s="10"/>
      <c r="Q77" s="10"/>
      <c r="R77" s="10"/>
    </row>
    <row r="78" spans="1:18" ht="15" x14ac:dyDescent="0.2">
      <c r="A78" s="16">
        <v>43586</v>
      </c>
      <c r="B78" s="80">
        <f>3.1968 * CHOOSE(CONTROL!$C$32, $C$9, 100%, $E$9)</f>
        <v>3.1968000000000001</v>
      </c>
      <c r="C78" s="80">
        <f>3.1968 * CHOOSE(CONTROL!$C$32, $C$9, 100%, $E$9)</f>
        <v>3.1968000000000001</v>
      </c>
      <c r="D78" s="80">
        <f>3.1984 * CHOOSE(CONTROL!$C$32, $C$9, 100%, $E$9)</f>
        <v>3.1983999999999999</v>
      </c>
      <c r="E78" s="81">
        <f>4.0581 * CHOOSE(CONTROL!$C$32, $C$9, 100%, $E$9)</f>
        <v>4.0580999999999996</v>
      </c>
      <c r="F78" s="81">
        <f>4.0581 * CHOOSE(CONTROL!$C$32, $C$9, 100%, $E$9)</f>
        <v>4.0580999999999996</v>
      </c>
      <c r="G78" s="81">
        <f>4.0634 * CHOOSE(CONTROL!$C$32, $C$9, 100%, $E$9)</f>
        <v>4.0633999999999997</v>
      </c>
      <c r="H78" s="81">
        <f>6.6459 * CHOOSE(CONTROL!$C$32, $C$9, 100%, $E$9)</f>
        <v>6.6459000000000001</v>
      </c>
      <c r="I78" s="81">
        <f>6.6512 * CHOOSE(CONTROL!$C$32, $C$9, 100%, $E$9)</f>
        <v>6.6512000000000002</v>
      </c>
      <c r="J78" s="81">
        <f>6.6459 * CHOOSE(CONTROL!$C$32, $C$9, 100%, $E$9)</f>
        <v>6.6459000000000001</v>
      </c>
      <c r="K78" s="81">
        <f>6.6512 * CHOOSE(CONTROL!$C$32, $C$9, 100%, $E$9)</f>
        <v>6.6512000000000002</v>
      </c>
      <c r="L78" s="81">
        <f>4.0581 * CHOOSE(CONTROL!$C$32, $C$9, 100%, $E$9)</f>
        <v>4.0580999999999996</v>
      </c>
      <c r="M78" s="81">
        <f>4.0634 * CHOOSE(CONTROL!$C$32, $C$9, 100%, $E$9)</f>
        <v>4.0633999999999997</v>
      </c>
      <c r="N78" s="81">
        <f>4.0581 * CHOOSE(CONTROL!$C$32, $C$9, 100%, $E$9)</f>
        <v>4.0580999999999996</v>
      </c>
      <c r="O78" s="81">
        <f>4.0634 * CHOOSE(CONTROL!$C$32, $C$9, 100%, $E$9)</f>
        <v>4.0633999999999997</v>
      </c>
      <c r="P78" s="10"/>
      <c r="Q78" s="10"/>
      <c r="R78" s="10"/>
    </row>
    <row r="79" spans="1:18" ht="15" x14ac:dyDescent="0.2">
      <c r="A79" s="16">
        <v>43617</v>
      </c>
      <c r="B79" s="80">
        <f>3.2029 * CHOOSE(CONTROL!$C$32, $C$9, 100%, $E$9)</f>
        <v>3.2029000000000001</v>
      </c>
      <c r="C79" s="80">
        <f>3.2029 * CHOOSE(CONTROL!$C$32, $C$9, 100%, $E$9)</f>
        <v>3.2029000000000001</v>
      </c>
      <c r="D79" s="80">
        <f>3.2045 * CHOOSE(CONTROL!$C$32, $C$9, 100%, $E$9)</f>
        <v>3.2044999999999999</v>
      </c>
      <c r="E79" s="81">
        <f>4.0621 * CHOOSE(CONTROL!$C$32, $C$9, 100%, $E$9)</f>
        <v>4.0621</v>
      </c>
      <c r="F79" s="81">
        <f>4.0621 * CHOOSE(CONTROL!$C$32, $C$9, 100%, $E$9)</f>
        <v>4.0621</v>
      </c>
      <c r="G79" s="81">
        <f>4.0674 * CHOOSE(CONTROL!$C$32, $C$9, 100%, $E$9)</f>
        <v>4.0674000000000001</v>
      </c>
      <c r="H79" s="81">
        <f>6.6597 * CHOOSE(CONTROL!$C$32, $C$9, 100%, $E$9)</f>
        <v>6.6597</v>
      </c>
      <c r="I79" s="81">
        <f>6.665 * CHOOSE(CONTROL!$C$32, $C$9, 100%, $E$9)</f>
        <v>6.665</v>
      </c>
      <c r="J79" s="81">
        <f>6.6597 * CHOOSE(CONTROL!$C$32, $C$9, 100%, $E$9)</f>
        <v>6.6597</v>
      </c>
      <c r="K79" s="81">
        <f>6.665 * CHOOSE(CONTROL!$C$32, $C$9, 100%, $E$9)</f>
        <v>6.665</v>
      </c>
      <c r="L79" s="81">
        <f>4.0621 * CHOOSE(CONTROL!$C$32, $C$9, 100%, $E$9)</f>
        <v>4.0621</v>
      </c>
      <c r="M79" s="81">
        <f>4.0674 * CHOOSE(CONTROL!$C$32, $C$9, 100%, $E$9)</f>
        <v>4.0674000000000001</v>
      </c>
      <c r="N79" s="81">
        <f>4.0621 * CHOOSE(CONTROL!$C$32, $C$9, 100%, $E$9)</f>
        <v>4.0621</v>
      </c>
      <c r="O79" s="81">
        <f>4.0674 * CHOOSE(CONTROL!$C$32, $C$9, 100%, $E$9)</f>
        <v>4.0674000000000001</v>
      </c>
      <c r="P79" s="10"/>
      <c r="Q79" s="10"/>
      <c r="R79" s="10"/>
    </row>
    <row r="80" spans="1:18" ht="15" x14ac:dyDescent="0.2">
      <c r="A80" s="16">
        <v>43647</v>
      </c>
      <c r="B80" s="80">
        <f>3.243 * CHOOSE(CONTROL!$C$32, $C$9, 100%, $E$9)</f>
        <v>3.2429999999999999</v>
      </c>
      <c r="C80" s="80">
        <f>3.243 * CHOOSE(CONTROL!$C$32, $C$9, 100%, $E$9)</f>
        <v>3.2429999999999999</v>
      </c>
      <c r="D80" s="80">
        <f>3.2446 * CHOOSE(CONTROL!$C$32, $C$9, 100%, $E$9)</f>
        <v>3.2446000000000002</v>
      </c>
      <c r="E80" s="81">
        <f>4.1173 * CHOOSE(CONTROL!$C$32, $C$9, 100%, $E$9)</f>
        <v>4.1173000000000002</v>
      </c>
      <c r="F80" s="81">
        <f>4.1173 * CHOOSE(CONTROL!$C$32, $C$9, 100%, $E$9)</f>
        <v>4.1173000000000002</v>
      </c>
      <c r="G80" s="81">
        <f>4.1226 * CHOOSE(CONTROL!$C$32, $C$9, 100%, $E$9)</f>
        <v>4.1226000000000003</v>
      </c>
      <c r="H80" s="81">
        <f>6.6736 * CHOOSE(CONTROL!$C$32, $C$9, 100%, $E$9)</f>
        <v>6.6736000000000004</v>
      </c>
      <c r="I80" s="81">
        <f>6.6789 * CHOOSE(CONTROL!$C$32, $C$9, 100%, $E$9)</f>
        <v>6.6788999999999996</v>
      </c>
      <c r="J80" s="81">
        <f>6.6736 * CHOOSE(CONTROL!$C$32, $C$9, 100%, $E$9)</f>
        <v>6.6736000000000004</v>
      </c>
      <c r="K80" s="81">
        <f>6.6789 * CHOOSE(CONTROL!$C$32, $C$9, 100%, $E$9)</f>
        <v>6.6788999999999996</v>
      </c>
      <c r="L80" s="81">
        <f>4.1173 * CHOOSE(CONTROL!$C$32, $C$9, 100%, $E$9)</f>
        <v>4.1173000000000002</v>
      </c>
      <c r="M80" s="81">
        <f>4.1226 * CHOOSE(CONTROL!$C$32, $C$9, 100%, $E$9)</f>
        <v>4.1226000000000003</v>
      </c>
      <c r="N80" s="81">
        <f>4.1173 * CHOOSE(CONTROL!$C$32, $C$9, 100%, $E$9)</f>
        <v>4.1173000000000002</v>
      </c>
      <c r="O80" s="81">
        <f>4.1226 * CHOOSE(CONTROL!$C$32, $C$9, 100%, $E$9)</f>
        <v>4.1226000000000003</v>
      </c>
      <c r="P80" s="10"/>
      <c r="Q80" s="10"/>
      <c r="R80" s="10"/>
    </row>
    <row r="81" spans="1:18" ht="15" x14ac:dyDescent="0.2">
      <c r="A81" s="16">
        <v>43678</v>
      </c>
      <c r="B81" s="80">
        <f>3.2497 * CHOOSE(CONTROL!$C$32, $C$9, 100%, $E$9)</f>
        <v>3.2496999999999998</v>
      </c>
      <c r="C81" s="80">
        <f>3.2497 * CHOOSE(CONTROL!$C$32, $C$9, 100%, $E$9)</f>
        <v>3.2496999999999998</v>
      </c>
      <c r="D81" s="80">
        <f>3.2512 * CHOOSE(CONTROL!$C$32, $C$9, 100%, $E$9)</f>
        <v>3.2511999999999999</v>
      </c>
      <c r="E81" s="81">
        <f>4.1217 * CHOOSE(CONTROL!$C$32, $C$9, 100%, $E$9)</f>
        <v>4.1216999999999997</v>
      </c>
      <c r="F81" s="81">
        <f>4.1217 * CHOOSE(CONTROL!$C$32, $C$9, 100%, $E$9)</f>
        <v>4.1216999999999997</v>
      </c>
      <c r="G81" s="81">
        <f>4.127 * CHOOSE(CONTROL!$C$32, $C$9, 100%, $E$9)</f>
        <v>4.1269999999999998</v>
      </c>
      <c r="H81" s="81">
        <f>6.6875 * CHOOSE(CONTROL!$C$32, $C$9, 100%, $E$9)</f>
        <v>6.6875</v>
      </c>
      <c r="I81" s="81">
        <f>6.6928 * CHOOSE(CONTROL!$C$32, $C$9, 100%, $E$9)</f>
        <v>6.6928000000000001</v>
      </c>
      <c r="J81" s="81">
        <f>6.6875 * CHOOSE(CONTROL!$C$32, $C$9, 100%, $E$9)</f>
        <v>6.6875</v>
      </c>
      <c r="K81" s="81">
        <f>6.6928 * CHOOSE(CONTROL!$C$32, $C$9, 100%, $E$9)</f>
        <v>6.6928000000000001</v>
      </c>
      <c r="L81" s="81">
        <f>4.1217 * CHOOSE(CONTROL!$C$32, $C$9, 100%, $E$9)</f>
        <v>4.1216999999999997</v>
      </c>
      <c r="M81" s="81">
        <f>4.127 * CHOOSE(CONTROL!$C$32, $C$9, 100%, $E$9)</f>
        <v>4.1269999999999998</v>
      </c>
      <c r="N81" s="81">
        <f>4.1217 * CHOOSE(CONTROL!$C$32, $C$9, 100%, $E$9)</f>
        <v>4.1216999999999997</v>
      </c>
      <c r="O81" s="81">
        <f>4.127 * CHOOSE(CONTROL!$C$32, $C$9, 100%, $E$9)</f>
        <v>4.1269999999999998</v>
      </c>
      <c r="P81" s="10"/>
      <c r="Q81" s="10"/>
      <c r="R81" s="10"/>
    </row>
    <row r="82" spans="1:18" ht="15" x14ac:dyDescent="0.2">
      <c r="A82" s="16">
        <v>43709</v>
      </c>
      <c r="B82" s="80">
        <f>3.2466 * CHOOSE(CONTROL!$C$32, $C$9, 100%, $E$9)</f>
        <v>3.2465999999999999</v>
      </c>
      <c r="C82" s="80">
        <f>3.2466 * CHOOSE(CONTROL!$C$32, $C$9, 100%, $E$9)</f>
        <v>3.2465999999999999</v>
      </c>
      <c r="D82" s="80">
        <f>3.2482 * CHOOSE(CONTROL!$C$32, $C$9, 100%, $E$9)</f>
        <v>3.2482000000000002</v>
      </c>
      <c r="E82" s="81">
        <f>4.1197 * CHOOSE(CONTROL!$C$32, $C$9, 100%, $E$9)</f>
        <v>4.1196999999999999</v>
      </c>
      <c r="F82" s="81">
        <f>4.1197 * CHOOSE(CONTROL!$C$32, $C$9, 100%, $E$9)</f>
        <v>4.1196999999999999</v>
      </c>
      <c r="G82" s="81">
        <f>4.125 * CHOOSE(CONTROL!$C$32, $C$9, 100%, $E$9)</f>
        <v>4.125</v>
      </c>
      <c r="H82" s="81">
        <f>6.7014 * CHOOSE(CONTROL!$C$32, $C$9, 100%, $E$9)</f>
        <v>6.7013999999999996</v>
      </c>
      <c r="I82" s="81">
        <f>6.7067 * CHOOSE(CONTROL!$C$32, $C$9, 100%, $E$9)</f>
        <v>6.7066999999999997</v>
      </c>
      <c r="J82" s="81">
        <f>6.7014 * CHOOSE(CONTROL!$C$32, $C$9, 100%, $E$9)</f>
        <v>6.7013999999999996</v>
      </c>
      <c r="K82" s="81">
        <f>6.7067 * CHOOSE(CONTROL!$C$32, $C$9, 100%, $E$9)</f>
        <v>6.7066999999999997</v>
      </c>
      <c r="L82" s="81">
        <f>4.1197 * CHOOSE(CONTROL!$C$32, $C$9, 100%, $E$9)</f>
        <v>4.1196999999999999</v>
      </c>
      <c r="M82" s="81">
        <f>4.125 * CHOOSE(CONTROL!$C$32, $C$9, 100%, $E$9)</f>
        <v>4.125</v>
      </c>
      <c r="N82" s="81">
        <f>4.1197 * CHOOSE(CONTROL!$C$32, $C$9, 100%, $E$9)</f>
        <v>4.1196999999999999</v>
      </c>
      <c r="O82" s="81">
        <f>4.125 * CHOOSE(CONTROL!$C$32, $C$9, 100%, $E$9)</f>
        <v>4.125</v>
      </c>
      <c r="P82" s="10"/>
      <c r="Q82" s="10"/>
      <c r="R82" s="10"/>
    </row>
    <row r="83" spans="1:18" ht="15" x14ac:dyDescent="0.2">
      <c r="A83" s="16">
        <v>43739</v>
      </c>
      <c r="B83" s="80">
        <f>3.239 * CHOOSE(CONTROL!$C$32, $C$9, 100%, $E$9)</f>
        <v>3.2389999999999999</v>
      </c>
      <c r="C83" s="80">
        <f>3.239 * CHOOSE(CONTROL!$C$32, $C$9, 100%, $E$9)</f>
        <v>3.2389999999999999</v>
      </c>
      <c r="D83" s="80">
        <f>3.24 * CHOOSE(CONTROL!$C$32, $C$9, 100%, $E$9)</f>
        <v>3.24</v>
      </c>
      <c r="E83" s="81">
        <f>4.113 * CHOOSE(CONTROL!$C$32, $C$9, 100%, $E$9)</f>
        <v>4.1130000000000004</v>
      </c>
      <c r="F83" s="81">
        <f>4.113 * CHOOSE(CONTROL!$C$32, $C$9, 100%, $E$9)</f>
        <v>4.1130000000000004</v>
      </c>
      <c r="G83" s="81">
        <f>4.1166 * CHOOSE(CONTROL!$C$32, $C$9, 100%, $E$9)</f>
        <v>4.1166</v>
      </c>
      <c r="H83" s="81">
        <f>6.7154 * CHOOSE(CONTROL!$C$32, $C$9, 100%, $E$9)</f>
        <v>6.7153999999999998</v>
      </c>
      <c r="I83" s="81">
        <f>6.719 * CHOOSE(CONTROL!$C$32, $C$9, 100%, $E$9)</f>
        <v>6.7190000000000003</v>
      </c>
      <c r="J83" s="81">
        <f>6.7154 * CHOOSE(CONTROL!$C$32, $C$9, 100%, $E$9)</f>
        <v>6.7153999999999998</v>
      </c>
      <c r="K83" s="81">
        <f>6.719 * CHOOSE(CONTROL!$C$32, $C$9, 100%, $E$9)</f>
        <v>6.7190000000000003</v>
      </c>
      <c r="L83" s="81">
        <f>4.113 * CHOOSE(CONTROL!$C$32, $C$9, 100%, $E$9)</f>
        <v>4.1130000000000004</v>
      </c>
      <c r="M83" s="81">
        <f>4.1166 * CHOOSE(CONTROL!$C$32, $C$9, 100%, $E$9)</f>
        <v>4.1166</v>
      </c>
      <c r="N83" s="81">
        <f>4.113 * CHOOSE(CONTROL!$C$32, $C$9, 100%, $E$9)</f>
        <v>4.1130000000000004</v>
      </c>
      <c r="O83" s="81">
        <f>4.1166 * CHOOSE(CONTROL!$C$32, $C$9, 100%, $E$9)</f>
        <v>4.1166</v>
      </c>
      <c r="P83" s="10"/>
      <c r="Q83" s="10"/>
      <c r="R83" s="10"/>
    </row>
    <row r="84" spans="1:18" ht="15" x14ac:dyDescent="0.2">
      <c r="A84" s="16">
        <v>43770</v>
      </c>
      <c r="B84" s="80">
        <f>3.242 * CHOOSE(CONTROL!$C$32, $C$9, 100%, $E$9)</f>
        <v>3.242</v>
      </c>
      <c r="C84" s="80">
        <f>3.242 * CHOOSE(CONTROL!$C$32, $C$9, 100%, $E$9)</f>
        <v>3.242</v>
      </c>
      <c r="D84" s="80">
        <f>3.2431 * CHOOSE(CONTROL!$C$32, $C$9, 100%, $E$9)</f>
        <v>3.2431000000000001</v>
      </c>
      <c r="E84" s="81">
        <f>4.115 * CHOOSE(CONTROL!$C$32, $C$9, 100%, $E$9)</f>
        <v>4.1150000000000002</v>
      </c>
      <c r="F84" s="81">
        <f>4.115 * CHOOSE(CONTROL!$C$32, $C$9, 100%, $E$9)</f>
        <v>4.1150000000000002</v>
      </c>
      <c r="G84" s="81">
        <f>4.1186 * CHOOSE(CONTROL!$C$32, $C$9, 100%, $E$9)</f>
        <v>4.1185999999999998</v>
      </c>
      <c r="H84" s="81">
        <f>6.7294 * CHOOSE(CONTROL!$C$32, $C$9, 100%, $E$9)</f>
        <v>6.7294</v>
      </c>
      <c r="I84" s="81">
        <f>6.733 * CHOOSE(CONTROL!$C$32, $C$9, 100%, $E$9)</f>
        <v>6.7329999999999997</v>
      </c>
      <c r="J84" s="81">
        <f>6.7294 * CHOOSE(CONTROL!$C$32, $C$9, 100%, $E$9)</f>
        <v>6.7294</v>
      </c>
      <c r="K84" s="81">
        <f>6.733 * CHOOSE(CONTROL!$C$32, $C$9, 100%, $E$9)</f>
        <v>6.7329999999999997</v>
      </c>
      <c r="L84" s="81">
        <f>4.115 * CHOOSE(CONTROL!$C$32, $C$9, 100%, $E$9)</f>
        <v>4.1150000000000002</v>
      </c>
      <c r="M84" s="81">
        <f>4.1186 * CHOOSE(CONTROL!$C$32, $C$9, 100%, $E$9)</f>
        <v>4.1185999999999998</v>
      </c>
      <c r="N84" s="81">
        <f>4.115 * CHOOSE(CONTROL!$C$32, $C$9, 100%, $E$9)</f>
        <v>4.1150000000000002</v>
      </c>
      <c r="O84" s="81">
        <f>4.1186 * CHOOSE(CONTROL!$C$32, $C$9, 100%, $E$9)</f>
        <v>4.1185999999999998</v>
      </c>
      <c r="P84" s="10"/>
      <c r="Q84" s="10"/>
      <c r="R84" s="10"/>
    </row>
    <row r="85" spans="1:18" ht="15" x14ac:dyDescent="0.2">
      <c r="A85" s="16">
        <v>43800</v>
      </c>
      <c r="B85" s="80">
        <f>3.242 * CHOOSE(CONTROL!$C$32, $C$9, 100%, $E$9)</f>
        <v>3.242</v>
      </c>
      <c r="C85" s="80">
        <f>3.242 * CHOOSE(CONTROL!$C$32, $C$9, 100%, $E$9)</f>
        <v>3.242</v>
      </c>
      <c r="D85" s="80">
        <f>3.2431 * CHOOSE(CONTROL!$C$32, $C$9, 100%, $E$9)</f>
        <v>3.2431000000000001</v>
      </c>
      <c r="E85" s="81">
        <f>4.115 * CHOOSE(CONTROL!$C$32, $C$9, 100%, $E$9)</f>
        <v>4.1150000000000002</v>
      </c>
      <c r="F85" s="81">
        <f>4.115 * CHOOSE(CONTROL!$C$32, $C$9, 100%, $E$9)</f>
        <v>4.1150000000000002</v>
      </c>
      <c r="G85" s="81">
        <f>4.1186 * CHOOSE(CONTROL!$C$32, $C$9, 100%, $E$9)</f>
        <v>4.1185999999999998</v>
      </c>
      <c r="H85" s="81">
        <f>6.7434 * CHOOSE(CONTROL!$C$32, $C$9, 100%, $E$9)</f>
        <v>6.7434000000000003</v>
      </c>
      <c r="I85" s="81">
        <f>6.747 * CHOOSE(CONTROL!$C$32, $C$9, 100%, $E$9)</f>
        <v>6.7469999999999999</v>
      </c>
      <c r="J85" s="81">
        <f>6.7434 * CHOOSE(CONTROL!$C$32, $C$9, 100%, $E$9)</f>
        <v>6.7434000000000003</v>
      </c>
      <c r="K85" s="81">
        <f>6.747 * CHOOSE(CONTROL!$C$32, $C$9, 100%, $E$9)</f>
        <v>6.7469999999999999</v>
      </c>
      <c r="L85" s="81">
        <f>4.115 * CHOOSE(CONTROL!$C$32, $C$9, 100%, $E$9)</f>
        <v>4.1150000000000002</v>
      </c>
      <c r="M85" s="81">
        <f>4.1186 * CHOOSE(CONTROL!$C$32, $C$9, 100%, $E$9)</f>
        <v>4.1185999999999998</v>
      </c>
      <c r="N85" s="81">
        <f>4.115 * CHOOSE(CONTROL!$C$32, $C$9, 100%, $E$9)</f>
        <v>4.1150000000000002</v>
      </c>
      <c r="O85" s="81">
        <f>4.1186 * CHOOSE(CONTROL!$C$32, $C$9, 100%, $E$9)</f>
        <v>4.1185999999999998</v>
      </c>
      <c r="P85" s="10"/>
      <c r="Q85" s="10"/>
      <c r="R85" s="10"/>
    </row>
    <row r="86" spans="1:18" ht="15" x14ac:dyDescent="0.2">
      <c r="A86" s="16">
        <v>43831</v>
      </c>
      <c r="B86" s="80">
        <f>3.2675 * CHOOSE(CONTROL!$C$32, $C$9, 100%, $E$9)</f>
        <v>3.2675000000000001</v>
      </c>
      <c r="C86" s="80">
        <f>3.2675 * CHOOSE(CONTROL!$C$32, $C$9, 100%, $E$9)</f>
        <v>3.2675000000000001</v>
      </c>
      <c r="D86" s="80">
        <f>3.2686 * CHOOSE(CONTROL!$C$32, $C$9, 100%, $E$9)</f>
        <v>3.2686000000000002</v>
      </c>
      <c r="E86" s="81">
        <f>4.148 * CHOOSE(CONTROL!$C$32, $C$9, 100%, $E$9)</f>
        <v>4.1479999999999997</v>
      </c>
      <c r="F86" s="81">
        <f>4.148 * CHOOSE(CONTROL!$C$32, $C$9, 100%, $E$9)</f>
        <v>4.1479999999999997</v>
      </c>
      <c r="G86" s="81">
        <f>4.1516 * CHOOSE(CONTROL!$C$32, $C$9, 100%, $E$9)</f>
        <v>4.1516000000000002</v>
      </c>
      <c r="H86" s="81">
        <f>6.7574 * CHOOSE(CONTROL!$C$32, $C$9, 100%, $E$9)</f>
        <v>6.7573999999999996</v>
      </c>
      <c r="I86" s="81">
        <f>6.7611 * CHOOSE(CONTROL!$C$32, $C$9, 100%, $E$9)</f>
        <v>6.7610999999999999</v>
      </c>
      <c r="J86" s="81">
        <f>6.7574 * CHOOSE(CONTROL!$C$32, $C$9, 100%, $E$9)</f>
        <v>6.7573999999999996</v>
      </c>
      <c r="K86" s="81">
        <f>6.7611 * CHOOSE(CONTROL!$C$32, $C$9, 100%, $E$9)</f>
        <v>6.7610999999999999</v>
      </c>
      <c r="L86" s="81">
        <f>4.148 * CHOOSE(CONTROL!$C$32, $C$9, 100%, $E$9)</f>
        <v>4.1479999999999997</v>
      </c>
      <c r="M86" s="81">
        <f>4.1516 * CHOOSE(CONTROL!$C$32, $C$9, 100%, $E$9)</f>
        <v>4.1516000000000002</v>
      </c>
      <c r="N86" s="81">
        <f>4.148 * CHOOSE(CONTROL!$C$32, $C$9, 100%, $E$9)</f>
        <v>4.1479999999999997</v>
      </c>
      <c r="O86" s="81">
        <f>4.1516 * CHOOSE(CONTROL!$C$32, $C$9, 100%, $E$9)</f>
        <v>4.1516000000000002</v>
      </c>
      <c r="P86" s="10"/>
      <c r="Q86" s="10"/>
      <c r="R86" s="10"/>
    </row>
    <row r="87" spans="1:18" ht="15" x14ac:dyDescent="0.2">
      <c r="A87" s="16">
        <v>43862</v>
      </c>
      <c r="B87" s="80">
        <f>3.2644 * CHOOSE(CONTROL!$C$32, $C$9, 100%, $E$9)</f>
        <v>3.2644000000000002</v>
      </c>
      <c r="C87" s="80">
        <f>3.2644 * CHOOSE(CONTROL!$C$32, $C$9, 100%, $E$9)</f>
        <v>3.2644000000000002</v>
      </c>
      <c r="D87" s="80">
        <f>3.2655 * CHOOSE(CONTROL!$C$32, $C$9, 100%, $E$9)</f>
        <v>3.2654999999999998</v>
      </c>
      <c r="E87" s="81">
        <f>4.146 * CHOOSE(CONTROL!$C$32, $C$9, 100%, $E$9)</f>
        <v>4.1459999999999999</v>
      </c>
      <c r="F87" s="81">
        <f>4.146 * CHOOSE(CONTROL!$C$32, $C$9, 100%, $E$9)</f>
        <v>4.1459999999999999</v>
      </c>
      <c r="G87" s="81">
        <f>4.1496 * CHOOSE(CONTROL!$C$32, $C$9, 100%, $E$9)</f>
        <v>4.1496000000000004</v>
      </c>
      <c r="H87" s="81">
        <f>6.7715 * CHOOSE(CONTROL!$C$32, $C$9, 100%, $E$9)</f>
        <v>6.7714999999999996</v>
      </c>
      <c r="I87" s="81">
        <f>6.7751 * CHOOSE(CONTROL!$C$32, $C$9, 100%, $E$9)</f>
        <v>6.7751000000000001</v>
      </c>
      <c r="J87" s="81">
        <f>6.7715 * CHOOSE(CONTROL!$C$32, $C$9, 100%, $E$9)</f>
        <v>6.7714999999999996</v>
      </c>
      <c r="K87" s="81">
        <f>6.7751 * CHOOSE(CONTROL!$C$32, $C$9, 100%, $E$9)</f>
        <v>6.7751000000000001</v>
      </c>
      <c r="L87" s="81">
        <f>4.146 * CHOOSE(CONTROL!$C$32, $C$9, 100%, $E$9)</f>
        <v>4.1459999999999999</v>
      </c>
      <c r="M87" s="81">
        <f>4.1496 * CHOOSE(CONTROL!$C$32, $C$9, 100%, $E$9)</f>
        <v>4.1496000000000004</v>
      </c>
      <c r="N87" s="81">
        <f>4.146 * CHOOSE(CONTROL!$C$32, $C$9, 100%, $E$9)</f>
        <v>4.1459999999999999</v>
      </c>
      <c r="O87" s="81">
        <f>4.1496 * CHOOSE(CONTROL!$C$32, $C$9, 100%, $E$9)</f>
        <v>4.1496000000000004</v>
      </c>
      <c r="P87" s="10"/>
      <c r="Q87" s="10"/>
      <c r="R87" s="10"/>
    </row>
    <row r="88" spans="1:18" ht="15" x14ac:dyDescent="0.2">
      <c r="A88" s="16">
        <v>43891</v>
      </c>
      <c r="B88" s="80">
        <f>3.2614 * CHOOSE(CONTROL!$C$32, $C$9, 100%, $E$9)</f>
        <v>3.2614000000000001</v>
      </c>
      <c r="C88" s="80">
        <f>3.2614 * CHOOSE(CONTROL!$C$32, $C$9, 100%, $E$9)</f>
        <v>3.2614000000000001</v>
      </c>
      <c r="D88" s="80">
        <f>3.2625 * CHOOSE(CONTROL!$C$32, $C$9, 100%, $E$9)</f>
        <v>3.2625000000000002</v>
      </c>
      <c r="E88" s="81">
        <f>4.144 * CHOOSE(CONTROL!$C$32, $C$9, 100%, $E$9)</f>
        <v>4.1440000000000001</v>
      </c>
      <c r="F88" s="81">
        <f>4.144 * CHOOSE(CONTROL!$C$32, $C$9, 100%, $E$9)</f>
        <v>4.1440000000000001</v>
      </c>
      <c r="G88" s="81">
        <f>4.1476 * CHOOSE(CONTROL!$C$32, $C$9, 100%, $E$9)</f>
        <v>4.1475999999999997</v>
      </c>
      <c r="H88" s="81">
        <f>6.7856 * CHOOSE(CONTROL!$C$32, $C$9, 100%, $E$9)</f>
        <v>6.7855999999999996</v>
      </c>
      <c r="I88" s="81">
        <f>6.7892 * CHOOSE(CONTROL!$C$32, $C$9, 100%, $E$9)</f>
        <v>6.7892000000000001</v>
      </c>
      <c r="J88" s="81">
        <f>6.7856 * CHOOSE(CONTROL!$C$32, $C$9, 100%, $E$9)</f>
        <v>6.7855999999999996</v>
      </c>
      <c r="K88" s="81">
        <f>6.7892 * CHOOSE(CONTROL!$C$32, $C$9, 100%, $E$9)</f>
        <v>6.7892000000000001</v>
      </c>
      <c r="L88" s="81">
        <f>4.144 * CHOOSE(CONTROL!$C$32, $C$9, 100%, $E$9)</f>
        <v>4.1440000000000001</v>
      </c>
      <c r="M88" s="81">
        <f>4.1476 * CHOOSE(CONTROL!$C$32, $C$9, 100%, $E$9)</f>
        <v>4.1475999999999997</v>
      </c>
      <c r="N88" s="81">
        <f>4.144 * CHOOSE(CONTROL!$C$32, $C$9, 100%, $E$9)</f>
        <v>4.1440000000000001</v>
      </c>
      <c r="O88" s="81">
        <f>4.1476 * CHOOSE(CONTROL!$C$32, $C$9, 100%, $E$9)</f>
        <v>4.1475999999999997</v>
      </c>
      <c r="P88" s="10"/>
      <c r="Q88" s="10"/>
      <c r="R88" s="10"/>
    </row>
    <row r="89" spans="1:18" ht="15" x14ac:dyDescent="0.2">
      <c r="A89" s="16">
        <v>43922</v>
      </c>
      <c r="B89" s="80">
        <f>3.2584 * CHOOSE(CONTROL!$C$32, $C$9, 100%, $E$9)</f>
        <v>3.2584</v>
      </c>
      <c r="C89" s="80">
        <f>3.2584 * CHOOSE(CONTROL!$C$32, $C$9, 100%, $E$9)</f>
        <v>3.2584</v>
      </c>
      <c r="D89" s="80">
        <f>3.2594 * CHOOSE(CONTROL!$C$32, $C$9, 100%, $E$9)</f>
        <v>3.2593999999999999</v>
      </c>
      <c r="E89" s="81">
        <f>4.1415 * CHOOSE(CONTROL!$C$32, $C$9, 100%, $E$9)</f>
        <v>4.1414999999999997</v>
      </c>
      <c r="F89" s="81">
        <f>4.1415 * CHOOSE(CONTROL!$C$32, $C$9, 100%, $E$9)</f>
        <v>4.1414999999999997</v>
      </c>
      <c r="G89" s="81">
        <f>4.1451 * CHOOSE(CONTROL!$C$32, $C$9, 100%, $E$9)</f>
        <v>4.1451000000000002</v>
      </c>
      <c r="H89" s="81">
        <f>6.7998 * CHOOSE(CONTROL!$C$32, $C$9, 100%, $E$9)</f>
        <v>6.7998000000000003</v>
      </c>
      <c r="I89" s="81">
        <f>6.8034 * CHOOSE(CONTROL!$C$32, $C$9, 100%, $E$9)</f>
        <v>6.8033999999999999</v>
      </c>
      <c r="J89" s="81">
        <f>6.7998 * CHOOSE(CONTROL!$C$32, $C$9, 100%, $E$9)</f>
        <v>6.7998000000000003</v>
      </c>
      <c r="K89" s="81">
        <f>6.8034 * CHOOSE(CONTROL!$C$32, $C$9, 100%, $E$9)</f>
        <v>6.8033999999999999</v>
      </c>
      <c r="L89" s="81">
        <f>4.1415 * CHOOSE(CONTROL!$C$32, $C$9, 100%, $E$9)</f>
        <v>4.1414999999999997</v>
      </c>
      <c r="M89" s="81">
        <f>4.1451 * CHOOSE(CONTROL!$C$32, $C$9, 100%, $E$9)</f>
        <v>4.1451000000000002</v>
      </c>
      <c r="N89" s="81">
        <f>4.1415 * CHOOSE(CONTROL!$C$32, $C$9, 100%, $E$9)</f>
        <v>4.1414999999999997</v>
      </c>
      <c r="O89" s="81">
        <f>4.1451 * CHOOSE(CONTROL!$C$32, $C$9, 100%, $E$9)</f>
        <v>4.1451000000000002</v>
      </c>
      <c r="P89" s="10"/>
      <c r="Q89" s="10"/>
      <c r="R89" s="10"/>
    </row>
    <row r="90" spans="1:18" ht="15" x14ac:dyDescent="0.2">
      <c r="A90" s="16">
        <v>43952</v>
      </c>
      <c r="B90" s="80">
        <f>3.2584 * CHOOSE(CONTROL!$C$32, $C$9, 100%, $E$9)</f>
        <v>3.2584</v>
      </c>
      <c r="C90" s="80">
        <f>3.2584 * CHOOSE(CONTROL!$C$32, $C$9, 100%, $E$9)</f>
        <v>3.2584</v>
      </c>
      <c r="D90" s="80">
        <f>3.2599 * CHOOSE(CONTROL!$C$32, $C$9, 100%, $E$9)</f>
        <v>3.2599</v>
      </c>
      <c r="E90" s="81">
        <f>4.1415 * CHOOSE(CONTROL!$C$32, $C$9, 100%, $E$9)</f>
        <v>4.1414999999999997</v>
      </c>
      <c r="F90" s="81">
        <f>4.1415 * CHOOSE(CONTROL!$C$32, $C$9, 100%, $E$9)</f>
        <v>4.1414999999999997</v>
      </c>
      <c r="G90" s="81">
        <f>4.1468 * CHOOSE(CONTROL!$C$32, $C$9, 100%, $E$9)</f>
        <v>4.1467999999999998</v>
      </c>
      <c r="H90" s="81">
        <f>6.8139 * CHOOSE(CONTROL!$C$32, $C$9, 100%, $E$9)</f>
        <v>6.8139000000000003</v>
      </c>
      <c r="I90" s="81">
        <f>6.8192 * CHOOSE(CONTROL!$C$32, $C$9, 100%, $E$9)</f>
        <v>6.8192000000000004</v>
      </c>
      <c r="J90" s="81">
        <f>6.8139 * CHOOSE(CONTROL!$C$32, $C$9, 100%, $E$9)</f>
        <v>6.8139000000000003</v>
      </c>
      <c r="K90" s="81">
        <f>6.8192 * CHOOSE(CONTROL!$C$32, $C$9, 100%, $E$9)</f>
        <v>6.8192000000000004</v>
      </c>
      <c r="L90" s="81">
        <f>4.1415 * CHOOSE(CONTROL!$C$32, $C$9, 100%, $E$9)</f>
        <v>4.1414999999999997</v>
      </c>
      <c r="M90" s="81">
        <f>4.1468 * CHOOSE(CONTROL!$C$32, $C$9, 100%, $E$9)</f>
        <v>4.1467999999999998</v>
      </c>
      <c r="N90" s="81">
        <f>4.1415 * CHOOSE(CONTROL!$C$32, $C$9, 100%, $E$9)</f>
        <v>4.1414999999999997</v>
      </c>
      <c r="O90" s="81">
        <f>4.1468 * CHOOSE(CONTROL!$C$32, $C$9, 100%, $E$9)</f>
        <v>4.1467999999999998</v>
      </c>
      <c r="P90" s="10"/>
      <c r="Q90" s="10"/>
      <c r="R90" s="10"/>
    </row>
    <row r="91" spans="1:18" ht="15" x14ac:dyDescent="0.2">
      <c r="A91" s="16">
        <v>43983</v>
      </c>
      <c r="B91" s="80">
        <f>3.2644 * CHOOSE(CONTROL!$C$32, $C$9, 100%, $E$9)</f>
        <v>3.2644000000000002</v>
      </c>
      <c r="C91" s="80">
        <f>3.2644 * CHOOSE(CONTROL!$C$32, $C$9, 100%, $E$9)</f>
        <v>3.2644000000000002</v>
      </c>
      <c r="D91" s="80">
        <f>3.266 * CHOOSE(CONTROL!$C$32, $C$9, 100%, $E$9)</f>
        <v>3.266</v>
      </c>
      <c r="E91" s="81">
        <f>4.1455 * CHOOSE(CONTROL!$C$32, $C$9, 100%, $E$9)</f>
        <v>4.1455000000000002</v>
      </c>
      <c r="F91" s="81">
        <f>4.1455 * CHOOSE(CONTROL!$C$32, $C$9, 100%, $E$9)</f>
        <v>4.1455000000000002</v>
      </c>
      <c r="G91" s="81">
        <f>4.1508 * CHOOSE(CONTROL!$C$32, $C$9, 100%, $E$9)</f>
        <v>4.1508000000000003</v>
      </c>
      <c r="H91" s="81">
        <f>6.8281 * CHOOSE(CONTROL!$C$32, $C$9, 100%, $E$9)</f>
        <v>6.8281000000000001</v>
      </c>
      <c r="I91" s="81">
        <f>6.8334 * CHOOSE(CONTROL!$C$32, $C$9, 100%, $E$9)</f>
        <v>6.8334000000000001</v>
      </c>
      <c r="J91" s="81">
        <f>6.8281 * CHOOSE(CONTROL!$C$32, $C$9, 100%, $E$9)</f>
        <v>6.8281000000000001</v>
      </c>
      <c r="K91" s="81">
        <f>6.8334 * CHOOSE(CONTROL!$C$32, $C$9, 100%, $E$9)</f>
        <v>6.8334000000000001</v>
      </c>
      <c r="L91" s="81">
        <f>4.1455 * CHOOSE(CONTROL!$C$32, $C$9, 100%, $E$9)</f>
        <v>4.1455000000000002</v>
      </c>
      <c r="M91" s="81">
        <f>4.1508 * CHOOSE(CONTROL!$C$32, $C$9, 100%, $E$9)</f>
        <v>4.1508000000000003</v>
      </c>
      <c r="N91" s="81">
        <f>4.1455 * CHOOSE(CONTROL!$C$32, $C$9, 100%, $E$9)</f>
        <v>4.1455000000000002</v>
      </c>
      <c r="O91" s="81">
        <f>4.1508 * CHOOSE(CONTROL!$C$32, $C$9, 100%, $E$9)</f>
        <v>4.1508000000000003</v>
      </c>
      <c r="P91" s="10"/>
      <c r="Q91" s="10"/>
      <c r="R91" s="10"/>
    </row>
    <row r="92" spans="1:18" ht="15" x14ac:dyDescent="0.2">
      <c r="A92" s="16">
        <v>44013</v>
      </c>
      <c r="B92" s="80">
        <f>3.3098 * CHOOSE(CONTROL!$C$32, $C$9, 100%, $E$9)</f>
        <v>3.3098000000000001</v>
      </c>
      <c r="C92" s="80">
        <f>3.3098 * CHOOSE(CONTROL!$C$32, $C$9, 100%, $E$9)</f>
        <v>3.3098000000000001</v>
      </c>
      <c r="D92" s="80">
        <f>3.3114 * CHOOSE(CONTROL!$C$32, $C$9, 100%, $E$9)</f>
        <v>3.3113999999999999</v>
      </c>
      <c r="E92" s="81">
        <f>4.2176 * CHOOSE(CONTROL!$C$32, $C$9, 100%, $E$9)</f>
        <v>4.2176</v>
      </c>
      <c r="F92" s="81">
        <f>4.2176 * CHOOSE(CONTROL!$C$32, $C$9, 100%, $E$9)</f>
        <v>4.2176</v>
      </c>
      <c r="G92" s="81">
        <f>4.2229 * CHOOSE(CONTROL!$C$32, $C$9, 100%, $E$9)</f>
        <v>4.2229000000000001</v>
      </c>
      <c r="H92" s="81">
        <f>6.8424 * CHOOSE(CONTROL!$C$32, $C$9, 100%, $E$9)</f>
        <v>6.8423999999999996</v>
      </c>
      <c r="I92" s="81">
        <f>6.8476 * CHOOSE(CONTROL!$C$32, $C$9, 100%, $E$9)</f>
        <v>6.8475999999999999</v>
      </c>
      <c r="J92" s="81">
        <f>6.8424 * CHOOSE(CONTROL!$C$32, $C$9, 100%, $E$9)</f>
        <v>6.8423999999999996</v>
      </c>
      <c r="K92" s="81">
        <f>6.8476 * CHOOSE(CONTROL!$C$32, $C$9, 100%, $E$9)</f>
        <v>6.8475999999999999</v>
      </c>
      <c r="L92" s="81">
        <f>4.2176 * CHOOSE(CONTROL!$C$32, $C$9, 100%, $E$9)</f>
        <v>4.2176</v>
      </c>
      <c r="M92" s="81">
        <f>4.2229 * CHOOSE(CONTROL!$C$32, $C$9, 100%, $E$9)</f>
        <v>4.2229000000000001</v>
      </c>
      <c r="N92" s="81">
        <f>4.2176 * CHOOSE(CONTROL!$C$32, $C$9, 100%, $E$9)</f>
        <v>4.2176</v>
      </c>
      <c r="O92" s="81">
        <f>4.2229 * CHOOSE(CONTROL!$C$32, $C$9, 100%, $E$9)</f>
        <v>4.2229000000000001</v>
      </c>
      <c r="P92" s="10"/>
      <c r="Q92" s="10"/>
      <c r="R92" s="10"/>
    </row>
    <row r="93" spans="1:18" ht="15" x14ac:dyDescent="0.2">
      <c r="A93" s="16">
        <v>44044</v>
      </c>
      <c r="B93" s="80">
        <f>3.3165 * CHOOSE(CONTROL!$C$32, $C$9, 100%, $E$9)</f>
        <v>3.3165</v>
      </c>
      <c r="C93" s="80">
        <f>3.3165 * CHOOSE(CONTROL!$C$32, $C$9, 100%, $E$9)</f>
        <v>3.3165</v>
      </c>
      <c r="D93" s="80">
        <f>3.3181 * CHOOSE(CONTROL!$C$32, $C$9, 100%, $E$9)</f>
        <v>3.3180999999999998</v>
      </c>
      <c r="E93" s="81">
        <f>4.222 * CHOOSE(CONTROL!$C$32, $C$9, 100%, $E$9)</f>
        <v>4.2220000000000004</v>
      </c>
      <c r="F93" s="81">
        <f>4.222 * CHOOSE(CONTROL!$C$32, $C$9, 100%, $E$9)</f>
        <v>4.2220000000000004</v>
      </c>
      <c r="G93" s="81">
        <f>4.2273 * CHOOSE(CONTROL!$C$32, $C$9, 100%, $E$9)</f>
        <v>4.2272999999999996</v>
      </c>
      <c r="H93" s="81">
        <f>6.8566 * CHOOSE(CONTROL!$C$32, $C$9, 100%, $E$9)</f>
        <v>6.8566000000000003</v>
      </c>
      <c r="I93" s="81">
        <f>6.8619 * CHOOSE(CONTROL!$C$32, $C$9, 100%, $E$9)</f>
        <v>6.8619000000000003</v>
      </c>
      <c r="J93" s="81">
        <f>6.8566 * CHOOSE(CONTROL!$C$32, $C$9, 100%, $E$9)</f>
        <v>6.8566000000000003</v>
      </c>
      <c r="K93" s="81">
        <f>6.8619 * CHOOSE(CONTROL!$C$32, $C$9, 100%, $E$9)</f>
        <v>6.8619000000000003</v>
      </c>
      <c r="L93" s="81">
        <f>4.222 * CHOOSE(CONTROL!$C$32, $C$9, 100%, $E$9)</f>
        <v>4.2220000000000004</v>
      </c>
      <c r="M93" s="81">
        <f>4.2273 * CHOOSE(CONTROL!$C$32, $C$9, 100%, $E$9)</f>
        <v>4.2272999999999996</v>
      </c>
      <c r="N93" s="81">
        <f>4.222 * CHOOSE(CONTROL!$C$32, $C$9, 100%, $E$9)</f>
        <v>4.2220000000000004</v>
      </c>
      <c r="O93" s="81">
        <f>4.2273 * CHOOSE(CONTROL!$C$32, $C$9, 100%, $E$9)</f>
        <v>4.2272999999999996</v>
      </c>
      <c r="P93" s="10"/>
      <c r="Q93" s="10"/>
      <c r="R93" s="10"/>
    </row>
    <row r="94" spans="1:18" ht="15" x14ac:dyDescent="0.2">
      <c r="A94" s="16">
        <v>44075</v>
      </c>
      <c r="B94" s="80">
        <f>3.3135 * CHOOSE(CONTROL!$C$32, $C$9, 100%, $E$9)</f>
        <v>3.3134999999999999</v>
      </c>
      <c r="C94" s="80">
        <f>3.3135 * CHOOSE(CONTROL!$C$32, $C$9, 100%, $E$9)</f>
        <v>3.3134999999999999</v>
      </c>
      <c r="D94" s="80">
        <f>3.3151 * CHOOSE(CONTROL!$C$32, $C$9, 100%, $E$9)</f>
        <v>3.3151000000000002</v>
      </c>
      <c r="E94" s="81">
        <f>4.22 * CHOOSE(CONTROL!$C$32, $C$9, 100%, $E$9)</f>
        <v>4.22</v>
      </c>
      <c r="F94" s="81">
        <f>4.22 * CHOOSE(CONTROL!$C$32, $C$9, 100%, $E$9)</f>
        <v>4.22</v>
      </c>
      <c r="G94" s="81">
        <f>4.2253 * CHOOSE(CONTROL!$C$32, $C$9, 100%, $E$9)</f>
        <v>4.2252999999999998</v>
      </c>
      <c r="H94" s="81">
        <f>6.8709 * CHOOSE(CONTROL!$C$32, $C$9, 100%, $E$9)</f>
        <v>6.8708999999999998</v>
      </c>
      <c r="I94" s="81">
        <f>6.8762 * CHOOSE(CONTROL!$C$32, $C$9, 100%, $E$9)</f>
        <v>6.8761999999999999</v>
      </c>
      <c r="J94" s="81">
        <f>6.8709 * CHOOSE(CONTROL!$C$32, $C$9, 100%, $E$9)</f>
        <v>6.8708999999999998</v>
      </c>
      <c r="K94" s="81">
        <f>6.8762 * CHOOSE(CONTROL!$C$32, $C$9, 100%, $E$9)</f>
        <v>6.8761999999999999</v>
      </c>
      <c r="L94" s="81">
        <f>4.22 * CHOOSE(CONTROL!$C$32, $C$9, 100%, $E$9)</f>
        <v>4.22</v>
      </c>
      <c r="M94" s="81">
        <f>4.2253 * CHOOSE(CONTROL!$C$32, $C$9, 100%, $E$9)</f>
        <v>4.2252999999999998</v>
      </c>
      <c r="N94" s="81">
        <f>4.22 * CHOOSE(CONTROL!$C$32, $C$9, 100%, $E$9)</f>
        <v>4.22</v>
      </c>
      <c r="O94" s="81">
        <f>4.2253 * CHOOSE(CONTROL!$C$32, $C$9, 100%, $E$9)</f>
        <v>4.2252999999999998</v>
      </c>
      <c r="P94" s="10"/>
      <c r="Q94" s="10"/>
      <c r="R94" s="10"/>
    </row>
    <row r="95" spans="1:18" ht="15" x14ac:dyDescent="0.2">
      <c r="A95" s="16">
        <v>44105</v>
      </c>
      <c r="B95" s="80">
        <f>3.3061 * CHOOSE(CONTROL!$C$32, $C$9, 100%, $E$9)</f>
        <v>3.3060999999999998</v>
      </c>
      <c r="C95" s="80">
        <f>3.3061 * CHOOSE(CONTROL!$C$32, $C$9, 100%, $E$9)</f>
        <v>3.3060999999999998</v>
      </c>
      <c r="D95" s="80">
        <f>3.3072 * CHOOSE(CONTROL!$C$32, $C$9, 100%, $E$9)</f>
        <v>3.3071999999999999</v>
      </c>
      <c r="E95" s="81">
        <f>4.2135 * CHOOSE(CONTROL!$C$32, $C$9, 100%, $E$9)</f>
        <v>4.2134999999999998</v>
      </c>
      <c r="F95" s="81">
        <f>4.2135 * CHOOSE(CONTROL!$C$32, $C$9, 100%, $E$9)</f>
        <v>4.2134999999999998</v>
      </c>
      <c r="G95" s="81">
        <f>4.2171 * CHOOSE(CONTROL!$C$32, $C$9, 100%, $E$9)</f>
        <v>4.2171000000000003</v>
      </c>
      <c r="H95" s="81">
        <f>6.8852 * CHOOSE(CONTROL!$C$32, $C$9, 100%, $E$9)</f>
        <v>6.8852000000000002</v>
      </c>
      <c r="I95" s="81">
        <f>6.8888 * CHOOSE(CONTROL!$C$32, $C$9, 100%, $E$9)</f>
        <v>6.8887999999999998</v>
      </c>
      <c r="J95" s="81">
        <f>6.8852 * CHOOSE(CONTROL!$C$32, $C$9, 100%, $E$9)</f>
        <v>6.8852000000000002</v>
      </c>
      <c r="K95" s="81">
        <f>6.8888 * CHOOSE(CONTROL!$C$32, $C$9, 100%, $E$9)</f>
        <v>6.8887999999999998</v>
      </c>
      <c r="L95" s="81">
        <f>4.2135 * CHOOSE(CONTROL!$C$32, $C$9, 100%, $E$9)</f>
        <v>4.2134999999999998</v>
      </c>
      <c r="M95" s="81">
        <f>4.2171 * CHOOSE(CONTROL!$C$32, $C$9, 100%, $E$9)</f>
        <v>4.2171000000000003</v>
      </c>
      <c r="N95" s="81">
        <f>4.2135 * CHOOSE(CONTROL!$C$32, $C$9, 100%, $E$9)</f>
        <v>4.2134999999999998</v>
      </c>
      <c r="O95" s="81">
        <f>4.2171 * CHOOSE(CONTROL!$C$32, $C$9, 100%, $E$9)</f>
        <v>4.2171000000000003</v>
      </c>
      <c r="P95" s="10"/>
      <c r="Q95" s="10"/>
      <c r="R95" s="10"/>
    </row>
    <row r="96" spans="1:18" ht="15" x14ac:dyDescent="0.2">
      <c r="A96" s="16">
        <v>44136</v>
      </c>
      <c r="B96" s="80">
        <f>3.3092 * CHOOSE(CONTROL!$C$32, $C$9, 100%, $E$9)</f>
        <v>3.3092000000000001</v>
      </c>
      <c r="C96" s="80">
        <f>3.3092 * CHOOSE(CONTROL!$C$32, $C$9, 100%, $E$9)</f>
        <v>3.3092000000000001</v>
      </c>
      <c r="D96" s="80">
        <f>3.3103 * CHOOSE(CONTROL!$C$32, $C$9, 100%, $E$9)</f>
        <v>3.3102999999999998</v>
      </c>
      <c r="E96" s="81">
        <f>4.2155 * CHOOSE(CONTROL!$C$32, $C$9, 100%, $E$9)</f>
        <v>4.2154999999999996</v>
      </c>
      <c r="F96" s="81">
        <f>4.2155 * CHOOSE(CONTROL!$C$32, $C$9, 100%, $E$9)</f>
        <v>4.2154999999999996</v>
      </c>
      <c r="G96" s="81">
        <f>4.2191 * CHOOSE(CONTROL!$C$32, $C$9, 100%, $E$9)</f>
        <v>4.2191000000000001</v>
      </c>
      <c r="H96" s="81">
        <f>6.8996 * CHOOSE(CONTROL!$C$32, $C$9, 100%, $E$9)</f>
        <v>6.8996000000000004</v>
      </c>
      <c r="I96" s="81">
        <f>6.9032 * CHOOSE(CONTROL!$C$32, $C$9, 100%, $E$9)</f>
        <v>6.9032</v>
      </c>
      <c r="J96" s="81">
        <f>6.8996 * CHOOSE(CONTROL!$C$32, $C$9, 100%, $E$9)</f>
        <v>6.8996000000000004</v>
      </c>
      <c r="K96" s="81">
        <f>6.9032 * CHOOSE(CONTROL!$C$32, $C$9, 100%, $E$9)</f>
        <v>6.9032</v>
      </c>
      <c r="L96" s="81">
        <f>4.2155 * CHOOSE(CONTROL!$C$32, $C$9, 100%, $E$9)</f>
        <v>4.2154999999999996</v>
      </c>
      <c r="M96" s="81">
        <f>4.2191 * CHOOSE(CONTROL!$C$32, $C$9, 100%, $E$9)</f>
        <v>4.2191000000000001</v>
      </c>
      <c r="N96" s="81">
        <f>4.2155 * CHOOSE(CONTROL!$C$32, $C$9, 100%, $E$9)</f>
        <v>4.2154999999999996</v>
      </c>
      <c r="O96" s="81">
        <f>4.2191 * CHOOSE(CONTROL!$C$32, $C$9, 100%, $E$9)</f>
        <v>4.2191000000000001</v>
      </c>
      <c r="P96" s="10"/>
      <c r="Q96" s="10"/>
      <c r="R96" s="10"/>
    </row>
    <row r="97" spans="1:18" ht="15" x14ac:dyDescent="0.2">
      <c r="A97" s="16">
        <v>44166</v>
      </c>
      <c r="B97" s="80">
        <f>3.3092 * CHOOSE(CONTROL!$C$32, $C$9, 100%, $E$9)</f>
        <v>3.3092000000000001</v>
      </c>
      <c r="C97" s="80">
        <f>3.3092 * CHOOSE(CONTROL!$C$32, $C$9, 100%, $E$9)</f>
        <v>3.3092000000000001</v>
      </c>
      <c r="D97" s="80">
        <f>3.3103 * CHOOSE(CONTROL!$C$32, $C$9, 100%, $E$9)</f>
        <v>3.3102999999999998</v>
      </c>
      <c r="E97" s="81">
        <f>4.2155 * CHOOSE(CONTROL!$C$32, $C$9, 100%, $E$9)</f>
        <v>4.2154999999999996</v>
      </c>
      <c r="F97" s="81">
        <f>4.2155 * CHOOSE(CONTROL!$C$32, $C$9, 100%, $E$9)</f>
        <v>4.2154999999999996</v>
      </c>
      <c r="G97" s="81">
        <f>4.2191 * CHOOSE(CONTROL!$C$32, $C$9, 100%, $E$9)</f>
        <v>4.2191000000000001</v>
      </c>
      <c r="H97" s="81">
        <f>6.9139 * CHOOSE(CONTROL!$C$32, $C$9, 100%, $E$9)</f>
        <v>6.9138999999999999</v>
      </c>
      <c r="I97" s="81">
        <f>6.9175 * CHOOSE(CONTROL!$C$32, $C$9, 100%, $E$9)</f>
        <v>6.9175000000000004</v>
      </c>
      <c r="J97" s="81">
        <f>6.9139 * CHOOSE(CONTROL!$C$32, $C$9, 100%, $E$9)</f>
        <v>6.9138999999999999</v>
      </c>
      <c r="K97" s="81">
        <f>6.9175 * CHOOSE(CONTROL!$C$32, $C$9, 100%, $E$9)</f>
        <v>6.9175000000000004</v>
      </c>
      <c r="L97" s="81">
        <f>4.2155 * CHOOSE(CONTROL!$C$32, $C$9, 100%, $E$9)</f>
        <v>4.2154999999999996</v>
      </c>
      <c r="M97" s="81">
        <f>4.2191 * CHOOSE(CONTROL!$C$32, $C$9, 100%, $E$9)</f>
        <v>4.2191000000000001</v>
      </c>
      <c r="N97" s="81">
        <f>4.2155 * CHOOSE(CONTROL!$C$32, $C$9, 100%, $E$9)</f>
        <v>4.2154999999999996</v>
      </c>
      <c r="O97" s="81">
        <f>4.2191 * CHOOSE(CONTROL!$C$32, $C$9, 100%, $E$9)</f>
        <v>4.2191000000000001</v>
      </c>
      <c r="P97" s="10"/>
      <c r="Q97" s="10"/>
      <c r="R97" s="10"/>
    </row>
    <row r="98" spans="1:18" ht="15" x14ac:dyDescent="0.2">
      <c r="A98" s="16">
        <v>44197</v>
      </c>
      <c r="B98" s="80">
        <f>3.3407 * CHOOSE(CONTROL!$C$32, $C$9, 100%, $E$9)</f>
        <v>3.3407</v>
      </c>
      <c r="C98" s="80">
        <f>3.3407 * CHOOSE(CONTROL!$C$32, $C$9, 100%, $E$9)</f>
        <v>3.3407</v>
      </c>
      <c r="D98" s="80">
        <f>3.3417 * CHOOSE(CONTROL!$C$32, $C$9, 100%, $E$9)</f>
        <v>3.3416999999999999</v>
      </c>
      <c r="E98" s="81">
        <f>4.2457 * CHOOSE(CONTROL!$C$32, $C$9, 100%, $E$9)</f>
        <v>4.2457000000000003</v>
      </c>
      <c r="F98" s="81">
        <f>4.2457 * CHOOSE(CONTROL!$C$32, $C$9, 100%, $E$9)</f>
        <v>4.2457000000000003</v>
      </c>
      <c r="G98" s="81">
        <f>4.2494 * CHOOSE(CONTROL!$C$32, $C$9, 100%, $E$9)</f>
        <v>4.2493999999999996</v>
      </c>
      <c r="H98" s="81">
        <f>6.9283 * CHOOSE(CONTROL!$C$32, $C$9, 100%, $E$9)</f>
        <v>6.9283000000000001</v>
      </c>
      <c r="I98" s="81">
        <f>6.9319 * CHOOSE(CONTROL!$C$32, $C$9, 100%, $E$9)</f>
        <v>6.9318999999999997</v>
      </c>
      <c r="J98" s="81">
        <f>6.9283 * CHOOSE(CONTROL!$C$32, $C$9, 100%, $E$9)</f>
        <v>6.9283000000000001</v>
      </c>
      <c r="K98" s="81">
        <f>6.9319 * CHOOSE(CONTROL!$C$32, $C$9, 100%, $E$9)</f>
        <v>6.9318999999999997</v>
      </c>
      <c r="L98" s="81">
        <f>4.2457 * CHOOSE(CONTROL!$C$32, $C$9, 100%, $E$9)</f>
        <v>4.2457000000000003</v>
      </c>
      <c r="M98" s="81">
        <f>4.2494 * CHOOSE(CONTROL!$C$32, $C$9, 100%, $E$9)</f>
        <v>4.2493999999999996</v>
      </c>
      <c r="N98" s="81">
        <f>4.2457 * CHOOSE(CONTROL!$C$32, $C$9, 100%, $E$9)</f>
        <v>4.2457000000000003</v>
      </c>
      <c r="O98" s="81">
        <f>4.2494 * CHOOSE(CONTROL!$C$32, $C$9, 100%, $E$9)</f>
        <v>4.2493999999999996</v>
      </c>
      <c r="P98" s="10"/>
      <c r="Q98" s="10"/>
      <c r="R98" s="10"/>
    </row>
    <row r="99" spans="1:18" ht="15" x14ac:dyDescent="0.2">
      <c r="A99" s="16">
        <v>44228</v>
      </c>
      <c r="B99" s="80">
        <f>3.3376 * CHOOSE(CONTROL!$C$32, $C$9, 100%, $E$9)</f>
        <v>3.3376000000000001</v>
      </c>
      <c r="C99" s="80">
        <f>3.3376 * CHOOSE(CONTROL!$C$32, $C$9, 100%, $E$9)</f>
        <v>3.3376000000000001</v>
      </c>
      <c r="D99" s="80">
        <f>3.3387 * CHOOSE(CONTROL!$C$32, $C$9, 100%, $E$9)</f>
        <v>3.3386999999999998</v>
      </c>
      <c r="E99" s="81">
        <f>4.2437 * CHOOSE(CONTROL!$C$32, $C$9, 100%, $E$9)</f>
        <v>4.2436999999999996</v>
      </c>
      <c r="F99" s="81">
        <f>4.2437 * CHOOSE(CONTROL!$C$32, $C$9, 100%, $E$9)</f>
        <v>4.2436999999999996</v>
      </c>
      <c r="G99" s="81">
        <f>4.2474 * CHOOSE(CONTROL!$C$32, $C$9, 100%, $E$9)</f>
        <v>4.2473999999999998</v>
      </c>
      <c r="H99" s="81">
        <f>6.9428 * CHOOSE(CONTROL!$C$32, $C$9, 100%, $E$9)</f>
        <v>6.9428000000000001</v>
      </c>
      <c r="I99" s="81">
        <f>6.9464 * CHOOSE(CONTROL!$C$32, $C$9, 100%, $E$9)</f>
        <v>6.9463999999999997</v>
      </c>
      <c r="J99" s="81">
        <f>6.9428 * CHOOSE(CONTROL!$C$32, $C$9, 100%, $E$9)</f>
        <v>6.9428000000000001</v>
      </c>
      <c r="K99" s="81">
        <f>6.9464 * CHOOSE(CONTROL!$C$32, $C$9, 100%, $E$9)</f>
        <v>6.9463999999999997</v>
      </c>
      <c r="L99" s="81">
        <f>4.2437 * CHOOSE(CONTROL!$C$32, $C$9, 100%, $E$9)</f>
        <v>4.2436999999999996</v>
      </c>
      <c r="M99" s="81">
        <f>4.2474 * CHOOSE(CONTROL!$C$32, $C$9, 100%, $E$9)</f>
        <v>4.2473999999999998</v>
      </c>
      <c r="N99" s="81">
        <f>4.2437 * CHOOSE(CONTROL!$C$32, $C$9, 100%, $E$9)</f>
        <v>4.2436999999999996</v>
      </c>
      <c r="O99" s="81">
        <f>4.2474 * CHOOSE(CONTROL!$C$32, $C$9, 100%, $E$9)</f>
        <v>4.2473999999999998</v>
      </c>
      <c r="P99" s="10"/>
      <c r="Q99" s="10"/>
      <c r="R99" s="10"/>
    </row>
    <row r="100" spans="1:18" ht="15" x14ac:dyDescent="0.2">
      <c r="A100" s="16">
        <v>44256</v>
      </c>
      <c r="B100" s="80">
        <f>3.3346 * CHOOSE(CONTROL!$C$32, $C$9, 100%, $E$9)</f>
        <v>3.3346</v>
      </c>
      <c r="C100" s="80">
        <f>3.3346 * CHOOSE(CONTROL!$C$32, $C$9, 100%, $E$9)</f>
        <v>3.3346</v>
      </c>
      <c r="D100" s="80">
        <f>3.3357 * CHOOSE(CONTROL!$C$32, $C$9, 100%, $E$9)</f>
        <v>3.3357000000000001</v>
      </c>
      <c r="E100" s="81">
        <f>4.2417 * CHOOSE(CONTROL!$C$32, $C$9, 100%, $E$9)</f>
        <v>4.2416999999999998</v>
      </c>
      <c r="F100" s="81">
        <f>4.2417 * CHOOSE(CONTROL!$C$32, $C$9, 100%, $E$9)</f>
        <v>4.2416999999999998</v>
      </c>
      <c r="G100" s="81">
        <f>4.2454 * CHOOSE(CONTROL!$C$32, $C$9, 100%, $E$9)</f>
        <v>4.2454000000000001</v>
      </c>
      <c r="H100" s="81">
        <f>6.9572 * CHOOSE(CONTROL!$C$32, $C$9, 100%, $E$9)</f>
        <v>6.9572000000000003</v>
      </c>
      <c r="I100" s="81">
        <f>6.9608 * CHOOSE(CONTROL!$C$32, $C$9, 100%, $E$9)</f>
        <v>6.9607999999999999</v>
      </c>
      <c r="J100" s="81">
        <f>6.9572 * CHOOSE(CONTROL!$C$32, $C$9, 100%, $E$9)</f>
        <v>6.9572000000000003</v>
      </c>
      <c r="K100" s="81">
        <f>6.9608 * CHOOSE(CONTROL!$C$32, $C$9, 100%, $E$9)</f>
        <v>6.9607999999999999</v>
      </c>
      <c r="L100" s="81">
        <f>4.2417 * CHOOSE(CONTROL!$C$32, $C$9, 100%, $E$9)</f>
        <v>4.2416999999999998</v>
      </c>
      <c r="M100" s="81">
        <f>4.2454 * CHOOSE(CONTROL!$C$32, $C$9, 100%, $E$9)</f>
        <v>4.2454000000000001</v>
      </c>
      <c r="N100" s="81">
        <f>4.2417 * CHOOSE(CONTROL!$C$32, $C$9, 100%, $E$9)</f>
        <v>4.2416999999999998</v>
      </c>
      <c r="O100" s="81">
        <f>4.2454 * CHOOSE(CONTROL!$C$32, $C$9, 100%, $E$9)</f>
        <v>4.2454000000000001</v>
      </c>
      <c r="P100" s="10"/>
      <c r="Q100" s="10"/>
      <c r="R100" s="10"/>
    </row>
    <row r="101" spans="1:18" ht="15" x14ac:dyDescent="0.2">
      <c r="A101" s="16">
        <v>44287</v>
      </c>
      <c r="B101" s="80">
        <f>3.3316 * CHOOSE(CONTROL!$C$32, $C$9, 100%, $E$9)</f>
        <v>3.3315999999999999</v>
      </c>
      <c r="C101" s="80">
        <f>3.3316 * CHOOSE(CONTROL!$C$32, $C$9, 100%, $E$9)</f>
        <v>3.3315999999999999</v>
      </c>
      <c r="D101" s="80">
        <f>3.3327 * CHOOSE(CONTROL!$C$32, $C$9, 100%, $E$9)</f>
        <v>3.3327</v>
      </c>
      <c r="E101" s="81">
        <f>4.2394 * CHOOSE(CONTROL!$C$32, $C$9, 100%, $E$9)</f>
        <v>4.2393999999999998</v>
      </c>
      <c r="F101" s="81">
        <f>4.2394 * CHOOSE(CONTROL!$C$32, $C$9, 100%, $E$9)</f>
        <v>4.2393999999999998</v>
      </c>
      <c r="G101" s="81">
        <f>4.243 * CHOOSE(CONTROL!$C$32, $C$9, 100%, $E$9)</f>
        <v>4.2430000000000003</v>
      </c>
      <c r="H101" s="81">
        <f>6.9717 * CHOOSE(CONTROL!$C$32, $C$9, 100%, $E$9)</f>
        <v>6.9717000000000002</v>
      </c>
      <c r="I101" s="81">
        <f>6.9753 * CHOOSE(CONTROL!$C$32, $C$9, 100%, $E$9)</f>
        <v>6.9752999999999998</v>
      </c>
      <c r="J101" s="81">
        <f>6.9717 * CHOOSE(CONTROL!$C$32, $C$9, 100%, $E$9)</f>
        <v>6.9717000000000002</v>
      </c>
      <c r="K101" s="81">
        <f>6.9753 * CHOOSE(CONTROL!$C$32, $C$9, 100%, $E$9)</f>
        <v>6.9752999999999998</v>
      </c>
      <c r="L101" s="81">
        <f>4.2394 * CHOOSE(CONTROL!$C$32, $C$9, 100%, $E$9)</f>
        <v>4.2393999999999998</v>
      </c>
      <c r="M101" s="81">
        <f>4.243 * CHOOSE(CONTROL!$C$32, $C$9, 100%, $E$9)</f>
        <v>4.2430000000000003</v>
      </c>
      <c r="N101" s="81">
        <f>4.2394 * CHOOSE(CONTROL!$C$32, $C$9, 100%, $E$9)</f>
        <v>4.2393999999999998</v>
      </c>
      <c r="O101" s="81">
        <f>4.243 * CHOOSE(CONTROL!$C$32, $C$9, 100%, $E$9)</f>
        <v>4.2430000000000003</v>
      </c>
      <c r="P101" s="10"/>
      <c r="Q101" s="10"/>
      <c r="R101" s="10"/>
    </row>
    <row r="102" spans="1:18" ht="15" x14ac:dyDescent="0.2">
      <c r="A102" s="16">
        <v>44317</v>
      </c>
      <c r="B102" s="80">
        <f>3.3316 * CHOOSE(CONTROL!$C$32, $C$9, 100%, $E$9)</f>
        <v>3.3315999999999999</v>
      </c>
      <c r="C102" s="80">
        <f>3.3316 * CHOOSE(CONTROL!$C$32, $C$9, 100%, $E$9)</f>
        <v>3.3315999999999999</v>
      </c>
      <c r="D102" s="80">
        <f>3.3332 * CHOOSE(CONTROL!$C$32, $C$9, 100%, $E$9)</f>
        <v>3.3332000000000002</v>
      </c>
      <c r="E102" s="81">
        <f>4.2394 * CHOOSE(CONTROL!$C$32, $C$9, 100%, $E$9)</f>
        <v>4.2393999999999998</v>
      </c>
      <c r="F102" s="81">
        <f>4.2394 * CHOOSE(CONTROL!$C$32, $C$9, 100%, $E$9)</f>
        <v>4.2393999999999998</v>
      </c>
      <c r="G102" s="81">
        <f>4.2447 * CHOOSE(CONTROL!$C$32, $C$9, 100%, $E$9)</f>
        <v>4.2446999999999999</v>
      </c>
      <c r="H102" s="81">
        <f>6.9862 * CHOOSE(CONTROL!$C$32, $C$9, 100%, $E$9)</f>
        <v>6.9862000000000002</v>
      </c>
      <c r="I102" s="81">
        <f>6.9915 * CHOOSE(CONTROL!$C$32, $C$9, 100%, $E$9)</f>
        <v>6.9915000000000003</v>
      </c>
      <c r="J102" s="81">
        <f>6.9862 * CHOOSE(CONTROL!$C$32, $C$9, 100%, $E$9)</f>
        <v>6.9862000000000002</v>
      </c>
      <c r="K102" s="81">
        <f>6.9915 * CHOOSE(CONTROL!$C$32, $C$9, 100%, $E$9)</f>
        <v>6.9915000000000003</v>
      </c>
      <c r="L102" s="81">
        <f>4.2394 * CHOOSE(CONTROL!$C$32, $C$9, 100%, $E$9)</f>
        <v>4.2393999999999998</v>
      </c>
      <c r="M102" s="81">
        <f>4.2447 * CHOOSE(CONTROL!$C$32, $C$9, 100%, $E$9)</f>
        <v>4.2446999999999999</v>
      </c>
      <c r="N102" s="81">
        <f>4.2394 * CHOOSE(CONTROL!$C$32, $C$9, 100%, $E$9)</f>
        <v>4.2393999999999998</v>
      </c>
      <c r="O102" s="81">
        <f>4.2447 * CHOOSE(CONTROL!$C$32, $C$9, 100%, $E$9)</f>
        <v>4.2446999999999999</v>
      </c>
      <c r="P102" s="10"/>
      <c r="Q102" s="10"/>
      <c r="R102" s="10"/>
    </row>
    <row r="103" spans="1:18" ht="15" x14ac:dyDescent="0.2">
      <c r="A103" s="16">
        <v>44348</v>
      </c>
      <c r="B103" s="80">
        <f>3.3377 * CHOOSE(CONTROL!$C$32, $C$9, 100%, $E$9)</f>
        <v>3.3376999999999999</v>
      </c>
      <c r="C103" s="80">
        <f>3.3377 * CHOOSE(CONTROL!$C$32, $C$9, 100%, $E$9)</f>
        <v>3.3376999999999999</v>
      </c>
      <c r="D103" s="80">
        <f>3.3393 * CHOOSE(CONTROL!$C$32, $C$9, 100%, $E$9)</f>
        <v>3.3393000000000002</v>
      </c>
      <c r="E103" s="81">
        <f>4.2434 * CHOOSE(CONTROL!$C$32, $C$9, 100%, $E$9)</f>
        <v>4.2434000000000003</v>
      </c>
      <c r="F103" s="81">
        <f>4.2434 * CHOOSE(CONTROL!$C$32, $C$9, 100%, $E$9)</f>
        <v>4.2434000000000003</v>
      </c>
      <c r="G103" s="81">
        <f>4.2487 * CHOOSE(CONTROL!$C$32, $C$9, 100%, $E$9)</f>
        <v>4.2487000000000004</v>
      </c>
      <c r="H103" s="81">
        <f>7.0008 * CHOOSE(CONTROL!$C$32, $C$9, 100%, $E$9)</f>
        <v>7.0007999999999999</v>
      </c>
      <c r="I103" s="81">
        <f>7.0061 * CHOOSE(CONTROL!$C$32, $C$9, 100%, $E$9)</f>
        <v>7.0061</v>
      </c>
      <c r="J103" s="81">
        <f>7.0008 * CHOOSE(CONTROL!$C$32, $C$9, 100%, $E$9)</f>
        <v>7.0007999999999999</v>
      </c>
      <c r="K103" s="81">
        <f>7.0061 * CHOOSE(CONTROL!$C$32, $C$9, 100%, $E$9)</f>
        <v>7.0061</v>
      </c>
      <c r="L103" s="81">
        <f>4.2434 * CHOOSE(CONTROL!$C$32, $C$9, 100%, $E$9)</f>
        <v>4.2434000000000003</v>
      </c>
      <c r="M103" s="81">
        <f>4.2487 * CHOOSE(CONTROL!$C$32, $C$9, 100%, $E$9)</f>
        <v>4.2487000000000004</v>
      </c>
      <c r="N103" s="81">
        <f>4.2434 * CHOOSE(CONTROL!$C$32, $C$9, 100%, $E$9)</f>
        <v>4.2434000000000003</v>
      </c>
      <c r="O103" s="81">
        <f>4.2487 * CHOOSE(CONTROL!$C$32, $C$9, 100%, $E$9)</f>
        <v>4.2487000000000004</v>
      </c>
      <c r="P103" s="10"/>
      <c r="Q103" s="10"/>
      <c r="R103" s="10"/>
    </row>
    <row r="104" spans="1:18" ht="15" x14ac:dyDescent="0.2">
      <c r="A104" s="16">
        <v>44378</v>
      </c>
      <c r="B104" s="80">
        <f>3.3976 * CHOOSE(CONTROL!$C$32, $C$9, 100%, $E$9)</f>
        <v>3.3976000000000002</v>
      </c>
      <c r="C104" s="80">
        <f>3.3976 * CHOOSE(CONTROL!$C$32, $C$9, 100%, $E$9)</f>
        <v>3.3976000000000002</v>
      </c>
      <c r="D104" s="80">
        <f>3.3992 * CHOOSE(CONTROL!$C$32, $C$9, 100%, $E$9)</f>
        <v>3.3992</v>
      </c>
      <c r="E104" s="81">
        <f>4.3089 * CHOOSE(CONTROL!$C$32, $C$9, 100%, $E$9)</f>
        <v>4.3089000000000004</v>
      </c>
      <c r="F104" s="81">
        <f>4.3089 * CHOOSE(CONTROL!$C$32, $C$9, 100%, $E$9)</f>
        <v>4.3089000000000004</v>
      </c>
      <c r="G104" s="81">
        <f>4.3142 * CHOOSE(CONTROL!$C$32, $C$9, 100%, $E$9)</f>
        <v>4.3141999999999996</v>
      </c>
      <c r="H104" s="81">
        <f>7.0154 * CHOOSE(CONTROL!$C$32, $C$9, 100%, $E$9)</f>
        <v>7.0153999999999996</v>
      </c>
      <c r="I104" s="81">
        <f>7.0207 * CHOOSE(CONTROL!$C$32, $C$9, 100%, $E$9)</f>
        <v>7.0206999999999997</v>
      </c>
      <c r="J104" s="81">
        <f>7.0154 * CHOOSE(CONTROL!$C$32, $C$9, 100%, $E$9)</f>
        <v>7.0153999999999996</v>
      </c>
      <c r="K104" s="81">
        <f>7.0207 * CHOOSE(CONTROL!$C$32, $C$9, 100%, $E$9)</f>
        <v>7.0206999999999997</v>
      </c>
      <c r="L104" s="81">
        <f>4.3089 * CHOOSE(CONTROL!$C$32, $C$9, 100%, $E$9)</f>
        <v>4.3089000000000004</v>
      </c>
      <c r="M104" s="81">
        <f>4.3142 * CHOOSE(CONTROL!$C$32, $C$9, 100%, $E$9)</f>
        <v>4.3141999999999996</v>
      </c>
      <c r="N104" s="81">
        <f>4.3089 * CHOOSE(CONTROL!$C$32, $C$9, 100%, $E$9)</f>
        <v>4.3089000000000004</v>
      </c>
      <c r="O104" s="81">
        <f>4.3142 * CHOOSE(CONTROL!$C$32, $C$9, 100%, $E$9)</f>
        <v>4.3141999999999996</v>
      </c>
      <c r="P104" s="10"/>
      <c r="Q104" s="10"/>
      <c r="R104" s="10"/>
    </row>
    <row r="105" spans="1:18" ht="15" x14ac:dyDescent="0.2">
      <c r="A105" s="16">
        <v>44409</v>
      </c>
      <c r="B105" s="80">
        <f>3.4043 * CHOOSE(CONTROL!$C$32, $C$9, 100%, $E$9)</f>
        <v>3.4043000000000001</v>
      </c>
      <c r="C105" s="80">
        <f>3.4043 * CHOOSE(CONTROL!$C$32, $C$9, 100%, $E$9)</f>
        <v>3.4043000000000001</v>
      </c>
      <c r="D105" s="80">
        <f>3.4059 * CHOOSE(CONTROL!$C$32, $C$9, 100%, $E$9)</f>
        <v>3.4058999999999999</v>
      </c>
      <c r="E105" s="81">
        <f>4.3133 * CHOOSE(CONTROL!$C$32, $C$9, 100%, $E$9)</f>
        <v>4.3132999999999999</v>
      </c>
      <c r="F105" s="81">
        <f>4.3133 * CHOOSE(CONTROL!$C$32, $C$9, 100%, $E$9)</f>
        <v>4.3132999999999999</v>
      </c>
      <c r="G105" s="81">
        <f>4.3186 * CHOOSE(CONTROL!$C$32, $C$9, 100%, $E$9)</f>
        <v>4.3186</v>
      </c>
      <c r="H105" s="81">
        <f>7.03 * CHOOSE(CONTROL!$C$32, $C$9, 100%, $E$9)</f>
        <v>7.03</v>
      </c>
      <c r="I105" s="81">
        <f>7.0353 * CHOOSE(CONTROL!$C$32, $C$9, 100%, $E$9)</f>
        <v>7.0353000000000003</v>
      </c>
      <c r="J105" s="81">
        <f>7.03 * CHOOSE(CONTROL!$C$32, $C$9, 100%, $E$9)</f>
        <v>7.03</v>
      </c>
      <c r="K105" s="81">
        <f>7.0353 * CHOOSE(CONTROL!$C$32, $C$9, 100%, $E$9)</f>
        <v>7.0353000000000003</v>
      </c>
      <c r="L105" s="81">
        <f>4.3133 * CHOOSE(CONTROL!$C$32, $C$9, 100%, $E$9)</f>
        <v>4.3132999999999999</v>
      </c>
      <c r="M105" s="81">
        <f>4.3186 * CHOOSE(CONTROL!$C$32, $C$9, 100%, $E$9)</f>
        <v>4.3186</v>
      </c>
      <c r="N105" s="81">
        <f>4.3133 * CHOOSE(CONTROL!$C$32, $C$9, 100%, $E$9)</f>
        <v>4.3132999999999999</v>
      </c>
      <c r="O105" s="81">
        <f>4.3186 * CHOOSE(CONTROL!$C$32, $C$9, 100%, $E$9)</f>
        <v>4.3186</v>
      </c>
      <c r="P105" s="10"/>
      <c r="Q105" s="10"/>
      <c r="R105" s="10"/>
    </row>
    <row r="106" spans="1:18" ht="15" x14ac:dyDescent="0.2">
      <c r="A106" s="16">
        <v>44440</v>
      </c>
      <c r="B106" s="80">
        <f>3.4012 * CHOOSE(CONTROL!$C$32, $C$9, 100%, $E$9)</f>
        <v>3.4011999999999998</v>
      </c>
      <c r="C106" s="80">
        <f>3.4012 * CHOOSE(CONTROL!$C$32, $C$9, 100%, $E$9)</f>
        <v>3.4011999999999998</v>
      </c>
      <c r="D106" s="80">
        <f>3.4028 * CHOOSE(CONTROL!$C$32, $C$9, 100%, $E$9)</f>
        <v>3.4028</v>
      </c>
      <c r="E106" s="81">
        <f>4.3113 * CHOOSE(CONTROL!$C$32, $C$9, 100%, $E$9)</f>
        <v>4.3113000000000001</v>
      </c>
      <c r="F106" s="81">
        <f>4.3113 * CHOOSE(CONTROL!$C$32, $C$9, 100%, $E$9)</f>
        <v>4.3113000000000001</v>
      </c>
      <c r="G106" s="81">
        <f>4.3166 * CHOOSE(CONTROL!$C$32, $C$9, 100%, $E$9)</f>
        <v>4.3166000000000002</v>
      </c>
      <c r="H106" s="81">
        <f>7.0446 * CHOOSE(CONTROL!$C$32, $C$9, 100%, $E$9)</f>
        <v>7.0446</v>
      </c>
      <c r="I106" s="81">
        <f>7.0499 * CHOOSE(CONTROL!$C$32, $C$9, 100%, $E$9)</f>
        <v>7.0499000000000001</v>
      </c>
      <c r="J106" s="81">
        <f>7.0446 * CHOOSE(CONTROL!$C$32, $C$9, 100%, $E$9)</f>
        <v>7.0446</v>
      </c>
      <c r="K106" s="81">
        <f>7.0499 * CHOOSE(CONTROL!$C$32, $C$9, 100%, $E$9)</f>
        <v>7.0499000000000001</v>
      </c>
      <c r="L106" s="81">
        <f>4.3113 * CHOOSE(CONTROL!$C$32, $C$9, 100%, $E$9)</f>
        <v>4.3113000000000001</v>
      </c>
      <c r="M106" s="81">
        <f>4.3166 * CHOOSE(CONTROL!$C$32, $C$9, 100%, $E$9)</f>
        <v>4.3166000000000002</v>
      </c>
      <c r="N106" s="81">
        <f>4.3113 * CHOOSE(CONTROL!$C$32, $C$9, 100%, $E$9)</f>
        <v>4.3113000000000001</v>
      </c>
      <c r="O106" s="81">
        <f>4.3166 * CHOOSE(CONTROL!$C$32, $C$9, 100%, $E$9)</f>
        <v>4.3166000000000002</v>
      </c>
      <c r="P106" s="10"/>
      <c r="Q106" s="10"/>
      <c r="R106" s="10"/>
    </row>
    <row r="107" spans="1:18" ht="15" x14ac:dyDescent="0.2">
      <c r="A107" s="16">
        <v>44470</v>
      </c>
      <c r="B107" s="80">
        <f>3.3942 * CHOOSE(CONTROL!$C$32, $C$9, 100%, $E$9)</f>
        <v>3.3942000000000001</v>
      </c>
      <c r="C107" s="80">
        <f>3.3942 * CHOOSE(CONTROL!$C$32, $C$9, 100%, $E$9)</f>
        <v>3.3942000000000001</v>
      </c>
      <c r="D107" s="80">
        <f>3.3953 * CHOOSE(CONTROL!$C$32, $C$9, 100%, $E$9)</f>
        <v>3.3953000000000002</v>
      </c>
      <c r="E107" s="81">
        <f>4.3049 * CHOOSE(CONTROL!$C$32, $C$9, 100%, $E$9)</f>
        <v>4.3048999999999999</v>
      </c>
      <c r="F107" s="81">
        <f>4.3049 * CHOOSE(CONTROL!$C$32, $C$9, 100%, $E$9)</f>
        <v>4.3048999999999999</v>
      </c>
      <c r="G107" s="81">
        <f>4.3085 * CHOOSE(CONTROL!$C$32, $C$9, 100%, $E$9)</f>
        <v>4.3085000000000004</v>
      </c>
      <c r="H107" s="81">
        <f>7.0593 * CHOOSE(CONTROL!$C$32, $C$9, 100%, $E$9)</f>
        <v>7.0593000000000004</v>
      </c>
      <c r="I107" s="81">
        <f>7.0629 * CHOOSE(CONTROL!$C$32, $C$9, 100%, $E$9)</f>
        <v>7.0629</v>
      </c>
      <c r="J107" s="81">
        <f>7.0593 * CHOOSE(CONTROL!$C$32, $C$9, 100%, $E$9)</f>
        <v>7.0593000000000004</v>
      </c>
      <c r="K107" s="81">
        <f>7.0629 * CHOOSE(CONTROL!$C$32, $C$9, 100%, $E$9)</f>
        <v>7.0629</v>
      </c>
      <c r="L107" s="81">
        <f>4.3049 * CHOOSE(CONTROL!$C$32, $C$9, 100%, $E$9)</f>
        <v>4.3048999999999999</v>
      </c>
      <c r="M107" s="81">
        <f>4.3085 * CHOOSE(CONTROL!$C$32, $C$9, 100%, $E$9)</f>
        <v>4.3085000000000004</v>
      </c>
      <c r="N107" s="81">
        <f>4.3049 * CHOOSE(CONTROL!$C$32, $C$9, 100%, $E$9)</f>
        <v>4.3048999999999999</v>
      </c>
      <c r="O107" s="81">
        <f>4.3085 * CHOOSE(CONTROL!$C$32, $C$9, 100%, $E$9)</f>
        <v>4.3085000000000004</v>
      </c>
      <c r="P107" s="10"/>
      <c r="Q107" s="10"/>
      <c r="R107" s="10"/>
    </row>
    <row r="108" spans="1:18" ht="15" x14ac:dyDescent="0.2">
      <c r="A108" s="16">
        <v>44501</v>
      </c>
      <c r="B108" s="80">
        <f>3.3972 * CHOOSE(CONTROL!$C$32, $C$9, 100%, $E$9)</f>
        <v>3.3972000000000002</v>
      </c>
      <c r="C108" s="80">
        <f>3.3972 * CHOOSE(CONTROL!$C$32, $C$9, 100%, $E$9)</f>
        <v>3.3972000000000002</v>
      </c>
      <c r="D108" s="80">
        <f>3.3983 * CHOOSE(CONTROL!$C$32, $C$9, 100%, $E$9)</f>
        <v>3.3982999999999999</v>
      </c>
      <c r="E108" s="81">
        <f>4.3069 * CHOOSE(CONTROL!$C$32, $C$9, 100%, $E$9)</f>
        <v>4.3068999999999997</v>
      </c>
      <c r="F108" s="81">
        <f>4.3069 * CHOOSE(CONTROL!$C$32, $C$9, 100%, $E$9)</f>
        <v>4.3068999999999997</v>
      </c>
      <c r="G108" s="81">
        <f>4.3105 * CHOOSE(CONTROL!$C$32, $C$9, 100%, $E$9)</f>
        <v>4.3105000000000002</v>
      </c>
      <c r="H108" s="81">
        <f>7.074 * CHOOSE(CONTROL!$C$32, $C$9, 100%, $E$9)</f>
        <v>7.0739999999999998</v>
      </c>
      <c r="I108" s="81">
        <f>7.0776 * CHOOSE(CONTROL!$C$32, $C$9, 100%, $E$9)</f>
        <v>7.0776000000000003</v>
      </c>
      <c r="J108" s="81">
        <f>7.074 * CHOOSE(CONTROL!$C$32, $C$9, 100%, $E$9)</f>
        <v>7.0739999999999998</v>
      </c>
      <c r="K108" s="81">
        <f>7.0776 * CHOOSE(CONTROL!$C$32, $C$9, 100%, $E$9)</f>
        <v>7.0776000000000003</v>
      </c>
      <c r="L108" s="81">
        <f>4.3069 * CHOOSE(CONTROL!$C$32, $C$9, 100%, $E$9)</f>
        <v>4.3068999999999997</v>
      </c>
      <c r="M108" s="81">
        <f>4.3105 * CHOOSE(CONTROL!$C$32, $C$9, 100%, $E$9)</f>
        <v>4.3105000000000002</v>
      </c>
      <c r="N108" s="81">
        <f>4.3069 * CHOOSE(CONTROL!$C$32, $C$9, 100%, $E$9)</f>
        <v>4.3068999999999997</v>
      </c>
      <c r="O108" s="81">
        <f>4.3105 * CHOOSE(CONTROL!$C$32, $C$9, 100%, $E$9)</f>
        <v>4.3105000000000002</v>
      </c>
      <c r="P108" s="10"/>
      <c r="Q108" s="10"/>
      <c r="R108" s="10"/>
    </row>
    <row r="109" spans="1:18" ht="15" x14ac:dyDescent="0.2">
      <c r="A109" s="16">
        <v>44531</v>
      </c>
      <c r="B109" s="80">
        <f>3.3972 * CHOOSE(CONTROL!$C$32, $C$9, 100%, $E$9)</f>
        <v>3.3972000000000002</v>
      </c>
      <c r="C109" s="80">
        <f>3.3972 * CHOOSE(CONTROL!$C$32, $C$9, 100%, $E$9)</f>
        <v>3.3972000000000002</v>
      </c>
      <c r="D109" s="80">
        <f>3.3983 * CHOOSE(CONTROL!$C$32, $C$9, 100%, $E$9)</f>
        <v>3.3982999999999999</v>
      </c>
      <c r="E109" s="81">
        <f>4.3069 * CHOOSE(CONTROL!$C$32, $C$9, 100%, $E$9)</f>
        <v>4.3068999999999997</v>
      </c>
      <c r="F109" s="81">
        <f>4.3069 * CHOOSE(CONTROL!$C$32, $C$9, 100%, $E$9)</f>
        <v>4.3068999999999997</v>
      </c>
      <c r="G109" s="81">
        <f>4.3105 * CHOOSE(CONTROL!$C$32, $C$9, 100%, $E$9)</f>
        <v>4.3105000000000002</v>
      </c>
      <c r="H109" s="81">
        <f>7.0888 * CHOOSE(CONTROL!$C$32, $C$9, 100%, $E$9)</f>
        <v>7.0888</v>
      </c>
      <c r="I109" s="81">
        <f>7.0924 * CHOOSE(CONTROL!$C$32, $C$9, 100%, $E$9)</f>
        <v>7.0923999999999996</v>
      </c>
      <c r="J109" s="81">
        <f>7.0888 * CHOOSE(CONTROL!$C$32, $C$9, 100%, $E$9)</f>
        <v>7.0888</v>
      </c>
      <c r="K109" s="81">
        <f>7.0924 * CHOOSE(CONTROL!$C$32, $C$9, 100%, $E$9)</f>
        <v>7.0923999999999996</v>
      </c>
      <c r="L109" s="81">
        <f>4.3069 * CHOOSE(CONTROL!$C$32, $C$9, 100%, $E$9)</f>
        <v>4.3068999999999997</v>
      </c>
      <c r="M109" s="81">
        <f>4.3105 * CHOOSE(CONTROL!$C$32, $C$9, 100%, $E$9)</f>
        <v>4.3105000000000002</v>
      </c>
      <c r="N109" s="81">
        <f>4.3069 * CHOOSE(CONTROL!$C$32, $C$9, 100%, $E$9)</f>
        <v>4.3068999999999997</v>
      </c>
      <c r="O109" s="81">
        <f>4.3105 * CHOOSE(CONTROL!$C$32, $C$9, 100%, $E$9)</f>
        <v>4.3105000000000002</v>
      </c>
      <c r="P109" s="10"/>
      <c r="Q109" s="10"/>
      <c r="R109" s="10"/>
    </row>
    <row r="110" spans="1:18" ht="15" x14ac:dyDescent="0.2">
      <c r="A110" s="16">
        <v>44562</v>
      </c>
      <c r="B110" s="80">
        <f>3.4251 * CHOOSE(CONTROL!$C$32, $C$9, 100%, $E$9)</f>
        <v>3.4251</v>
      </c>
      <c r="C110" s="80">
        <f>3.4251 * CHOOSE(CONTROL!$C$32, $C$9, 100%, $E$9)</f>
        <v>3.4251</v>
      </c>
      <c r="D110" s="80">
        <f>3.4261 * CHOOSE(CONTROL!$C$32, $C$9, 100%, $E$9)</f>
        <v>3.4260999999999999</v>
      </c>
      <c r="E110" s="81">
        <f>4.3439 * CHOOSE(CONTROL!$C$32, $C$9, 100%, $E$9)</f>
        <v>4.3438999999999997</v>
      </c>
      <c r="F110" s="81">
        <f>4.3439 * CHOOSE(CONTROL!$C$32, $C$9, 100%, $E$9)</f>
        <v>4.3438999999999997</v>
      </c>
      <c r="G110" s="81">
        <f>4.3475 * CHOOSE(CONTROL!$C$32, $C$9, 100%, $E$9)</f>
        <v>4.3475000000000001</v>
      </c>
      <c r="H110" s="81">
        <f>7.1035 * CHOOSE(CONTROL!$C$32, $C$9, 100%, $E$9)</f>
        <v>7.1035000000000004</v>
      </c>
      <c r="I110" s="81">
        <f>7.1072 * CHOOSE(CONTROL!$C$32, $C$9, 100%, $E$9)</f>
        <v>7.1071999999999997</v>
      </c>
      <c r="J110" s="81">
        <f>7.1035 * CHOOSE(CONTROL!$C$32, $C$9, 100%, $E$9)</f>
        <v>7.1035000000000004</v>
      </c>
      <c r="K110" s="81">
        <f>7.1072 * CHOOSE(CONTROL!$C$32, $C$9, 100%, $E$9)</f>
        <v>7.1071999999999997</v>
      </c>
      <c r="L110" s="81">
        <f>4.3439 * CHOOSE(CONTROL!$C$32, $C$9, 100%, $E$9)</f>
        <v>4.3438999999999997</v>
      </c>
      <c r="M110" s="81">
        <f>4.3475 * CHOOSE(CONTROL!$C$32, $C$9, 100%, $E$9)</f>
        <v>4.3475000000000001</v>
      </c>
      <c r="N110" s="81">
        <f>4.3439 * CHOOSE(CONTROL!$C$32, $C$9, 100%, $E$9)</f>
        <v>4.3438999999999997</v>
      </c>
      <c r="O110" s="81">
        <f>4.3475 * CHOOSE(CONTROL!$C$32, $C$9, 100%, $E$9)</f>
        <v>4.3475000000000001</v>
      </c>
      <c r="P110" s="10"/>
      <c r="Q110" s="10"/>
      <c r="R110" s="10"/>
    </row>
    <row r="111" spans="1:18" ht="15" x14ac:dyDescent="0.2">
      <c r="A111" s="16">
        <v>44593</v>
      </c>
      <c r="B111" s="80">
        <f>3.422 * CHOOSE(CONTROL!$C$32, $C$9, 100%, $E$9)</f>
        <v>3.4220000000000002</v>
      </c>
      <c r="C111" s="80">
        <f>3.422 * CHOOSE(CONTROL!$C$32, $C$9, 100%, $E$9)</f>
        <v>3.4220000000000002</v>
      </c>
      <c r="D111" s="80">
        <f>3.4231 * CHOOSE(CONTROL!$C$32, $C$9, 100%, $E$9)</f>
        <v>3.4230999999999998</v>
      </c>
      <c r="E111" s="81">
        <f>4.3419 * CHOOSE(CONTROL!$C$32, $C$9, 100%, $E$9)</f>
        <v>4.3418999999999999</v>
      </c>
      <c r="F111" s="81">
        <f>4.3419 * CHOOSE(CONTROL!$C$32, $C$9, 100%, $E$9)</f>
        <v>4.3418999999999999</v>
      </c>
      <c r="G111" s="81">
        <f>4.3455 * CHOOSE(CONTROL!$C$32, $C$9, 100%, $E$9)</f>
        <v>4.3455000000000004</v>
      </c>
      <c r="H111" s="81">
        <f>7.1183 * CHOOSE(CONTROL!$C$32, $C$9, 100%, $E$9)</f>
        <v>7.1182999999999996</v>
      </c>
      <c r="I111" s="81">
        <f>7.122 * CHOOSE(CONTROL!$C$32, $C$9, 100%, $E$9)</f>
        <v>7.1219999999999999</v>
      </c>
      <c r="J111" s="81">
        <f>7.1183 * CHOOSE(CONTROL!$C$32, $C$9, 100%, $E$9)</f>
        <v>7.1182999999999996</v>
      </c>
      <c r="K111" s="81">
        <f>7.122 * CHOOSE(CONTROL!$C$32, $C$9, 100%, $E$9)</f>
        <v>7.1219999999999999</v>
      </c>
      <c r="L111" s="81">
        <f>4.3419 * CHOOSE(CONTROL!$C$32, $C$9, 100%, $E$9)</f>
        <v>4.3418999999999999</v>
      </c>
      <c r="M111" s="81">
        <f>4.3455 * CHOOSE(CONTROL!$C$32, $C$9, 100%, $E$9)</f>
        <v>4.3455000000000004</v>
      </c>
      <c r="N111" s="81">
        <f>4.3419 * CHOOSE(CONTROL!$C$32, $C$9, 100%, $E$9)</f>
        <v>4.3418999999999999</v>
      </c>
      <c r="O111" s="81">
        <f>4.3455 * CHOOSE(CONTROL!$C$32, $C$9, 100%, $E$9)</f>
        <v>4.3455000000000004</v>
      </c>
      <c r="P111" s="10"/>
      <c r="Q111" s="10"/>
      <c r="R111" s="10"/>
    </row>
    <row r="112" spans="1:18" ht="15" x14ac:dyDescent="0.2">
      <c r="A112" s="16">
        <v>44621</v>
      </c>
      <c r="B112" s="80">
        <f>3.419 * CHOOSE(CONTROL!$C$32, $C$9, 100%, $E$9)</f>
        <v>3.419</v>
      </c>
      <c r="C112" s="80">
        <f>3.419 * CHOOSE(CONTROL!$C$32, $C$9, 100%, $E$9)</f>
        <v>3.419</v>
      </c>
      <c r="D112" s="80">
        <f>3.4201 * CHOOSE(CONTROL!$C$32, $C$9, 100%, $E$9)</f>
        <v>3.4201000000000001</v>
      </c>
      <c r="E112" s="81">
        <f>4.3399 * CHOOSE(CONTROL!$C$32, $C$9, 100%, $E$9)</f>
        <v>4.3399000000000001</v>
      </c>
      <c r="F112" s="81">
        <f>4.3399 * CHOOSE(CONTROL!$C$32, $C$9, 100%, $E$9)</f>
        <v>4.3399000000000001</v>
      </c>
      <c r="G112" s="81">
        <f>4.3435 * CHOOSE(CONTROL!$C$32, $C$9, 100%, $E$9)</f>
        <v>4.3434999999999997</v>
      </c>
      <c r="H112" s="81">
        <f>7.1332 * CHOOSE(CONTROL!$C$32, $C$9, 100%, $E$9)</f>
        <v>7.1332000000000004</v>
      </c>
      <c r="I112" s="81">
        <f>7.1368 * CHOOSE(CONTROL!$C$32, $C$9, 100%, $E$9)</f>
        <v>7.1368</v>
      </c>
      <c r="J112" s="81">
        <f>7.1332 * CHOOSE(CONTROL!$C$32, $C$9, 100%, $E$9)</f>
        <v>7.1332000000000004</v>
      </c>
      <c r="K112" s="81">
        <f>7.1368 * CHOOSE(CONTROL!$C$32, $C$9, 100%, $E$9)</f>
        <v>7.1368</v>
      </c>
      <c r="L112" s="81">
        <f>4.3399 * CHOOSE(CONTROL!$C$32, $C$9, 100%, $E$9)</f>
        <v>4.3399000000000001</v>
      </c>
      <c r="M112" s="81">
        <f>4.3435 * CHOOSE(CONTROL!$C$32, $C$9, 100%, $E$9)</f>
        <v>4.3434999999999997</v>
      </c>
      <c r="N112" s="81">
        <f>4.3399 * CHOOSE(CONTROL!$C$32, $C$9, 100%, $E$9)</f>
        <v>4.3399000000000001</v>
      </c>
      <c r="O112" s="81">
        <f>4.3435 * CHOOSE(CONTROL!$C$32, $C$9, 100%, $E$9)</f>
        <v>4.3434999999999997</v>
      </c>
      <c r="P112" s="10"/>
      <c r="Q112" s="10"/>
      <c r="R112" s="10"/>
    </row>
    <row r="113" spans="1:18" ht="15" x14ac:dyDescent="0.2">
      <c r="A113" s="16">
        <v>44652</v>
      </c>
      <c r="B113" s="80">
        <f>3.4161 * CHOOSE(CONTROL!$C$32, $C$9, 100%, $E$9)</f>
        <v>3.4161000000000001</v>
      </c>
      <c r="C113" s="80">
        <f>3.4161 * CHOOSE(CONTROL!$C$32, $C$9, 100%, $E$9)</f>
        <v>3.4161000000000001</v>
      </c>
      <c r="D113" s="80">
        <f>3.4172 * CHOOSE(CONTROL!$C$32, $C$9, 100%, $E$9)</f>
        <v>3.4171999999999998</v>
      </c>
      <c r="E113" s="81">
        <f>4.3376 * CHOOSE(CONTROL!$C$32, $C$9, 100%, $E$9)</f>
        <v>4.3376000000000001</v>
      </c>
      <c r="F113" s="81">
        <f>4.3376 * CHOOSE(CONTROL!$C$32, $C$9, 100%, $E$9)</f>
        <v>4.3376000000000001</v>
      </c>
      <c r="G113" s="81">
        <f>4.3412 * CHOOSE(CONTROL!$C$32, $C$9, 100%, $E$9)</f>
        <v>4.3411999999999997</v>
      </c>
      <c r="H113" s="81">
        <f>7.148 * CHOOSE(CONTROL!$C$32, $C$9, 100%, $E$9)</f>
        <v>7.1479999999999997</v>
      </c>
      <c r="I113" s="81">
        <f>7.1516 * CHOOSE(CONTROL!$C$32, $C$9, 100%, $E$9)</f>
        <v>7.1516000000000002</v>
      </c>
      <c r="J113" s="81">
        <f>7.148 * CHOOSE(CONTROL!$C$32, $C$9, 100%, $E$9)</f>
        <v>7.1479999999999997</v>
      </c>
      <c r="K113" s="81">
        <f>7.1516 * CHOOSE(CONTROL!$C$32, $C$9, 100%, $E$9)</f>
        <v>7.1516000000000002</v>
      </c>
      <c r="L113" s="81">
        <f>4.3376 * CHOOSE(CONTROL!$C$32, $C$9, 100%, $E$9)</f>
        <v>4.3376000000000001</v>
      </c>
      <c r="M113" s="81">
        <f>4.3412 * CHOOSE(CONTROL!$C$32, $C$9, 100%, $E$9)</f>
        <v>4.3411999999999997</v>
      </c>
      <c r="N113" s="81">
        <f>4.3376 * CHOOSE(CONTROL!$C$32, $C$9, 100%, $E$9)</f>
        <v>4.3376000000000001</v>
      </c>
      <c r="O113" s="81">
        <f>4.3412 * CHOOSE(CONTROL!$C$32, $C$9, 100%, $E$9)</f>
        <v>4.3411999999999997</v>
      </c>
      <c r="P113" s="10"/>
      <c r="Q113" s="10"/>
      <c r="R113" s="10"/>
    </row>
    <row r="114" spans="1:18" ht="15" x14ac:dyDescent="0.2">
      <c r="A114" s="16">
        <v>44682</v>
      </c>
      <c r="B114" s="80">
        <f>3.4161 * CHOOSE(CONTROL!$C$32, $C$9, 100%, $E$9)</f>
        <v>3.4161000000000001</v>
      </c>
      <c r="C114" s="80">
        <f>3.4161 * CHOOSE(CONTROL!$C$32, $C$9, 100%, $E$9)</f>
        <v>3.4161000000000001</v>
      </c>
      <c r="D114" s="80">
        <f>3.4177 * CHOOSE(CONTROL!$C$32, $C$9, 100%, $E$9)</f>
        <v>3.4177</v>
      </c>
      <c r="E114" s="81">
        <f>4.3376 * CHOOSE(CONTROL!$C$32, $C$9, 100%, $E$9)</f>
        <v>4.3376000000000001</v>
      </c>
      <c r="F114" s="81">
        <f>4.3376 * CHOOSE(CONTROL!$C$32, $C$9, 100%, $E$9)</f>
        <v>4.3376000000000001</v>
      </c>
      <c r="G114" s="81">
        <f>4.3429 * CHOOSE(CONTROL!$C$32, $C$9, 100%, $E$9)</f>
        <v>4.3429000000000002</v>
      </c>
      <c r="H114" s="81">
        <f>7.1629 * CHOOSE(CONTROL!$C$32, $C$9, 100%, $E$9)</f>
        <v>7.1628999999999996</v>
      </c>
      <c r="I114" s="81">
        <f>7.1682 * CHOOSE(CONTROL!$C$32, $C$9, 100%, $E$9)</f>
        <v>7.1681999999999997</v>
      </c>
      <c r="J114" s="81">
        <f>7.1629 * CHOOSE(CONTROL!$C$32, $C$9, 100%, $E$9)</f>
        <v>7.1628999999999996</v>
      </c>
      <c r="K114" s="81">
        <f>7.1682 * CHOOSE(CONTROL!$C$32, $C$9, 100%, $E$9)</f>
        <v>7.1681999999999997</v>
      </c>
      <c r="L114" s="81">
        <f>4.3376 * CHOOSE(CONTROL!$C$32, $C$9, 100%, $E$9)</f>
        <v>4.3376000000000001</v>
      </c>
      <c r="M114" s="81">
        <f>4.3429 * CHOOSE(CONTROL!$C$32, $C$9, 100%, $E$9)</f>
        <v>4.3429000000000002</v>
      </c>
      <c r="N114" s="81">
        <f>4.3376 * CHOOSE(CONTROL!$C$32, $C$9, 100%, $E$9)</f>
        <v>4.3376000000000001</v>
      </c>
      <c r="O114" s="81">
        <f>4.3429 * CHOOSE(CONTROL!$C$32, $C$9, 100%, $E$9)</f>
        <v>4.3429000000000002</v>
      </c>
      <c r="P114" s="10"/>
      <c r="Q114" s="10"/>
      <c r="R114" s="10"/>
    </row>
    <row r="115" spans="1:18" ht="15" x14ac:dyDescent="0.2">
      <c r="A115" s="16">
        <v>44713</v>
      </c>
      <c r="B115" s="80">
        <f>3.4222 * CHOOSE(CONTROL!$C$32, $C$9, 100%, $E$9)</f>
        <v>3.4222000000000001</v>
      </c>
      <c r="C115" s="80">
        <f>3.4222 * CHOOSE(CONTROL!$C$32, $C$9, 100%, $E$9)</f>
        <v>3.4222000000000001</v>
      </c>
      <c r="D115" s="80">
        <f>3.4238 * CHOOSE(CONTROL!$C$32, $C$9, 100%, $E$9)</f>
        <v>3.4238</v>
      </c>
      <c r="E115" s="81">
        <f>4.3416 * CHOOSE(CONTROL!$C$32, $C$9, 100%, $E$9)</f>
        <v>4.3415999999999997</v>
      </c>
      <c r="F115" s="81">
        <f>4.3416 * CHOOSE(CONTROL!$C$32, $C$9, 100%, $E$9)</f>
        <v>4.3415999999999997</v>
      </c>
      <c r="G115" s="81">
        <f>4.3469 * CHOOSE(CONTROL!$C$32, $C$9, 100%, $E$9)</f>
        <v>4.3468999999999998</v>
      </c>
      <c r="H115" s="81">
        <f>7.1778 * CHOOSE(CONTROL!$C$32, $C$9, 100%, $E$9)</f>
        <v>7.1778000000000004</v>
      </c>
      <c r="I115" s="81">
        <f>7.1831 * CHOOSE(CONTROL!$C$32, $C$9, 100%, $E$9)</f>
        <v>7.1830999999999996</v>
      </c>
      <c r="J115" s="81">
        <f>7.1778 * CHOOSE(CONTROL!$C$32, $C$9, 100%, $E$9)</f>
        <v>7.1778000000000004</v>
      </c>
      <c r="K115" s="81">
        <f>7.1831 * CHOOSE(CONTROL!$C$32, $C$9, 100%, $E$9)</f>
        <v>7.1830999999999996</v>
      </c>
      <c r="L115" s="81">
        <f>4.3416 * CHOOSE(CONTROL!$C$32, $C$9, 100%, $E$9)</f>
        <v>4.3415999999999997</v>
      </c>
      <c r="M115" s="81">
        <f>4.3469 * CHOOSE(CONTROL!$C$32, $C$9, 100%, $E$9)</f>
        <v>4.3468999999999998</v>
      </c>
      <c r="N115" s="81">
        <f>4.3416 * CHOOSE(CONTROL!$C$32, $C$9, 100%, $E$9)</f>
        <v>4.3415999999999997</v>
      </c>
      <c r="O115" s="81">
        <f>4.3469 * CHOOSE(CONTROL!$C$32, $C$9, 100%, $E$9)</f>
        <v>4.3468999999999998</v>
      </c>
      <c r="P115" s="10"/>
      <c r="Q115" s="10"/>
      <c r="R115" s="10"/>
    </row>
    <row r="116" spans="1:18" ht="15" x14ac:dyDescent="0.2">
      <c r="A116" s="16">
        <v>44743</v>
      </c>
      <c r="B116" s="80">
        <f>3.4729 * CHOOSE(CONTROL!$C$32, $C$9, 100%, $E$9)</f>
        <v>3.4729000000000001</v>
      </c>
      <c r="C116" s="80">
        <f>3.4729 * CHOOSE(CONTROL!$C$32, $C$9, 100%, $E$9)</f>
        <v>3.4729000000000001</v>
      </c>
      <c r="D116" s="80">
        <f>3.4745 * CHOOSE(CONTROL!$C$32, $C$9, 100%, $E$9)</f>
        <v>3.4744999999999999</v>
      </c>
      <c r="E116" s="81">
        <f>4.4233 * CHOOSE(CONTROL!$C$32, $C$9, 100%, $E$9)</f>
        <v>4.4233000000000002</v>
      </c>
      <c r="F116" s="81">
        <f>4.4233 * CHOOSE(CONTROL!$C$32, $C$9, 100%, $E$9)</f>
        <v>4.4233000000000002</v>
      </c>
      <c r="G116" s="81">
        <f>4.4286 * CHOOSE(CONTROL!$C$32, $C$9, 100%, $E$9)</f>
        <v>4.4286000000000003</v>
      </c>
      <c r="H116" s="81">
        <f>7.1928 * CHOOSE(CONTROL!$C$32, $C$9, 100%, $E$9)</f>
        <v>7.1928000000000001</v>
      </c>
      <c r="I116" s="81">
        <f>7.1981 * CHOOSE(CONTROL!$C$32, $C$9, 100%, $E$9)</f>
        <v>7.1981000000000002</v>
      </c>
      <c r="J116" s="81">
        <f>7.1928 * CHOOSE(CONTROL!$C$32, $C$9, 100%, $E$9)</f>
        <v>7.1928000000000001</v>
      </c>
      <c r="K116" s="81">
        <f>7.1981 * CHOOSE(CONTROL!$C$32, $C$9, 100%, $E$9)</f>
        <v>7.1981000000000002</v>
      </c>
      <c r="L116" s="81">
        <f>4.4233 * CHOOSE(CONTROL!$C$32, $C$9, 100%, $E$9)</f>
        <v>4.4233000000000002</v>
      </c>
      <c r="M116" s="81">
        <f>4.4286 * CHOOSE(CONTROL!$C$32, $C$9, 100%, $E$9)</f>
        <v>4.4286000000000003</v>
      </c>
      <c r="N116" s="81">
        <f>4.4233 * CHOOSE(CONTROL!$C$32, $C$9, 100%, $E$9)</f>
        <v>4.4233000000000002</v>
      </c>
      <c r="O116" s="81">
        <f>4.4286 * CHOOSE(CONTROL!$C$32, $C$9, 100%, $E$9)</f>
        <v>4.4286000000000003</v>
      </c>
      <c r="P116" s="10"/>
      <c r="Q116" s="10"/>
      <c r="R116" s="10"/>
    </row>
    <row r="117" spans="1:18" ht="15" x14ac:dyDescent="0.2">
      <c r="A117" s="16">
        <v>44774</v>
      </c>
      <c r="B117" s="80">
        <f>3.4796 * CHOOSE(CONTROL!$C$32, $C$9, 100%, $E$9)</f>
        <v>3.4796</v>
      </c>
      <c r="C117" s="80">
        <f>3.4796 * CHOOSE(CONTROL!$C$32, $C$9, 100%, $E$9)</f>
        <v>3.4796</v>
      </c>
      <c r="D117" s="80">
        <f>3.4811 * CHOOSE(CONTROL!$C$32, $C$9, 100%, $E$9)</f>
        <v>3.4811000000000001</v>
      </c>
      <c r="E117" s="81">
        <f>4.4277 * CHOOSE(CONTROL!$C$32, $C$9, 100%, $E$9)</f>
        <v>4.4276999999999997</v>
      </c>
      <c r="F117" s="81">
        <f>4.4277 * CHOOSE(CONTROL!$C$32, $C$9, 100%, $E$9)</f>
        <v>4.4276999999999997</v>
      </c>
      <c r="G117" s="81">
        <f>4.433 * CHOOSE(CONTROL!$C$32, $C$9, 100%, $E$9)</f>
        <v>4.4329999999999998</v>
      </c>
      <c r="H117" s="81">
        <f>7.2078 * CHOOSE(CONTROL!$C$32, $C$9, 100%, $E$9)</f>
        <v>7.2077999999999998</v>
      </c>
      <c r="I117" s="81">
        <f>7.2131 * CHOOSE(CONTROL!$C$32, $C$9, 100%, $E$9)</f>
        <v>7.2130999999999998</v>
      </c>
      <c r="J117" s="81">
        <f>7.2078 * CHOOSE(CONTROL!$C$32, $C$9, 100%, $E$9)</f>
        <v>7.2077999999999998</v>
      </c>
      <c r="K117" s="81">
        <f>7.2131 * CHOOSE(CONTROL!$C$32, $C$9, 100%, $E$9)</f>
        <v>7.2130999999999998</v>
      </c>
      <c r="L117" s="81">
        <f>4.4277 * CHOOSE(CONTROL!$C$32, $C$9, 100%, $E$9)</f>
        <v>4.4276999999999997</v>
      </c>
      <c r="M117" s="81">
        <f>4.433 * CHOOSE(CONTROL!$C$32, $C$9, 100%, $E$9)</f>
        <v>4.4329999999999998</v>
      </c>
      <c r="N117" s="81">
        <f>4.4277 * CHOOSE(CONTROL!$C$32, $C$9, 100%, $E$9)</f>
        <v>4.4276999999999997</v>
      </c>
      <c r="O117" s="81">
        <f>4.433 * CHOOSE(CONTROL!$C$32, $C$9, 100%, $E$9)</f>
        <v>4.4329999999999998</v>
      </c>
      <c r="P117" s="10"/>
      <c r="Q117" s="10"/>
      <c r="R117" s="10"/>
    </row>
    <row r="118" spans="1:18" ht="15" x14ac:dyDescent="0.2">
      <c r="A118" s="16">
        <v>44805</v>
      </c>
      <c r="B118" s="80">
        <f>3.4765 * CHOOSE(CONTROL!$C$32, $C$9, 100%, $E$9)</f>
        <v>3.4765000000000001</v>
      </c>
      <c r="C118" s="80">
        <f>3.4765 * CHOOSE(CONTROL!$C$32, $C$9, 100%, $E$9)</f>
        <v>3.4765000000000001</v>
      </c>
      <c r="D118" s="80">
        <f>3.4781 * CHOOSE(CONTROL!$C$32, $C$9, 100%, $E$9)</f>
        <v>3.4781</v>
      </c>
      <c r="E118" s="81">
        <f>4.4257 * CHOOSE(CONTROL!$C$32, $C$9, 100%, $E$9)</f>
        <v>4.4257</v>
      </c>
      <c r="F118" s="81">
        <f>4.4257 * CHOOSE(CONTROL!$C$32, $C$9, 100%, $E$9)</f>
        <v>4.4257</v>
      </c>
      <c r="G118" s="81">
        <f>4.431 * CHOOSE(CONTROL!$C$32, $C$9, 100%, $E$9)</f>
        <v>4.431</v>
      </c>
      <c r="H118" s="81">
        <f>7.2228 * CHOOSE(CONTROL!$C$32, $C$9, 100%, $E$9)</f>
        <v>7.2228000000000003</v>
      </c>
      <c r="I118" s="81">
        <f>7.2281 * CHOOSE(CONTROL!$C$32, $C$9, 100%, $E$9)</f>
        <v>7.2281000000000004</v>
      </c>
      <c r="J118" s="81">
        <f>7.2228 * CHOOSE(CONTROL!$C$32, $C$9, 100%, $E$9)</f>
        <v>7.2228000000000003</v>
      </c>
      <c r="K118" s="81">
        <f>7.2281 * CHOOSE(CONTROL!$C$32, $C$9, 100%, $E$9)</f>
        <v>7.2281000000000004</v>
      </c>
      <c r="L118" s="81">
        <f>4.4257 * CHOOSE(CONTROL!$C$32, $C$9, 100%, $E$9)</f>
        <v>4.4257</v>
      </c>
      <c r="M118" s="81">
        <f>4.431 * CHOOSE(CONTROL!$C$32, $C$9, 100%, $E$9)</f>
        <v>4.431</v>
      </c>
      <c r="N118" s="81">
        <f>4.4257 * CHOOSE(CONTROL!$C$32, $C$9, 100%, $E$9)</f>
        <v>4.4257</v>
      </c>
      <c r="O118" s="81">
        <f>4.431 * CHOOSE(CONTROL!$C$32, $C$9, 100%, $E$9)</f>
        <v>4.431</v>
      </c>
      <c r="P118" s="10"/>
      <c r="Q118" s="10"/>
      <c r="R118" s="10"/>
    </row>
    <row r="119" spans="1:18" ht="15" x14ac:dyDescent="0.2">
      <c r="A119" s="16">
        <v>44835</v>
      </c>
      <c r="B119" s="80">
        <f>3.4698 * CHOOSE(CONTROL!$C$32, $C$9, 100%, $E$9)</f>
        <v>3.4698000000000002</v>
      </c>
      <c r="C119" s="80">
        <f>3.4698 * CHOOSE(CONTROL!$C$32, $C$9, 100%, $E$9)</f>
        <v>3.4698000000000002</v>
      </c>
      <c r="D119" s="80">
        <f>3.4709 * CHOOSE(CONTROL!$C$32, $C$9, 100%, $E$9)</f>
        <v>3.4708999999999999</v>
      </c>
      <c r="E119" s="81">
        <f>4.4195 * CHOOSE(CONTROL!$C$32, $C$9, 100%, $E$9)</f>
        <v>4.4195000000000002</v>
      </c>
      <c r="F119" s="81">
        <f>4.4195 * CHOOSE(CONTROL!$C$32, $C$9, 100%, $E$9)</f>
        <v>4.4195000000000002</v>
      </c>
      <c r="G119" s="81">
        <f>4.4231 * CHOOSE(CONTROL!$C$32, $C$9, 100%, $E$9)</f>
        <v>4.4230999999999998</v>
      </c>
      <c r="H119" s="81">
        <f>7.2378 * CHOOSE(CONTROL!$C$32, $C$9, 100%, $E$9)</f>
        <v>7.2378</v>
      </c>
      <c r="I119" s="81">
        <f>7.2415 * CHOOSE(CONTROL!$C$32, $C$9, 100%, $E$9)</f>
        <v>7.2415000000000003</v>
      </c>
      <c r="J119" s="81">
        <f>7.2378 * CHOOSE(CONTROL!$C$32, $C$9, 100%, $E$9)</f>
        <v>7.2378</v>
      </c>
      <c r="K119" s="81">
        <f>7.2415 * CHOOSE(CONTROL!$C$32, $C$9, 100%, $E$9)</f>
        <v>7.2415000000000003</v>
      </c>
      <c r="L119" s="81">
        <f>4.4195 * CHOOSE(CONTROL!$C$32, $C$9, 100%, $E$9)</f>
        <v>4.4195000000000002</v>
      </c>
      <c r="M119" s="81">
        <f>4.4231 * CHOOSE(CONTROL!$C$32, $C$9, 100%, $E$9)</f>
        <v>4.4230999999999998</v>
      </c>
      <c r="N119" s="81">
        <f>4.4195 * CHOOSE(CONTROL!$C$32, $C$9, 100%, $E$9)</f>
        <v>4.4195000000000002</v>
      </c>
      <c r="O119" s="81">
        <f>4.4231 * CHOOSE(CONTROL!$C$32, $C$9, 100%, $E$9)</f>
        <v>4.4230999999999998</v>
      </c>
      <c r="P119" s="10"/>
      <c r="Q119" s="10"/>
      <c r="R119" s="10"/>
    </row>
    <row r="120" spans="1:18" ht="15" x14ac:dyDescent="0.2">
      <c r="A120" s="16">
        <v>44866</v>
      </c>
      <c r="B120" s="80">
        <f>3.4728 * CHOOSE(CONTROL!$C$32, $C$9, 100%, $E$9)</f>
        <v>3.4727999999999999</v>
      </c>
      <c r="C120" s="80">
        <f>3.4728 * CHOOSE(CONTROL!$C$32, $C$9, 100%, $E$9)</f>
        <v>3.4727999999999999</v>
      </c>
      <c r="D120" s="80">
        <f>3.4739 * CHOOSE(CONTROL!$C$32, $C$9, 100%, $E$9)</f>
        <v>3.4739</v>
      </c>
      <c r="E120" s="81">
        <f>4.4215 * CHOOSE(CONTROL!$C$32, $C$9, 100%, $E$9)</f>
        <v>4.4215</v>
      </c>
      <c r="F120" s="81">
        <f>4.4215 * CHOOSE(CONTROL!$C$32, $C$9, 100%, $E$9)</f>
        <v>4.4215</v>
      </c>
      <c r="G120" s="81">
        <f>4.4251 * CHOOSE(CONTROL!$C$32, $C$9, 100%, $E$9)</f>
        <v>4.4250999999999996</v>
      </c>
      <c r="H120" s="81">
        <f>7.2529 * CHOOSE(CONTROL!$C$32, $C$9, 100%, $E$9)</f>
        <v>7.2529000000000003</v>
      </c>
      <c r="I120" s="81">
        <f>7.2565 * CHOOSE(CONTROL!$C$32, $C$9, 100%, $E$9)</f>
        <v>7.2565</v>
      </c>
      <c r="J120" s="81">
        <f>7.2529 * CHOOSE(CONTROL!$C$32, $C$9, 100%, $E$9)</f>
        <v>7.2529000000000003</v>
      </c>
      <c r="K120" s="81">
        <f>7.2565 * CHOOSE(CONTROL!$C$32, $C$9, 100%, $E$9)</f>
        <v>7.2565</v>
      </c>
      <c r="L120" s="81">
        <f>4.4215 * CHOOSE(CONTROL!$C$32, $C$9, 100%, $E$9)</f>
        <v>4.4215</v>
      </c>
      <c r="M120" s="81">
        <f>4.4251 * CHOOSE(CONTROL!$C$32, $C$9, 100%, $E$9)</f>
        <v>4.4250999999999996</v>
      </c>
      <c r="N120" s="81">
        <f>4.4215 * CHOOSE(CONTROL!$C$32, $C$9, 100%, $E$9)</f>
        <v>4.4215</v>
      </c>
      <c r="O120" s="81">
        <f>4.4251 * CHOOSE(CONTROL!$C$32, $C$9, 100%, $E$9)</f>
        <v>4.4250999999999996</v>
      </c>
      <c r="P120" s="10"/>
      <c r="Q120" s="10"/>
      <c r="R120" s="10"/>
    </row>
    <row r="121" spans="1:18" ht="15" x14ac:dyDescent="0.2">
      <c r="A121" s="16">
        <v>44896</v>
      </c>
      <c r="B121" s="80">
        <f>3.4728 * CHOOSE(CONTROL!$C$32, $C$9, 100%, $E$9)</f>
        <v>3.4727999999999999</v>
      </c>
      <c r="C121" s="80">
        <f>3.4728 * CHOOSE(CONTROL!$C$32, $C$9, 100%, $E$9)</f>
        <v>3.4727999999999999</v>
      </c>
      <c r="D121" s="80">
        <f>3.4739 * CHOOSE(CONTROL!$C$32, $C$9, 100%, $E$9)</f>
        <v>3.4739</v>
      </c>
      <c r="E121" s="81">
        <f>4.4215 * CHOOSE(CONTROL!$C$32, $C$9, 100%, $E$9)</f>
        <v>4.4215</v>
      </c>
      <c r="F121" s="81">
        <f>4.4215 * CHOOSE(CONTROL!$C$32, $C$9, 100%, $E$9)</f>
        <v>4.4215</v>
      </c>
      <c r="G121" s="81">
        <f>4.4251 * CHOOSE(CONTROL!$C$32, $C$9, 100%, $E$9)</f>
        <v>4.4250999999999996</v>
      </c>
      <c r="H121" s="81">
        <f>7.268 * CHOOSE(CONTROL!$C$32, $C$9, 100%, $E$9)</f>
        <v>7.2679999999999998</v>
      </c>
      <c r="I121" s="81">
        <f>7.2716 * CHOOSE(CONTROL!$C$32, $C$9, 100%, $E$9)</f>
        <v>7.2716000000000003</v>
      </c>
      <c r="J121" s="81">
        <f>7.268 * CHOOSE(CONTROL!$C$32, $C$9, 100%, $E$9)</f>
        <v>7.2679999999999998</v>
      </c>
      <c r="K121" s="81">
        <f>7.2716 * CHOOSE(CONTROL!$C$32, $C$9, 100%, $E$9)</f>
        <v>7.2716000000000003</v>
      </c>
      <c r="L121" s="81">
        <f>4.4215 * CHOOSE(CONTROL!$C$32, $C$9, 100%, $E$9)</f>
        <v>4.4215</v>
      </c>
      <c r="M121" s="81">
        <f>4.4251 * CHOOSE(CONTROL!$C$32, $C$9, 100%, $E$9)</f>
        <v>4.4250999999999996</v>
      </c>
      <c r="N121" s="81">
        <f>4.4215 * CHOOSE(CONTROL!$C$32, $C$9, 100%, $E$9)</f>
        <v>4.4215</v>
      </c>
      <c r="O121" s="81">
        <f>4.4251 * CHOOSE(CONTROL!$C$32, $C$9, 100%, $E$9)</f>
        <v>4.4250999999999996</v>
      </c>
      <c r="P121" s="10"/>
      <c r="Q121" s="10"/>
      <c r="R121" s="10"/>
    </row>
    <row r="122" spans="1:18" ht="15" x14ac:dyDescent="0.2">
      <c r="A122" s="16">
        <v>44927</v>
      </c>
      <c r="B122" s="80">
        <f>3.5089 * CHOOSE(CONTROL!$C$32, $C$9, 100%, $E$9)</f>
        <v>3.5089000000000001</v>
      </c>
      <c r="C122" s="80">
        <f>3.5089 * CHOOSE(CONTROL!$C$32, $C$9, 100%, $E$9)</f>
        <v>3.5089000000000001</v>
      </c>
      <c r="D122" s="80">
        <f>3.5099 * CHOOSE(CONTROL!$C$32, $C$9, 100%, $E$9)</f>
        <v>3.5099</v>
      </c>
      <c r="E122" s="81">
        <f>4.4558 * CHOOSE(CONTROL!$C$32, $C$9, 100%, $E$9)</f>
        <v>4.4558</v>
      </c>
      <c r="F122" s="81">
        <f>4.4558 * CHOOSE(CONTROL!$C$32, $C$9, 100%, $E$9)</f>
        <v>4.4558</v>
      </c>
      <c r="G122" s="81">
        <f>4.4594 * CHOOSE(CONTROL!$C$32, $C$9, 100%, $E$9)</f>
        <v>4.4593999999999996</v>
      </c>
      <c r="H122" s="81">
        <f>7.2832 * CHOOSE(CONTROL!$C$32, $C$9, 100%, $E$9)</f>
        <v>7.2831999999999999</v>
      </c>
      <c r="I122" s="81">
        <f>7.2868 * CHOOSE(CONTROL!$C$32, $C$9, 100%, $E$9)</f>
        <v>7.2868000000000004</v>
      </c>
      <c r="J122" s="81">
        <f>7.2832 * CHOOSE(CONTROL!$C$32, $C$9, 100%, $E$9)</f>
        <v>7.2831999999999999</v>
      </c>
      <c r="K122" s="81">
        <f>7.2868 * CHOOSE(CONTROL!$C$32, $C$9, 100%, $E$9)</f>
        <v>7.2868000000000004</v>
      </c>
      <c r="L122" s="81">
        <f>4.4558 * CHOOSE(CONTROL!$C$32, $C$9, 100%, $E$9)</f>
        <v>4.4558</v>
      </c>
      <c r="M122" s="81">
        <f>4.4594 * CHOOSE(CONTROL!$C$32, $C$9, 100%, $E$9)</f>
        <v>4.4593999999999996</v>
      </c>
      <c r="N122" s="81">
        <f>4.4558 * CHOOSE(CONTROL!$C$32, $C$9, 100%, $E$9)</f>
        <v>4.4558</v>
      </c>
      <c r="O122" s="81">
        <f>4.4594 * CHOOSE(CONTROL!$C$32, $C$9, 100%, $E$9)</f>
        <v>4.4593999999999996</v>
      </c>
      <c r="P122" s="10"/>
      <c r="Q122" s="10"/>
      <c r="R122" s="10"/>
    </row>
    <row r="123" spans="1:18" ht="15" x14ac:dyDescent="0.2">
      <c r="A123" s="16">
        <v>44958</v>
      </c>
      <c r="B123" s="80">
        <f>3.5058 * CHOOSE(CONTROL!$C$32, $C$9, 100%, $E$9)</f>
        <v>3.5057999999999998</v>
      </c>
      <c r="C123" s="80">
        <f>3.5058 * CHOOSE(CONTROL!$C$32, $C$9, 100%, $E$9)</f>
        <v>3.5057999999999998</v>
      </c>
      <c r="D123" s="80">
        <f>3.5069 * CHOOSE(CONTROL!$C$32, $C$9, 100%, $E$9)</f>
        <v>3.5068999999999999</v>
      </c>
      <c r="E123" s="81">
        <f>4.4538 * CHOOSE(CONTROL!$C$32, $C$9, 100%, $E$9)</f>
        <v>4.4538000000000002</v>
      </c>
      <c r="F123" s="81">
        <f>4.4538 * CHOOSE(CONTROL!$C$32, $C$9, 100%, $E$9)</f>
        <v>4.4538000000000002</v>
      </c>
      <c r="G123" s="81">
        <f>4.4574 * CHOOSE(CONTROL!$C$32, $C$9, 100%, $E$9)</f>
        <v>4.4573999999999998</v>
      </c>
      <c r="H123" s="81">
        <f>7.2983 * CHOOSE(CONTROL!$C$32, $C$9, 100%, $E$9)</f>
        <v>7.2983000000000002</v>
      </c>
      <c r="I123" s="81">
        <f>7.302 * CHOOSE(CONTROL!$C$32, $C$9, 100%, $E$9)</f>
        <v>7.3019999999999996</v>
      </c>
      <c r="J123" s="81">
        <f>7.2983 * CHOOSE(CONTROL!$C$32, $C$9, 100%, $E$9)</f>
        <v>7.2983000000000002</v>
      </c>
      <c r="K123" s="81">
        <f>7.302 * CHOOSE(CONTROL!$C$32, $C$9, 100%, $E$9)</f>
        <v>7.3019999999999996</v>
      </c>
      <c r="L123" s="81">
        <f>4.4538 * CHOOSE(CONTROL!$C$32, $C$9, 100%, $E$9)</f>
        <v>4.4538000000000002</v>
      </c>
      <c r="M123" s="81">
        <f>4.4574 * CHOOSE(CONTROL!$C$32, $C$9, 100%, $E$9)</f>
        <v>4.4573999999999998</v>
      </c>
      <c r="N123" s="81">
        <f>4.4538 * CHOOSE(CONTROL!$C$32, $C$9, 100%, $E$9)</f>
        <v>4.4538000000000002</v>
      </c>
      <c r="O123" s="81">
        <f>4.4574 * CHOOSE(CONTROL!$C$32, $C$9, 100%, $E$9)</f>
        <v>4.4573999999999998</v>
      </c>
      <c r="P123" s="10"/>
      <c r="Q123" s="10"/>
      <c r="R123" s="10"/>
    </row>
    <row r="124" spans="1:18" ht="15" x14ac:dyDescent="0.2">
      <c r="A124" s="16">
        <v>44986</v>
      </c>
      <c r="B124" s="80">
        <f>3.5028 * CHOOSE(CONTROL!$C$32, $C$9, 100%, $E$9)</f>
        <v>3.5028000000000001</v>
      </c>
      <c r="C124" s="80">
        <f>3.5028 * CHOOSE(CONTROL!$C$32, $C$9, 100%, $E$9)</f>
        <v>3.5028000000000001</v>
      </c>
      <c r="D124" s="80">
        <f>3.5039 * CHOOSE(CONTROL!$C$32, $C$9, 100%, $E$9)</f>
        <v>3.5038999999999998</v>
      </c>
      <c r="E124" s="81">
        <f>4.4518 * CHOOSE(CONTROL!$C$32, $C$9, 100%, $E$9)</f>
        <v>4.4518000000000004</v>
      </c>
      <c r="F124" s="81">
        <f>4.4518 * CHOOSE(CONTROL!$C$32, $C$9, 100%, $E$9)</f>
        <v>4.4518000000000004</v>
      </c>
      <c r="G124" s="81">
        <f>4.4554 * CHOOSE(CONTROL!$C$32, $C$9, 100%, $E$9)</f>
        <v>4.4554</v>
      </c>
      <c r="H124" s="81">
        <f>7.3136 * CHOOSE(CONTROL!$C$32, $C$9, 100%, $E$9)</f>
        <v>7.3136000000000001</v>
      </c>
      <c r="I124" s="81">
        <f>7.3172 * CHOOSE(CONTROL!$C$32, $C$9, 100%, $E$9)</f>
        <v>7.3171999999999997</v>
      </c>
      <c r="J124" s="81">
        <f>7.3136 * CHOOSE(CONTROL!$C$32, $C$9, 100%, $E$9)</f>
        <v>7.3136000000000001</v>
      </c>
      <c r="K124" s="81">
        <f>7.3172 * CHOOSE(CONTROL!$C$32, $C$9, 100%, $E$9)</f>
        <v>7.3171999999999997</v>
      </c>
      <c r="L124" s="81">
        <f>4.4518 * CHOOSE(CONTROL!$C$32, $C$9, 100%, $E$9)</f>
        <v>4.4518000000000004</v>
      </c>
      <c r="M124" s="81">
        <f>4.4554 * CHOOSE(CONTROL!$C$32, $C$9, 100%, $E$9)</f>
        <v>4.4554</v>
      </c>
      <c r="N124" s="81">
        <f>4.4518 * CHOOSE(CONTROL!$C$32, $C$9, 100%, $E$9)</f>
        <v>4.4518000000000004</v>
      </c>
      <c r="O124" s="81">
        <f>4.4554 * CHOOSE(CONTROL!$C$32, $C$9, 100%, $E$9)</f>
        <v>4.4554</v>
      </c>
      <c r="P124" s="10"/>
      <c r="Q124" s="10"/>
      <c r="R124" s="10"/>
    </row>
    <row r="125" spans="1:18" ht="15" x14ac:dyDescent="0.2">
      <c r="A125" s="16">
        <v>45017</v>
      </c>
      <c r="B125" s="80">
        <f>3.5 * CHOOSE(CONTROL!$C$32, $C$9, 100%, $E$9)</f>
        <v>3.5</v>
      </c>
      <c r="C125" s="80">
        <f>3.5 * CHOOSE(CONTROL!$C$32, $C$9, 100%, $E$9)</f>
        <v>3.5</v>
      </c>
      <c r="D125" s="80">
        <f>3.5011 * CHOOSE(CONTROL!$C$32, $C$9, 100%, $E$9)</f>
        <v>3.5011000000000001</v>
      </c>
      <c r="E125" s="81">
        <f>4.4495 * CHOOSE(CONTROL!$C$32, $C$9, 100%, $E$9)</f>
        <v>4.4494999999999996</v>
      </c>
      <c r="F125" s="81">
        <f>4.4495 * CHOOSE(CONTROL!$C$32, $C$9, 100%, $E$9)</f>
        <v>4.4494999999999996</v>
      </c>
      <c r="G125" s="81">
        <f>4.4531 * CHOOSE(CONTROL!$C$32, $C$9, 100%, $E$9)</f>
        <v>4.4531000000000001</v>
      </c>
      <c r="H125" s="81">
        <f>7.3288 * CHOOSE(CONTROL!$C$32, $C$9, 100%, $E$9)</f>
        <v>7.3288000000000002</v>
      </c>
      <c r="I125" s="81">
        <f>7.3324 * CHOOSE(CONTROL!$C$32, $C$9, 100%, $E$9)</f>
        <v>7.3323999999999998</v>
      </c>
      <c r="J125" s="81">
        <f>7.3288 * CHOOSE(CONTROL!$C$32, $C$9, 100%, $E$9)</f>
        <v>7.3288000000000002</v>
      </c>
      <c r="K125" s="81">
        <f>7.3324 * CHOOSE(CONTROL!$C$32, $C$9, 100%, $E$9)</f>
        <v>7.3323999999999998</v>
      </c>
      <c r="L125" s="81">
        <f>4.4495 * CHOOSE(CONTROL!$C$32, $C$9, 100%, $E$9)</f>
        <v>4.4494999999999996</v>
      </c>
      <c r="M125" s="81">
        <f>4.4531 * CHOOSE(CONTROL!$C$32, $C$9, 100%, $E$9)</f>
        <v>4.4531000000000001</v>
      </c>
      <c r="N125" s="81">
        <f>4.4495 * CHOOSE(CONTROL!$C$32, $C$9, 100%, $E$9)</f>
        <v>4.4494999999999996</v>
      </c>
      <c r="O125" s="81">
        <f>4.4531 * CHOOSE(CONTROL!$C$32, $C$9, 100%, $E$9)</f>
        <v>4.4531000000000001</v>
      </c>
      <c r="P125" s="10"/>
      <c r="Q125" s="10"/>
      <c r="R125" s="10"/>
    </row>
    <row r="126" spans="1:18" ht="15" x14ac:dyDescent="0.2">
      <c r="A126" s="16">
        <v>45047</v>
      </c>
      <c r="B126" s="80">
        <f>3.5 * CHOOSE(CONTROL!$C$32, $C$9, 100%, $E$9)</f>
        <v>3.5</v>
      </c>
      <c r="C126" s="80">
        <f>3.5 * CHOOSE(CONTROL!$C$32, $C$9, 100%, $E$9)</f>
        <v>3.5</v>
      </c>
      <c r="D126" s="80">
        <f>3.5016 * CHOOSE(CONTROL!$C$32, $C$9, 100%, $E$9)</f>
        <v>3.5015999999999998</v>
      </c>
      <c r="E126" s="81">
        <f>4.4495 * CHOOSE(CONTROL!$C$32, $C$9, 100%, $E$9)</f>
        <v>4.4494999999999996</v>
      </c>
      <c r="F126" s="81">
        <f>4.4495 * CHOOSE(CONTROL!$C$32, $C$9, 100%, $E$9)</f>
        <v>4.4494999999999996</v>
      </c>
      <c r="G126" s="81">
        <f>4.4548 * CHOOSE(CONTROL!$C$32, $C$9, 100%, $E$9)</f>
        <v>4.4547999999999996</v>
      </c>
      <c r="H126" s="81">
        <f>7.3441 * CHOOSE(CONTROL!$C$32, $C$9, 100%, $E$9)</f>
        <v>7.3441000000000001</v>
      </c>
      <c r="I126" s="81">
        <f>7.3494 * CHOOSE(CONTROL!$C$32, $C$9, 100%, $E$9)</f>
        <v>7.3494000000000002</v>
      </c>
      <c r="J126" s="81">
        <f>7.3441 * CHOOSE(CONTROL!$C$32, $C$9, 100%, $E$9)</f>
        <v>7.3441000000000001</v>
      </c>
      <c r="K126" s="81">
        <f>7.3494 * CHOOSE(CONTROL!$C$32, $C$9, 100%, $E$9)</f>
        <v>7.3494000000000002</v>
      </c>
      <c r="L126" s="81">
        <f>4.4495 * CHOOSE(CONTROL!$C$32, $C$9, 100%, $E$9)</f>
        <v>4.4494999999999996</v>
      </c>
      <c r="M126" s="81">
        <f>4.4548 * CHOOSE(CONTROL!$C$32, $C$9, 100%, $E$9)</f>
        <v>4.4547999999999996</v>
      </c>
      <c r="N126" s="81">
        <f>4.4495 * CHOOSE(CONTROL!$C$32, $C$9, 100%, $E$9)</f>
        <v>4.4494999999999996</v>
      </c>
      <c r="O126" s="81">
        <f>4.4548 * CHOOSE(CONTROL!$C$32, $C$9, 100%, $E$9)</f>
        <v>4.4547999999999996</v>
      </c>
      <c r="P126" s="10"/>
      <c r="Q126" s="10"/>
      <c r="R126" s="10"/>
    </row>
    <row r="127" spans="1:18" ht="15" x14ac:dyDescent="0.2">
      <c r="A127" s="16">
        <v>45078</v>
      </c>
      <c r="B127" s="80">
        <f>3.5061 * CHOOSE(CONTROL!$C$32, $C$9, 100%, $E$9)</f>
        <v>3.5061</v>
      </c>
      <c r="C127" s="80">
        <f>3.5061 * CHOOSE(CONTROL!$C$32, $C$9, 100%, $E$9)</f>
        <v>3.5061</v>
      </c>
      <c r="D127" s="80">
        <f>3.5077 * CHOOSE(CONTROL!$C$32, $C$9, 100%, $E$9)</f>
        <v>3.5076999999999998</v>
      </c>
      <c r="E127" s="81">
        <f>4.4535 * CHOOSE(CONTROL!$C$32, $C$9, 100%, $E$9)</f>
        <v>4.4535</v>
      </c>
      <c r="F127" s="81">
        <f>4.4535 * CHOOSE(CONTROL!$C$32, $C$9, 100%, $E$9)</f>
        <v>4.4535</v>
      </c>
      <c r="G127" s="81">
        <f>4.4588 * CHOOSE(CONTROL!$C$32, $C$9, 100%, $E$9)</f>
        <v>4.4588000000000001</v>
      </c>
      <c r="H127" s="81">
        <f>7.3594 * CHOOSE(CONTROL!$C$32, $C$9, 100%, $E$9)</f>
        <v>7.3593999999999999</v>
      </c>
      <c r="I127" s="81">
        <f>7.3647 * CHOOSE(CONTROL!$C$32, $C$9, 100%, $E$9)</f>
        <v>7.3647</v>
      </c>
      <c r="J127" s="81">
        <f>7.3594 * CHOOSE(CONTROL!$C$32, $C$9, 100%, $E$9)</f>
        <v>7.3593999999999999</v>
      </c>
      <c r="K127" s="81">
        <f>7.3647 * CHOOSE(CONTROL!$C$32, $C$9, 100%, $E$9)</f>
        <v>7.3647</v>
      </c>
      <c r="L127" s="81">
        <f>4.4535 * CHOOSE(CONTROL!$C$32, $C$9, 100%, $E$9)</f>
        <v>4.4535</v>
      </c>
      <c r="M127" s="81">
        <f>4.4588 * CHOOSE(CONTROL!$C$32, $C$9, 100%, $E$9)</f>
        <v>4.4588000000000001</v>
      </c>
      <c r="N127" s="81">
        <f>4.4535 * CHOOSE(CONTROL!$C$32, $C$9, 100%, $E$9)</f>
        <v>4.4535</v>
      </c>
      <c r="O127" s="81">
        <f>4.4588 * CHOOSE(CONTROL!$C$32, $C$9, 100%, $E$9)</f>
        <v>4.4588000000000001</v>
      </c>
      <c r="P127" s="10"/>
      <c r="Q127" s="10"/>
      <c r="R127" s="10"/>
    </row>
    <row r="128" spans="1:18" ht="15" x14ac:dyDescent="0.2">
      <c r="A128" s="16">
        <v>45108</v>
      </c>
      <c r="B128" s="80">
        <f>3.5764 * CHOOSE(CONTROL!$C$32, $C$9, 100%, $E$9)</f>
        <v>3.5764</v>
      </c>
      <c r="C128" s="80">
        <f>3.5764 * CHOOSE(CONTROL!$C$32, $C$9, 100%, $E$9)</f>
        <v>3.5764</v>
      </c>
      <c r="D128" s="80">
        <f>3.578 * CHOOSE(CONTROL!$C$32, $C$9, 100%, $E$9)</f>
        <v>3.5779999999999998</v>
      </c>
      <c r="E128" s="81">
        <f>4.5283 * CHOOSE(CONTROL!$C$32, $C$9, 100%, $E$9)</f>
        <v>4.5282999999999998</v>
      </c>
      <c r="F128" s="81">
        <f>4.5283 * CHOOSE(CONTROL!$C$32, $C$9, 100%, $E$9)</f>
        <v>4.5282999999999998</v>
      </c>
      <c r="G128" s="81">
        <f>4.5336 * CHOOSE(CONTROL!$C$32, $C$9, 100%, $E$9)</f>
        <v>4.5335999999999999</v>
      </c>
      <c r="H128" s="81">
        <f>7.3747 * CHOOSE(CONTROL!$C$32, $C$9, 100%, $E$9)</f>
        <v>7.3746999999999998</v>
      </c>
      <c r="I128" s="81">
        <f>7.38 * CHOOSE(CONTROL!$C$32, $C$9, 100%, $E$9)</f>
        <v>7.38</v>
      </c>
      <c r="J128" s="81">
        <f>7.3747 * CHOOSE(CONTROL!$C$32, $C$9, 100%, $E$9)</f>
        <v>7.3746999999999998</v>
      </c>
      <c r="K128" s="81">
        <f>7.38 * CHOOSE(CONTROL!$C$32, $C$9, 100%, $E$9)</f>
        <v>7.38</v>
      </c>
      <c r="L128" s="81">
        <f>4.5283 * CHOOSE(CONTROL!$C$32, $C$9, 100%, $E$9)</f>
        <v>4.5282999999999998</v>
      </c>
      <c r="M128" s="81">
        <f>4.5336 * CHOOSE(CONTROL!$C$32, $C$9, 100%, $E$9)</f>
        <v>4.5335999999999999</v>
      </c>
      <c r="N128" s="81">
        <f>4.5283 * CHOOSE(CONTROL!$C$32, $C$9, 100%, $E$9)</f>
        <v>4.5282999999999998</v>
      </c>
      <c r="O128" s="81">
        <f>4.5336 * CHOOSE(CONTROL!$C$32, $C$9, 100%, $E$9)</f>
        <v>4.5335999999999999</v>
      </c>
      <c r="P128" s="10"/>
      <c r="Q128" s="10"/>
      <c r="R128" s="10"/>
    </row>
    <row r="129" spans="1:18" ht="15" x14ac:dyDescent="0.2">
      <c r="A129" s="16">
        <v>45139</v>
      </c>
      <c r="B129" s="80">
        <f>3.5831 * CHOOSE(CONTROL!$C$32, $C$9, 100%, $E$9)</f>
        <v>3.5831</v>
      </c>
      <c r="C129" s="80">
        <f>3.5831 * CHOOSE(CONTROL!$C$32, $C$9, 100%, $E$9)</f>
        <v>3.5831</v>
      </c>
      <c r="D129" s="80">
        <f>3.5846 * CHOOSE(CONTROL!$C$32, $C$9, 100%, $E$9)</f>
        <v>3.5846</v>
      </c>
      <c r="E129" s="81">
        <f>4.5327 * CHOOSE(CONTROL!$C$32, $C$9, 100%, $E$9)</f>
        <v>4.5327000000000002</v>
      </c>
      <c r="F129" s="81">
        <f>4.5327 * CHOOSE(CONTROL!$C$32, $C$9, 100%, $E$9)</f>
        <v>4.5327000000000002</v>
      </c>
      <c r="G129" s="81">
        <f>4.538 * CHOOSE(CONTROL!$C$32, $C$9, 100%, $E$9)</f>
        <v>4.5380000000000003</v>
      </c>
      <c r="H129" s="81">
        <f>7.3901 * CHOOSE(CONTROL!$C$32, $C$9, 100%, $E$9)</f>
        <v>7.3901000000000003</v>
      </c>
      <c r="I129" s="81">
        <f>7.3953 * CHOOSE(CONTROL!$C$32, $C$9, 100%, $E$9)</f>
        <v>7.3952999999999998</v>
      </c>
      <c r="J129" s="81">
        <f>7.3901 * CHOOSE(CONTROL!$C$32, $C$9, 100%, $E$9)</f>
        <v>7.3901000000000003</v>
      </c>
      <c r="K129" s="81">
        <f>7.3953 * CHOOSE(CONTROL!$C$32, $C$9, 100%, $E$9)</f>
        <v>7.3952999999999998</v>
      </c>
      <c r="L129" s="81">
        <f>4.5327 * CHOOSE(CONTROL!$C$32, $C$9, 100%, $E$9)</f>
        <v>4.5327000000000002</v>
      </c>
      <c r="M129" s="81">
        <f>4.538 * CHOOSE(CONTROL!$C$32, $C$9, 100%, $E$9)</f>
        <v>4.5380000000000003</v>
      </c>
      <c r="N129" s="81">
        <f>4.5327 * CHOOSE(CONTROL!$C$32, $C$9, 100%, $E$9)</f>
        <v>4.5327000000000002</v>
      </c>
      <c r="O129" s="81">
        <f>4.538 * CHOOSE(CONTROL!$C$32, $C$9, 100%, $E$9)</f>
        <v>4.5380000000000003</v>
      </c>
      <c r="P129" s="10"/>
      <c r="Q129" s="10"/>
      <c r="R129" s="10"/>
    </row>
    <row r="130" spans="1:18" ht="15" x14ac:dyDescent="0.2">
      <c r="A130" s="16">
        <v>45170</v>
      </c>
      <c r="B130" s="80">
        <f>3.58 * CHOOSE(CONTROL!$C$32, $C$9, 100%, $E$9)</f>
        <v>3.58</v>
      </c>
      <c r="C130" s="80">
        <f>3.58 * CHOOSE(CONTROL!$C$32, $C$9, 100%, $E$9)</f>
        <v>3.58</v>
      </c>
      <c r="D130" s="80">
        <f>3.5816 * CHOOSE(CONTROL!$C$32, $C$9, 100%, $E$9)</f>
        <v>3.5815999999999999</v>
      </c>
      <c r="E130" s="81">
        <f>4.5307 * CHOOSE(CONTROL!$C$32, $C$9, 100%, $E$9)</f>
        <v>4.5307000000000004</v>
      </c>
      <c r="F130" s="81">
        <f>4.5307 * CHOOSE(CONTROL!$C$32, $C$9, 100%, $E$9)</f>
        <v>4.5307000000000004</v>
      </c>
      <c r="G130" s="81">
        <f>4.536 * CHOOSE(CONTROL!$C$32, $C$9, 100%, $E$9)</f>
        <v>4.5359999999999996</v>
      </c>
      <c r="H130" s="81">
        <f>7.4054 * CHOOSE(CONTROL!$C$32, $C$9, 100%, $E$9)</f>
        <v>7.4054000000000002</v>
      </c>
      <c r="I130" s="81">
        <f>7.4107 * CHOOSE(CONTROL!$C$32, $C$9, 100%, $E$9)</f>
        <v>7.4107000000000003</v>
      </c>
      <c r="J130" s="81">
        <f>7.4054 * CHOOSE(CONTROL!$C$32, $C$9, 100%, $E$9)</f>
        <v>7.4054000000000002</v>
      </c>
      <c r="K130" s="81">
        <f>7.4107 * CHOOSE(CONTROL!$C$32, $C$9, 100%, $E$9)</f>
        <v>7.4107000000000003</v>
      </c>
      <c r="L130" s="81">
        <f>4.5307 * CHOOSE(CONTROL!$C$32, $C$9, 100%, $E$9)</f>
        <v>4.5307000000000004</v>
      </c>
      <c r="M130" s="81">
        <f>4.536 * CHOOSE(CONTROL!$C$32, $C$9, 100%, $E$9)</f>
        <v>4.5359999999999996</v>
      </c>
      <c r="N130" s="81">
        <f>4.5307 * CHOOSE(CONTROL!$C$32, $C$9, 100%, $E$9)</f>
        <v>4.5307000000000004</v>
      </c>
      <c r="O130" s="81">
        <f>4.536 * CHOOSE(CONTROL!$C$32, $C$9, 100%, $E$9)</f>
        <v>4.5359999999999996</v>
      </c>
      <c r="P130" s="10"/>
      <c r="Q130" s="10"/>
      <c r="R130" s="10"/>
    </row>
    <row r="131" spans="1:18" ht="15" x14ac:dyDescent="0.2">
      <c r="A131" s="16">
        <v>45200</v>
      </c>
      <c r="B131" s="80">
        <f>3.5736 * CHOOSE(CONTROL!$C$32, $C$9, 100%, $E$9)</f>
        <v>3.5735999999999999</v>
      </c>
      <c r="C131" s="80">
        <f>3.5736 * CHOOSE(CONTROL!$C$32, $C$9, 100%, $E$9)</f>
        <v>3.5735999999999999</v>
      </c>
      <c r="D131" s="80">
        <f>3.5747 * CHOOSE(CONTROL!$C$32, $C$9, 100%, $E$9)</f>
        <v>3.5747</v>
      </c>
      <c r="E131" s="81">
        <f>4.5247 * CHOOSE(CONTROL!$C$32, $C$9, 100%, $E$9)</f>
        <v>4.5247000000000002</v>
      </c>
      <c r="F131" s="81">
        <f>4.5247 * CHOOSE(CONTROL!$C$32, $C$9, 100%, $E$9)</f>
        <v>4.5247000000000002</v>
      </c>
      <c r="G131" s="81">
        <f>4.5283 * CHOOSE(CONTROL!$C$32, $C$9, 100%, $E$9)</f>
        <v>4.5282999999999998</v>
      </c>
      <c r="H131" s="81">
        <f>7.4209 * CHOOSE(CONTROL!$C$32, $C$9, 100%, $E$9)</f>
        <v>7.4208999999999996</v>
      </c>
      <c r="I131" s="81">
        <f>7.4245 * CHOOSE(CONTROL!$C$32, $C$9, 100%, $E$9)</f>
        <v>7.4245000000000001</v>
      </c>
      <c r="J131" s="81">
        <f>7.4209 * CHOOSE(CONTROL!$C$32, $C$9, 100%, $E$9)</f>
        <v>7.4208999999999996</v>
      </c>
      <c r="K131" s="81">
        <f>7.4245 * CHOOSE(CONTROL!$C$32, $C$9, 100%, $E$9)</f>
        <v>7.4245000000000001</v>
      </c>
      <c r="L131" s="81">
        <f>4.5247 * CHOOSE(CONTROL!$C$32, $C$9, 100%, $E$9)</f>
        <v>4.5247000000000002</v>
      </c>
      <c r="M131" s="81">
        <f>4.5283 * CHOOSE(CONTROL!$C$32, $C$9, 100%, $E$9)</f>
        <v>4.5282999999999998</v>
      </c>
      <c r="N131" s="81">
        <f>4.5247 * CHOOSE(CONTROL!$C$32, $C$9, 100%, $E$9)</f>
        <v>4.5247000000000002</v>
      </c>
      <c r="O131" s="81">
        <f>4.5283 * CHOOSE(CONTROL!$C$32, $C$9, 100%, $E$9)</f>
        <v>4.5282999999999998</v>
      </c>
      <c r="P131" s="10"/>
      <c r="Q131" s="10"/>
      <c r="R131" s="10"/>
    </row>
    <row r="132" spans="1:18" ht="15" x14ac:dyDescent="0.2">
      <c r="A132" s="16">
        <v>45231</v>
      </c>
      <c r="B132" s="80">
        <f>3.5766 * CHOOSE(CONTROL!$C$32, $C$9, 100%, $E$9)</f>
        <v>3.5766</v>
      </c>
      <c r="C132" s="80">
        <f>3.5766 * CHOOSE(CONTROL!$C$32, $C$9, 100%, $E$9)</f>
        <v>3.5766</v>
      </c>
      <c r="D132" s="80">
        <f>3.5777 * CHOOSE(CONTROL!$C$32, $C$9, 100%, $E$9)</f>
        <v>3.5777000000000001</v>
      </c>
      <c r="E132" s="81">
        <f>4.5267 * CHOOSE(CONTROL!$C$32, $C$9, 100%, $E$9)</f>
        <v>4.5266999999999999</v>
      </c>
      <c r="F132" s="81">
        <f>4.5267 * CHOOSE(CONTROL!$C$32, $C$9, 100%, $E$9)</f>
        <v>4.5266999999999999</v>
      </c>
      <c r="G132" s="81">
        <f>4.5303 * CHOOSE(CONTROL!$C$32, $C$9, 100%, $E$9)</f>
        <v>4.5303000000000004</v>
      </c>
      <c r="H132" s="81">
        <f>7.4363 * CHOOSE(CONTROL!$C$32, $C$9, 100%, $E$9)</f>
        <v>7.4363000000000001</v>
      </c>
      <c r="I132" s="81">
        <f>7.44 * CHOOSE(CONTROL!$C$32, $C$9, 100%, $E$9)</f>
        <v>7.44</v>
      </c>
      <c r="J132" s="81">
        <f>7.4363 * CHOOSE(CONTROL!$C$32, $C$9, 100%, $E$9)</f>
        <v>7.4363000000000001</v>
      </c>
      <c r="K132" s="81">
        <f>7.44 * CHOOSE(CONTROL!$C$32, $C$9, 100%, $E$9)</f>
        <v>7.44</v>
      </c>
      <c r="L132" s="81">
        <f>4.5267 * CHOOSE(CONTROL!$C$32, $C$9, 100%, $E$9)</f>
        <v>4.5266999999999999</v>
      </c>
      <c r="M132" s="81">
        <f>4.5303 * CHOOSE(CONTROL!$C$32, $C$9, 100%, $E$9)</f>
        <v>4.5303000000000004</v>
      </c>
      <c r="N132" s="81">
        <f>4.5267 * CHOOSE(CONTROL!$C$32, $C$9, 100%, $E$9)</f>
        <v>4.5266999999999999</v>
      </c>
      <c r="O132" s="81">
        <f>4.5303 * CHOOSE(CONTROL!$C$32, $C$9, 100%, $E$9)</f>
        <v>4.5303000000000004</v>
      </c>
      <c r="P132" s="10"/>
      <c r="Q132" s="10"/>
      <c r="R132" s="10"/>
    </row>
    <row r="133" spans="1:18" ht="15" x14ac:dyDescent="0.2">
      <c r="A133" s="16">
        <v>45261</v>
      </c>
      <c r="B133" s="80">
        <f>3.5766 * CHOOSE(CONTROL!$C$32, $C$9, 100%, $E$9)</f>
        <v>3.5766</v>
      </c>
      <c r="C133" s="80">
        <f>3.5766 * CHOOSE(CONTROL!$C$32, $C$9, 100%, $E$9)</f>
        <v>3.5766</v>
      </c>
      <c r="D133" s="80">
        <f>3.5777 * CHOOSE(CONTROL!$C$32, $C$9, 100%, $E$9)</f>
        <v>3.5777000000000001</v>
      </c>
      <c r="E133" s="81">
        <f>4.5267 * CHOOSE(CONTROL!$C$32, $C$9, 100%, $E$9)</f>
        <v>4.5266999999999999</v>
      </c>
      <c r="F133" s="81">
        <f>4.5267 * CHOOSE(CONTROL!$C$32, $C$9, 100%, $E$9)</f>
        <v>4.5266999999999999</v>
      </c>
      <c r="G133" s="81">
        <f>4.5303 * CHOOSE(CONTROL!$C$32, $C$9, 100%, $E$9)</f>
        <v>4.5303000000000004</v>
      </c>
      <c r="H133" s="81">
        <f>7.4518 * CHOOSE(CONTROL!$C$32, $C$9, 100%, $E$9)</f>
        <v>7.4518000000000004</v>
      </c>
      <c r="I133" s="81">
        <f>7.4554 * CHOOSE(CONTROL!$C$32, $C$9, 100%, $E$9)</f>
        <v>7.4554</v>
      </c>
      <c r="J133" s="81">
        <f>7.4518 * CHOOSE(CONTROL!$C$32, $C$9, 100%, $E$9)</f>
        <v>7.4518000000000004</v>
      </c>
      <c r="K133" s="81">
        <f>7.4554 * CHOOSE(CONTROL!$C$32, $C$9, 100%, $E$9)</f>
        <v>7.4554</v>
      </c>
      <c r="L133" s="81">
        <f>4.5267 * CHOOSE(CONTROL!$C$32, $C$9, 100%, $E$9)</f>
        <v>4.5266999999999999</v>
      </c>
      <c r="M133" s="81">
        <f>4.5303 * CHOOSE(CONTROL!$C$32, $C$9, 100%, $E$9)</f>
        <v>4.5303000000000004</v>
      </c>
      <c r="N133" s="81">
        <f>4.5267 * CHOOSE(CONTROL!$C$32, $C$9, 100%, $E$9)</f>
        <v>4.5266999999999999</v>
      </c>
      <c r="O133" s="81">
        <f>4.5303 * CHOOSE(CONTROL!$C$32, $C$9, 100%, $E$9)</f>
        <v>4.5303000000000004</v>
      </c>
      <c r="P133" s="10"/>
      <c r="Q133" s="10"/>
      <c r="R133" s="10"/>
    </row>
    <row r="134" spans="1:18" ht="15" x14ac:dyDescent="0.2">
      <c r="A134" s="16">
        <v>45292</v>
      </c>
      <c r="B134" s="80">
        <f>3.6058 * CHOOSE(CONTROL!$C$32, $C$9, 100%, $E$9)</f>
        <v>3.6057999999999999</v>
      </c>
      <c r="C134" s="80">
        <f>3.6058 * CHOOSE(CONTROL!$C$32, $C$9, 100%, $E$9)</f>
        <v>3.6057999999999999</v>
      </c>
      <c r="D134" s="80">
        <f>3.6069 * CHOOSE(CONTROL!$C$32, $C$9, 100%, $E$9)</f>
        <v>3.6069</v>
      </c>
      <c r="E134" s="81">
        <f>4.5664 * CHOOSE(CONTROL!$C$32, $C$9, 100%, $E$9)</f>
        <v>4.5663999999999998</v>
      </c>
      <c r="F134" s="81">
        <f>4.5664 * CHOOSE(CONTROL!$C$32, $C$9, 100%, $E$9)</f>
        <v>4.5663999999999998</v>
      </c>
      <c r="G134" s="81">
        <f>4.57 * CHOOSE(CONTROL!$C$32, $C$9, 100%, $E$9)</f>
        <v>4.57</v>
      </c>
      <c r="H134" s="81">
        <f>7.4674 * CHOOSE(CONTROL!$C$32, $C$9, 100%, $E$9)</f>
        <v>7.4673999999999996</v>
      </c>
      <c r="I134" s="81">
        <f>7.471 * CHOOSE(CONTROL!$C$32, $C$9, 100%, $E$9)</f>
        <v>7.4710000000000001</v>
      </c>
      <c r="J134" s="81">
        <f>7.4674 * CHOOSE(CONTROL!$C$32, $C$9, 100%, $E$9)</f>
        <v>7.4673999999999996</v>
      </c>
      <c r="K134" s="81">
        <f>7.471 * CHOOSE(CONTROL!$C$32, $C$9, 100%, $E$9)</f>
        <v>7.4710000000000001</v>
      </c>
      <c r="L134" s="81">
        <f>4.5664 * CHOOSE(CONTROL!$C$32, $C$9, 100%, $E$9)</f>
        <v>4.5663999999999998</v>
      </c>
      <c r="M134" s="81">
        <f>4.57 * CHOOSE(CONTROL!$C$32, $C$9, 100%, $E$9)</f>
        <v>4.57</v>
      </c>
      <c r="N134" s="81">
        <f>4.5664 * CHOOSE(CONTROL!$C$32, $C$9, 100%, $E$9)</f>
        <v>4.5663999999999998</v>
      </c>
      <c r="O134" s="81">
        <f>4.57 * CHOOSE(CONTROL!$C$32, $C$9, 100%, $E$9)</f>
        <v>4.57</v>
      </c>
      <c r="P134" s="10"/>
      <c r="Q134" s="10"/>
      <c r="R134" s="10"/>
    </row>
    <row r="135" spans="1:18" ht="15" x14ac:dyDescent="0.2">
      <c r="A135" s="16">
        <v>45323</v>
      </c>
      <c r="B135" s="80">
        <f>3.6028 * CHOOSE(CONTROL!$C$32, $C$9, 100%, $E$9)</f>
        <v>3.6027999999999998</v>
      </c>
      <c r="C135" s="80">
        <f>3.6028 * CHOOSE(CONTROL!$C$32, $C$9, 100%, $E$9)</f>
        <v>3.6027999999999998</v>
      </c>
      <c r="D135" s="80">
        <f>3.6038 * CHOOSE(CONTROL!$C$32, $C$9, 100%, $E$9)</f>
        <v>3.6038000000000001</v>
      </c>
      <c r="E135" s="81">
        <f>4.5644 * CHOOSE(CONTROL!$C$32, $C$9, 100%, $E$9)</f>
        <v>4.5644</v>
      </c>
      <c r="F135" s="81">
        <f>4.5644 * CHOOSE(CONTROL!$C$32, $C$9, 100%, $E$9)</f>
        <v>4.5644</v>
      </c>
      <c r="G135" s="81">
        <f>4.568 * CHOOSE(CONTROL!$C$32, $C$9, 100%, $E$9)</f>
        <v>4.5679999999999996</v>
      </c>
      <c r="H135" s="81">
        <f>7.4829 * CHOOSE(CONTROL!$C$32, $C$9, 100%, $E$9)</f>
        <v>7.4828999999999999</v>
      </c>
      <c r="I135" s="81">
        <f>7.4865 * CHOOSE(CONTROL!$C$32, $C$9, 100%, $E$9)</f>
        <v>7.4865000000000004</v>
      </c>
      <c r="J135" s="81">
        <f>7.4829 * CHOOSE(CONTROL!$C$32, $C$9, 100%, $E$9)</f>
        <v>7.4828999999999999</v>
      </c>
      <c r="K135" s="81">
        <f>7.4865 * CHOOSE(CONTROL!$C$32, $C$9, 100%, $E$9)</f>
        <v>7.4865000000000004</v>
      </c>
      <c r="L135" s="81">
        <f>4.5644 * CHOOSE(CONTROL!$C$32, $C$9, 100%, $E$9)</f>
        <v>4.5644</v>
      </c>
      <c r="M135" s="81">
        <f>4.568 * CHOOSE(CONTROL!$C$32, $C$9, 100%, $E$9)</f>
        <v>4.5679999999999996</v>
      </c>
      <c r="N135" s="81">
        <f>4.5644 * CHOOSE(CONTROL!$C$32, $C$9, 100%, $E$9)</f>
        <v>4.5644</v>
      </c>
      <c r="O135" s="81">
        <f>4.568 * CHOOSE(CONTROL!$C$32, $C$9, 100%, $E$9)</f>
        <v>4.5679999999999996</v>
      </c>
      <c r="P135" s="10"/>
      <c r="Q135" s="10"/>
      <c r="R135" s="10"/>
    </row>
    <row r="136" spans="1:18" ht="15" x14ac:dyDescent="0.2">
      <c r="A136" s="16">
        <v>45352</v>
      </c>
      <c r="B136" s="80">
        <f>3.5997 * CHOOSE(CONTROL!$C$32, $C$9, 100%, $E$9)</f>
        <v>3.5996999999999999</v>
      </c>
      <c r="C136" s="80">
        <f>3.5997 * CHOOSE(CONTROL!$C$32, $C$9, 100%, $E$9)</f>
        <v>3.5996999999999999</v>
      </c>
      <c r="D136" s="80">
        <f>3.6008 * CHOOSE(CONTROL!$C$32, $C$9, 100%, $E$9)</f>
        <v>3.6008</v>
      </c>
      <c r="E136" s="81">
        <f>4.5624 * CHOOSE(CONTROL!$C$32, $C$9, 100%, $E$9)</f>
        <v>4.5624000000000002</v>
      </c>
      <c r="F136" s="81">
        <f>4.5624 * CHOOSE(CONTROL!$C$32, $C$9, 100%, $E$9)</f>
        <v>4.5624000000000002</v>
      </c>
      <c r="G136" s="81">
        <f>4.566 * CHOOSE(CONTROL!$C$32, $C$9, 100%, $E$9)</f>
        <v>4.5659999999999998</v>
      </c>
      <c r="H136" s="81">
        <f>7.4985 * CHOOSE(CONTROL!$C$32, $C$9, 100%, $E$9)</f>
        <v>7.4984999999999999</v>
      </c>
      <c r="I136" s="81">
        <f>7.5021 * CHOOSE(CONTROL!$C$32, $C$9, 100%, $E$9)</f>
        <v>7.5021000000000004</v>
      </c>
      <c r="J136" s="81">
        <f>7.4985 * CHOOSE(CONTROL!$C$32, $C$9, 100%, $E$9)</f>
        <v>7.4984999999999999</v>
      </c>
      <c r="K136" s="81">
        <f>7.5021 * CHOOSE(CONTROL!$C$32, $C$9, 100%, $E$9)</f>
        <v>7.5021000000000004</v>
      </c>
      <c r="L136" s="81">
        <f>4.5624 * CHOOSE(CONTROL!$C$32, $C$9, 100%, $E$9)</f>
        <v>4.5624000000000002</v>
      </c>
      <c r="M136" s="81">
        <f>4.566 * CHOOSE(CONTROL!$C$32, $C$9, 100%, $E$9)</f>
        <v>4.5659999999999998</v>
      </c>
      <c r="N136" s="81">
        <f>4.5624 * CHOOSE(CONTROL!$C$32, $C$9, 100%, $E$9)</f>
        <v>4.5624000000000002</v>
      </c>
      <c r="O136" s="81">
        <f>4.566 * CHOOSE(CONTROL!$C$32, $C$9, 100%, $E$9)</f>
        <v>4.5659999999999998</v>
      </c>
      <c r="P136" s="10"/>
      <c r="Q136" s="10"/>
      <c r="R136" s="10"/>
    </row>
    <row r="137" spans="1:18" ht="15" x14ac:dyDescent="0.2">
      <c r="A137" s="16">
        <v>45383</v>
      </c>
      <c r="B137" s="80">
        <f>3.597 * CHOOSE(CONTROL!$C$32, $C$9, 100%, $E$9)</f>
        <v>3.597</v>
      </c>
      <c r="C137" s="80">
        <f>3.597 * CHOOSE(CONTROL!$C$32, $C$9, 100%, $E$9)</f>
        <v>3.597</v>
      </c>
      <c r="D137" s="80">
        <f>3.5981 * CHOOSE(CONTROL!$C$32, $C$9, 100%, $E$9)</f>
        <v>3.5981000000000001</v>
      </c>
      <c r="E137" s="81">
        <f>4.5602 * CHOOSE(CONTROL!$C$32, $C$9, 100%, $E$9)</f>
        <v>4.5602</v>
      </c>
      <c r="F137" s="81">
        <f>4.5602 * CHOOSE(CONTROL!$C$32, $C$9, 100%, $E$9)</f>
        <v>4.5602</v>
      </c>
      <c r="G137" s="81">
        <f>4.5638 * CHOOSE(CONTROL!$C$32, $C$9, 100%, $E$9)</f>
        <v>4.5637999999999996</v>
      </c>
      <c r="H137" s="81">
        <f>7.5141 * CHOOSE(CONTROL!$C$32, $C$9, 100%, $E$9)</f>
        <v>7.5141</v>
      </c>
      <c r="I137" s="81">
        <f>7.5177 * CHOOSE(CONTROL!$C$32, $C$9, 100%, $E$9)</f>
        <v>7.5176999999999996</v>
      </c>
      <c r="J137" s="81">
        <f>7.5141 * CHOOSE(CONTROL!$C$32, $C$9, 100%, $E$9)</f>
        <v>7.5141</v>
      </c>
      <c r="K137" s="81">
        <f>7.5177 * CHOOSE(CONTROL!$C$32, $C$9, 100%, $E$9)</f>
        <v>7.5176999999999996</v>
      </c>
      <c r="L137" s="81">
        <f>4.5602 * CHOOSE(CONTROL!$C$32, $C$9, 100%, $E$9)</f>
        <v>4.5602</v>
      </c>
      <c r="M137" s="81">
        <f>4.5638 * CHOOSE(CONTROL!$C$32, $C$9, 100%, $E$9)</f>
        <v>4.5637999999999996</v>
      </c>
      <c r="N137" s="81">
        <f>4.5602 * CHOOSE(CONTROL!$C$32, $C$9, 100%, $E$9)</f>
        <v>4.5602</v>
      </c>
      <c r="O137" s="81">
        <f>4.5638 * CHOOSE(CONTROL!$C$32, $C$9, 100%, $E$9)</f>
        <v>4.5637999999999996</v>
      </c>
      <c r="P137" s="10"/>
      <c r="Q137" s="10"/>
      <c r="R137" s="10"/>
    </row>
    <row r="138" spans="1:18" ht="15" x14ac:dyDescent="0.2">
      <c r="A138" s="16">
        <v>45413</v>
      </c>
      <c r="B138" s="80">
        <f>3.597 * CHOOSE(CONTROL!$C$32, $C$9, 100%, $E$9)</f>
        <v>3.597</v>
      </c>
      <c r="C138" s="80">
        <f>3.597 * CHOOSE(CONTROL!$C$32, $C$9, 100%, $E$9)</f>
        <v>3.597</v>
      </c>
      <c r="D138" s="80">
        <f>3.5986 * CHOOSE(CONTROL!$C$32, $C$9, 100%, $E$9)</f>
        <v>3.5985999999999998</v>
      </c>
      <c r="E138" s="81">
        <f>4.5602 * CHOOSE(CONTROL!$C$32, $C$9, 100%, $E$9)</f>
        <v>4.5602</v>
      </c>
      <c r="F138" s="81">
        <f>4.5602 * CHOOSE(CONTROL!$C$32, $C$9, 100%, $E$9)</f>
        <v>4.5602</v>
      </c>
      <c r="G138" s="81">
        <f>4.5654 * CHOOSE(CONTROL!$C$32, $C$9, 100%, $E$9)</f>
        <v>4.5654000000000003</v>
      </c>
      <c r="H138" s="81">
        <f>7.5298 * CHOOSE(CONTROL!$C$32, $C$9, 100%, $E$9)</f>
        <v>7.5297999999999998</v>
      </c>
      <c r="I138" s="81">
        <f>7.5351 * CHOOSE(CONTROL!$C$32, $C$9, 100%, $E$9)</f>
        <v>7.5350999999999999</v>
      </c>
      <c r="J138" s="81">
        <f>7.5298 * CHOOSE(CONTROL!$C$32, $C$9, 100%, $E$9)</f>
        <v>7.5297999999999998</v>
      </c>
      <c r="K138" s="81">
        <f>7.5351 * CHOOSE(CONTROL!$C$32, $C$9, 100%, $E$9)</f>
        <v>7.5350999999999999</v>
      </c>
      <c r="L138" s="81">
        <f>4.5602 * CHOOSE(CONTROL!$C$32, $C$9, 100%, $E$9)</f>
        <v>4.5602</v>
      </c>
      <c r="M138" s="81">
        <f>4.5654 * CHOOSE(CONTROL!$C$32, $C$9, 100%, $E$9)</f>
        <v>4.5654000000000003</v>
      </c>
      <c r="N138" s="81">
        <f>4.5602 * CHOOSE(CONTROL!$C$32, $C$9, 100%, $E$9)</f>
        <v>4.5602</v>
      </c>
      <c r="O138" s="81">
        <f>4.5654 * CHOOSE(CONTROL!$C$32, $C$9, 100%, $E$9)</f>
        <v>4.5654000000000003</v>
      </c>
      <c r="P138" s="10"/>
      <c r="Q138" s="10"/>
      <c r="R138" s="10"/>
    </row>
    <row r="139" spans="1:18" ht="15" x14ac:dyDescent="0.2">
      <c r="A139" s="16">
        <v>45444</v>
      </c>
      <c r="B139" s="80">
        <f>3.6031 * CHOOSE(CONTROL!$C$32, $C$9, 100%, $E$9)</f>
        <v>3.6031</v>
      </c>
      <c r="C139" s="80">
        <f>3.6031 * CHOOSE(CONTROL!$C$32, $C$9, 100%, $E$9)</f>
        <v>3.6031</v>
      </c>
      <c r="D139" s="80">
        <f>3.6047 * CHOOSE(CONTROL!$C$32, $C$9, 100%, $E$9)</f>
        <v>3.6046999999999998</v>
      </c>
      <c r="E139" s="81">
        <f>4.5642 * CHOOSE(CONTROL!$C$32, $C$9, 100%, $E$9)</f>
        <v>4.5641999999999996</v>
      </c>
      <c r="F139" s="81">
        <f>4.5642 * CHOOSE(CONTROL!$C$32, $C$9, 100%, $E$9)</f>
        <v>4.5641999999999996</v>
      </c>
      <c r="G139" s="81">
        <f>4.5694 * CHOOSE(CONTROL!$C$32, $C$9, 100%, $E$9)</f>
        <v>4.5693999999999999</v>
      </c>
      <c r="H139" s="81">
        <f>7.5455 * CHOOSE(CONTROL!$C$32, $C$9, 100%, $E$9)</f>
        <v>7.5454999999999997</v>
      </c>
      <c r="I139" s="81">
        <f>7.5508 * CHOOSE(CONTROL!$C$32, $C$9, 100%, $E$9)</f>
        <v>7.5507999999999997</v>
      </c>
      <c r="J139" s="81">
        <f>7.5455 * CHOOSE(CONTROL!$C$32, $C$9, 100%, $E$9)</f>
        <v>7.5454999999999997</v>
      </c>
      <c r="K139" s="81">
        <f>7.5508 * CHOOSE(CONTROL!$C$32, $C$9, 100%, $E$9)</f>
        <v>7.5507999999999997</v>
      </c>
      <c r="L139" s="81">
        <f>4.5642 * CHOOSE(CONTROL!$C$32, $C$9, 100%, $E$9)</f>
        <v>4.5641999999999996</v>
      </c>
      <c r="M139" s="81">
        <f>4.5694 * CHOOSE(CONTROL!$C$32, $C$9, 100%, $E$9)</f>
        <v>4.5693999999999999</v>
      </c>
      <c r="N139" s="81">
        <f>4.5642 * CHOOSE(CONTROL!$C$32, $C$9, 100%, $E$9)</f>
        <v>4.5641999999999996</v>
      </c>
      <c r="O139" s="81">
        <f>4.5694 * CHOOSE(CONTROL!$C$32, $C$9, 100%, $E$9)</f>
        <v>4.5693999999999999</v>
      </c>
      <c r="P139" s="10"/>
      <c r="Q139" s="10"/>
      <c r="R139" s="10"/>
    </row>
    <row r="140" spans="1:18" ht="15" x14ac:dyDescent="0.2">
      <c r="A140" s="16">
        <v>45474</v>
      </c>
      <c r="B140" s="80">
        <f>3.6559 * CHOOSE(CONTROL!$C$32, $C$9, 100%, $E$9)</f>
        <v>3.6558999999999999</v>
      </c>
      <c r="C140" s="80">
        <f>3.6559 * CHOOSE(CONTROL!$C$32, $C$9, 100%, $E$9)</f>
        <v>3.6558999999999999</v>
      </c>
      <c r="D140" s="80">
        <f>3.6575 * CHOOSE(CONTROL!$C$32, $C$9, 100%, $E$9)</f>
        <v>3.6575000000000002</v>
      </c>
      <c r="E140" s="81">
        <f>4.6521 * CHOOSE(CONTROL!$C$32, $C$9, 100%, $E$9)</f>
        <v>4.6520999999999999</v>
      </c>
      <c r="F140" s="81">
        <f>4.6521 * CHOOSE(CONTROL!$C$32, $C$9, 100%, $E$9)</f>
        <v>4.6520999999999999</v>
      </c>
      <c r="G140" s="81">
        <f>4.6574 * CHOOSE(CONTROL!$C$32, $C$9, 100%, $E$9)</f>
        <v>4.6574</v>
      </c>
      <c r="H140" s="81">
        <f>7.5612 * CHOOSE(CONTROL!$C$32, $C$9, 100%, $E$9)</f>
        <v>7.5612000000000004</v>
      </c>
      <c r="I140" s="81">
        <f>7.5665 * CHOOSE(CONTROL!$C$32, $C$9, 100%, $E$9)</f>
        <v>7.5664999999999996</v>
      </c>
      <c r="J140" s="81">
        <f>7.5612 * CHOOSE(CONTROL!$C$32, $C$9, 100%, $E$9)</f>
        <v>7.5612000000000004</v>
      </c>
      <c r="K140" s="81">
        <f>7.5665 * CHOOSE(CONTROL!$C$32, $C$9, 100%, $E$9)</f>
        <v>7.5664999999999996</v>
      </c>
      <c r="L140" s="81">
        <f>4.6521 * CHOOSE(CONTROL!$C$32, $C$9, 100%, $E$9)</f>
        <v>4.6520999999999999</v>
      </c>
      <c r="M140" s="81">
        <f>4.6574 * CHOOSE(CONTROL!$C$32, $C$9, 100%, $E$9)</f>
        <v>4.6574</v>
      </c>
      <c r="N140" s="81">
        <f>4.6521 * CHOOSE(CONTROL!$C$32, $C$9, 100%, $E$9)</f>
        <v>4.6520999999999999</v>
      </c>
      <c r="O140" s="81">
        <f>4.6574 * CHOOSE(CONTROL!$C$32, $C$9, 100%, $E$9)</f>
        <v>4.6574</v>
      </c>
      <c r="P140" s="10"/>
      <c r="Q140" s="10"/>
      <c r="R140" s="10"/>
    </row>
    <row r="141" spans="1:18" ht="15" x14ac:dyDescent="0.2">
      <c r="A141" s="16">
        <v>45505</v>
      </c>
      <c r="B141" s="80">
        <f>3.6626 * CHOOSE(CONTROL!$C$32, $C$9, 100%, $E$9)</f>
        <v>3.6625999999999999</v>
      </c>
      <c r="C141" s="80">
        <f>3.6626 * CHOOSE(CONTROL!$C$32, $C$9, 100%, $E$9)</f>
        <v>3.6625999999999999</v>
      </c>
      <c r="D141" s="80">
        <f>3.6642 * CHOOSE(CONTROL!$C$32, $C$9, 100%, $E$9)</f>
        <v>3.6642000000000001</v>
      </c>
      <c r="E141" s="81">
        <f>4.6565 * CHOOSE(CONTROL!$C$32, $C$9, 100%, $E$9)</f>
        <v>4.6565000000000003</v>
      </c>
      <c r="F141" s="81">
        <f>4.6565 * CHOOSE(CONTROL!$C$32, $C$9, 100%, $E$9)</f>
        <v>4.6565000000000003</v>
      </c>
      <c r="G141" s="81">
        <f>4.6618 * CHOOSE(CONTROL!$C$32, $C$9, 100%, $E$9)</f>
        <v>4.6618000000000004</v>
      </c>
      <c r="H141" s="81">
        <f>7.5769 * CHOOSE(CONTROL!$C$32, $C$9, 100%, $E$9)</f>
        <v>7.5769000000000002</v>
      </c>
      <c r="I141" s="81">
        <f>7.5822 * CHOOSE(CONTROL!$C$32, $C$9, 100%, $E$9)</f>
        <v>7.5822000000000003</v>
      </c>
      <c r="J141" s="81">
        <f>7.5769 * CHOOSE(CONTROL!$C$32, $C$9, 100%, $E$9)</f>
        <v>7.5769000000000002</v>
      </c>
      <c r="K141" s="81">
        <f>7.5822 * CHOOSE(CONTROL!$C$32, $C$9, 100%, $E$9)</f>
        <v>7.5822000000000003</v>
      </c>
      <c r="L141" s="81">
        <f>4.6565 * CHOOSE(CONTROL!$C$32, $C$9, 100%, $E$9)</f>
        <v>4.6565000000000003</v>
      </c>
      <c r="M141" s="81">
        <f>4.6618 * CHOOSE(CONTROL!$C$32, $C$9, 100%, $E$9)</f>
        <v>4.6618000000000004</v>
      </c>
      <c r="N141" s="81">
        <f>4.6565 * CHOOSE(CONTROL!$C$32, $C$9, 100%, $E$9)</f>
        <v>4.6565000000000003</v>
      </c>
      <c r="O141" s="81">
        <f>4.6618 * CHOOSE(CONTROL!$C$32, $C$9, 100%, $E$9)</f>
        <v>4.6618000000000004</v>
      </c>
      <c r="P141" s="10"/>
      <c r="Q141" s="10"/>
      <c r="R141" s="10"/>
    </row>
    <row r="142" spans="1:18" ht="15" x14ac:dyDescent="0.2">
      <c r="A142" s="16">
        <v>45536</v>
      </c>
      <c r="B142" s="80">
        <f>3.6595 * CHOOSE(CONTROL!$C$32, $C$9, 100%, $E$9)</f>
        <v>3.6595</v>
      </c>
      <c r="C142" s="80">
        <f>3.6595 * CHOOSE(CONTROL!$C$32, $C$9, 100%, $E$9)</f>
        <v>3.6595</v>
      </c>
      <c r="D142" s="80">
        <f>3.6611 * CHOOSE(CONTROL!$C$32, $C$9, 100%, $E$9)</f>
        <v>3.6610999999999998</v>
      </c>
      <c r="E142" s="81">
        <f>4.6545 * CHOOSE(CONTROL!$C$32, $C$9, 100%, $E$9)</f>
        <v>4.6544999999999996</v>
      </c>
      <c r="F142" s="81">
        <f>4.6545 * CHOOSE(CONTROL!$C$32, $C$9, 100%, $E$9)</f>
        <v>4.6544999999999996</v>
      </c>
      <c r="G142" s="81">
        <f>4.6598 * CHOOSE(CONTROL!$C$32, $C$9, 100%, $E$9)</f>
        <v>4.6597999999999997</v>
      </c>
      <c r="H142" s="81">
        <f>7.5927 * CHOOSE(CONTROL!$C$32, $C$9, 100%, $E$9)</f>
        <v>7.5926999999999998</v>
      </c>
      <c r="I142" s="81">
        <f>7.598 * CHOOSE(CONTROL!$C$32, $C$9, 100%, $E$9)</f>
        <v>7.5979999999999999</v>
      </c>
      <c r="J142" s="81">
        <f>7.5927 * CHOOSE(CONTROL!$C$32, $C$9, 100%, $E$9)</f>
        <v>7.5926999999999998</v>
      </c>
      <c r="K142" s="81">
        <f>7.598 * CHOOSE(CONTROL!$C$32, $C$9, 100%, $E$9)</f>
        <v>7.5979999999999999</v>
      </c>
      <c r="L142" s="81">
        <f>4.6545 * CHOOSE(CONTROL!$C$32, $C$9, 100%, $E$9)</f>
        <v>4.6544999999999996</v>
      </c>
      <c r="M142" s="81">
        <f>4.6598 * CHOOSE(CONTROL!$C$32, $C$9, 100%, $E$9)</f>
        <v>4.6597999999999997</v>
      </c>
      <c r="N142" s="81">
        <f>4.6545 * CHOOSE(CONTROL!$C$32, $C$9, 100%, $E$9)</f>
        <v>4.6544999999999996</v>
      </c>
      <c r="O142" s="81">
        <f>4.6598 * CHOOSE(CONTROL!$C$32, $C$9, 100%, $E$9)</f>
        <v>4.6597999999999997</v>
      </c>
      <c r="P142" s="10"/>
      <c r="Q142" s="10"/>
      <c r="R142" s="10"/>
    </row>
    <row r="143" spans="1:18" ht="15" x14ac:dyDescent="0.2">
      <c r="A143" s="16">
        <v>45566</v>
      </c>
      <c r="B143" s="80">
        <f>3.6534 * CHOOSE(CONTROL!$C$32, $C$9, 100%, $E$9)</f>
        <v>3.6534</v>
      </c>
      <c r="C143" s="80">
        <f>3.6534 * CHOOSE(CONTROL!$C$32, $C$9, 100%, $E$9)</f>
        <v>3.6534</v>
      </c>
      <c r="D143" s="80">
        <f>3.6545 * CHOOSE(CONTROL!$C$32, $C$9, 100%, $E$9)</f>
        <v>3.6545000000000001</v>
      </c>
      <c r="E143" s="81">
        <f>4.6486 * CHOOSE(CONTROL!$C$32, $C$9, 100%, $E$9)</f>
        <v>4.6486000000000001</v>
      </c>
      <c r="F143" s="81">
        <f>4.6486 * CHOOSE(CONTROL!$C$32, $C$9, 100%, $E$9)</f>
        <v>4.6486000000000001</v>
      </c>
      <c r="G143" s="81">
        <f>4.6522 * CHOOSE(CONTROL!$C$32, $C$9, 100%, $E$9)</f>
        <v>4.6521999999999997</v>
      </c>
      <c r="H143" s="81">
        <f>7.6085 * CHOOSE(CONTROL!$C$32, $C$9, 100%, $E$9)</f>
        <v>7.6085000000000003</v>
      </c>
      <c r="I143" s="81">
        <f>7.6122 * CHOOSE(CONTROL!$C$32, $C$9, 100%, $E$9)</f>
        <v>7.6121999999999996</v>
      </c>
      <c r="J143" s="81">
        <f>7.6085 * CHOOSE(CONTROL!$C$32, $C$9, 100%, $E$9)</f>
        <v>7.6085000000000003</v>
      </c>
      <c r="K143" s="81">
        <f>7.6122 * CHOOSE(CONTROL!$C$32, $C$9, 100%, $E$9)</f>
        <v>7.6121999999999996</v>
      </c>
      <c r="L143" s="81">
        <f>4.6486 * CHOOSE(CONTROL!$C$32, $C$9, 100%, $E$9)</f>
        <v>4.6486000000000001</v>
      </c>
      <c r="M143" s="81">
        <f>4.6522 * CHOOSE(CONTROL!$C$32, $C$9, 100%, $E$9)</f>
        <v>4.6521999999999997</v>
      </c>
      <c r="N143" s="81">
        <f>4.6486 * CHOOSE(CONTROL!$C$32, $C$9, 100%, $E$9)</f>
        <v>4.6486000000000001</v>
      </c>
      <c r="O143" s="81">
        <f>4.6522 * CHOOSE(CONTROL!$C$32, $C$9, 100%, $E$9)</f>
        <v>4.6521999999999997</v>
      </c>
      <c r="P143" s="10"/>
      <c r="Q143" s="10"/>
      <c r="R143" s="10"/>
    </row>
    <row r="144" spans="1:18" ht="15" x14ac:dyDescent="0.2">
      <c r="A144" s="16">
        <v>45597</v>
      </c>
      <c r="B144" s="80">
        <f>3.6565 * CHOOSE(CONTROL!$C$32, $C$9, 100%, $E$9)</f>
        <v>3.6564999999999999</v>
      </c>
      <c r="C144" s="80">
        <f>3.6565 * CHOOSE(CONTROL!$C$32, $C$9, 100%, $E$9)</f>
        <v>3.6564999999999999</v>
      </c>
      <c r="D144" s="80">
        <f>3.6576 * CHOOSE(CONTROL!$C$32, $C$9, 100%, $E$9)</f>
        <v>3.6576</v>
      </c>
      <c r="E144" s="81">
        <f>4.6506 * CHOOSE(CONTROL!$C$32, $C$9, 100%, $E$9)</f>
        <v>4.6505999999999998</v>
      </c>
      <c r="F144" s="81">
        <f>4.6506 * CHOOSE(CONTROL!$C$32, $C$9, 100%, $E$9)</f>
        <v>4.6505999999999998</v>
      </c>
      <c r="G144" s="81">
        <f>4.6542 * CHOOSE(CONTROL!$C$32, $C$9, 100%, $E$9)</f>
        <v>4.6542000000000003</v>
      </c>
      <c r="H144" s="81">
        <f>7.6244 * CHOOSE(CONTROL!$C$32, $C$9, 100%, $E$9)</f>
        <v>7.6243999999999996</v>
      </c>
      <c r="I144" s="81">
        <f>7.628 * CHOOSE(CONTROL!$C$32, $C$9, 100%, $E$9)</f>
        <v>7.6280000000000001</v>
      </c>
      <c r="J144" s="81">
        <f>7.6244 * CHOOSE(CONTROL!$C$32, $C$9, 100%, $E$9)</f>
        <v>7.6243999999999996</v>
      </c>
      <c r="K144" s="81">
        <f>7.628 * CHOOSE(CONTROL!$C$32, $C$9, 100%, $E$9)</f>
        <v>7.6280000000000001</v>
      </c>
      <c r="L144" s="81">
        <f>4.6506 * CHOOSE(CONTROL!$C$32, $C$9, 100%, $E$9)</f>
        <v>4.6505999999999998</v>
      </c>
      <c r="M144" s="81">
        <f>4.6542 * CHOOSE(CONTROL!$C$32, $C$9, 100%, $E$9)</f>
        <v>4.6542000000000003</v>
      </c>
      <c r="N144" s="81">
        <f>4.6506 * CHOOSE(CONTROL!$C$32, $C$9, 100%, $E$9)</f>
        <v>4.6505999999999998</v>
      </c>
      <c r="O144" s="81">
        <f>4.6542 * CHOOSE(CONTROL!$C$32, $C$9, 100%, $E$9)</f>
        <v>4.6542000000000003</v>
      </c>
      <c r="P144" s="10"/>
      <c r="Q144" s="10"/>
      <c r="R144" s="10"/>
    </row>
    <row r="145" spans="1:18" ht="15" x14ac:dyDescent="0.2">
      <c r="A145" s="16">
        <v>45627</v>
      </c>
      <c r="B145" s="80">
        <f>3.6565 * CHOOSE(CONTROL!$C$32, $C$9, 100%, $E$9)</f>
        <v>3.6564999999999999</v>
      </c>
      <c r="C145" s="80">
        <f>3.6565 * CHOOSE(CONTROL!$C$32, $C$9, 100%, $E$9)</f>
        <v>3.6564999999999999</v>
      </c>
      <c r="D145" s="80">
        <f>3.6576 * CHOOSE(CONTROL!$C$32, $C$9, 100%, $E$9)</f>
        <v>3.6576</v>
      </c>
      <c r="E145" s="81">
        <f>4.6506 * CHOOSE(CONTROL!$C$32, $C$9, 100%, $E$9)</f>
        <v>4.6505999999999998</v>
      </c>
      <c r="F145" s="81">
        <f>4.6506 * CHOOSE(CONTROL!$C$32, $C$9, 100%, $E$9)</f>
        <v>4.6505999999999998</v>
      </c>
      <c r="G145" s="81">
        <f>4.6542 * CHOOSE(CONTROL!$C$32, $C$9, 100%, $E$9)</f>
        <v>4.6542000000000003</v>
      </c>
      <c r="H145" s="81">
        <f>7.6403 * CHOOSE(CONTROL!$C$32, $C$9, 100%, $E$9)</f>
        <v>7.6402999999999999</v>
      </c>
      <c r="I145" s="81">
        <f>7.6439 * CHOOSE(CONTROL!$C$32, $C$9, 100%, $E$9)</f>
        <v>7.6439000000000004</v>
      </c>
      <c r="J145" s="81">
        <f>7.6403 * CHOOSE(CONTROL!$C$32, $C$9, 100%, $E$9)</f>
        <v>7.6402999999999999</v>
      </c>
      <c r="K145" s="81">
        <f>7.6439 * CHOOSE(CONTROL!$C$32, $C$9, 100%, $E$9)</f>
        <v>7.6439000000000004</v>
      </c>
      <c r="L145" s="81">
        <f>4.6506 * CHOOSE(CONTROL!$C$32, $C$9, 100%, $E$9)</f>
        <v>4.6505999999999998</v>
      </c>
      <c r="M145" s="81">
        <f>4.6542 * CHOOSE(CONTROL!$C$32, $C$9, 100%, $E$9)</f>
        <v>4.6542000000000003</v>
      </c>
      <c r="N145" s="81">
        <f>4.6506 * CHOOSE(CONTROL!$C$32, $C$9, 100%, $E$9)</f>
        <v>4.6505999999999998</v>
      </c>
      <c r="O145" s="81">
        <f>4.6542 * CHOOSE(CONTROL!$C$32, $C$9, 100%, $E$9)</f>
        <v>4.6542000000000003</v>
      </c>
      <c r="P145" s="10"/>
      <c r="Q145" s="10"/>
      <c r="R145" s="10"/>
    </row>
    <row r="146" spans="1:18" ht="15" x14ac:dyDescent="0.2">
      <c r="A146" s="16">
        <v>45658</v>
      </c>
      <c r="B146" s="80">
        <f>3.691 * CHOOSE(CONTROL!$C$32, $C$9, 100%, $E$9)</f>
        <v>3.6909999999999998</v>
      </c>
      <c r="C146" s="80">
        <f>3.691 * CHOOSE(CONTROL!$C$32, $C$9, 100%, $E$9)</f>
        <v>3.6909999999999998</v>
      </c>
      <c r="D146" s="80">
        <f>3.6921 * CHOOSE(CONTROL!$C$32, $C$9, 100%, $E$9)</f>
        <v>3.6920999999999999</v>
      </c>
      <c r="E146" s="81">
        <f>4.6908 * CHOOSE(CONTROL!$C$32, $C$9, 100%, $E$9)</f>
        <v>4.6908000000000003</v>
      </c>
      <c r="F146" s="81">
        <f>4.6908 * CHOOSE(CONTROL!$C$32, $C$9, 100%, $E$9)</f>
        <v>4.6908000000000003</v>
      </c>
      <c r="G146" s="81">
        <f>4.6945 * CHOOSE(CONTROL!$C$32, $C$9, 100%, $E$9)</f>
        <v>4.6944999999999997</v>
      </c>
      <c r="H146" s="81">
        <f>7.6562 * CHOOSE(CONTROL!$C$32, $C$9, 100%, $E$9)</f>
        <v>7.6562000000000001</v>
      </c>
      <c r="I146" s="81">
        <f>7.6598 * CHOOSE(CONTROL!$C$32, $C$9, 100%, $E$9)</f>
        <v>7.6597999999999997</v>
      </c>
      <c r="J146" s="81">
        <f>7.6562 * CHOOSE(CONTROL!$C$32, $C$9, 100%, $E$9)</f>
        <v>7.6562000000000001</v>
      </c>
      <c r="K146" s="81">
        <f>7.6598 * CHOOSE(CONTROL!$C$32, $C$9, 100%, $E$9)</f>
        <v>7.6597999999999997</v>
      </c>
      <c r="L146" s="81">
        <f>4.6908 * CHOOSE(CONTROL!$C$32, $C$9, 100%, $E$9)</f>
        <v>4.6908000000000003</v>
      </c>
      <c r="M146" s="81">
        <f>4.6945 * CHOOSE(CONTROL!$C$32, $C$9, 100%, $E$9)</f>
        <v>4.6944999999999997</v>
      </c>
      <c r="N146" s="81">
        <f>4.6908 * CHOOSE(CONTROL!$C$32, $C$9, 100%, $E$9)</f>
        <v>4.6908000000000003</v>
      </c>
      <c r="O146" s="81">
        <f>4.6945 * CHOOSE(CONTROL!$C$32, $C$9, 100%, $E$9)</f>
        <v>4.6944999999999997</v>
      </c>
      <c r="P146" s="10"/>
      <c r="Q146" s="10"/>
      <c r="R146" s="10"/>
    </row>
    <row r="147" spans="1:18" ht="15" x14ac:dyDescent="0.2">
      <c r="A147" s="16">
        <v>45689</v>
      </c>
      <c r="B147" s="80">
        <f>3.688 * CHOOSE(CONTROL!$C$32, $C$9, 100%, $E$9)</f>
        <v>3.6880000000000002</v>
      </c>
      <c r="C147" s="80">
        <f>3.688 * CHOOSE(CONTROL!$C$32, $C$9, 100%, $E$9)</f>
        <v>3.6880000000000002</v>
      </c>
      <c r="D147" s="80">
        <f>3.6891 * CHOOSE(CONTROL!$C$32, $C$9, 100%, $E$9)</f>
        <v>3.6890999999999998</v>
      </c>
      <c r="E147" s="81">
        <f>4.6888 * CHOOSE(CONTROL!$C$32, $C$9, 100%, $E$9)</f>
        <v>4.6887999999999996</v>
      </c>
      <c r="F147" s="81">
        <f>4.6888 * CHOOSE(CONTROL!$C$32, $C$9, 100%, $E$9)</f>
        <v>4.6887999999999996</v>
      </c>
      <c r="G147" s="81">
        <f>4.6925 * CHOOSE(CONTROL!$C$32, $C$9, 100%, $E$9)</f>
        <v>4.6924999999999999</v>
      </c>
      <c r="H147" s="81">
        <f>7.6721 * CHOOSE(CONTROL!$C$32, $C$9, 100%, $E$9)</f>
        <v>7.6721000000000004</v>
      </c>
      <c r="I147" s="81">
        <f>7.6758 * CHOOSE(CONTROL!$C$32, $C$9, 100%, $E$9)</f>
        <v>7.6757999999999997</v>
      </c>
      <c r="J147" s="81">
        <f>7.6721 * CHOOSE(CONTROL!$C$32, $C$9, 100%, $E$9)</f>
        <v>7.6721000000000004</v>
      </c>
      <c r="K147" s="81">
        <f>7.6758 * CHOOSE(CONTROL!$C$32, $C$9, 100%, $E$9)</f>
        <v>7.6757999999999997</v>
      </c>
      <c r="L147" s="81">
        <f>4.6888 * CHOOSE(CONTROL!$C$32, $C$9, 100%, $E$9)</f>
        <v>4.6887999999999996</v>
      </c>
      <c r="M147" s="81">
        <f>4.6925 * CHOOSE(CONTROL!$C$32, $C$9, 100%, $E$9)</f>
        <v>4.6924999999999999</v>
      </c>
      <c r="N147" s="81">
        <f>4.6888 * CHOOSE(CONTROL!$C$32, $C$9, 100%, $E$9)</f>
        <v>4.6887999999999996</v>
      </c>
      <c r="O147" s="81">
        <f>4.6925 * CHOOSE(CONTROL!$C$32, $C$9, 100%, $E$9)</f>
        <v>4.6924999999999999</v>
      </c>
      <c r="P147" s="10"/>
      <c r="Q147" s="10"/>
      <c r="R147" s="10"/>
    </row>
    <row r="148" spans="1:18" ht="15" x14ac:dyDescent="0.2">
      <c r="A148" s="16">
        <v>45717</v>
      </c>
      <c r="B148" s="80">
        <f>3.685 * CHOOSE(CONTROL!$C$32, $C$9, 100%, $E$9)</f>
        <v>3.6850000000000001</v>
      </c>
      <c r="C148" s="80">
        <f>3.685 * CHOOSE(CONTROL!$C$32, $C$9, 100%, $E$9)</f>
        <v>3.6850000000000001</v>
      </c>
      <c r="D148" s="80">
        <f>3.686 * CHOOSE(CONTROL!$C$32, $C$9, 100%, $E$9)</f>
        <v>3.6859999999999999</v>
      </c>
      <c r="E148" s="81">
        <f>4.6868 * CHOOSE(CONTROL!$C$32, $C$9, 100%, $E$9)</f>
        <v>4.6867999999999999</v>
      </c>
      <c r="F148" s="81">
        <f>4.6868 * CHOOSE(CONTROL!$C$32, $C$9, 100%, $E$9)</f>
        <v>4.6867999999999999</v>
      </c>
      <c r="G148" s="81">
        <f>4.6905 * CHOOSE(CONTROL!$C$32, $C$9, 100%, $E$9)</f>
        <v>4.6905000000000001</v>
      </c>
      <c r="H148" s="81">
        <f>7.6881 * CHOOSE(CONTROL!$C$32, $C$9, 100%, $E$9)</f>
        <v>7.6881000000000004</v>
      </c>
      <c r="I148" s="81">
        <f>7.6917 * CHOOSE(CONTROL!$C$32, $C$9, 100%, $E$9)</f>
        <v>7.6917</v>
      </c>
      <c r="J148" s="81">
        <f>7.6881 * CHOOSE(CONTROL!$C$32, $C$9, 100%, $E$9)</f>
        <v>7.6881000000000004</v>
      </c>
      <c r="K148" s="81">
        <f>7.6917 * CHOOSE(CONTROL!$C$32, $C$9, 100%, $E$9)</f>
        <v>7.6917</v>
      </c>
      <c r="L148" s="81">
        <f>4.6868 * CHOOSE(CONTROL!$C$32, $C$9, 100%, $E$9)</f>
        <v>4.6867999999999999</v>
      </c>
      <c r="M148" s="81">
        <f>4.6905 * CHOOSE(CONTROL!$C$32, $C$9, 100%, $E$9)</f>
        <v>4.6905000000000001</v>
      </c>
      <c r="N148" s="81">
        <f>4.6868 * CHOOSE(CONTROL!$C$32, $C$9, 100%, $E$9)</f>
        <v>4.6867999999999999</v>
      </c>
      <c r="O148" s="81">
        <f>4.6905 * CHOOSE(CONTROL!$C$32, $C$9, 100%, $E$9)</f>
        <v>4.6905000000000001</v>
      </c>
      <c r="P148" s="10"/>
      <c r="Q148" s="10"/>
      <c r="R148" s="10"/>
    </row>
    <row r="149" spans="1:18" ht="15" x14ac:dyDescent="0.2">
      <c r="A149" s="16">
        <v>45748</v>
      </c>
      <c r="B149" s="80">
        <f>3.6823 * CHOOSE(CONTROL!$C$32, $C$9, 100%, $E$9)</f>
        <v>3.6823000000000001</v>
      </c>
      <c r="C149" s="80">
        <f>3.6823 * CHOOSE(CONTROL!$C$32, $C$9, 100%, $E$9)</f>
        <v>3.6823000000000001</v>
      </c>
      <c r="D149" s="80">
        <f>3.6834 * CHOOSE(CONTROL!$C$32, $C$9, 100%, $E$9)</f>
        <v>3.6833999999999998</v>
      </c>
      <c r="E149" s="81">
        <f>4.6846 * CHOOSE(CONTROL!$C$32, $C$9, 100%, $E$9)</f>
        <v>4.6845999999999997</v>
      </c>
      <c r="F149" s="81">
        <f>4.6846 * CHOOSE(CONTROL!$C$32, $C$9, 100%, $E$9)</f>
        <v>4.6845999999999997</v>
      </c>
      <c r="G149" s="81">
        <f>4.6882 * CHOOSE(CONTROL!$C$32, $C$9, 100%, $E$9)</f>
        <v>4.6882000000000001</v>
      </c>
      <c r="H149" s="81">
        <f>7.7041 * CHOOSE(CONTROL!$C$32, $C$9, 100%, $E$9)</f>
        <v>7.7041000000000004</v>
      </c>
      <c r="I149" s="81">
        <f>7.7078 * CHOOSE(CONTROL!$C$32, $C$9, 100%, $E$9)</f>
        <v>7.7077999999999998</v>
      </c>
      <c r="J149" s="81">
        <f>7.7041 * CHOOSE(CONTROL!$C$32, $C$9, 100%, $E$9)</f>
        <v>7.7041000000000004</v>
      </c>
      <c r="K149" s="81">
        <f>7.7078 * CHOOSE(CONTROL!$C$32, $C$9, 100%, $E$9)</f>
        <v>7.7077999999999998</v>
      </c>
      <c r="L149" s="81">
        <f>4.6846 * CHOOSE(CONTROL!$C$32, $C$9, 100%, $E$9)</f>
        <v>4.6845999999999997</v>
      </c>
      <c r="M149" s="81">
        <f>4.6882 * CHOOSE(CONTROL!$C$32, $C$9, 100%, $E$9)</f>
        <v>4.6882000000000001</v>
      </c>
      <c r="N149" s="81">
        <f>4.6846 * CHOOSE(CONTROL!$C$32, $C$9, 100%, $E$9)</f>
        <v>4.6845999999999997</v>
      </c>
      <c r="O149" s="81">
        <f>4.6882 * CHOOSE(CONTROL!$C$32, $C$9, 100%, $E$9)</f>
        <v>4.6882000000000001</v>
      </c>
      <c r="P149" s="10"/>
      <c r="Q149" s="10"/>
      <c r="R149" s="10"/>
    </row>
    <row r="150" spans="1:18" ht="15" x14ac:dyDescent="0.2">
      <c r="A150" s="16">
        <v>45778</v>
      </c>
      <c r="B150" s="80">
        <f>3.6823 * CHOOSE(CONTROL!$C$32, $C$9, 100%, $E$9)</f>
        <v>3.6823000000000001</v>
      </c>
      <c r="C150" s="80">
        <f>3.6823 * CHOOSE(CONTROL!$C$32, $C$9, 100%, $E$9)</f>
        <v>3.6823000000000001</v>
      </c>
      <c r="D150" s="80">
        <f>3.6839 * CHOOSE(CONTROL!$C$32, $C$9, 100%, $E$9)</f>
        <v>3.6839</v>
      </c>
      <c r="E150" s="81">
        <f>4.6846 * CHOOSE(CONTROL!$C$32, $C$9, 100%, $E$9)</f>
        <v>4.6845999999999997</v>
      </c>
      <c r="F150" s="81">
        <f>4.6846 * CHOOSE(CONTROL!$C$32, $C$9, 100%, $E$9)</f>
        <v>4.6845999999999997</v>
      </c>
      <c r="G150" s="81">
        <f>4.6899 * CHOOSE(CONTROL!$C$32, $C$9, 100%, $E$9)</f>
        <v>4.6898999999999997</v>
      </c>
      <c r="H150" s="81">
        <f>7.7202 * CHOOSE(CONTROL!$C$32, $C$9, 100%, $E$9)</f>
        <v>7.7202000000000002</v>
      </c>
      <c r="I150" s="81">
        <f>7.7255 * CHOOSE(CONTROL!$C$32, $C$9, 100%, $E$9)</f>
        <v>7.7255000000000003</v>
      </c>
      <c r="J150" s="81">
        <f>7.7202 * CHOOSE(CONTROL!$C$32, $C$9, 100%, $E$9)</f>
        <v>7.7202000000000002</v>
      </c>
      <c r="K150" s="81">
        <f>7.7255 * CHOOSE(CONTROL!$C$32, $C$9, 100%, $E$9)</f>
        <v>7.7255000000000003</v>
      </c>
      <c r="L150" s="81">
        <f>4.6846 * CHOOSE(CONTROL!$C$32, $C$9, 100%, $E$9)</f>
        <v>4.6845999999999997</v>
      </c>
      <c r="M150" s="81">
        <f>4.6899 * CHOOSE(CONTROL!$C$32, $C$9, 100%, $E$9)</f>
        <v>4.6898999999999997</v>
      </c>
      <c r="N150" s="81">
        <f>4.6846 * CHOOSE(CONTROL!$C$32, $C$9, 100%, $E$9)</f>
        <v>4.6845999999999997</v>
      </c>
      <c r="O150" s="81">
        <f>4.6899 * CHOOSE(CONTROL!$C$32, $C$9, 100%, $E$9)</f>
        <v>4.6898999999999997</v>
      </c>
      <c r="P150" s="10"/>
      <c r="Q150" s="10"/>
      <c r="R150" s="10"/>
    </row>
    <row r="151" spans="1:18" ht="15" x14ac:dyDescent="0.2">
      <c r="A151" s="16">
        <v>45809</v>
      </c>
      <c r="B151" s="80">
        <f>3.6884 * CHOOSE(CONTROL!$C$32, $C$9, 100%, $E$9)</f>
        <v>3.6884000000000001</v>
      </c>
      <c r="C151" s="80">
        <f>3.6884 * CHOOSE(CONTROL!$C$32, $C$9, 100%, $E$9)</f>
        <v>3.6884000000000001</v>
      </c>
      <c r="D151" s="80">
        <f>3.69 * CHOOSE(CONTROL!$C$32, $C$9, 100%, $E$9)</f>
        <v>3.69</v>
      </c>
      <c r="E151" s="81">
        <f>4.6886 * CHOOSE(CONTROL!$C$32, $C$9, 100%, $E$9)</f>
        <v>4.6886000000000001</v>
      </c>
      <c r="F151" s="81">
        <f>4.6886 * CHOOSE(CONTROL!$C$32, $C$9, 100%, $E$9)</f>
        <v>4.6886000000000001</v>
      </c>
      <c r="G151" s="81">
        <f>4.6939 * CHOOSE(CONTROL!$C$32, $C$9, 100%, $E$9)</f>
        <v>4.6939000000000002</v>
      </c>
      <c r="H151" s="81">
        <f>7.7363 * CHOOSE(CONTROL!$C$32, $C$9, 100%, $E$9)</f>
        <v>7.7363</v>
      </c>
      <c r="I151" s="81">
        <f>7.7416 * CHOOSE(CONTROL!$C$32, $C$9, 100%, $E$9)</f>
        <v>7.7416</v>
      </c>
      <c r="J151" s="81">
        <f>7.7363 * CHOOSE(CONTROL!$C$32, $C$9, 100%, $E$9)</f>
        <v>7.7363</v>
      </c>
      <c r="K151" s="81">
        <f>7.7416 * CHOOSE(CONTROL!$C$32, $C$9, 100%, $E$9)</f>
        <v>7.7416</v>
      </c>
      <c r="L151" s="81">
        <f>4.6886 * CHOOSE(CONTROL!$C$32, $C$9, 100%, $E$9)</f>
        <v>4.6886000000000001</v>
      </c>
      <c r="M151" s="81">
        <f>4.6939 * CHOOSE(CONTROL!$C$32, $C$9, 100%, $E$9)</f>
        <v>4.6939000000000002</v>
      </c>
      <c r="N151" s="81">
        <f>4.6886 * CHOOSE(CONTROL!$C$32, $C$9, 100%, $E$9)</f>
        <v>4.6886000000000001</v>
      </c>
      <c r="O151" s="81">
        <f>4.6939 * CHOOSE(CONTROL!$C$32, $C$9, 100%, $E$9)</f>
        <v>4.6939000000000002</v>
      </c>
      <c r="P151" s="10"/>
      <c r="Q151" s="10"/>
      <c r="R151" s="10"/>
    </row>
    <row r="152" spans="1:18" ht="15" x14ac:dyDescent="0.2">
      <c r="A152" s="16">
        <v>45839</v>
      </c>
      <c r="B152" s="80">
        <f>3.7541 * CHOOSE(CONTROL!$C$32, $C$9, 100%, $E$9)</f>
        <v>3.7541000000000002</v>
      </c>
      <c r="C152" s="80">
        <f>3.7541 * CHOOSE(CONTROL!$C$32, $C$9, 100%, $E$9)</f>
        <v>3.7541000000000002</v>
      </c>
      <c r="D152" s="80">
        <f>3.7556 * CHOOSE(CONTROL!$C$32, $C$9, 100%, $E$9)</f>
        <v>3.7555999999999998</v>
      </c>
      <c r="E152" s="81">
        <f>4.7776 * CHOOSE(CONTROL!$C$32, $C$9, 100%, $E$9)</f>
        <v>4.7775999999999996</v>
      </c>
      <c r="F152" s="81">
        <f>4.7776 * CHOOSE(CONTROL!$C$32, $C$9, 100%, $E$9)</f>
        <v>4.7775999999999996</v>
      </c>
      <c r="G152" s="81">
        <f>4.7829 * CHOOSE(CONTROL!$C$32, $C$9, 100%, $E$9)</f>
        <v>4.7828999999999997</v>
      </c>
      <c r="H152" s="81">
        <f>7.7524 * CHOOSE(CONTROL!$C$32, $C$9, 100%, $E$9)</f>
        <v>7.7523999999999997</v>
      </c>
      <c r="I152" s="81">
        <f>7.7577 * CHOOSE(CONTROL!$C$32, $C$9, 100%, $E$9)</f>
        <v>7.7576999999999998</v>
      </c>
      <c r="J152" s="81">
        <f>7.7524 * CHOOSE(CONTROL!$C$32, $C$9, 100%, $E$9)</f>
        <v>7.7523999999999997</v>
      </c>
      <c r="K152" s="81">
        <f>7.7577 * CHOOSE(CONTROL!$C$32, $C$9, 100%, $E$9)</f>
        <v>7.7576999999999998</v>
      </c>
      <c r="L152" s="81">
        <f>4.7776 * CHOOSE(CONTROL!$C$32, $C$9, 100%, $E$9)</f>
        <v>4.7775999999999996</v>
      </c>
      <c r="M152" s="81">
        <f>4.7829 * CHOOSE(CONTROL!$C$32, $C$9, 100%, $E$9)</f>
        <v>4.7828999999999997</v>
      </c>
      <c r="N152" s="81">
        <f>4.7776 * CHOOSE(CONTROL!$C$32, $C$9, 100%, $E$9)</f>
        <v>4.7775999999999996</v>
      </c>
      <c r="O152" s="81">
        <f>4.7829 * CHOOSE(CONTROL!$C$32, $C$9, 100%, $E$9)</f>
        <v>4.7828999999999997</v>
      </c>
      <c r="P152" s="10"/>
      <c r="Q152" s="10"/>
      <c r="R152" s="10"/>
    </row>
    <row r="153" spans="1:18" ht="15" x14ac:dyDescent="0.2">
      <c r="A153" s="16">
        <v>45870</v>
      </c>
      <c r="B153" s="80">
        <f>3.7607 * CHOOSE(CONTROL!$C$32, $C$9, 100%, $E$9)</f>
        <v>3.7606999999999999</v>
      </c>
      <c r="C153" s="80">
        <f>3.7607 * CHOOSE(CONTROL!$C$32, $C$9, 100%, $E$9)</f>
        <v>3.7606999999999999</v>
      </c>
      <c r="D153" s="80">
        <f>3.7623 * CHOOSE(CONTROL!$C$32, $C$9, 100%, $E$9)</f>
        <v>3.7623000000000002</v>
      </c>
      <c r="E153" s="81">
        <f>4.782 * CHOOSE(CONTROL!$C$32, $C$9, 100%, $E$9)</f>
        <v>4.782</v>
      </c>
      <c r="F153" s="81">
        <f>4.782 * CHOOSE(CONTROL!$C$32, $C$9, 100%, $E$9)</f>
        <v>4.782</v>
      </c>
      <c r="G153" s="81">
        <f>4.7873 * CHOOSE(CONTROL!$C$32, $C$9, 100%, $E$9)</f>
        <v>4.7873000000000001</v>
      </c>
      <c r="H153" s="81">
        <f>7.7685 * CHOOSE(CONTROL!$C$32, $C$9, 100%, $E$9)</f>
        <v>7.7685000000000004</v>
      </c>
      <c r="I153" s="81">
        <f>7.7738 * CHOOSE(CONTROL!$C$32, $C$9, 100%, $E$9)</f>
        <v>7.7737999999999996</v>
      </c>
      <c r="J153" s="81">
        <f>7.7685 * CHOOSE(CONTROL!$C$32, $C$9, 100%, $E$9)</f>
        <v>7.7685000000000004</v>
      </c>
      <c r="K153" s="81">
        <f>7.7738 * CHOOSE(CONTROL!$C$32, $C$9, 100%, $E$9)</f>
        <v>7.7737999999999996</v>
      </c>
      <c r="L153" s="81">
        <f>4.782 * CHOOSE(CONTROL!$C$32, $C$9, 100%, $E$9)</f>
        <v>4.782</v>
      </c>
      <c r="M153" s="81">
        <f>4.7873 * CHOOSE(CONTROL!$C$32, $C$9, 100%, $E$9)</f>
        <v>4.7873000000000001</v>
      </c>
      <c r="N153" s="81">
        <f>4.782 * CHOOSE(CONTROL!$C$32, $C$9, 100%, $E$9)</f>
        <v>4.782</v>
      </c>
      <c r="O153" s="81">
        <f>4.7873 * CHOOSE(CONTROL!$C$32, $C$9, 100%, $E$9)</f>
        <v>4.7873000000000001</v>
      </c>
      <c r="P153" s="10"/>
      <c r="Q153" s="10"/>
      <c r="R153" s="10"/>
    </row>
    <row r="154" spans="1:18" ht="15" x14ac:dyDescent="0.2">
      <c r="A154" s="16">
        <v>45901</v>
      </c>
      <c r="B154" s="80">
        <f>3.7577 * CHOOSE(CONTROL!$C$32, $C$9, 100%, $E$9)</f>
        <v>3.7576999999999998</v>
      </c>
      <c r="C154" s="80">
        <f>3.7577 * CHOOSE(CONTROL!$C$32, $C$9, 100%, $E$9)</f>
        <v>3.7576999999999998</v>
      </c>
      <c r="D154" s="80">
        <f>3.7593 * CHOOSE(CONTROL!$C$32, $C$9, 100%, $E$9)</f>
        <v>3.7593000000000001</v>
      </c>
      <c r="E154" s="81">
        <f>4.78 * CHOOSE(CONTROL!$C$32, $C$9, 100%, $E$9)</f>
        <v>4.78</v>
      </c>
      <c r="F154" s="81">
        <f>4.78 * CHOOSE(CONTROL!$C$32, $C$9, 100%, $E$9)</f>
        <v>4.78</v>
      </c>
      <c r="G154" s="81">
        <f>4.7853 * CHOOSE(CONTROL!$C$32, $C$9, 100%, $E$9)</f>
        <v>4.7853000000000003</v>
      </c>
      <c r="H154" s="81">
        <f>7.7847 * CHOOSE(CONTROL!$C$32, $C$9, 100%, $E$9)</f>
        <v>7.7847</v>
      </c>
      <c r="I154" s="81">
        <f>7.79 * CHOOSE(CONTROL!$C$32, $C$9, 100%, $E$9)</f>
        <v>7.79</v>
      </c>
      <c r="J154" s="81">
        <f>7.7847 * CHOOSE(CONTROL!$C$32, $C$9, 100%, $E$9)</f>
        <v>7.7847</v>
      </c>
      <c r="K154" s="81">
        <f>7.79 * CHOOSE(CONTROL!$C$32, $C$9, 100%, $E$9)</f>
        <v>7.79</v>
      </c>
      <c r="L154" s="81">
        <f>4.78 * CHOOSE(CONTROL!$C$32, $C$9, 100%, $E$9)</f>
        <v>4.78</v>
      </c>
      <c r="M154" s="81">
        <f>4.7853 * CHOOSE(CONTROL!$C$32, $C$9, 100%, $E$9)</f>
        <v>4.7853000000000003</v>
      </c>
      <c r="N154" s="81">
        <f>4.78 * CHOOSE(CONTROL!$C$32, $C$9, 100%, $E$9)</f>
        <v>4.78</v>
      </c>
      <c r="O154" s="81">
        <f>4.7853 * CHOOSE(CONTROL!$C$32, $C$9, 100%, $E$9)</f>
        <v>4.7853000000000003</v>
      </c>
      <c r="P154" s="10"/>
      <c r="Q154" s="10"/>
      <c r="R154" s="10"/>
    </row>
    <row r="155" spans="1:18" ht="15" x14ac:dyDescent="0.2">
      <c r="A155" s="16">
        <v>45931</v>
      </c>
      <c r="B155" s="80">
        <f>3.7519 * CHOOSE(CONTROL!$C$32, $C$9, 100%, $E$9)</f>
        <v>3.7519</v>
      </c>
      <c r="C155" s="80">
        <f>3.7519 * CHOOSE(CONTROL!$C$32, $C$9, 100%, $E$9)</f>
        <v>3.7519</v>
      </c>
      <c r="D155" s="80">
        <f>3.753 * CHOOSE(CONTROL!$C$32, $C$9, 100%, $E$9)</f>
        <v>3.7530000000000001</v>
      </c>
      <c r="E155" s="81">
        <f>4.7743 * CHOOSE(CONTROL!$C$32, $C$9, 100%, $E$9)</f>
        <v>4.7743000000000002</v>
      </c>
      <c r="F155" s="81">
        <f>4.7743 * CHOOSE(CONTROL!$C$32, $C$9, 100%, $E$9)</f>
        <v>4.7743000000000002</v>
      </c>
      <c r="G155" s="81">
        <f>4.7779 * CHOOSE(CONTROL!$C$32, $C$9, 100%, $E$9)</f>
        <v>4.7778999999999998</v>
      </c>
      <c r="H155" s="81">
        <f>7.8009 * CHOOSE(CONTROL!$C$32, $C$9, 100%, $E$9)</f>
        <v>7.8009000000000004</v>
      </c>
      <c r="I155" s="81">
        <f>7.8046 * CHOOSE(CONTROL!$C$32, $C$9, 100%, $E$9)</f>
        <v>7.8045999999999998</v>
      </c>
      <c r="J155" s="81">
        <f>7.8009 * CHOOSE(CONTROL!$C$32, $C$9, 100%, $E$9)</f>
        <v>7.8009000000000004</v>
      </c>
      <c r="K155" s="81">
        <f>7.8046 * CHOOSE(CONTROL!$C$32, $C$9, 100%, $E$9)</f>
        <v>7.8045999999999998</v>
      </c>
      <c r="L155" s="81">
        <f>4.7743 * CHOOSE(CONTROL!$C$32, $C$9, 100%, $E$9)</f>
        <v>4.7743000000000002</v>
      </c>
      <c r="M155" s="81">
        <f>4.7779 * CHOOSE(CONTROL!$C$32, $C$9, 100%, $E$9)</f>
        <v>4.7778999999999998</v>
      </c>
      <c r="N155" s="81">
        <f>4.7743 * CHOOSE(CONTROL!$C$32, $C$9, 100%, $E$9)</f>
        <v>4.7743000000000002</v>
      </c>
      <c r="O155" s="81">
        <f>4.7779 * CHOOSE(CONTROL!$C$32, $C$9, 100%, $E$9)</f>
        <v>4.7778999999999998</v>
      </c>
      <c r="P155" s="10"/>
      <c r="Q155" s="10"/>
      <c r="R155" s="10"/>
    </row>
    <row r="156" spans="1:18" ht="15" x14ac:dyDescent="0.2">
      <c r="A156" s="16">
        <v>45962</v>
      </c>
      <c r="B156" s="80">
        <f>3.755 * CHOOSE(CONTROL!$C$32, $C$9, 100%, $E$9)</f>
        <v>3.7549999999999999</v>
      </c>
      <c r="C156" s="80">
        <f>3.755 * CHOOSE(CONTROL!$C$32, $C$9, 100%, $E$9)</f>
        <v>3.7549999999999999</v>
      </c>
      <c r="D156" s="80">
        <f>3.7561 * CHOOSE(CONTROL!$C$32, $C$9, 100%, $E$9)</f>
        <v>3.7561</v>
      </c>
      <c r="E156" s="81">
        <f>4.7763 * CHOOSE(CONTROL!$C$32, $C$9, 100%, $E$9)</f>
        <v>4.7763</v>
      </c>
      <c r="F156" s="81">
        <f>4.7763 * CHOOSE(CONTROL!$C$32, $C$9, 100%, $E$9)</f>
        <v>4.7763</v>
      </c>
      <c r="G156" s="81">
        <f>4.7799 * CHOOSE(CONTROL!$C$32, $C$9, 100%, $E$9)</f>
        <v>4.7798999999999996</v>
      </c>
      <c r="H156" s="81">
        <f>7.8172 * CHOOSE(CONTROL!$C$32, $C$9, 100%, $E$9)</f>
        <v>7.8171999999999997</v>
      </c>
      <c r="I156" s="81">
        <f>7.8208 * CHOOSE(CONTROL!$C$32, $C$9, 100%, $E$9)</f>
        <v>7.8208000000000002</v>
      </c>
      <c r="J156" s="81">
        <f>7.8172 * CHOOSE(CONTROL!$C$32, $C$9, 100%, $E$9)</f>
        <v>7.8171999999999997</v>
      </c>
      <c r="K156" s="81">
        <f>7.8208 * CHOOSE(CONTROL!$C$32, $C$9, 100%, $E$9)</f>
        <v>7.8208000000000002</v>
      </c>
      <c r="L156" s="81">
        <f>4.7763 * CHOOSE(CONTROL!$C$32, $C$9, 100%, $E$9)</f>
        <v>4.7763</v>
      </c>
      <c r="M156" s="81">
        <f>4.7799 * CHOOSE(CONTROL!$C$32, $C$9, 100%, $E$9)</f>
        <v>4.7798999999999996</v>
      </c>
      <c r="N156" s="81">
        <f>4.7763 * CHOOSE(CONTROL!$C$32, $C$9, 100%, $E$9)</f>
        <v>4.7763</v>
      </c>
      <c r="O156" s="81">
        <f>4.7799 * CHOOSE(CONTROL!$C$32, $C$9, 100%, $E$9)</f>
        <v>4.7798999999999996</v>
      </c>
    </row>
    <row r="157" spans="1:18" ht="15" x14ac:dyDescent="0.2">
      <c r="A157" s="16">
        <v>45992</v>
      </c>
      <c r="B157" s="80">
        <f>3.755 * CHOOSE(CONTROL!$C$32, $C$9, 100%, $E$9)</f>
        <v>3.7549999999999999</v>
      </c>
      <c r="C157" s="80">
        <f>3.755 * CHOOSE(CONTROL!$C$32, $C$9, 100%, $E$9)</f>
        <v>3.7549999999999999</v>
      </c>
      <c r="D157" s="80">
        <f>3.7561 * CHOOSE(CONTROL!$C$32, $C$9, 100%, $E$9)</f>
        <v>3.7561</v>
      </c>
      <c r="E157" s="81">
        <f>4.7763 * CHOOSE(CONTROL!$C$32, $C$9, 100%, $E$9)</f>
        <v>4.7763</v>
      </c>
      <c r="F157" s="81">
        <f>4.7763 * CHOOSE(CONTROL!$C$32, $C$9, 100%, $E$9)</f>
        <v>4.7763</v>
      </c>
      <c r="G157" s="81">
        <f>4.7799 * CHOOSE(CONTROL!$C$32, $C$9, 100%, $E$9)</f>
        <v>4.7798999999999996</v>
      </c>
      <c r="H157" s="81">
        <f>7.8335 * CHOOSE(CONTROL!$C$32, $C$9, 100%, $E$9)</f>
        <v>7.8334999999999999</v>
      </c>
      <c r="I157" s="81">
        <f>7.8371 * CHOOSE(CONTROL!$C$32, $C$9, 100%, $E$9)</f>
        <v>7.8371000000000004</v>
      </c>
      <c r="J157" s="81">
        <f>7.8335 * CHOOSE(CONTROL!$C$32, $C$9, 100%, $E$9)</f>
        <v>7.8334999999999999</v>
      </c>
      <c r="K157" s="81">
        <f>7.8371 * CHOOSE(CONTROL!$C$32, $C$9, 100%, $E$9)</f>
        <v>7.8371000000000004</v>
      </c>
      <c r="L157" s="81">
        <f>4.7763 * CHOOSE(CONTROL!$C$32, $C$9, 100%, $E$9)</f>
        <v>4.7763</v>
      </c>
      <c r="M157" s="81">
        <f>4.7799 * CHOOSE(CONTROL!$C$32, $C$9, 100%, $E$9)</f>
        <v>4.7798999999999996</v>
      </c>
      <c r="N157" s="81">
        <f>4.7763 * CHOOSE(CONTROL!$C$32, $C$9, 100%, $E$9)</f>
        <v>4.7763</v>
      </c>
      <c r="O157" s="81">
        <f>4.7799 * CHOOSE(CONTROL!$C$32, $C$9, 100%, $E$9)</f>
        <v>4.7798999999999996</v>
      </c>
    </row>
    <row r="158" spans="1:18" ht="15" x14ac:dyDescent="0.2">
      <c r="A158" s="16">
        <v>46023</v>
      </c>
      <c r="B158" s="80">
        <f>3.7892 * CHOOSE(CONTROL!$C$32, $C$9, 100%, $E$9)</f>
        <v>3.7892000000000001</v>
      </c>
      <c r="C158" s="80">
        <f>3.7892 * CHOOSE(CONTROL!$C$32, $C$9, 100%, $E$9)</f>
        <v>3.7892000000000001</v>
      </c>
      <c r="D158" s="80">
        <f>3.7902 * CHOOSE(CONTROL!$C$32, $C$9, 100%, $E$9)</f>
        <v>3.7902</v>
      </c>
      <c r="E158" s="81">
        <f>4.8185 * CHOOSE(CONTROL!$C$32, $C$9, 100%, $E$9)</f>
        <v>4.8185000000000002</v>
      </c>
      <c r="F158" s="81">
        <f>4.8185 * CHOOSE(CONTROL!$C$32, $C$9, 100%, $E$9)</f>
        <v>4.8185000000000002</v>
      </c>
      <c r="G158" s="81">
        <f>4.8221 * CHOOSE(CONTROL!$C$32, $C$9, 100%, $E$9)</f>
        <v>4.8220999999999998</v>
      </c>
      <c r="H158" s="81">
        <f>7.8498 * CHOOSE(CONTROL!$C$32, $C$9, 100%, $E$9)</f>
        <v>7.8498000000000001</v>
      </c>
      <c r="I158" s="81">
        <f>7.8534 * CHOOSE(CONTROL!$C$32, $C$9, 100%, $E$9)</f>
        <v>7.8533999999999997</v>
      </c>
      <c r="J158" s="81">
        <f>7.8498 * CHOOSE(CONTROL!$C$32, $C$9, 100%, $E$9)</f>
        <v>7.8498000000000001</v>
      </c>
      <c r="K158" s="81">
        <f>7.8534 * CHOOSE(CONTROL!$C$32, $C$9, 100%, $E$9)</f>
        <v>7.8533999999999997</v>
      </c>
      <c r="L158" s="81">
        <f>4.8185 * CHOOSE(CONTROL!$C$32, $C$9, 100%, $E$9)</f>
        <v>4.8185000000000002</v>
      </c>
      <c r="M158" s="81">
        <f>4.8221 * CHOOSE(CONTROL!$C$32, $C$9, 100%, $E$9)</f>
        <v>4.8220999999999998</v>
      </c>
      <c r="N158" s="81">
        <f>4.8185 * CHOOSE(CONTROL!$C$32, $C$9, 100%, $E$9)</f>
        <v>4.8185000000000002</v>
      </c>
      <c r="O158" s="81">
        <f>4.8221 * CHOOSE(CONTROL!$C$32, $C$9, 100%, $E$9)</f>
        <v>4.8220999999999998</v>
      </c>
    </row>
    <row r="159" spans="1:18" ht="15" x14ac:dyDescent="0.2">
      <c r="A159" s="16">
        <v>46054</v>
      </c>
      <c r="B159" s="80">
        <f>3.7861 * CHOOSE(CONTROL!$C$32, $C$9, 100%, $E$9)</f>
        <v>3.7860999999999998</v>
      </c>
      <c r="C159" s="80">
        <f>3.7861 * CHOOSE(CONTROL!$C$32, $C$9, 100%, $E$9)</f>
        <v>3.7860999999999998</v>
      </c>
      <c r="D159" s="80">
        <f>3.7872 * CHOOSE(CONTROL!$C$32, $C$9, 100%, $E$9)</f>
        <v>3.7871999999999999</v>
      </c>
      <c r="E159" s="81">
        <f>4.8165 * CHOOSE(CONTROL!$C$32, $C$9, 100%, $E$9)</f>
        <v>4.8164999999999996</v>
      </c>
      <c r="F159" s="81">
        <f>4.8165 * CHOOSE(CONTROL!$C$32, $C$9, 100%, $E$9)</f>
        <v>4.8164999999999996</v>
      </c>
      <c r="G159" s="81">
        <f>4.8201 * CHOOSE(CONTROL!$C$32, $C$9, 100%, $E$9)</f>
        <v>4.8201000000000001</v>
      </c>
      <c r="H159" s="81">
        <f>7.8662 * CHOOSE(CONTROL!$C$32, $C$9, 100%, $E$9)</f>
        <v>7.8662000000000001</v>
      </c>
      <c r="I159" s="81">
        <f>7.8698 * CHOOSE(CONTROL!$C$32, $C$9, 100%, $E$9)</f>
        <v>7.8697999999999997</v>
      </c>
      <c r="J159" s="81">
        <f>7.8662 * CHOOSE(CONTROL!$C$32, $C$9, 100%, $E$9)</f>
        <v>7.8662000000000001</v>
      </c>
      <c r="K159" s="81">
        <f>7.8698 * CHOOSE(CONTROL!$C$32, $C$9, 100%, $E$9)</f>
        <v>7.8697999999999997</v>
      </c>
      <c r="L159" s="81">
        <f>4.8165 * CHOOSE(CONTROL!$C$32, $C$9, 100%, $E$9)</f>
        <v>4.8164999999999996</v>
      </c>
      <c r="M159" s="81">
        <f>4.8201 * CHOOSE(CONTROL!$C$32, $C$9, 100%, $E$9)</f>
        <v>4.8201000000000001</v>
      </c>
      <c r="N159" s="81">
        <f>4.8165 * CHOOSE(CONTROL!$C$32, $C$9, 100%, $E$9)</f>
        <v>4.8164999999999996</v>
      </c>
      <c r="O159" s="81">
        <f>4.8201 * CHOOSE(CONTROL!$C$32, $C$9, 100%, $E$9)</f>
        <v>4.8201000000000001</v>
      </c>
    </row>
    <row r="160" spans="1:18" ht="15" x14ac:dyDescent="0.2">
      <c r="A160" s="16">
        <v>46082</v>
      </c>
      <c r="B160" s="80">
        <f>3.7831 * CHOOSE(CONTROL!$C$32, $C$9, 100%, $E$9)</f>
        <v>3.7831000000000001</v>
      </c>
      <c r="C160" s="80">
        <f>3.7831 * CHOOSE(CONTROL!$C$32, $C$9, 100%, $E$9)</f>
        <v>3.7831000000000001</v>
      </c>
      <c r="D160" s="80">
        <f>3.7842 * CHOOSE(CONTROL!$C$32, $C$9, 100%, $E$9)</f>
        <v>3.7841999999999998</v>
      </c>
      <c r="E160" s="81">
        <f>4.8145 * CHOOSE(CONTROL!$C$32, $C$9, 100%, $E$9)</f>
        <v>4.8144999999999998</v>
      </c>
      <c r="F160" s="81">
        <f>4.8145 * CHOOSE(CONTROL!$C$32, $C$9, 100%, $E$9)</f>
        <v>4.8144999999999998</v>
      </c>
      <c r="G160" s="81">
        <f>4.8181 * CHOOSE(CONTROL!$C$32, $C$9, 100%, $E$9)</f>
        <v>4.8181000000000003</v>
      </c>
      <c r="H160" s="81">
        <f>7.8825 * CHOOSE(CONTROL!$C$32, $C$9, 100%, $E$9)</f>
        <v>7.8825000000000003</v>
      </c>
      <c r="I160" s="81">
        <f>7.8862 * CHOOSE(CONTROL!$C$32, $C$9, 100%, $E$9)</f>
        <v>7.8861999999999997</v>
      </c>
      <c r="J160" s="81">
        <f>7.8825 * CHOOSE(CONTROL!$C$32, $C$9, 100%, $E$9)</f>
        <v>7.8825000000000003</v>
      </c>
      <c r="K160" s="81">
        <f>7.8862 * CHOOSE(CONTROL!$C$32, $C$9, 100%, $E$9)</f>
        <v>7.8861999999999997</v>
      </c>
      <c r="L160" s="81">
        <f>4.8145 * CHOOSE(CONTROL!$C$32, $C$9, 100%, $E$9)</f>
        <v>4.8144999999999998</v>
      </c>
      <c r="M160" s="81">
        <f>4.8181 * CHOOSE(CONTROL!$C$32, $C$9, 100%, $E$9)</f>
        <v>4.8181000000000003</v>
      </c>
      <c r="N160" s="81">
        <f>4.8145 * CHOOSE(CONTROL!$C$32, $C$9, 100%, $E$9)</f>
        <v>4.8144999999999998</v>
      </c>
      <c r="O160" s="81">
        <f>4.8181 * CHOOSE(CONTROL!$C$32, $C$9, 100%, $E$9)</f>
        <v>4.8181000000000003</v>
      </c>
    </row>
    <row r="161" spans="1:15" ht="15" x14ac:dyDescent="0.2">
      <c r="A161" s="16">
        <v>46113</v>
      </c>
      <c r="B161" s="80">
        <f>3.7805 * CHOOSE(CONTROL!$C$32, $C$9, 100%, $E$9)</f>
        <v>3.7805</v>
      </c>
      <c r="C161" s="80">
        <f>3.7805 * CHOOSE(CONTROL!$C$32, $C$9, 100%, $E$9)</f>
        <v>3.7805</v>
      </c>
      <c r="D161" s="80">
        <f>3.7816 * CHOOSE(CONTROL!$C$32, $C$9, 100%, $E$9)</f>
        <v>3.7816000000000001</v>
      </c>
      <c r="E161" s="81">
        <f>4.8123 * CHOOSE(CONTROL!$C$32, $C$9, 100%, $E$9)</f>
        <v>4.8122999999999996</v>
      </c>
      <c r="F161" s="81">
        <f>4.8123 * CHOOSE(CONTROL!$C$32, $C$9, 100%, $E$9)</f>
        <v>4.8122999999999996</v>
      </c>
      <c r="G161" s="81">
        <f>4.816 * CHOOSE(CONTROL!$C$32, $C$9, 100%, $E$9)</f>
        <v>4.8159999999999998</v>
      </c>
      <c r="H161" s="81">
        <f>7.899 * CHOOSE(CONTROL!$C$32, $C$9, 100%, $E$9)</f>
        <v>7.899</v>
      </c>
      <c r="I161" s="81">
        <f>7.9026 * CHOOSE(CONTROL!$C$32, $C$9, 100%, $E$9)</f>
        <v>7.9025999999999996</v>
      </c>
      <c r="J161" s="81">
        <f>7.899 * CHOOSE(CONTROL!$C$32, $C$9, 100%, $E$9)</f>
        <v>7.899</v>
      </c>
      <c r="K161" s="81">
        <f>7.9026 * CHOOSE(CONTROL!$C$32, $C$9, 100%, $E$9)</f>
        <v>7.9025999999999996</v>
      </c>
      <c r="L161" s="81">
        <f>4.8123 * CHOOSE(CONTROL!$C$32, $C$9, 100%, $E$9)</f>
        <v>4.8122999999999996</v>
      </c>
      <c r="M161" s="81">
        <f>4.816 * CHOOSE(CONTROL!$C$32, $C$9, 100%, $E$9)</f>
        <v>4.8159999999999998</v>
      </c>
      <c r="N161" s="81">
        <f>4.8123 * CHOOSE(CONTROL!$C$32, $C$9, 100%, $E$9)</f>
        <v>4.8122999999999996</v>
      </c>
      <c r="O161" s="81">
        <f>4.816 * CHOOSE(CONTROL!$C$32, $C$9, 100%, $E$9)</f>
        <v>4.8159999999999998</v>
      </c>
    </row>
    <row r="162" spans="1:15" ht="15" x14ac:dyDescent="0.2">
      <c r="A162" s="16">
        <v>46143</v>
      </c>
      <c r="B162" s="80">
        <f>3.7805 * CHOOSE(CONTROL!$C$32, $C$9, 100%, $E$9)</f>
        <v>3.7805</v>
      </c>
      <c r="C162" s="80">
        <f>3.7805 * CHOOSE(CONTROL!$C$32, $C$9, 100%, $E$9)</f>
        <v>3.7805</v>
      </c>
      <c r="D162" s="80">
        <f>3.7821 * CHOOSE(CONTROL!$C$32, $C$9, 100%, $E$9)</f>
        <v>3.7820999999999998</v>
      </c>
      <c r="E162" s="81">
        <f>4.8123 * CHOOSE(CONTROL!$C$32, $C$9, 100%, $E$9)</f>
        <v>4.8122999999999996</v>
      </c>
      <c r="F162" s="81">
        <f>4.8123 * CHOOSE(CONTROL!$C$32, $C$9, 100%, $E$9)</f>
        <v>4.8122999999999996</v>
      </c>
      <c r="G162" s="81">
        <f>4.8176 * CHOOSE(CONTROL!$C$32, $C$9, 100%, $E$9)</f>
        <v>4.8175999999999997</v>
      </c>
      <c r="H162" s="81">
        <f>7.9154 * CHOOSE(CONTROL!$C$32, $C$9, 100%, $E$9)</f>
        <v>7.9154</v>
      </c>
      <c r="I162" s="81">
        <f>7.9207 * CHOOSE(CONTROL!$C$32, $C$9, 100%, $E$9)</f>
        <v>7.9207000000000001</v>
      </c>
      <c r="J162" s="81">
        <f>7.9154 * CHOOSE(CONTROL!$C$32, $C$9, 100%, $E$9)</f>
        <v>7.9154</v>
      </c>
      <c r="K162" s="81">
        <f>7.9207 * CHOOSE(CONTROL!$C$32, $C$9, 100%, $E$9)</f>
        <v>7.9207000000000001</v>
      </c>
      <c r="L162" s="81">
        <f>4.8123 * CHOOSE(CONTROL!$C$32, $C$9, 100%, $E$9)</f>
        <v>4.8122999999999996</v>
      </c>
      <c r="M162" s="81">
        <f>4.8176 * CHOOSE(CONTROL!$C$32, $C$9, 100%, $E$9)</f>
        <v>4.8175999999999997</v>
      </c>
      <c r="N162" s="81">
        <f>4.8123 * CHOOSE(CONTROL!$C$32, $C$9, 100%, $E$9)</f>
        <v>4.8122999999999996</v>
      </c>
      <c r="O162" s="81">
        <f>4.8176 * CHOOSE(CONTROL!$C$32, $C$9, 100%, $E$9)</f>
        <v>4.8175999999999997</v>
      </c>
    </row>
    <row r="163" spans="1:15" ht="15" x14ac:dyDescent="0.2">
      <c r="A163" s="16">
        <v>46174</v>
      </c>
      <c r="B163" s="80">
        <f>3.7866 * CHOOSE(CONTROL!$C$32, $C$9, 100%, $E$9)</f>
        <v>3.7866</v>
      </c>
      <c r="C163" s="80">
        <f>3.7866 * CHOOSE(CONTROL!$C$32, $C$9, 100%, $E$9)</f>
        <v>3.7866</v>
      </c>
      <c r="D163" s="80">
        <f>3.7882 * CHOOSE(CONTROL!$C$32, $C$9, 100%, $E$9)</f>
        <v>3.7881999999999998</v>
      </c>
      <c r="E163" s="81">
        <f>4.8163 * CHOOSE(CONTROL!$C$32, $C$9, 100%, $E$9)</f>
        <v>4.8163</v>
      </c>
      <c r="F163" s="81">
        <f>4.8163 * CHOOSE(CONTROL!$C$32, $C$9, 100%, $E$9)</f>
        <v>4.8163</v>
      </c>
      <c r="G163" s="81">
        <f>4.8216 * CHOOSE(CONTROL!$C$32, $C$9, 100%, $E$9)</f>
        <v>4.8216000000000001</v>
      </c>
      <c r="H163" s="81">
        <f>7.9319 * CHOOSE(CONTROL!$C$32, $C$9, 100%, $E$9)</f>
        <v>7.9318999999999997</v>
      </c>
      <c r="I163" s="81">
        <f>7.9372 * CHOOSE(CONTROL!$C$32, $C$9, 100%, $E$9)</f>
        <v>7.9371999999999998</v>
      </c>
      <c r="J163" s="81">
        <f>7.9319 * CHOOSE(CONTROL!$C$32, $C$9, 100%, $E$9)</f>
        <v>7.9318999999999997</v>
      </c>
      <c r="K163" s="81">
        <f>7.9372 * CHOOSE(CONTROL!$C$32, $C$9, 100%, $E$9)</f>
        <v>7.9371999999999998</v>
      </c>
      <c r="L163" s="81">
        <f>4.8163 * CHOOSE(CONTROL!$C$32, $C$9, 100%, $E$9)</f>
        <v>4.8163</v>
      </c>
      <c r="M163" s="81">
        <f>4.8216 * CHOOSE(CONTROL!$C$32, $C$9, 100%, $E$9)</f>
        <v>4.8216000000000001</v>
      </c>
      <c r="N163" s="81">
        <f>4.8163 * CHOOSE(CONTROL!$C$32, $C$9, 100%, $E$9)</f>
        <v>4.8163</v>
      </c>
      <c r="O163" s="81">
        <f>4.8216 * CHOOSE(CONTROL!$C$32, $C$9, 100%, $E$9)</f>
        <v>4.8216000000000001</v>
      </c>
    </row>
    <row r="164" spans="1:15" ht="15" x14ac:dyDescent="0.2">
      <c r="A164" s="16">
        <v>46204</v>
      </c>
      <c r="B164" s="80">
        <f>3.8506 * CHOOSE(CONTROL!$C$32, $C$9, 100%, $E$9)</f>
        <v>3.8506</v>
      </c>
      <c r="C164" s="80">
        <f>3.8506 * CHOOSE(CONTROL!$C$32, $C$9, 100%, $E$9)</f>
        <v>3.8506</v>
      </c>
      <c r="D164" s="80">
        <f>3.8522 * CHOOSE(CONTROL!$C$32, $C$9, 100%, $E$9)</f>
        <v>3.8521999999999998</v>
      </c>
      <c r="E164" s="81">
        <f>4.9098 * CHOOSE(CONTROL!$C$32, $C$9, 100%, $E$9)</f>
        <v>4.9097999999999997</v>
      </c>
      <c r="F164" s="81">
        <f>4.9098 * CHOOSE(CONTROL!$C$32, $C$9, 100%, $E$9)</f>
        <v>4.9097999999999997</v>
      </c>
      <c r="G164" s="81">
        <f>4.9151 * CHOOSE(CONTROL!$C$32, $C$9, 100%, $E$9)</f>
        <v>4.9150999999999998</v>
      </c>
      <c r="H164" s="81">
        <f>7.9484 * CHOOSE(CONTROL!$C$32, $C$9, 100%, $E$9)</f>
        <v>7.9484000000000004</v>
      </c>
      <c r="I164" s="81">
        <f>7.9537 * CHOOSE(CONTROL!$C$32, $C$9, 100%, $E$9)</f>
        <v>7.9537000000000004</v>
      </c>
      <c r="J164" s="81">
        <f>7.9484 * CHOOSE(CONTROL!$C$32, $C$9, 100%, $E$9)</f>
        <v>7.9484000000000004</v>
      </c>
      <c r="K164" s="81">
        <f>7.9537 * CHOOSE(CONTROL!$C$32, $C$9, 100%, $E$9)</f>
        <v>7.9537000000000004</v>
      </c>
      <c r="L164" s="81">
        <f>4.9098 * CHOOSE(CONTROL!$C$32, $C$9, 100%, $E$9)</f>
        <v>4.9097999999999997</v>
      </c>
      <c r="M164" s="81">
        <f>4.9151 * CHOOSE(CONTROL!$C$32, $C$9, 100%, $E$9)</f>
        <v>4.9150999999999998</v>
      </c>
      <c r="N164" s="81">
        <f>4.9098 * CHOOSE(CONTROL!$C$32, $C$9, 100%, $E$9)</f>
        <v>4.9097999999999997</v>
      </c>
      <c r="O164" s="81">
        <f>4.9151 * CHOOSE(CONTROL!$C$32, $C$9, 100%, $E$9)</f>
        <v>4.9150999999999998</v>
      </c>
    </row>
    <row r="165" spans="1:15" ht="15" x14ac:dyDescent="0.2">
      <c r="A165" s="16">
        <v>46235</v>
      </c>
      <c r="B165" s="80">
        <f>3.8573 * CHOOSE(CONTROL!$C$32, $C$9, 100%, $E$9)</f>
        <v>3.8573</v>
      </c>
      <c r="C165" s="80">
        <f>3.8573 * CHOOSE(CONTROL!$C$32, $C$9, 100%, $E$9)</f>
        <v>3.8573</v>
      </c>
      <c r="D165" s="80">
        <f>3.8589 * CHOOSE(CONTROL!$C$32, $C$9, 100%, $E$9)</f>
        <v>3.8589000000000002</v>
      </c>
      <c r="E165" s="81">
        <f>4.9142 * CHOOSE(CONTROL!$C$32, $C$9, 100%, $E$9)</f>
        <v>4.9142000000000001</v>
      </c>
      <c r="F165" s="81">
        <f>4.9142 * CHOOSE(CONTROL!$C$32, $C$9, 100%, $E$9)</f>
        <v>4.9142000000000001</v>
      </c>
      <c r="G165" s="81">
        <f>4.9195 * CHOOSE(CONTROL!$C$32, $C$9, 100%, $E$9)</f>
        <v>4.9195000000000002</v>
      </c>
      <c r="H165" s="81">
        <f>7.965 * CHOOSE(CONTROL!$C$32, $C$9, 100%, $E$9)</f>
        <v>7.9649999999999999</v>
      </c>
      <c r="I165" s="81">
        <f>7.9703 * CHOOSE(CONTROL!$C$32, $C$9, 100%, $E$9)</f>
        <v>7.9702999999999999</v>
      </c>
      <c r="J165" s="81">
        <f>7.965 * CHOOSE(CONTROL!$C$32, $C$9, 100%, $E$9)</f>
        <v>7.9649999999999999</v>
      </c>
      <c r="K165" s="81">
        <f>7.9703 * CHOOSE(CONTROL!$C$32, $C$9, 100%, $E$9)</f>
        <v>7.9702999999999999</v>
      </c>
      <c r="L165" s="81">
        <f>4.9142 * CHOOSE(CONTROL!$C$32, $C$9, 100%, $E$9)</f>
        <v>4.9142000000000001</v>
      </c>
      <c r="M165" s="81">
        <f>4.9195 * CHOOSE(CONTROL!$C$32, $C$9, 100%, $E$9)</f>
        <v>4.9195000000000002</v>
      </c>
      <c r="N165" s="81">
        <f>4.9142 * CHOOSE(CONTROL!$C$32, $C$9, 100%, $E$9)</f>
        <v>4.9142000000000001</v>
      </c>
      <c r="O165" s="81">
        <f>4.9195 * CHOOSE(CONTROL!$C$32, $C$9, 100%, $E$9)</f>
        <v>4.9195000000000002</v>
      </c>
    </row>
    <row r="166" spans="1:15" ht="15" x14ac:dyDescent="0.2">
      <c r="A166" s="16">
        <v>46266</v>
      </c>
      <c r="B166" s="80">
        <f>3.8543 * CHOOSE(CONTROL!$C$32, $C$9, 100%, $E$9)</f>
        <v>3.8542999999999998</v>
      </c>
      <c r="C166" s="80">
        <f>3.8543 * CHOOSE(CONTROL!$C$32, $C$9, 100%, $E$9)</f>
        <v>3.8542999999999998</v>
      </c>
      <c r="D166" s="80">
        <f>3.8558 * CHOOSE(CONTROL!$C$32, $C$9, 100%, $E$9)</f>
        <v>3.8557999999999999</v>
      </c>
      <c r="E166" s="81">
        <f>4.9122 * CHOOSE(CONTROL!$C$32, $C$9, 100%, $E$9)</f>
        <v>4.9122000000000003</v>
      </c>
      <c r="F166" s="81">
        <f>4.9122 * CHOOSE(CONTROL!$C$32, $C$9, 100%, $E$9)</f>
        <v>4.9122000000000003</v>
      </c>
      <c r="G166" s="81">
        <f>4.9175 * CHOOSE(CONTROL!$C$32, $C$9, 100%, $E$9)</f>
        <v>4.9175000000000004</v>
      </c>
      <c r="H166" s="81">
        <f>7.9816 * CHOOSE(CONTROL!$C$32, $C$9, 100%, $E$9)</f>
        <v>7.9816000000000003</v>
      </c>
      <c r="I166" s="81">
        <f>7.9869 * CHOOSE(CONTROL!$C$32, $C$9, 100%, $E$9)</f>
        <v>7.9869000000000003</v>
      </c>
      <c r="J166" s="81">
        <f>7.9816 * CHOOSE(CONTROL!$C$32, $C$9, 100%, $E$9)</f>
        <v>7.9816000000000003</v>
      </c>
      <c r="K166" s="81">
        <f>7.9869 * CHOOSE(CONTROL!$C$32, $C$9, 100%, $E$9)</f>
        <v>7.9869000000000003</v>
      </c>
      <c r="L166" s="81">
        <f>4.9122 * CHOOSE(CONTROL!$C$32, $C$9, 100%, $E$9)</f>
        <v>4.9122000000000003</v>
      </c>
      <c r="M166" s="81">
        <f>4.9175 * CHOOSE(CONTROL!$C$32, $C$9, 100%, $E$9)</f>
        <v>4.9175000000000004</v>
      </c>
      <c r="N166" s="81">
        <f>4.9122 * CHOOSE(CONTROL!$C$32, $C$9, 100%, $E$9)</f>
        <v>4.9122000000000003</v>
      </c>
      <c r="O166" s="81">
        <f>4.9175 * CHOOSE(CONTROL!$C$32, $C$9, 100%, $E$9)</f>
        <v>4.9175000000000004</v>
      </c>
    </row>
    <row r="167" spans="1:15" ht="15" x14ac:dyDescent="0.2">
      <c r="A167" s="16">
        <v>46296</v>
      </c>
      <c r="B167" s="80">
        <f>3.8489 * CHOOSE(CONTROL!$C$32, $C$9, 100%, $E$9)</f>
        <v>3.8489</v>
      </c>
      <c r="C167" s="80">
        <f>3.8489 * CHOOSE(CONTROL!$C$32, $C$9, 100%, $E$9)</f>
        <v>3.8489</v>
      </c>
      <c r="D167" s="80">
        <f>3.8499 * CHOOSE(CONTROL!$C$32, $C$9, 100%, $E$9)</f>
        <v>3.8498999999999999</v>
      </c>
      <c r="E167" s="81">
        <f>4.9067 * CHOOSE(CONTROL!$C$32, $C$9, 100%, $E$9)</f>
        <v>4.9066999999999998</v>
      </c>
      <c r="F167" s="81">
        <f>4.9067 * CHOOSE(CONTROL!$C$32, $C$9, 100%, $E$9)</f>
        <v>4.9066999999999998</v>
      </c>
      <c r="G167" s="81">
        <f>4.9103 * CHOOSE(CONTROL!$C$32, $C$9, 100%, $E$9)</f>
        <v>4.9103000000000003</v>
      </c>
      <c r="H167" s="81">
        <f>7.9982 * CHOOSE(CONTROL!$C$32, $C$9, 100%, $E$9)</f>
        <v>7.9981999999999998</v>
      </c>
      <c r="I167" s="81">
        <f>8.0018 * CHOOSE(CONTROL!$C$32, $C$9, 100%, $E$9)</f>
        <v>8.0017999999999994</v>
      </c>
      <c r="J167" s="81">
        <f>7.9982 * CHOOSE(CONTROL!$C$32, $C$9, 100%, $E$9)</f>
        <v>7.9981999999999998</v>
      </c>
      <c r="K167" s="81">
        <f>8.0018 * CHOOSE(CONTROL!$C$32, $C$9, 100%, $E$9)</f>
        <v>8.0017999999999994</v>
      </c>
      <c r="L167" s="81">
        <f>4.9067 * CHOOSE(CONTROL!$C$32, $C$9, 100%, $E$9)</f>
        <v>4.9066999999999998</v>
      </c>
      <c r="M167" s="81">
        <f>4.9103 * CHOOSE(CONTROL!$C$32, $C$9, 100%, $E$9)</f>
        <v>4.9103000000000003</v>
      </c>
      <c r="N167" s="81">
        <f>4.9067 * CHOOSE(CONTROL!$C$32, $C$9, 100%, $E$9)</f>
        <v>4.9066999999999998</v>
      </c>
      <c r="O167" s="81">
        <f>4.9103 * CHOOSE(CONTROL!$C$32, $C$9, 100%, $E$9)</f>
        <v>4.9103000000000003</v>
      </c>
    </row>
    <row r="168" spans="1:15" ht="15" x14ac:dyDescent="0.2">
      <c r="A168" s="16">
        <v>46327</v>
      </c>
      <c r="B168" s="80">
        <f>3.8519 * CHOOSE(CONTROL!$C$32, $C$9, 100%, $E$9)</f>
        <v>3.8519000000000001</v>
      </c>
      <c r="C168" s="80">
        <f>3.8519 * CHOOSE(CONTROL!$C$32, $C$9, 100%, $E$9)</f>
        <v>3.8519000000000001</v>
      </c>
      <c r="D168" s="80">
        <f>3.853 * CHOOSE(CONTROL!$C$32, $C$9, 100%, $E$9)</f>
        <v>3.8530000000000002</v>
      </c>
      <c r="E168" s="81">
        <f>4.9087 * CHOOSE(CONTROL!$C$32, $C$9, 100%, $E$9)</f>
        <v>4.9086999999999996</v>
      </c>
      <c r="F168" s="81">
        <f>4.9087 * CHOOSE(CONTROL!$C$32, $C$9, 100%, $E$9)</f>
        <v>4.9086999999999996</v>
      </c>
      <c r="G168" s="81">
        <f>4.9123 * CHOOSE(CONTROL!$C$32, $C$9, 100%, $E$9)</f>
        <v>4.9123000000000001</v>
      </c>
      <c r="H168" s="81">
        <f>8.0149 * CHOOSE(CONTROL!$C$32, $C$9, 100%, $E$9)</f>
        <v>8.0149000000000008</v>
      </c>
      <c r="I168" s="81">
        <f>8.0185 * CHOOSE(CONTROL!$C$32, $C$9, 100%, $E$9)</f>
        <v>8.0184999999999995</v>
      </c>
      <c r="J168" s="81">
        <f>8.0149 * CHOOSE(CONTROL!$C$32, $C$9, 100%, $E$9)</f>
        <v>8.0149000000000008</v>
      </c>
      <c r="K168" s="81">
        <f>8.0185 * CHOOSE(CONTROL!$C$32, $C$9, 100%, $E$9)</f>
        <v>8.0184999999999995</v>
      </c>
      <c r="L168" s="81">
        <f>4.9087 * CHOOSE(CONTROL!$C$32, $C$9, 100%, $E$9)</f>
        <v>4.9086999999999996</v>
      </c>
      <c r="M168" s="81">
        <f>4.9123 * CHOOSE(CONTROL!$C$32, $C$9, 100%, $E$9)</f>
        <v>4.9123000000000001</v>
      </c>
      <c r="N168" s="81">
        <f>4.9087 * CHOOSE(CONTROL!$C$32, $C$9, 100%, $E$9)</f>
        <v>4.9086999999999996</v>
      </c>
      <c r="O168" s="81">
        <f>4.9123 * CHOOSE(CONTROL!$C$32, $C$9, 100%, $E$9)</f>
        <v>4.9123000000000001</v>
      </c>
    </row>
    <row r="169" spans="1:15" ht="15" x14ac:dyDescent="0.2">
      <c r="A169" s="16">
        <v>46357</v>
      </c>
      <c r="B169" s="80">
        <f>3.8519 * CHOOSE(CONTROL!$C$32, $C$9, 100%, $E$9)</f>
        <v>3.8519000000000001</v>
      </c>
      <c r="C169" s="80">
        <f>3.8519 * CHOOSE(CONTROL!$C$32, $C$9, 100%, $E$9)</f>
        <v>3.8519000000000001</v>
      </c>
      <c r="D169" s="80">
        <f>3.853 * CHOOSE(CONTROL!$C$32, $C$9, 100%, $E$9)</f>
        <v>3.8530000000000002</v>
      </c>
      <c r="E169" s="81">
        <f>4.9087 * CHOOSE(CONTROL!$C$32, $C$9, 100%, $E$9)</f>
        <v>4.9086999999999996</v>
      </c>
      <c r="F169" s="81">
        <f>4.9087 * CHOOSE(CONTROL!$C$32, $C$9, 100%, $E$9)</f>
        <v>4.9086999999999996</v>
      </c>
      <c r="G169" s="81">
        <f>4.9123 * CHOOSE(CONTROL!$C$32, $C$9, 100%, $E$9)</f>
        <v>4.9123000000000001</v>
      </c>
      <c r="H169" s="81">
        <f>8.0316 * CHOOSE(CONTROL!$C$32, $C$9, 100%, $E$9)</f>
        <v>8.0315999999999992</v>
      </c>
      <c r="I169" s="81">
        <f>8.0352 * CHOOSE(CONTROL!$C$32, $C$9, 100%, $E$9)</f>
        <v>8.0351999999999997</v>
      </c>
      <c r="J169" s="81">
        <f>8.0316 * CHOOSE(CONTROL!$C$32, $C$9, 100%, $E$9)</f>
        <v>8.0315999999999992</v>
      </c>
      <c r="K169" s="81">
        <f>8.0352 * CHOOSE(CONTROL!$C$32, $C$9, 100%, $E$9)</f>
        <v>8.0351999999999997</v>
      </c>
      <c r="L169" s="81">
        <f>4.9087 * CHOOSE(CONTROL!$C$32, $C$9, 100%, $E$9)</f>
        <v>4.9086999999999996</v>
      </c>
      <c r="M169" s="81">
        <f>4.9123 * CHOOSE(CONTROL!$C$32, $C$9, 100%, $E$9)</f>
        <v>4.9123000000000001</v>
      </c>
      <c r="N169" s="81">
        <f>4.9087 * CHOOSE(CONTROL!$C$32, $C$9, 100%, $E$9)</f>
        <v>4.9086999999999996</v>
      </c>
      <c r="O169" s="81">
        <f>4.9123 * CHOOSE(CONTROL!$C$32, $C$9, 100%, $E$9)</f>
        <v>4.9123000000000001</v>
      </c>
    </row>
    <row r="170" spans="1:15" ht="15" x14ac:dyDescent="0.2">
      <c r="A170" s="16">
        <v>46388</v>
      </c>
      <c r="B170" s="80">
        <f>3.8871 * CHOOSE(CONTROL!$C$32, $C$9, 100%, $E$9)</f>
        <v>3.8871000000000002</v>
      </c>
      <c r="C170" s="80">
        <f>3.8871 * CHOOSE(CONTROL!$C$32, $C$9, 100%, $E$9)</f>
        <v>3.8871000000000002</v>
      </c>
      <c r="D170" s="80">
        <f>3.8882 * CHOOSE(CONTROL!$C$32, $C$9, 100%, $E$9)</f>
        <v>3.8881999999999999</v>
      </c>
      <c r="E170" s="81">
        <f>4.9479 * CHOOSE(CONTROL!$C$32, $C$9, 100%, $E$9)</f>
        <v>4.9478999999999997</v>
      </c>
      <c r="F170" s="81">
        <f>4.9479 * CHOOSE(CONTROL!$C$32, $C$9, 100%, $E$9)</f>
        <v>4.9478999999999997</v>
      </c>
      <c r="G170" s="81">
        <f>4.9515 * CHOOSE(CONTROL!$C$32, $C$9, 100%, $E$9)</f>
        <v>4.9515000000000002</v>
      </c>
      <c r="H170" s="81">
        <f>8.0483 * CHOOSE(CONTROL!$C$32, $C$9, 100%, $E$9)</f>
        <v>8.0482999999999993</v>
      </c>
      <c r="I170" s="81">
        <f>8.0519 * CHOOSE(CONTROL!$C$32, $C$9, 100%, $E$9)</f>
        <v>8.0518999999999998</v>
      </c>
      <c r="J170" s="81">
        <f>8.0483 * CHOOSE(CONTROL!$C$32, $C$9, 100%, $E$9)</f>
        <v>8.0482999999999993</v>
      </c>
      <c r="K170" s="81">
        <f>8.0519 * CHOOSE(CONTROL!$C$32, $C$9, 100%, $E$9)</f>
        <v>8.0518999999999998</v>
      </c>
      <c r="L170" s="81">
        <f>4.9479 * CHOOSE(CONTROL!$C$32, $C$9, 100%, $E$9)</f>
        <v>4.9478999999999997</v>
      </c>
      <c r="M170" s="81">
        <f>4.9515 * CHOOSE(CONTROL!$C$32, $C$9, 100%, $E$9)</f>
        <v>4.9515000000000002</v>
      </c>
      <c r="N170" s="81">
        <f>4.9479 * CHOOSE(CONTROL!$C$32, $C$9, 100%, $E$9)</f>
        <v>4.9478999999999997</v>
      </c>
      <c r="O170" s="81">
        <f>4.9515 * CHOOSE(CONTROL!$C$32, $C$9, 100%, $E$9)</f>
        <v>4.9515000000000002</v>
      </c>
    </row>
    <row r="171" spans="1:15" ht="15" x14ac:dyDescent="0.2">
      <c r="A171" s="16">
        <v>46419</v>
      </c>
      <c r="B171" s="80">
        <f>3.884 * CHOOSE(CONTROL!$C$32, $C$9, 100%, $E$9)</f>
        <v>3.8839999999999999</v>
      </c>
      <c r="C171" s="80">
        <f>3.884 * CHOOSE(CONTROL!$C$32, $C$9, 100%, $E$9)</f>
        <v>3.8839999999999999</v>
      </c>
      <c r="D171" s="80">
        <f>3.8851 * CHOOSE(CONTROL!$C$32, $C$9, 100%, $E$9)</f>
        <v>3.8851</v>
      </c>
      <c r="E171" s="81">
        <f>4.9459 * CHOOSE(CONTROL!$C$32, $C$9, 100%, $E$9)</f>
        <v>4.9459</v>
      </c>
      <c r="F171" s="81">
        <f>4.9459 * CHOOSE(CONTROL!$C$32, $C$9, 100%, $E$9)</f>
        <v>4.9459</v>
      </c>
      <c r="G171" s="81">
        <f>4.9495 * CHOOSE(CONTROL!$C$32, $C$9, 100%, $E$9)</f>
        <v>4.9494999999999996</v>
      </c>
      <c r="H171" s="81">
        <f>8.0651 * CHOOSE(CONTROL!$C$32, $C$9, 100%, $E$9)</f>
        <v>8.0650999999999993</v>
      </c>
      <c r="I171" s="81">
        <f>8.0687 * CHOOSE(CONTROL!$C$32, $C$9, 100%, $E$9)</f>
        <v>8.0686999999999998</v>
      </c>
      <c r="J171" s="81">
        <f>8.0651 * CHOOSE(CONTROL!$C$32, $C$9, 100%, $E$9)</f>
        <v>8.0650999999999993</v>
      </c>
      <c r="K171" s="81">
        <f>8.0687 * CHOOSE(CONTROL!$C$32, $C$9, 100%, $E$9)</f>
        <v>8.0686999999999998</v>
      </c>
      <c r="L171" s="81">
        <f>4.9459 * CHOOSE(CONTROL!$C$32, $C$9, 100%, $E$9)</f>
        <v>4.9459</v>
      </c>
      <c r="M171" s="81">
        <f>4.9495 * CHOOSE(CONTROL!$C$32, $C$9, 100%, $E$9)</f>
        <v>4.9494999999999996</v>
      </c>
      <c r="N171" s="81">
        <f>4.9459 * CHOOSE(CONTROL!$C$32, $C$9, 100%, $E$9)</f>
        <v>4.9459</v>
      </c>
      <c r="O171" s="81">
        <f>4.9495 * CHOOSE(CONTROL!$C$32, $C$9, 100%, $E$9)</f>
        <v>4.9494999999999996</v>
      </c>
    </row>
    <row r="172" spans="1:15" ht="15" x14ac:dyDescent="0.2">
      <c r="A172" s="16">
        <v>46447</v>
      </c>
      <c r="B172" s="80">
        <f>3.881 * CHOOSE(CONTROL!$C$32, $C$9, 100%, $E$9)</f>
        <v>3.8809999999999998</v>
      </c>
      <c r="C172" s="80">
        <f>3.881 * CHOOSE(CONTROL!$C$32, $C$9, 100%, $E$9)</f>
        <v>3.8809999999999998</v>
      </c>
      <c r="D172" s="80">
        <f>3.8821 * CHOOSE(CONTROL!$C$32, $C$9, 100%, $E$9)</f>
        <v>3.8820999999999999</v>
      </c>
      <c r="E172" s="81">
        <f>4.9439 * CHOOSE(CONTROL!$C$32, $C$9, 100%, $E$9)</f>
        <v>4.9439000000000002</v>
      </c>
      <c r="F172" s="81">
        <f>4.9439 * CHOOSE(CONTROL!$C$32, $C$9, 100%, $E$9)</f>
        <v>4.9439000000000002</v>
      </c>
      <c r="G172" s="81">
        <f>4.9475 * CHOOSE(CONTROL!$C$32, $C$9, 100%, $E$9)</f>
        <v>4.9474999999999998</v>
      </c>
      <c r="H172" s="81">
        <f>8.0819 * CHOOSE(CONTROL!$C$32, $C$9, 100%, $E$9)</f>
        <v>8.0818999999999992</v>
      </c>
      <c r="I172" s="81">
        <f>8.0855 * CHOOSE(CONTROL!$C$32, $C$9, 100%, $E$9)</f>
        <v>8.0854999999999997</v>
      </c>
      <c r="J172" s="81">
        <f>8.0819 * CHOOSE(CONTROL!$C$32, $C$9, 100%, $E$9)</f>
        <v>8.0818999999999992</v>
      </c>
      <c r="K172" s="81">
        <f>8.0855 * CHOOSE(CONTROL!$C$32, $C$9, 100%, $E$9)</f>
        <v>8.0854999999999997</v>
      </c>
      <c r="L172" s="81">
        <f>4.9439 * CHOOSE(CONTROL!$C$32, $C$9, 100%, $E$9)</f>
        <v>4.9439000000000002</v>
      </c>
      <c r="M172" s="81">
        <f>4.9475 * CHOOSE(CONTROL!$C$32, $C$9, 100%, $E$9)</f>
        <v>4.9474999999999998</v>
      </c>
      <c r="N172" s="81">
        <f>4.9439 * CHOOSE(CONTROL!$C$32, $C$9, 100%, $E$9)</f>
        <v>4.9439000000000002</v>
      </c>
      <c r="O172" s="81">
        <f>4.9475 * CHOOSE(CONTROL!$C$32, $C$9, 100%, $E$9)</f>
        <v>4.9474999999999998</v>
      </c>
    </row>
    <row r="173" spans="1:15" ht="15" x14ac:dyDescent="0.2">
      <c r="A173" s="16">
        <v>46478</v>
      </c>
      <c r="B173" s="80">
        <f>3.8786 * CHOOSE(CONTROL!$C$32, $C$9, 100%, $E$9)</f>
        <v>3.8786</v>
      </c>
      <c r="C173" s="80">
        <f>3.8786 * CHOOSE(CONTROL!$C$32, $C$9, 100%, $E$9)</f>
        <v>3.8786</v>
      </c>
      <c r="D173" s="80">
        <f>3.8796 * CHOOSE(CONTROL!$C$32, $C$9, 100%, $E$9)</f>
        <v>3.8795999999999999</v>
      </c>
      <c r="E173" s="81">
        <f>4.9418 * CHOOSE(CONTROL!$C$32, $C$9, 100%, $E$9)</f>
        <v>4.9417999999999997</v>
      </c>
      <c r="F173" s="81">
        <f>4.9418 * CHOOSE(CONTROL!$C$32, $C$9, 100%, $E$9)</f>
        <v>4.9417999999999997</v>
      </c>
      <c r="G173" s="81">
        <f>4.9454 * CHOOSE(CONTROL!$C$32, $C$9, 100%, $E$9)</f>
        <v>4.9454000000000002</v>
      </c>
      <c r="H173" s="81">
        <f>8.0987 * CHOOSE(CONTROL!$C$32, $C$9, 100%, $E$9)</f>
        <v>8.0986999999999991</v>
      </c>
      <c r="I173" s="81">
        <f>8.1023 * CHOOSE(CONTROL!$C$32, $C$9, 100%, $E$9)</f>
        <v>8.1022999999999996</v>
      </c>
      <c r="J173" s="81">
        <f>8.0987 * CHOOSE(CONTROL!$C$32, $C$9, 100%, $E$9)</f>
        <v>8.0986999999999991</v>
      </c>
      <c r="K173" s="81">
        <f>8.1023 * CHOOSE(CONTROL!$C$32, $C$9, 100%, $E$9)</f>
        <v>8.1022999999999996</v>
      </c>
      <c r="L173" s="81">
        <f>4.9418 * CHOOSE(CONTROL!$C$32, $C$9, 100%, $E$9)</f>
        <v>4.9417999999999997</v>
      </c>
      <c r="M173" s="81">
        <f>4.9454 * CHOOSE(CONTROL!$C$32, $C$9, 100%, $E$9)</f>
        <v>4.9454000000000002</v>
      </c>
      <c r="N173" s="81">
        <f>4.9418 * CHOOSE(CONTROL!$C$32, $C$9, 100%, $E$9)</f>
        <v>4.9417999999999997</v>
      </c>
      <c r="O173" s="81">
        <f>4.9454 * CHOOSE(CONTROL!$C$32, $C$9, 100%, $E$9)</f>
        <v>4.9454000000000002</v>
      </c>
    </row>
    <row r="174" spans="1:15" ht="15" x14ac:dyDescent="0.2">
      <c r="A174" s="16">
        <v>46508</v>
      </c>
      <c r="B174" s="80">
        <f>3.8786 * CHOOSE(CONTROL!$C$32, $C$9, 100%, $E$9)</f>
        <v>3.8786</v>
      </c>
      <c r="C174" s="80">
        <f>3.8786 * CHOOSE(CONTROL!$C$32, $C$9, 100%, $E$9)</f>
        <v>3.8786</v>
      </c>
      <c r="D174" s="80">
        <f>3.8801 * CHOOSE(CONTROL!$C$32, $C$9, 100%, $E$9)</f>
        <v>3.8801000000000001</v>
      </c>
      <c r="E174" s="81">
        <f>4.9418 * CHOOSE(CONTROL!$C$32, $C$9, 100%, $E$9)</f>
        <v>4.9417999999999997</v>
      </c>
      <c r="F174" s="81">
        <f>4.9418 * CHOOSE(CONTROL!$C$32, $C$9, 100%, $E$9)</f>
        <v>4.9417999999999997</v>
      </c>
      <c r="G174" s="81">
        <f>4.9471 * CHOOSE(CONTROL!$C$32, $C$9, 100%, $E$9)</f>
        <v>4.9470999999999998</v>
      </c>
      <c r="H174" s="81">
        <f>8.1156 * CHOOSE(CONTROL!$C$32, $C$9, 100%, $E$9)</f>
        <v>8.1156000000000006</v>
      </c>
      <c r="I174" s="81">
        <f>8.1209 * CHOOSE(CONTROL!$C$32, $C$9, 100%, $E$9)</f>
        <v>8.1209000000000007</v>
      </c>
      <c r="J174" s="81">
        <f>8.1156 * CHOOSE(CONTROL!$C$32, $C$9, 100%, $E$9)</f>
        <v>8.1156000000000006</v>
      </c>
      <c r="K174" s="81">
        <f>8.1209 * CHOOSE(CONTROL!$C$32, $C$9, 100%, $E$9)</f>
        <v>8.1209000000000007</v>
      </c>
      <c r="L174" s="81">
        <f>4.9418 * CHOOSE(CONTROL!$C$32, $C$9, 100%, $E$9)</f>
        <v>4.9417999999999997</v>
      </c>
      <c r="M174" s="81">
        <f>4.9471 * CHOOSE(CONTROL!$C$32, $C$9, 100%, $E$9)</f>
        <v>4.9470999999999998</v>
      </c>
      <c r="N174" s="81">
        <f>4.9418 * CHOOSE(CONTROL!$C$32, $C$9, 100%, $E$9)</f>
        <v>4.9417999999999997</v>
      </c>
      <c r="O174" s="81">
        <f>4.9471 * CHOOSE(CONTROL!$C$32, $C$9, 100%, $E$9)</f>
        <v>4.9470999999999998</v>
      </c>
    </row>
    <row r="175" spans="1:15" ht="15" x14ac:dyDescent="0.2">
      <c r="A175" s="16">
        <v>46539</v>
      </c>
      <c r="B175" s="80">
        <f>3.8846 * CHOOSE(CONTROL!$C$32, $C$9, 100%, $E$9)</f>
        <v>3.8845999999999998</v>
      </c>
      <c r="C175" s="80">
        <f>3.8846 * CHOOSE(CONTROL!$C$32, $C$9, 100%, $E$9)</f>
        <v>3.8845999999999998</v>
      </c>
      <c r="D175" s="80">
        <f>3.8862 * CHOOSE(CONTROL!$C$32, $C$9, 100%, $E$9)</f>
        <v>3.8862000000000001</v>
      </c>
      <c r="E175" s="81">
        <f>4.9458 * CHOOSE(CONTROL!$C$32, $C$9, 100%, $E$9)</f>
        <v>4.9458000000000002</v>
      </c>
      <c r="F175" s="81">
        <f>4.9458 * CHOOSE(CONTROL!$C$32, $C$9, 100%, $E$9)</f>
        <v>4.9458000000000002</v>
      </c>
      <c r="G175" s="81">
        <f>4.9511 * CHOOSE(CONTROL!$C$32, $C$9, 100%, $E$9)</f>
        <v>4.9511000000000003</v>
      </c>
      <c r="H175" s="81">
        <f>8.1325 * CHOOSE(CONTROL!$C$32, $C$9, 100%, $E$9)</f>
        <v>8.1325000000000003</v>
      </c>
      <c r="I175" s="81">
        <f>8.1378 * CHOOSE(CONTROL!$C$32, $C$9, 100%, $E$9)</f>
        <v>8.1378000000000004</v>
      </c>
      <c r="J175" s="81">
        <f>8.1325 * CHOOSE(CONTROL!$C$32, $C$9, 100%, $E$9)</f>
        <v>8.1325000000000003</v>
      </c>
      <c r="K175" s="81">
        <f>8.1378 * CHOOSE(CONTROL!$C$32, $C$9, 100%, $E$9)</f>
        <v>8.1378000000000004</v>
      </c>
      <c r="L175" s="81">
        <f>4.9458 * CHOOSE(CONTROL!$C$32, $C$9, 100%, $E$9)</f>
        <v>4.9458000000000002</v>
      </c>
      <c r="M175" s="81">
        <f>4.9511 * CHOOSE(CONTROL!$C$32, $C$9, 100%, $E$9)</f>
        <v>4.9511000000000003</v>
      </c>
      <c r="N175" s="81">
        <f>4.9458 * CHOOSE(CONTROL!$C$32, $C$9, 100%, $E$9)</f>
        <v>4.9458000000000002</v>
      </c>
      <c r="O175" s="81">
        <f>4.9511 * CHOOSE(CONTROL!$C$32, $C$9, 100%, $E$9)</f>
        <v>4.9511000000000003</v>
      </c>
    </row>
    <row r="176" spans="1:15" ht="15" x14ac:dyDescent="0.2">
      <c r="A176" s="16">
        <v>46569</v>
      </c>
      <c r="B176" s="80">
        <f>3.951 * CHOOSE(CONTROL!$C$32, $C$9, 100%, $E$9)</f>
        <v>3.9510000000000001</v>
      </c>
      <c r="C176" s="80">
        <f>3.951 * CHOOSE(CONTROL!$C$32, $C$9, 100%, $E$9)</f>
        <v>3.9510000000000001</v>
      </c>
      <c r="D176" s="80">
        <f>3.9526 * CHOOSE(CONTROL!$C$32, $C$9, 100%, $E$9)</f>
        <v>3.9525999999999999</v>
      </c>
      <c r="E176" s="81">
        <f>5.0318 * CHOOSE(CONTROL!$C$32, $C$9, 100%, $E$9)</f>
        <v>5.0317999999999996</v>
      </c>
      <c r="F176" s="81">
        <f>5.0318 * CHOOSE(CONTROL!$C$32, $C$9, 100%, $E$9)</f>
        <v>5.0317999999999996</v>
      </c>
      <c r="G176" s="81">
        <f>5.0371 * CHOOSE(CONTROL!$C$32, $C$9, 100%, $E$9)</f>
        <v>5.0370999999999997</v>
      </c>
      <c r="H176" s="81">
        <f>8.1494 * CHOOSE(CONTROL!$C$32, $C$9, 100%, $E$9)</f>
        <v>8.1494</v>
      </c>
      <c r="I176" s="81">
        <f>8.1547 * CHOOSE(CONTROL!$C$32, $C$9, 100%, $E$9)</f>
        <v>8.1547000000000001</v>
      </c>
      <c r="J176" s="81">
        <f>8.1494 * CHOOSE(CONTROL!$C$32, $C$9, 100%, $E$9)</f>
        <v>8.1494</v>
      </c>
      <c r="K176" s="81">
        <f>8.1547 * CHOOSE(CONTROL!$C$32, $C$9, 100%, $E$9)</f>
        <v>8.1547000000000001</v>
      </c>
      <c r="L176" s="81">
        <f>5.0318 * CHOOSE(CONTROL!$C$32, $C$9, 100%, $E$9)</f>
        <v>5.0317999999999996</v>
      </c>
      <c r="M176" s="81">
        <f>5.0371 * CHOOSE(CONTROL!$C$32, $C$9, 100%, $E$9)</f>
        <v>5.0370999999999997</v>
      </c>
      <c r="N176" s="81">
        <f>5.0318 * CHOOSE(CONTROL!$C$32, $C$9, 100%, $E$9)</f>
        <v>5.0317999999999996</v>
      </c>
      <c r="O176" s="81">
        <f>5.0371 * CHOOSE(CONTROL!$C$32, $C$9, 100%, $E$9)</f>
        <v>5.0370999999999997</v>
      </c>
    </row>
    <row r="177" spans="1:15" ht="15" x14ac:dyDescent="0.2">
      <c r="A177" s="16">
        <v>46600</v>
      </c>
      <c r="B177" s="80">
        <f>3.9577 * CHOOSE(CONTROL!$C$32, $C$9, 100%, $E$9)</f>
        <v>3.9577</v>
      </c>
      <c r="C177" s="80">
        <f>3.9577 * CHOOSE(CONTROL!$C$32, $C$9, 100%, $E$9)</f>
        <v>3.9577</v>
      </c>
      <c r="D177" s="80">
        <f>3.9592 * CHOOSE(CONTROL!$C$32, $C$9, 100%, $E$9)</f>
        <v>3.9592000000000001</v>
      </c>
      <c r="E177" s="81">
        <f>5.0362 * CHOOSE(CONTROL!$C$32, $C$9, 100%, $E$9)</f>
        <v>5.0362</v>
      </c>
      <c r="F177" s="81">
        <f>5.0362 * CHOOSE(CONTROL!$C$32, $C$9, 100%, $E$9)</f>
        <v>5.0362</v>
      </c>
      <c r="G177" s="81">
        <f>5.0415 * CHOOSE(CONTROL!$C$32, $C$9, 100%, $E$9)</f>
        <v>5.0415000000000001</v>
      </c>
      <c r="H177" s="81">
        <f>8.1664 * CHOOSE(CONTROL!$C$32, $C$9, 100%, $E$9)</f>
        <v>8.1663999999999994</v>
      </c>
      <c r="I177" s="81">
        <f>8.1717 * CHOOSE(CONTROL!$C$32, $C$9, 100%, $E$9)</f>
        <v>8.1716999999999995</v>
      </c>
      <c r="J177" s="81">
        <f>8.1664 * CHOOSE(CONTROL!$C$32, $C$9, 100%, $E$9)</f>
        <v>8.1663999999999994</v>
      </c>
      <c r="K177" s="81">
        <f>8.1717 * CHOOSE(CONTROL!$C$32, $C$9, 100%, $E$9)</f>
        <v>8.1716999999999995</v>
      </c>
      <c r="L177" s="81">
        <f>5.0362 * CHOOSE(CONTROL!$C$32, $C$9, 100%, $E$9)</f>
        <v>5.0362</v>
      </c>
      <c r="M177" s="81">
        <f>5.0415 * CHOOSE(CONTROL!$C$32, $C$9, 100%, $E$9)</f>
        <v>5.0415000000000001</v>
      </c>
      <c r="N177" s="81">
        <f>5.0362 * CHOOSE(CONTROL!$C$32, $C$9, 100%, $E$9)</f>
        <v>5.0362</v>
      </c>
      <c r="O177" s="81">
        <f>5.0415 * CHOOSE(CONTROL!$C$32, $C$9, 100%, $E$9)</f>
        <v>5.0415000000000001</v>
      </c>
    </row>
    <row r="178" spans="1:15" ht="15" x14ac:dyDescent="0.2">
      <c r="A178" s="16">
        <v>46631</v>
      </c>
      <c r="B178" s="80">
        <f>3.9546 * CHOOSE(CONTROL!$C$32, $C$9, 100%, $E$9)</f>
        <v>3.9546000000000001</v>
      </c>
      <c r="C178" s="80">
        <f>3.9546 * CHOOSE(CONTROL!$C$32, $C$9, 100%, $E$9)</f>
        <v>3.9546000000000001</v>
      </c>
      <c r="D178" s="80">
        <f>3.9562 * CHOOSE(CONTROL!$C$32, $C$9, 100%, $E$9)</f>
        <v>3.9561999999999999</v>
      </c>
      <c r="E178" s="81">
        <f>5.0342 * CHOOSE(CONTROL!$C$32, $C$9, 100%, $E$9)</f>
        <v>5.0342000000000002</v>
      </c>
      <c r="F178" s="81">
        <f>5.0342 * CHOOSE(CONTROL!$C$32, $C$9, 100%, $E$9)</f>
        <v>5.0342000000000002</v>
      </c>
      <c r="G178" s="81">
        <f>5.0395 * CHOOSE(CONTROL!$C$32, $C$9, 100%, $E$9)</f>
        <v>5.0395000000000003</v>
      </c>
      <c r="H178" s="81">
        <f>8.1834 * CHOOSE(CONTROL!$C$32, $C$9, 100%, $E$9)</f>
        <v>8.1834000000000007</v>
      </c>
      <c r="I178" s="81">
        <f>8.1887 * CHOOSE(CONTROL!$C$32, $C$9, 100%, $E$9)</f>
        <v>8.1887000000000008</v>
      </c>
      <c r="J178" s="81">
        <f>8.1834 * CHOOSE(CONTROL!$C$32, $C$9, 100%, $E$9)</f>
        <v>8.1834000000000007</v>
      </c>
      <c r="K178" s="81">
        <f>8.1887 * CHOOSE(CONTROL!$C$32, $C$9, 100%, $E$9)</f>
        <v>8.1887000000000008</v>
      </c>
      <c r="L178" s="81">
        <f>5.0342 * CHOOSE(CONTROL!$C$32, $C$9, 100%, $E$9)</f>
        <v>5.0342000000000002</v>
      </c>
      <c r="M178" s="81">
        <f>5.0395 * CHOOSE(CONTROL!$C$32, $C$9, 100%, $E$9)</f>
        <v>5.0395000000000003</v>
      </c>
      <c r="N178" s="81">
        <f>5.0342 * CHOOSE(CONTROL!$C$32, $C$9, 100%, $E$9)</f>
        <v>5.0342000000000002</v>
      </c>
      <c r="O178" s="81">
        <f>5.0395 * CHOOSE(CONTROL!$C$32, $C$9, 100%, $E$9)</f>
        <v>5.0395000000000003</v>
      </c>
    </row>
    <row r="179" spans="1:15" ht="15" x14ac:dyDescent="0.2">
      <c r="A179" s="16">
        <v>46661</v>
      </c>
      <c r="B179" s="80">
        <f>3.9496 * CHOOSE(CONTROL!$C$32, $C$9, 100%, $E$9)</f>
        <v>3.9496000000000002</v>
      </c>
      <c r="C179" s="80">
        <f>3.9496 * CHOOSE(CONTROL!$C$32, $C$9, 100%, $E$9)</f>
        <v>3.9496000000000002</v>
      </c>
      <c r="D179" s="80">
        <f>3.9506 * CHOOSE(CONTROL!$C$32, $C$9, 100%, $E$9)</f>
        <v>3.9506000000000001</v>
      </c>
      <c r="E179" s="81">
        <f>5.0288 * CHOOSE(CONTROL!$C$32, $C$9, 100%, $E$9)</f>
        <v>5.0288000000000004</v>
      </c>
      <c r="F179" s="81">
        <f>5.0288 * CHOOSE(CONTROL!$C$32, $C$9, 100%, $E$9)</f>
        <v>5.0288000000000004</v>
      </c>
      <c r="G179" s="81">
        <f>5.0324 * CHOOSE(CONTROL!$C$32, $C$9, 100%, $E$9)</f>
        <v>5.0324</v>
      </c>
      <c r="H179" s="81">
        <f>8.2005 * CHOOSE(CONTROL!$C$32, $C$9, 100%, $E$9)</f>
        <v>8.2004999999999999</v>
      </c>
      <c r="I179" s="81">
        <f>8.2041 * CHOOSE(CONTROL!$C$32, $C$9, 100%, $E$9)</f>
        <v>8.2041000000000004</v>
      </c>
      <c r="J179" s="81">
        <f>8.2005 * CHOOSE(CONTROL!$C$32, $C$9, 100%, $E$9)</f>
        <v>8.2004999999999999</v>
      </c>
      <c r="K179" s="81">
        <f>8.2041 * CHOOSE(CONTROL!$C$32, $C$9, 100%, $E$9)</f>
        <v>8.2041000000000004</v>
      </c>
      <c r="L179" s="81">
        <f>5.0288 * CHOOSE(CONTROL!$C$32, $C$9, 100%, $E$9)</f>
        <v>5.0288000000000004</v>
      </c>
      <c r="M179" s="81">
        <f>5.0324 * CHOOSE(CONTROL!$C$32, $C$9, 100%, $E$9)</f>
        <v>5.0324</v>
      </c>
      <c r="N179" s="81">
        <f>5.0288 * CHOOSE(CONTROL!$C$32, $C$9, 100%, $E$9)</f>
        <v>5.0288000000000004</v>
      </c>
      <c r="O179" s="81">
        <f>5.0324 * CHOOSE(CONTROL!$C$32, $C$9, 100%, $E$9)</f>
        <v>5.0324</v>
      </c>
    </row>
    <row r="180" spans="1:15" ht="15" x14ac:dyDescent="0.2">
      <c r="A180" s="16">
        <v>46692</v>
      </c>
      <c r="B180" s="80">
        <f>3.9526 * CHOOSE(CONTROL!$C$32, $C$9, 100%, $E$9)</f>
        <v>3.9525999999999999</v>
      </c>
      <c r="C180" s="80">
        <f>3.9526 * CHOOSE(CONTROL!$C$32, $C$9, 100%, $E$9)</f>
        <v>3.9525999999999999</v>
      </c>
      <c r="D180" s="80">
        <f>3.9537 * CHOOSE(CONTROL!$C$32, $C$9, 100%, $E$9)</f>
        <v>3.9537</v>
      </c>
      <c r="E180" s="81">
        <f>5.0308 * CHOOSE(CONTROL!$C$32, $C$9, 100%, $E$9)</f>
        <v>5.0308000000000002</v>
      </c>
      <c r="F180" s="81">
        <f>5.0308 * CHOOSE(CONTROL!$C$32, $C$9, 100%, $E$9)</f>
        <v>5.0308000000000002</v>
      </c>
      <c r="G180" s="81">
        <f>5.0344 * CHOOSE(CONTROL!$C$32, $C$9, 100%, $E$9)</f>
        <v>5.0343999999999998</v>
      </c>
      <c r="H180" s="81">
        <f>8.2176 * CHOOSE(CONTROL!$C$32, $C$9, 100%, $E$9)</f>
        <v>8.2175999999999991</v>
      </c>
      <c r="I180" s="81">
        <f>8.2212 * CHOOSE(CONTROL!$C$32, $C$9, 100%, $E$9)</f>
        <v>8.2211999999999996</v>
      </c>
      <c r="J180" s="81">
        <f>8.2176 * CHOOSE(CONTROL!$C$32, $C$9, 100%, $E$9)</f>
        <v>8.2175999999999991</v>
      </c>
      <c r="K180" s="81">
        <f>8.2212 * CHOOSE(CONTROL!$C$32, $C$9, 100%, $E$9)</f>
        <v>8.2211999999999996</v>
      </c>
      <c r="L180" s="81">
        <f>5.0308 * CHOOSE(CONTROL!$C$32, $C$9, 100%, $E$9)</f>
        <v>5.0308000000000002</v>
      </c>
      <c r="M180" s="81">
        <f>5.0344 * CHOOSE(CONTROL!$C$32, $C$9, 100%, $E$9)</f>
        <v>5.0343999999999998</v>
      </c>
      <c r="N180" s="81">
        <f>5.0308 * CHOOSE(CONTROL!$C$32, $C$9, 100%, $E$9)</f>
        <v>5.0308000000000002</v>
      </c>
      <c r="O180" s="81">
        <f>5.0344 * CHOOSE(CONTROL!$C$32, $C$9, 100%, $E$9)</f>
        <v>5.0343999999999998</v>
      </c>
    </row>
    <row r="181" spans="1:15" ht="15" x14ac:dyDescent="0.2">
      <c r="A181" s="16">
        <v>46722</v>
      </c>
      <c r="B181" s="80">
        <f>3.9526 * CHOOSE(CONTROL!$C$32, $C$9, 100%, $E$9)</f>
        <v>3.9525999999999999</v>
      </c>
      <c r="C181" s="80">
        <f>3.9526 * CHOOSE(CONTROL!$C$32, $C$9, 100%, $E$9)</f>
        <v>3.9525999999999999</v>
      </c>
      <c r="D181" s="80">
        <f>3.9537 * CHOOSE(CONTROL!$C$32, $C$9, 100%, $E$9)</f>
        <v>3.9537</v>
      </c>
      <c r="E181" s="81">
        <f>5.0308 * CHOOSE(CONTROL!$C$32, $C$9, 100%, $E$9)</f>
        <v>5.0308000000000002</v>
      </c>
      <c r="F181" s="81">
        <f>5.0308 * CHOOSE(CONTROL!$C$32, $C$9, 100%, $E$9)</f>
        <v>5.0308000000000002</v>
      </c>
      <c r="G181" s="81">
        <f>5.0344 * CHOOSE(CONTROL!$C$32, $C$9, 100%, $E$9)</f>
        <v>5.0343999999999998</v>
      </c>
      <c r="H181" s="81">
        <f>8.2347 * CHOOSE(CONTROL!$C$32, $C$9, 100%, $E$9)</f>
        <v>8.2347000000000001</v>
      </c>
      <c r="I181" s="81">
        <f>8.2383 * CHOOSE(CONTROL!$C$32, $C$9, 100%, $E$9)</f>
        <v>8.2383000000000006</v>
      </c>
      <c r="J181" s="81">
        <f>8.2347 * CHOOSE(CONTROL!$C$32, $C$9, 100%, $E$9)</f>
        <v>8.2347000000000001</v>
      </c>
      <c r="K181" s="81">
        <f>8.2383 * CHOOSE(CONTROL!$C$32, $C$9, 100%, $E$9)</f>
        <v>8.2383000000000006</v>
      </c>
      <c r="L181" s="81">
        <f>5.0308 * CHOOSE(CONTROL!$C$32, $C$9, 100%, $E$9)</f>
        <v>5.0308000000000002</v>
      </c>
      <c r="M181" s="81">
        <f>5.0344 * CHOOSE(CONTROL!$C$32, $C$9, 100%, $E$9)</f>
        <v>5.0343999999999998</v>
      </c>
      <c r="N181" s="81">
        <f>5.0308 * CHOOSE(CONTROL!$C$32, $C$9, 100%, $E$9)</f>
        <v>5.0308000000000002</v>
      </c>
      <c r="O181" s="81">
        <f>5.0344 * CHOOSE(CONTROL!$C$32, $C$9, 100%, $E$9)</f>
        <v>5.0343999999999998</v>
      </c>
    </row>
    <row r="182" spans="1:15" ht="15" x14ac:dyDescent="0.2">
      <c r="A182" s="16">
        <v>46753</v>
      </c>
      <c r="B182" s="80">
        <f>3.9901 * CHOOSE(CONTROL!$C$32, $C$9, 100%, $E$9)</f>
        <v>3.9901</v>
      </c>
      <c r="C182" s="80">
        <f>3.9901 * CHOOSE(CONTROL!$C$32, $C$9, 100%, $E$9)</f>
        <v>3.9901</v>
      </c>
      <c r="D182" s="80">
        <f>3.9912 * CHOOSE(CONTROL!$C$32, $C$9, 100%, $E$9)</f>
        <v>3.9912000000000001</v>
      </c>
      <c r="E182" s="81">
        <f>5.0753 * CHOOSE(CONTROL!$C$32, $C$9, 100%, $E$9)</f>
        <v>5.0753000000000004</v>
      </c>
      <c r="F182" s="81">
        <f>5.0753 * CHOOSE(CONTROL!$C$32, $C$9, 100%, $E$9)</f>
        <v>5.0753000000000004</v>
      </c>
      <c r="G182" s="81">
        <f>5.0789 * CHOOSE(CONTROL!$C$32, $C$9, 100%, $E$9)</f>
        <v>5.0789</v>
      </c>
      <c r="H182" s="81">
        <f>8.2518 * CHOOSE(CONTROL!$C$32, $C$9, 100%, $E$9)</f>
        <v>8.2517999999999994</v>
      </c>
      <c r="I182" s="81">
        <f>8.2555 * CHOOSE(CONTROL!$C$32, $C$9, 100%, $E$9)</f>
        <v>8.2554999999999996</v>
      </c>
      <c r="J182" s="81">
        <f>8.2518 * CHOOSE(CONTROL!$C$32, $C$9, 100%, $E$9)</f>
        <v>8.2517999999999994</v>
      </c>
      <c r="K182" s="81">
        <f>8.2555 * CHOOSE(CONTROL!$C$32, $C$9, 100%, $E$9)</f>
        <v>8.2554999999999996</v>
      </c>
      <c r="L182" s="81">
        <f>5.0753 * CHOOSE(CONTROL!$C$32, $C$9, 100%, $E$9)</f>
        <v>5.0753000000000004</v>
      </c>
      <c r="M182" s="81">
        <f>5.0789 * CHOOSE(CONTROL!$C$32, $C$9, 100%, $E$9)</f>
        <v>5.0789</v>
      </c>
      <c r="N182" s="81">
        <f>5.0753 * CHOOSE(CONTROL!$C$32, $C$9, 100%, $E$9)</f>
        <v>5.0753000000000004</v>
      </c>
      <c r="O182" s="81">
        <f>5.0789 * CHOOSE(CONTROL!$C$32, $C$9, 100%, $E$9)</f>
        <v>5.0789</v>
      </c>
    </row>
    <row r="183" spans="1:15" ht="15" x14ac:dyDescent="0.2">
      <c r="A183" s="16">
        <v>46784</v>
      </c>
      <c r="B183" s="80">
        <f>3.9871 * CHOOSE(CONTROL!$C$32, $C$9, 100%, $E$9)</f>
        <v>3.9870999999999999</v>
      </c>
      <c r="C183" s="80">
        <f>3.9871 * CHOOSE(CONTROL!$C$32, $C$9, 100%, $E$9)</f>
        <v>3.9870999999999999</v>
      </c>
      <c r="D183" s="80">
        <f>3.9882 * CHOOSE(CONTROL!$C$32, $C$9, 100%, $E$9)</f>
        <v>3.9882</v>
      </c>
      <c r="E183" s="81">
        <f>5.0733 * CHOOSE(CONTROL!$C$32, $C$9, 100%, $E$9)</f>
        <v>5.0732999999999997</v>
      </c>
      <c r="F183" s="81">
        <f>5.0733 * CHOOSE(CONTROL!$C$32, $C$9, 100%, $E$9)</f>
        <v>5.0732999999999997</v>
      </c>
      <c r="G183" s="81">
        <f>5.0769 * CHOOSE(CONTROL!$C$32, $C$9, 100%, $E$9)</f>
        <v>5.0769000000000002</v>
      </c>
      <c r="H183" s="81">
        <f>8.269 * CHOOSE(CONTROL!$C$32, $C$9, 100%, $E$9)</f>
        <v>8.2690000000000001</v>
      </c>
      <c r="I183" s="81">
        <f>8.2727 * CHOOSE(CONTROL!$C$32, $C$9, 100%, $E$9)</f>
        <v>8.2727000000000004</v>
      </c>
      <c r="J183" s="81">
        <f>8.269 * CHOOSE(CONTROL!$C$32, $C$9, 100%, $E$9)</f>
        <v>8.2690000000000001</v>
      </c>
      <c r="K183" s="81">
        <f>8.2727 * CHOOSE(CONTROL!$C$32, $C$9, 100%, $E$9)</f>
        <v>8.2727000000000004</v>
      </c>
      <c r="L183" s="81">
        <f>5.0733 * CHOOSE(CONTROL!$C$32, $C$9, 100%, $E$9)</f>
        <v>5.0732999999999997</v>
      </c>
      <c r="M183" s="81">
        <f>5.0769 * CHOOSE(CONTROL!$C$32, $C$9, 100%, $E$9)</f>
        <v>5.0769000000000002</v>
      </c>
      <c r="N183" s="81">
        <f>5.0733 * CHOOSE(CONTROL!$C$32, $C$9, 100%, $E$9)</f>
        <v>5.0732999999999997</v>
      </c>
      <c r="O183" s="81">
        <f>5.0769 * CHOOSE(CONTROL!$C$32, $C$9, 100%, $E$9)</f>
        <v>5.0769000000000002</v>
      </c>
    </row>
    <row r="184" spans="1:15" ht="15" x14ac:dyDescent="0.2">
      <c r="A184" s="16">
        <v>46813</v>
      </c>
      <c r="B184" s="80">
        <f>3.984 * CHOOSE(CONTROL!$C$32, $C$9, 100%, $E$9)</f>
        <v>3.984</v>
      </c>
      <c r="C184" s="80">
        <f>3.984 * CHOOSE(CONTROL!$C$32, $C$9, 100%, $E$9)</f>
        <v>3.984</v>
      </c>
      <c r="D184" s="80">
        <f>3.9851 * CHOOSE(CONTROL!$C$32, $C$9, 100%, $E$9)</f>
        <v>3.9851000000000001</v>
      </c>
      <c r="E184" s="81">
        <f>5.0713 * CHOOSE(CONTROL!$C$32, $C$9, 100%, $E$9)</f>
        <v>5.0712999999999999</v>
      </c>
      <c r="F184" s="81">
        <f>5.0713 * CHOOSE(CONTROL!$C$32, $C$9, 100%, $E$9)</f>
        <v>5.0712999999999999</v>
      </c>
      <c r="G184" s="81">
        <f>5.0749 * CHOOSE(CONTROL!$C$32, $C$9, 100%, $E$9)</f>
        <v>5.0749000000000004</v>
      </c>
      <c r="H184" s="81">
        <f>8.2863 * CHOOSE(CONTROL!$C$32, $C$9, 100%, $E$9)</f>
        <v>8.2863000000000007</v>
      </c>
      <c r="I184" s="81">
        <f>8.2899 * CHOOSE(CONTROL!$C$32, $C$9, 100%, $E$9)</f>
        <v>8.2898999999999994</v>
      </c>
      <c r="J184" s="81">
        <f>8.2863 * CHOOSE(CONTROL!$C$32, $C$9, 100%, $E$9)</f>
        <v>8.2863000000000007</v>
      </c>
      <c r="K184" s="81">
        <f>8.2899 * CHOOSE(CONTROL!$C$32, $C$9, 100%, $E$9)</f>
        <v>8.2898999999999994</v>
      </c>
      <c r="L184" s="81">
        <f>5.0713 * CHOOSE(CONTROL!$C$32, $C$9, 100%, $E$9)</f>
        <v>5.0712999999999999</v>
      </c>
      <c r="M184" s="81">
        <f>5.0749 * CHOOSE(CONTROL!$C$32, $C$9, 100%, $E$9)</f>
        <v>5.0749000000000004</v>
      </c>
      <c r="N184" s="81">
        <f>5.0713 * CHOOSE(CONTROL!$C$32, $C$9, 100%, $E$9)</f>
        <v>5.0712999999999999</v>
      </c>
      <c r="O184" s="81">
        <f>5.0749 * CHOOSE(CONTROL!$C$32, $C$9, 100%, $E$9)</f>
        <v>5.0749000000000004</v>
      </c>
    </row>
    <row r="185" spans="1:15" ht="15" x14ac:dyDescent="0.2">
      <c r="A185" s="16">
        <v>46844</v>
      </c>
      <c r="B185" s="80">
        <f>3.9817 * CHOOSE(CONTROL!$C$32, $C$9, 100%, $E$9)</f>
        <v>3.9817</v>
      </c>
      <c r="C185" s="80">
        <f>3.9817 * CHOOSE(CONTROL!$C$32, $C$9, 100%, $E$9)</f>
        <v>3.9817</v>
      </c>
      <c r="D185" s="80">
        <f>3.9828 * CHOOSE(CONTROL!$C$32, $C$9, 100%, $E$9)</f>
        <v>3.9828000000000001</v>
      </c>
      <c r="E185" s="81">
        <f>5.0692 * CHOOSE(CONTROL!$C$32, $C$9, 100%, $E$9)</f>
        <v>5.0692000000000004</v>
      </c>
      <c r="F185" s="81">
        <f>5.0692 * CHOOSE(CONTROL!$C$32, $C$9, 100%, $E$9)</f>
        <v>5.0692000000000004</v>
      </c>
      <c r="G185" s="81">
        <f>5.0728 * CHOOSE(CONTROL!$C$32, $C$9, 100%, $E$9)</f>
        <v>5.0728</v>
      </c>
      <c r="H185" s="81">
        <f>8.3035 * CHOOSE(CONTROL!$C$32, $C$9, 100%, $E$9)</f>
        <v>8.3034999999999997</v>
      </c>
      <c r="I185" s="81">
        <f>8.3071 * CHOOSE(CONTROL!$C$32, $C$9, 100%, $E$9)</f>
        <v>8.3071000000000002</v>
      </c>
      <c r="J185" s="81">
        <f>8.3035 * CHOOSE(CONTROL!$C$32, $C$9, 100%, $E$9)</f>
        <v>8.3034999999999997</v>
      </c>
      <c r="K185" s="81">
        <f>8.3071 * CHOOSE(CONTROL!$C$32, $C$9, 100%, $E$9)</f>
        <v>8.3071000000000002</v>
      </c>
      <c r="L185" s="81">
        <f>5.0692 * CHOOSE(CONTROL!$C$32, $C$9, 100%, $E$9)</f>
        <v>5.0692000000000004</v>
      </c>
      <c r="M185" s="81">
        <f>5.0728 * CHOOSE(CONTROL!$C$32, $C$9, 100%, $E$9)</f>
        <v>5.0728</v>
      </c>
      <c r="N185" s="81">
        <f>5.0692 * CHOOSE(CONTROL!$C$32, $C$9, 100%, $E$9)</f>
        <v>5.0692000000000004</v>
      </c>
      <c r="O185" s="81">
        <f>5.0728 * CHOOSE(CONTROL!$C$32, $C$9, 100%, $E$9)</f>
        <v>5.0728</v>
      </c>
    </row>
    <row r="186" spans="1:15" ht="15" x14ac:dyDescent="0.2">
      <c r="A186" s="16">
        <v>46874</v>
      </c>
      <c r="B186" s="80">
        <f>3.9817 * CHOOSE(CONTROL!$C$32, $C$9, 100%, $E$9)</f>
        <v>3.9817</v>
      </c>
      <c r="C186" s="80">
        <f>3.9817 * CHOOSE(CONTROL!$C$32, $C$9, 100%, $E$9)</f>
        <v>3.9817</v>
      </c>
      <c r="D186" s="80">
        <f>3.9833 * CHOOSE(CONTROL!$C$32, $C$9, 100%, $E$9)</f>
        <v>3.9832999999999998</v>
      </c>
      <c r="E186" s="81">
        <f>5.0692 * CHOOSE(CONTROL!$C$32, $C$9, 100%, $E$9)</f>
        <v>5.0692000000000004</v>
      </c>
      <c r="F186" s="81">
        <f>5.0692 * CHOOSE(CONTROL!$C$32, $C$9, 100%, $E$9)</f>
        <v>5.0692000000000004</v>
      </c>
      <c r="G186" s="81">
        <f>5.0745 * CHOOSE(CONTROL!$C$32, $C$9, 100%, $E$9)</f>
        <v>5.0744999999999996</v>
      </c>
      <c r="H186" s="81">
        <f>8.3208 * CHOOSE(CONTROL!$C$32, $C$9, 100%, $E$9)</f>
        <v>8.3208000000000002</v>
      </c>
      <c r="I186" s="81">
        <f>8.3261 * CHOOSE(CONTROL!$C$32, $C$9, 100%, $E$9)</f>
        <v>8.3261000000000003</v>
      </c>
      <c r="J186" s="81">
        <f>8.3208 * CHOOSE(CONTROL!$C$32, $C$9, 100%, $E$9)</f>
        <v>8.3208000000000002</v>
      </c>
      <c r="K186" s="81">
        <f>8.3261 * CHOOSE(CONTROL!$C$32, $C$9, 100%, $E$9)</f>
        <v>8.3261000000000003</v>
      </c>
      <c r="L186" s="81">
        <f>5.0692 * CHOOSE(CONTROL!$C$32, $C$9, 100%, $E$9)</f>
        <v>5.0692000000000004</v>
      </c>
      <c r="M186" s="81">
        <f>5.0745 * CHOOSE(CONTROL!$C$32, $C$9, 100%, $E$9)</f>
        <v>5.0744999999999996</v>
      </c>
      <c r="N186" s="81">
        <f>5.0692 * CHOOSE(CONTROL!$C$32, $C$9, 100%, $E$9)</f>
        <v>5.0692000000000004</v>
      </c>
      <c r="O186" s="81">
        <f>5.0745 * CHOOSE(CONTROL!$C$32, $C$9, 100%, $E$9)</f>
        <v>5.0744999999999996</v>
      </c>
    </row>
    <row r="187" spans="1:15" ht="15" x14ac:dyDescent="0.2">
      <c r="A187" s="16">
        <v>46905</v>
      </c>
      <c r="B187" s="80">
        <f>3.9878 * CHOOSE(CONTROL!$C$32, $C$9, 100%, $E$9)</f>
        <v>3.9878</v>
      </c>
      <c r="C187" s="80">
        <f>3.9878 * CHOOSE(CONTROL!$C$32, $C$9, 100%, $E$9)</f>
        <v>3.9878</v>
      </c>
      <c r="D187" s="80">
        <f>3.9893 * CHOOSE(CONTROL!$C$32, $C$9, 100%, $E$9)</f>
        <v>3.9893000000000001</v>
      </c>
      <c r="E187" s="81">
        <f>5.0732 * CHOOSE(CONTROL!$C$32, $C$9, 100%, $E$9)</f>
        <v>5.0731999999999999</v>
      </c>
      <c r="F187" s="81">
        <f>5.0732 * CHOOSE(CONTROL!$C$32, $C$9, 100%, $E$9)</f>
        <v>5.0731999999999999</v>
      </c>
      <c r="G187" s="81">
        <f>5.0785 * CHOOSE(CONTROL!$C$32, $C$9, 100%, $E$9)</f>
        <v>5.0785</v>
      </c>
      <c r="H187" s="81">
        <f>8.3382 * CHOOSE(CONTROL!$C$32, $C$9, 100%, $E$9)</f>
        <v>8.3382000000000005</v>
      </c>
      <c r="I187" s="81">
        <f>8.3435 * CHOOSE(CONTROL!$C$32, $C$9, 100%, $E$9)</f>
        <v>8.3435000000000006</v>
      </c>
      <c r="J187" s="81">
        <f>8.3382 * CHOOSE(CONTROL!$C$32, $C$9, 100%, $E$9)</f>
        <v>8.3382000000000005</v>
      </c>
      <c r="K187" s="81">
        <f>8.3435 * CHOOSE(CONTROL!$C$32, $C$9, 100%, $E$9)</f>
        <v>8.3435000000000006</v>
      </c>
      <c r="L187" s="81">
        <f>5.0732 * CHOOSE(CONTROL!$C$32, $C$9, 100%, $E$9)</f>
        <v>5.0731999999999999</v>
      </c>
      <c r="M187" s="81">
        <f>5.0785 * CHOOSE(CONTROL!$C$32, $C$9, 100%, $E$9)</f>
        <v>5.0785</v>
      </c>
      <c r="N187" s="81">
        <f>5.0732 * CHOOSE(CONTROL!$C$32, $C$9, 100%, $E$9)</f>
        <v>5.0731999999999999</v>
      </c>
      <c r="O187" s="81">
        <f>5.0785 * CHOOSE(CONTROL!$C$32, $C$9, 100%, $E$9)</f>
        <v>5.0785</v>
      </c>
    </row>
    <row r="188" spans="1:15" ht="15" x14ac:dyDescent="0.2">
      <c r="A188" s="16">
        <v>46935</v>
      </c>
      <c r="B188" s="80">
        <f>4.0588 * CHOOSE(CONTROL!$C$32, $C$9, 100%, $E$9)</f>
        <v>4.0587999999999997</v>
      </c>
      <c r="C188" s="80">
        <f>4.0588 * CHOOSE(CONTROL!$C$32, $C$9, 100%, $E$9)</f>
        <v>4.0587999999999997</v>
      </c>
      <c r="D188" s="80">
        <f>4.0603 * CHOOSE(CONTROL!$C$32, $C$9, 100%, $E$9)</f>
        <v>4.0602999999999998</v>
      </c>
      <c r="E188" s="81">
        <f>5.1714 * CHOOSE(CONTROL!$C$32, $C$9, 100%, $E$9)</f>
        <v>5.1714000000000002</v>
      </c>
      <c r="F188" s="81">
        <f>5.1714 * CHOOSE(CONTROL!$C$32, $C$9, 100%, $E$9)</f>
        <v>5.1714000000000002</v>
      </c>
      <c r="G188" s="81">
        <f>5.1767 * CHOOSE(CONTROL!$C$32, $C$9, 100%, $E$9)</f>
        <v>5.1767000000000003</v>
      </c>
      <c r="H188" s="81">
        <f>8.3555 * CHOOSE(CONTROL!$C$32, $C$9, 100%, $E$9)</f>
        <v>8.3554999999999993</v>
      </c>
      <c r="I188" s="81">
        <f>8.3608 * CHOOSE(CONTROL!$C$32, $C$9, 100%, $E$9)</f>
        <v>8.3607999999999993</v>
      </c>
      <c r="J188" s="81">
        <f>8.3555 * CHOOSE(CONTROL!$C$32, $C$9, 100%, $E$9)</f>
        <v>8.3554999999999993</v>
      </c>
      <c r="K188" s="81">
        <f>8.3608 * CHOOSE(CONTROL!$C$32, $C$9, 100%, $E$9)</f>
        <v>8.3607999999999993</v>
      </c>
      <c r="L188" s="81">
        <f>5.1714 * CHOOSE(CONTROL!$C$32, $C$9, 100%, $E$9)</f>
        <v>5.1714000000000002</v>
      </c>
      <c r="M188" s="81">
        <f>5.1767 * CHOOSE(CONTROL!$C$32, $C$9, 100%, $E$9)</f>
        <v>5.1767000000000003</v>
      </c>
      <c r="N188" s="81">
        <f>5.1714 * CHOOSE(CONTROL!$C$32, $C$9, 100%, $E$9)</f>
        <v>5.1714000000000002</v>
      </c>
      <c r="O188" s="81">
        <f>5.1767 * CHOOSE(CONTROL!$C$32, $C$9, 100%, $E$9)</f>
        <v>5.1767000000000003</v>
      </c>
    </row>
    <row r="189" spans="1:15" ht="15" x14ac:dyDescent="0.2">
      <c r="A189" s="16">
        <v>46966</v>
      </c>
      <c r="B189" s="80">
        <f>4.0654 * CHOOSE(CONTROL!$C$32, $C$9, 100%, $E$9)</f>
        <v>4.0654000000000003</v>
      </c>
      <c r="C189" s="80">
        <f>4.0654 * CHOOSE(CONTROL!$C$32, $C$9, 100%, $E$9)</f>
        <v>4.0654000000000003</v>
      </c>
      <c r="D189" s="80">
        <f>4.067 * CHOOSE(CONTROL!$C$32, $C$9, 100%, $E$9)</f>
        <v>4.0670000000000002</v>
      </c>
      <c r="E189" s="81">
        <f>5.1758 * CHOOSE(CONTROL!$C$32, $C$9, 100%, $E$9)</f>
        <v>5.1757999999999997</v>
      </c>
      <c r="F189" s="81">
        <f>5.1758 * CHOOSE(CONTROL!$C$32, $C$9, 100%, $E$9)</f>
        <v>5.1757999999999997</v>
      </c>
      <c r="G189" s="81">
        <f>5.1811 * CHOOSE(CONTROL!$C$32, $C$9, 100%, $E$9)</f>
        <v>5.1810999999999998</v>
      </c>
      <c r="H189" s="81">
        <f>8.3729 * CHOOSE(CONTROL!$C$32, $C$9, 100%, $E$9)</f>
        <v>8.3728999999999996</v>
      </c>
      <c r="I189" s="81">
        <f>8.3782 * CHOOSE(CONTROL!$C$32, $C$9, 100%, $E$9)</f>
        <v>8.3781999999999996</v>
      </c>
      <c r="J189" s="81">
        <f>8.3729 * CHOOSE(CONTROL!$C$32, $C$9, 100%, $E$9)</f>
        <v>8.3728999999999996</v>
      </c>
      <c r="K189" s="81">
        <f>8.3782 * CHOOSE(CONTROL!$C$32, $C$9, 100%, $E$9)</f>
        <v>8.3781999999999996</v>
      </c>
      <c r="L189" s="81">
        <f>5.1758 * CHOOSE(CONTROL!$C$32, $C$9, 100%, $E$9)</f>
        <v>5.1757999999999997</v>
      </c>
      <c r="M189" s="81">
        <f>5.1811 * CHOOSE(CONTROL!$C$32, $C$9, 100%, $E$9)</f>
        <v>5.1810999999999998</v>
      </c>
      <c r="N189" s="81">
        <f>5.1758 * CHOOSE(CONTROL!$C$32, $C$9, 100%, $E$9)</f>
        <v>5.1757999999999997</v>
      </c>
      <c r="O189" s="81">
        <f>5.1811 * CHOOSE(CONTROL!$C$32, $C$9, 100%, $E$9)</f>
        <v>5.1810999999999998</v>
      </c>
    </row>
    <row r="190" spans="1:15" ht="15" x14ac:dyDescent="0.2">
      <c r="A190" s="16">
        <v>46997</v>
      </c>
      <c r="B190" s="80">
        <f>4.0624 * CHOOSE(CONTROL!$C$32, $C$9, 100%, $E$9)</f>
        <v>4.0624000000000002</v>
      </c>
      <c r="C190" s="80">
        <f>4.0624 * CHOOSE(CONTROL!$C$32, $C$9, 100%, $E$9)</f>
        <v>4.0624000000000002</v>
      </c>
      <c r="D190" s="80">
        <f>4.064 * CHOOSE(CONTROL!$C$32, $C$9, 100%, $E$9)</f>
        <v>4.0640000000000001</v>
      </c>
      <c r="E190" s="81">
        <f>5.1738 * CHOOSE(CONTROL!$C$32, $C$9, 100%, $E$9)</f>
        <v>5.1738</v>
      </c>
      <c r="F190" s="81">
        <f>5.1738 * CHOOSE(CONTROL!$C$32, $C$9, 100%, $E$9)</f>
        <v>5.1738</v>
      </c>
      <c r="G190" s="81">
        <f>5.1791 * CHOOSE(CONTROL!$C$32, $C$9, 100%, $E$9)</f>
        <v>5.1791</v>
      </c>
      <c r="H190" s="81">
        <f>8.3904 * CHOOSE(CONTROL!$C$32, $C$9, 100%, $E$9)</f>
        <v>8.3903999999999996</v>
      </c>
      <c r="I190" s="81">
        <f>8.3957 * CHOOSE(CONTROL!$C$32, $C$9, 100%, $E$9)</f>
        <v>8.3956999999999997</v>
      </c>
      <c r="J190" s="81">
        <f>8.3904 * CHOOSE(CONTROL!$C$32, $C$9, 100%, $E$9)</f>
        <v>8.3903999999999996</v>
      </c>
      <c r="K190" s="81">
        <f>8.3957 * CHOOSE(CONTROL!$C$32, $C$9, 100%, $E$9)</f>
        <v>8.3956999999999997</v>
      </c>
      <c r="L190" s="81">
        <f>5.1738 * CHOOSE(CONTROL!$C$32, $C$9, 100%, $E$9)</f>
        <v>5.1738</v>
      </c>
      <c r="M190" s="81">
        <f>5.1791 * CHOOSE(CONTROL!$C$32, $C$9, 100%, $E$9)</f>
        <v>5.1791</v>
      </c>
      <c r="N190" s="81">
        <f>5.1738 * CHOOSE(CONTROL!$C$32, $C$9, 100%, $E$9)</f>
        <v>5.1738</v>
      </c>
      <c r="O190" s="81">
        <f>5.1791 * CHOOSE(CONTROL!$C$32, $C$9, 100%, $E$9)</f>
        <v>5.1791</v>
      </c>
    </row>
    <row r="191" spans="1:15" ht="15" x14ac:dyDescent="0.2">
      <c r="A191" s="16">
        <v>47027</v>
      </c>
      <c r="B191" s="80">
        <f>4.0577 * CHOOSE(CONTROL!$C$32, $C$9, 100%, $E$9)</f>
        <v>4.0576999999999996</v>
      </c>
      <c r="C191" s="80">
        <f>4.0577 * CHOOSE(CONTROL!$C$32, $C$9, 100%, $E$9)</f>
        <v>4.0576999999999996</v>
      </c>
      <c r="D191" s="80">
        <f>4.0588 * CHOOSE(CONTROL!$C$32, $C$9, 100%, $E$9)</f>
        <v>4.0587999999999997</v>
      </c>
      <c r="E191" s="81">
        <f>5.1686 * CHOOSE(CONTROL!$C$32, $C$9, 100%, $E$9)</f>
        <v>5.1685999999999996</v>
      </c>
      <c r="F191" s="81">
        <f>5.1686 * CHOOSE(CONTROL!$C$32, $C$9, 100%, $E$9)</f>
        <v>5.1685999999999996</v>
      </c>
      <c r="G191" s="81">
        <f>5.1722 * CHOOSE(CONTROL!$C$32, $C$9, 100%, $E$9)</f>
        <v>5.1722000000000001</v>
      </c>
      <c r="H191" s="81">
        <f>8.4079 * CHOOSE(CONTROL!$C$32, $C$9, 100%, $E$9)</f>
        <v>8.4078999999999997</v>
      </c>
      <c r="I191" s="81">
        <f>8.4115 * CHOOSE(CONTROL!$C$32, $C$9, 100%, $E$9)</f>
        <v>8.4115000000000002</v>
      </c>
      <c r="J191" s="81">
        <f>8.4079 * CHOOSE(CONTROL!$C$32, $C$9, 100%, $E$9)</f>
        <v>8.4078999999999997</v>
      </c>
      <c r="K191" s="81">
        <f>8.4115 * CHOOSE(CONTROL!$C$32, $C$9, 100%, $E$9)</f>
        <v>8.4115000000000002</v>
      </c>
      <c r="L191" s="81">
        <f>5.1686 * CHOOSE(CONTROL!$C$32, $C$9, 100%, $E$9)</f>
        <v>5.1685999999999996</v>
      </c>
      <c r="M191" s="81">
        <f>5.1722 * CHOOSE(CONTROL!$C$32, $C$9, 100%, $E$9)</f>
        <v>5.1722000000000001</v>
      </c>
      <c r="N191" s="81">
        <f>5.1686 * CHOOSE(CONTROL!$C$32, $C$9, 100%, $E$9)</f>
        <v>5.1685999999999996</v>
      </c>
      <c r="O191" s="81">
        <f>5.1722 * CHOOSE(CONTROL!$C$32, $C$9, 100%, $E$9)</f>
        <v>5.1722000000000001</v>
      </c>
    </row>
    <row r="192" spans="1:15" ht="15" x14ac:dyDescent="0.2">
      <c r="A192" s="16">
        <v>47058</v>
      </c>
      <c r="B192" s="80">
        <f>4.0607 * CHOOSE(CONTROL!$C$32, $C$9, 100%, $E$9)</f>
        <v>4.0606999999999998</v>
      </c>
      <c r="C192" s="80">
        <f>4.0607 * CHOOSE(CONTROL!$C$32, $C$9, 100%, $E$9)</f>
        <v>4.0606999999999998</v>
      </c>
      <c r="D192" s="80">
        <f>4.0618 * CHOOSE(CONTROL!$C$32, $C$9, 100%, $E$9)</f>
        <v>4.0617999999999999</v>
      </c>
      <c r="E192" s="81">
        <f>5.1706 * CHOOSE(CONTROL!$C$32, $C$9, 100%, $E$9)</f>
        <v>5.1706000000000003</v>
      </c>
      <c r="F192" s="81">
        <f>5.1706 * CHOOSE(CONTROL!$C$32, $C$9, 100%, $E$9)</f>
        <v>5.1706000000000003</v>
      </c>
      <c r="G192" s="81">
        <f>5.1742 * CHOOSE(CONTROL!$C$32, $C$9, 100%, $E$9)</f>
        <v>5.1741999999999999</v>
      </c>
      <c r="H192" s="81">
        <f>8.4254 * CHOOSE(CONTROL!$C$32, $C$9, 100%, $E$9)</f>
        <v>8.4253999999999998</v>
      </c>
      <c r="I192" s="81">
        <f>8.429 * CHOOSE(CONTROL!$C$32, $C$9, 100%, $E$9)</f>
        <v>8.4290000000000003</v>
      </c>
      <c r="J192" s="81">
        <f>8.4254 * CHOOSE(CONTROL!$C$32, $C$9, 100%, $E$9)</f>
        <v>8.4253999999999998</v>
      </c>
      <c r="K192" s="81">
        <f>8.429 * CHOOSE(CONTROL!$C$32, $C$9, 100%, $E$9)</f>
        <v>8.4290000000000003</v>
      </c>
      <c r="L192" s="81">
        <f>5.1706 * CHOOSE(CONTROL!$C$32, $C$9, 100%, $E$9)</f>
        <v>5.1706000000000003</v>
      </c>
      <c r="M192" s="81">
        <f>5.1742 * CHOOSE(CONTROL!$C$32, $C$9, 100%, $E$9)</f>
        <v>5.1741999999999999</v>
      </c>
      <c r="N192" s="81">
        <f>5.1706 * CHOOSE(CONTROL!$C$32, $C$9, 100%, $E$9)</f>
        <v>5.1706000000000003</v>
      </c>
      <c r="O192" s="81">
        <f>5.1742 * CHOOSE(CONTROL!$C$32, $C$9, 100%, $E$9)</f>
        <v>5.1741999999999999</v>
      </c>
    </row>
    <row r="193" spans="1:15" ht="15" x14ac:dyDescent="0.2">
      <c r="A193" s="16">
        <v>47088</v>
      </c>
      <c r="B193" s="80">
        <f>4.0607 * CHOOSE(CONTROL!$C$32, $C$9, 100%, $E$9)</f>
        <v>4.0606999999999998</v>
      </c>
      <c r="C193" s="80">
        <f>4.0607 * CHOOSE(CONTROL!$C$32, $C$9, 100%, $E$9)</f>
        <v>4.0606999999999998</v>
      </c>
      <c r="D193" s="80">
        <f>4.0618 * CHOOSE(CONTROL!$C$32, $C$9, 100%, $E$9)</f>
        <v>4.0617999999999999</v>
      </c>
      <c r="E193" s="81">
        <f>5.1706 * CHOOSE(CONTROL!$C$32, $C$9, 100%, $E$9)</f>
        <v>5.1706000000000003</v>
      </c>
      <c r="F193" s="81">
        <f>5.1706 * CHOOSE(CONTROL!$C$32, $C$9, 100%, $E$9)</f>
        <v>5.1706000000000003</v>
      </c>
      <c r="G193" s="81">
        <f>5.1742 * CHOOSE(CONTROL!$C$32, $C$9, 100%, $E$9)</f>
        <v>5.1741999999999999</v>
      </c>
      <c r="H193" s="81">
        <f>8.4429 * CHOOSE(CONTROL!$C$32, $C$9, 100%, $E$9)</f>
        <v>8.4428999999999998</v>
      </c>
      <c r="I193" s="81">
        <f>8.4465 * CHOOSE(CONTROL!$C$32, $C$9, 100%, $E$9)</f>
        <v>8.4465000000000003</v>
      </c>
      <c r="J193" s="81">
        <f>8.4429 * CHOOSE(CONTROL!$C$32, $C$9, 100%, $E$9)</f>
        <v>8.4428999999999998</v>
      </c>
      <c r="K193" s="81">
        <f>8.4465 * CHOOSE(CONTROL!$C$32, $C$9, 100%, $E$9)</f>
        <v>8.4465000000000003</v>
      </c>
      <c r="L193" s="81">
        <f>5.1706 * CHOOSE(CONTROL!$C$32, $C$9, 100%, $E$9)</f>
        <v>5.1706000000000003</v>
      </c>
      <c r="M193" s="81">
        <f>5.1742 * CHOOSE(CONTROL!$C$32, $C$9, 100%, $E$9)</f>
        <v>5.1741999999999999</v>
      </c>
      <c r="N193" s="81">
        <f>5.1706 * CHOOSE(CONTROL!$C$32, $C$9, 100%, $E$9)</f>
        <v>5.1706000000000003</v>
      </c>
      <c r="O193" s="81">
        <f>5.1742 * CHOOSE(CONTROL!$C$32, $C$9, 100%, $E$9)</f>
        <v>5.1741999999999999</v>
      </c>
    </row>
    <row r="194" spans="1:15" ht="15" x14ac:dyDescent="0.2">
      <c r="A194" s="16">
        <v>47119</v>
      </c>
      <c r="B194" s="80">
        <f>4.0932 * CHOOSE(CONTROL!$C$32, $C$9, 100%, $E$9)</f>
        <v>4.0932000000000004</v>
      </c>
      <c r="C194" s="80">
        <f>4.0932 * CHOOSE(CONTROL!$C$32, $C$9, 100%, $E$9)</f>
        <v>4.0932000000000004</v>
      </c>
      <c r="D194" s="80">
        <f>4.0943 * CHOOSE(CONTROL!$C$32, $C$9, 100%, $E$9)</f>
        <v>4.0942999999999996</v>
      </c>
      <c r="E194" s="81">
        <f>5.2103 * CHOOSE(CONTROL!$C$32, $C$9, 100%, $E$9)</f>
        <v>5.2103000000000002</v>
      </c>
      <c r="F194" s="81">
        <f>5.2103 * CHOOSE(CONTROL!$C$32, $C$9, 100%, $E$9)</f>
        <v>5.2103000000000002</v>
      </c>
      <c r="G194" s="81">
        <f>5.2139 * CHOOSE(CONTROL!$C$32, $C$9, 100%, $E$9)</f>
        <v>5.2138999999999998</v>
      </c>
      <c r="H194" s="81">
        <f>8.4605 * CHOOSE(CONTROL!$C$32, $C$9, 100%, $E$9)</f>
        <v>8.4604999999999997</v>
      </c>
      <c r="I194" s="81">
        <f>8.4641 * CHOOSE(CONTROL!$C$32, $C$9, 100%, $E$9)</f>
        <v>8.4641000000000002</v>
      </c>
      <c r="J194" s="81">
        <f>8.4605 * CHOOSE(CONTROL!$C$32, $C$9, 100%, $E$9)</f>
        <v>8.4604999999999997</v>
      </c>
      <c r="K194" s="81">
        <f>8.4641 * CHOOSE(CONTROL!$C$32, $C$9, 100%, $E$9)</f>
        <v>8.4641000000000002</v>
      </c>
      <c r="L194" s="81">
        <f>5.2103 * CHOOSE(CONTROL!$C$32, $C$9, 100%, $E$9)</f>
        <v>5.2103000000000002</v>
      </c>
      <c r="M194" s="81">
        <f>5.2139 * CHOOSE(CONTROL!$C$32, $C$9, 100%, $E$9)</f>
        <v>5.2138999999999998</v>
      </c>
      <c r="N194" s="81">
        <f>5.2103 * CHOOSE(CONTROL!$C$32, $C$9, 100%, $E$9)</f>
        <v>5.2103000000000002</v>
      </c>
      <c r="O194" s="81">
        <f>5.2139 * CHOOSE(CONTROL!$C$32, $C$9, 100%, $E$9)</f>
        <v>5.2138999999999998</v>
      </c>
    </row>
    <row r="195" spans="1:15" ht="15" x14ac:dyDescent="0.2">
      <c r="A195" s="16">
        <v>47150</v>
      </c>
      <c r="B195" s="80">
        <f>4.0902 * CHOOSE(CONTROL!$C$32, $C$9, 100%, $E$9)</f>
        <v>4.0902000000000003</v>
      </c>
      <c r="C195" s="80">
        <f>4.0902 * CHOOSE(CONTROL!$C$32, $C$9, 100%, $E$9)</f>
        <v>4.0902000000000003</v>
      </c>
      <c r="D195" s="80">
        <f>4.0913 * CHOOSE(CONTROL!$C$32, $C$9, 100%, $E$9)</f>
        <v>4.0913000000000004</v>
      </c>
      <c r="E195" s="81">
        <f>5.2083 * CHOOSE(CONTROL!$C$32, $C$9, 100%, $E$9)</f>
        <v>5.2083000000000004</v>
      </c>
      <c r="F195" s="81">
        <f>5.2083 * CHOOSE(CONTROL!$C$32, $C$9, 100%, $E$9)</f>
        <v>5.2083000000000004</v>
      </c>
      <c r="G195" s="81">
        <f>5.2119 * CHOOSE(CONTROL!$C$32, $C$9, 100%, $E$9)</f>
        <v>5.2119</v>
      </c>
      <c r="H195" s="81">
        <f>8.4781 * CHOOSE(CONTROL!$C$32, $C$9, 100%, $E$9)</f>
        <v>8.4780999999999995</v>
      </c>
      <c r="I195" s="81">
        <f>8.4818 * CHOOSE(CONTROL!$C$32, $C$9, 100%, $E$9)</f>
        <v>8.4817999999999998</v>
      </c>
      <c r="J195" s="81">
        <f>8.4781 * CHOOSE(CONTROL!$C$32, $C$9, 100%, $E$9)</f>
        <v>8.4780999999999995</v>
      </c>
      <c r="K195" s="81">
        <f>8.4818 * CHOOSE(CONTROL!$C$32, $C$9, 100%, $E$9)</f>
        <v>8.4817999999999998</v>
      </c>
      <c r="L195" s="81">
        <f>5.2083 * CHOOSE(CONTROL!$C$32, $C$9, 100%, $E$9)</f>
        <v>5.2083000000000004</v>
      </c>
      <c r="M195" s="81">
        <f>5.2119 * CHOOSE(CONTROL!$C$32, $C$9, 100%, $E$9)</f>
        <v>5.2119</v>
      </c>
      <c r="N195" s="81">
        <f>5.2083 * CHOOSE(CONTROL!$C$32, $C$9, 100%, $E$9)</f>
        <v>5.2083000000000004</v>
      </c>
      <c r="O195" s="81">
        <f>5.2119 * CHOOSE(CONTROL!$C$32, $C$9, 100%, $E$9)</f>
        <v>5.2119</v>
      </c>
    </row>
    <row r="196" spans="1:15" ht="15" x14ac:dyDescent="0.2">
      <c r="A196" s="16">
        <v>47178</v>
      </c>
      <c r="B196" s="80">
        <f>4.0872 * CHOOSE(CONTROL!$C$32, $C$9, 100%, $E$9)</f>
        <v>4.0872000000000002</v>
      </c>
      <c r="C196" s="80">
        <f>4.0872 * CHOOSE(CONTROL!$C$32, $C$9, 100%, $E$9)</f>
        <v>4.0872000000000002</v>
      </c>
      <c r="D196" s="80">
        <f>4.0882 * CHOOSE(CONTROL!$C$32, $C$9, 100%, $E$9)</f>
        <v>4.0881999999999996</v>
      </c>
      <c r="E196" s="81">
        <f>5.2063 * CHOOSE(CONTROL!$C$32, $C$9, 100%, $E$9)</f>
        <v>5.2062999999999997</v>
      </c>
      <c r="F196" s="81">
        <f>5.2063 * CHOOSE(CONTROL!$C$32, $C$9, 100%, $E$9)</f>
        <v>5.2062999999999997</v>
      </c>
      <c r="G196" s="81">
        <f>5.2099 * CHOOSE(CONTROL!$C$32, $C$9, 100%, $E$9)</f>
        <v>5.2099000000000002</v>
      </c>
      <c r="H196" s="81">
        <f>8.4958 * CHOOSE(CONTROL!$C$32, $C$9, 100%, $E$9)</f>
        <v>8.4957999999999991</v>
      </c>
      <c r="I196" s="81">
        <f>8.4994 * CHOOSE(CONTROL!$C$32, $C$9, 100%, $E$9)</f>
        <v>8.4993999999999996</v>
      </c>
      <c r="J196" s="81">
        <f>8.4958 * CHOOSE(CONTROL!$C$32, $C$9, 100%, $E$9)</f>
        <v>8.4957999999999991</v>
      </c>
      <c r="K196" s="81">
        <f>8.4994 * CHOOSE(CONTROL!$C$32, $C$9, 100%, $E$9)</f>
        <v>8.4993999999999996</v>
      </c>
      <c r="L196" s="81">
        <f>5.2063 * CHOOSE(CONTROL!$C$32, $C$9, 100%, $E$9)</f>
        <v>5.2062999999999997</v>
      </c>
      <c r="M196" s="81">
        <f>5.2099 * CHOOSE(CONTROL!$C$32, $C$9, 100%, $E$9)</f>
        <v>5.2099000000000002</v>
      </c>
      <c r="N196" s="81">
        <f>5.2063 * CHOOSE(CONTROL!$C$32, $C$9, 100%, $E$9)</f>
        <v>5.2062999999999997</v>
      </c>
      <c r="O196" s="81">
        <f>5.2099 * CHOOSE(CONTROL!$C$32, $C$9, 100%, $E$9)</f>
        <v>5.2099000000000002</v>
      </c>
    </row>
    <row r="197" spans="1:15" ht="15" x14ac:dyDescent="0.2">
      <c r="A197" s="16">
        <v>47209</v>
      </c>
      <c r="B197" s="80">
        <f>4.0849 * CHOOSE(CONTROL!$C$32, $C$9, 100%, $E$9)</f>
        <v>4.0849000000000002</v>
      </c>
      <c r="C197" s="80">
        <f>4.0849 * CHOOSE(CONTROL!$C$32, $C$9, 100%, $E$9)</f>
        <v>4.0849000000000002</v>
      </c>
      <c r="D197" s="80">
        <f>4.086 * CHOOSE(CONTROL!$C$32, $C$9, 100%, $E$9)</f>
        <v>4.0860000000000003</v>
      </c>
      <c r="E197" s="81">
        <f>5.2043 * CHOOSE(CONTROL!$C$32, $C$9, 100%, $E$9)</f>
        <v>5.2042999999999999</v>
      </c>
      <c r="F197" s="81">
        <f>5.2043 * CHOOSE(CONTROL!$C$32, $C$9, 100%, $E$9)</f>
        <v>5.2042999999999999</v>
      </c>
      <c r="G197" s="81">
        <f>5.2079 * CHOOSE(CONTROL!$C$32, $C$9, 100%, $E$9)</f>
        <v>5.2079000000000004</v>
      </c>
      <c r="H197" s="81">
        <f>8.5135 * CHOOSE(CONTROL!$C$32, $C$9, 100%, $E$9)</f>
        <v>8.5135000000000005</v>
      </c>
      <c r="I197" s="81">
        <f>8.5171 * CHOOSE(CONTROL!$C$32, $C$9, 100%, $E$9)</f>
        <v>8.5170999999999992</v>
      </c>
      <c r="J197" s="81">
        <f>8.5135 * CHOOSE(CONTROL!$C$32, $C$9, 100%, $E$9)</f>
        <v>8.5135000000000005</v>
      </c>
      <c r="K197" s="81">
        <f>8.5171 * CHOOSE(CONTROL!$C$32, $C$9, 100%, $E$9)</f>
        <v>8.5170999999999992</v>
      </c>
      <c r="L197" s="81">
        <f>5.2043 * CHOOSE(CONTROL!$C$32, $C$9, 100%, $E$9)</f>
        <v>5.2042999999999999</v>
      </c>
      <c r="M197" s="81">
        <f>5.2079 * CHOOSE(CONTROL!$C$32, $C$9, 100%, $E$9)</f>
        <v>5.2079000000000004</v>
      </c>
      <c r="N197" s="81">
        <f>5.2043 * CHOOSE(CONTROL!$C$32, $C$9, 100%, $E$9)</f>
        <v>5.2042999999999999</v>
      </c>
      <c r="O197" s="81">
        <f>5.2079 * CHOOSE(CONTROL!$C$32, $C$9, 100%, $E$9)</f>
        <v>5.2079000000000004</v>
      </c>
    </row>
    <row r="198" spans="1:15" ht="15" x14ac:dyDescent="0.2">
      <c r="A198" s="16">
        <v>47239</v>
      </c>
      <c r="B198" s="80">
        <f>4.0849 * CHOOSE(CONTROL!$C$32, $C$9, 100%, $E$9)</f>
        <v>4.0849000000000002</v>
      </c>
      <c r="C198" s="80">
        <f>4.0849 * CHOOSE(CONTROL!$C$32, $C$9, 100%, $E$9)</f>
        <v>4.0849000000000002</v>
      </c>
      <c r="D198" s="80">
        <f>4.0865 * CHOOSE(CONTROL!$C$32, $C$9, 100%, $E$9)</f>
        <v>4.0865</v>
      </c>
      <c r="E198" s="81">
        <f>5.2043 * CHOOSE(CONTROL!$C$32, $C$9, 100%, $E$9)</f>
        <v>5.2042999999999999</v>
      </c>
      <c r="F198" s="81">
        <f>5.2043 * CHOOSE(CONTROL!$C$32, $C$9, 100%, $E$9)</f>
        <v>5.2042999999999999</v>
      </c>
      <c r="G198" s="81">
        <f>5.2096 * CHOOSE(CONTROL!$C$32, $C$9, 100%, $E$9)</f>
        <v>5.2096</v>
      </c>
      <c r="H198" s="81">
        <f>8.5312 * CHOOSE(CONTROL!$C$32, $C$9, 100%, $E$9)</f>
        <v>8.5312000000000001</v>
      </c>
      <c r="I198" s="81">
        <f>8.5365 * CHOOSE(CONTROL!$C$32, $C$9, 100%, $E$9)</f>
        <v>8.5365000000000002</v>
      </c>
      <c r="J198" s="81">
        <f>8.5312 * CHOOSE(CONTROL!$C$32, $C$9, 100%, $E$9)</f>
        <v>8.5312000000000001</v>
      </c>
      <c r="K198" s="81">
        <f>8.5365 * CHOOSE(CONTROL!$C$32, $C$9, 100%, $E$9)</f>
        <v>8.5365000000000002</v>
      </c>
      <c r="L198" s="81">
        <f>5.2043 * CHOOSE(CONTROL!$C$32, $C$9, 100%, $E$9)</f>
        <v>5.2042999999999999</v>
      </c>
      <c r="M198" s="81">
        <f>5.2096 * CHOOSE(CONTROL!$C$32, $C$9, 100%, $E$9)</f>
        <v>5.2096</v>
      </c>
      <c r="N198" s="81">
        <f>5.2043 * CHOOSE(CONTROL!$C$32, $C$9, 100%, $E$9)</f>
        <v>5.2042999999999999</v>
      </c>
      <c r="O198" s="81">
        <f>5.2096 * CHOOSE(CONTROL!$C$32, $C$9, 100%, $E$9)</f>
        <v>5.2096</v>
      </c>
    </row>
    <row r="199" spans="1:15" ht="15" x14ac:dyDescent="0.2">
      <c r="A199" s="16">
        <v>47270</v>
      </c>
      <c r="B199" s="80">
        <f>4.091 * CHOOSE(CONTROL!$C$32, $C$9, 100%, $E$9)</f>
        <v>4.0910000000000002</v>
      </c>
      <c r="C199" s="80">
        <f>4.091 * CHOOSE(CONTROL!$C$32, $C$9, 100%, $E$9)</f>
        <v>4.0910000000000002</v>
      </c>
      <c r="D199" s="80">
        <f>4.0925 * CHOOSE(CONTROL!$C$32, $C$9, 100%, $E$9)</f>
        <v>4.0925000000000002</v>
      </c>
      <c r="E199" s="81">
        <f>5.2083 * CHOOSE(CONTROL!$C$32, $C$9, 100%, $E$9)</f>
        <v>5.2083000000000004</v>
      </c>
      <c r="F199" s="81">
        <f>5.2083 * CHOOSE(CONTROL!$C$32, $C$9, 100%, $E$9)</f>
        <v>5.2083000000000004</v>
      </c>
      <c r="G199" s="81">
        <f>5.2136 * CHOOSE(CONTROL!$C$32, $C$9, 100%, $E$9)</f>
        <v>5.2135999999999996</v>
      </c>
      <c r="H199" s="81">
        <f>8.549 * CHOOSE(CONTROL!$C$32, $C$9, 100%, $E$9)</f>
        <v>8.5489999999999995</v>
      </c>
      <c r="I199" s="81">
        <f>8.5543 * CHOOSE(CONTROL!$C$32, $C$9, 100%, $E$9)</f>
        <v>8.5542999999999996</v>
      </c>
      <c r="J199" s="81">
        <f>8.549 * CHOOSE(CONTROL!$C$32, $C$9, 100%, $E$9)</f>
        <v>8.5489999999999995</v>
      </c>
      <c r="K199" s="81">
        <f>8.5543 * CHOOSE(CONTROL!$C$32, $C$9, 100%, $E$9)</f>
        <v>8.5542999999999996</v>
      </c>
      <c r="L199" s="81">
        <f>5.2083 * CHOOSE(CONTROL!$C$32, $C$9, 100%, $E$9)</f>
        <v>5.2083000000000004</v>
      </c>
      <c r="M199" s="81">
        <f>5.2136 * CHOOSE(CONTROL!$C$32, $C$9, 100%, $E$9)</f>
        <v>5.2135999999999996</v>
      </c>
      <c r="N199" s="81">
        <f>5.2083 * CHOOSE(CONTROL!$C$32, $C$9, 100%, $E$9)</f>
        <v>5.2083000000000004</v>
      </c>
      <c r="O199" s="81">
        <f>5.2136 * CHOOSE(CONTROL!$C$32, $C$9, 100%, $E$9)</f>
        <v>5.2135999999999996</v>
      </c>
    </row>
    <row r="200" spans="1:15" ht="15" x14ac:dyDescent="0.2">
      <c r="A200" s="16">
        <v>47300</v>
      </c>
      <c r="B200" s="80">
        <f>4.1496 * CHOOSE(CONTROL!$C$32, $C$9, 100%, $E$9)</f>
        <v>4.1496000000000004</v>
      </c>
      <c r="C200" s="80">
        <f>4.1496 * CHOOSE(CONTROL!$C$32, $C$9, 100%, $E$9)</f>
        <v>4.1496000000000004</v>
      </c>
      <c r="D200" s="80">
        <f>4.1512 * CHOOSE(CONTROL!$C$32, $C$9, 100%, $E$9)</f>
        <v>4.1512000000000002</v>
      </c>
      <c r="E200" s="81">
        <f>5.2949 * CHOOSE(CONTROL!$C$32, $C$9, 100%, $E$9)</f>
        <v>5.2949000000000002</v>
      </c>
      <c r="F200" s="81">
        <f>5.2949 * CHOOSE(CONTROL!$C$32, $C$9, 100%, $E$9)</f>
        <v>5.2949000000000002</v>
      </c>
      <c r="G200" s="81">
        <f>5.3002 * CHOOSE(CONTROL!$C$32, $C$9, 100%, $E$9)</f>
        <v>5.3002000000000002</v>
      </c>
      <c r="H200" s="81">
        <f>8.5668 * CHOOSE(CONTROL!$C$32, $C$9, 100%, $E$9)</f>
        <v>8.5668000000000006</v>
      </c>
      <c r="I200" s="81">
        <f>8.5721 * CHOOSE(CONTROL!$C$32, $C$9, 100%, $E$9)</f>
        <v>8.5721000000000007</v>
      </c>
      <c r="J200" s="81">
        <f>8.5668 * CHOOSE(CONTROL!$C$32, $C$9, 100%, $E$9)</f>
        <v>8.5668000000000006</v>
      </c>
      <c r="K200" s="81">
        <f>8.5721 * CHOOSE(CONTROL!$C$32, $C$9, 100%, $E$9)</f>
        <v>8.5721000000000007</v>
      </c>
      <c r="L200" s="81">
        <f>5.2949 * CHOOSE(CONTROL!$C$32, $C$9, 100%, $E$9)</f>
        <v>5.2949000000000002</v>
      </c>
      <c r="M200" s="81">
        <f>5.3002 * CHOOSE(CONTROL!$C$32, $C$9, 100%, $E$9)</f>
        <v>5.3002000000000002</v>
      </c>
      <c r="N200" s="81">
        <f>5.2949 * CHOOSE(CONTROL!$C$32, $C$9, 100%, $E$9)</f>
        <v>5.2949000000000002</v>
      </c>
      <c r="O200" s="81">
        <f>5.3002 * CHOOSE(CONTROL!$C$32, $C$9, 100%, $E$9)</f>
        <v>5.3002000000000002</v>
      </c>
    </row>
    <row r="201" spans="1:15" ht="15" x14ac:dyDescent="0.2">
      <c r="A201" s="16">
        <v>47331</v>
      </c>
      <c r="B201" s="80">
        <f>4.1563 * CHOOSE(CONTROL!$C$32, $C$9, 100%, $E$9)</f>
        <v>4.1562999999999999</v>
      </c>
      <c r="C201" s="80">
        <f>4.1563 * CHOOSE(CONTROL!$C$32, $C$9, 100%, $E$9)</f>
        <v>4.1562999999999999</v>
      </c>
      <c r="D201" s="80">
        <f>4.1579 * CHOOSE(CONTROL!$C$32, $C$9, 100%, $E$9)</f>
        <v>4.1578999999999997</v>
      </c>
      <c r="E201" s="81">
        <f>5.2993 * CHOOSE(CONTROL!$C$32, $C$9, 100%, $E$9)</f>
        <v>5.2992999999999997</v>
      </c>
      <c r="F201" s="81">
        <f>5.2993 * CHOOSE(CONTROL!$C$32, $C$9, 100%, $E$9)</f>
        <v>5.2992999999999997</v>
      </c>
      <c r="G201" s="81">
        <f>5.3046 * CHOOSE(CONTROL!$C$32, $C$9, 100%, $E$9)</f>
        <v>5.3045999999999998</v>
      </c>
      <c r="H201" s="81">
        <f>8.5847 * CHOOSE(CONTROL!$C$32, $C$9, 100%, $E$9)</f>
        <v>8.5846999999999998</v>
      </c>
      <c r="I201" s="81">
        <f>8.59 * CHOOSE(CONTROL!$C$32, $C$9, 100%, $E$9)</f>
        <v>8.59</v>
      </c>
      <c r="J201" s="81">
        <f>8.5847 * CHOOSE(CONTROL!$C$32, $C$9, 100%, $E$9)</f>
        <v>8.5846999999999998</v>
      </c>
      <c r="K201" s="81">
        <f>8.59 * CHOOSE(CONTROL!$C$32, $C$9, 100%, $E$9)</f>
        <v>8.59</v>
      </c>
      <c r="L201" s="81">
        <f>5.2993 * CHOOSE(CONTROL!$C$32, $C$9, 100%, $E$9)</f>
        <v>5.2992999999999997</v>
      </c>
      <c r="M201" s="81">
        <f>5.3046 * CHOOSE(CONTROL!$C$32, $C$9, 100%, $E$9)</f>
        <v>5.3045999999999998</v>
      </c>
      <c r="N201" s="81">
        <f>5.2993 * CHOOSE(CONTROL!$C$32, $C$9, 100%, $E$9)</f>
        <v>5.2992999999999997</v>
      </c>
      <c r="O201" s="81">
        <f>5.3046 * CHOOSE(CONTROL!$C$32, $C$9, 100%, $E$9)</f>
        <v>5.3045999999999998</v>
      </c>
    </row>
    <row r="202" spans="1:15" ht="15" x14ac:dyDescent="0.2">
      <c r="A202" s="16">
        <v>47362</v>
      </c>
      <c r="B202" s="80">
        <f>4.1533 * CHOOSE(CONTROL!$C$32, $C$9, 100%, $E$9)</f>
        <v>4.1532999999999998</v>
      </c>
      <c r="C202" s="80">
        <f>4.1533 * CHOOSE(CONTROL!$C$32, $C$9, 100%, $E$9)</f>
        <v>4.1532999999999998</v>
      </c>
      <c r="D202" s="80">
        <f>4.1548 * CHOOSE(CONTROL!$C$32, $C$9, 100%, $E$9)</f>
        <v>4.1547999999999998</v>
      </c>
      <c r="E202" s="81">
        <f>5.2973 * CHOOSE(CONTROL!$C$32, $C$9, 100%, $E$9)</f>
        <v>5.2972999999999999</v>
      </c>
      <c r="F202" s="81">
        <f>5.2973 * CHOOSE(CONTROL!$C$32, $C$9, 100%, $E$9)</f>
        <v>5.2972999999999999</v>
      </c>
      <c r="G202" s="81">
        <f>5.3026 * CHOOSE(CONTROL!$C$32, $C$9, 100%, $E$9)</f>
        <v>5.3026</v>
      </c>
      <c r="H202" s="81">
        <f>8.6026 * CHOOSE(CONTROL!$C$32, $C$9, 100%, $E$9)</f>
        <v>8.6026000000000007</v>
      </c>
      <c r="I202" s="81">
        <f>8.6079 * CHOOSE(CONTROL!$C$32, $C$9, 100%, $E$9)</f>
        <v>8.6079000000000008</v>
      </c>
      <c r="J202" s="81">
        <f>8.6026 * CHOOSE(CONTROL!$C$32, $C$9, 100%, $E$9)</f>
        <v>8.6026000000000007</v>
      </c>
      <c r="K202" s="81">
        <f>8.6079 * CHOOSE(CONTROL!$C$32, $C$9, 100%, $E$9)</f>
        <v>8.6079000000000008</v>
      </c>
      <c r="L202" s="81">
        <f>5.2973 * CHOOSE(CONTROL!$C$32, $C$9, 100%, $E$9)</f>
        <v>5.2972999999999999</v>
      </c>
      <c r="M202" s="81">
        <f>5.3026 * CHOOSE(CONTROL!$C$32, $C$9, 100%, $E$9)</f>
        <v>5.3026</v>
      </c>
      <c r="N202" s="81">
        <f>5.2973 * CHOOSE(CONTROL!$C$32, $C$9, 100%, $E$9)</f>
        <v>5.2972999999999999</v>
      </c>
      <c r="O202" s="81">
        <f>5.3026 * CHOOSE(CONTROL!$C$32, $C$9, 100%, $E$9)</f>
        <v>5.3026</v>
      </c>
    </row>
    <row r="203" spans="1:15" ht="15" x14ac:dyDescent="0.2">
      <c r="A203" s="16">
        <v>47392</v>
      </c>
      <c r="B203" s="80">
        <f>4.1489 * CHOOSE(CONTROL!$C$32, $C$9, 100%, $E$9)</f>
        <v>4.1489000000000003</v>
      </c>
      <c r="C203" s="80">
        <f>4.1489 * CHOOSE(CONTROL!$C$32, $C$9, 100%, $E$9)</f>
        <v>4.1489000000000003</v>
      </c>
      <c r="D203" s="80">
        <f>4.15 * CHOOSE(CONTROL!$C$32, $C$9, 100%, $E$9)</f>
        <v>4.1500000000000004</v>
      </c>
      <c r="E203" s="81">
        <f>5.2923 * CHOOSE(CONTROL!$C$32, $C$9, 100%, $E$9)</f>
        <v>5.2923</v>
      </c>
      <c r="F203" s="81">
        <f>5.2923 * CHOOSE(CONTROL!$C$32, $C$9, 100%, $E$9)</f>
        <v>5.2923</v>
      </c>
      <c r="G203" s="81">
        <f>5.2959 * CHOOSE(CONTROL!$C$32, $C$9, 100%, $E$9)</f>
        <v>5.2958999999999996</v>
      </c>
      <c r="H203" s="81">
        <f>8.6205 * CHOOSE(CONTROL!$C$32, $C$9, 100%, $E$9)</f>
        <v>8.6204999999999998</v>
      </c>
      <c r="I203" s="81">
        <f>8.6241 * CHOOSE(CONTROL!$C$32, $C$9, 100%, $E$9)</f>
        <v>8.6241000000000003</v>
      </c>
      <c r="J203" s="81">
        <f>8.6205 * CHOOSE(CONTROL!$C$32, $C$9, 100%, $E$9)</f>
        <v>8.6204999999999998</v>
      </c>
      <c r="K203" s="81">
        <f>8.6241 * CHOOSE(CONTROL!$C$32, $C$9, 100%, $E$9)</f>
        <v>8.6241000000000003</v>
      </c>
      <c r="L203" s="81">
        <f>5.2923 * CHOOSE(CONTROL!$C$32, $C$9, 100%, $E$9)</f>
        <v>5.2923</v>
      </c>
      <c r="M203" s="81">
        <f>5.2959 * CHOOSE(CONTROL!$C$32, $C$9, 100%, $E$9)</f>
        <v>5.2958999999999996</v>
      </c>
      <c r="N203" s="81">
        <f>5.2923 * CHOOSE(CONTROL!$C$32, $C$9, 100%, $E$9)</f>
        <v>5.2923</v>
      </c>
      <c r="O203" s="81">
        <f>5.2959 * CHOOSE(CONTROL!$C$32, $C$9, 100%, $E$9)</f>
        <v>5.2958999999999996</v>
      </c>
    </row>
    <row r="204" spans="1:15" ht="15" x14ac:dyDescent="0.2">
      <c r="A204" s="16">
        <v>47423</v>
      </c>
      <c r="B204" s="80">
        <f>4.152 * CHOOSE(CONTROL!$C$32, $C$9, 100%, $E$9)</f>
        <v>4.1520000000000001</v>
      </c>
      <c r="C204" s="80">
        <f>4.152 * CHOOSE(CONTROL!$C$32, $C$9, 100%, $E$9)</f>
        <v>4.1520000000000001</v>
      </c>
      <c r="D204" s="80">
        <f>4.153 * CHOOSE(CONTROL!$C$32, $C$9, 100%, $E$9)</f>
        <v>4.1529999999999996</v>
      </c>
      <c r="E204" s="81">
        <f>5.2943 * CHOOSE(CONTROL!$C$32, $C$9, 100%, $E$9)</f>
        <v>5.2942999999999998</v>
      </c>
      <c r="F204" s="81">
        <f>5.2943 * CHOOSE(CONTROL!$C$32, $C$9, 100%, $E$9)</f>
        <v>5.2942999999999998</v>
      </c>
      <c r="G204" s="81">
        <f>5.2979 * CHOOSE(CONTROL!$C$32, $C$9, 100%, $E$9)</f>
        <v>5.2979000000000003</v>
      </c>
      <c r="H204" s="81">
        <f>8.6384 * CHOOSE(CONTROL!$C$32, $C$9, 100%, $E$9)</f>
        <v>8.6384000000000007</v>
      </c>
      <c r="I204" s="81">
        <f>8.6421 * CHOOSE(CONTROL!$C$32, $C$9, 100%, $E$9)</f>
        <v>8.6420999999999992</v>
      </c>
      <c r="J204" s="81">
        <f>8.6384 * CHOOSE(CONTROL!$C$32, $C$9, 100%, $E$9)</f>
        <v>8.6384000000000007</v>
      </c>
      <c r="K204" s="81">
        <f>8.6421 * CHOOSE(CONTROL!$C$32, $C$9, 100%, $E$9)</f>
        <v>8.6420999999999992</v>
      </c>
      <c r="L204" s="81">
        <f>5.2943 * CHOOSE(CONTROL!$C$32, $C$9, 100%, $E$9)</f>
        <v>5.2942999999999998</v>
      </c>
      <c r="M204" s="81">
        <f>5.2979 * CHOOSE(CONTROL!$C$32, $C$9, 100%, $E$9)</f>
        <v>5.2979000000000003</v>
      </c>
      <c r="N204" s="81">
        <f>5.2943 * CHOOSE(CONTROL!$C$32, $C$9, 100%, $E$9)</f>
        <v>5.2942999999999998</v>
      </c>
      <c r="O204" s="81">
        <f>5.2979 * CHOOSE(CONTROL!$C$32, $C$9, 100%, $E$9)</f>
        <v>5.2979000000000003</v>
      </c>
    </row>
    <row r="205" spans="1:15" ht="15" x14ac:dyDescent="0.2">
      <c r="A205" s="16">
        <v>47453</v>
      </c>
      <c r="B205" s="80">
        <f>4.152 * CHOOSE(CONTROL!$C$32, $C$9, 100%, $E$9)</f>
        <v>4.1520000000000001</v>
      </c>
      <c r="C205" s="80">
        <f>4.152 * CHOOSE(CONTROL!$C$32, $C$9, 100%, $E$9)</f>
        <v>4.1520000000000001</v>
      </c>
      <c r="D205" s="80">
        <f>4.153 * CHOOSE(CONTROL!$C$32, $C$9, 100%, $E$9)</f>
        <v>4.1529999999999996</v>
      </c>
      <c r="E205" s="81">
        <f>5.2943 * CHOOSE(CONTROL!$C$32, $C$9, 100%, $E$9)</f>
        <v>5.2942999999999998</v>
      </c>
      <c r="F205" s="81">
        <f>5.2943 * CHOOSE(CONTROL!$C$32, $C$9, 100%, $E$9)</f>
        <v>5.2942999999999998</v>
      </c>
      <c r="G205" s="81">
        <f>5.2979 * CHOOSE(CONTROL!$C$32, $C$9, 100%, $E$9)</f>
        <v>5.2979000000000003</v>
      </c>
      <c r="H205" s="81">
        <f>8.6564 * CHOOSE(CONTROL!$C$32, $C$9, 100%, $E$9)</f>
        <v>8.6563999999999997</v>
      </c>
      <c r="I205" s="81">
        <f>8.6601 * CHOOSE(CONTROL!$C$32, $C$9, 100%, $E$9)</f>
        <v>8.6600999999999999</v>
      </c>
      <c r="J205" s="81">
        <f>8.6564 * CHOOSE(CONTROL!$C$32, $C$9, 100%, $E$9)</f>
        <v>8.6563999999999997</v>
      </c>
      <c r="K205" s="81">
        <f>8.6601 * CHOOSE(CONTROL!$C$32, $C$9, 100%, $E$9)</f>
        <v>8.6600999999999999</v>
      </c>
      <c r="L205" s="81">
        <f>5.2943 * CHOOSE(CONTROL!$C$32, $C$9, 100%, $E$9)</f>
        <v>5.2942999999999998</v>
      </c>
      <c r="M205" s="81">
        <f>5.2979 * CHOOSE(CONTROL!$C$32, $C$9, 100%, $E$9)</f>
        <v>5.2979000000000003</v>
      </c>
      <c r="N205" s="81">
        <f>5.2943 * CHOOSE(CONTROL!$C$32, $C$9, 100%, $E$9)</f>
        <v>5.2942999999999998</v>
      </c>
      <c r="O205" s="81">
        <f>5.2979 * CHOOSE(CONTROL!$C$32, $C$9, 100%, $E$9)</f>
        <v>5.2979000000000003</v>
      </c>
    </row>
    <row r="206" spans="1:15" ht="15" x14ac:dyDescent="0.2">
      <c r="A206" s="16">
        <v>47484</v>
      </c>
      <c r="B206" s="80">
        <f>4.1883 * CHOOSE(CONTROL!$C$32, $C$9, 100%, $E$9)</f>
        <v>4.1882999999999999</v>
      </c>
      <c r="C206" s="80">
        <f>4.1883 * CHOOSE(CONTROL!$C$32, $C$9, 100%, $E$9)</f>
        <v>4.1882999999999999</v>
      </c>
      <c r="D206" s="80">
        <f>4.1893 * CHOOSE(CONTROL!$C$32, $C$9, 100%, $E$9)</f>
        <v>4.1893000000000002</v>
      </c>
      <c r="E206" s="81">
        <f>5.3388 * CHOOSE(CONTROL!$C$32, $C$9, 100%, $E$9)</f>
        <v>5.3388</v>
      </c>
      <c r="F206" s="81">
        <f>5.3388 * CHOOSE(CONTROL!$C$32, $C$9, 100%, $E$9)</f>
        <v>5.3388</v>
      </c>
      <c r="G206" s="81">
        <f>5.3424 * CHOOSE(CONTROL!$C$32, $C$9, 100%, $E$9)</f>
        <v>5.3423999999999996</v>
      </c>
      <c r="H206" s="81">
        <f>8.6745 * CHOOSE(CONTROL!$C$32, $C$9, 100%, $E$9)</f>
        <v>8.6745000000000001</v>
      </c>
      <c r="I206" s="81">
        <f>8.6781 * CHOOSE(CONTROL!$C$32, $C$9, 100%, $E$9)</f>
        <v>8.6781000000000006</v>
      </c>
      <c r="J206" s="81">
        <f>8.6745 * CHOOSE(CONTROL!$C$32, $C$9, 100%, $E$9)</f>
        <v>8.6745000000000001</v>
      </c>
      <c r="K206" s="81">
        <f>8.6781 * CHOOSE(CONTROL!$C$32, $C$9, 100%, $E$9)</f>
        <v>8.6781000000000006</v>
      </c>
      <c r="L206" s="81">
        <f>5.3388 * CHOOSE(CONTROL!$C$32, $C$9, 100%, $E$9)</f>
        <v>5.3388</v>
      </c>
      <c r="M206" s="81">
        <f>5.3424 * CHOOSE(CONTROL!$C$32, $C$9, 100%, $E$9)</f>
        <v>5.3423999999999996</v>
      </c>
      <c r="N206" s="81">
        <f>5.3388 * CHOOSE(CONTROL!$C$32, $C$9, 100%, $E$9)</f>
        <v>5.3388</v>
      </c>
      <c r="O206" s="81">
        <f>5.3424 * CHOOSE(CONTROL!$C$32, $C$9, 100%, $E$9)</f>
        <v>5.3423999999999996</v>
      </c>
    </row>
    <row r="207" spans="1:15" ht="15" x14ac:dyDescent="0.2">
      <c r="A207" s="16">
        <v>47515</v>
      </c>
      <c r="B207" s="80">
        <f>4.1852 * CHOOSE(CONTROL!$C$32, $C$9, 100%, $E$9)</f>
        <v>4.1852</v>
      </c>
      <c r="C207" s="80">
        <f>4.1852 * CHOOSE(CONTROL!$C$32, $C$9, 100%, $E$9)</f>
        <v>4.1852</v>
      </c>
      <c r="D207" s="80">
        <f>4.1863 * CHOOSE(CONTROL!$C$32, $C$9, 100%, $E$9)</f>
        <v>4.1863000000000001</v>
      </c>
      <c r="E207" s="81">
        <f>5.3368 * CHOOSE(CONTROL!$C$32, $C$9, 100%, $E$9)</f>
        <v>5.3368000000000002</v>
      </c>
      <c r="F207" s="81">
        <f>5.3368 * CHOOSE(CONTROL!$C$32, $C$9, 100%, $E$9)</f>
        <v>5.3368000000000002</v>
      </c>
      <c r="G207" s="81">
        <f>5.3404 * CHOOSE(CONTROL!$C$32, $C$9, 100%, $E$9)</f>
        <v>5.3403999999999998</v>
      </c>
      <c r="H207" s="81">
        <f>8.6925 * CHOOSE(CONTROL!$C$32, $C$9, 100%, $E$9)</f>
        <v>8.6925000000000008</v>
      </c>
      <c r="I207" s="81">
        <f>8.6962 * CHOOSE(CONTROL!$C$32, $C$9, 100%, $E$9)</f>
        <v>8.6961999999999993</v>
      </c>
      <c r="J207" s="81">
        <f>8.6925 * CHOOSE(CONTROL!$C$32, $C$9, 100%, $E$9)</f>
        <v>8.6925000000000008</v>
      </c>
      <c r="K207" s="81">
        <f>8.6962 * CHOOSE(CONTROL!$C$32, $C$9, 100%, $E$9)</f>
        <v>8.6961999999999993</v>
      </c>
      <c r="L207" s="81">
        <f>5.3368 * CHOOSE(CONTROL!$C$32, $C$9, 100%, $E$9)</f>
        <v>5.3368000000000002</v>
      </c>
      <c r="M207" s="81">
        <f>5.3404 * CHOOSE(CONTROL!$C$32, $C$9, 100%, $E$9)</f>
        <v>5.3403999999999998</v>
      </c>
      <c r="N207" s="81">
        <f>5.3368 * CHOOSE(CONTROL!$C$32, $C$9, 100%, $E$9)</f>
        <v>5.3368000000000002</v>
      </c>
      <c r="O207" s="81">
        <f>5.3404 * CHOOSE(CONTROL!$C$32, $C$9, 100%, $E$9)</f>
        <v>5.3403999999999998</v>
      </c>
    </row>
    <row r="208" spans="1:15" ht="15" x14ac:dyDescent="0.2">
      <c r="A208" s="16">
        <v>47543</v>
      </c>
      <c r="B208" s="80">
        <f>4.1822 * CHOOSE(CONTROL!$C$32, $C$9, 100%, $E$9)</f>
        <v>4.1821999999999999</v>
      </c>
      <c r="C208" s="80">
        <f>4.1822 * CHOOSE(CONTROL!$C$32, $C$9, 100%, $E$9)</f>
        <v>4.1821999999999999</v>
      </c>
      <c r="D208" s="80">
        <f>4.1833 * CHOOSE(CONTROL!$C$32, $C$9, 100%, $E$9)</f>
        <v>4.1833</v>
      </c>
      <c r="E208" s="81">
        <f>5.3348 * CHOOSE(CONTROL!$C$32, $C$9, 100%, $E$9)</f>
        <v>5.3348000000000004</v>
      </c>
      <c r="F208" s="81">
        <f>5.3348 * CHOOSE(CONTROL!$C$32, $C$9, 100%, $E$9)</f>
        <v>5.3348000000000004</v>
      </c>
      <c r="G208" s="81">
        <f>5.3384 * CHOOSE(CONTROL!$C$32, $C$9, 100%, $E$9)</f>
        <v>5.3384</v>
      </c>
      <c r="H208" s="81">
        <f>8.7107 * CHOOSE(CONTROL!$C$32, $C$9, 100%, $E$9)</f>
        <v>8.7106999999999992</v>
      </c>
      <c r="I208" s="81">
        <f>8.7143 * CHOOSE(CONTROL!$C$32, $C$9, 100%, $E$9)</f>
        <v>8.7142999999999997</v>
      </c>
      <c r="J208" s="81">
        <f>8.7107 * CHOOSE(CONTROL!$C$32, $C$9, 100%, $E$9)</f>
        <v>8.7106999999999992</v>
      </c>
      <c r="K208" s="81">
        <f>8.7143 * CHOOSE(CONTROL!$C$32, $C$9, 100%, $E$9)</f>
        <v>8.7142999999999997</v>
      </c>
      <c r="L208" s="81">
        <f>5.3348 * CHOOSE(CONTROL!$C$32, $C$9, 100%, $E$9)</f>
        <v>5.3348000000000004</v>
      </c>
      <c r="M208" s="81">
        <f>5.3384 * CHOOSE(CONTROL!$C$32, $C$9, 100%, $E$9)</f>
        <v>5.3384</v>
      </c>
      <c r="N208" s="81">
        <f>5.3348 * CHOOSE(CONTROL!$C$32, $C$9, 100%, $E$9)</f>
        <v>5.3348000000000004</v>
      </c>
      <c r="O208" s="81">
        <f>5.3384 * CHOOSE(CONTROL!$C$32, $C$9, 100%, $E$9)</f>
        <v>5.3384</v>
      </c>
    </row>
    <row r="209" spans="1:15" ht="15" x14ac:dyDescent="0.2">
      <c r="A209" s="16">
        <v>47574</v>
      </c>
      <c r="B209" s="80">
        <f>4.18 * CHOOSE(CONTROL!$C$32, $C$9, 100%, $E$9)</f>
        <v>4.18</v>
      </c>
      <c r="C209" s="80">
        <f>4.18 * CHOOSE(CONTROL!$C$32, $C$9, 100%, $E$9)</f>
        <v>4.18</v>
      </c>
      <c r="D209" s="80">
        <f>4.1811 * CHOOSE(CONTROL!$C$32, $C$9, 100%, $E$9)</f>
        <v>4.1810999999999998</v>
      </c>
      <c r="E209" s="81">
        <f>5.3328 * CHOOSE(CONTROL!$C$32, $C$9, 100%, $E$9)</f>
        <v>5.3327999999999998</v>
      </c>
      <c r="F209" s="81">
        <f>5.3328 * CHOOSE(CONTROL!$C$32, $C$9, 100%, $E$9)</f>
        <v>5.3327999999999998</v>
      </c>
      <c r="G209" s="81">
        <f>5.3364 * CHOOSE(CONTROL!$C$32, $C$9, 100%, $E$9)</f>
        <v>5.3364000000000003</v>
      </c>
      <c r="H209" s="81">
        <f>8.7288 * CHOOSE(CONTROL!$C$32, $C$9, 100%, $E$9)</f>
        <v>8.7287999999999997</v>
      </c>
      <c r="I209" s="81">
        <f>8.7324 * CHOOSE(CONTROL!$C$32, $C$9, 100%, $E$9)</f>
        <v>8.7324000000000002</v>
      </c>
      <c r="J209" s="81">
        <f>8.7288 * CHOOSE(CONTROL!$C$32, $C$9, 100%, $E$9)</f>
        <v>8.7287999999999997</v>
      </c>
      <c r="K209" s="81">
        <f>8.7324 * CHOOSE(CONTROL!$C$32, $C$9, 100%, $E$9)</f>
        <v>8.7324000000000002</v>
      </c>
      <c r="L209" s="81">
        <f>5.3328 * CHOOSE(CONTROL!$C$32, $C$9, 100%, $E$9)</f>
        <v>5.3327999999999998</v>
      </c>
      <c r="M209" s="81">
        <f>5.3364 * CHOOSE(CONTROL!$C$32, $C$9, 100%, $E$9)</f>
        <v>5.3364000000000003</v>
      </c>
      <c r="N209" s="81">
        <f>5.3328 * CHOOSE(CONTROL!$C$32, $C$9, 100%, $E$9)</f>
        <v>5.3327999999999998</v>
      </c>
      <c r="O209" s="81">
        <f>5.3364 * CHOOSE(CONTROL!$C$32, $C$9, 100%, $E$9)</f>
        <v>5.3364000000000003</v>
      </c>
    </row>
    <row r="210" spans="1:15" ht="15" x14ac:dyDescent="0.2">
      <c r="A210" s="16">
        <v>47604</v>
      </c>
      <c r="B210" s="80">
        <f>4.18 * CHOOSE(CONTROL!$C$32, $C$9, 100%, $E$9)</f>
        <v>4.18</v>
      </c>
      <c r="C210" s="80">
        <f>4.18 * CHOOSE(CONTROL!$C$32, $C$9, 100%, $E$9)</f>
        <v>4.18</v>
      </c>
      <c r="D210" s="80">
        <f>4.1816 * CHOOSE(CONTROL!$C$32, $C$9, 100%, $E$9)</f>
        <v>4.1816000000000004</v>
      </c>
      <c r="E210" s="81">
        <f>5.3328 * CHOOSE(CONTROL!$C$32, $C$9, 100%, $E$9)</f>
        <v>5.3327999999999998</v>
      </c>
      <c r="F210" s="81">
        <f>5.3328 * CHOOSE(CONTROL!$C$32, $C$9, 100%, $E$9)</f>
        <v>5.3327999999999998</v>
      </c>
      <c r="G210" s="81">
        <f>5.3381 * CHOOSE(CONTROL!$C$32, $C$9, 100%, $E$9)</f>
        <v>5.3380999999999998</v>
      </c>
      <c r="H210" s="81">
        <f>8.747 * CHOOSE(CONTROL!$C$32, $C$9, 100%, $E$9)</f>
        <v>8.7469999999999999</v>
      </c>
      <c r="I210" s="81">
        <f>8.7523 * CHOOSE(CONTROL!$C$32, $C$9, 100%, $E$9)</f>
        <v>8.7523</v>
      </c>
      <c r="J210" s="81">
        <f>8.747 * CHOOSE(CONTROL!$C$32, $C$9, 100%, $E$9)</f>
        <v>8.7469999999999999</v>
      </c>
      <c r="K210" s="81">
        <f>8.7523 * CHOOSE(CONTROL!$C$32, $C$9, 100%, $E$9)</f>
        <v>8.7523</v>
      </c>
      <c r="L210" s="81">
        <f>5.3328 * CHOOSE(CONTROL!$C$32, $C$9, 100%, $E$9)</f>
        <v>5.3327999999999998</v>
      </c>
      <c r="M210" s="81">
        <f>5.3381 * CHOOSE(CONTROL!$C$32, $C$9, 100%, $E$9)</f>
        <v>5.3380999999999998</v>
      </c>
      <c r="N210" s="81">
        <f>5.3328 * CHOOSE(CONTROL!$C$32, $C$9, 100%, $E$9)</f>
        <v>5.3327999999999998</v>
      </c>
      <c r="O210" s="81">
        <f>5.3381 * CHOOSE(CONTROL!$C$32, $C$9, 100%, $E$9)</f>
        <v>5.3380999999999998</v>
      </c>
    </row>
    <row r="211" spans="1:15" ht="15" x14ac:dyDescent="0.2">
      <c r="A211" s="16">
        <v>47635</v>
      </c>
      <c r="B211" s="80">
        <f>4.1861 * CHOOSE(CONTROL!$C$32, $C$9, 100%, $E$9)</f>
        <v>4.1860999999999997</v>
      </c>
      <c r="C211" s="80">
        <f>4.1861 * CHOOSE(CONTROL!$C$32, $C$9, 100%, $E$9)</f>
        <v>4.1860999999999997</v>
      </c>
      <c r="D211" s="80">
        <f>4.1877 * CHOOSE(CONTROL!$C$32, $C$9, 100%, $E$9)</f>
        <v>4.1877000000000004</v>
      </c>
      <c r="E211" s="81">
        <f>5.3368 * CHOOSE(CONTROL!$C$32, $C$9, 100%, $E$9)</f>
        <v>5.3368000000000002</v>
      </c>
      <c r="F211" s="81">
        <f>5.3368 * CHOOSE(CONTROL!$C$32, $C$9, 100%, $E$9)</f>
        <v>5.3368000000000002</v>
      </c>
      <c r="G211" s="81">
        <f>5.3421 * CHOOSE(CONTROL!$C$32, $C$9, 100%, $E$9)</f>
        <v>5.3421000000000003</v>
      </c>
      <c r="H211" s="81">
        <f>8.7652 * CHOOSE(CONTROL!$C$32, $C$9, 100%, $E$9)</f>
        <v>8.7652000000000001</v>
      </c>
      <c r="I211" s="81">
        <f>8.7705 * CHOOSE(CONTROL!$C$32, $C$9, 100%, $E$9)</f>
        <v>8.7705000000000002</v>
      </c>
      <c r="J211" s="81">
        <f>8.7652 * CHOOSE(CONTROL!$C$32, $C$9, 100%, $E$9)</f>
        <v>8.7652000000000001</v>
      </c>
      <c r="K211" s="81">
        <f>8.7705 * CHOOSE(CONTROL!$C$32, $C$9, 100%, $E$9)</f>
        <v>8.7705000000000002</v>
      </c>
      <c r="L211" s="81">
        <f>5.3368 * CHOOSE(CONTROL!$C$32, $C$9, 100%, $E$9)</f>
        <v>5.3368000000000002</v>
      </c>
      <c r="M211" s="81">
        <f>5.3421 * CHOOSE(CONTROL!$C$32, $C$9, 100%, $E$9)</f>
        <v>5.3421000000000003</v>
      </c>
      <c r="N211" s="81">
        <f>5.3368 * CHOOSE(CONTROL!$C$32, $C$9, 100%, $E$9)</f>
        <v>5.3368000000000002</v>
      </c>
      <c r="O211" s="81">
        <f>5.3421 * CHOOSE(CONTROL!$C$32, $C$9, 100%, $E$9)</f>
        <v>5.3421000000000003</v>
      </c>
    </row>
    <row r="212" spans="1:15" ht="15" x14ac:dyDescent="0.2">
      <c r="A212" s="16">
        <v>47665</v>
      </c>
      <c r="B212" s="80">
        <f>4.2533 * CHOOSE(CONTROL!$C$32, $C$9, 100%, $E$9)</f>
        <v>4.2533000000000003</v>
      </c>
      <c r="C212" s="80">
        <f>4.2533 * CHOOSE(CONTROL!$C$32, $C$9, 100%, $E$9)</f>
        <v>4.2533000000000003</v>
      </c>
      <c r="D212" s="80">
        <f>4.2549 * CHOOSE(CONTROL!$C$32, $C$9, 100%, $E$9)</f>
        <v>4.2549000000000001</v>
      </c>
      <c r="E212" s="81">
        <f>5.4347 * CHOOSE(CONTROL!$C$32, $C$9, 100%, $E$9)</f>
        <v>5.4347000000000003</v>
      </c>
      <c r="F212" s="81">
        <f>5.4347 * CHOOSE(CONTROL!$C$32, $C$9, 100%, $E$9)</f>
        <v>5.4347000000000003</v>
      </c>
      <c r="G212" s="81">
        <f>5.44 * CHOOSE(CONTROL!$C$32, $C$9, 100%, $E$9)</f>
        <v>5.44</v>
      </c>
      <c r="H212" s="81">
        <f>8.7835 * CHOOSE(CONTROL!$C$32, $C$9, 100%, $E$9)</f>
        <v>8.7835000000000001</v>
      </c>
      <c r="I212" s="81">
        <f>8.7888 * CHOOSE(CONTROL!$C$32, $C$9, 100%, $E$9)</f>
        <v>8.7888000000000002</v>
      </c>
      <c r="J212" s="81">
        <f>8.7835 * CHOOSE(CONTROL!$C$32, $C$9, 100%, $E$9)</f>
        <v>8.7835000000000001</v>
      </c>
      <c r="K212" s="81">
        <f>8.7888 * CHOOSE(CONTROL!$C$32, $C$9, 100%, $E$9)</f>
        <v>8.7888000000000002</v>
      </c>
      <c r="L212" s="81">
        <f>5.4347 * CHOOSE(CONTROL!$C$32, $C$9, 100%, $E$9)</f>
        <v>5.4347000000000003</v>
      </c>
      <c r="M212" s="81">
        <f>5.44 * CHOOSE(CONTROL!$C$32, $C$9, 100%, $E$9)</f>
        <v>5.44</v>
      </c>
      <c r="N212" s="81">
        <f>5.4347 * CHOOSE(CONTROL!$C$32, $C$9, 100%, $E$9)</f>
        <v>5.4347000000000003</v>
      </c>
      <c r="O212" s="81">
        <f>5.44 * CHOOSE(CONTROL!$C$32, $C$9, 100%, $E$9)</f>
        <v>5.44</v>
      </c>
    </row>
    <row r="213" spans="1:15" ht="15" x14ac:dyDescent="0.2">
      <c r="A213" s="16">
        <v>47696</v>
      </c>
      <c r="B213" s="80">
        <f>4.26 * CHOOSE(CONTROL!$C$32, $C$9, 100%, $E$9)</f>
        <v>4.26</v>
      </c>
      <c r="C213" s="80">
        <f>4.26 * CHOOSE(CONTROL!$C$32, $C$9, 100%, $E$9)</f>
        <v>4.26</v>
      </c>
      <c r="D213" s="80">
        <f>4.2616 * CHOOSE(CONTROL!$C$32, $C$9, 100%, $E$9)</f>
        <v>4.2615999999999996</v>
      </c>
      <c r="E213" s="81">
        <f>5.4391 * CHOOSE(CONTROL!$C$32, $C$9, 100%, $E$9)</f>
        <v>5.4390999999999998</v>
      </c>
      <c r="F213" s="81">
        <f>5.4391 * CHOOSE(CONTROL!$C$32, $C$9, 100%, $E$9)</f>
        <v>5.4390999999999998</v>
      </c>
      <c r="G213" s="81">
        <f>5.4444 * CHOOSE(CONTROL!$C$32, $C$9, 100%, $E$9)</f>
        <v>5.4443999999999999</v>
      </c>
      <c r="H213" s="81">
        <f>8.8018 * CHOOSE(CONTROL!$C$32, $C$9, 100%, $E$9)</f>
        <v>8.8018000000000001</v>
      </c>
      <c r="I213" s="81">
        <f>8.8071 * CHOOSE(CONTROL!$C$32, $C$9, 100%, $E$9)</f>
        <v>8.8071000000000002</v>
      </c>
      <c r="J213" s="81">
        <f>8.8018 * CHOOSE(CONTROL!$C$32, $C$9, 100%, $E$9)</f>
        <v>8.8018000000000001</v>
      </c>
      <c r="K213" s="81">
        <f>8.8071 * CHOOSE(CONTROL!$C$32, $C$9, 100%, $E$9)</f>
        <v>8.8071000000000002</v>
      </c>
      <c r="L213" s="81">
        <f>5.4391 * CHOOSE(CONTROL!$C$32, $C$9, 100%, $E$9)</f>
        <v>5.4390999999999998</v>
      </c>
      <c r="M213" s="81">
        <f>5.4444 * CHOOSE(CONTROL!$C$32, $C$9, 100%, $E$9)</f>
        <v>5.4443999999999999</v>
      </c>
      <c r="N213" s="81">
        <f>5.4391 * CHOOSE(CONTROL!$C$32, $C$9, 100%, $E$9)</f>
        <v>5.4390999999999998</v>
      </c>
      <c r="O213" s="81">
        <f>5.4444 * CHOOSE(CONTROL!$C$32, $C$9, 100%, $E$9)</f>
        <v>5.4443999999999999</v>
      </c>
    </row>
    <row r="214" spans="1:15" ht="15" x14ac:dyDescent="0.2">
      <c r="A214" s="16">
        <v>47727</v>
      </c>
      <c r="B214" s="80">
        <f>4.2569 * CHOOSE(CONTROL!$C$32, $C$9, 100%, $E$9)</f>
        <v>4.2568999999999999</v>
      </c>
      <c r="C214" s="80">
        <f>4.2569 * CHOOSE(CONTROL!$C$32, $C$9, 100%, $E$9)</f>
        <v>4.2568999999999999</v>
      </c>
      <c r="D214" s="80">
        <f>4.2585 * CHOOSE(CONTROL!$C$32, $C$9, 100%, $E$9)</f>
        <v>4.2584999999999997</v>
      </c>
      <c r="E214" s="81">
        <f>5.4371 * CHOOSE(CONTROL!$C$32, $C$9, 100%, $E$9)</f>
        <v>5.4371</v>
      </c>
      <c r="F214" s="81">
        <f>5.4371 * CHOOSE(CONTROL!$C$32, $C$9, 100%, $E$9)</f>
        <v>5.4371</v>
      </c>
      <c r="G214" s="81">
        <f>5.4424 * CHOOSE(CONTROL!$C$32, $C$9, 100%, $E$9)</f>
        <v>5.4424000000000001</v>
      </c>
      <c r="H214" s="81">
        <f>8.8201 * CHOOSE(CONTROL!$C$32, $C$9, 100%, $E$9)</f>
        <v>8.8201000000000001</v>
      </c>
      <c r="I214" s="81">
        <f>8.8254 * CHOOSE(CONTROL!$C$32, $C$9, 100%, $E$9)</f>
        <v>8.8254000000000001</v>
      </c>
      <c r="J214" s="81">
        <f>8.8201 * CHOOSE(CONTROL!$C$32, $C$9, 100%, $E$9)</f>
        <v>8.8201000000000001</v>
      </c>
      <c r="K214" s="81">
        <f>8.8254 * CHOOSE(CONTROL!$C$32, $C$9, 100%, $E$9)</f>
        <v>8.8254000000000001</v>
      </c>
      <c r="L214" s="81">
        <f>5.4371 * CHOOSE(CONTROL!$C$32, $C$9, 100%, $E$9)</f>
        <v>5.4371</v>
      </c>
      <c r="M214" s="81">
        <f>5.4424 * CHOOSE(CONTROL!$C$32, $C$9, 100%, $E$9)</f>
        <v>5.4424000000000001</v>
      </c>
      <c r="N214" s="81">
        <f>5.4371 * CHOOSE(CONTROL!$C$32, $C$9, 100%, $E$9)</f>
        <v>5.4371</v>
      </c>
      <c r="O214" s="81">
        <f>5.4424 * CHOOSE(CONTROL!$C$32, $C$9, 100%, $E$9)</f>
        <v>5.4424000000000001</v>
      </c>
    </row>
    <row r="215" spans="1:15" ht="15" x14ac:dyDescent="0.2">
      <c r="A215" s="16">
        <v>47757</v>
      </c>
      <c r="B215" s="80">
        <f>4.253 * CHOOSE(CONTROL!$C$32, $C$9, 100%, $E$9)</f>
        <v>4.2530000000000001</v>
      </c>
      <c r="C215" s="80">
        <f>4.253 * CHOOSE(CONTROL!$C$32, $C$9, 100%, $E$9)</f>
        <v>4.2530000000000001</v>
      </c>
      <c r="D215" s="80">
        <f>4.254 * CHOOSE(CONTROL!$C$32, $C$9, 100%, $E$9)</f>
        <v>4.2539999999999996</v>
      </c>
      <c r="E215" s="81">
        <f>5.4323 * CHOOSE(CONTROL!$C$32, $C$9, 100%, $E$9)</f>
        <v>5.4322999999999997</v>
      </c>
      <c r="F215" s="81">
        <f>5.4323 * CHOOSE(CONTROL!$C$32, $C$9, 100%, $E$9)</f>
        <v>5.4322999999999997</v>
      </c>
      <c r="G215" s="81">
        <f>5.436 * CHOOSE(CONTROL!$C$32, $C$9, 100%, $E$9)</f>
        <v>5.4359999999999999</v>
      </c>
      <c r="H215" s="81">
        <f>8.8385 * CHOOSE(CONTROL!$C$32, $C$9, 100%, $E$9)</f>
        <v>8.8384999999999998</v>
      </c>
      <c r="I215" s="81">
        <f>8.8421 * CHOOSE(CONTROL!$C$32, $C$9, 100%, $E$9)</f>
        <v>8.8421000000000003</v>
      </c>
      <c r="J215" s="81">
        <f>8.8385 * CHOOSE(CONTROL!$C$32, $C$9, 100%, $E$9)</f>
        <v>8.8384999999999998</v>
      </c>
      <c r="K215" s="81">
        <f>8.8421 * CHOOSE(CONTROL!$C$32, $C$9, 100%, $E$9)</f>
        <v>8.8421000000000003</v>
      </c>
      <c r="L215" s="81">
        <f>5.4323 * CHOOSE(CONTROL!$C$32, $C$9, 100%, $E$9)</f>
        <v>5.4322999999999997</v>
      </c>
      <c r="M215" s="81">
        <f>5.436 * CHOOSE(CONTROL!$C$32, $C$9, 100%, $E$9)</f>
        <v>5.4359999999999999</v>
      </c>
      <c r="N215" s="81">
        <f>5.4323 * CHOOSE(CONTROL!$C$32, $C$9, 100%, $E$9)</f>
        <v>5.4322999999999997</v>
      </c>
      <c r="O215" s="81">
        <f>5.436 * CHOOSE(CONTROL!$C$32, $C$9, 100%, $E$9)</f>
        <v>5.4359999999999999</v>
      </c>
    </row>
    <row r="216" spans="1:15" ht="15" x14ac:dyDescent="0.2">
      <c r="A216" s="16">
        <v>47788</v>
      </c>
      <c r="B216" s="80">
        <f>4.256 * CHOOSE(CONTROL!$C$32, $C$9, 100%, $E$9)</f>
        <v>4.2560000000000002</v>
      </c>
      <c r="C216" s="80">
        <f>4.256 * CHOOSE(CONTROL!$C$32, $C$9, 100%, $E$9)</f>
        <v>4.2560000000000002</v>
      </c>
      <c r="D216" s="80">
        <f>4.2571 * CHOOSE(CONTROL!$C$32, $C$9, 100%, $E$9)</f>
        <v>4.2571000000000003</v>
      </c>
      <c r="E216" s="81">
        <f>5.4343 * CHOOSE(CONTROL!$C$32, $C$9, 100%, $E$9)</f>
        <v>5.4343000000000004</v>
      </c>
      <c r="F216" s="81">
        <f>5.4343 * CHOOSE(CONTROL!$C$32, $C$9, 100%, $E$9)</f>
        <v>5.4343000000000004</v>
      </c>
      <c r="G216" s="81">
        <f>5.438 * CHOOSE(CONTROL!$C$32, $C$9, 100%, $E$9)</f>
        <v>5.4379999999999997</v>
      </c>
      <c r="H216" s="81">
        <f>8.8569 * CHOOSE(CONTROL!$C$32, $C$9, 100%, $E$9)</f>
        <v>8.8568999999999996</v>
      </c>
      <c r="I216" s="81">
        <f>8.8605 * CHOOSE(CONTROL!$C$32, $C$9, 100%, $E$9)</f>
        <v>8.8605</v>
      </c>
      <c r="J216" s="81">
        <f>8.8569 * CHOOSE(CONTROL!$C$32, $C$9, 100%, $E$9)</f>
        <v>8.8568999999999996</v>
      </c>
      <c r="K216" s="81">
        <f>8.8605 * CHOOSE(CONTROL!$C$32, $C$9, 100%, $E$9)</f>
        <v>8.8605</v>
      </c>
      <c r="L216" s="81">
        <f>5.4343 * CHOOSE(CONTROL!$C$32, $C$9, 100%, $E$9)</f>
        <v>5.4343000000000004</v>
      </c>
      <c r="M216" s="81">
        <f>5.438 * CHOOSE(CONTROL!$C$32, $C$9, 100%, $E$9)</f>
        <v>5.4379999999999997</v>
      </c>
      <c r="N216" s="81">
        <f>5.4343 * CHOOSE(CONTROL!$C$32, $C$9, 100%, $E$9)</f>
        <v>5.4343000000000004</v>
      </c>
      <c r="O216" s="81">
        <f>5.438 * CHOOSE(CONTROL!$C$32, $C$9, 100%, $E$9)</f>
        <v>5.4379999999999997</v>
      </c>
    </row>
    <row r="217" spans="1:15" ht="15" x14ac:dyDescent="0.2">
      <c r="A217" s="16">
        <v>47818</v>
      </c>
      <c r="B217" s="80">
        <f>4.256 * CHOOSE(CONTROL!$C$32, $C$9, 100%, $E$9)</f>
        <v>4.2560000000000002</v>
      </c>
      <c r="C217" s="80">
        <f>4.256 * CHOOSE(CONTROL!$C$32, $C$9, 100%, $E$9)</f>
        <v>4.2560000000000002</v>
      </c>
      <c r="D217" s="80">
        <f>4.2571 * CHOOSE(CONTROL!$C$32, $C$9, 100%, $E$9)</f>
        <v>4.2571000000000003</v>
      </c>
      <c r="E217" s="81">
        <f>5.4343 * CHOOSE(CONTROL!$C$32, $C$9, 100%, $E$9)</f>
        <v>5.4343000000000004</v>
      </c>
      <c r="F217" s="81">
        <f>5.4343 * CHOOSE(CONTROL!$C$32, $C$9, 100%, $E$9)</f>
        <v>5.4343000000000004</v>
      </c>
      <c r="G217" s="81">
        <f>5.438 * CHOOSE(CONTROL!$C$32, $C$9, 100%, $E$9)</f>
        <v>5.4379999999999997</v>
      </c>
      <c r="H217" s="81">
        <f>8.8753 * CHOOSE(CONTROL!$C$32, $C$9, 100%, $E$9)</f>
        <v>8.8752999999999993</v>
      </c>
      <c r="I217" s="81">
        <f>8.879 * CHOOSE(CONTROL!$C$32, $C$9, 100%, $E$9)</f>
        <v>8.8789999999999996</v>
      </c>
      <c r="J217" s="81">
        <f>8.8753 * CHOOSE(CONTROL!$C$32, $C$9, 100%, $E$9)</f>
        <v>8.8752999999999993</v>
      </c>
      <c r="K217" s="81">
        <f>8.879 * CHOOSE(CONTROL!$C$32, $C$9, 100%, $E$9)</f>
        <v>8.8789999999999996</v>
      </c>
      <c r="L217" s="81">
        <f>5.4343 * CHOOSE(CONTROL!$C$32, $C$9, 100%, $E$9)</f>
        <v>5.4343000000000004</v>
      </c>
      <c r="M217" s="81">
        <f>5.438 * CHOOSE(CONTROL!$C$32, $C$9, 100%, $E$9)</f>
        <v>5.4379999999999997</v>
      </c>
      <c r="N217" s="81">
        <f>5.4343 * CHOOSE(CONTROL!$C$32, $C$9, 100%, $E$9)</f>
        <v>5.4343000000000004</v>
      </c>
      <c r="O217" s="81">
        <f>5.438 * CHOOSE(CONTROL!$C$32, $C$9, 100%, $E$9)</f>
        <v>5.4379999999999997</v>
      </c>
    </row>
    <row r="218" spans="1:15" ht="15" x14ac:dyDescent="0.2">
      <c r="A218" s="16">
        <v>47849</v>
      </c>
      <c r="B218" s="80">
        <f>4.2906 * CHOOSE(CONTROL!$C$32, $C$9, 100%, $E$9)</f>
        <v>4.2906000000000004</v>
      </c>
      <c r="C218" s="80">
        <f>4.2906 * CHOOSE(CONTROL!$C$32, $C$9, 100%, $E$9)</f>
        <v>4.2906000000000004</v>
      </c>
      <c r="D218" s="80">
        <f>4.2916 * CHOOSE(CONTROL!$C$32, $C$9, 100%, $E$9)</f>
        <v>4.2915999999999999</v>
      </c>
      <c r="E218" s="81">
        <f>5.4769 * CHOOSE(CONTROL!$C$32, $C$9, 100%, $E$9)</f>
        <v>5.4768999999999997</v>
      </c>
      <c r="F218" s="81">
        <f>5.4769 * CHOOSE(CONTROL!$C$32, $C$9, 100%, $E$9)</f>
        <v>5.4768999999999997</v>
      </c>
      <c r="G218" s="81">
        <f>5.4806 * CHOOSE(CONTROL!$C$32, $C$9, 100%, $E$9)</f>
        <v>5.4805999999999999</v>
      </c>
      <c r="H218" s="81">
        <f>8.8938 * CHOOSE(CONTROL!$C$32, $C$9, 100%, $E$9)</f>
        <v>8.8938000000000006</v>
      </c>
      <c r="I218" s="81">
        <f>8.8975 * CHOOSE(CONTROL!$C$32, $C$9, 100%, $E$9)</f>
        <v>8.8975000000000009</v>
      </c>
      <c r="J218" s="81">
        <f>8.8938 * CHOOSE(CONTROL!$C$32, $C$9, 100%, $E$9)</f>
        <v>8.8938000000000006</v>
      </c>
      <c r="K218" s="81">
        <f>8.8975 * CHOOSE(CONTROL!$C$32, $C$9, 100%, $E$9)</f>
        <v>8.8975000000000009</v>
      </c>
      <c r="L218" s="81">
        <f>5.4769 * CHOOSE(CONTROL!$C$32, $C$9, 100%, $E$9)</f>
        <v>5.4768999999999997</v>
      </c>
      <c r="M218" s="81">
        <f>5.4806 * CHOOSE(CONTROL!$C$32, $C$9, 100%, $E$9)</f>
        <v>5.4805999999999999</v>
      </c>
      <c r="N218" s="81">
        <f>5.4769 * CHOOSE(CONTROL!$C$32, $C$9, 100%, $E$9)</f>
        <v>5.4768999999999997</v>
      </c>
      <c r="O218" s="81">
        <f>5.4806 * CHOOSE(CONTROL!$C$32, $C$9, 100%, $E$9)</f>
        <v>5.4805999999999999</v>
      </c>
    </row>
    <row r="219" spans="1:15" ht="15" x14ac:dyDescent="0.2">
      <c r="A219" s="16">
        <v>47880</v>
      </c>
      <c r="B219" s="80">
        <f>4.2875 * CHOOSE(CONTROL!$C$32, $C$9, 100%, $E$9)</f>
        <v>4.2874999999999996</v>
      </c>
      <c r="C219" s="80">
        <f>4.2875 * CHOOSE(CONTROL!$C$32, $C$9, 100%, $E$9)</f>
        <v>4.2874999999999996</v>
      </c>
      <c r="D219" s="80">
        <f>4.2886 * CHOOSE(CONTROL!$C$32, $C$9, 100%, $E$9)</f>
        <v>4.2885999999999997</v>
      </c>
      <c r="E219" s="81">
        <f>5.4749 * CHOOSE(CONTROL!$C$32, $C$9, 100%, $E$9)</f>
        <v>5.4748999999999999</v>
      </c>
      <c r="F219" s="81">
        <f>5.4749 * CHOOSE(CONTROL!$C$32, $C$9, 100%, $E$9)</f>
        <v>5.4748999999999999</v>
      </c>
      <c r="G219" s="81">
        <f>5.4786 * CHOOSE(CONTROL!$C$32, $C$9, 100%, $E$9)</f>
        <v>5.4786000000000001</v>
      </c>
      <c r="H219" s="81">
        <f>8.9124 * CHOOSE(CONTROL!$C$32, $C$9, 100%, $E$9)</f>
        <v>8.9123999999999999</v>
      </c>
      <c r="I219" s="81">
        <f>8.916 * CHOOSE(CONTROL!$C$32, $C$9, 100%, $E$9)</f>
        <v>8.9160000000000004</v>
      </c>
      <c r="J219" s="81">
        <f>8.9124 * CHOOSE(CONTROL!$C$32, $C$9, 100%, $E$9)</f>
        <v>8.9123999999999999</v>
      </c>
      <c r="K219" s="81">
        <f>8.916 * CHOOSE(CONTROL!$C$32, $C$9, 100%, $E$9)</f>
        <v>8.9160000000000004</v>
      </c>
      <c r="L219" s="81">
        <f>5.4749 * CHOOSE(CONTROL!$C$32, $C$9, 100%, $E$9)</f>
        <v>5.4748999999999999</v>
      </c>
      <c r="M219" s="81">
        <f>5.4786 * CHOOSE(CONTROL!$C$32, $C$9, 100%, $E$9)</f>
        <v>5.4786000000000001</v>
      </c>
      <c r="N219" s="81">
        <f>5.4749 * CHOOSE(CONTROL!$C$32, $C$9, 100%, $E$9)</f>
        <v>5.4748999999999999</v>
      </c>
      <c r="O219" s="81">
        <f>5.4786 * CHOOSE(CONTROL!$C$32, $C$9, 100%, $E$9)</f>
        <v>5.4786000000000001</v>
      </c>
    </row>
    <row r="220" spans="1:15" ht="15" x14ac:dyDescent="0.2">
      <c r="A220" s="16">
        <v>47908</v>
      </c>
      <c r="B220" s="80">
        <f>4.2845 * CHOOSE(CONTROL!$C$32, $C$9, 100%, $E$9)</f>
        <v>4.2845000000000004</v>
      </c>
      <c r="C220" s="80">
        <f>4.2845 * CHOOSE(CONTROL!$C$32, $C$9, 100%, $E$9)</f>
        <v>4.2845000000000004</v>
      </c>
      <c r="D220" s="80">
        <f>4.2856 * CHOOSE(CONTROL!$C$32, $C$9, 100%, $E$9)</f>
        <v>4.2855999999999996</v>
      </c>
      <c r="E220" s="81">
        <f>5.4729 * CHOOSE(CONTROL!$C$32, $C$9, 100%, $E$9)</f>
        <v>5.4729000000000001</v>
      </c>
      <c r="F220" s="81">
        <f>5.4729 * CHOOSE(CONTROL!$C$32, $C$9, 100%, $E$9)</f>
        <v>5.4729000000000001</v>
      </c>
      <c r="G220" s="81">
        <f>5.4766 * CHOOSE(CONTROL!$C$32, $C$9, 100%, $E$9)</f>
        <v>5.4766000000000004</v>
      </c>
      <c r="H220" s="81">
        <f>8.9309 * CHOOSE(CONTROL!$C$32, $C$9, 100%, $E$9)</f>
        <v>8.9308999999999994</v>
      </c>
      <c r="I220" s="81">
        <f>8.9346 * CHOOSE(CONTROL!$C$32, $C$9, 100%, $E$9)</f>
        <v>8.9345999999999997</v>
      </c>
      <c r="J220" s="81">
        <f>8.9309 * CHOOSE(CONTROL!$C$32, $C$9, 100%, $E$9)</f>
        <v>8.9308999999999994</v>
      </c>
      <c r="K220" s="81">
        <f>8.9346 * CHOOSE(CONTROL!$C$32, $C$9, 100%, $E$9)</f>
        <v>8.9345999999999997</v>
      </c>
      <c r="L220" s="81">
        <f>5.4729 * CHOOSE(CONTROL!$C$32, $C$9, 100%, $E$9)</f>
        <v>5.4729000000000001</v>
      </c>
      <c r="M220" s="81">
        <f>5.4766 * CHOOSE(CONTROL!$C$32, $C$9, 100%, $E$9)</f>
        <v>5.4766000000000004</v>
      </c>
      <c r="N220" s="81">
        <f>5.4729 * CHOOSE(CONTROL!$C$32, $C$9, 100%, $E$9)</f>
        <v>5.4729000000000001</v>
      </c>
      <c r="O220" s="81">
        <f>5.4766 * CHOOSE(CONTROL!$C$32, $C$9, 100%, $E$9)</f>
        <v>5.4766000000000004</v>
      </c>
    </row>
    <row r="221" spans="1:15" ht="15" x14ac:dyDescent="0.2">
      <c r="A221" s="16">
        <v>47939</v>
      </c>
      <c r="B221" s="80">
        <f>4.2824 * CHOOSE(CONTROL!$C$32, $C$9, 100%, $E$9)</f>
        <v>4.2824</v>
      </c>
      <c r="C221" s="80">
        <f>4.2824 * CHOOSE(CONTROL!$C$32, $C$9, 100%, $E$9)</f>
        <v>4.2824</v>
      </c>
      <c r="D221" s="80">
        <f>4.2835 * CHOOSE(CONTROL!$C$32, $C$9, 100%, $E$9)</f>
        <v>4.2835000000000001</v>
      </c>
      <c r="E221" s="81">
        <f>5.471 * CHOOSE(CONTROL!$C$32, $C$9, 100%, $E$9)</f>
        <v>5.4710000000000001</v>
      </c>
      <c r="F221" s="81">
        <f>5.471 * CHOOSE(CONTROL!$C$32, $C$9, 100%, $E$9)</f>
        <v>5.4710000000000001</v>
      </c>
      <c r="G221" s="81">
        <f>5.4746 * CHOOSE(CONTROL!$C$32, $C$9, 100%, $E$9)</f>
        <v>5.4745999999999997</v>
      </c>
      <c r="H221" s="81">
        <f>8.9495 * CHOOSE(CONTROL!$C$32, $C$9, 100%, $E$9)</f>
        <v>8.9495000000000005</v>
      </c>
      <c r="I221" s="81">
        <f>8.9532 * CHOOSE(CONTROL!$C$32, $C$9, 100%, $E$9)</f>
        <v>8.9532000000000007</v>
      </c>
      <c r="J221" s="81">
        <f>8.9495 * CHOOSE(CONTROL!$C$32, $C$9, 100%, $E$9)</f>
        <v>8.9495000000000005</v>
      </c>
      <c r="K221" s="81">
        <f>8.9532 * CHOOSE(CONTROL!$C$32, $C$9, 100%, $E$9)</f>
        <v>8.9532000000000007</v>
      </c>
      <c r="L221" s="81">
        <f>5.471 * CHOOSE(CONTROL!$C$32, $C$9, 100%, $E$9)</f>
        <v>5.4710000000000001</v>
      </c>
      <c r="M221" s="81">
        <f>5.4746 * CHOOSE(CONTROL!$C$32, $C$9, 100%, $E$9)</f>
        <v>5.4745999999999997</v>
      </c>
      <c r="N221" s="81">
        <f>5.471 * CHOOSE(CONTROL!$C$32, $C$9, 100%, $E$9)</f>
        <v>5.4710000000000001</v>
      </c>
      <c r="O221" s="81">
        <f>5.4746 * CHOOSE(CONTROL!$C$32, $C$9, 100%, $E$9)</f>
        <v>5.4745999999999997</v>
      </c>
    </row>
    <row r="222" spans="1:15" ht="15" x14ac:dyDescent="0.2">
      <c r="A222" s="16">
        <v>47969</v>
      </c>
      <c r="B222" s="80">
        <f>4.2824 * CHOOSE(CONTROL!$C$32, $C$9, 100%, $E$9)</f>
        <v>4.2824</v>
      </c>
      <c r="C222" s="80">
        <f>4.2824 * CHOOSE(CONTROL!$C$32, $C$9, 100%, $E$9)</f>
        <v>4.2824</v>
      </c>
      <c r="D222" s="80">
        <f>4.284 * CHOOSE(CONTROL!$C$32, $C$9, 100%, $E$9)</f>
        <v>4.2839999999999998</v>
      </c>
      <c r="E222" s="81">
        <f>5.471 * CHOOSE(CONTROL!$C$32, $C$9, 100%, $E$9)</f>
        <v>5.4710000000000001</v>
      </c>
      <c r="F222" s="81">
        <f>5.471 * CHOOSE(CONTROL!$C$32, $C$9, 100%, $E$9)</f>
        <v>5.4710000000000001</v>
      </c>
      <c r="G222" s="81">
        <f>5.4763 * CHOOSE(CONTROL!$C$32, $C$9, 100%, $E$9)</f>
        <v>5.4763000000000002</v>
      </c>
      <c r="H222" s="81">
        <f>8.9682 * CHOOSE(CONTROL!$C$32, $C$9, 100%, $E$9)</f>
        <v>8.9681999999999995</v>
      </c>
      <c r="I222" s="81">
        <f>8.9735 * CHOOSE(CONTROL!$C$32, $C$9, 100%, $E$9)</f>
        <v>8.9734999999999996</v>
      </c>
      <c r="J222" s="81">
        <f>8.9682 * CHOOSE(CONTROL!$C$32, $C$9, 100%, $E$9)</f>
        <v>8.9681999999999995</v>
      </c>
      <c r="K222" s="81">
        <f>8.9735 * CHOOSE(CONTROL!$C$32, $C$9, 100%, $E$9)</f>
        <v>8.9734999999999996</v>
      </c>
      <c r="L222" s="81">
        <f>5.471 * CHOOSE(CONTROL!$C$32, $C$9, 100%, $E$9)</f>
        <v>5.4710000000000001</v>
      </c>
      <c r="M222" s="81">
        <f>5.4763 * CHOOSE(CONTROL!$C$32, $C$9, 100%, $E$9)</f>
        <v>5.4763000000000002</v>
      </c>
      <c r="N222" s="81">
        <f>5.471 * CHOOSE(CONTROL!$C$32, $C$9, 100%, $E$9)</f>
        <v>5.4710000000000001</v>
      </c>
      <c r="O222" s="81">
        <f>5.4763 * CHOOSE(CONTROL!$C$32, $C$9, 100%, $E$9)</f>
        <v>5.4763000000000002</v>
      </c>
    </row>
    <row r="223" spans="1:15" ht="15" x14ac:dyDescent="0.2">
      <c r="A223" s="16">
        <v>48000</v>
      </c>
      <c r="B223" s="80">
        <f>4.2885 * CHOOSE(CONTROL!$C$32, $C$9, 100%, $E$9)</f>
        <v>4.2885</v>
      </c>
      <c r="C223" s="80">
        <f>4.2885 * CHOOSE(CONTROL!$C$32, $C$9, 100%, $E$9)</f>
        <v>4.2885</v>
      </c>
      <c r="D223" s="80">
        <f>4.2901 * CHOOSE(CONTROL!$C$32, $C$9, 100%, $E$9)</f>
        <v>4.2900999999999998</v>
      </c>
      <c r="E223" s="81">
        <f>5.475 * CHOOSE(CONTROL!$C$32, $C$9, 100%, $E$9)</f>
        <v>5.4749999999999996</v>
      </c>
      <c r="F223" s="81">
        <f>5.475 * CHOOSE(CONTROL!$C$32, $C$9, 100%, $E$9)</f>
        <v>5.4749999999999996</v>
      </c>
      <c r="G223" s="81">
        <f>5.4803 * CHOOSE(CONTROL!$C$32, $C$9, 100%, $E$9)</f>
        <v>5.4802999999999997</v>
      </c>
      <c r="H223" s="81">
        <f>8.9869 * CHOOSE(CONTROL!$C$32, $C$9, 100%, $E$9)</f>
        <v>8.9869000000000003</v>
      </c>
      <c r="I223" s="81">
        <f>8.9922 * CHOOSE(CONTROL!$C$32, $C$9, 100%, $E$9)</f>
        <v>8.9922000000000004</v>
      </c>
      <c r="J223" s="81">
        <f>8.9869 * CHOOSE(CONTROL!$C$32, $C$9, 100%, $E$9)</f>
        <v>8.9869000000000003</v>
      </c>
      <c r="K223" s="81">
        <f>8.9922 * CHOOSE(CONTROL!$C$32, $C$9, 100%, $E$9)</f>
        <v>8.9922000000000004</v>
      </c>
      <c r="L223" s="81">
        <f>5.475 * CHOOSE(CONTROL!$C$32, $C$9, 100%, $E$9)</f>
        <v>5.4749999999999996</v>
      </c>
      <c r="M223" s="81">
        <f>5.4803 * CHOOSE(CONTROL!$C$32, $C$9, 100%, $E$9)</f>
        <v>5.4802999999999997</v>
      </c>
      <c r="N223" s="81">
        <f>5.475 * CHOOSE(CONTROL!$C$32, $C$9, 100%, $E$9)</f>
        <v>5.4749999999999996</v>
      </c>
      <c r="O223" s="81">
        <f>5.4803 * CHOOSE(CONTROL!$C$32, $C$9, 100%, $E$9)</f>
        <v>5.4802999999999997</v>
      </c>
    </row>
    <row r="224" spans="1:15" ht="15" x14ac:dyDescent="0.2">
      <c r="A224" s="16">
        <v>48030</v>
      </c>
      <c r="B224" s="80">
        <f>4.3512 * CHOOSE(CONTROL!$C$32, $C$9, 100%, $E$9)</f>
        <v>4.3512000000000004</v>
      </c>
      <c r="C224" s="80">
        <f>4.3512 * CHOOSE(CONTROL!$C$32, $C$9, 100%, $E$9)</f>
        <v>4.3512000000000004</v>
      </c>
      <c r="D224" s="80">
        <f>4.3528 * CHOOSE(CONTROL!$C$32, $C$9, 100%, $E$9)</f>
        <v>4.3528000000000002</v>
      </c>
      <c r="E224" s="81">
        <f>5.5682 * CHOOSE(CONTROL!$C$32, $C$9, 100%, $E$9)</f>
        <v>5.5682</v>
      </c>
      <c r="F224" s="81">
        <f>5.5682 * CHOOSE(CONTROL!$C$32, $C$9, 100%, $E$9)</f>
        <v>5.5682</v>
      </c>
      <c r="G224" s="81">
        <f>5.5735 * CHOOSE(CONTROL!$C$32, $C$9, 100%, $E$9)</f>
        <v>5.5735000000000001</v>
      </c>
      <c r="H224" s="81">
        <f>9.0056 * CHOOSE(CONTROL!$C$32, $C$9, 100%, $E$9)</f>
        <v>9.0055999999999994</v>
      </c>
      <c r="I224" s="81">
        <f>9.0109 * CHOOSE(CONTROL!$C$32, $C$9, 100%, $E$9)</f>
        <v>9.0108999999999995</v>
      </c>
      <c r="J224" s="81">
        <f>9.0056 * CHOOSE(CONTROL!$C$32, $C$9, 100%, $E$9)</f>
        <v>9.0055999999999994</v>
      </c>
      <c r="K224" s="81">
        <f>9.0109 * CHOOSE(CONTROL!$C$32, $C$9, 100%, $E$9)</f>
        <v>9.0108999999999995</v>
      </c>
      <c r="L224" s="81">
        <f>5.5682 * CHOOSE(CONTROL!$C$32, $C$9, 100%, $E$9)</f>
        <v>5.5682</v>
      </c>
      <c r="M224" s="81">
        <f>5.5735 * CHOOSE(CONTROL!$C$32, $C$9, 100%, $E$9)</f>
        <v>5.5735000000000001</v>
      </c>
      <c r="N224" s="81">
        <f>5.5682 * CHOOSE(CONTROL!$C$32, $C$9, 100%, $E$9)</f>
        <v>5.5682</v>
      </c>
      <c r="O224" s="81">
        <f>5.5735 * CHOOSE(CONTROL!$C$32, $C$9, 100%, $E$9)</f>
        <v>5.5735000000000001</v>
      </c>
    </row>
    <row r="225" spans="1:15" ht="15" x14ac:dyDescent="0.2">
      <c r="A225" s="16">
        <v>48061</v>
      </c>
      <c r="B225" s="80">
        <f>4.3579 * CHOOSE(CONTROL!$C$32, $C$9, 100%, $E$9)</f>
        <v>4.3578999999999999</v>
      </c>
      <c r="C225" s="80">
        <f>4.3579 * CHOOSE(CONTROL!$C$32, $C$9, 100%, $E$9)</f>
        <v>4.3578999999999999</v>
      </c>
      <c r="D225" s="80">
        <f>4.3595 * CHOOSE(CONTROL!$C$32, $C$9, 100%, $E$9)</f>
        <v>4.3594999999999997</v>
      </c>
      <c r="E225" s="81">
        <f>5.5726 * CHOOSE(CONTROL!$C$32, $C$9, 100%, $E$9)</f>
        <v>5.5726000000000004</v>
      </c>
      <c r="F225" s="81">
        <f>5.5726 * CHOOSE(CONTROL!$C$32, $C$9, 100%, $E$9)</f>
        <v>5.5726000000000004</v>
      </c>
      <c r="G225" s="81">
        <f>5.5779 * CHOOSE(CONTROL!$C$32, $C$9, 100%, $E$9)</f>
        <v>5.5778999999999996</v>
      </c>
      <c r="H225" s="81">
        <f>9.0244 * CHOOSE(CONTROL!$C$32, $C$9, 100%, $E$9)</f>
        <v>9.0244</v>
      </c>
      <c r="I225" s="81">
        <f>9.0296 * CHOOSE(CONTROL!$C$32, $C$9, 100%, $E$9)</f>
        <v>9.0296000000000003</v>
      </c>
      <c r="J225" s="81">
        <f>9.0244 * CHOOSE(CONTROL!$C$32, $C$9, 100%, $E$9)</f>
        <v>9.0244</v>
      </c>
      <c r="K225" s="81">
        <f>9.0296 * CHOOSE(CONTROL!$C$32, $C$9, 100%, $E$9)</f>
        <v>9.0296000000000003</v>
      </c>
      <c r="L225" s="81">
        <f>5.5726 * CHOOSE(CONTROL!$C$32, $C$9, 100%, $E$9)</f>
        <v>5.5726000000000004</v>
      </c>
      <c r="M225" s="81">
        <f>5.5779 * CHOOSE(CONTROL!$C$32, $C$9, 100%, $E$9)</f>
        <v>5.5778999999999996</v>
      </c>
      <c r="N225" s="81">
        <f>5.5726 * CHOOSE(CONTROL!$C$32, $C$9, 100%, $E$9)</f>
        <v>5.5726000000000004</v>
      </c>
      <c r="O225" s="81">
        <f>5.5779 * CHOOSE(CONTROL!$C$32, $C$9, 100%, $E$9)</f>
        <v>5.5778999999999996</v>
      </c>
    </row>
    <row r="226" spans="1:15" ht="15" x14ac:dyDescent="0.2">
      <c r="A226" s="16">
        <v>48092</v>
      </c>
      <c r="B226" s="80">
        <f>4.3549 * CHOOSE(CONTROL!$C$32, $C$9, 100%, $E$9)</f>
        <v>4.3548999999999998</v>
      </c>
      <c r="C226" s="80">
        <f>4.3549 * CHOOSE(CONTROL!$C$32, $C$9, 100%, $E$9)</f>
        <v>4.3548999999999998</v>
      </c>
      <c r="D226" s="80">
        <f>4.3565 * CHOOSE(CONTROL!$C$32, $C$9, 100%, $E$9)</f>
        <v>4.3564999999999996</v>
      </c>
      <c r="E226" s="81">
        <f>5.5706 * CHOOSE(CONTROL!$C$32, $C$9, 100%, $E$9)</f>
        <v>5.5705999999999998</v>
      </c>
      <c r="F226" s="81">
        <f>5.5706 * CHOOSE(CONTROL!$C$32, $C$9, 100%, $E$9)</f>
        <v>5.5705999999999998</v>
      </c>
      <c r="G226" s="81">
        <f>5.5759 * CHOOSE(CONTROL!$C$32, $C$9, 100%, $E$9)</f>
        <v>5.5758999999999999</v>
      </c>
      <c r="H226" s="81">
        <f>9.0432 * CHOOSE(CONTROL!$C$32, $C$9, 100%, $E$9)</f>
        <v>9.0432000000000006</v>
      </c>
      <c r="I226" s="81">
        <f>9.0484 * CHOOSE(CONTROL!$C$32, $C$9, 100%, $E$9)</f>
        <v>9.0484000000000009</v>
      </c>
      <c r="J226" s="81">
        <f>9.0432 * CHOOSE(CONTROL!$C$32, $C$9, 100%, $E$9)</f>
        <v>9.0432000000000006</v>
      </c>
      <c r="K226" s="81">
        <f>9.0484 * CHOOSE(CONTROL!$C$32, $C$9, 100%, $E$9)</f>
        <v>9.0484000000000009</v>
      </c>
      <c r="L226" s="81">
        <f>5.5706 * CHOOSE(CONTROL!$C$32, $C$9, 100%, $E$9)</f>
        <v>5.5705999999999998</v>
      </c>
      <c r="M226" s="81">
        <f>5.5759 * CHOOSE(CONTROL!$C$32, $C$9, 100%, $E$9)</f>
        <v>5.5758999999999999</v>
      </c>
      <c r="N226" s="81">
        <f>5.5706 * CHOOSE(CONTROL!$C$32, $C$9, 100%, $E$9)</f>
        <v>5.5705999999999998</v>
      </c>
      <c r="O226" s="81">
        <f>5.5759 * CHOOSE(CONTROL!$C$32, $C$9, 100%, $E$9)</f>
        <v>5.5758999999999999</v>
      </c>
    </row>
    <row r="227" spans="1:15" ht="15" x14ac:dyDescent="0.2">
      <c r="A227" s="16">
        <v>48122</v>
      </c>
      <c r="B227" s="80">
        <f>4.3513 * CHOOSE(CONTROL!$C$32, $C$9, 100%, $E$9)</f>
        <v>4.3513000000000002</v>
      </c>
      <c r="C227" s="80">
        <f>4.3513 * CHOOSE(CONTROL!$C$32, $C$9, 100%, $E$9)</f>
        <v>4.3513000000000002</v>
      </c>
      <c r="D227" s="80">
        <f>4.3523 * CHOOSE(CONTROL!$C$32, $C$9, 100%, $E$9)</f>
        <v>4.3522999999999996</v>
      </c>
      <c r="E227" s="81">
        <f>5.566 * CHOOSE(CONTROL!$C$32, $C$9, 100%, $E$9)</f>
        <v>5.5659999999999998</v>
      </c>
      <c r="F227" s="81">
        <f>5.566 * CHOOSE(CONTROL!$C$32, $C$9, 100%, $E$9)</f>
        <v>5.5659999999999998</v>
      </c>
      <c r="G227" s="81">
        <f>5.5696 * CHOOSE(CONTROL!$C$32, $C$9, 100%, $E$9)</f>
        <v>5.5696000000000003</v>
      </c>
      <c r="H227" s="81">
        <f>9.062 * CHOOSE(CONTROL!$C$32, $C$9, 100%, $E$9)</f>
        <v>9.0619999999999994</v>
      </c>
      <c r="I227" s="81">
        <f>9.0656 * CHOOSE(CONTROL!$C$32, $C$9, 100%, $E$9)</f>
        <v>9.0655999999999999</v>
      </c>
      <c r="J227" s="81">
        <f>9.062 * CHOOSE(CONTROL!$C$32, $C$9, 100%, $E$9)</f>
        <v>9.0619999999999994</v>
      </c>
      <c r="K227" s="81">
        <f>9.0656 * CHOOSE(CONTROL!$C$32, $C$9, 100%, $E$9)</f>
        <v>9.0655999999999999</v>
      </c>
      <c r="L227" s="81">
        <f>5.566 * CHOOSE(CONTROL!$C$32, $C$9, 100%, $E$9)</f>
        <v>5.5659999999999998</v>
      </c>
      <c r="M227" s="81">
        <f>5.5696 * CHOOSE(CONTROL!$C$32, $C$9, 100%, $E$9)</f>
        <v>5.5696000000000003</v>
      </c>
      <c r="N227" s="81">
        <f>5.566 * CHOOSE(CONTROL!$C$32, $C$9, 100%, $E$9)</f>
        <v>5.5659999999999998</v>
      </c>
      <c r="O227" s="81">
        <f>5.5696 * CHOOSE(CONTROL!$C$32, $C$9, 100%, $E$9)</f>
        <v>5.5696000000000003</v>
      </c>
    </row>
    <row r="228" spans="1:15" ht="15" x14ac:dyDescent="0.2">
      <c r="A228" s="16">
        <v>48153</v>
      </c>
      <c r="B228" s="80">
        <f>4.3543 * CHOOSE(CONTROL!$C$32, $C$9, 100%, $E$9)</f>
        <v>4.3543000000000003</v>
      </c>
      <c r="C228" s="80">
        <f>4.3543 * CHOOSE(CONTROL!$C$32, $C$9, 100%, $E$9)</f>
        <v>4.3543000000000003</v>
      </c>
      <c r="D228" s="80">
        <f>4.3554 * CHOOSE(CONTROL!$C$32, $C$9, 100%, $E$9)</f>
        <v>4.3554000000000004</v>
      </c>
      <c r="E228" s="81">
        <f>5.568 * CHOOSE(CONTROL!$C$32, $C$9, 100%, $E$9)</f>
        <v>5.5679999999999996</v>
      </c>
      <c r="F228" s="81">
        <f>5.568 * CHOOSE(CONTROL!$C$32, $C$9, 100%, $E$9)</f>
        <v>5.5679999999999996</v>
      </c>
      <c r="G228" s="81">
        <f>5.5716 * CHOOSE(CONTROL!$C$32, $C$9, 100%, $E$9)</f>
        <v>5.5716000000000001</v>
      </c>
      <c r="H228" s="81">
        <f>9.0809 * CHOOSE(CONTROL!$C$32, $C$9, 100%, $E$9)</f>
        <v>9.0808999999999997</v>
      </c>
      <c r="I228" s="81">
        <f>9.0845 * CHOOSE(CONTROL!$C$32, $C$9, 100%, $E$9)</f>
        <v>9.0845000000000002</v>
      </c>
      <c r="J228" s="81">
        <f>9.0809 * CHOOSE(CONTROL!$C$32, $C$9, 100%, $E$9)</f>
        <v>9.0808999999999997</v>
      </c>
      <c r="K228" s="81">
        <f>9.0845 * CHOOSE(CONTROL!$C$32, $C$9, 100%, $E$9)</f>
        <v>9.0845000000000002</v>
      </c>
      <c r="L228" s="81">
        <f>5.568 * CHOOSE(CONTROL!$C$32, $C$9, 100%, $E$9)</f>
        <v>5.5679999999999996</v>
      </c>
      <c r="M228" s="81">
        <f>5.5716 * CHOOSE(CONTROL!$C$32, $C$9, 100%, $E$9)</f>
        <v>5.5716000000000001</v>
      </c>
      <c r="N228" s="81">
        <f>5.568 * CHOOSE(CONTROL!$C$32, $C$9, 100%, $E$9)</f>
        <v>5.5679999999999996</v>
      </c>
      <c r="O228" s="81">
        <f>5.5716 * CHOOSE(CONTROL!$C$32, $C$9, 100%, $E$9)</f>
        <v>5.5716000000000001</v>
      </c>
    </row>
    <row r="229" spans="1:15" ht="15" x14ac:dyDescent="0.2">
      <c r="A229" s="16">
        <v>48183</v>
      </c>
      <c r="B229" s="80">
        <f>4.3543 * CHOOSE(CONTROL!$C$32, $C$9, 100%, $E$9)</f>
        <v>4.3543000000000003</v>
      </c>
      <c r="C229" s="80">
        <f>4.3543 * CHOOSE(CONTROL!$C$32, $C$9, 100%, $E$9)</f>
        <v>4.3543000000000003</v>
      </c>
      <c r="D229" s="80">
        <f>4.3554 * CHOOSE(CONTROL!$C$32, $C$9, 100%, $E$9)</f>
        <v>4.3554000000000004</v>
      </c>
      <c r="E229" s="81">
        <f>5.568 * CHOOSE(CONTROL!$C$32, $C$9, 100%, $E$9)</f>
        <v>5.5679999999999996</v>
      </c>
      <c r="F229" s="81">
        <f>5.568 * CHOOSE(CONTROL!$C$32, $C$9, 100%, $E$9)</f>
        <v>5.5679999999999996</v>
      </c>
      <c r="G229" s="81">
        <f>5.5716 * CHOOSE(CONTROL!$C$32, $C$9, 100%, $E$9)</f>
        <v>5.5716000000000001</v>
      </c>
      <c r="H229" s="81">
        <f>9.0998 * CHOOSE(CONTROL!$C$32, $C$9, 100%, $E$9)</f>
        <v>9.0998000000000001</v>
      </c>
      <c r="I229" s="81">
        <f>9.1034 * CHOOSE(CONTROL!$C$32, $C$9, 100%, $E$9)</f>
        <v>9.1034000000000006</v>
      </c>
      <c r="J229" s="81">
        <f>9.0998 * CHOOSE(CONTROL!$C$32, $C$9, 100%, $E$9)</f>
        <v>9.0998000000000001</v>
      </c>
      <c r="K229" s="81">
        <f>9.1034 * CHOOSE(CONTROL!$C$32, $C$9, 100%, $E$9)</f>
        <v>9.1034000000000006</v>
      </c>
      <c r="L229" s="81">
        <f>5.568 * CHOOSE(CONTROL!$C$32, $C$9, 100%, $E$9)</f>
        <v>5.5679999999999996</v>
      </c>
      <c r="M229" s="81">
        <f>5.5716 * CHOOSE(CONTROL!$C$32, $C$9, 100%, $E$9)</f>
        <v>5.5716000000000001</v>
      </c>
      <c r="N229" s="81">
        <f>5.568 * CHOOSE(CONTROL!$C$32, $C$9, 100%, $E$9)</f>
        <v>5.5679999999999996</v>
      </c>
      <c r="O229" s="81">
        <f>5.5716 * CHOOSE(CONTROL!$C$32, $C$9, 100%, $E$9)</f>
        <v>5.5716000000000001</v>
      </c>
    </row>
    <row r="230" spans="1:15" ht="15" x14ac:dyDescent="0.2">
      <c r="A230" s="16">
        <v>48214</v>
      </c>
      <c r="B230" s="80">
        <f>4.3913 * CHOOSE(CONTROL!$C$32, $C$9, 100%, $E$9)</f>
        <v>4.3913000000000002</v>
      </c>
      <c r="C230" s="80">
        <f>4.3913 * CHOOSE(CONTROL!$C$32, $C$9, 100%, $E$9)</f>
        <v>4.3913000000000002</v>
      </c>
      <c r="D230" s="80">
        <f>4.3923 * CHOOSE(CONTROL!$C$32, $C$9, 100%, $E$9)</f>
        <v>4.3922999999999996</v>
      </c>
      <c r="E230" s="81">
        <f>5.6146 * CHOOSE(CONTROL!$C$32, $C$9, 100%, $E$9)</f>
        <v>5.6146000000000003</v>
      </c>
      <c r="F230" s="81">
        <f>5.6146 * CHOOSE(CONTROL!$C$32, $C$9, 100%, $E$9)</f>
        <v>5.6146000000000003</v>
      </c>
      <c r="G230" s="81">
        <f>5.6182 * CHOOSE(CONTROL!$C$32, $C$9, 100%, $E$9)</f>
        <v>5.6181999999999999</v>
      </c>
      <c r="H230" s="81">
        <f>9.1187 * CHOOSE(CONTROL!$C$32, $C$9, 100%, $E$9)</f>
        <v>9.1187000000000005</v>
      </c>
      <c r="I230" s="81">
        <f>9.1224 * CHOOSE(CONTROL!$C$32, $C$9, 100%, $E$9)</f>
        <v>9.1224000000000007</v>
      </c>
      <c r="J230" s="81">
        <f>9.1187 * CHOOSE(CONTROL!$C$32, $C$9, 100%, $E$9)</f>
        <v>9.1187000000000005</v>
      </c>
      <c r="K230" s="81">
        <f>9.1224 * CHOOSE(CONTROL!$C$32, $C$9, 100%, $E$9)</f>
        <v>9.1224000000000007</v>
      </c>
      <c r="L230" s="81">
        <f>5.6146 * CHOOSE(CONTROL!$C$32, $C$9, 100%, $E$9)</f>
        <v>5.6146000000000003</v>
      </c>
      <c r="M230" s="81">
        <f>5.6182 * CHOOSE(CONTROL!$C$32, $C$9, 100%, $E$9)</f>
        <v>5.6181999999999999</v>
      </c>
      <c r="N230" s="81">
        <f>5.6146 * CHOOSE(CONTROL!$C$32, $C$9, 100%, $E$9)</f>
        <v>5.6146000000000003</v>
      </c>
      <c r="O230" s="81">
        <f>5.6182 * CHOOSE(CONTROL!$C$32, $C$9, 100%, $E$9)</f>
        <v>5.6181999999999999</v>
      </c>
    </row>
    <row r="231" spans="1:15" ht="15" x14ac:dyDescent="0.2">
      <c r="A231" s="16">
        <v>48245</v>
      </c>
      <c r="B231" s="80">
        <f>4.3882 * CHOOSE(CONTROL!$C$32, $C$9, 100%, $E$9)</f>
        <v>4.3882000000000003</v>
      </c>
      <c r="C231" s="80">
        <f>4.3882 * CHOOSE(CONTROL!$C$32, $C$9, 100%, $E$9)</f>
        <v>4.3882000000000003</v>
      </c>
      <c r="D231" s="80">
        <f>4.3893 * CHOOSE(CONTROL!$C$32, $C$9, 100%, $E$9)</f>
        <v>4.3893000000000004</v>
      </c>
      <c r="E231" s="81">
        <f>5.6126 * CHOOSE(CONTROL!$C$32, $C$9, 100%, $E$9)</f>
        <v>5.6125999999999996</v>
      </c>
      <c r="F231" s="81">
        <f>5.6126 * CHOOSE(CONTROL!$C$32, $C$9, 100%, $E$9)</f>
        <v>5.6125999999999996</v>
      </c>
      <c r="G231" s="81">
        <f>5.6162 * CHOOSE(CONTROL!$C$32, $C$9, 100%, $E$9)</f>
        <v>5.6162000000000001</v>
      </c>
      <c r="H231" s="81">
        <f>9.1377 * CHOOSE(CONTROL!$C$32, $C$9, 100%, $E$9)</f>
        <v>9.1377000000000006</v>
      </c>
      <c r="I231" s="81">
        <f>9.1414 * CHOOSE(CONTROL!$C$32, $C$9, 100%, $E$9)</f>
        <v>9.1414000000000009</v>
      </c>
      <c r="J231" s="81">
        <f>9.1377 * CHOOSE(CONTROL!$C$32, $C$9, 100%, $E$9)</f>
        <v>9.1377000000000006</v>
      </c>
      <c r="K231" s="81">
        <f>9.1414 * CHOOSE(CONTROL!$C$32, $C$9, 100%, $E$9)</f>
        <v>9.1414000000000009</v>
      </c>
      <c r="L231" s="81">
        <f>5.6126 * CHOOSE(CONTROL!$C$32, $C$9, 100%, $E$9)</f>
        <v>5.6125999999999996</v>
      </c>
      <c r="M231" s="81">
        <f>5.6162 * CHOOSE(CONTROL!$C$32, $C$9, 100%, $E$9)</f>
        <v>5.6162000000000001</v>
      </c>
      <c r="N231" s="81">
        <f>5.6126 * CHOOSE(CONTROL!$C$32, $C$9, 100%, $E$9)</f>
        <v>5.6125999999999996</v>
      </c>
      <c r="O231" s="81">
        <f>5.6162 * CHOOSE(CONTROL!$C$32, $C$9, 100%, $E$9)</f>
        <v>5.6162000000000001</v>
      </c>
    </row>
    <row r="232" spans="1:15" ht="15" x14ac:dyDescent="0.2">
      <c r="A232" s="16">
        <v>48274</v>
      </c>
      <c r="B232" s="80">
        <f>4.3852 * CHOOSE(CONTROL!$C$32, $C$9, 100%, $E$9)</f>
        <v>4.3852000000000002</v>
      </c>
      <c r="C232" s="80">
        <f>4.3852 * CHOOSE(CONTROL!$C$32, $C$9, 100%, $E$9)</f>
        <v>4.3852000000000002</v>
      </c>
      <c r="D232" s="80">
        <f>4.3862 * CHOOSE(CONTROL!$C$32, $C$9, 100%, $E$9)</f>
        <v>4.3861999999999997</v>
      </c>
      <c r="E232" s="81">
        <f>5.6106 * CHOOSE(CONTROL!$C$32, $C$9, 100%, $E$9)</f>
        <v>5.6105999999999998</v>
      </c>
      <c r="F232" s="81">
        <f>5.6106 * CHOOSE(CONTROL!$C$32, $C$9, 100%, $E$9)</f>
        <v>5.6105999999999998</v>
      </c>
      <c r="G232" s="81">
        <f>5.6142 * CHOOSE(CONTROL!$C$32, $C$9, 100%, $E$9)</f>
        <v>5.6142000000000003</v>
      </c>
      <c r="H232" s="81">
        <f>9.1568 * CHOOSE(CONTROL!$C$32, $C$9, 100%, $E$9)</f>
        <v>9.1568000000000005</v>
      </c>
      <c r="I232" s="81">
        <f>9.1604 * CHOOSE(CONTROL!$C$32, $C$9, 100%, $E$9)</f>
        <v>9.1603999999999992</v>
      </c>
      <c r="J232" s="81">
        <f>9.1568 * CHOOSE(CONTROL!$C$32, $C$9, 100%, $E$9)</f>
        <v>9.1568000000000005</v>
      </c>
      <c r="K232" s="81">
        <f>9.1604 * CHOOSE(CONTROL!$C$32, $C$9, 100%, $E$9)</f>
        <v>9.1603999999999992</v>
      </c>
      <c r="L232" s="81">
        <f>5.6106 * CHOOSE(CONTROL!$C$32, $C$9, 100%, $E$9)</f>
        <v>5.6105999999999998</v>
      </c>
      <c r="M232" s="81">
        <f>5.6142 * CHOOSE(CONTROL!$C$32, $C$9, 100%, $E$9)</f>
        <v>5.6142000000000003</v>
      </c>
      <c r="N232" s="81">
        <f>5.6106 * CHOOSE(CONTROL!$C$32, $C$9, 100%, $E$9)</f>
        <v>5.6105999999999998</v>
      </c>
      <c r="O232" s="81">
        <f>5.6142 * CHOOSE(CONTROL!$C$32, $C$9, 100%, $E$9)</f>
        <v>5.6142000000000003</v>
      </c>
    </row>
    <row r="233" spans="1:15" ht="15" x14ac:dyDescent="0.2">
      <c r="A233" s="16">
        <v>48305</v>
      </c>
      <c r="B233" s="80">
        <f>4.3832 * CHOOSE(CONTROL!$C$32, $C$9, 100%, $E$9)</f>
        <v>4.3832000000000004</v>
      </c>
      <c r="C233" s="80">
        <f>4.3832 * CHOOSE(CONTROL!$C$32, $C$9, 100%, $E$9)</f>
        <v>4.3832000000000004</v>
      </c>
      <c r="D233" s="80">
        <f>4.3843 * CHOOSE(CONTROL!$C$32, $C$9, 100%, $E$9)</f>
        <v>4.3842999999999996</v>
      </c>
      <c r="E233" s="81">
        <f>5.6087 * CHOOSE(CONTROL!$C$32, $C$9, 100%, $E$9)</f>
        <v>5.6086999999999998</v>
      </c>
      <c r="F233" s="81">
        <f>5.6087 * CHOOSE(CONTROL!$C$32, $C$9, 100%, $E$9)</f>
        <v>5.6086999999999998</v>
      </c>
      <c r="G233" s="81">
        <f>5.6123 * CHOOSE(CONTROL!$C$32, $C$9, 100%, $E$9)</f>
        <v>5.6123000000000003</v>
      </c>
      <c r="H233" s="81">
        <f>9.1759 * CHOOSE(CONTROL!$C$32, $C$9, 100%, $E$9)</f>
        <v>9.1759000000000004</v>
      </c>
      <c r="I233" s="81">
        <f>9.1795 * CHOOSE(CONTROL!$C$32, $C$9, 100%, $E$9)</f>
        <v>9.1795000000000009</v>
      </c>
      <c r="J233" s="81">
        <f>9.1759 * CHOOSE(CONTROL!$C$32, $C$9, 100%, $E$9)</f>
        <v>9.1759000000000004</v>
      </c>
      <c r="K233" s="81">
        <f>9.1795 * CHOOSE(CONTROL!$C$32, $C$9, 100%, $E$9)</f>
        <v>9.1795000000000009</v>
      </c>
      <c r="L233" s="81">
        <f>5.6087 * CHOOSE(CONTROL!$C$32, $C$9, 100%, $E$9)</f>
        <v>5.6086999999999998</v>
      </c>
      <c r="M233" s="81">
        <f>5.6123 * CHOOSE(CONTROL!$C$32, $C$9, 100%, $E$9)</f>
        <v>5.6123000000000003</v>
      </c>
      <c r="N233" s="81">
        <f>5.6087 * CHOOSE(CONTROL!$C$32, $C$9, 100%, $E$9)</f>
        <v>5.6086999999999998</v>
      </c>
      <c r="O233" s="81">
        <f>5.6123 * CHOOSE(CONTROL!$C$32, $C$9, 100%, $E$9)</f>
        <v>5.6123000000000003</v>
      </c>
    </row>
    <row r="234" spans="1:15" ht="15" x14ac:dyDescent="0.2">
      <c r="A234" s="16">
        <v>48335</v>
      </c>
      <c r="B234" s="80">
        <f>4.3832 * CHOOSE(CONTROL!$C$32, $C$9, 100%, $E$9)</f>
        <v>4.3832000000000004</v>
      </c>
      <c r="C234" s="80">
        <f>4.3832 * CHOOSE(CONTROL!$C$32, $C$9, 100%, $E$9)</f>
        <v>4.3832000000000004</v>
      </c>
      <c r="D234" s="80">
        <f>4.3848 * CHOOSE(CONTROL!$C$32, $C$9, 100%, $E$9)</f>
        <v>4.3848000000000003</v>
      </c>
      <c r="E234" s="81">
        <f>5.6087 * CHOOSE(CONTROL!$C$32, $C$9, 100%, $E$9)</f>
        <v>5.6086999999999998</v>
      </c>
      <c r="F234" s="81">
        <f>5.6087 * CHOOSE(CONTROL!$C$32, $C$9, 100%, $E$9)</f>
        <v>5.6086999999999998</v>
      </c>
      <c r="G234" s="81">
        <f>5.614 * CHOOSE(CONTROL!$C$32, $C$9, 100%, $E$9)</f>
        <v>5.6139999999999999</v>
      </c>
      <c r="H234" s="81">
        <f>9.195 * CHOOSE(CONTROL!$C$32, $C$9, 100%, $E$9)</f>
        <v>9.1950000000000003</v>
      </c>
      <c r="I234" s="81">
        <f>9.2003 * CHOOSE(CONTROL!$C$32, $C$9, 100%, $E$9)</f>
        <v>9.2003000000000004</v>
      </c>
      <c r="J234" s="81">
        <f>9.195 * CHOOSE(CONTROL!$C$32, $C$9, 100%, $E$9)</f>
        <v>9.1950000000000003</v>
      </c>
      <c r="K234" s="81">
        <f>9.2003 * CHOOSE(CONTROL!$C$32, $C$9, 100%, $E$9)</f>
        <v>9.2003000000000004</v>
      </c>
      <c r="L234" s="81">
        <f>5.6087 * CHOOSE(CONTROL!$C$32, $C$9, 100%, $E$9)</f>
        <v>5.6086999999999998</v>
      </c>
      <c r="M234" s="81">
        <f>5.614 * CHOOSE(CONTROL!$C$32, $C$9, 100%, $E$9)</f>
        <v>5.6139999999999999</v>
      </c>
      <c r="N234" s="81">
        <f>5.6087 * CHOOSE(CONTROL!$C$32, $C$9, 100%, $E$9)</f>
        <v>5.6086999999999998</v>
      </c>
      <c r="O234" s="81">
        <f>5.614 * CHOOSE(CONTROL!$C$32, $C$9, 100%, $E$9)</f>
        <v>5.6139999999999999</v>
      </c>
    </row>
    <row r="235" spans="1:15" ht="15" x14ac:dyDescent="0.2">
      <c r="A235" s="16">
        <v>48366</v>
      </c>
      <c r="B235" s="80">
        <f>4.3893 * CHOOSE(CONTROL!$C$32, $C$9, 100%, $E$9)</f>
        <v>4.3893000000000004</v>
      </c>
      <c r="C235" s="80">
        <f>4.3893 * CHOOSE(CONTROL!$C$32, $C$9, 100%, $E$9)</f>
        <v>4.3893000000000004</v>
      </c>
      <c r="D235" s="80">
        <f>4.3909 * CHOOSE(CONTROL!$C$32, $C$9, 100%, $E$9)</f>
        <v>4.3909000000000002</v>
      </c>
      <c r="E235" s="81">
        <f>5.6127 * CHOOSE(CONTROL!$C$32, $C$9, 100%, $E$9)</f>
        <v>5.6127000000000002</v>
      </c>
      <c r="F235" s="81">
        <f>5.6127 * CHOOSE(CONTROL!$C$32, $C$9, 100%, $E$9)</f>
        <v>5.6127000000000002</v>
      </c>
      <c r="G235" s="81">
        <f>5.618 * CHOOSE(CONTROL!$C$32, $C$9, 100%, $E$9)</f>
        <v>5.6180000000000003</v>
      </c>
      <c r="H235" s="81">
        <f>9.2141 * CHOOSE(CONTROL!$C$32, $C$9, 100%, $E$9)</f>
        <v>9.2141000000000002</v>
      </c>
      <c r="I235" s="81">
        <f>9.2194 * CHOOSE(CONTROL!$C$32, $C$9, 100%, $E$9)</f>
        <v>9.2194000000000003</v>
      </c>
      <c r="J235" s="81">
        <f>9.2141 * CHOOSE(CONTROL!$C$32, $C$9, 100%, $E$9)</f>
        <v>9.2141000000000002</v>
      </c>
      <c r="K235" s="81">
        <f>9.2194 * CHOOSE(CONTROL!$C$32, $C$9, 100%, $E$9)</f>
        <v>9.2194000000000003</v>
      </c>
      <c r="L235" s="81">
        <f>5.6127 * CHOOSE(CONTROL!$C$32, $C$9, 100%, $E$9)</f>
        <v>5.6127000000000002</v>
      </c>
      <c r="M235" s="81">
        <f>5.618 * CHOOSE(CONTROL!$C$32, $C$9, 100%, $E$9)</f>
        <v>5.6180000000000003</v>
      </c>
      <c r="N235" s="81">
        <f>5.6127 * CHOOSE(CONTROL!$C$32, $C$9, 100%, $E$9)</f>
        <v>5.6127000000000002</v>
      </c>
      <c r="O235" s="81">
        <f>5.618 * CHOOSE(CONTROL!$C$32, $C$9, 100%, $E$9)</f>
        <v>5.6180000000000003</v>
      </c>
    </row>
    <row r="236" spans="1:15" ht="15" x14ac:dyDescent="0.2">
      <c r="A236" s="16">
        <v>48396</v>
      </c>
      <c r="B236" s="80">
        <f>4.4571 * CHOOSE(CONTROL!$C$32, $C$9, 100%, $E$9)</f>
        <v>4.4570999999999996</v>
      </c>
      <c r="C236" s="80">
        <f>4.4571 * CHOOSE(CONTROL!$C$32, $C$9, 100%, $E$9)</f>
        <v>4.4570999999999996</v>
      </c>
      <c r="D236" s="80">
        <f>4.4586 * CHOOSE(CONTROL!$C$32, $C$9, 100%, $E$9)</f>
        <v>4.4585999999999997</v>
      </c>
      <c r="E236" s="81">
        <f>5.7152 * CHOOSE(CONTROL!$C$32, $C$9, 100%, $E$9)</f>
        <v>5.7152000000000003</v>
      </c>
      <c r="F236" s="81">
        <f>5.7152 * CHOOSE(CONTROL!$C$32, $C$9, 100%, $E$9)</f>
        <v>5.7152000000000003</v>
      </c>
      <c r="G236" s="81">
        <f>5.7205 * CHOOSE(CONTROL!$C$32, $C$9, 100%, $E$9)</f>
        <v>5.7205000000000004</v>
      </c>
      <c r="H236" s="81">
        <f>9.2333 * CHOOSE(CONTROL!$C$32, $C$9, 100%, $E$9)</f>
        <v>9.2332999999999998</v>
      </c>
      <c r="I236" s="81">
        <f>9.2386 * CHOOSE(CONTROL!$C$32, $C$9, 100%, $E$9)</f>
        <v>9.2385999999999999</v>
      </c>
      <c r="J236" s="81">
        <f>9.2333 * CHOOSE(CONTROL!$C$32, $C$9, 100%, $E$9)</f>
        <v>9.2332999999999998</v>
      </c>
      <c r="K236" s="81">
        <f>9.2386 * CHOOSE(CONTROL!$C$32, $C$9, 100%, $E$9)</f>
        <v>9.2385999999999999</v>
      </c>
      <c r="L236" s="81">
        <f>5.7152 * CHOOSE(CONTROL!$C$32, $C$9, 100%, $E$9)</f>
        <v>5.7152000000000003</v>
      </c>
      <c r="M236" s="81">
        <f>5.7205 * CHOOSE(CONTROL!$C$32, $C$9, 100%, $E$9)</f>
        <v>5.7205000000000004</v>
      </c>
      <c r="N236" s="81">
        <f>5.7152 * CHOOSE(CONTROL!$C$32, $C$9, 100%, $E$9)</f>
        <v>5.7152000000000003</v>
      </c>
      <c r="O236" s="81">
        <f>5.7205 * CHOOSE(CONTROL!$C$32, $C$9, 100%, $E$9)</f>
        <v>5.7205000000000004</v>
      </c>
    </row>
    <row r="237" spans="1:15" ht="15" x14ac:dyDescent="0.2">
      <c r="A237" s="16">
        <v>48427</v>
      </c>
      <c r="B237" s="80">
        <f>4.4637 * CHOOSE(CONTROL!$C$32, $C$9, 100%, $E$9)</f>
        <v>4.4637000000000002</v>
      </c>
      <c r="C237" s="80">
        <f>4.4637 * CHOOSE(CONTROL!$C$32, $C$9, 100%, $E$9)</f>
        <v>4.4637000000000002</v>
      </c>
      <c r="D237" s="80">
        <f>4.4653 * CHOOSE(CONTROL!$C$32, $C$9, 100%, $E$9)</f>
        <v>4.4653</v>
      </c>
      <c r="E237" s="81">
        <f>5.7196 * CHOOSE(CONTROL!$C$32, $C$9, 100%, $E$9)</f>
        <v>5.7195999999999998</v>
      </c>
      <c r="F237" s="81">
        <f>5.7196 * CHOOSE(CONTROL!$C$32, $C$9, 100%, $E$9)</f>
        <v>5.7195999999999998</v>
      </c>
      <c r="G237" s="81">
        <f>5.7249 * CHOOSE(CONTROL!$C$32, $C$9, 100%, $E$9)</f>
        <v>5.7248999999999999</v>
      </c>
      <c r="H237" s="81">
        <f>9.2526 * CHOOSE(CONTROL!$C$32, $C$9, 100%, $E$9)</f>
        <v>9.2525999999999993</v>
      </c>
      <c r="I237" s="81">
        <f>9.2579 * CHOOSE(CONTROL!$C$32, $C$9, 100%, $E$9)</f>
        <v>9.2578999999999994</v>
      </c>
      <c r="J237" s="81">
        <f>9.2526 * CHOOSE(CONTROL!$C$32, $C$9, 100%, $E$9)</f>
        <v>9.2525999999999993</v>
      </c>
      <c r="K237" s="81">
        <f>9.2579 * CHOOSE(CONTROL!$C$32, $C$9, 100%, $E$9)</f>
        <v>9.2578999999999994</v>
      </c>
      <c r="L237" s="81">
        <f>5.7196 * CHOOSE(CONTROL!$C$32, $C$9, 100%, $E$9)</f>
        <v>5.7195999999999998</v>
      </c>
      <c r="M237" s="81">
        <f>5.7249 * CHOOSE(CONTROL!$C$32, $C$9, 100%, $E$9)</f>
        <v>5.7248999999999999</v>
      </c>
      <c r="N237" s="81">
        <f>5.7196 * CHOOSE(CONTROL!$C$32, $C$9, 100%, $E$9)</f>
        <v>5.7195999999999998</v>
      </c>
      <c r="O237" s="81">
        <f>5.7249 * CHOOSE(CONTROL!$C$32, $C$9, 100%, $E$9)</f>
        <v>5.7248999999999999</v>
      </c>
    </row>
    <row r="238" spans="1:15" ht="15" x14ac:dyDescent="0.2">
      <c r="A238" s="16">
        <v>48458</v>
      </c>
      <c r="B238" s="80">
        <f>4.4607 * CHOOSE(CONTROL!$C$32, $C$9, 100%, $E$9)</f>
        <v>4.4607000000000001</v>
      </c>
      <c r="C238" s="80">
        <f>4.4607 * CHOOSE(CONTROL!$C$32, $C$9, 100%, $E$9)</f>
        <v>4.4607000000000001</v>
      </c>
      <c r="D238" s="80">
        <f>4.4623 * CHOOSE(CONTROL!$C$32, $C$9, 100%, $E$9)</f>
        <v>4.4622999999999999</v>
      </c>
      <c r="E238" s="81">
        <f>5.7176 * CHOOSE(CONTROL!$C$32, $C$9, 100%, $E$9)</f>
        <v>5.7176</v>
      </c>
      <c r="F238" s="81">
        <f>5.7176 * CHOOSE(CONTROL!$C$32, $C$9, 100%, $E$9)</f>
        <v>5.7176</v>
      </c>
      <c r="G238" s="81">
        <f>5.7229 * CHOOSE(CONTROL!$C$32, $C$9, 100%, $E$9)</f>
        <v>5.7229000000000001</v>
      </c>
      <c r="H238" s="81">
        <f>9.2718 * CHOOSE(CONTROL!$C$32, $C$9, 100%, $E$9)</f>
        <v>9.2718000000000007</v>
      </c>
      <c r="I238" s="81">
        <f>9.2771 * CHOOSE(CONTROL!$C$32, $C$9, 100%, $E$9)</f>
        <v>9.2771000000000008</v>
      </c>
      <c r="J238" s="81">
        <f>9.2718 * CHOOSE(CONTROL!$C$32, $C$9, 100%, $E$9)</f>
        <v>9.2718000000000007</v>
      </c>
      <c r="K238" s="81">
        <f>9.2771 * CHOOSE(CONTROL!$C$32, $C$9, 100%, $E$9)</f>
        <v>9.2771000000000008</v>
      </c>
      <c r="L238" s="81">
        <f>5.7176 * CHOOSE(CONTROL!$C$32, $C$9, 100%, $E$9)</f>
        <v>5.7176</v>
      </c>
      <c r="M238" s="81">
        <f>5.7229 * CHOOSE(CONTROL!$C$32, $C$9, 100%, $E$9)</f>
        <v>5.7229000000000001</v>
      </c>
      <c r="N238" s="81">
        <f>5.7176 * CHOOSE(CONTROL!$C$32, $C$9, 100%, $E$9)</f>
        <v>5.7176</v>
      </c>
      <c r="O238" s="81">
        <f>5.7229 * CHOOSE(CONTROL!$C$32, $C$9, 100%, $E$9)</f>
        <v>5.7229000000000001</v>
      </c>
    </row>
    <row r="239" spans="1:15" ht="15" x14ac:dyDescent="0.2">
      <c r="A239" s="16">
        <v>48488</v>
      </c>
      <c r="B239" s="80">
        <f>4.4575 * CHOOSE(CONTROL!$C$32, $C$9, 100%, $E$9)</f>
        <v>4.4574999999999996</v>
      </c>
      <c r="C239" s="80">
        <f>4.4575 * CHOOSE(CONTROL!$C$32, $C$9, 100%, $E$9)</f>
        <v>4.4574999999999996</v>
      </c>
      <c r="D239" s="80">
        <f>4.4586 * CHOOSE(CONTROL!$C$32, $C$9, 100%, $E$9)</f>
        <v>4.4585999999999997</v>
      </c>
      <c r="E239" s="81">
        <f>5.7132 * CHOOSE(CONTROL!$C$32, $C$9, 100%, $E$9)</f>
        <v>5.7131999999999996</v>
      </c>
      <c r="F239" s="81">
        <f>5.7132 * CHOOSE(CONTROL!$C$32, $C$9, 100%, $E$9)</f>
        <v>5.7131999999999996</v>
      </c>
      <c r="G239" s="81">
        <f>5.7168 * CHOOSE(CONTROL!$C$32, $C$9, 100%, $E$9)</f>
        <v>5.7168000000000001</v>
      </c>
      <c r="H239" s="81">
        <f>9.2912 * CHOOSE(CONTROL!$C$32, $C$9, 100%, $E$9)</f>
        <v>9.2911999999999999</v>
      </c>
      <c r="I239" s="81">
        <f>9.2948 * CHOOSE(CONTROL!$C$32, $C$9, 100%, $E$9)</f>
        <v>9.2948000000000004</v>
      </c>
      <c r="J239" s="81">
        <f>9.2912 * CHOOSE(CONTROL!$C$32, $C$9, 100%, $E$9)</f>
        <v>9.2911999999999999</v>
      </c>
      <c r="K239" s="81">
        <f>9.2948 * CHOOSE(CONTROL!$C$32, $C$9, 100%, $E$9)</f>
        <v>9.2948000000000004</v>
      </c>
      <c r="L239" s="81">
        <f>5.7132 * CHOOSE(CONTROL!$C$32, $C$9, 100%, $E$9)</f>
        <v>5.7131999999999996</v>
      </c>
      <c r="M239" s="81">
        <f>5.7168 * CHOOSE(CONTROL!$C$32, $C$9, 100%, $E$9)</f>
        <v>5.7168000000000001</v>
      </c>
      <c r="N239" s="81">
        <f>5.7132 * CHOOSE(CONTROL!$C$32, $C$9, 100%, $E$9)</f>
        <v>5.7131999999999996</v>
      </c>
      <c r="O239" s="81">
        <f>5.7168 * CHOOSE(CONTROL!$C$32, $C$9, 100%, $E$9)</f>
        <v>5.7168000000000001</v>
      </c>
    </row>
    <row r="240" spans="1:15" ht="15" x14ac:dyDescent="0.2">
      <c r="A240" s="16">
        <v>48519</v>
      </c>
      <c r="B240" s="80">
        <f>4.4605 * CHOOSE(CONTROL!$C$32, $C$9, 100%, $E$9)</f>
        <v>4.4604999999999997</v>
      </c>
      <c r="C240" s="80">
        <f>4.4605 * CHOOSE(CONTROL!$C$32, $C$9, 100%, $E$9)</f>
        <v>4.4604999999999997</v>
      </c>
      <c r="D240" s="80">
        <f>4.4616 * CHOOSE(CONTROL!$C$32, $C$9, 100%, $E$9)</f>
        <v>4.4615999999999998</v>
      </c>
      <c r="E240" s="81">
        <f>5.7152 * CHOOSE(CONTROL!$C$32, $C$9, 100%, $E$9)</f>
        <v>5.7152000000000003</v>
      </c>
      <c r="F240" s="81">
        <f>5.7152 * CHOOSE(CONTROL!$C$32, $C$9, 100%, $E$9)</f>
        <v>5.7152000000000003</v>
      </c>
      <c r="G240" s="81">
        <f>5.7188 * CHOOSE(CONTROL!$C$32, $C$9, 100%, $E$9)</f>
        <v>5.7187999999999999</v>
      </c>
      <c r="H240" s="81">
        <f>9.3105 * CHOOSE(CONTROL!$C$32, $C$9, 100%, $E$9)</f>
        <v>9.3104999999999993</v>
      </c>
      <c r="I240" s="81">
        <f>9.3141 * CHOOSE(CONTROL!$C$32, $C$9, 100%, $E$9)</f>
        <v>9.3140999999999998</v>
      </c>
      <c r="J240" s="81">
        <f>9.3105 * CHOOSE(CONTROL!$C$32, $C$9, 100%, $E$9)</f>
        <v>9.3104999999999993</v>
      </c>
      <c r="K240" s="81">
        <f>9.3141 * CHOOSE(CONTROL!$C$32, $C$9, 100%, $E$9)</f>
        <v>9.3140999999999998</v>
      </c>
      <c r="L240" s="81">
        <f>5.7152 * CHOOSE(CONTROL!$C$32, $C$9, 100%, $E$9)</f>
        <v>5.7152000000000003</v>
      </c>
      <c r="M240" s="81">
        <f>5.7188 * CHOOSE(CONTROL!$C$32, $C$9, 100%, $E$9)</f>
        <v>5.7187999999999999</v>
      </c>
      <c r="N240" s="81">
        <f>5.7152 * CHOOSE(CONTROL!$C$32, $C$9, 100%, $E$9)</f>
        <v>5.7152000000000003</v>
      </c>
      <c r="O240" s="81">
        <f>5.7188 * CHOOSE(CONTROL!$C$32, $C$9, 100%, $E$9)</f>
        <v>5.7187999999999999</v>
      </c>
    </row>
    <row r="241" spans="1:15" ht="15" x14ac:dyDescent="0.2">
      <c r="A241" s="16">
        <v>48549</v>
      </c>
      <c r="B241" s="80">
        <f>4.4605 * CHOOSE(CONTROL!$C$32, $C$9, 100%, $E$9)</f>
        <v>4.4604999999999997</v>
      </c>
      <c r="C241" s="80">
        <f>4.4605 * CHOOSE(CONTROL!$C$32, $C$9, 100%, $E$9)</f>
        <v>4.4604999999999997</v>
      </c>
      <c r="D241" s="80">
        <f>4.4616 * CHOOSE(CONTROL!$C$32, $C$9, 100%, $E$9)</f>
        <v>4.4615999999999998</v>
      </c>
      <c r="E241" s="81">
        <f>5.7152 * CHOOSE(CONTROL!$C$32, $C$9, 100%, $E$9)</f>
        <v>5.7152000000000003</v>
      </c>
      <c r="F241" s="81">
        <f>5.7152 * CHOOSE(CONTROL!$C$32, $C$9, 100%, $E$9)</f>
        <v>5.7152000000000003</v>
      </c>
      <c r="G241" s="81">
        <f>5.7188 * CHOOSE(CONTROL!$C$32, $C$9, 100%, $E$9)</f>
        <v>5.7187999999999999</v>
      </c>
      <c r="H241" s="81">
        <f>9.3299 * CHOOSE(CONTROL!$C$32, $C$9, 100%, $E$9)</f>
        <v>9.3299000000000003</v>
      </c>
      <c r="I241" s="81">
        <f>9.3335 * CHOOSE(CONTROL!$C$32, $C$9, 100%, $E$9)</f>
        <v>9.3335000000000008</v>
      </c>
      <c r="J241" s="81">
        <f>9.3299 * CHOOSE(CONTROL!$C$32, $C$9, 100%, $E$9)</f>
        <v>9.3299000000000003</v>
      </c>
      <c r="K241" s="81">
        <f>9.3335 * CHOOSE(CONTROL!$C$32, $C$9, 100%, $E$9)</f>
        <v>9.3335000000000008</v>
      </c>
      <c r="L241" s="81">
        <f>5.7152 * CHOOSE(CONTROL!$C$32, $C$9, 100%, $E$9)</f>
        <v>5.7152000000000003</v>
      </c>
      <c r="M241" s="81">
        <f>5.7188 * CHOOSE(CONTROL!$C$32, $C$9, 100%, $E$9)</f>
        <v>5.7187999999999999</v>
      </c>
      <c r="N241" s="81">
        <f>5.7152 * CHOOSE(CONTROL!$C$32, $C$9, 100%, $E$9)</f>
        <v>5.7152000000000003</v>
      </c>
      <c r="O241" s="81">
        <f>5.7188 * CHOOSE(CONTROL!$C$32, $C$9, 100%, $E$9)</f>
        <v>5.7187999999999999</v>
      </c>
    </row>
    <row r="242" spans="1:15" ht="15" x14ac:dyDescent="0.2">
      <c r="A242" s="16">
        <v>48580</v>
      </c>
      <c r="B242" s="80">
        <f>4.4966 * CHOOSE(CONTROL!$C$32, $C$9, 100%, $E$9)</f>
        <v>4.4965999999999999</v>
      </c>
      <c r="C242" s="80">
        <f>4.4966 * CHOOSE(CONTROL!$C$32, $C$9, 100%, $E$9)</f>
        <v>4.4965999999999999</v>
      </c>
      <c r="D242" s="80">
        <f>4.4977 * CHOOSE(CONTROL!$C$32, $C$9, 100%, $E$9)</f>
        <v>4.4977</v>
      </c>
      <c r="E242" s="81">
        <f>5.7608 * CHOOSE(CONTROL!$C$32, $C$9, 100%, $E$9)</f>
        <v>5.7607999999999997</v>
      </c>
      <c r="F242" s="81">
        <f>5.7608 * CHOOSE(CONTROL!$C$32, $C$9, 100%, $E$9)</f>
        <v>5.7607999999999997</v>
      </c>
      <c r="G242" s="81">
        <f>5.7644 * CHOOSE(CONTROL!$C$32, $C$9, 100%, $E$9)</f>
        <v>5.7644000000000002</v>
      </c>
      <c r="H242" s="81">
        <f>9.3493 * CHOOSE(CONTROL!$C$32, $C$9, 100%, $E$9)</f>
        <v>9.3492999999999995</v>
      </c>
      <c r="I242" s="81">
        <f>9.353 * CHOOSE(CONTROL!$C$32, $C$9, 100%, $E$9)</f>
        <v>9.3529999999999998</v>
      </c>
      <c r="J242" s="81">
        <f>9.3493 * CHOOSE(CONTROL!$C$32, $C$9, 100%, $E$9)</f>
        <v>9.3492999999999995</v>
      </c>
      <c r="K242" s="81">
        <f>9.353 * CHOOSE(CONTROL!$C$32, $C$9, 100%, $E$9)</f>
        <v>9.3529999999999998</v>
      </c>
      <c r="L242" s="81">
        <f>5.7608 * CHOOSE(CONTROL!$C$32, $C$9, 100%, $E$9)</f>
        <v>5.7607999999999997</v>
      </c>
      <c r="M242" s="81">
        <f>5.7644 * CHOOSE(CONTROL!$C$32, $C$9, 100%, $E$9)</f>
        <v>5.7644000000000002</v>
      </c>
      <c r="N242" s="81">
        <f>5.7608 * CHOOSE(CONTROL!$C$32, $C$9, 100%, $E$9)</f>
        <v>5.7607999999999997</v>
      </c>
      <c r="O242" s="81">
        <f>5.7644 * CHOOSE(CONTROL!$C$32, $C$9, 100%, $E$9)</f>
        <v>5.7644000000000002</v>
      </c>
    </row>
    <row r="243" spans="1:15" ht="15" x14ac:dyDescent="0.2">
      <c r="A243" s="16">
        <v>48611</v>
      </c>
      <c r="B243" s="80">
        <f>4.4936 * CHOOSE(CONTROL!$C$32, $C$9, 100%, $E$9)</f>
        <v>4.4935999999999998</v>
      </c>
      <c r="C243" s="80">
        <f>4.4936 * CHOOSE(CONTROL!$C$32, $C$9, 100%, $E$9)</f>
        <v>4.4935999999999998</v>
      </c>
      <c r="D243" s="80">
        <f>4.4946 * CHOOSE(CONTROL!$C$32, $C$9, 100%, $E$9)</f>
        <v>4.4946000000000002</v>
      </c>
      <c r="E243" s="81">
        <f>5.7588 * CHOOSE(CONTROL!$C$32, $C$9, 100%, $E$9)</f>
        <v>5.7587999999999999</v>
      </c>
      <c r="F243" s="81">
        <f>5.7588 * CHOOSE(CONTROL!$C$32, $C$9, 100%, $E$9)</f>
        <v>5.7587999999999999</v>
      </c>
      <c r="G243" s="81">
        <f>5.7624 * CHOOSE(CONTROL!$C$32, $C$9, 100%, $E$9)</f>
        <v>5.7624000000000004</v>
      </c>
      <c r="H243" s="81">
        <f>9.3688 * CHOOSE(CONTROL!$C$32, $C$9, 100%, $E$9)</f>
        <v>9.3688000000000002</v>
      </c>
      <c r="I243" s="81">
        <f>9.3724 * CHOOSE(CONTROL!$C$32, $C$9, 100%, $E$9)</f>
        <v>9.3724000000000007</v>
      </c>
      <c r="J243" s="81">
        <f>9.3688 * CHOOSE(CONTROL!$C$32, $C$9, 100%, $E$9)</f>
        <v>9.3688000000000002</v>
      </c>
      <c r="K243" s="81">
        <f>9.3724 * CHOOSE(CONTROL!$C$32, $C$9, 100%, $E$9)</f>
        <v>9.3724000000000007</v>
      </c>
      <c r="L243" s="81">
        <f>5.7588 * CHOOSE(CONTROL!$C$32, $C$9, 100%, $E$9)</f>
        <v>5.7587999999999999</v>
      </c>
      <c r="M243" s="81">
        <f>5.7624 * CHOOSE(CONTROL!$C$32, $C$9, 100%, $E$9)</f>
        <v>5.7624000000000004</v>
      </c>
      <c r="N243" s="81">
        <f>5.7588 * CHOOSE(CONTROL!$C$32, $C$9, 100%, $E$9)</f>
        <v>5.7587999999999999</v>
      </c>
      <c r="O243" s="81">
        <f>5.7624 * CHOOSE(CONTROL!$C$32, $C$9, 100%, $E$9)</f>
        <v>5.7624000000000004</v>
      </c>
    </row>
    <row r="244" spans="1:15" ht="15" x14ac:dyDescent="0.2">
      <c r="A244" s="16">
        <v>48639</v>
      </c>
      <c r="B244" s="80">
        <f>4.4905 * CHOOSE(CONTROL!$C$32, $C$9, 100%, $E$9)</f>
        <v>4.4904999999999999</v>
      </c>
      <c r="C244" s="80">
        <f>4.4905 * CHOOSE(CONTROL!$C$32, $C$9, 100%, $E$9)</f>
        <v>4.4904999999999999</v>
      </c>
      <c r="D244" s="80">
        <f>4.4916 * CHOOSE(CONTROL!$C$32, $C$9, 100%, $E$9)</f>
        <v>4.4916</v>
      </c>
      <c r="E244" s="81">
        <f>5.7568 * CHOOSE(CONTROL!$C$32, $C$9, 100%, $E$9)</f>
        <v>5.7568000000000001</v>
      </c>
      <c r="F244" s="81">
        <f>5.7568 * CHOOSE(CONTROL!$C$32, $C$9, 100%, $E$9)</f>
        <v>5.7568000000000001</v>
      </c>
      <c r="G244" s="81">
        <f>5.7604 * CHOOSE(CONTROL!$C$32, $C$9, 100%, $E$9)</f>
        <v>5.7603999999999997</v>
      </c>
      <c r="H244" s="81">
        <f>9.3883 * CHOOSE(CONTROL!$C$32, $C$9, 100%, $E$9)</f>
        <v>9.3882999999999992</v>
      </c>
      <c r="I244" s="81">
        <f>9.392 * CHOOSE(CONTROL!$C$32, $C$9, 100%, $E$9)</f>
        <v>9.3919999999999995</v>
      </c>
      <c r="J244" s="81">
        <f>9.3883 * CHOOSE(CONTROL!$C$32, $C$9, 100%, $E$9)</f>
        <v>9.3882999999999992</v>
      </c>
      <c r="K244" s="81">
        <f>9.392 * CHOOSE(CONTROL!$C$32, $C$9, 100%, $E$9)</f>
        <v>9.3919999999999995</v>
      </c>
      <c r="L244" s="81">
        <f>5.7568 * CHOOSE(CONTROL!$C$32, $C$9, 100%, $E$9)</f>
        <v>5.7568000000000001</v>
      </c>
      <c r="M244" s="81">
        <f>5.7604 * CHOOSE(CONTROL!$C$32, $C$9, 100%, $E$9)</f>
        <v>5.7603999999999997</v>
      </c>
      <c r="N244" s="81">
        <f>5.7568 * CHOOSE(CONTROL!$C$32, $C$9, 100%, $E$9)</f>
        <v>5.7568000000000001</v>
      </c>
      <c r="O244" s="81">
        <f>5.7604 * CHOOSE(CONTROL!$C$32, $C$9, 100%, $E$9)</f>
        <v>5.7603999999999997</v>
      </c>
    </row>
    <row r="245" spans="1:15" ht="15" x14ac:dyDescent="0.2">
      <c r="A245" s="16">
        <v>48670</v>
      </c>
      <c r="B245" s="80">
        <f>4.4887 * CHOOSE(CONTROL!$C$32, $C$9, 100%, $E$9)</f>
        <v>4.4886999999999997</v>
      </c>
      <c r="C245" s="80">
        <f>4.4887 * CHOOSE(CONTROL!$C$32, $C$9, 100%, $E$9)</f>
        <v>4.4886999999999997</v>
      </c>
      <c r="D245" s="80">
        <f>4.4897 * CHOOSE(CONTROL!$C$32, $C$9, 100%, $E$9)</f>
        <v>4.4897</v>
      </c>
      <c r="E245" s="81">
        <f>5.755 * CHOOSE(CONTROL!$C$32, $C$9, 100%, $E$9)</f>
        <v>5.7549999999999999</v>
      </c>
      <c r="F245" s="81">
        <f>5.755 * CHOOSE(CONTROL!$C$32, $C$9, 100%, $E$9)</f>
        <v>5.7549999999999999</v>
      </c>
      <c r="G245" s="81">
        <f>5.7586 * CHOOSE(CONTROL!$C$32, $C$9, 100%, $E$9)</f>
        <v>5.7586000000000004</v>
      </c>
      <c r="H245" s="81">
        <f>9.4079 * CHOOSE(CONTROL!$C$32, $C$9, 100%, $E$9)</f>
        <v>9.4078999999999997</v>
      </c>
      <c r="I245" s="81">
        <f>9.4115 * CHOOSE(CONTROL!$C$32, $C$9, 100%, $E$9)</f>
        <v>9.4115000000000002</v>
      </c>
      <c r="J245" s="81">
        <f>9.4079 * CHOOSE(CONTROL!$C$32, $C$9, 100%, $E$9)</f>
        <v>9.4078999999999997</v>
      </c>
      <c r="K245" s="81">
        <f>9.4115 * CHOOSE(CONTROL!$C$32, $C$9, 100%, $E$9)</f>
        <v>9.4115000000000002</v>
      </c>
      <c r="L245" s="81">
        <f>5.755 * CHOOSE(CONTROL!$C$32, $C$9, 100%, $E$9)</f>
        <v>5.7549999999999999</v>
      </c>
      <c r="M245" s="81">
        <f>5.7586 * CHOOSE(CONTROL!$C$32, $C$9, 100%, $E$9)</f>
        <v>5.7586000000000004</v>
      </c>
      <c r="N245" s="81">
        <f>5.755 * CHOOSE(CONTROL!$C$32, $C$9, 100%, $E$9)</f>
        <v>5.7549999999999999</v>
      </c>
      <c r="O245" s="81">
        <f>5.7586 * CHOOSE(CONTROL!$C$32, $C$9, 100%, $E$9)</f>
        <v>5.7586000000000004</v>
      </c>
    </row>
    <row r="246" spans="1:15" ht="15" x14ac:dyDescent="0.2">
      <c r="A246" s="16">
        <v>48700</v>
      </c>
      <c r="B246" s="80">
        <f>4.4887 * CHOOSE(CONTROL!$C$32, $C$9, 100%, $E$9)</f>
        <v>4.4886999999999997</v>
      </c>
      <c r="C246" s="80">
        <f>4.4887 * CHOOSE(CONTROL!$C$32, $C$9, 100%, $E$9)</f>
        <v>4.4886999999999997</v>
      </c>
      <c r="D246" s="80">
        <f>4.4902 * CHOOSE(CONTROL!$C$32, $C$9, 100%, $E$9)</f>
        <v>4.4901999999999997</v>
      </c>
      <c r="E246" s="81">
        <f>5.755 * CHOOSE(CONTROL!$C$32, $C$9, 100%, $E$9)</f>
        <v>5.7549999999999999</v>
      </c>
      <c r="F246" s="81">
        <f>5.755 * CHOOSE(CONTROL!$C$32, $C$9, 100%, $E$9)</f>
        <v>5.7549999999999999</v>
      </c>
      <c r="G246" s="81">
        <f>5.7602 * CHOOSE(CONTROL!$C$32, $C$9, 100%, $E$9)</f>
        <v>5.7602000000000002</v>
      </c>
      <c r="H246" s="81">
        <f>9.4275 * CHOOSE(CONTROL!$C$32, $C$9, 100%, $E$9)</f>
        <v>9.4275000000000002</v>
      </c>
      <c r="I246" s="81">
        <f>9.4328 * CHOOSE(CONTROL!$C$32, $C$9, 100%, $E$9)</f>
        <v>9.4328000000000003</v>
      </c>
      <c r="J246" s="81">
        <f>9.4275 * CHOOSE(CONTROL!$C$32, $C$9, 100%, $E$9)</f>
        <v>9.4275000000000002</v>
      </c>
      <c r="K246" s="81">
        <f>9.4328 * CHOOSE(CONTROL!$C$32, $C$9, 100%, $E$9)</f>
        <v>9.4328000000000003</v>
      </c>
      <c r="L246" s="81">
        <f>5.755 * CHOOSE(CONTROL!$C$32, $C$9, 100%, $E$9)</f>
        <v>5.7549999999999999</v>
      </c>
      <c r="M246" s="81">
        <f>5.7602 * CHOOSE(CONTROL!$C$32, $C$9, 100%, $E$9)</f>
        <v>5.7602000000000002</v>
      </c>
      <c r="N246" s="81">
        <f>5.755 * CHOOSE(CONTROL!$C$32, $C$9, 100%, $E$9)</f>
        <v>5.7549999999999999</v>
      </c>
      <c r="O246" s="81">
        <f>5.7602 * CHOOSE(CONTROL!$C$32, $C$9, 100%, $E$9)</f>
        <v>5.7602000000000002</v>
      </c>
    </row>
    <row r="247" spans="1:15" ht="15" x14ac:dyDescent="0.2">
      <c r="A247" s="16">
        <v>48731</v>
      </c>
      <c r="B247" s="80">
        <f>4.4947 * CHOOSE(CONTROL!$C$32, $C$9, 100%, $E$9)</f>
        <v>4.4946999999999999</v>
      </c>
      <c r="C247" s="80">
        <f>4.4947 * CHOOSE(CONTROL!$C$32, $C$9, 100%, $E$9)</f>
        <v>4.4946999999999999</v>
      </c>
      <c r="D247" s="80">
        <f>4.4963 * CHOOSE(CONTROL!$C$32, $C$9, 100%, $E$9)</f>
        <v>4.4962999999999997</v>
      </c>
      <c r="E247" s="81">
        <f>5.759 * CHOOSE(CONTROL!$C$32, $C$9, 100%, $E$9)</f>
        <v>5.7590000000000003</v>
      </c>
      <c r="F247" s="81">
        <f>5.759 * CHOOSE(CONTROL!$C$32, $C$9, 100%, $E$9)</f>
        <v>5.7590000000000003</v>
      </c>
      <c r="G247" s="81">
        <f>5.7642 * CHOOSE(CONTROL!$C$32, $C$9, 100%, $E$9)</f>
        <v>5.7641999999999998</v>
      </c>
      <c r="H247" s="81">
        <f>9.4471 * CHOOSE(CONTROL!$C$32, $C$9, 100%, $E$9)</f>
        <v>9.4471000000000007</v>
      </c>
      <c r="I247" s="81">
        <f>9.4524 * CHOOSE(CONTROL!$C$32, $C$9, 100%, $E$9)</f>
        <v>9.4524000000000008</v>
      </c>
      <c r="J247" s="81">
        <f>9.4471 * CHOOSE(CONTROL!$C$32, $C$9, 100%, $E$9)</f>
        <v>9.4471000000000007</v>
      </c>
      <c r="K247" s="81">
        <f>9.4524 * CHOOSE(CONTROL!$C$32, $C$9, 100%, $E$9)</f>
        <v>9.4524000000000008</v>
      </c>
      <c r="L247" s="81">
        <f>5.759 * CHOOSE(CONTROL!$C$32, $C$9, 100%, $E$9)</f>
        <v>5.7590000000000003</v>
      </c>
      <c r="M247" s="81">
        <f>5.7642 * CHOOSE(CONTROL!$C$32, $C$9, 100%, $E$9)</f>
        <v>5.7641999999999998</v>
      </c>
      <c r="N247" s="81">
        <f>5.759 * CHOOSE(CONTROL!$C$32, $C$9, 100%, $E$9)</f>
        <v>5.7590000000000003</v>
      </c>
      <c r="O247" s="81">
        <f>5.7642 * CHOOSE(CONTROL!$C$32, $C$9, 100%, $E$9)</f>
        <v>5.7641999999999998</v>
      </c>
    </row>
    <row r="248" spans="1:15" ht="15" x14ac:dyDescent="0.2">
      <c r="A248" s="16">
        <v>48761</v>
      </c>
      <c r="B248" s="80">
        <f>4.5602 * CHOOSE(CONTROL!$C$32, $C$9, 100%, $E$9)</f>
        <v>4.5602</v>
      </c>
      <c r="C248" s="80">
        <f>4.5602 * CHOOSE(CONTROL!$C$32, $C$9, 100%, $E$9)</f>
        <v>4.5602</v>
      </c>
      <c r="D248" s="80">
        <f>4.5618 * CHOOSE(CONTROL!$C$32, $C$9, 100%, $E$9)</f>
        <v>4.5617999999999999</v>
      </c>
      <c r="E248" s="81">
        <f>5.8589 * CHOOSE(CONTROL!$C$32, $C$9, 100%, $E$9)</f>
        <v>5.8589000000000002</v>
      </c>
      <c r="F248" s="81">
        <f>5.8589 * CHOOSE(CONTROL!$C$32, $C$9, 100%, $E$9)</f>
        <v>5.8589000000000002</v>
      </c>
      <c r="G248" s="81">
        <f>5.8642 * CHOOSE(CONTROL!$C$32, $C$9, 100%, $E$9)</f>
        <v>5.8642000000000003</v>
      </c>
      <c r="H248" s="81">
        <f>9.4668 * CHOOSE(CONTROL!$C$32, $C$9, 100%, $E$9)</f>
        <v>9.4667999999999992</v>
      </c>
      <c r="I248" s="81">
        <f>9.4721 * CHOOSE(CONTROL!$C$32, $C$9, 100%, $E$9)</f>
        <v>9.4720999999999993</v>
      </c>
      <c r="J248" s="81">
        <f>9.4668 * CHOOSE(CONTROL!$C$32, $C$9, 100%, $E$9)</f>
        <v>9.4667999999999992</v>
      </c>
      <c r="K248" s="81">
        <f>9.4721 * CHOOSE(CONTROL!$C$32, $C$9, 100%, $E$9)</f>
        <v>9.4720999999999993</v>
      </c>
      <c r="L248" s="81">
        <f>5.8589 * CHOOSE(CONTROL!$C$32, $C$9, 100%, $E$9)</f>
        <v>5.8589000000000002</v>
      </c>
      <c r="M248" s="81">
        <f>5.8642 * CHOOSE(CONTROL!$C$32, $C$9, 100%, $E$9)</f>
        <v>5.8642000000000003</v>
      </c>
      <c r="N248" s="81">
        <f>5.8589 * CHOOSE(CONTROL!$C$32, $C$9, 100%, $E$9)</f>
        <v>5.8589000000000002</v>
      </c>
      <c r="O248" s="81">
        <f>5.8642 * CHOOSE(CONTROL!$C$32, $C$9, 100%, $E$9)</f>
        <v>5.8642000000000003</v>
      </c>
    </row>
    <row r="249" spans="1:15" ht="15" x14ac:dyDescent="0.2">
      <c r="A249" s="16">
        <v>48792</v>
      </c>
      <c r="B249" s="80">
        <f>4.5669 * CHOOSE(CONTROL!$C$32, $C$9, 100%, $E$9)</f>
        <v>4.5669000000000004</v>
      </c>
      <c r="C249" s="80">
        <f>4.5669 * CHOOSE(CONTROL!$C$32, $C$9, 100%, $E$9)</f>
        <v>4.5669000000000004</v>
      </c>
      <c r="D249" s="80">
        <f>4.5685 * CHOOSE(CONTROL!$C$32, $C$9, 100%, $E$9)</f>
        <v>4.5685000000000002</v>
      </c>
      <c r="E249" s="81">
        <f>5.8633 * CHOOSE(CONTROL!$C$32, $C$9, 100%, $E$9)</f>
        <v>5.8632999999999997</v>
      </c>
      <c r="F249" s="81">
        <f>5.8633 * CHOOSE(CONTROL!$C$32, $C$9, 100%, $E$9)</f>
        <v>5.8632999999999997</v>
      </c>
      <c r="G249" s="81">
        <f>5.8686 * CHOOSE(CONTROL!$C$32, $C$9, 100%, $E$9)</f>
        <v>5.8685999999999998</v>
      </c>
      <c r="H249" s="81">
        <f>9.4865 * CHOOSE(CONTROL!$C$32, $C$9, 100%, $E$9)</f>
        <v>9.4864999999999995</v>
      </c>
      <c r="I249" s="81">
        <f>9.4918 * CHOOSE(CONTROL!$C$32, $C$9, 100%, $E$9)</f>
        <v>9.4917999999999996</v>
      </c>
      <c r="J249" s="81">
        <f>9.4865 * CHOOSE(CONTROL!$C$32, $C$9, 100%, $E$9)</f>
        <v>9.4864999999999995</v>
      </c>
      <c r="K249" s="81">
        <f>9.4918 * CHOOSE(CONTROL!$C$32, $C$9, 100%, $E$9)</f>
        <v>9.4917999999999996</v>
      </c>
      <c r="L249" s="81">
        <f>5.8633 * CHOOSE(CONTROL!$C$32, $C$9, 100%, $E$9)</f>
        <v>5.8632999999999997</v>
      </c>
      <c r="M249" s="81">
        <f>5.8686 * CHOOSE(CONTROL!$C$32, $C$9, 100%, $E$9)</f>
        <v>5.8685999999999998</v>
      </c>
      <c r="N249" s="81">
        <f>5.8633 * CHOOSE(CONTROL!$C$32, $C$9, 100%, $E$9)</f>
        <v>5.8632999999999997</v>
      </c>
      <c r="O249" s="81">
        <f>5.8686 * CHOOSE(CONTROL!$C$32, $C$9, 100%, $E$9)</f>
        <v>5.8685999999999998</v>
      </c>
    </row>
    <row r="250" spans="1:15" ht="15" x14ac:dyDescent="0.2">
      <c r="A250" s="16">
        <v>48823</v>
      </c>
      <c r="B250" s="80">
        <f>4.5638 * CHOOSE(CONTROL!$C$32, $C$9, 100%, $E$9)</f>
        <v>4.5637999999999996</v>
      </c>
      <c r="C250" s="80">
        <f>4.5638 * CHOOSE(CONTROL!$C$32, $C$9, 100%, $E$9)</f>
        <v>4.5637999999999996</v>
      </c>
      <c r="D250" s="80">
        <f>4.5654 * CHOOSE(CONTROL!$C$32, $C$9, 100%, $E$9)</f>
        <v>4.5654000000000003</v>
      </c>
      <c r="E250" s="81">
        <f>5.8613 * CHOOSE(CONTROL!$C$32, $C$9, 100%, $E$9)</f>
        <v>5.8613</v>
      </c>
      <c r="F250" s="81">
        <f>5.8613 * CHOOSE(CONTROL!$C$32, $C$9, 100%, $E$9)</f>
        <v>5.8613</v>
      </c>
      <c r="G250" s="81">
        <f>5.8666 * CHOOSE(CONTROL!$C$32, $C$9, 100%, $E$9)</f>
        <v>5.8666</v>
      </c>
      <c r="H250" s="81">
        <f>9.5063 * CHOOSE(CONTROL!$C$32, $C$9, 100%, $E$9)</f>
        <v>9.5062999999999995</v>
      </c>
      <c r="I250" s="81">
        <f>9.5116 * CHOOSE(CONTROL!$C$32, $C$9, 100%, $E$9)</f>
        <v>9.5115999999999996</v>
      </c>
      <c r="J250" s="81">
        <f>9.5063 * CHOOSE(CONTROL!$C$32, $C$9, 100%, $E$9)</f>
        <v>9.5062999999999995</v>
      </c>
      <c r="K250" s="81">
        <f>9.5116 * CHOOSE(CONTROL!$C$32, $C$9, 100%, $E$9)</f>
        <v>9.5115999999999996</v>
      </c>
      <c r="L250" s="81">
        <f>5.8613 * CHOOSE(CONTROL!$C$32, $C$9, 100%, $E$9)</f>
        <v>5.8613</v>
      </c>
      <c r="M250" s="81">
        <f>5.8666 * CHOOSE(CONTROL!$C$32, $C$9, 100%, $E$9)</f>
        <v>5.8666</v>
      </c>
      <c r="N250" s="81">
        <f>5.8613 * CHOOSE(CONTROL!$C$32, $C$9, 100%, $E$9)</f>
        <v>5.8613</v>
      </c>
      <c r="O250" s="81">
        <f>5.8666 * CHOOSE(CONTROL!$C$32, $C$9, 100%, $E$9)</f>
        <v>5.8666</v>
      </c>
    </row>
    <row r="251" spans="1:15" ht="15" x14ac:dyDescent="0.2">
      <c r="A251" s="16">
        <v>48853</v>
      </c>
      <c r="B251" s="80">
        <f>4.561 * CHOOSE(CONTROL!$C$32, $C$9, 100%, $E$9)</f>
        <v>4.5609999999999999</v>
      </c>
      <c r="C251" s="80">
        <f>4.561 * CHOOSE(CONTROL!$C$32, $C$9, 100%, $E$9)</f>
        <v>4.5609999999999999</v>
      </c>
      <c r="D251" s="80">
        <f>4.5621 * CHOOSE(CONTROL!$C$32, $C$9, 100%, $E$9)</f>
        <v>4.5621</v>
      </c>
      <c r="E251" s="81">
        <f>5.8571 * CHOOSE(CONTROL!$C$32, $C$9, 100%, $E$9)</f>
        <v>5.8571</v>
      </c>
      <c r="F251" s="81">
        <f>5.8571 * CHOOSE(CONTROL!$C$32, $C$9, 100%, $E$9)</f>
        <v>5.8571</v>
      </c>
      <c r="G251" s="81">
        <f>5.8607 * CHOOSE(CONTROL!$C$32, $C$9, 100%, $E$9)</f>
        <v>5.8606999999999996</v>
      </c>
      <c r="H251" s="81">
        <f>9.5261 * CHOOSE(CONTROL!$C$32, $C$9, 100%, $E$9)</f>
        <v>9.5260999999999996</v>
      </c>
      <c r="I251" s="81">
        <f>9.5297 * CHOOSE(CONTROL!$C$32, $C$9, 100%, $E$9)</f>
        <v>9.5297000000000001</v>
      </c>
      <c r="J251" s="81">
        <f>9.5261 * CHOOSE(CONTROL!$C$32, $C$9, 100%, $E$9)</f>
        <v>9.5260999999999996</v>
      </c>
      <c r="K251" s="81">
        <f>9.5297 * CHOOSE(CONTROL!$C$32, $C$9, 100%, $E$9)</f>
        <v>9.5297000000000001</v>
      </c>
      <c r="L251" s="81">
        <f>5.8571 * CHOOSE(CONTROL!$C$32, $C$9, 100%, $E$9)</f>
        <v>5.8571</v>
      </c>
      <c r="M251" s="81">
        <f>5.8607 * CHOOSE(CONTROL!$C$32, $C$9, 100%, $E$9)</f>
        <v>5.8606999999999996</v>
      </c>
      <c r="N251" s="81">
        <f>5.8571 * CHOOSE(CONTROL!$C$32, $C$9, 100%, $E$9)</f>
        <v>5.8571</v>
      </c>
      <c r="O251" s="81">
        <f>5.8607 * CHOOSE(CONTROL!$C$32, $C$9, 100%, $E$9)</f>
        <v>5.8606999999999996</v>
      </c>
    </row>
    <row r="252" spans="1:15" ht="15" x14ac:dyDescent="0.2">
      <c r="A252" s="16">
        <v>48884</v>
      </c>
      <c r="B252" s="80">
        <f>4.564 * CHOOSE(CONTROL!$C$32, $C$9, 100%, $E$9)</f>
        <v>4.5640000000000001</v>
      </c>
      <c r="C252" s="80">
        <f>4.564 * CHOOSE(CONTROL!$C$32, $C$9, 100%, $E$9)</f>
        <v>4.5640000000000001</v>
      </c>
      <c r="D252" s="80">
        <f>4.5651 * CHOOSE(CONTROL!$C$32, $C$9, 100%, $E$9)</f>
        <v>4.5651000000000002</v>
      </c>
      <c r="E252" s="81">
        <f>5.8591 * CHOOSE(CONTROL!$C$32, $C$9, 100%, $E$9)</f>
        <v>5.8590999999999998</v>
      </c>
      <c r="F252" s="81">
        <f>5.8591 * CHOOSE(CONTROL!$C$32, $C$9, 100%, $E$9)</f>
        <v>5.8590999999999998</v>
      </c>
      <c r="G252" s="81">
        <f>5.8627 * CHOOSE(CONTROL!$C$32, $C$9, 100%, $E$9)</f>
        <v>5.8627000000000002</v>
      </c>
      <c r="H252" s="81">
        <f>9.546 * CHOOSE(CONTROL!$C$32, $C$9, 100%, $E$9)</f>
        <v>9.5459999999999994</v>
      </c>
      <c r="I252" s="81">
        <f>9.5496 * CHOOSE(CONTROL!$C$32, $C$9, 100%, $E$9)</f>
        <v>9.5495999999999999</v>
      </c>
      <c r="J252" s="81">
        <f>9.546 * CHOOSE(CONTROL!$C$32, $C$9, 100%, $E$9)</f>
        <v>9.5459999999999994</v>
      </c>
      <c r="K252" s="81">
        <f>9.5496 * CHOOSE(CONTROL!$C$32, $C$9, 100%, $E$9)</f>
        <v>9.5495999999999999</v>
      </c>
      <c r="L252" s="81">
        <f>5.8591 * CHOOSE(CONTROL!$C$32, $C$9, 100%, $E$9)</f>
        <v>5.8590999999999998</v>
      </c>
      <c r="M252" s="81">
        <f>5.8627 * CHOOSE(CONTROL!$C$32, $C$9, 100%, $E$9)</f>
        <v>5.8627000000000002</v>
      </c>
      <c r="N252" s="81">
        <f>5.8591 * CHOOSE(CONTROL!$C$32, $C$9, 100%, $E$9)</f>
        <v>5.8590999999999998</v>
      </c>
      <c r="O252" s="81">
        <f>5.8627 * CHOOSE(CONTROL!$C$32, $C$9, 100%, $E$9)</f>
        <v>5.8627000000000002</v>
      </c>
    </row>
    <row r="253" spans="1:15" ht="15" x14ac:dyDescent="0.2">
      <c r="A253" s="16">
        <v>48914</v>
      </c>
      <c r="B253" s="80">
        <f>4.564 * CHOOSE(CONTROL!$C$32, $C$9, 100%, $E$9)</f>
        <v>4.5640000000000001</v>
      </c>
      <c r="C253" s="80">
        <f>4.564 * CHOOSE(CONTROL!$C$32, $C$9, 100%, $E$9)</f>
        <v>4.5640000000000001</v>
      </c>
      <c r="D253" s="80">
        <f>4.5651 * CHOOSE(CONTROL!$C$32, $C$9, 100%, $E$9)</f>
        <v>4.5651000000000002</v>
      </c>
      <c r="E253" s="81">
        <f>5.8591 * CHOOSE(CONTROL!$C$32, $C$9, 100%, $E$9)</f>
        <v>5.8590999999999998</v>
      </c>
      <c r="F253" s="81">
        <f>5.8591 * CHOOSE(CONTROL!$C$32, $C$9, 100%, $E$9)</f>
        <v>5.8590999999999998</v>
      </c>
      <c r="G253" s="81">
        <f>5.8627 * CHOOSE(CONTROL!$C$32, $C$9, 100%, $E$9)</f>
        <v>5.8627000000000002</v>
      </c>
      <c r="H253" s="81">
        <f>9.5659 * CHOOSE(CONTROL!$C$32, $C$9, 100%, $E$9)</f>
        <v>9.5658999999999992</v>
      </c>
      <c r="I253" s="81">
        <f>9.5695 * CHOOSE(CONTROL!$C$32, $C$9, 100%, $E$9)</f>
        <v>9.5694999999999997</v>
      </c>
      <c r="J253" s="81">
        <f>9.5659 * CHOOSE(CONTROL!$C$32, $C$9, 100%, $E$9)</f>
        <v>9.5658999999999992</v>
      </c>
      <c r="K253" s="81">
        <f>9.5695 * CHOOSE(CONTROL!$C$32, $C$9, 100%, $E$9)</f>
        <v>9.5694999999999997</v>
      </c>
      <c r="L253" s="81">
        <f>5.8591 * CHOOSE(CONTROL!$C$32, $C$9, 100%, $E$9)</f>
        <v>5.8590999999999998</v>
      </c>
      <c r="M253" s="81">
        <f>5.8627 * CHOOSE(CONTROL!$C$32, $C$9, 100%, $E$9)</f>
        <v>5.8627000000000002</v>
      </c>
      <c r="N253" s="81">
        <f>5.8591 * CHOOSE(CONTROL!$C$32, $C$9, 100%, $E$9)</f>
        <v>5.8590999999999998</v>
      </c>
      <c r="O253" s="81">
        <f>5.8627 * CHOOSE(CONTROL!$C$32, $C$9, 100%, $E$9)</f>
        <v>5.8627000000000002</v>
      </c>
    </row>
    <row r="254" spans="1:15" ht="15" x14ac:dyDescent="0.2">
      <c r="A254" s="16">
        <v>48945</v>
      </c>
      <c r="B254" s="80">
        <f>4.6027 * CHOOSE(CONTROL!$C$32, $C$9, 100%, $E$9)</f>
        <v>4.6026999999999996</v>
      </c>
      <c r="C254" s="80">
        <f>4.6027 * CHOOSE(CONTROL!$C$32, $C$9, 100%, $E$9)</f>
        <v>4.6026999999999996</v>
      </c>
      <c r="D254" s="80">
        <f>4.6037 * CHOOSE(CONTROL!$C$32, $C$9, 100%, $E$9)</f>
        <v>4.6036999999999999</v>
      </c>
      <c r="E254" s="81">
        <f>5.9092 * CHOOSE(CONTROL!$C$32, $C$9, 100%, $E$9)</f>
        <v>5.9092000000000002</v>
      </c>
      <c r="F254" s="81">
        <f>5.9092 * CHOOSE(CONTROL!$C$32, $C$9, 100%, $E$9)</f>
        <v>5.9092000000000002</v>
      </c>
      <c r="G254" s="81">
        <f>5.9129 * CHOOSE(CONTROL!$C$32, $C$9, 100%, $E$9)</f>
        <v>5.9128999999999996</v>
      </c>
      <c r="H254" s="81">
        <f>9.5858 * CHOOSE(CONTROL!$C$32, $C$9, 100%, $E$9)</f>
        <v>9.5858000000000008</v>
      </c>
      <c r="I254" s="81">
        <f>9.5894 * CHOOSE(CONTROL!$C$32, $C$9, 100%, $E$9)</f>
        <v>9.5893999999999995</v>
      </c>
      <c r="J254" s="81">
        <f>9.5858 * CHOOSE(CONTROL!$C$32, $C$9, 100%, $E$9)</f>
        <v>9.5858000000000008</v>
      </c>
      <c r="K254" s="81">
        <f>9.5894 * CHOOSE(CONTROL!$C$32, $C$9, 100%, $E$9)</f>
        <v>9.5893999999999995</v>
      </c>
      <c r="L254" s="81">
        <f>5.9092 * CHOOSE(CONTROL!$C$32, $C$9, 100%, $E$9)</f>
        <v>5.9092000000000002</v>
      </c>
      <c r="M254" s="81">
        <f>5.9129 * CHOOSE(CONTROL!$C$32, $C$9, 100%, $E$9)</f>
        <v>5.9128999999999996</v>
      </c>
      <c r="N254" s="81">
        <f>5.9092 * CHOOSE(CONTROL!$C$32, $C$9, 100%, $E$9)</f>
        <v>5.9092000000000002</v>
      </c>
      <c r="O254" s="81">
        <f>5.9129 * CHOOSE(CONTROL!$C$32, $C$9, 100%, $E$9)</f>
        <v>5.9128999999999996</v>
      </c>
    </row>
    <row r="255" spans="1:15" ht="15" x14ac:dyDescent="0.2">
      <c r="A255" s="16">
        <v>48976</v>
      </c>
      <c r="B255" s="80">
        <f>4.5996 * CHOOSE(CONTROL!$C$32, $C$9, 100%, $E$9)</f>
        <v>4.5995999999999997</v>
      </c>
      <c r="C255" s="80">
        <f>4.5996 * CHOOSE(CONTROL!$C$32, $C$9, 100%, $E$9)</f>
        <v>4.5995999999999997</v>
      </c>
      <c r="D255" s="80">
        <f>4.6007 * CHOOSE(CONTROL!$C$32, $C$9, 100%, $E$9)</f>
        <v>4.6006999999999998</v>
      </c>
      <c r="E255" s="81">
        <f>5.9072 * CHOOSE(CONTROL!$C$32, $C$9, 100%, $E$9)</f>
        <v>5.9071999999999996</v>
      </c>
      <c r="F255" s="81">
        <f>5.9072 * CHOOSE(CONTROL!$C$32, $C$9, 100%, $E$9)</f>
        <v>5.9071999999999996</v>
      </c>
      <c r="G255" s="81">
        <f>5.9109 * CHOOSE(CONTROL!$C$32, $C$9, 100%, $E$9)</f>
        <v>5.9108999999999998</v>
      </c>
      <c r="H255" s="81">
        <f>9.6057 * CHOOSE(CONTROL!$C$32, $C$9, 100%, $E$9)</f>
        <v>9.6057000000000006</v>
      </c>
      <c r="I255" s="81">
        <f>9.6094 * CHOOSE(CONTROL!$C$32, $C$9, 100%, $E$9)</f>
        <v>9.6094000000000008</v>
      </c>
      <c r="J255" s="81">
        <f>9.6057 * CHOOSE(CONTROL!$C$32, $C$9, 100%, $E$9)</f>
        <v>9.6057000000000006</v>
      </c>
      <c r="K255" s="81">
        <f>9.6094 * CHOOSE(CONTROL!$C$32, $C$9, 100%, $E$9)</f>
        <v>9.6094000000000008</v>
      </c>
      <c r="L255" s="81">
        <f>5.9072 * CHOOSE(CONTROL!$C$32, $C$9, 100%, $E$9)</f>
        <v>5.9071999999999996</v>
      </c>
      <c r="M255" s="81">
        <f>5.9109 * CHOOSE(CONTROL!$C$32, $C$9, 100%, $E$9)</f>
        <v>5.9108999999999998</v>
      </c>
      <c r="N255" s="81">
        <f>5.9072 * CHOOSE(CONTROL!$C$32, $C$9, 100%, $E$9)</f>
        <v>5.9071999999999996</v>
      </c>
      <c r="O255" s="81">
        <f>5.9109 * CHOOSE(CONTROL!$C$32, $C$9, 100%, $E$9)</f>
        <v>5.9108999999999998</v>
      </c>
    </row>
    <row r="256" spans="1:15" ht="15" x14ac:dyDescent="0.2">
      <c r="A256" s="16">
        <v>49004</v>
      </c>
      <c r="B256" s="80">
        <f>4.5966 * CHOOSE(CONTROL!$C$32, $C$9, 100%, $E$9)</f>
        <v>4.5965999999999996</v>
      </c>
      <c r="C256" s="80">
        <f>4.5966 * CHOOSE(CONTROL!$C$32, $C$9, 100%, $E$9)</f>
        <v>4.5965999999999996</v>
      </c>
      <c r="D256" s="80">
        <f>4.5977 * CHOOSE(CONTROL!$C$32, $C$9, 100%, $E$9)</f>
        <v>4.5976999999999997</v>
      </c>
      <c r="E256" s="81">
        <f>5.9052 * CHOOSE(CONTROL!$C$32, $C$9, 100%, $E$9)</f>
        <v>5.9051999999999998</v>
      </c>
      <c r="F256" s="81">
        <f>5.9052 * CHOOSE(CONTROL!$C$32, $C$9, 100%, $E$9)</f>
        <v>5.9051999999999998</v>
      </c>
      <c r="G256" s="81">
        <f>5.9089 * CHOOSE(CONTROL!$C$32, $C$9, 100%, $E$9)</f>
        <v>5.9089</v>
      </c>
      <c r="H256" s="81">
        <f>9.6258 * CHOOSE(CONTROL!$C$32, $C$9, 100%, $E$9)</f>
        <v>9.6257999999999999</v>
      </c>
      <c r="I256" s="81">
        <f>9.6294 * CHOOSE(CONTROL!$C$32, $C$9, 100%, $E$9)</f>
        <v>9.6294000000000004</v>
      </c>
      <c r="J256" s="81">
        <f>9.6258 * CHOOSE(CONTROL!$C$32, $C$9, 100%, $E$9)</f>
        <v>9.6257999999999999</v>
      </c>
      <c r="K256" s="81">
        <f>9.6294 * CHOOSE(CONTROL!$C$32, $C$9, 100%, $E$9)</f>
        <v>9.6294000000000004</v>
      </c>
      <c r="L256" s="81">
        <f>5.9052 * CHOOSE(CONTROL!$C$32, $C$9, 100%, $E$9)</f>
        <v>5.9051999999999998</v>
      </c>
      <c r="M256" s="81">
        <f>5.9089 * CHOOSE(CONTROL!$C$32, $C$9, 100%, $E$9)</f>
        <v>5.9089</v>
      </c>
      <c r="N256" s="81">
        <f>5.9052 * CHOOSE(CONTROL!$C$32, $C$9, 100%, $E$9)</f>
        <v>5.9051999999999998</v>
      </c>
      <c r="O256" s="81">
        <f>5.9089 * CHOOSE(CONTROL!$C$32, $C$9, 100%, $E$9)</f>
        <v>5.9089</v>
      </c>
    </row>
    <row r="257" spans="1:15" ht="15" x14ac:dyDescent="0.2">
      <c r="A257" s="16">
        <v>49035</v>
      </c>
      <c r="B257" s="80">
        <f>4.5948 * CHOOSE(CONTROL!$C$32, $C$9, 100%, $E$9)</f>
        <v>4.5948000000000002</v>
      </c>
      <c r="C257" s="80">
        <f>4.5948 * CHOOSE(CONTROL!$C$32, $C$9, 100%, $E$9)</f>
        <v>4.5948000000000002</v>
      </c>
      <c r="D257" s="80">
        <f>4.5959 * CHOOSE(CONTROL!$C$32, $C$9, 100%, $E$9)</f>
        <v>4.5959000000000003</v>
      </c>
      <c r="E257" s="81">
        <f>5.9035 * CHOOSE(CONTROL!$C$32, $C$9, 100%, $E$9)</f>
        <v>5.9035000000000002</v>
      </c>
      <c r="F257" s="81">
        <f>5.9035 * CHOOSE(CONTROL!$C$32, $C$9, 100%, $E$9)</f>
        <v>5.9035000000000002</v>
      </c>
      <c r="G257" s="81">
        <f>5.9071 * CHOOSE(CONTROL!$C$32, $C$9, 100%, $E$9)</f>
        <v>5.9070999999999998</v>
      </c>
      <c r="H257" s="81">
        <f>9.6458 * CHOOSE(CONTROL!$C$32, $C$9, 100%, $E$9)</f>
        <v>9.6457999999999995</v>
      </c>
      <c r="I257" s="81">
        <f>9.6494 * CHOOSE(CONTROL!$C$32, $C$9, 100%, $E$9)</f>
        <v>9.6494</v>
      </c>
      <c r="J257" s="81">
        <f>9.6458 * CHOOSE(CONTROL!$C$32, $C$9, 100%, $E$9)</f>
        <v>9.6457999999999995</v>
      </c>
      <c r="K257" s="81">
        <f>9.6494 * CHOOSE(CONTROL!$C$32, $C$9, 100%, $E$9)</f>
        <v>9.6494</v>
      </c>
      <c r="L257" s="81">
        <f>5.9035 * CHOOSE(CONTROL!$C$32, $C$9, 100%, $E$9)</f>
        <v>5.9035000000000002</v>
      </c>
      <c r="M257" s="81">
        <f>5.9071 * CHOOSE(CONTROL!$C$32, $C$9, 100%, $E$9)</f>
        <v>5.9070999999999998</v>
      </c>
      <c r="N257" s="81">
        <f>5.9035 * CHOOSE(CONTROL!$C$32, $C$9, 100%, $E$9)</f>
        <v>5.9035000000000002</v>
      </c>
      <c r="O257" s="81">
        <f>5.9071 * CHOOSE(CONTROL!$C$32, $C$9, 100%, $E$9)</f>
        <v>5.9070999999999998</v>
      </c>
    </row>
    <row r="258" spans="1:15" ht="15" x14ac:dyDescent="0.2">
      <c r="A258" s="16">
        <v>49065</v>
      </c>
      <c r="B258" s="80">
        <f>4.5948 * CHOOSE(CONTROL!$C$32, $C$9, 100%, $E$9)</f>
        <v>4.5948000000000002</v>
      </c>
      <c r="C258" s="80">
        <f>4.5948 * CHOOSE(CONTROL!$C$32, $C$9, 100%, $E$9)</f>
        <v>4.5948000000000002</v>
      </c>
      <c r="D258" s="80">
        <f>4.5964 * CHOOSE(CONTROL!$C$32, $C$9, 100%, $E$9)</f>
        <v>4.5964</v>
      </c>
      <c r="E258" s="81">
        <f>5.9035 * CHOOSE(CONTROL!$C$32, $C$9, 100%, $E$9)</f>
        <v>5.9035000000000002</v>
      </c>
      <c r="F258" s="81">
        <f>5.9035 * CHOOSE(CONTROL!$C$32, $C$9, 100%, $E$9)</f>
        <v>5.9035000000000002</v>
      </c>
      <c r="G258" s="81">
        <f>5.9088 * CHOOSE(CONTROL!$C$32, $C$9, 100%, $E$9)</f>
        <v>5.9088000000000003</v>
      </c>
      <c r="H258" s="81">
        <f>9.6659 * CHOOSE(CONTROL!$C$32, $C$9, 100%, $E$9)</f>
        <v>9.6659000000000006</v>
      </c>
      <c r="I258" s="81">
        <f>9.6712 * CHOOSE(CONTROL!$C$32, $C$9, 100%, $E$9)</f>
        <v>9.6712000000000007</v>
      </c>
      <c r="J258" s="81">
        <f>9.6659 * CHOOSE(CONTROL!$C$32, $C$9, 100%, $E$9)</f>
        <v>9.6659000000000006</v>
      </c>
      <c r="K258" s="81">
        <f>9.6712 * CHOOSE(CONTROL!$C$32, $C$9, 100%, $E$9)</f>
        <v>9.6712000000000007</v>
      </c>
      <c r="L258" s="81">
        <f>5.9035 * CHOOSE(CONTROL!$C$32, $C$9, 100%, $E$9)</f>
        <v>5.9035000000000002</v>
      </c>
      <c r="M258" s="81">
        <f>5.9088 * CHOOSE(CONTROL!$C$32, $C$9, 100%, $E$9)</f>
        <v>5.9088000000000003</v>
      </c>
      <c r="N258" s="81">
        <f>5.9035 * CHOOSE(CONTROL!$C$32, $C$9, 100%, $E$9)</f>
        <v>5.9035000000000002</v>
      </c>
      <c r="O258" s="81">
        <f>5.9088 * CHOOSE(CONTROL!$C$32, $C$9, 100%, $E$9)</f>
        <v>5.9088000000000003</v>
      </c>
    </row>
    <row r="259" spans="1:15" ht="15" x14ac:dyDescent="0.2">
      <c r="A259" s="16">
        <v>49096</v>
      </c>
      <c r="B259" s="80">
        <f>4.6009 * CHOOSE(CONTROL!$C$32, $C$9, 100%, $E$9)</f>
        <v>4.6009000000000002</v>
      </c>
      <c r="C259" s="80">
        <f>4.6009 * CHOOSE(CONTROL!$C$32, $C$9, 100%, $E$9)</f>
        <v>4.6009000000000002</v>
      </c>
      <c r="D259" s="80">
        <f>4.6025 * CHOOSE(CONTROL!$C$32, $C$9, 100%, $E$9)</f>
        <v>4.6025</v>
      </c>
      <c r="E259" s="81">
        <f>5.9075 * CHOOSE(CONTROL!$C$32, $C$9, 100%, $E$9)</f>
        <v>5.9074999999999998</v>
      </c>
      <c r="F259" s="81">
        <f>5.9075 * CHOOSE(CONTROL!$C$32, $C$9, 100%, $E$9)</f>
        <v>5.9074999999999998</v>
      </c>
      <c r="G259" s="81">
        <f>5.9128 * CHOOSE(CONTROL!$C$32, $C$9, 100%, $E$9)</f>
        <v>5.9127999999999998</v>
      </c>
      <c r="H259" s="81">
        <f>9.686 * CHOOSE(CONTROL!$C$32, $C$9, 100%, $E$9)</f>
        <v>9.6859999999999999</v>
      </c>
      <c r="I259" s="81">
        <f>9.6913 * CHOOSE(CONTROL!$C$32, $C$9, 100%, $E$9)</f>
        <v>9.6913</v>
      </c>
      <c r="J259" s="81">
        <f>9.686 * CHOOSE(CONTROL!$C$32, $C$9, 100%, $E$9)</f>
        <v>9.6859999999999999</v>
      </c>
      <c r="K259" s="81">
        <f>9.6913 * CHOOSE(CONTROL!$C$32, $C$9, 100%, $E$9)</f>
        <v>9.6913</v>
      </c>
      <c r="L259" s="81">
        <f>5.9075 * CHOOSE(CONTROL!$C$32, $C$9, 100%, $E$9)</f>
        <v>5.9074999999999998</v>
      </c>
      <c r="M259" s="81">
        <f>5.9128 * CHOOSE(CONTROL!$C$32, $C$9, 100%, $E$9)</f>
        <v>5.9127999999999998</v>
      </c>
      <c r="N259" s="81">
        <f>5.9075 * CHOOSE(CONTROL!$C$32, $C$9, 100%, $E$9)</f>
        <v>5.9074999999999998</v>
      </c>
      <c r="O259" s="81">
        <f>5.9128 * CHOOSE(CONTROL!$C$32, $C$9, 100%, $E$9)</f>
        <v>5.9127999999999998</v>
      </c>
    </row>
    <row r="260" spans="1:15" ht="15" x14ac:dyDescent="0.2">
      <c r="A260" s="16">
        <v>49126</v>
      </c>
      <c r="B260" s="80">
        <f>4.6716 * CHOOSE(CONTROL!$C$32, $C$9, 100%, $E$9)</f>
        <v>4.6715999999999998</v>
      </c>
      <c r="C260" s="80">
        <f>4.6716 * CHOOSE(CONTROL!$C$32, $C$9, 100%, $E$9)</f>
        <v>4.6715999999999998</v>
      </c>
      <c r="D260" s="80">
        <f>4.6731 * CHOOSE(CONTROL!$C$32, $C$9, 100%, $E$9)</f>
        <v>4.6730999999999998</v>
      </c>
      <c r="E260" s="81">
        <f>6.0182 * CHOOSE(CONTROL!$C$32, $C$9, 100%, $E$9)</f>
        <v>6.0182000000000002</v>
      </c>
      <c r="F260" s="81">
        <f>6.0182 * CHOOSE(CONTROL!$C$32, $C$9, 100%, $E$9)</f>
        <v>6.0182000000000002</v>
      </c>
      <c r="G260" s="81">
        <f>6.0235 * CHOOSE(CONTROL!$C$32, $C$9, 100%, $E$9)</f>
        <v>6.0235000000000003</v>
      </c>
      <c r="H260" s="81">
        <f>9.7062 * CHOOSE(CONTROL!$C$32, $C$9, 100%, $E$9)</f>
        <v>9.7062000000000008</v>
      </c>
      <c r="I260" s="81">
        <f>9.7115 * CHOOSE(CONTROL!$C$32, $C$9, 100%, $E$9)</f>
        <v>9.7114999999999991</v>
      </c>
      <c r="J260" s="81">
        <f>9.7062 * CHOOSE(CONTROL!$C$32, $C$9, 100%, $E$9)</f>
        <v>9.7062000000000008</v>
      </c>
      <c r="K260" s="81">
        <f>9.7115 * CHOOSE(CONTROL!$C$32, $C$9, 100%, $E$9)</f>
        <v>9.7114999999999991</v>
      </c>
      <c r="L260" s="81">
        <f>6.0182 * CHOOSE(CONTROL!$C$32, $C$9, 100%, $E$9)</f>
        <v>6.0182000000000002</v>
      </c>
      <c r="M260" s="81">
        <f>6.0235 * CHOOSE(CONTROL!$C$32, $C$9, 100%, $E$9)</f>
        <v>6.0235000000000003</v>
      </c>
      <c r="N260" s="81">
        <f>6.0182 * CHOOSE(CONTROL!$C$32, $C$9, 100%, $E$9)</f>
        <v>6.0182000000000002</v>
      </c>
      <c r="O260" s="81">
        <f>6.0235 * CHOOSE(CONTROL!$C$32, $C$9, 100%, $E$9)</f>
        <v>6.0235000000000003</v>
      </c>
    </row>
    <row r="261" spans="1:15" ht="15" x14ac:dyDescent="0.2">
      <c r="A261" s="16">
        <v>49157</v>
      </c>
      <c r="B261" s="80">
        <f>4.6783 * CHOOSE(CONTROL!$C$32, $C$9, 100%, $E$9)</f>
        <v>4.6783000000000001</v>
      </c>
      <c r="C261" s="80">
        <f>4.6783 * CHOOSE(CONTROL!$C$32, $C$9, 100%, $E$9)</f>
        <v>4.6783000000000001</v>
      </c>
      <c r="D261" s="80">
        <f>4.6798 * CHOOSE(CONTROL!$C$32, $C$9, 100%, $E$9)</f>
        <v>4.6798000000000002</v>
      </c>
      <c r="E261" s="81">
        <f>6.0226 * CHOOSE(CONTROL!$C$32, $C$9, 100%, $E$9)</f>
        <v>6.0225999999999997</v>
      </c>
      <c r="F261" s="81">
        <f>6.0226 * CHOOSE(CONTROL!$C$32, $C$9, 100%, $E$9)</f>
        <v>6.0225999999999997</v>
      </c>
      <c r="G261" s="81">
        <f>6.0279 * CHOOSE(CONTROL!$C$32, $C$9, 100%, $E$9)</f>
        <v>6.0278999999999998</v>
      </c>
      <c r="H261" s="81">
        <f>9.7264 * CHOOSE(CONTROL!$C$32, $C$9, 100%, $E$9)</f>
        <v>9.7263999999999999</v>
      </c>
      <c r="I261" s="81">
        <f>9.7317 * CHOOSE(CONTROL!$C$32, $C$9, 100%, $E$9)</f>
        <v>9.7317</v>
      </c>
      <c r="J261" s="81">
        <f>9.7264 * CHOOSE(CONTROL!$C$32, $C$9, 100%, $E$9)</f>
        <v>9.7263999999999999</v>
      </c>
      <c r="K261" s="81">
        <f>9.7317 * CHOOSE(CONTROL!$C$32, $C$9, 100%, $E$9)</f>
        <v>9.7317</v>
      </c>
      <c r="L261" s="81">
        <f>6.0226 * CHOOSE(CONTROL!$C$32, $C$9, 100%, $E$9)</f>
        <v>6.0225999999999997</v>
      </c>
      <c r="M261" s="81">
        <f>6.0279 * CHOOSE(CONTROL!$C$32, $C$9, 100%, $E$9)</f>
        <v>6.0278999999999998</v>
      </c>
      <c r="N261" s="81">
        <f>6.0226 * CHOOSE(CONTROL!$C$32, $C$9, 100%, $E$9)</f>
        <v>6.0225999999999997</v>
      </c>
      <c r="O261" s="81">
        <f>6.0279 * CHOOSE(CONTROL!$C$32, $C$9, 100%, $E$9)</f>
        <v>6.0278999999999998</v>
      </c>
    </row>
    <row r="262" spans="1:15" ht="15" x14ac:dyDescent="0.2">
      <c r="A262" s="16">
        <v>49188</v>
      </c>
      <c r="B262" s="80">
        <f>4.6752 * CHOOSE(CONTROL!$C$32, $C$9, 100%, $E$9)</f>
        <v>4.6752000000000002</v>
      </c>
      <c r="C262" s="80">
        <f>4.6752 * CHOOSE(CONTROL!$C$32, $C$9, 100%, $E$9)</f>
        <v>4.6752000000000002</v>
      </c>
      <c r="D262" s="80">
        <f>4.6768 * CHOOSE(CONTROL!$C$32, $C$9, 100%, $E$9)</f>
        <v>4.6768000000000001</v>
      </c>
      <c r="E262" s="81">
        <f>6.0206 * CHOOSE(CONTROL!$C$32, $C$9, 100%, $E$9)</f>
        <v>6.0206</v>
      </c>
      <c r="F262" s="81">
        <f>6.0206 * CHOOSE(CONTROL!$C$32, $C$9, 100%, $E$9)</f>
        <v>6.0206</v>
      </c>
      <c r="G262" s="81">
        <f>6.0259 * CHOOSE(CONTROL!$C$32, $C$9, 100%, $E$9)</f>
        <v>6.0259</v>
      </c>
      <c r="H262" s="81">
        <f>9.7467 * CHOOSE(CONTROL!$C$32, $C$9, 100%, $E$9)</f>
        <v>9.7467000000000006</v>
      </c>
      <c r="I262" s="81">
        <f>9.752 * CHOOSE(CONTROL!$C$32, $C$9, 100%, $E$9)</f>
        <v>9.7520000000000007</v>
      </c>
      <c r="J262" s="81">
        <f>9.7467 * CHOOSE(CONTROL!$C$32, $C$9, 100%, $E$9)</f>
        <v>9.7467000000000006</v>
      </c>
      <c r="K262" s="81">
        <f>9.752 * CHOOSE(CONTROL!$C$32, $C$9, 100%, $E$9)</f>
        <v>9.7520000000000007</v>
      </c>
      <c r="L262" s="81">
        <f>6.0206 * CHOOSE(CONTROL!$C$32, $C$9, 100%, $E$9)</f>
        <v>6.0206</v>
      </c>
      <c r="M262" s="81">
        <f>6.0259 * CHOOSE(CONTROL!$C$32, $C$9, 100%, $E$9)</f>
        <v>6.0259</v>
      </c>
      <c r="N262" s="81">
        <f>6.0206 * CHOOSE(CONTROL!$C$32, $C$9, 100%, $E$9)</f>
        <v>6.0206</v>
      </c>
      <c r="O262" s="81">
        <f>6.0259 * CHOOSE(CONTROL!$C$32, $C$9, 100%, $E$9)</f>
        <v>6.0259</v>
      </c>
    </row>
    <row r="263" spans="1:15" ht="15" x14ac:dyDescent="0.2">
      <c r="A263" s="16">
        <v>49218</v>
      </c>
      <c r="B263" s="80">
        <f>4.6728 * CHOOSE(CONTROL!$C$32, $C$9, 100%, $E$9)</f>
        <v>4.6727999999999996</v>
      </c>
      <c r="C263" s="80">
        <f>4.6728 * CHOOSE(CONTROL!$C$32, $C$9, 100%, $E$9)</f>
        <v>4.6727999999999996</v>
      </c>
      <c r="D263" s="80">
        <f>4.6739 * CHOOSE(CONTROL!$C$32, $C$9, 100%, $E$9)</f>
        <v>4.6738999999999997</v>
      </c>
      <c r="E263" s="81">
        <f>6.0166 * CHOOSE(CONTROL!$C$32, $C$9, 100%, $E$9)</f>
        <v>6.0166000000000004</v>
      </c>
      <c r="F263" s="81">
        <f>6.0166 * CHOOSE(CONTROL!$C$32, $C$9, 100%, $E$9)</f>
        <v>6.0166000000000004</v>
      </c>
      <c r="G263" s="81">
        <f>6.0202 * CHOOSE(CONTROL!$C$32, $C$9, 100%, $E$9)</f>
        <v>6.0202</v>
      </c>
      <c r="H263" s="81">
        <f>9.767 * CHOOSE(CONTROL!$C$32, $C$9, 100%, $E$9)</f>
        <v>9.7669999999999995</v>
      </c>
      <c r="I263" s="81">
        <f>9.7706 * CHOOSE(CONTROL!$C$32, $C$9, 100%, $E$9)</f>
        <v>9.7706</v>
      </c>
      <c r="J263" s="81">
        <f>9.767 * CHOOSE(CONTROL!$C$32, $C$9, 100%, $E$9)</f>
        <v>9.7669999999999995</v>
      </c>
      <c r="K263" s="81">
        <f>9.7706 * CHOOSE(CONTROL!$C$32, $C$9, 100%, $E$9)</f>
        <v>9.7706</v>
      </c>
      <c r="L263" s="81">
        <f>6.0166 * CHOOSE(CONTROL!$C$32, $C$9, 100%, $E$9)</f>
        <v>6.0166000000000004</v>
      </c>
      <c r="M263" s="81">
        <f>6.0202 * CHOOSE(CONTROL!$C$32, $C$9, 100%, $E$9)</f>
        <v>6.0202</v>
      </c>
      <c r="N263" s="81">
        <f>6.0166 * CHOOSE(CONTROL!$C$32, $C$9, 100%, $E$9)</f>
        <v>6.0166000000000004</v>
      </c>
      <c r="O263" s="81">
        <f>6.0202 * CHOOSE(CONTROL!$C$32, $C$9, 100%, $E$9)</f>
        <v>6.0202</v>
      </c>
    </row>
    <row r="264" spans="1:15" ht="15" x14ac:dyDescent="0.2">
      <c r="A264" s="16">
        <v>49249</v>
      </c>
      <c r="B264" s="80">
        <f>4.6758 * CHOOSE(CONTROL!$C$32, $C$9, 100%, $E$9)</f>
        <v>4.6757999999999997</v>
      </c>
      <c r="C264" s="80">
        <f>4.6758 * CHOOSE(CONTROL!$C$32, $C$9, 100%, $E$9)</f>
        <v>4.6757999999999997</v>
      </c>
      <c r="D264" s="80">
        <f>4.6769 * CHOOSE(CONTROL!$C$32, $C$9, 100%, $E$9)</f>
        <v>4.6768999999999998</v>
      </c>
      <c r="E264" s="81">
        <f>6.0186 * CHOOSE(CONTROL!$C$32, $C$9, 100%, $E$9)</f>
        <v>6.0186000000000002</v>
      </c>
      <c r="F264" s="81">
        <f>6.0186 * CHOOSE(CONTROL!$C$32, $C$9, 100%, $E$9)</f>
        <v>6.0186000000000002</v>
      </c>
      <c r="G264" s="81">
        <f>6.0222 * CHOOSE(CONTROL!$C$32, $C$9, 100%, $E$9)</f>
        <v>6.0221999999999998</v>
      </c>
      <c r="H264" s="81">
        <f>9.7874 * CHOOSE(CONTROL!$C$32, $C$9, 100%, $E$9)</f>
        <v>9.7873999999999999</v>
      </c>
      <c r="I264" s="81">
        <f>9.791 * CHOOSE(CONTROL!$C$32, $C$9, 100%, $E$9)</f>
        <v>9.7910000000000004</v>
      </c>
      <c r="J264" s="81">
        <f>9.7874 * CHOOSE(CONTROL!$C$32, $C$9, 100%, $E$9)</f>
        <v>9.7873999999999999</v>
      </c>
      <c r="K264" s="81">
        <f>9.791 * CHOOSE(CONTROL!$C$32, $C$9, 100%, $E$9)</f>
        <v>9.7910000000000004</v>
      </c>
      <c r="L264" s="81">
        <f>6.0186 * CHOOSE(CONTROL!$C$32, $C$9, 100%, $E$9)</f>
        <v>6.0186000000000002</v>
      </c>
      <c r="M264" s="81">
        <f>6.0222 * CHOOSE(CONTROL!$C$32, $C$9, 100%, $E$9)</f>
        <v>6.0221999999999998</v>
      </c>
      <c r="N264" s="81">
        <f>6.0186 * CHOOSE(CONTROL!$C$32, $C$9, 100%, $E$9)</f>
        <v>6.0186000000000002</v>
      </c>
      <c r="O264" s="81">
        <f>6.0222 * CHOOSE(CONTROL!$C$32, $C$9, 100%, $E$9)</f>
        <v>6.0221999999999998</v>
      </c>
    </row>
    <row r="265" spans="1:15" ht="15" x14ac:dyDescent="0.2">
      <c r="A265" s="16">
        <v>49279</v>
      </c>
      <c r="B265" s="80">
        <f>4.6758 * CHOOSE(CONTROL!$C$32, $C$9, 100%, $E$9)</f>
        <v>4.6757999999999997</v>
      </c>
      <c r="C265" s="80">
        <f>4.6758 * CHOOSE(CONTROL!$C$32, $C$9, 100%, $E$9)</f>
        <v>4.6757999999999997</v>
      </c>
      <c r="D265" s="80">
        <f>4.6769 * CHOOSE(CONTROL!$C$32, $C$9, 100%, $E$9)</f>
        <v>4.6768999999999998</v>
      </c>
      <c r="E265" s="81">
        <f>6.0186 * CHOOSE(CONTROL!$C$32, $C$9, 100%, $E$9)</f>
        <v>6.0186000000000002</v>
      </c>
      <c r="F265" s="81">
        <f>6.0186 * CHOOSE(CONTROL!$C$32, $C$9, 100%, $E$9)</f>
        <v>6.0186000000000002</v>
      </c>
      <c r="G265" s="81">
        <f>6.0222 * CHOOSE(CONTROL!$C$32, $C$9, 100%, $E$9)</f>
        <v>6.0221999999999998</v>
      </c>
      <c r="H265" s="81">
        <f>9.8078 * CHOOSE(CONTROL!$C$32, $C$9, 100%, $E$9)</f>
        <v>9.8078000000000003</v>
      </c>
      <c r="I265" s="81">
        <f>9.8114 * CHOOSE(CONTROL!$C$32, $C$9, 100%, $E$9)</f>
        <v>9.8114000000000008</v>
      </c>
      <c r="J265" s="81">
        <f>9.8078 * CHOOSE(CONTROL!$C$32, $C$9, 100%, $E$9)</f>
        <v>9.8078000000000003</v>
      </c>
      <c r="K265" s="81">
        <f>9.8114 * CHOOSE(CONTROL!$C$32, $C$9, 100%, $E$9)</f>
        <v>9.8114000000000008</v>
      </c>
      <c r="L265" s="81">
        <f>6.0186 * CHOOSE(CONTROL!$C$32, $C$9, 100%, $E$9)</f>
        <v>6.0186000000000002</v>
      </c>
      <c r="M265" s="81">
        <f>6.0222 * CHOOSE(CONTROL!$C$32, $C$9, 100%, $E$9)</f>
        <v>6.0221999999999998</v>
      </c>
      <c r="N265" s="81">
        <f>6.0186 * CHOOSE(CONTROL!$C$32, $C$9, 100%, $E$9)</f>
        <v>6.0186000000000002</v>
      </c>
      <c r="O265" s="81">
        <f>6.0222 * CHOOSE(CONTROL!$C$32, $C$9, 100%, $E$9)</f>
        <v>6.0221999999999998</v>
      </c>
    </row>
    <row r="266" spans="1:15" ht="15" x14ac:dyDescent="0.2">
      <c r="A266" s="16">
        <v>49310</v>
      </c>
      <c r="B266" s="80">
        <f>4.713 * CHOOSE(CONTROL!$C$32, $C$9, 100%, $E$9)</f>
        <v>4.7130000000000001</v>
      </c>
      <c r="C266" s="80">
        <f>4.713 * CHOOSE(CONTROL!$C$32, $C$9, 100%, $E$9)</f>
        <v>4.7130000000000001</v>
      </c>
      <c r="D266" s="80">
        <f>4.7141 * CHOOSE(CONTROL!$C$32, $C$9, 100%, $E$9)</f>
        <v>4.7141000000000002</v>
      </c>
      <c r="E266" s="81">
        <f>6.0663 * CHOOSE(CONTROL!$C$32, $C$9, 100%, $E$9)</f>
        <v>6.0663</v>
      </c>
      <c r="F266" s="81">
        <f>6.0663 * CHOOSE(CONTROL!$C$32, $C$9, 100%, $E$9)</f>
        <v>6.0663</v>
      </c>
      <c r="G266" s="81">
        <f>6.0699 * CHOOSE(CONTROL!$C$32, $C$9, 100%, $E$9)</f>
        <v>6.0698999999999996</v>
      </c>
      <c r="H266" s="81">
        <f>9.8282 * CHOOSE(CONTROL!$C$32, $C$9, 100%, $E$9)</f>
        <v>9.8282000000000007</v>
      </c>
      <c r="I266" s="81">
        <f>9.8318 * CHOOSE(CONTROL!$C$32, $C$9, 100%, $E$9)</f>
        <v>9.8317999999999994</v>
      </c>
      <c r="J266" s="81">
        <f>9.8282 * CHOOSE(CONTROL!$C$32, $C$9, 100%, $E$9)</f>
        <v>9.8282000000000007</v>
      </c>
      <c r="K266" s="81">
        <f>9.8318 * CHOOSE(CONTROL!$C$32, $C$9, 100%, $E$9)</f>
        <v>9.8317999999999994</v>
      </c>
      <c r="L266" s="81">
        <f>6.0663 * CHOOSE(CONTROL!$C$32, $C$9, 100%, $E$9)</f>
        <v>6.0663</v>
      </c>
      <c r="M266" s="81">
        <f>6.0699 * CHOOSE(CONTROL!$C$32, $C$9, 100%, $E$9)</f>
        <v>6.0698999999999996</v>
      </c>
      <c r="N266" s="81">
        <f>6.0663 * CHOOSE(CONTROL!$C$32, $C$9, 100%, $E$9)</f>
        <v>6.0663</v>
      </c>
      <c r="O266" s="81">
        <f>6.0699 * CHOOSE(CONTROL!$C$32, $C$9, 100%, $E$9)</f>
        <v>6.0698999999999996</v>
      </c>
    </row>
    <row r="267" spans="1:15" ht="15" x14ac:dyDescent="0.2">
      <c r="A267" s="16">
        <v>49341</v>
      </c>
      <c r="B267" s="80">
        <f>4.71 * CHOOSE(CONTROL!$C$32, $C$9, 100%, $E$9)</f>
        <v>4.71</v>
      </c>
      <c r="C267" s="80">
        <f>4.71 * CHOOSE(CONTROL!$C$32, $C$9, 100%, $E$9)</f>
        <v>4.71</v>
      </c>
      <c r="D267" s="80">
        <f>4.711 * CHOOSE(CONTROL!$C$32, $C$9, 100%, $E$9)</f>
        <v>4.7110000000000003</v>
      </c>
      <c r="E267" s="81">
        <f>6.3757 * CHOOSE(CONTROL!$C$32, $C$9, 100%, $E$9)</f>
        <v>6.3757000000000001</v>
      </c>
      <c r="F267" s="81">
        <f>6.3757 * CHOOSE(CONTROL!$C$32, $C$9, 100%, $E$9)</f>
        <v>6.3757000000000001</v>
      </c>
      <c r="G267" s="81">
        <f>6.3793 * CHOOSE(CONTROL!$C$32, $C$9, 100%, $E$9)</f>
        <v>6.3792999999999997</v>
      </c>
      <c r="H267" s="81">
        <f>9.8487 * CHOOSE(CONTROL!$C$32, $C$9, 100%, $E$9)</f>
        <v>9.8486999999999991</v>
      </c>
      <c r="I267" s="81">
        <f>9.8523 * CHOOSE(CONTROL!$C$32, $C$9, 100%, $E$9)</f>
        <v>9.8522999999999996</v>
      </c>
      <c r="J267" s="81">
        <f>9.8487 * CHOOSE(CONTROL!$C$32, $C$9, 100%, $E$9)</f>
        <v>9.8486999999999991</v>
      </c>
      <c r="K267" s="81">
        <f>9.8523 * CHOOSE(CONTROL!$C$32, $C$9, 100%, $E$9)</f>
        <v>9.8522999999999996</v>
      </c>
      <c r="L267" s="81">
        <f>6.3757 * CHOOSE(CONTROL!$C$32, $C$9, 100%, $E$9)</f>
        <v>6.3757000000000001</v>
      </c>
      <c r="M267" s="81">
        <f>6.3793 * CHOOSE(CONTROL!$C$32, $C$9, 100%, $E$9)</f>
        <v>6.3792999999999997</v>
      </c>
      <c r="N267" s="81">
        <f>6.3757 * CHOOSE(CONTROL!$C$32, $C$9, 100%, $E$9)</f>
        <v>6.3757000000000001</v>
      </c>
      <c r="O267" s="81">
        <f>6.3793 * CHOOSE(CONTROL!$C$32, $C$9, 100%, $E$9)</f>
        <v>6.3792999999999997</v>
      </c>
    </row>
    <row r="268" spans="1:15" ht="15" x14ac:dyDescent="0.2">
      <c r="A268" s="16">
        <v>49369</v>
      </c>
      <c r="B268" s="80">
        <f>4.7069 * CHOOSE(CONTROL!$C$32, $C$9, 100%, $E$9)</f>
        <v>4.7069000000000001</v>
      </c>
      <c r="C268" s="80">
        <f>4.7069 * CHOOSE(CONTROL!$C$32, $C$9, 100%, $E$9)</f>
        <v>4.7069000000000001</v>
      </c>
      <c r="D268" s="80">
        <f>4.708 * CHOOSE(CONTROL!$C$32, $C$9, 100%, $E$9)</f>
        <v>4.7080000000000002</v>
      </c>
      <c r="E268" s="81">
        <f>6.0623 * CHOOSE(CONTROL!$C$32, $C$9, 100%, $E$9)</f>
        <v>6.0622999999999996</v>
      </c>
      <c r="F268" s="81">
        <f>6.0623 * CHOOSE(CONTROL!$C$32, $C$9, 100%, $E$9)</f>
        <v>6.0622999999999996</v>
      </c>
      <c r="G268" s="81">
        <f>6.0659 * CHOOSE(CONTROL!$C$32, $C$9, 100%, $E$9)</f>
        <v>6.0659000000000001</v>
      </c>
      <c r="H268" s="81">
        <f>9.8692 * CHOOSE(CONTROL!$C$32, $C$9, 100%, $E$9)</f>
        <v>9.8691999999999993</v>
      </c>
      <c r="I268" s="81">
        <f>9.8728 * CHOOSE(CONTROL!$C$32, $C$9, 100%, $E$9)</f>
        <v>9.8727999999999998</v>
      </c>
      <c r="J268" s="81">
        <f>9.8692 * CHOOSE(CONTROL!$C$32, $C$9, 100%, $E$9)</f>
        <v>9.8691999999999993</v>
      </c>
      <c r="K268" s="81">
        <f>9.8728 * CHOOSE(CONTROL!$C$32, $C$9, 100%, $E$9)</f>
        <v>9.8727999999999998</v>
      </c>
      <c r="L268" s="81">
        <f>6.0623 * CHOOSE(CONTROL!$C$32, $C$9, 100%, $E$9)</f>
        <v>6.0622999999999996</v>
      </c>
      <c r="M268" s="81">
        <f>6.0659 * CHOOSE(CONTROL!$C$32, $C$9, 100%, $E$9)</f>
        <v>6.0659000000000001</v>
      </c>
      <c r="N268" s="81">
        <f>6.0623 * CHOOSE(CONTROL!$C$32, $C$9, 100%, $E$9)</f>
        <v>6.0622999999999996</v>
      </c>
      <c r="O268" s="81">
        <f>6.0659 * CHOOSE(CONTROL!$C$32, $C$9, 100%, $E$9)</f>
        <v>6.0659000000000001</v>
      </c>
    </row>
    <row r="269" spans="1:15" ht="15" x14ac:dyDescent="0.2">
      <c r="A269" s="16">
        <v>49400</v>
      </c>
      <c r="B269" s="80">
        <f>4.7052 * CHOOSE(CONTROL!$C$32, $C$9, 100%, $E$9)</f>
        <v>4.7051999999999996</v>
      </c>
      <c r="C269" s="80">
        <f>4.7052 * CHOOSE(CONTROL!$C$32, $C$9, 100%, $E$9)</f>
        <v>4.7051999999999996</v>
      </c>
      <c r="D269" s="80">
        <f>4.7063 * CHOOSE(CONTROL!$C$32, $C$9, 100%, $E$9)</f>
        <v>4.7062999999999997</v>
      </c>
      <c r="E269" s="81">
        <f>6.0605 * CHOOSE(CONTROL!$C$32, $C$9, 100%, $E$9)</f>
        <v>6.0605000000000002</v>
      </c>
      <c r="F269" s="81">
        <f>6.0605 * CHOOSE(CONTROL!$C$32, $C$9, 100%, $E$9)</f>
        <v>6.0605000000000002</v>
      </c>
      <c r="G269" s="81">
        <f>6.0642 * CHOOSE(CONTROL!$C$32, $C$9, 100%, $E$9)</f>
        <v>6.0641999999999996</v>
      </c>
      <c r="H269" s="81">
        <f>9.8897 * CHOOSE(CONTROL!$C$32, $C$9, 100%, $E$9)</f>
        <v>9.8896999999999995</v>
      </c>
      <c r="I269" s="81">
        <f>9.8934 * CHOOSE(CONTROL!$C$32, $C$9, 100%, $E$9)</f>
        <v>9.8933999999999997</v>
      </c>
      <c r="J269" s="81">
        <f>9.8897 * CHOOSE(CONTROL!$C$32, $C$9, 100%, $E$9)</f>
        <v>9.8896999999999995</v>
      </c>
      <c r="K269" s="81">
        <f>9.8934 * CHOOSE(CONTROL!$C$32, $C$9, 100%, $E$9)</f>
        <v>9.8933999999999997</v>
      </c>
      <c r="L269" s="81">
        <f>6.0605 * CHOOSE(CONTROL!$C$32, $C$9, 100%, $E$9)</f>
        <v>6.0605000000000002</v>
      </c>
      <c r="M269" s="81">
        <f>6.0642 * CHOOSE(CONTROL!$C$32, $C$9, 100%, $E$9)</f>
        <v>6.0641999999999996</v>
      </c>
      <c r="N269" s="81">
        <f>6.0605 * CHOOSE(CONTROL!$C$32, $C$9, 100%, $E$9)</f>
        <v>6.0605000000000002</v>
      </c>
      <c r="O269" s="81">
        <f>6.0642 * CHOOSE(CONTROL!$C$32, $C$9, 100%, $E$9)</f>
        <v>6.0641999999999996</v>
      </c>
    </row>
    <row r="270" spans="1:15" ht="15" x14ac:dyDescent="0.2">
      <c r="A270" s="16">
        <v>49430</v>
      </c>
      <c r="B270" s="80">
        <f>4.7052 * CHOOSE(CONTROL!$C$32, $C$9, 100%, $E$9)</f>
        <v>4.7051999999999996</v>
      </c>
      <c r="C270" s="80">
        <f>4.7052 * CHOOSE(CONTROL!$C$32, $C$9, 100%, $E$9)</f>
        <v>4.7051999999999996</v>
      </c>
      <c r="D270" s="80">
        <f>4.7068 * CHOOSE(CONTROL!$C$32, $C$9, 100%, $E$9)</f>
        <v>4.7068000000000003</v>
      </c>
      <c r="E270" s="81">
        <f>6.0605 * CHOOSE(CONTROL!$C$32, $C$9, 100%, $E$9)</f>
        <v>6.0605000000000002</v>
      </c>
      <c r="F270" s="81">
        <f>6.0605 * CHOOSE(CONTROL!$C$32, $C$9, 100%, $E$9)</f>
        <v>6.0605000000000002</v>
      </c>
      <c r="G270" s="81">
        <f>6.0658 * CHOOSE(CONTROL!$C$32, $C$9, 100%, $E$9)</f>
        <v>6.0658000000000003</v>
      </c>
      <c r="H270" s="81">
        <f>9.9103 * CHOOSE(CONTROL!$C$32, $C$9, 100%, $E$9)</f>
        <v>9.9102999999999994</v>
      </c>
      <c r="I270" s="81">
        <f>9.9156 * CHOOSE(CONTROL!$C$32, $C$9, 100%, $E$9)</f>
        <v>9.9155999999999995</v>
      </c>
      <c r="J270" s="81">
        <f>9.9103 * CHOOSE(CONTROL!$C$32, $C$9, 100%, $E$9)</f>
        <v>9.9102999999999994</v>
      </c>
      <c r="K270" s="81">
        <f>9.9156 * CHOOSE(CONTROL!$C$32, $C$9, 100%, $E$9)</f>
        <v>9.9155999999999995</v>
      </c>
      <c r="L270" s="81">
        <f>6.0605 * CHOOSE(CONTROL!$C$32, $C$9, 100%, $E$9)</f>
        <v>6.0605000000000002</v>
      </c>
      <c r="M270" s="81">
        <f>6.0658 * CHOOSE(CONTROL!$C$32, $C$9, 100%, $E$9)</f>
        <v>6.0658000000000003</v>
      </c>
      <c r="N270" s="81">
        <f>6.0605 * CHOOSE(CONTROL!$C$32, $C$9, 100%, $E$9)</f>
        <v>6.0605000000000002</v>
      </c>
      <c r="O270" s="81">
        <f>6.0658 * CHOOSE(CONTROL!$C$32, $C$9, 100%, $E$9)</f>
        <v>6.0658000000000003</v>
      </c>
    </row>
    <row r="271" spans="1:15" ht="15" x14ac:dyDescent="0.2">
      <c r="A271" s="16">
        <v>49461</v>
      </c>
      <c r="B271" s="80">
        <f>4.7113 * CHOOSE(CONTROL!$C$32, $C$9, 100%, $E$9)</f>
        <v>4.7112999999999996</v>
      </c>
      <c r="C271" s="80">
        <f>4.7113 * CHOOSE(CONTROL!$C$32, $C$9, 100%, $E$9)</f>
        <v>4.7112999999999996</v>
      </c>
      <c r="D271" s="80">
        <f>4.7129 * CHOOSE(CONTROL!$C$32, $C$9, 100%, $E$9)</f>
        <v>4.7129000000000003</v>
      </c>
      <c r="E271" s="81">
        <f>6.0645 * CHOOSE(CONTROL!$C$32, $C$9, 100%, $E$9)</f>
        <v>6.0644999999999998</v>
      </c>
      <c r="F271" s="81">
        <f>6.0645 * CHOOSE(CONTROL!$C$32, $C$9, 100%, $E$9)</f>
        <v>6.0644999999999998</v>
      </c>
      <c r="G271" s="81">
        <f>6.0698 * CHOOSE(CONTROL!$C$32, $C$9, 100%, $E$9)</f>
        <v>6.0697999999999999</v>
      </c>
      <c r="H271" s="81">
        <f>9.931 * CHOOSE(CONTROL!$C$32, $C$9, 100%, $E$9)</f>
        <v>9.9309999999999992</v>
      </c>
      <c r="I271" s="81">
        <f>9.9363 * CHOOSE(CONTROL!$C$32, $C$9, 100%, $E$9)</f>
        <v>9.9362999999999992</v>
      </c>
      <c r="J271" s="81">
        <f>9.931 * CHOOSE(CONTROL!$C$32, $C$9, 100%, $E$9)</f>
        <v>9.9309999999999992</v>
      </c>
      <c r="K271" s="81">
        <f>9.9363 * CHOOSE(CONTROL!$C$32, $C$9, 100%, $E$9)</f>
        <v>9.9362999999999992</v>
      </c>
      <c r="L271" s="81">
        <f>6.0645 * CHOOSE(CONTROL!$C$32, $C$9, 100%, $E$9)</f>
        <v>6.0644999999999998</v>
      </c>
      <c r="M271" s="81">
        <f>6.0698 * CHOOSE(CONTROL!$C$32, $C$9, 100%, $E$9)</f>
        <v>6.0697999999999999</v>
      </c>
      <c r="N271" s="81">
        <f>6.0645 * CHOOSE(CONTROL!$C$32, $C$9, 100%, $E$9)</f>
        <v>6.0644999999999998</v>
      </c>
      <c r="O271" s="81">
        <f>6.0698 * CHOOSE(CONTROL!$C$32, $C$9, 100%, $E$9)</f>
        <v>6.0697999999999999</v>
      </c>
    </row>
    <row r="272" spans="1:15" ht="15" x14ac:dyDescent="0.2">
      <c r="A272" s="16">
        <v>49491</v>
      </c>
      <c r="B272" s="80">
        <f>4.7784 * CHOOSE(CONTROL!$C$32, $C$9, 100%, $E$9)</f>
        <v>4.7784000000000004</v>
      </c>
      <c r="C272" s="80">
        <f>4.7784 * CHOOSE(CONTROL!$C$32, $C$9, 100%, $E$9)</f>
        <v>4.7784000000000004</v>
      </c>
      <c r="D272" s="80">
        <f>4.7799 * CHOOSE(CONTROL!$C$32, $C$9, 100%, $E$9)</f>
        <v>4.7798999999999996</v>
      </c>
      <c r="E272" s="81">
        <f>6.1692 * CHOOSE(CONTROL!$C$32, $C$9, 100%, $E$9)</f>
        <v>6.1692</v>
      </c>
      <c r="F272" s="81">
        <f>6.1692 * CHOOSE(CONTROL!$C$32, $C$9, 100%, $E$9)</f>
        <v>6.1692</v>
      </c>
      <c r="G272" s="81">
        <f>6.1745 * CHOOSE(CONTROL!$C$32, $C$9, 100%, $E$9)</f>
        <v>6.1745000000000001</v>
      </c>
      <c r="H272" s="81">
        <f>9.9517 * CHOOSE(CONTROL!$C$32, $C$9, 100%, $E$9)</f>
        <v>9.9517000000000007</v>
      </c>
      <c r="I272" s="81">
        <f>9.957 * CHOOSE(CONTROL!$C$32, $C$9, 100%, $E$9)</f>
        <v>9.9570000000000007</v>
      </c>
      <c r="J272" s="81">
        <f>9.9517 * CHOOSE(CONTROL!$C$32, $C$9, 100%, $E$9)</f>
        <v>9.9517000000000007</v>
      </c>
      <c r="K272" s="81">
        <f>9.957 * CHOOSE(CONTROL!$C$32, $C$9, 100%, $E$9)</f>
        <v>9.9570000000000007</v>
      </c>
      <c r="L272" s="81">
        <f>6.1692 * CHOOSE(CONTROL!$C$32, $C$9, 100%, $E$9)</f>
        <v>6.1692</v>
      </c>
      <c r="M272" s="81">
        <f>6.1745 * CHOOSE(CONTROL!$C$32, $C$9, 100%, $E$9)</f>
        <v>6.1745000000000001</v>
      </c>
      <c r="N272" s="81">
        <f>6.1692 * CHOOSE(CONTROL!$C$32, $C$9, 100%, $E$9)</f>
        <v>6.1692</v>
      </c>
      <c r="O272" s="81">
        <f>6.1745 * CHOOSE(CONTROL!$C$32, $C$9, 100%, $E$9)</f>
        <v>6.1745000000000001</v>
      </c>
    </row>
    <row r="273" spans="1:15" ht="15" x14ac:dyDescent="0.2">
      <c r="A273" s="16">
        <v>49522</v>
      </c>
      <c r="B273" s="80">
        <f>4.785 * CHOOSE(CONTROL!$C$32, $C$9, 100%, $E$9)</f>
        <v>4.7850000000000001</v>
      </c>
      <c r="C273" s="80">
        <f>4.785 * CHOOSE(CONTROL!$C$32, $C$9, 100%, $E$9)</f>
        <v>4.7850000000000001</v>
      </c>
      <c r="D273" s="80">
        <f>4.7866 * CHOOSE(CONTROL!$C$32, $C$9, 100%, $E$9)</f>
        <v>4.7866</v>
      </c>
      <c r="E273" s="81">
        <f>6.523 * CHOOSE(CONTROL!$C$32, $C$9, 100%, $E$9)</f>
        <v>6.5229999999999997</v>
      </c>
      <c r="F273" s="81">
        <f>6.523 * CHOOSE(CONTROL!$C$32, $C$9, 100%, $E$9)</f>
        <v>6.5229999999999997</v>
      </c>
      <c r="G273" s="81">
        <f>6.5283 * CHOOSE(CONTROL!$C$32, $C$9, 100%, $E$9)</f>
        <v>6.5282999999999998</v>
      </c>
      <c r="H273" s="81">
        <f>9.9724 * CHOOSE(CONTROL!$C$32, $C$9, 100%, $E$9)</f>
        <v>9.9724000000000004</v>
      </c>
      <c r="I273" s="81">
        <f>9.9777 * CHOOSE(CONTROL!$C$32, $C$9, 100%, $E$9)</f>
        <v>9.9777000000000005</v>
      </c>
      <c r="J273" s="81">
        <f>9.9724 * CHOOSE(CONTROL!$C$32, $C$9, 100%, $E$9)</f>
        <v>9.9724000000000004</v>
      </c>
      <c r="K273" s="81">
        <f>9.9777 * CHOOSE(CONTROL!$C$32, $C$9, 100%, $E$9)</f>
        <v>9.9777000000000005</v>
      </c>
      <c r="L273" s="81">
        <f>6.523 * CHOOSE(CONTROL!$C$32, $C$9, 100%, $E$9)</f>
        <v>6.5229999999999997</v>
      </c>
      <c r="M273" s="81">
        <f>6.5283 * CHOOSE(CONTROL!$C$32, $C$9, 100%, $E$9)</f>
        <v>6.5282999999999998</v>
      </c>
      <c r="N273" s="81">
        <f>6.523 * CHOOSE(CONTROL!$C$32, $C$9, 100%, $E$9)</f>
        <v>6.5229999999999997</v>
      </c>
      <c r="O273" s="81">
        <f>6.5283 * CHOOSE(CONTROL!$C$32, $C$9, 100%, $E$9)</f>
        <v>6.5282999999999998</v>
      </c>
    </row>
    <row r="274" spans="1:15" ht="15" x14ac:dyDescent="0.2">
      <c r="A274" s="16">
        <v>49553</v>
      </c>
      <c r="B274" s="80">
        <f>4.782 * CHOOSE(CONTROL!$C$32, $C$9, 100%, $E$9)</f>
        <v>4.782</v>
      </c>
      <c r="C274" s="80">
        <f>4.782 * CHOOSE(CONTROL!$C$32, $C$9, 100%, $E$9)</f>
        <v>4.782</v>
      </c>
      <c r="D274" s="80">
        <f>4.7836 * CHOOSE(CONTROL!$C$32, $C$9, 100%, $E$9)</f>
        <v>4.7835999999999999</v>
      </c>
      <c r="E274" s="81">
        <f>6.5105 * CHOOSE(CONTROL!$C$32, $C$9, 100%, $E$9)</f>
        <v>6.5105000000000004</v>
      </c>
      <c r="F274" s="81">
        <f>6.5105 * CHOOSE(CONTROL!$C$32, $C$9, 100%, $E$9)</f>
        <v>6.5105000000000004</v>
      </c>
      <c r="G274" s="81">
        <f>6.5158 * CHOOSE(CONTROL!$C$32, $C$9, 100%, $E$9)</f>
        <v>6.5157999999999996</v>
      </c>
      <c r="H274" s="81">
        <f>9.9932 * CHOOSE(CONTROL!$C$32, $C$9, 100%, $E$9)</f>
        <v>9.9931999999999999</v>
      </c>
      <c r="I274" s="81">
        <f>9.9985 * CHOOSE(CONTROL!$C$32, $C$9, 100%, $E$9)</f>
        <v>9.9984999999999999</v>
      </c>
      <c r="J274" s="81">
        <f>9.9932 * CHOOSE(CONTROL!$C$32, $C$9, 100%, $E$9)</f>
        <v>9.9931999999999999</v>
      </c>
      <c r="K274" s="81">
        <f>9.9985 * CHOOSE(CONTROL!$C$32, $C$9, 100%, $E$9)</f>
        <v>9.9984999999999999</v>
      </c>
      <c r="L274" s="81">
        <f>6.5105 * CHOOSE(CONTROL!$C$32, $C$9, 100%, $E$9)</f>
        <v>6.5105000000000004</v>
      </c>
      <c r="M274" s="81">
        <f>6.5158 * CHOOSE(CONTROL!$C$32, $C$9, 100%, $E$9)</f>
        <v>6.5157999999999996</v>
      </c>
      <c r="N274" s="81">
        <f>6.5105 * CHOOSE(CONTROL!$C$32, $C$9, 100%, $E$9)</f>
        <v>6.5105000000000004</v>
      </c>
      <c r="O274" s="81">
        <f>6.5158 * CHOOSE(CONTROL!$C$32, $C$9, 100%, $E$9)</f>
        <v>6.5157999999999996</v>
      </c>
    </row>
    <row r="275" spans="1:15" ht="15" x14ac:dyDescent="0.2">
      <c r="A275" s="16">
        <v>49583</v>
      </c>
      <c r="B275" s="80">
        <f>4.78 * CHOOSE(CONTROL!$C$32, $C$9, 100%, $E$9)</f>
        <v>4.78</v>
      </c>
      <c r="C275" s="80">
        <f>4.78 * CHOOSE(CONTROL!$C$32, $C$9, 100%, $E$9)</f>
        <v>4.78</v>
      </c>
      <c r="D275" s="80">
        <f>4.781 * CHOOSE(CONTROL!$C$32, $C$9, 100%, $E$9)</f>
        <v>4.7809999999999997</v>
      </c>
      <c r="E275" s="81">
        <f>6.1678 * CHOOSE(CONTROL!$C$32, $C$9, 100%, $E$9)</f>
        <v>6.1677999999999997</v>
      </c>
      <c r="F275" s="81">
        <f>6.1678 * CHOOSE(CONTROL!$C$32, $C$9, 100%, $E$9)</f>
        <v>6.1677999999999997</v>
      </c>
      <c r="G275" s="81">
        <f>6.1714 * CHOOSE(CONTROL!$C$32, $C$9, 100%, $E$9)</f>
        <v>6.1714000000000002</v>
      </c>
      <c r="H275" s="81">
        <f>10.014 * CHOOSE(CONTROL!$C$32, $C$9, 100%, $E$9)</f>
        <v>10.013999999999999</v>
      </c>
      <c r="I275" s="81">
        <f>10.0176 * CHOOSE(CONTROL!$C$32, $C$9, 100%, $E$9)</f>
        <v>10.0176</v>
      </c>
      <c r="J275" s="81">
        <f>10.014 * CHOOSE(CONTROL!$C$32, $C$9, 100%, $E$9)</f>
        <v>10.013999999999999</v>
      </c>
      <c r="K275" s="81">
        <f>10.0176 * CHOOSE(CONTROL!$C$32, $C$9, 100%, $E$9)</f>
        <v>10.0176</v>
      </c>
      <c r="L275" s="81">
        <f>6.1678 * CHOOSE(CONTROL!$C$32, $C$9, 100%, $E$9)</f>
        <v>6.1677999999999997</v>
      </c>
      <c r="M275" s="81">
        <f>6.1714 * CHOOSE(CONTROL!$C$32, $C$9, 100%, $E$9)</f>
        <v>6.1714000000000002</v>
      </c>
      <c r="N275" s="81">
        <f>6.1678 * CHOOSE(CONTROL!$C$32, $C$9, 100%, $E$9)</f>
        <v>6.1677999999999997</v>
      </c>
      <c r="O275" s="81">
        <f>6.1714 * CHOOSE(CONTROL!$C$32, $C$9, 100%, $E$9)</f>
        <v>6.1714000000000002</v>
      </c>
    </row>
    <row r="276" spans="1:15" ht="15" x14ac:dyDescent="0.2">
      <c r="A276" s="16">
        <v>49614</v>
      </c>
      <c r="B276" s="80">
        <f>4.783 * CHOOSE(CONTROL!$C$32, $C$9, 100%, $E$9)</f>
        <v>4.7830000000000004</v>
      </c>
      <c r="C276" s="80">
        <f>4.783 * CHOOSE(CONTROL!$C$32, $C$9, 100%, $E$9)</f>
        <v>4.7830000000000004</v>
      </c>
      <c r="D276" s="80">
        <f>4.7841 * CHOOSE(CONTROL!$C$32, $C$9, 100%, $E$9)</f>
        <v>4.7840999999999996</v>
      </c>
      <c r="E276" s="81">
        <f>6.1698 * CHOOSE(CONTROL!$C$32, $C$9, 100%, $E$9)</f>
        <v>6.1698000000000004</v>
      </c>
      <c r="F276" s="81">
        <f>6.1698 * CHOOSE(CONTROL!$C$32, $C$9, 100%, $E$9)</f>
        <v>6.1698000000000004</v>
      </c>
      <c r="G276" s="81">
        <f>6.1734 * CHOOSE(CONTROL!$C$32, $C$9, 100%, $E$9)</f>
        <v>6.1734</v>
      </c>
      <c r="H276" s="81">
        <f>10.0349 * CHOOSE(CONTROL!$C$32, $C$9, 100%, $E$9)</f>
        <v>10.0349</v>
      </c>
      <c r="I276" s="81">
        <f>10.0385 * CHOOSE(CONTROL!$C$32, $C$9, 100%, $E$9)</f>
        <v>10.038500000000001</v>
      </c>
      <c r="J276" s="81">
        <f>10.0349 * CHOOSE(CONTROL!$C$32, $C$9, 100%, $E$9)</f>
        <v>10.0349</v>
      </c>
      <c r="K276" s="81">
        <f>10.0385 * CHOOSE(CONTROL!$C$32, $C$9, 100%, $E$9)</f>
        <v>10.038500000000001</v>
      </c>
      <c r="L276" s="81">
        <f>6.1698 * CHOOSE(CONTROL!$C$32, $C$9, 100%, $E$9)</f>
        <v>6.1698000000000004</v>
      </c>
      <c r="M276" s="81">
        <f>6.1734 * CHOOSE(CONTROL!$C$32, $C$9, 100%, $E$9)</f>
        <v>6.1734</v>
      </c>
      <c r="N276" s="81">
        <f>6.1698 * CHOOSE(CONTROL!$C$32, $C$9, 100%, $E$9)</f>
        <v>6.1698000000000004</v>
      </c>
      <c r="O276" s="81">
        <f>6.1734 * CHOOSE(CONTROL!$C$32, $C$9, 100%, $E$9)</f>
        <v>6.1734</v>
      </c>
    </row>
    <row r="277" spans="1:15" ht="15" x14ac:dyDescent="0.2">
      <c r="A277" s="16">
        <v>49644</v>
      </c>
      <c r="B277" s="80">
        <f>4.783 * CHOOSE(CONTROL!$C$32, $C$9, 100%, $E$9)</f>
        <v>4.7830000000000004</v>
      </c>
      <c r="C277" s="80">
        <f>4.783 * CHOOSE(CONTROL!$C$32, $C$9, 100%, $E$9)</f>
        <v>4.7830000000000004</v>
      </c>
      <c r="D277" s="80">
        <f>4.7841 * CHOOSE(CONTROL!$C$32, $C$9, 100%, $E$9)</f>
        <v>4.7840999999999996</v>
      </c>
      <c r="E277" s="81">
        <f>6.5096 * CHOOSE(CONTROL!$C$32, $C$9, 100%, $E$9)</f>
        <v>6.5095999999999998</v>
      </c>
      <c r="F277" s="81">
        <f>6.5096 * CHOOSE(CONTROL!$C$32, $C$9, 100%, $E$9)</f>
        <v>6.5095999999999998</v>
      </c>
      <c r="G277" s="81">
        <f>6.5132 * CHOOSE(CONTROL!$C$32, $C$9, 100%, $E$9)</f>
        <v>6.5132000000000003</v>
      </c>
      <c r="H277" s="81">
        <f>10.0558 * CHOOSE(CONTROL!$C$32, $C$9, 100%, $E$9)</f>
        <v>10.0558</v>
      </c>
      <c r="I277" s="81">
        <f>10.0594 * CHOOSE(CONTROL!$C$32, $C$9, 100%, $E$9)</f>
        <v>10.0594</v>
      </c>
      <c r="J277" s="81">
        <f>10.0558 * CHOOSE(CONTROL!$C$32, $C$9, 100%, $E$9)</f>
        <v>10.0558</v>
      </c>
      <c r="K277" s="81">
        <f>10.0594 * CHOOSE(CONTROL!$C$32, $C$9, 100%, $E$9)</f>
        <v>10.0594</v>
      </c>
      <c r="L277" s="81">
        <f>6.5096 * CHOOSE(CONTROL!$C$32, $C$9, 100%, $E$9)</f>
        <v>6.5095999999999998</v>
      </c>
      <c r="M277" s="81">
        <f>6.5132 * CHOOSE(CONTROL!$C$32, $C$9, 100%, $E$9)</f>
        <v>6.5132000000000003</v>
      </c>
      <c r="N277" s="81">
        <f>6.5096 * CHOOSE(CONTROL!$C$32, $C$9, 100%, $E$9)</f>
        <v>6.5095999999999998</v>
      </c>
      <c r="O277" s="81">
        <f>6.5132 * CHOOSE(CONTROL!$C$32, $C$9, 100%, $E$9)</f>
        <v>6.5132000000000003</v>
      </c>
    </row>
    <row r="278" spans="1:15" ht="15" x14ac:dyDescent="0.2">
      <c r="A278" s="16">
        <v>49675</v>
      </c>
      <c r="B278" s="80">
        <f>4.8216 * CHOOSE(CONTROL!$C$32, $C$9, 100%, $E$9)</f>
        <v>4.8216000000000001</v>
      </c>
      <c r="C278" s="80">
        <f>4.8216 * CHOOSE(CONTROL!$C$32, $C$9, 100%, $E$9)</f>
        <v>4.8216000000000001</v>
      </c>
      <c r="D278" s="80">
        <f>4.8227 * CHOOSE(CONTROL!$C$32, $C$9, 100%, $E$9)</f>
        <v>4.8227000000000002</v>
      </c>
      <c r="E278" s="81">
        <f>6.5301 * CHOOSE(CONTROL!$C$32, $C$9, 100%, $E$9)</f>
        <v>6.5301</v>
      </c>
      <c r="F278" s="81">
        <f>6.5301 * CHOOSE(CONTROL!$C$32, $C$9, 100%, $E$9)</f>
        <v>6.5301</v>
      </c>
      <c r="G278" s="81">
        <f>6.5337 * CHOOSE(CONTROL!$C$32, $C$9, 100%, $E$9)</f>
        <v>6.5336999999999996</v>
      </c>
      <c r="H278" s="81">
        <f>10.0767 * CHOOSE(CONTROL!$C$32, $C$9, 100%, $E$9)</f>
        <v>10.076700000000001</v>
      </c>
      <c r="I278" s="81">
        <f>10.0803 * CHOOSE(CONTROL!$C$32, $C$9, 100%, $E$9)</f>
        <v>10.080299999999999</v>
      </c>
      <c r="J278" s="81">
        <f>10.0767 * CHOOSE(CONTROL!$C$32, $C$9, 100%, $E$9)</f>
        <v>10.076700000000001</v>
      </c>
      <c r="K278" s="81">
        <f>10.0803 * CHOOSE(CONTROL!$C$32, $C$9, 100%, $E$9)</f>
        <v>10.080299999999999</v>
      </c>
      <c r="L278" s="81">
        <f>6.5301 * CHOOSE(CONTROL!$C$32, $C$9, 100%, $E$9)</f>
        <v>6.5301</v>
      </c>
      <c r="M278" s="81">
        <f>6.5337 * CHOOSE(CONTROL!$C$32, $C$9, 100%, $E$9)</f>
        <v>6.5336999999999996</v>
      </c>
      <c r="N278" s="81">
        <f>6.5301 * CHOOSE(CONTROL!$C$32, $C$9, 100%, $E$9)</f>
        <v>6.5301</v>
      </c>
      <c r="O278" s="81">
        <f>6.5337 * CHOOSE(CONTROL!$C$32, $C$9, 100%, $E$9)</f>
        <v>6.5336999999999996</v>
      </c>
    </row>
    <row r="279" spans="1:15" ht="15" x14ac:dyDescent="0.2">
      <c r="A279" s="16">
        <v>49706</v>
      </c>
      <c r="B279" s="80">
        <f>4.8186 * CHOOSE(CONTROL!$C$32, $C$9, 100%, $E$9)</f>
        <v>4.8186</v>
      </c>
      <c r="C279" s="80">
        <f>4.8186 * CHOOSE(CONTROL!$C$32, $C$9, 100%, $E$9)</f>
        <v>4.8186</v>
      </c>
      <c r="D279" s="80">
        <f>4.8196 * CHOOSE(CONTROL!$C$32, $C$9, 100%, $E$9)</f>
        <v>4.8196000000000003</v>
      </c>
      <c r="E279" s="81">
        <f>6.4268 * CHOOSE(CONTROL!$C$32, $C$9, 100%, $E$9)</f>
        <v>6.4268000000000001</v>
      </c>
      <c r="F279" s="81">
        <f>6.4268 * CHOOSE(CONTROL!$C$32, $C$9, 100%, $E$9)</f>
        <v>6.4268000000000001</v>
      </c>
      <c r="G279" s="81">
        <f>6.4304 * CHOOSE(CONTROL!$C$32, $C$9, 100%, $E$9)</f>
        <v>6.4303999999999997</v>
      </c>
      <c r="H279" s="81">
        <f>10.0977 * CHOOSE(CONTROL!$C$32, $C$9, 100%, $E$9)</f>
        <v>10.0977</v>
      </c>
      <c r="I279" s="81">
        <f>10.1013 * CHOOSE(CONTROL!$C$32, $C$9, 100%, $E$9)</f>
        <v>10.1013</v>
      </c>
      <c r="J279" s="81">
        <f>10.0977 * CHOOSE(CONTROL!$C$32, $C$9, 100%, $E$9)</f>
        <v>10.0977</v>
      </c>
      <c r="K279" s="81">
        <f>10.1013 * CHOOSE(CONTROL!$C$32, $C$9, 100%, $E$9)</f>
        <v>10.1013</v>
      </c>
      <c r="L279" s="81">
        <f>6.4268 * CHOOSE(CONTROL!$C$32, $C$9, 100%, $E$9)</f>
        <v>6.4268000000000001</v>
      </c>
      <c r="M279" s="81">
        <f>6.4304 * CHOOSE(CONTROL!$C$32, $C$9, 100%, $E$9)</f>
        <v>6.4303999999999997</v>
      </c>
      <c r="N279" s="81">
        <f>6.4268 * CHOOSE(CONTROL!$C$32, $C$9, 100%, $E$9)</f>
        <v>6.4268000000000001</v>
      </c>
      <c r="O279" s="81">
        <f>6.4304 * CHOOSE(CONTROL!$C$32, $C$9, 100%, $E$9)</f>
        <v>6.4303999999999997</v>
      </c>
    </row>
    <row r="280" spans="1:15" ht="15" x14ac:dyDescent="0.2">
      <c r="A280" s="16">
        <v>49735</v>
      </c>
      <c r="B280" s="80">
        <f>4.8155 * CHOOSE(CONTROL!$C$32, $C$9, 100%, $E$9)</f>
        <v>4.8155000000000001</v>
      </c>
      <c r="C280" s="80">
        <f>4.8155 * CHOOSE(CONTROL!$C$32, $C$9, 100%, $E$9)</f>
        <v>4.8155000000000001</v>
      </c>
      <c r="D280" s="80">
        <f>4.8166 * CHOOSE(CONTROL!$C$32, $C$9, 100%, $E$9)</f>
        <v>4.8166000000000002</v>
      </c>
      <c r="E280" s="81">
        <f>6.5044 * CHOOSE(CONTROL!$C$32, $C$9, 100%, $E$9)</f>
        <v>6.5044000000000004</v>
      </c>
      <c r="F280" s="81">
        <f>6.5044 * CHOOSE(CONTROL!$C$32, $C$9, 100%, $E$9)</f>
        <v>6.5044000000000004</v>
      </c>
      <c r="G280" s="81">
        <f>6.508 * CHOOSE(CONTROL!$C$32, $C$9, 100%, $E$9)</f>
        <v>6.508</v>
      </c>
      <c r="H280" s="81">
        <f>10.1188 * CHOOSE(CONTROL!$C$32, $C$9, 100%, $E$9)</f>
        <v>10.1188</v>
      </c>
      <c r="I280" s="81">
        <f>10.1224 * CHOOSE(CONTROL!$C$32, $C$9, 100%, $E$9)</f>
        <v>10.122400000000001</v>
      </c>
      <c r="J280" s="81">
        <f>10.1188 * CHOOSE(CONTROL!$C$32, $C$9, 100%, $E$9)</f>
        <v>10.1188</v>
      </c>
      <c r="K280" s="81">
        <f>10.1224 * CHOOSE(CONTROL!$C$32, $C$9, 100%, $E$9)</f>
        <v>10.122400000000001</v>
      </c>
      <c r="L280" s="81">
        <f>6.5044 * CHOOSE(CONTROL!$C$32, $C$9, 100%, $E$9)</f>
        <v>6.5044000000000004</v>
      </c>
      <c r="M280" s="81">
        <f>6.508 * CHOOSE(CONTROL!$C$32, $C$9, 100%, $E$9)</f>
        <v>6.508</v>
      </c>
      <c r="N280" s="81">
        <f>6.5044 * CHOOSE(CONTROL!$C$32, $C$9, 100%, $E$9)</f>
        <v>6.5044000000000004</v>
      </c>
      <c r="O280" s="81">
        <f>6.508 * CHOOSE(CONTROL!$C$32, $C$9, 100%, $E$9)</f>
        <v>6.508</v>
      </c>
    </row>
    <row r="281" spans="1:15" ht="15" x14ac:dyDescent="0.2">
      <c r="A281" s="16">
        <v>49766</v>
      </c>
      <c r="B281" s="80">
        <f>4.814 * CHOOSE(CONTROL!$C$32, $C$9, 100%, $E$9)</f>
        <v>4.8140000000000001</v>
      </c>
      <c r="C281" s="80">
        <f>4.814 * CHOOSE(CONTROL!$C$32, $C$9, 100%, $E$9)</f>
        <v>4.8140000000000001</v>
      </c>
      <c r="D281" s="80">
        <f>4.815 * CHOOSE(CONTROL!$C$32, $C$9, 100%, $E$9)</f>
        <v>4.8150000000000004</v>
      </c>
      <c r="E281" s="81">
        <f>6.5859 * CHOOSE(CONTROL!$C$32, $C$9, 100%, $E$9)</f>
        <v>6.5858999999999996</v>
      </c>
      <c r="F281" s="81">
        <f>6.5859 * CHOOSE(CONTROL!$C$32, $C$9, 100%, $E$9)</f>
        <v>6.5858999999999996</v>
      </c>
      <c r="G281" s="81">
        <f>6.5895 * CHOOSE(CONTROL!$C$32, $C$9, 100%, $E$9)</f>
        <v>6.5895000000000001</v>
      </c>
      <c r="H281" s="81">
        <f>10.1398 * CHOOSE(CONTROL!$C$32, $C$9, 100%, $E$9)</f>
        <v>10.139799999999999</v>
      </c>
      <c r="I281" s="81">
        <f>10.1435 * CHOOSE(CONTROL!$C$32, $C$9, 100%, $E$9)</f>
        <v>10.1435</v>
      </c>
      <c r="J281" s="81">
        <f>10.1398 * CHOOSE(CONTROL!$C$32, $C$9, 100%, $E$9)</f>
        <v>10.139799999999999</v>
      </c>
      <c r="K281" s="81">
        <f>10.1435 * CHOOSE(CONTROL!$C$32, $C$9, 100%, $E$9)</f>
        <v>10.1435</v>
      </c>
      <c r="L281" s="81">
        <f>6.5859 * CHOOSE(CONTROL!$C$32, $C$9, 100%, $E$9)</f>
        <v>6.5858999999999996</v>
      </c>
      <c r="M281" s="81">
        <f>6.5895 * CHOOSE(CONTROL!$C$32, $C$9, 100%, $E$9)</f>
        <v>6.5895000000000001</v>
      </c>
      <c r="N281" s="81">
        <f>6.5859 * CHOOSE(CONTROL!$C$32, $C$9, 100%, $E$9)</f>
        <v>6.5858999999999996</v>
      </c>
      <c r="O281" s="81">
        <f>6.5895 * CHOOSE(CONTROL!$C$32, $C$9, 100%, $E$9)</f>
        <v>6.5895000000000001</v>
      </c>
    </row>
    <row r="282" spans="1:15" ht="15" x14ac:dyDescent="0.2">
      <c r="A282" s="16">
        <v>49796</v>
      </c>
      <c r="B282" s="80">
        <f>4.814 * CHOOSE(CONTROL!$C$32, $C$9, 100%, $E$9)</f>
        <v>4.8140000000000001</v>
      </c>
      <c r="C282" s="80">
        <f>4.814 * CHOOSE(CONTROL!$C$32, $C$9, 100%, $E$9)</f>
        <v>4.8140000000000001</v>
      </c>
      <c r="D282" s="80">
        <f>4.8155 * CHOOSE(CONTROL!$C$32, $C$9, 100%, $E$9)</f>
        <v>4.8155000000000001</v>
      </c>
      <c r="E282" s="81">
        <f>6.2171 * CHOOSE(CONTROL!$C$32, $C$9, 100%, $E$9)</f>
        <v>6.2171000000000003</v>
      </c>
      <c r="F282" s="81">
        <f>6.2171 * CHOOSE(CONTROL!$C$32, $C$9, 100%, $E$9)</f>
        <v>6.2171000000000003</v>
      </c>
      <c r="G282" s="81">
        <f>6.2224 * CHOOSE(CONTROL!$C$32, $C$9, 100%, $E$9)</f>
        <v>6.2224000000000004</v>
      </c>
      <c r="H282" s="81">
        <f>10.161 * CHOOSE(CONTROL!$C$32, $C$9, 100%, $E$9)</f>
        <v>10.161</v>
      </c>
      <c r="I282" s="81">
        <f>10.1663 * CHOOSE(CONTROL!$C$32, $C$9, 100%, $E$9)</f>
        <v>10.1663</v>
      </c>
      <c r="J282" s="81">
        <f>10.161 * CHOOSE(CONTROL!$C$32, $C$9, 100%, $E$9)</f>
        <v>10.161</v>
      </c>
      <c r="K282" s="81">
        <f>10.1663 * CHOOSE(CONTROL!$C$32, $C$9, 100%, $E$9)</f>
        <v>10.1663</v>
      </c>
      <c r="L282" s="81">
        <f>6.2171 * CHOOSE(CONTROL!$C$32, $C$9, 100%, $E$9)</f>
        <v>6.2171000000000003</v>
      </c>
      <c r="M282" s="81">
        <f>6.2224 * CHOOSE(CONTROL!$C$32, $C$9, 100%, $E$9)</f>
        <v>6.2224000000000004</v>
      </c>
      <c r="N282" s="81">
        <f>6.2171 * CHOOSE(CONTROL!$C$32, $C$9, 100%, $E$9)</f>
        <v>6.2171000000000003</v>
      </c>
      <c r="O282" s="81">
        <f>6.2224 * CHOOSE(CONTROL!$C$32, $C$9, 100%, $E$9)</f>
        <v>6.2224000000000004</v>
      </c>
    </row>
    <row r="283" spans="1:15" ht="15" x14ac:dyDescent="0.2">
      <c r="A283" s="16">
        <v>49827</v>
      </c>
      <c r="B283" s="80">
        <f>4.82 * CHOOSE(CONTROL!$C$32, $C$9, 100%, $E$9)</f>
        <v>4.82</v>
      </c>
      <c r="C283" s="80">
        <f>4.82 * CHOOSE(CONTROL!$C$32, $C$9, 100%, $E$9)</f>
        <v>4.82</v>
      </c>
      <c r="D283" s="80">
        <f>4.8216 * CHOOSE(CONTROL!$C$32, $C$9, 100%, $E$9)</f>
        <v>4.8216000000000001</v>
      </c>
      <c r="E283" s="81">
        <f>6.5901 * CHOOSE(CONTROL!$C$32, $C$9, 100%, $E$9)</f>
        <v>6.5900999999999996</v>
      </c>
      <c r="F283" s="81">
        <f>6.5901 * CHOOSE(CONTROL!$C$32, $C$9, 100%, $E$9)</f>
        <v>6.5900999999999996</v>
      </c>
      <c r="G283" s="81">
        <f>6.5954 * CHOOSE(CONTROL!$C$32, $C$9, 100%, $E$9)</f>
        <v>6.5953999999999997</v>
      </c>
      <c r="H283" s="81">
        <f>10.1821 * CHOOSE(CONTROL!$C$32, $C$9, 100%, $E$9)</f>
        <v>10.1821</v>
      </c>
      <c r="I283" s="81">
        <f>10.1874 * CHOOSE(CONTROL!$C$32, $C$9, 100%, $E$9)</f>
        <v>10.1874</v>
      </c>
      <c r="J283" s="81">
        <f>10.1821 * CHOOSE(CONTROL!$C$32, $C$9, 100%, $E$9)</f>
        <v>10.1821</v>
      </c>
      <c r="K283" s="81">
        <f>10.1874 * CHOOSE(CONTROL!$C$32, $C$9, 100%, $E$9)</f>
        <v>10.1874</v>
      </c>
      <c r="L283" s="81">
        <f>6.5901 * CHOOSE(CONTROL!$C$32, $C$9, 100%, $E$9)</f>
        <v>6.5900999999999996</v>
      </c>
      <c r="M283" s="81">
        <f>6.5954 * CHOOSE(CONTROL!$C$32, $C$9, 100%, $E$9)</f>
        <v>6.5953999999999997</v>
      </c>
      <c r="N283" s="81">
        <f>6.5901 * CHOOSE(CONTROL!$C$32, $C$9, 100%, $E$9)</f>
        <v>6.5900999999999996</v>
      </c>
      <c r="O283" s="81">
        <f>6.5954 * CHOOSE(CONTROL!$C$32, $C$9, 100%, $E$9)</f>
        <v>6.5953999999999997</v>
      </c>
    </row>
    <row r="284" spans="1:15" ht="15" x14ac:dyDescent="0.2">
      <c r="A284" s="16">
        <v>49857</v>
      </c>
      <c r="B284" s="80">
        <f>4.8896 * CHOOSE(CONTROL!$C$32, $C$9, 100%, $E$9)</f>
        <v>4.8895999999999997</v>
      </c>
      <c r="C284" s="80">
        <f>4.8896 * CHOOSE(CONTROL!$C$32, $C$9, 100%, $E$9)</f>
        <v>4.8895999999999997</v>
      </c>
      <c r="D284" s="80">
        <f>4.8911 * CHOOSE(CONTROL!$C$32, $C$9, 100%, $E$9)</f>
        <v>4.8910999999999998</v>
      </c>
      <c r="E284" s="81">
        <f>6.5201 * CHOOSE(CONTROL!$C$32, $C$9, 100%, $E$9)</f>
        <v>6.5201000000000002</v>
      </c>
      <c r="F284" s="81">
        <f>6.5201 * CHOOSE(CONTROL!$C$32, $C$9, 100%, $E$9)</f>
        <v>6.5201000000000002</v>
      </c>
      <c r="G284" s="81">
        <f>6.5254 * CHOOSE(CONTROL!$C$32, $C$9, 100%, $E$9)</f>
        <v>6.5254000000000003</v>
      </c>
      <c r="H284" s="81">
        <f>10.2033 * CHOOSE(CONTROL!$C$32, $C$9, 100%, $E$9)</f>
        <v>10.2033</v>
      </c>
      <c r="I284" s="81">
        <f>10.2086 * CHOOSE(CONTROL!$C$32, $C$9, 100%, $E$9)</f>
        <v>10.208600000000001</v>
      </c>
      <c r="J284" s="81">
        <f>10.2033 * CHOOSE(CONTROL!$C$32, $C$9, 100%, $E$9)</f>
        <v>10.2033</v>
      </c>
      <c r="K284" s="81">
        <f>10.2086 * CHOOSE(CONTROL!$C$32, $C$9, 100%, $E$9)</f>
        <v>10.208600000000001</v>
      </c>
      <c r="L284" s="81">
        <f>6.5201 * CHOOSE(CONTROL!$C$32, $C$9, 100%, $E$9)</f>
        <v>6.5201000000000002</v>
      </c>
      <c r="M284" s="81">
        <f>6.5254 * CHOOSE(CONTROL!$C$32, $C$9, 100%, $E$9)</f>
        <v>6.5254000000000003</v>
      </c>
      <c r="N284" s="81">
        <f>6.5201 * CHOOSE(CONTROL!$C$32, $C$9, 100%, $E$9)</f>
        <v>6.5201000000000002</v>
      </c>
      <c r="O284" s="81">
        <f>6.5254 * CHOOSE(CONTROL!$C$32, $C$9, 100%, $E$9)</f>
        <v>6.5254000000000003</v>
      </c>
    </row>
    <row r="285" spans="1:15" ht="15" x14ac:dyDescent="0.2">
      <c r="A285" s="16">
        <v>49888</v>
      </c>
      <c r="B285" s="80">
        <f>4.8962 * CHOOSE(CONTROL!$C$32, $C$9, 100%, $E$9)</f>
        <v>4.8962000000000003</v>
      </c>
      <c r="C285" s="80">
        <f>4.8962 * CHOOSE(CONTROL!$C$32, $C$9, 100%, $E$9)</f>
        <v>4.8962000000000003</v>
      </c>
      <c r="D285" s="80">
        <f>4.8978 * CHOOSE(CONTROL!$C$32, $C$9, 100%, $E$9)</f>
        <v>4.8978000000000002</v>
      </c>
      <c r="E285" s="81">
        <f>6.4284 * CHOOSE(CONTROL!$C$32, $C$9, 100%, $E$9)</f>
        <v>6.4283999999999999</v>
      </c>
      <c r="F285" s="81">
        <f>6.4284 * CHOOSE(CONTROL!$C$32, $C$9, 100%, $E$9)</f>
        <v>6.4283999999999999</v>
      </c>
      <c r="G285" s="81">
        <f>6.4336 * CHOOSE(CONTROL!$C$32, $C$9, 100%, $E$9)</f>
        <v>6.4336000000000002</v>
      </c>
      <c r="H285" s="81">
        <f>10.2246 * CHOOSE(CONTROL!$C$32, $C$9, 100%, $E$9)</f>
        <v>10.224600000000001</v>
      </c>
      <c r="I285" s="81">
        <f>10.2299 * CHOOSE(CONTROL!$C$32, $C$9, 100%, $E$9)</f>
        <v>10.229900000000001</v>
      </c>
      <c r="J285" s="81">
        <f>10.2246 * CHOOSE(CONTROL!$C$32, $C$9, 100%, $E$9)</f>
        <v>10.224600000000001</v>
      </c>
      <c r="K285" s="81">
        <f>10.2299 * CHOOSE(CONTROL!$C$32, $C$9, 100%, $E$9)</f>
        <v>10.229900000000001</v>
      </c>
      <c r="L285" s="81">
        <f>6.4284 * CHOOSE(CONTROL!$C$32, $C$9, 100%, $E$9)</f>
        <v>6.4283999999999999</v>
      </c>
      <c r="M285" s="81">
        <f>6.4336 * CHOOSE(CONTROL!$C$32, $C$9, 100%, $E$9)</f>
        <v>6.4336000000000002</v>
      </c>
      <c r="N285" s="81">
        <f>6.4284 * CHOOSE(CONTROL!$C$32, $C$9, 100%, $E$9)</f>
        <v>6.4283999999999999</v>
      </c>
      <c r="O285" s="81">
        <f>6.4336 * CHOOSE(CONTROL!$C$32, $C$9, 100%, $E$9)</f>
        <v>6.4336000000000002</v>
      </c>
    </row>
    <row r="286" spans="1:15" ht="15" x14ac:dyDescent="0.2">
      <c r="A286" s="16">
        <v>49919</v>
      </c>
      <c r="B286" s="80">
        <f>4.8932 * CHOOSE(CONTROL!$C$32, $C$9, 100%, $E$9)</f>
        <v>4.8932000000000002</v>
      </c>
      <c r="C286" s="80">
        <f>4.8932 * CHOOSE(CONTROL!$C$32, $C$9, 100%, $E$9)</f>
        <v>4.8932000000000002</v>
      </c>
      <c r="D286" s="80">
        <f>4.8948 * CHOOSE(CONTROL!$C$32, $C$9, 100%, $E$9)</f>
        <v>4.8948</v>
      </c>
      <c r="E286" s="81">
        <f>6.4155 * CHOOSE(CONTROL!$C$32, $C$9, 100%, $E$9)</f>
        <v>6.4154999999999998</v>
      </c>
      <c r="F286" s="81">
        <f>6.4155 * CHOOSE(CONTROL!$C$32, $C$9, 100%, $E$9)</f>
        <v>6.4154999999999998</v>
      </c>
      <c r="G286" s="81">
        <f>6.4208 * CHOOSE(CONTROL!$C$32, $C$9, 100%, $E$9)</f>
        <v>6.4207999999999998</v>
      </c>
      <c r="H286" s="81">
        <f>10.2459 * CHOOSE(CONTROL!$C$32, $C$9, 100%, $E$9)</f>
        <v>10.245900000000001</v>
      </c>
      <c r="I286" s="81">
        <f>10.2512 * CHOOSE(CONTROL!$C$32, $C$9, 100%, $E$9)</f>
        <v>10.251200000000001</v>
      </c>
      <c r="J286" s="81">
        <f>10.2459 * CHOOSE(CONTROL!$C$32, $C$9, 100%, $E$9)</f>
        <v>10.245900000000001</v>
      </c>
      <c r="K286" s="81">
        <f>10.2512 * CHOOSE(CONTROL!$C$32, $C$9, 100%, $E$9)</f>
        <v>10.251200000000001</v>
      </c>
      <c r="L286" s="81">
        <f>6.4155 * CHOOSE(CONTROL!$C$32, $C$9, 100%, $E$9)</f>
        <v>6.4154999999999998</v>
      </c>
      <c r="M286" s="81">
        <f>6.4208 * CHOOSE(CONTROL!$C$32, $C$9, 100%, $E$9)</f>
        <v>6.4207999999999998</v>
      </c>
      <c r="N286" s="81">
        <f>6.4155 * CHOOSE(CONTROL!$C$32, $C$9, 100%, $E$9)</f>
        <v>6.4154999999999998</v>
      </c>
      <c r="O286" s="81">
        <f>6.4208 * CHOOSE(CONTROL!$C$32, $C$9, 100%, $E$9)</f>
        <v>6.4207999999999998</v>
      </c>
    </row>
    <row r="287" spans="1:15" ht="15" x14ac:dyDescent="0.2">
      <c r="A287" s="16">
        <v>49949</v>
      </c>
      <c r="B287" s="80">
        <f>4.8916 * CHOOSE(CONTROL!$C$32, $C$9, 100%, $E$9)</f>
        <v>4.8916000000000004</v>
      </c>
      <c r="C287" s="80">
        <f>4.8916 * CHOOSE(CONTROL!$C$32, $C$9, 100%, $E$9)</f>
        <v>4.8916000000000004</v>
      </c>
      <c r="D287" s="80">
        <f>4.8927 * CHOOSE(CONTROL!$C$32, $C$9, 100%, $E$9)</f>
        <v>4.8926999999999996</v>
      </c>
      <c r="E287" s="81">
        <f>6.4449 * CHOOSE(CONTROL!$C$32, $C$9, 100%, $E$9)</f>
        <v>6.4448999999999996</v>
      </c>
      <c r="F287" s="81">
        <f>6.4449 * CHOOSE(CONTROL!$C$32, $C$9, 100%, $E$9)</f>
        <v>6.4448999999999996</v>
      </c>
      <c r="G287" s="81">
        <f>6.4486 * CHOOSE(CONTROL!$C$32, $C$9, 100%, $E$9)</f>
        <v>6.4485999999999999</v>
      </c>
      <c r="H287" s="81">
        <f>10.2672 * CHOOSE(CONTROL!$C$32, $C$9, 100%, $E$9)</f>
        <v>10.267200000000001</v>
      </c>
      <c r="I287" s="81">
        <f>10.2709 * CHOOSE(CONTROL!$C$32, $C$9, 100%, $E$9)</f>
        <v>10.270899999999999</v>
      </c>
      <c r="J287" s="81">
        <f>10.2672 * CHOOSE(CONTROL!$C$32, $C$9, 100%, $E$9)</f>
        <v>10.267200000000001</v>
      </c>
      <c r="K287" s="81">
        <f>10.2709 * CHOOSE(CONTROL!$C$32, $C$9, 100%, $E$9)</f>
        <v>10.270899999999999</v>
      </c>
      <c r="L287" s="81">
        <f>6.4449 * CHOOSE(CONTROL!$C$32, $C$9, 100%, $E$9)</f>
        <v>6.4448999999999996</v>
      </c>
      <c r="M287" s="81">
        <f>6.4486 * CHOOSE(CONTROL!$C$32, $C$9, 100%, $E$9)</f>
        <v>6.4485999999999999</v>
      </c>
      <c r="N287" s="81">
        <f>6.4449 * CHOOSE(CONTROL!$C$32, $C$9, 100%, $E$9)</f>
        <v>6.4448999999999996</v>
      </c>
      <c r="O287" s="81">
        <f>6.4486 * CHOOSE(CONTROL!$C$32, $C$9, 100%, $E$9)</f>
        <v>6.4485999999999999</v>
      </c>
    </row>
    <row r="288" spans="1:15" ht="15" x14ac:dyDescent="0.2">
      <c r="A288" s="16">
        <v>49980</v>
      </c>
      <c r="B288" s="80">
        <f>4.8946 * CHOOSE(CONTROL!$C$32, $C$9, 100%, $E$9)</f>
        <v>4.8945999999999996</v>
      </c>
      <c r="C288" s="80">
        <f>4.8946 * CHOOSE(CONTROL!$C$32, $C$9, 100%, $E$9)</f>
        <v>4.8945999999999996</v>
      </c>
      <c r="D288" s="80">
        <f>4.8957 * CHOOSE(CONTROL!$C$32, $C$9, 100%, $E$9)</f>
        <v>4.8956999999999997</v>
      </c>
      <c r="E288" s="81">
        <f>6.4685 * CHOOSE(CONTROL!$C$32, $C$9, 100%, $E$9)</f>
        <v>6.4684999999999997</v>
      </c>
      <c r="F288" s="81">
        <f>6.4685 * CHOOSE(CONTROL!$C$32, $C$9, 100%, $E$9)</f>
        <v>6.4684999999999997</v>
      </c>
      <c r="G288" s="81">
        <f>6.4721 * CHOOSE(CONTROL!$C$32, $C$9, 100%, $E$9)</f>
        <v>6.4721000000000002</v>
      </c>
      <c r="H288" s="81">
        <f>10.2886 * CHOOSE(CONTROL!$C$32, $C$9, 100%, $E$9)</f>
        <v>10.288600000000001</v>
      </c>
      <c r="I288" s="81">
        <f>10.2923 * CHOOSE(CONTROL!$C$32, $C$9, 100%, $E$9)</f>
        <v>10.292299999999999</v>
      </c>
      <c r="J288" s="81">
        <f>10.2886 * CHOOSE(CONTROL!$C$32, $C$9, 100%, $E$9)</f>
        <v>10.288600000000001</v>
      </c>
      <c r="K288" s="81">
        <f>10.2923 * CHOOSE(CONTROL!$C$32, $C$9, 100%, $E$9)</f>
        <v>10.292299999999999</v>
      </c>
      <c r="L288" s="81">
        <f>6.4685 * CHOOSE(CONTROL!$C$32, $C$9, 100%, $E$9)</f>
        <v>6.4684999999999997</v>
      </c>
      <c r="M288" s="81">
        <f>6.4721 * CHOOSE(CONTROL!$C$32, $C$9, 100%, $E$9)</f>
        <v>6.4721000000000002</v>
      </c>
      <c r="N288" s="81">
        <f>6.4685 * CHOOSE(CONTROL!$C$32, $C$9, 100%, $E$9)</f>
        <v>6.4684999999999997</v>
      </c>
      <c r="O288" s="81">
        <f>6.4721 * CHOOSE(CONTROL!$C$32, $C$9, 100%, $E$9)</f>
        <v>6.4721000000000002</v>
      </c>
    </row>
    <row r="289" spans="1:15" ht="15" x14ac:dyDescent="0.2">
      <c r="A289" s="16">
        <v>50010</v>
      </c>
      <c r="B289" s="80">
        <f>4.8946 * CHOOSE(CONTROL!$C$32, $C$9, 100%, $E$9)</f>
        <v>4.8945999999999996</v>
      </c>
      <c r="C289" s="80">
        <f>4.8946 * CHOOSE(CONTROL!$C$32, $C$9, 100%, $E$9)</f>
        <v>4.8945999999999996</v>
      </c>
      <c r="D289" s="80">
        <f>4.8957 * CHOOSE(CONTROL!$C$32, $C$9, 100%, $E$9)</f>
        <v>4.8956999999999997</v>
      </c>
      <c r="E289" s="81">
        <f>6.4149 * CHOOSE(CONTROL!$C$32, $C$9, 100%, $E$9)</f>
        <v>6.4149000000000003</v>
      </c>
      <c r="F289" s="81">
        <f>6.4149 * CHOOSE(CONTROL!$C$32, $C$9, 100%, $E$9)</f>
        <v>6.4149000000000003</v>
      </c>
      <c r="G289" s="81">
        <f>6.4185 * CHOOSE(CONTROL!$C$32, $C$9, 100%, $E$9)</f>
        <v>6.4184999999999999</v>
      </c>
      <c r="H289" s="81">
        <f>10.3101 * CHOOSE(CONTROL!$C$32, $C$9, 100%, $E$9)</f>
        <v>10.3101</v>
      </c>
      <c r="I289" s="81">
        <f>10.3137 * CHOOSE(CONTROL!$C$32, $C$9, 100%, $E$9)</f>
        <v>10.313700000000001</v>
      </c>
      <c r="J289" s="81">
        <f>10.3101 * CHOOSE(CONTROL!$C$32, $C$9, 100%, $E$9)</f>
        <v>10.3101</v>
      </c>
      <c r="K289" s="81">
        <f>10.3137 * CHOOSE(CONTROL!$C$32, $C$9, 100%, $E$9)</f>
        <v>10.313700000000001</v>
      </c>
      <c r="L289" s="81">
        <f>6.4149 * CHOOSE(CONTROL!$C$32, $C$9, 100%, $E$9)</f>
        <v>6.4149000000000003</v>
      </c>
      <c r="M289" s="81">
        <f>6.4185 * CHOOSE(CONTROL!$C$32, $C$9, 100%, $E$9)</f>
        <v>6.4184999999999999</v>
      </c>
      <c r="N289" s="81">
        <f>6.4149 * CHOOSE(CONTROL!$C$32, $C$9, 100%, $E$9)</f>
        <v>6.4149000000000003</v>
      </c>
      <c r="O289" s="81">
        <f>6.4185 * CHOOSE(CONTROL!$C$32, $C$9, 100%, $E$9)</f>
        <v>6.4184999999999999</v>
      </c>
    </row>
    <row r="290" spans="1:15" ht="15" x14ac:dyDescent="0.2">
      <c r="A290" s="16">
        <v>50041</v>
      </c>
      <c r="B290" s="80">
        <f>4.9322 * CHOOSE(CONTROL!$C$32, $C$9, 100%, $E$9)</f>
        <v>4.9321999999999999</v>
      </c>
      <c r="C290" s="80">
        <f>4.9322 * CHOOSE(CONTROL!$C$32, $C$9, 100%, $E$9)</f>
        <v>4.9321999999999999</v>
      </c>
      <c r="D290" s="80">
        <f>4.9333 * CHOOSE(CONTROL!$C$32, $C$9, 100%, $E$9)</f>
        <v>4.9333</v>
      </c>
      <c r="E290" s="81">
        <f>6.4909 * CHOOSE(CONTROL!$C$32, $C$9, 100%, $E$9)</f>
        <v>6.4908999999999999</v>
      </c>
      <c r="F290" s="81">
        <f>6.4909 * CHOOSE(CONTROL!$C$32, $C$9, 100%, $E$9)</f>
        <v>6.4908999999999999</v>
      </c>
      <c r="G290" s="81">
        <f>6.4945 * CHOOSE(CONTROL!$C$32, $C$9, 100%, $E$9)</f>
        <v>6.4945000000000004</v>
      </c>
      <c r="H290" s="81">
        <f>10.3316 * CHOOSE(CONTROL!$C$32, $C$9, 100%, $E$9)</f>
        <v>10.3316</v>
      </c>
      <c r="I290" s="81">
        <f>10.3352 * CHOOSE(CONTROL!$C$32, $C$9, 100%, $E$9)</f>
        <v>10.3352</v>
      </c>
      <c r="J290" s="81">
        <f>10.3316 * CHOOSE(CONTROL!$C$32, $C$9, 100%, $E$9)</f>
        <v>10.3316</v>
      </c>
      <c r="K290" s="81">
        <f>10.3352 * CHOOSE(CONTROL!$C$32, $C$9, 100%, $E$9)</f>
        <v>10.3352</v>
      </c>
      <c r="L290" s="81">
        <f>6.4909 * CHOOSE(CONTROL!$C$32, $C$9, 100%, $E$9)</f>
        <v>6.4908999999999999</v>
      </c>
      <c r="M290" s="81">
        <f>6.4945 * CHOOSE(CONTROL!$C$32, $C$9, 100%, $E$9)</f>
        <v>6.4945000000000004</v>
      </c>
      <c r="N290" s="81">
        <f>6.4909 * CHOOSE(CONTROL!$C$32, $C$9, 100%, $E$9)</f>
        <v>6.4908999999999999</v>
      </c>
      <c r="O290" s="81">
        <f>6.4945 * CHOOSE(CONTROL!$C$32, $C$9, 100%, $E$9)</f>
        <v>6.4945000000000004</v>
      </c>
    </row>
    <row r="291" spans="1:15" ht="15" x14ac:dyDescent="0.2">
      <c r="A291" s="16">
        <v>50072</v>
      </c>
      <c r="B291" s="80">
        <f>4.9291 * CHOOSE(CONTROL!$C$32, $C$9, 100%, $E$9)</f>
        <v>4.9291</v>
      </c>
      <c r="C291" s="80">
        <f>4.9291 * CHOOSE(CONTROL!$C$32, $C$9, 100%, $E$9)</f>
        <v>4.9291</v>
      </c>
      <c r="D291" s="80">
        <f>4.9302 * CHOOSE(CONTROL!$C$32, $C$9, 100%, $E$9)</f>
        <v>4.9302000000000001</v>
      </c>
      <c r="E291" s="81">
        <f>6.3843 * CHOOSE(CONTROL!$C$32, $C$9, 100%, $E$9)</f>
        <v>6.3842999999999996</v>
      </c>
      <c r="F291" s="81">
        <f>6.3843 * CHOOSE(CONTROL!$C$32, $C$9, 100%, $E$9)</f>
        <v>6.3842999999999996</v>
      </c>
      <c r="G291" s="81">
        <f>6.3879 * CHOOSE(CONTROL!$C$32, $C$9, 100%, $E$9)</f>
        <v>6.3879000000000001</v>
      </c>
      <c r="H291" s="81">
        <f>10.3531 * CHOOSE(CONTROL!$C$32, $C$9, 100%, $E$9)</f>
        <v>10.3531</v>
      </c>
      <c r="I291" s="81">
        <f>10.3567 * CHOOSE(CONTROL!$C$32, $C$9, 100%, $E$9)</f>
        <v>10.3567</v>
      </c>
      <c r="J291" s="81">
        <f>10.3531 * CHOOSE(CONTROL!$C$32, $C$9, 100%, $E$9)</f>
        <v>10.3531</v>
      </c>
      <c r="K291" s="81">
        <f>10.3567 * CHOOSE(CONTROL!$C$32, $C$9, 100%, $E$9)</f>
        <v>10.3567</v>
      </c>
      <c r="L291" s="81">
        <f>6.3843 * CHOOSE(CONTROL!$C$32, $C$9, 100%, $E$9)</f>
        <v>6.3842999999999996</v>
      </c>
      <c r="M291" s="81">
        <f>6.3879 * CHOOSE(CONTROL!$C$32, $C$9, 100%, $E$9)</f>
        <v>6.3879000000000001</v>
      </c>
      <c r="N291" s="81">
        <f>6.3843 * CHOOSE(CONTROL!$C$32, $C$9, 100%, $E$9)</f>
        <v>6.3842999999999996</v>
      </c>
      <c r="O291" s="81">
        <f>6.3879 * CHOOSE(CONTROL!$C$32, $C$9, 100%, $E$9)</f>
        <v>6.3879000000000001</v>
      </c>
    </row>
    <row r="292" spans="1:15" ht="15" x14ac:dyDescent="0.2">
      <c r="A292" s="16">
        <v>50100</v>
      </c>
      <c r="B292" s="80">
        <f>4.9261 * CHOOSE(CONTROL!$C$32, $C$9, 100%, $E$9)</f>
        <v>4.9260999999999999</v>
      </c>
      <c r="C292" s="80">
        <f>4.9261 * CHOOSE(CONTROL!$C$32, $C$9, 100%, $E$9)</f>
        <v>4.9260999999999999</v>
      </c>
      <c r="D292" s="80">
        <f>4.9272 * CHOOSE(CONTROL!$C$32, $C$9, 100%, $E$9)</f>
        <v>4.9272</v>
      </c>
      <c r="E292" s="81">
        <f>6.4645 * CHOOSE(CONTROL!$C$32, $C$9, 100%, $E$9)</f>
        <v>6.4645000000000001</v>
      </c>
      <c r="F292" s="81">
        <f>6.4645 * CHOOSE(CONTROL!$C$32, $C$9, 100%, $E$9)</f>
        <v>6.4645000000000001</v>
      </c>
      <c r="G292" s="81">
        <f>6.4681 * CHOOSE(CONTROL!$C$32, $C$9, 100%, $E$9)</f>
        <v>6.4680999999999997</v>
      </c>
      <c r="H292" s="81">
        <f>10.3746 * CHOOSE(CONTROL!$C$32, $C$9, 100%, $E$9)</f>
        <v>10.374599999999999</v>
      </c>
      <c r="I292" s="81">
        <f>10.3783 * CHOOSE(CONTROL!$C$32, $C$9, 100%, $E$9)</f>
        <v>10.378299999999999</v>
      </c>
      <c r="J292" s="81">
        <f>10.3746 * CHOOSE(CONTROL!$C$32, $C$9, 100%, $E$9)</f>
        <v>10.374599999999999</v>
      </c>
      <c r="K292" s="81">
        <f>10.3783 * CHOOSE(CONTROL!$C$32, $C$9, 100%, $E$9)</f>
        <v>10.378299999999999</v>
      </c>
      <c r="L292" s="81">
        <f>6.4645 * CHOOSE(CONTROL!$C$32, $C$9, 100%, $E$9)</f>
        <v>6.4645000000000001</v>
      </c>
      <c r="M292" s="81">
        <f>6.4681 * CHOOSE(CONTROL!$C$32, $C$9, 100%, $E$9)</f>
        <v>6.4680999999999997</v>
      </c>
      <c r="N292" s="81">
        <f>6.4645 * CHOOSE(CONTROL!$C$32, $C$9, 100%, $E$9)</f>
        <v>6.4645000000000001</v>
      </c>
      <c r="O292" s="81">
        <f>6.4681 * CHOOSE(CONTROL!$C$32, $C$9, 100%, $E$9)</f>
        <v>6.4680999999999997</v>
      </c>
    </row>
    <row r="293" spans="1:15" ht="15" x14ac:dyDescent="0.2">
      <c r="A293" s="16">
        <v>50131</v>
      </c>
      <c r="B293" s="80">
        <f>4.9246 * CHOOSE(CONTROL!$C$32, $C$9, 100%, $E$9)</f>
        <v>4.9245999999999999</v>
      </c>
      <c r="C293" s="80">
        <f>4.9246 * CHOOSE(CONTROL!$C$32, $C$9, 100%, $E$9)</f>
        <v>4.9245999999999999</v>
      </c>
      <c r="D293" s="80">
        <f>4.9257 * CHOOSE(CONTROL!$C$32, $C$9, 100%, $E$9)</f>
        <v>4.9257</v>
      </c>
      <c r="E293" s="81">
        <f>6.5488 * CHOOSE(CONTROL!$C$32, $C$9, 100%, $E$9)</f>
        <v>6.5488</v>
      </c>
      <c r="F293" s="81">
        <f>6.5488 * CHOOSE(CONTROL!$C$32, $C$9, 100%, $E$9)</f>
        <v>6.5488</v>
      </c>
      <c r="G293" s="81">
        <f>6.5524 * CHOOSE(CONTROL!$C$32, $C$9, 100%, $E$9)</f>
        <v>6.5523999999999996</v>
      </c>
      <c r="H293" s="81">
        <f>10.3963 * CHOOSE(CONTROL!$C$32, $C$9, 100%, $E$9)</f>
        <v>10.3963</v>
      </c>
      <c r="I293" s="81">
        <f>10.3999 * CHOOSE(CONTROL!$C$32, $C$9, 100%, $E$9)</f>
        <v>10.399900000000001</v>
      </c>
      <c r="J293" s="81">
        <f>10.3963 * CHOOSE(CONTROL!$C$32, $C$9, 100%, $E$9)</f>
        <v>10.3963</v>
      </c>
      <c r="K293" s="81">
        <f>10.3999 * CHOOSE(CONTROL!$C$32, $C$9, 100%, $E$9)</f>
        <v>10.399900000000001</v>
      </c>
      <c r="L293" s="81">
        <f>6.5488 * CHOOSE(CONTROL!$C$32, $C$9, 100%, $E$9)</f>
        <v>6.5488</v>
      </c>
      <c r="M293" s="81">
        <f>6.5524 * CHOOSE(CONTROL!$C$32, $C$9, 100%, $E$9)</f>
        <v>6.5523999999999996</v>
      </c>
      <c r="N293" s="81">
        <f>6.5488 * CHOOSE(CONTROL!$C$32, $C$9, 100%, $E$9)</f>
        <v>6.5488</v>
      </c>
      <c r="O293" s="81">
        <f>6.5524 * CHOOSE(CONTROL!$C$32, $C$9, 100%, $E$9)</f>
        <v>6.5523999999999996</v>
      </c>
    </row>
    <row r="294" spans="1:15" ht="15" x14ac:dyDescent="0.2">
      <c r="A294" s="16">
        <v>50161</v>
      </c>
      <c r="B294" s="80">
        <f>4.9246 * CHOOSE(CONTROL!$C$32, $C$9, 100%, $E$9)</f>
        <v>4.9245999999999999</v>
      </c>
      <c r="C294" s="80">
        <f>4.9246 * CHOOSE(CONTROL!$C$32, $C$9, 100%, $E$9)</f>
        <v>4.9245999999999999</v>
      </c>
      <c r="D294" s="80">
        <f>4.9262 * CHOOSE(CONTROL!$C$32, $C$9, 100%, $E$9)</f>
        <v>4.9261999999999997</v>
      </c>
      <c r="E294" s="81">
        <f>6.5819 * CHOOSE(CONTROL!$C$32, $C$9, 100%, $E$9)</f>
        <v>6.5819000000000001</v>
      </c>
      <c r="F294" s="81">
        <f>6.5819 * CHOOSE(CONTROL!$C$32, $C$9, 100%, $E$9)</f>
        <v>6.5819000000000001</v>
      </c>
      <c r="G294" s="81">
        <f>6.5872 * CHOOSE(CONTROL!$C$32, $C$9, 100%, $E$9)</f>
        <v>6.5872000000000002</v>
      </c>
      <c r="H294" s="81">
        <f>10.4179 * CHOOSE(CONTROL!$C$32, $C$9, 100%, $E$9)</f>
        <v>10.417899999999999</v>
      </c>
      <c r="I294" s="81">
        <f>10.4232 * CHOOSE(CONTROL!$C$32, $C$9, 100%, $E$9)</f>
        <v>10.4232</v>
      </c>
      <c r="J294" s="81">
        <f>10.4179 * CHOOSE(CONTROL!$C$32, $C$9, 100%, $E$9)</f>
        <v>10.417899999999999</v>
      </c>
      <c r="K294" s="81">
        <f>10.4232 * CHOOSE(CONTROL!$C$32, $C$9, 100%, $E$9)</f>
        <v>10.4232</v>
      </c>
      <c r="L294" s="81">
        <f>6.5819 * CHOOSE(CONTROL!$C$32, $C$9, 100%, $E$9)</f>
        <v>6.5819000000000001</v>
      </c>
      <c r="M294" s="81">
        <f>6.5872 * CHOOSE(CONTROL!$C$32, $C$9, 100%, $E$9)</f>
        <v>6.5872000000000002</v>
      </c>
      <c r="N294" s="81">
        <f>6.5819 * CHOOSE(CONTROL!$C$32, $C$9, 100%, $E$9)</f>
        <v>6.5819000000000001</v>
      </c>
      <c r="O294" s="81">
        <f>6.5872 * CHOOSE(CONTROL!$C$32, $C$9, 100%, $E$9)</f>
        <v>6.5872000000000002</v>
      </c>
    </row>
    <row r="295" spans="1:15" ht="15" x14ac:dyDescent="0.2">
      <c r="A295" s="16">
        <v>50192</v>
      </c>
      <c r="B295" s="80">
        <f>4.9307 * CHOOSE(CONTROL!$C$32, $C$9, 100%, $E$9)</f>
        <v>4.9306999999999999</v>
      </c>
      <c r="C295" s="80">
        <f>4.9307 * CHOOSE(CONTROL!$C$32, $C$9, 100%, $E$9)</f>
        <v>4.9306999999999999</v>
      </c>
      <c r="D295" s="80">
        <f>4.9323 * CHOOSE(CONTROL!$C$32, $C$9, 100%, $E$9)</f>
        <v>4.9322999999999997</v>
      </c>
      <c r="E295" s="81">
        <f>6.553 * CHOOSE(CONTROL!$C$32, $C$9, 100%, $E$9)</f>
        <v>6.5529999999999999</v>
      </c>
      <c r="F295" s="81">
        <f>6.553 * CHOOSE(CONTROL!$C$32, $C$9, 100%, $E$9)</f>
        <v>6.5529999999999999</v>
      </c>
      <c r="G295" s="81">
        <f>6.5583 * CHOOSE(CONTROL!$C$32, $C$9, 100%, $E$9)</f>
        <v>6.5583</v>
      </c>
      <c r="H295" s="81">
        <f>10.4396 * CHOOSE(CONTROL!$C$32, $C$9, 100%, $E$9)</f>
        <v>10.4396</v>
      </c>
      <c r="I295" s="81">
        <f>10.4449 * CHOOSE(CONTROL!$C$32, $C$9, 100%, $E$9)</f>
        <v>10.444900000000001</v>
      </c>
      <c r="J295" s="81">
        <f>10.4396 * CHOOSE(CONTROL!$C$32, $C$9, 100%, $E$9)</f>
        <v>10.4396</v>
      </c>
      <c r="K295" s="81">
        <f>10.4449 * CHOOSE(CONTROL!$C$32, $C$9, 100%, $E$9)</f>
        <v>10.444900000000001</v>
      </c>
      <c r="L295" s="81">
        <f>6.553 * CHOOSE(CONTROL!$C$32, $C$9, 100%, $E$9)</f>
        <v>6.5529999999999999</v>
      </c>
      <c r="M295" s="81">
        <f>6.5583 * CHOOSE(CONTROL!$C$32, $C$9, 100%, $E$9)</f>
        <v>6.5583</v>
      </c>
      <c r="N295" s="81">
        <f>6.553 * CHOOSE(CONTROL!$C$32, $C$9, 100%, $E$9)</f>
        <v>6.5529999999999999</v>
      </c>
      <c r="O295" s="81">
        <f>6.5583 * CHOOSE(CONTROL!$C$32, $C$9, 100%, $E$9)</f>
        <v>6.5583</v>
      </c>
    </row>
    <row r="296" spans="1:15" ht="15" x14ac:dyDescent="0.2">
      <c r="A296" s="16">
        <v>50222</v>
      </c>
      <c r="B296" s="80">
        <f>4.9977 * CHOOSE(CONTROL!$C$32, $C$9, 100%, $E$9)</f>
        <v>4.9977</v>
      </c>
      <c r="C296" s="80">
        <f>4.9977 * CHOOSE(CONTROL!$C$32, $C$9, 100%, $E$9)</f>
        <v>4.9977</v>
      </c>
      <c r="D296" s="80">
        <f>4.9993 * CHOOSE(CONTROL!$C$32, $C$9, 100%, $E$9)</f>
        <v>4.9992999999999999</v>
      </c>
      <c r="E296" s="81">
        <f>6.6146 * CHOOSE(CONTROL!$C$32, $C$9, 100%, $E$9)</f>
        <v>6.6146000000000003</v>
      </c>
      <c r="F296" s="81">
        <f>6.6146 * CHOOSE(CONTROL!$C$32, $C$9, 100%, $E$9)</f>
        <v>6.6146000000000003</v>
      </c>
      <c r="G296" s="81">
        <f>6.6199 * CHOOSE(CONTROL!$C$32, $C$9, 100%, $E$9)</f>
        <v>6.6199000000000003</v>
      </c>
      <c r="H296" s="81">
        <f>10.4614 * CHOOSE(CONTROL!$C$32, $C$9, 100%, $E$9)</f>
        <v>10.461399999999999</v>
      </c>
      <c r="I296" s="81">
        <f>10.4667 * CHOOSE(CONTROL!$C$32, $C$9, 100%, $E$9)</f>
        <v>10.466699999999999</v>
      </c>
      <c r="J296" s="81">
        <f>10.4614 * CHOOSE(CONTROL!$C$32, $C$9, 100%, $E$9)</f>
        <v>10.461399999999999</v>
      </c>
      <c r="K296" s="81">
        <f>10.4667 * CHOOSE(CONTROL!$C$32, $C$9, 100%, $E$9)</f>
        <v>10.466699999999999</v>
      </c>
      <c r="L296" s="81">
        <f>6.6146 * CHOOSE(CONTROL!$C$32, $C$9, 100%, $E$9)</f>
        <v>6.6146000000000003</v>
      </c>
      <c r="M296" s="81">
        <f>6.6199 * CHOOSE(CONTROL!$C$32, $C$9, 100%, $E$9)</f>
        <v>6.6199000000000003</v>
      </c>
      <c r="N296" s="81">
        <f>6.6146 * CHOOSE(CONTROL!$C$32, $C$9, 100%, $E$9)</f>
        <v>6.6146000000000003</v>
      </c>
      <c r="O296" s="81">
        <f>6.6199 * CHOOSE(CONTROL!$C$32, $C$9, 100%, $E$9)</f>
        <v>6.6199000000000003</v>
      </c>
    </row>
    <row r="297" spans="1:15" ht="15" x14ac:dyDescent="0.2">
      <c r="A297" s="16">
        <v>50253</v>
      </c>
      <c r="B297" s="80">
        <f>5.0044 * CHOOSE(CONTROL!$C$32, $C$9, 100%, $E$9)</f>
        <v>5.0044000000000004</v>
      </c>
      <c r="C297" s="80">
        <f>5.0044 * CHOOSE(CONTROL!$C$32, $C$9, 100%, $E$9)</f>
        <v>5.0044000000000004</v>
      </c>
      <c r="D297" s="80">
        <f>5.006 * CHOOSE(CONTROL!$C$32, $C$9, 100%, $E$9)</f>
        <v>5.0060000000000002</v>
      </c>
      <c r="E297" s="81">
        <f>6.5198 * CHOOSE(CONTROL!$C$32, $C$9, 100%, $E$9)</f>
        <v>6.5198</v>
      </c>
      <c r="F297" s="81">
        <f>6.5198 * CHOOSE(CONTROL!$C$32, $C$9, 100%, $E$9)</f>
        <v>6.5198</v>
      </c>
      <c r="G297" s="81">
        <f>6.525 * CHOOSE(CONTROL!$C$32, $C$9, 100%, $E$9)</f>
        <v>6.5250000000000004</v>
      </c>
      <c r="H297" s="81">
        <f>10.4832 * CHOOSE(CONTROL!$C$32, $C$9, 100%, $E$9)</f>
        <v>10.4832</v>
      </c>
      <c r="I297" s="81">
        <f>10.4885 * CHOOSE(CONTROL!$C$32, $C$9, 100%, $E$9)</f>
        <v>10.4885</v>
      </c>
      <c r="J297" s="81">
        <f>10.4832 * CHOOSE(CONTROL!$C$32, $C$9, 100%, $E$9)</f>
        <v>10.4832</v>
      </c>
      <c r="K297" s="81">
        <f>10.4885 * CHOOSE(CONTROL!$C$32, $C$9, 100%, $E$9)</f>
        <v>10.4885</v>
      </c>
      <c r="L297" s="81">
        <f>6.5198 * CHOOSE(CONTROL!$C$32, $C$9, 100%, $E$9)</f>
        <v>6.5198</v>
      </c>
      <c r="M297" s="81">
        <f>6.525 * CHOOSE(CONTROL!$C$32, $C$9, 100%, $E$9)</f>
        <v>6.5250000000000004</v>
      </c>
      <c r="N297" s="81">
        <f>6.5198 * CHOOSE(CONTROL!$C$32, $C$9, 100%, $E$9)</f>
        <v>6.5198</v>
      </c>
      <c r="O297" s="81">
        <f>6.525 * CHOOSE(CONTROL!$C$32, $C$9, 100%, $E$9)</f>
        <v>6.5250000000000004</v>
      </c>
    </row>
    <row r="298" spans="1:15" ht="15" x14ac:dyDescent="0.2">
      <c r="A298" s="16">
        <v>50284</v>
      </c>
      <c r="B298" s="80">
        <f>5.0014 * CHOOSE(CONTROL!$C$32, $C$9, 100%, $E$9)</f>
        <v>5.0014000000000003</v>
      </c>
      <c r="C298" s="80">
        <f>5.0014 * CHOOSE(CONTROL!$C$32, $C$9, 100%, $E$9)</f>
        <v>5.0014000000000003</v>
      </c>
      <c r="D298" s="80">
        <f>5.003 * CHOOSE(CONTROL!$C$32, $C$9, 100%, $E$9)</f>
        <v>5.0030000000000001</v>
      </c>
      <c r="E298" s="81">
        <f>6.5066 * CHOOSE(CONTROL!$C$32, $C$9, 100%, $E$9)</f>
        <v>6.5065999999999997</v>
      </c>
      <c r="F298" s="81">
        <f>6.5066 * CHOOSE(CONTROL!$C$32, $C$9, 100%, $E$9)</f>
        <v>6.5065999999999997</v>
      </c>
      <c r="G298" s="81">
        <f>6.5119 * CHOOSE(CONTROL!$C$32, $C$9, 100%, $E$9)</f>
        <v>6.5118999999999998</v>
      </c>
      <c r="H298" s="81">
        <f>10.505 * CHOOSE(CONTROL!$C$32, $C$9, 100%, $E$9)</f>
        <v>10.505000000000001</v>
      </c>
      <c r="I298" s="81">
        <f>10.5103 * CHOOSE(CONTROL!$C$32, $C$9, 100%, $E$9)</f>
        <v>10.510300000000001</v>
      </c>
      <c r="J298" s="81">
        <f>10.505 * CHOOSE(CONTROL!$C$32, $C$9, 100%, $E$9)</f>
        <v>10.505000000000001</v>
      </c>
      <c r="K298" s="81">
        <f>10.5103 * CHOOSE(CONTROL!$C$32, $C$9, 100%, $E$9)</f>
        <v>10.510300000000001</v>
      </c>
      <c r="L298" s="81">
        <f>6.5066 * CHOOSE(CONTROL!$C$32, $C$9, 100%, $E$9)</f>
        <v>6.5065999999999997</v>
      </c>
      <c r="M298" s="81">
        <f>6.5119 * CHOOSE(CONTROL!$C$32, $C$9, 100%, $E$9)</f>
        <v>6.5118999999999998</v>
      </c>
      <c r="N298" s="81">
        <f>6.5066 * CHOOSE(CONTROL!$C$32, $C$9, 100%, $E$9)</f>
        <v>6.5065999999999997</v>
      </c>
      <c r="O298" s="81">
        <f>6.5119 * CHOOSE(CONTROL!$C$32, $C$9, 100%, $E$9)</f>
        <v>6.5118999999999998</v>
      </c>
    </row>
    <row r="299" spans="1:15" ht="15" x14ac:dyDescent="0.2">
      <c r="A299" s="16">
        <v>50314</v>
      </c>
      <c r="B299" s="80">
        <f>5.0002 * CHOOSE(CONTROL!$C$32, $C$9, 100%, $E$9)</f>
        <v>5.0002000000000004</v>
      </c>
      <c r="C299" s="80">
        <f>5.0002 * CHOOSE(CONTROL!$C$32, $C$9, 100%, $E$9)</f>
        <v>5.0002000000000004</v>
      </c>
      <c r="D299" s="80">
        <f>5.0012 * CHOOSE(CONTROL!$C$32, $C$9, 100%, $E$9)</f>
        <v>5.0011999999999999</v>
      </c>
      <c r="E299" s="81">
        <f>6.5374 * CHOOSE(CONTROL!$C$32, $C$9, 100%, $E$9)</f>
        <v>6.5373999999999999</v>
      </c>
      <c r="F299" s="81">
        <f>6.5374 * CHOOSE(CONTROL!$C$32, $C$9, 100%, $E$9)</f>
        <v>6.5373999999999999</v>
      </c>
      <c r="G299" s="81">
        <f>6.541 * CHOOSE(CONTROL!$C$32, $C$9, 100%, $E$9)</f>
        <v>6.5410000000000004</v>
      </c>
      <c r="H299" s="81">
        <f>10.5269 * CHOOSE(CONTROL!$C$32, $C$9, 100%, $E$9)</f>
        <v>10.526899999999999</v>
      </c>
      <c r="I299" s="81">
        <f>10.5305 * CHOOSE(CONTROL!$C$32, $C$9, 100%, $E$9)</f>
        <v>10.5305</v>
      </c>
      <c r="J299" s="81">
        <f>10.5269 * CHOOSE(CONTROL!$C$32, $C$9, 100%, $E$9)</f>
        <v>10.526899999999999</v>
      </c>
      <c r="K299" s="81">
        <f>10.5305 * CHOOSE(CONTROL!$C$32, $C$9, 100%, $E$9)</f>
        <v>10.5305</v>
      </c>
      <c r="L299" s="81">
        <f>6.5374 * CHOOSE(CONTROL!$C$32, $C$9, 100%, $E$9)</f>
        <v>6.5373999999999999</v>
      </c>
      <c r="M299" s="81">
        <f>6.541 * CHOOSE(CONTROL!$C$32, $C$9, 100%, $E$9)</f>
        <v>6.5410000000000004</v>
      </c>
      <c r="N299" s="81">
        <f>6.5374 * CHOOSE(CONTROL!$C$32, $C$9, 100%, $E$9)</f>
        <v>6.5373999999999999</v>
      </c>
      <c r="O299" s="81">
        <f>6.541 * CHOOSE(CONTROL!$C$32, $C$9, 100%, $E$9)</f>
        <v>6.5410000000000004</v>
      </c>
    </row>
    <row r="300" spans="1:15" ht="15" x14ac:dyDescent="0.2">
      <c r="A300" s="16">
        <v>50345</v>
      </c>
      <c r="B300" s="80">
        <f>5.0032 * CHOOSE(CONTROL!$C$32, $C$9, 100%, $E$9)</f>
        <v>5.0031999999999996</v>
      </c>
      <c r="C300" s="80">
        <f>5.0032 * CHOOSE(CONTROL!$C$32, $C$9, 100%, $E$9)</f>
        <v>5.0031999999999996</v>
      </c>
      <c r="D300" s="80">
        <f>5.0043 * CHOOSE(CONTROL!$C$32, $C$9, 100%, $E$9)</f>
        <v>5.0042999999999997</v>
      </c>
      <c r="E300" s="81">
        <f>6.5616 * CHOOSE(CONTROL!$C$32, $C$9, 100%, $E$9)</f>
        <v>6.5616000000000003</v>
      </c>
      <c r="F300" s="81">
        <f>6.5616 * CHOOSE(CONTROL!$C$32, $C$9, 100%, $E$9)</f>
        <v>6.5616000000000003</v>
      </c>
      <c r="G300" s="81">
        <f>6.5652 * CHOOSE(CONTROL!$C$32, $C$9, 100%, $E$9)</f>
        <v>6.5651999999999999</v>
      </c>
      <c r="H300" s="81">
        <f>10.5488 * CHOOSE(CONTROL!$C$32, $C$9, 100%, $E$9)</f>
        <v>10.5488</v>
      </c>
      <c r="I300" s="81">
        <f>10.5524 * CHOOSE(CONTROL!$C$32, $C$9, 100%, $E$9)</f>
        <v>10.5524</v>
      </c>
      <c r="J300" s="81">
        <f>10.5488 * CHOOSE(CONTROL!$C$32, $C$9, 100%, $E$9)</f>
        <v>10.5488</v>
      </c>
      <c r="K300" s="81">
        <f>10.5524 * CHOOSE(CONTROL!$C$32, $C$9, 100%, $E$9)</f>
        <v>10.5524</v>
      </c>
      <c r="L300" s="81">
        <f>6.5616 * CHOOSE(CONTROL!$C$32, $C$9, 100%, $E$9)</f>
        <v>6.5616000000000003</v>
      </c>
      <c r="M300" s="81">
        <f>6.5652 * CHOOSE(CONTROL!$C$32, $C$9, 100%, $E$9)</f>
        <v>6.5651999999999999</v>
      </c>
      <c r="N300" s="81">
        <f>6.5616 * CHOOSE(CONTROL!$C$32, $C$9, 100%, $E$9)</f>
        <v>6.5616000000000003</v>
      </c>
      <c r="O300" s="81">
        <f>6.5652 * CHOOSE(CONTROL!$C$32, $C$9, 100%, $E$9)</f>
        <v>6.5651999999999999</v>
      </c>
    </row>
    <row r="301" spans="1:15" ht="15" x14ac:dyDescent="0.2">
      <c r="A301" s="16">
        <v>50375</v>
      </c>
      <c r="B301" s="80">
        <f>5.0032 * CHOOSE(CONTROL!$C$32, $C$9, 100%, $E$9)</f>
        <v>5.0031999999999996</v>
      </c>
      <c r="C301" s="80">
        <f>5.0032 * CHOOSE(CONTROL!$C$32, $C$9, 100%, $E$9)</f>
        <v>5.0031999999999996</v>
      </c>
      <c r="D301" s="80">
        <f>5.0043 * CHOOSE(CONTROL!$C$32, $C$9, 100%, $E$9)</f>
        <v>5.0042999999999997</v>
      </c>
      <c r="E301" s="81">
        <f>6.5063 * CHOOSE(CONTROL!$C$32, $C$9, 100%, $E$9)</f>
        <v>6.5063000000000004</v>
      </c>
      <c r="F301" s="81">
        <f>6.5063 * CHOOSE(CONTROL!$C$32, $C$9, 100%, $E$9)</f>
        <v>6.5063000000000004</v>
      </c>
      <c r="G301" s="81">
        <f>6.51 * CHOOSE(CONTROL!$C$32, $C$9, 100%, $E$9)</f>
        <v>6.51</v>
      </c>
      <c r="H301" s="81">
        <f>10.5708 * CHOOSE(CONTROL!$C$32, $C$9, 100%, $E$9)</f>
        <v>10.5708</v>
      </c>
      <c r="I301" s="81">
        <f>10.5744 * CHOOSE(CONTROL!$C$32, $C$9, 100%, $E$9)</f>
        <v>10.574400000000001</v>
      </c>
      <c r="J301" s="81">
        <f>10.5708 * CHOOSE(CONTROL!$C$32, $C$9, 100%, $E$9)</f>
        <v>10.5708</v>
      </c>
      <c r="K301" s="81">
        <f>10.5744 * CHOOSE(CONTROL!$C$32, $C$9, 100%, $E$9)</f>
        <v>10.574400000000001</v>
      </c>
      <c r="L301" s="81">
        <f>6.5063 * CHOOSE(CONTROL!$C$32, $C$9, 100%, $E$9)</f>
        <v>6.5063000000000004</v>
      </c>
      <c r="M301" s="81">
        <f>6.51 * CHOOSE(CONTROL!$C$32, $C$9, 100%, $E$9)</f>
        <v>6.51</v>
      </c>
      <c r="N301" s="81">
        <f>6.5063 * CHOOSE(CONTROL!$C$32, $C$9, 100%, $E$9)</f>
        <v>6.5063000000000004</v>
      </c>
      <c r="O301" s="81">
        <f>6.51 * CHOOSE(CONTROL!$C$32, $C$9, 100%, $E$9)</f>
        <v>6.51</v>
      </c>
    </row>
    <row r="302" spans="1:15" ht="15" x14ac:dyDescent="0.2">
      <c r="A302" s="16">
        <v>50406</v>
      </c>
      <c r="B302" s="80">
        <f>5.043 * CHOOSE(CONTROL!$C$32, $C$9, 100%, $E$9)</f>
        <v>5.0430000000000001</v>
      </c>
      <c r="C302" s="80">
        <f>5.043 * CHOOSE(CONTROL!$C$32, $C$9, 100%, $E$9)</f>
        <v>5.0430000000000001</v>
      </c>
      <c r="D302" s="80">
        <f>5.044 * CHOOSE(CONTROL!$C$32, $C$9, 100%, $E$9)</f>
        <v>5.0439999999999996</v>
      </c>
      <c r="E302" s="81">
        <f>6.5545 * CHOOSE(CONTROL!$C$32, $C$9, 100%, $E$9)</f>
        <v>6.5545</v>
      </c>
      <c r="F302" s="81">
        <f>6.5545 * CHOOSE(CONTROL!$C$32, $C$9, 100%, $E$9)</f>
        <v>6.5545</v>
      </c>
      <c r="G302" s="81">
        <f>6.5582 * CHOOSE(CONTROL!$C$32, $C$9, 100%, $E$9)</f>
        <v>6.5582000000000003</v>
      </c>
      <c r="H302" s="81">
        <f>10.5928 * CHOOSE(CONTROL!$C$32, $C$9, 100%, $E$9)</f>
        <v>10.5928</v>
      </c>
      <c r="I302" s="81">
        <f>10.5964 * CHOOSE(CONTROL!$C$32, $C$9, 100%, $E$9)</f>
        <v>10.596399999999999</v>
      </c>
      <c r="J302" s="81">
        <f>10.5928 * CHOOSE(CONTROL!$C$32, $C$9, 100%, $E$9)</f>
        <v>10.5928</v>
      </c>
      <c r="K302" s="81">
        <f>10.5964 * CHOOSE(CONTROL!$C$32, $C$9, 100%, $E$9)</f>
        <v>10.596399999999999</v>
      </c>
      <c r="L302" s="81">
        <f>6.5545 * CHOOSE(CONTROL!$C$32, $C$9, 100%, $E$9)</f>
        <v>6.5545</v>
      </c>
      <c r="M302" s="81">
        <f>6.5582 * CHOOSE(CONTROL!$C$32, $C$9, 100%, $E$9)</f>
        <v>6.5582000000000003</v>
      </c>
      <c r="N302" s="81">
        <f>6.5545 * CHOOSE(CONTROL!$C$32, $C$9, 100%, $E$9)</f>
        <v>6.5545</v>
      </c>
      <c r="O302" s="81">
        <f>6.5582 * CHOOSE(CONTROL!$C$32, $C$9, 100%, $E$9)</f>
        <v>6.5582000000000003</v>
      </c>
    </row>
    <row r="303" spans="1:15" ht="15" x14ac:dyDescent="0.2">
      <c r="A303" s="16">
        <v>50437</v>
      </c>
      <c r="B303" s="80">
        <f>5.0399 * CHOOSE(CONTROL!$C$32, $C$9, 100%, $E$9)</f>
        <v>5.0399000000000003</v>
      </c>
      <c r="C303" s="80">
        <f>5.0399 * CHOOSE(CONTROL!$C$32, $C$9, 100%, $E$9)</f>
        <v>5.0399000000000003</v>
      </c>
      <c r="D303" s="80">
        <f>5.041 * CHOOSE(CONTROL!$C$32, $C$9, 100%, $E$9)</f>
        <v>5.0410000000000004</v>
      </c>
      <c r="E303" s="81">
        <f>6.4445 * CHOOSE(CONTROL!$C$32, $C$9, 100%, $E$9)</f>
        <v>6.4444999999999997</v>
      </c>
      <c r="F303" s="81">
        <f>6.4445 * CHOOSE(CONTROL!$C$32, $C$9, 100%, $E$9)</f>
        <v>6.4444999999999997</v>
      </c>
      <c r="G303" s="81">
        <f>6.4481 * CHOOSE(CONTROL!$C$32, $C$9, 100%, $E$9)</f>
        <v>6.4481000000000002</v>
      </c>
      <c r="H303" s="81">
        <f>10.6149 * CHOOSE(CONTROL!$C$32, $C$9, 100%, $E$9)</f>
        <v>10.6149</v>
      </c>
      <c r="I303" s="81">
        <f>10.6185 * CHOOSE(CONTROL!$C$32, $C$9, 100%, $E$9)</f>
        <v>10.618499999999999</v>
      </c>
      <c r="J303" s="81">
        <f>10.6149 * CHOOSE(CONTROL!$C$32, $C$9, 100%, $E$9)</f>
        <v>10.6149</v>
      </c>
      <c r="K303" s="81">
        <f>10.6185 * CHOOSE(CONTROL!$C$32, $C$9, 100%, $E$9)</f>
        <v>10.618499999999999</v>
      </c>
      <c r="L303" s="81">
        <f>6.4445 * CHOOSE(CONTROL!$C$32, $C$9, 100%, $E$9)</f>
        <v>6.4444999999999997</v>
      </c>
      <c r="M303" s="81">
        <f>6.4481 * CHOOSE(CONTROL!$C$32, $C$9, 100%, $E$9)</f>
        <v>6.4481000000000002</v>
      </c>
      <c r="N303" s="81">
        <f>6.4445 * CHOOSE(CONTROL!$C$32, $C$9, 100%, $E$9)</f>
        <v>6.4444999999999997</v>
      </c>
      <c r="O303" s="81">
        <f>6.4481 * CHOOSE(CONTROL!$C$32, $C$9, 100%, $E$9)</f>
        <v>6.4481000000000002</v>
      </c>
    </row>
    <row r="304" spans="1:15" ht="15" x14ac:dyDescent="0.2">
      <c r="A304" s="16">
        <v>50465</v>
      </c>
      <c r="B304" s="80">
        <f>5.0369 * CHOOSE(CONTROL!$C$32, $C$9, 100%, $E$9)</f>
        <v>5.0369000000000002</v>
      </c>
      <c r="C304" s="80">
        <f>5.0369 * CHOOSE(CONTROL!$C$32, $C$9, 100%, $E$9)</f>
        <v>5.0369000000000002</v>
      </c>
      <c r="D304" s="80">
        <f>5.038 * CHOOSE(CONTROL!$C$32, $C$9, 100%, $E$9)</f>
        <v>5.0380000000000003</v>
      </c>
      <c r="E304" s="81">
        <f>6.5275 * CHOOSE(CONTROL!$C$32, $C$9, 100%, $E$9)</f>
        <v>6.5274999999999999</v>
      </c>
      <c r="F304" s="81">
        <f>6.5275 * CHOOSE(CONTROL!$C$32, $C$9, 100%, $E$9)</f>
        <v>6.5274999999999999</v>
      </c>
      <c r="G304" s="81">
        <f>6.5311 * CHOOSE(CONTROL!$C$32, $C$9, 100%, $E$9)</f>
        <v>6.5311000000000003</v>
      </c>
      <c r="H304" s="81">
        <f>10.637 * CHOOSE(CONTROL!$C$32, $C$9, 100%, $E$9)</f>
        <v>10.637</v>
      </c>
      <c r="I304" s="81">
        <f>10.6406 * CHOOSE(CONTROL!$C$32, $C$9, 100%, $E$9)</f>
        <v>10.640599999999999</v>
      </c>
      <c r="J304" s="81">
        <f>10.637 * CHOOSE(CONTROL!$C$32, $C$9, 100%, $E$9)</f>
        <v>10.637</v>
      </c>
      <c r="K304" s="81">
        <f>10.6406 * CHOOSE(CONTROL!$C$32, $C$9, 100%, $E$9)</f>
        <v>10.640599999999999</v>
      </c>
      <c r="L304" s="81">
        <f>6.5275 * CHOOSE(CONTROL!$C$32, $C$9, 100%, $E$9)</f>
        <v>6.5274999999999999</v>
      </c>
      <c r="M304" s="81">
        <f>6.5311 * CHOOSE(CONTROL!$C$32, $C$9, 100%, $E$9)</f>
        <v>6.5311000000000003</v>
      </c>
      <c r="N304" s="81">
        <f>6.5275 * CHOOSE(CONTROL!$C$32, $C$9, 100%, $E$9)</f>
        <v>6.5274999999999999</v>
      </c>
      <c r="O304" s="81">
        <f>6.5311 * CHOOSE(CONTROL!$C$32, $C$9, 100%, $E$9)</f>
        <v>6.5311000000000003</v>
      </c>
    </row>
    <row r="305" spans="1:15" ht="15" x14ac:dyDescent="0.2">
      <c r="A305" s="16">
        <v>50496</v>
      </c>
      <c r="B305" s="80">
        <f>5.0356 * CHOOSE(CONTROL!$C$32, $C$9, 100%, $E$9)</f>
        <v>5.0355999999999996</v>
      </c>
      <c r="C305" s="80">
        <f>5.0356 * CHOOSE(CONTROL!$C$32, $C$9, 100%, $E$9)</f>
        <v>5.0355999999999996</v>
      </c>
      <c r="D305" s="80">
        <f>5.0366 * CHOOSE(CONTROL!$C$32, $C$9, 100%, $E$9)</f>
        <v>5.0366</v>
      </c>
      <c r="E305" s="81">
        <f>6.6146 * CHOOSE(CONTROL!$C$32, $C$9, 100%, $E$9)</f>
        <v>6.6146000000000003</v>
      </c>
      <c r="F305" s="81">
        <f>6.6146 * CHOOSE(CONTROL!$C$32, $C$9, 100%, $E$9)</f>
        <v>6.6146000000000003</v>
      </c>
      <c r="G305" s="81">
        <f>6.6182 * CHOOSE(CONTROL!$C$32, $C$9, 100%, $E$9)</f>
        <v>6.6181999999999999</v>
      </c>
      <c r="H305" s="81">
        <f>10.6592 * CHOOSE(CONTROL!$C$32, $C$9, 100%, $E$9)</f>
        <v>10.6592</v>
      </c>
      <c r="I305" s="81">
        <f>10.6628 * CHOOSE(CONTROL!$C$32, $C$9, 100%, $E$9)</f>
        <v>10.662800000000001</v>
      </c>
      <c r="J305" s="81">
        <f>10.6592 * CHOOSE(CONTROL!$C$32, $C$9, 100%, $E$9)</f>
        <v>10.6592</v>
      </c>
      <c r="K305" s="81">
        <f>10.6628 * CHOOSE(CONTROL!$C$32, $C$9, 100%, $E$9)</f>
        <v>10.662800000000001</v>
      </c>
      <c r="L305" s="81">
        <f>6.6146 * CHOOSE(CONTROL!$C$32, $C$9, 100%, $E$9)</f>
        <v>6.6146000000000003</v>
      </c>
      <c r="M305" s="81">
        <f>6.6182 * CHOOSE(CONTROL!$C$32, $C$9, 100%, $E$9)</f>
        <v>6.6181999999999999</v>
      </c>
      <c r="N305" s="81">
        <f>6.6146 * CHOOSE(CONTROL!$C$32, $C$9, 100%, $E$9)</f>
        <v>6.6146000000000003</v>
      </c>
      <c r="O305" s="81">
        <f>6.6182 * CHOOSE(CONTROL!$C$32, $C$9, 100%, $E$9)</f>
        <v>6.6181999999999999</v>
      </c>
    </row>
    <row r="306" spans="1:15" ht="15" x14ac:dyDescent="0.2">
      <c r="A306" s="16">
        <v>50526</v>
      </c>
      <c r="B306" s="80">
        <f>5.0356 * CHOOSE(CONTROL!$C$32, $C$9, 100%, $E$9)</f>
        <v>5.0355999999999996</v>
      </c>
      <c r="C306" s="80">
        <f>5.0356 * CHOOSE(CONTROL!$C$32, $C$9, 100%, $E$9)</f>
        <v>5.0355999999999996</v>
      </c>
      <c r="D306" s="80">
        <f>5.0371 * CHOOSE(CONTROL!$C$32, $C$9, 100%, $E$9)</f>
        <v>5.0370999999999997</v>
      </c>
      <c r="E306" s="81">
        <f>6.6488 * CHOOSE(CONTROL!$C$32, $C$9, 100%, $E$9)</f>
        <v>6.6487999999999996</v>
      </c>
      <c r="F306" s="81">
        <f>6.6488 * CHOOSE(CONTROL!$C$32, $C$9, 100%, $E$9)</f>
        <v>6.6487999999999996</v>
      </c>
      <c r="G306" s="81">
        <f>6.6541 * CHOOSE(CONTROL!$C$32, $C$9, 100%, $E$9)</f>
        <v>6.6540999999999997</v>
      </c>
      <c r="H306" s="81">
        <f>10.6814 * CHOOSE(CONTROL!$C$32, $C$9, 100%, $E$9)</f>
        <v>10.6814</v>
      </c>
      <c r="I306" s="81">
        <f>10.6867 * CHOOSE(CONTROL!$C$32, $C$9, 100%, $E$9)</f>
        <v>10.6867</v>
      </c>
      <c r="J306" s="81">
        <f>10.6814 * CHOOSE(CONTROL!$C$32, $C$9, 100%, $E$9)</f>
        <v>10.6814</v>
      </c>
      <c r="K306" s="81">
        <f>10.6867 * CHOOSE(CONTROL!$C$32, $C$9, 100%, $E$9)</f>
        <v>10.6867</v>
      </c>
      <c r="L306" s="81">
        <f>6.6488 * CHOOSE(CONTROL!$C$32, $C$9, 100%, $E$9)</f>
        <v>6.6487999999999996</v>
      </c>
      <c r="M306" s="81">
        <f>6.6541 * CHOOSE(CONTROL!$C$32, $C$9, 100%, $E$9)</f>
        <v>6.6540999999999997</v>
      </c>
      <c r="N306" s="81">
        <f>6.6488 * CHOOSE(CONTROL!$C$32, $C$9, 100%, $E$9)</f>
        <v>6.6487999999999996</v>
      </c>
      <c r="O306" s="81">
        <f>6.6541 * CHOOSE(CONTROL!$C$32, $C$9, 100%, $E$9)</f>
        <v>6.6540999999999997</v>
      </c>
    </row>
    <row r="307" spans="1:15" ht="15" x14ac:dyDescent="0.2">
      <c r="A307" s="16">
        <v>50557</v>
      </c>
      <c r="B307" s="80">
        <f>5.0416 * CHOOSE(CONTROL!$C$32, $C$9, 100%, $E$9)</f>
        <v>5.0415999999999999</v>
      </c>
      <c r="C307" s="80">
        <f>5.0416 * CHOOSE(CONTROL!$C$32, $C$9, 100%, $E$9)</f>
        <v>5.0415999999999999</v>
      </c>
      <c r="D307" s="80">
        <f>5.0432 * CHOOSE(CONTROL!$C$32, $C$9, 100%, $E$9)</f>
        <v>5.0431999999999997</v>
      </c>
      <c r="E307" s="81">
        <f>6.6188 * CHOOSE(CONTROL!$C$32, $C$9, 100%, $E$9)</f>
        <v>6.6188000000000002</v>
      </c>
      <c r="F307" s="81">
        <f>6.6188 * CHOOSE(CONTROL!$C$32, $C$9, 100%, $E$9)</f>
        <v>6.6188000000000002</v>
      </c>
      <c r="G307" s="81">
        <f>6.6241 * CHOOSE(CONTROL!$C$32, $C$9, 100%, $E$9)</f>
        <v>6.6241000000000003</v>
      </c>
      <c r="H307" s="81">
        <f>10.7036 * CHOOSE(CONTROL!$C$32, $C$9, 100%, $E$9)</f>
        <v>10.7036</v>
      </c>
      <c r="I307" s="81">
        <f>10.7089 * CHOOSE(CONTROL!$C$32, $C$9, 100%, $E$9)</f>
        <v>10.7089</v>
      </c>
      <c r="J307" s="81">
        <f>10.7036 * CHOOSE(CONTROL!$C$32, $C$9, 100%, $E$9)</f>
        <v>10.7036</v>
      </c>
      <c r="K307" s="81">
        <f>10.7089 * CHOOSE(CONTROL!$C$32, $C$9, 100%, $E$9)</f>
        <v>10.7089</v>
      </c>
      <c r="L307" s="81">
        <f>6.6188 * CHOOSE(CONTROL!$C$32, $C$9, 100%, $E$9)</f>
        <v>6.6188000000000002</v>
      </c>
      <c r="M307" s="81">
        <f>6.6241 * CHOOSE(CONTROL!$C$32, $C$9, 100%, $E$9)</f>
        <v>6.6241000000000003</v>
      </c>
      <c r="N307" s="81">
        <f>6.6188 * CHOOSE(CONTROL!$C$32, $C$9, 100%, $E$9)</f>
        <v>6.6188000000000002</v>
      </c>
      <c r="O307" s="81">
        <f>6.6241 * CHOOSE(CONTROL!$C$32, $C$9, 100%, $E$9)</f>
        <v>6.6241000000000003</v>
      </c>
    </row>
    <row r="308" spans="1:15" ht="15" x14ac:dyDescent="0.2">
      <c r="A308" s="16">
        <v>50587</v>
      </c>
      <c r="B308" s="80">
        <f>5.1131 * CHOOSE(CONTROL!$C$32, $C$9, 100%, $E$9)</f>
        <v>5.1131000000000002</v>
      </c>
      <c r="C308" s="80">
        <f>5.1131 * CHOOSE(CONTROL!$C$32, $C$9, 100%, $E$9)</f>
        <v>5.1131000000000002</v>
      </c>
      <c r="D308" s="80">
        <f>5.1147 * CHOOSE(CONTROL!$C$32, $C$9, 100%, $E$9)</f>
        <v>5.1147</v>
      </c>
      <c r="E308" s="81">
        <f>6.6086 * CHOOSE(CONTROL!$C$32, $C$9, 100%, $E$9)</f>
        <v>6.6086</v>
      </c>
      <c r="F308" s="81">
        <f>6.6086 * CHOOSE(CONTROL!$C$32, $C$9, 100%, $E$9)</f>
        <v>6.6086</v>
      </c>
      <c r="G308" s="81">
        <f>6.6139 * CHOOSE(CONTROL!$C$32, $C$9, 100%, $E$9)</f>
        <v>6.6139000000000001</v>
      </c>
      <c r="H308" s="81">
        <f>10.7259 * CHOOSE(CONTROL!$C$32, $C$9, 100%, $E$9)</f>
        <v>10.725899999999999</v>
      </c>
      <c r="I308" s="81">
        <f>10.7312 * CHOOSE(CONTROL!$C$32, $C$9, 100%, $E$9)</f>
        <v>10.731199999999999</v>
      </c>
      <c r="J308" s="81">
        <f>10.7259 * CHOOSE(CONTROL!$C$32, $C$9, 100%, $E$9)</f>
        <v>10.725899999999999</v>
      </c>
      <c r="K308" s="81">
        <f>10.7312 * CHOOSE(CONTROL!$C$32, $C$9, 100%, $E$9)</f>
        <v>10.731199999999999</v>
      </c>
      <c r="L308" s="81">
        <f>6.6086 * CHOOSE(CONTROL!$C$32, $C$9, 100%, $E$9)</f>
        <v>6.6086</v>
      </c>
      <c r="M308" s="81">
        <f>6.6139 * CHOOSE(CONTROL!$C$32, $C$9, 100%, $E$9)</f>
        <v>6.6139000000000001</v>
      </c>
      <c r="N308" s="81">
        <f>6.6086 * CHOOSE(CONTROL!$C$32, $C$9, 100%, $E$9)</f>
        <v>6.6086</v>
      </c>
      <c r="O308" s="81">
        <f>6.6139 * CHOOSE(CONTROL!$C$32, $C$9, 100%, $E$9)</f>
        <v>6.6139000000000001</v>
      </c>
    </row>
    <row r="309" spans="1:15" ht="15" x14ac:dyDescent="0.2">
      <c r="A309" s="16">
        <v>50618</v>
      </c>
      <c r="B309" s="80">
        <f>5.1198 * CHOOSE(CONTROL!$C$32, $C$9, 100%, $E$9)</f>
        <v>5.1197999999999997</v>
      </c>
      <c r="C309" s="80">
        <f>5.1198 * CHOOSE(CONTROL!$C$32, $C$9, 100%, $E$9)</f>
        <v>5.1197999999999997</v>
      </c>
      <c r="D309" s="80">
        <f>5.1214 * CHOOSE(CONTROL!$C$32, $C$9, 100%, $E$9)</f>
        <v>5.1214000000000004</v>
      </c>
      <c r="E309" s="81">
        <f>6.5105 * CHOOSE(CONTROL!$C$32, $C$9, 100%, $E$9)</f>
        <v>6.5105000000000004</v>
      </c>
      <c r="F309" s="81">
        <f>6.5105 * CHOOSE(CONTROL!$C$32, $C$9, 100%, $E$9)</f>
        <v>6.5105000000000004</v>
      </c>
      <c r="G309" s="81">
        <f>6.5158 * CHOOSE(CONTROL!$C$32, $C$9, 100%, $E$9)</f>
        <v>6.5157999999999996</v>
      </c>
      <c r="H309" s="81">
        <f>10.7483 * CHOOSE(CONTROL!$C$32, $C$9, 100%, $E$9)</f>
        <v>10.7483</v>
      </c>
      <c r="I309" s="81">
        <f>10.7536 * CHOOSE(CONTROL!$C$32, $C$9, 100%, $E$9)</f>
        <v>10.7536</v>
      </c>
      <c r="J309" s="81">
        <f>10.7483 * CHOOSE(CONTROL!$C$32, $C$9, 100%, $E$9)</f>
        <v>10.7483</v>
      </c>
      <c r="K309" s="81">
        <f>10.7536 * CHOOSE(CONTROL!$C$32, $C$9, 100%, $E$9)</f>
        <v>10.7536</v>
      </c>
      <c r="L309" s="81">
        <f>6.5105 * CHOOSE(CONTROL!$C$32, $C$9, 100%, $E$9)</f>
        <v>6.5105000000000004</v>
      </c>
      <c r="M309" s="81">
        <f>6.5158 * CHOOSE(CONTROL!$C$32, $C$9, 100%, $E$9)</f>
        <v>6.5157999999999996</v>
      </c>
      <c r="N309" s="81">
        <f>6.5105 * CHOOSE(CONTROL!$C$32, $C$9, 100%, $E$9)</f>
        <v>6.5105000000000004</v>
      </c>
      <c r="O309" s="81">
        <f>6.5158 * CHOOSE(CONTROL!$C$32, $C$9, 100%, $E$9)</f>
        <v>6.5157999999999996</v>
      </c>
    </row>
    <row r="310" spans="1:15" ht="15" x14ac:dyDescent="0.2">
      <c r="A310" s="16">
        <v>50649</v>
      </c>
      <c r="B310" s="80">
        <f>5.1167 * CHOOSE(CONTROL!$C$32, $C$9, 100%, $E$9)</f>
        <v>5.1166999999999998</v>
      </c>
      <c r="C310" s="80">
        <f>5.1167 * CHOOSE(CONTROL!$C$32, $C$9, 100%, $E$9)</f>
        <v>5.1166999999999998</v>
      </c>
      <c r="D310" s="80">
        <f>5.1183 * CHOOSE(CONTROL!$C$32, $C$9, 100%, $E$9)</f>
        <v>5.1182999999999996</v>
      </c>
      <c r="E310" s="81">
        <f>6.4969 * CHOOSE(CONTROL!$C$32, $C$9, 100%, $E$9)</f>
        <v>6.4969000000000001</v>
      </c>
      <c r="F310" s="81">
        <f>6.4969 * CHOOSE(CONTROL!$C$32, $C$9, 100%, $E$9)</f>
        <v>6.4969000000000001</v>
      </c>
      <c r="G310" s="81">
        <f>6.5022 * CHOOSE(CONTROL!$C$32, $C$9, 100%, $E$9)</f>
        <v>6.5022000000000002</v>
      </c>
      <c r="H310" s="81">
        <f>10.7707 * CHOOSE(CONTROL!$C$32, $C$9, 100%, $E$9)</f>
        <v>10.7707</v>
      </c>
      <c r="I310" s="81">
        <f>10.776 * CHOOSE(CONTROL!$C$32, $C$9, 100%, $E$9)</f>
        <v>10.776</v>
      </c>
      <c r="J310" s="81">
        <f>10.7707 * CHOOSE(CONTROL!$C$32, $C$9, 100%, $E$9)</f>
        <v>10.7707</v>
      </c>
      <c r="K310" s="81">
        <f>10.776 * CHOOSE(CONTROL!$C$32, $C$9, 100%, $E$9)</f>
        <v>10.776</v>
      </c>
      <c r="L310" s="81">
        <f>6.4969 * CHOOSE(CONTROL!$C$32, $C$9, 100%, $E$9)</f>
        <v>6.4969000000000001</v>
      </c>
      <c r="M310" s="81">
        <f>6.5022 * CHOOSE(CONTROL!$C$32, $C$9, 100%, $E$9)</f>
        <v>6.5022000000000002</v>
      </c>
      <c r="N310" s="81">
        <f>6.4969 * CHOOSE(CONTROL!$C$32, $C$9, 100%, $E$9)</f>
        <v>6.4969000000000001</v>
      </c>
      <c r="O310" s="81">
        <f>6.5022 * CHOOSE(CONTROL!$C$32, $C$9, 100%, $E$9)</f>
        <v>6.5022000000000002</v>
      </c>
    </row>
    <row r="311" spans="1:15" ht="15" x14ac:dyDescent="0.2">
      <c r="A311" s="16">
        <v>50679</v>
      </c>
      <c r="B311" s="80">
        <f>5.1159 * CHOOSE(CONTROL!$C$32, $C$9, 100%, $E$9)</f>
        <v>5.1158999999999999</v>
      </c>
      <c r="C311" s="80">
        <f>5.1159 * CHOOSE(CONTROL!$C$32, $C$9, 100%, $E$9)</f>
        <v>5.1158999999999999</v>
      </c>
      <c r="D311" s="80">
        <f>5.117 * CHOOSE(CONTROL!$C$32, $C$9, 100%, $E$9)</f>
        <v>5.117</v>
      </c>
      <c r="E311" s="81">
        <f>6.5292 * CHOOSE(CONTROL!$C$32, $C$9, 100%, $E$9)</f>
        <v>6.5292000000000003</v>
      </c>
      <c r="F311" s="81">
        <f>6.5292 * CHOOSE(CONTROL!$C$32, $C$9, 100%, $E$9)</f>
        <v>6.5292000000000003</v>
      </c>
      <c r="G311" s="81">
        <f>6.5328 * CHOOSE(CONTROL!$C$32, $C$9, 100%, $E$9)</f>
        <v>6.5327999999999999</v>
      </c>
      <c r="H311" s="81">
        <f>10.7931 * CHOOSE(CONTROL!$C$32, $C$9, 100%, $E$9)</f>
        <v>10.793100000000001</v>
      </c>
      <c r="I311" s="81">
        <f>10.7967 * CHOOSE(CONTROL!$C$32, $C$9, 100%, $E$9)</f>
        <v>10.7967</v>
      </c>
      <c r="J311" s="81">
        <f>10.7931 * CHOOSE(CONTROL!$C$32, $C$9, 100%, $E$9)</f>
        <v>10.793100000000001</v>
      </c>
      <c r="K311" s="81">
        <f>10.7967 * CHOOSE(CONTROL!$C$32, $C$9, 100%, $E$9)</f>
        <v>10.7967</v>
      </c>
      <c r="L311" s="81">
        <f>6.5292 * CHOOSE(CONTROL!$C$32, $C$9, 100%, $E$9)</f>
        <v>6.5292000000000003</v>
      </c>
      <c r="M311" s="81">
        <f>6.5328 * CHOOSE(CONTROL!$C$32, $C$9, 100%, $E$9)</f>
        <v>6.5327999999999999</v>
      </c>
      <c r="N311" s="81">
        <f>6.5292 * CHOOSE(CONTROL!$C$32, $C$9, 100%, $E$9)</f>
        <v>6.5292000000000003</v>
      </c>
      <c r="O311" s="81">
        <f>6.5328 * CHOOSE(CONTROL!$C$32, $C$9, 100%, $E$9)</f>
        <v>6.5327999999999999</v>
      </c>
    </row>
    <row r="312" spans="1:15" ht="15" x14ac:dyDescent="0.2">
      <c r="A312" s="16">
        <v>50710</v>
      </c>
      <c r="B312" s="80">
        <f>5.119 * CHOOSE(CONTROL!$C$32, $C$9, 100%, $E$9)</f>
        <v>5.1189999999999998</v>
      </c>
      <c r="C312" s="80">
        <f>5.119 * CHOOSE(CONTROL!$C$32, $C$9, 100%, $E$9)</f>
        <v>5.1189999999999998</v>
      </c>
      <c r="D312" s="80">
        <f>5.1201 * CHOOSE(CONTROL!$C$32, $C$9, 100%, $E$9)</f>
        <v>5.1200999999999999</v>
      </c>
      <c r="E312" s="81">
        <f>6.5541 * CHOOSE(CONTROL!$C$32, $C$9, 100%, $E$9)</f>
        <v>6.5541</v>
      </c>
      <c r="F312" s="81">
        <f>6.5541 * CHOOSE(CONTROL!$C$32, $C$9, 100%, $E$9)</f>
        <v>6.5541</v>
      </c>
      <c r="G312" s="81">
        <f>6.5578 * CHOOSE(CONTROL!$C$32, $C$9, 100%, $E$9)</f>
        <v>6.5578000000000003</v>
      </c>
      <c r="H312" s="81">
        <f>10.8156 * CHOOSE(CONTROL!$C$32, $C$9, 100%, $E$9)</f>
        <v>10.8156</v>
      </c>
      <c r="I312" s="81">
        <f>10.8192 * CHOOSE(CONTROL!$C$32, $C$9, 100%, $E$9)</f>
        <v>10.8192</v>
      </c>
      <c r="J312" s="81">
        <f>10.8156 * CHOOSE(CONTROL!$C$32, $C$9, 100%, $E$9)</f>
        <v>10.8156</v>
      </c>
      <c r="K312" s="81">
        <f>10.8192 * CHOOSE(CONTROL!$C$32, $C$9, 100%, $E$9)</f>
        <v>10.8192</v>
      </c>
      <c r="L312" s="81">
        <f>6.5541 * CHOOSE(CONTROL!$C$32, $C$9, 100%, $E$9)</f>
        <v>6.5541</v>
      </c>
      <c r="M312" s="81">
        <f>6.5578 * CHOOSE(CONTROL!$C$32, $C$9, 100%, $E$9)</f>
        <v>6.5578000000000003</v>
      </c>
      <c r="N312" s="81">
        <f>6.5541 * CHOOSE(CONTROL!$C$32, $C$9, 100%, $E$9)</f>
        <v>6.5541</v>
      </c>
      <c r="O312" s="81">
        <f>6.5578 * CHOOSE(CONTROL!$C$32, $C$9, 100%, $E$9)</f>
        <v>6.5578000000000003</v>
      </c>
    </row>
    <row r="313" spans="1:15" ht="15" x14ac:dyDescent="0.2">
      <c r="A313" s="16">
        <v>50740</v>
      </c>
      <c r="B313" s="80">
        <f>5.119 * CHOOSE(CONTROL!$C$32, $C$9, 100%, $E$9)</f>
        <v>5.1189999999999998</v>
      </c>
      <c r="C313" s="80">
        <f>5.119 * CHOOSE(CONTROL!$C$32, $C$9, 100%, $E$9)</f>
        <v>5.1189999999999998</v>
      </c>
      <c r="D313" s="80">
        <f>5.1201 * CHOOSE(CONTROL!$C$32, $C$9, 100%, $E$9)</f>
        <v>5.1200999999999999</v>
      </c>
      <c r="E313" s="81">
        <f>6.533 * CHOOSE(CONTROL!$C$32, $C$9, 100%, $E$9)</f>
        <v>6.5330000000000004</v>
      </c>
      <c r="F313" s="81">
        <f>6.533 * CHOOSE(CONTROL!$C$32, $C$9, 100%, $E$9)</f>
        <v>6.5330000000000004</v>
      </c>
      <c r="G313" s="81">
        <f>6.5367 * CHOOSE(CONTROL!$C$32, $C$9, 100%, $E$9)</f>
        <v>6.5366999999999997</v>
      </c>
      <c r="H313" s="81">
        <f>10.8381 * CHOOSE(CONTROL!$C$32, $C$9, 100%, $E$9)</f>
        <v>10.838100000000001</v>
      </c>
      <c r="I313" s="81">
        <f>10.8417 * CHOOSE(CONTROL!$C$32, $C$9, 100%, $E$9)</f>
        <v>10.841699999999999</v>
      </c>
      <c r="J313" s="81">
        <f>10.8381 * CHOOSE(CONTROL!$C$32, $C$9, 100%, $E$9)</f>
        <v>10.838100000000001</v>
      </c>
      <c r="K313" s="81">
        <f>10.8417 * CHOOSE(CONTROL!$C$32, $C$9, 100%, $E$9)</f>
        <v>10.841699999999999</v>
      </c>
      <c r="L313" s="81">
        <f>6.533 * CHOOSE(CONTROL!$C$32, $C$9, 100%, $E$9)</f>
        <v>6.5330000000000004</v>
      </c>
      <c r="M313" s="81">
        <f>6.5367 * CHOOSE(CONTROL!$C$32, $C$9, 100%, $E$9)</f>
        <v>6.5366999999999997</v>
      </c>
      <c r="N313" s="81">
        <f>6.533 * CHOOSE(CONTROL!$C$32, $C$9, 100%, $E$9)</f>
        <v>6.5330000000000004</v>
      </c>
      <c r="O313" s="81">
        <f>6.5367 * CHOOSE(CONTROL!$C$32, $C$9, 100%, $E$9)</f>
        <v>6.5366999999999997</v>
      </c>
    </row>
    <row r="314" spans="1:15" ht="15" x14ac:dyDescent="0.2">
      <c r="A314" s="16">
        <v>50771</v>
      </c>
      <c r="B314" s="80">
        <f>5.1575 * CHOOSE(CONTROL!$C$32, $C$9, 100%, $E$9)</f>
        <v>5.1574999999999998</v>
      </c>
      <c r="C314" s="80">
        <f>5.1575 * CHOOSE(CONTROL!$C$32, $C$9, 100%, $E$9)</f>
        <v>5.1574999999999998</v>
      </c>
      <c r="D314" s="80">
        <f>5.1586 * CHOOSE(CONTROL!$C$32, $C$9, 100%, $E$9)</f>
        <v>5.1585999999999999</v>
      </c>
      <c r="E314" s="81">
        <f>6.5634 * CHOOSE(CONTROL!$C$32, $C$9, 100%, $E$9)</f>
        <v>6.5633999999999997</v>
      </c>
      <c r="F314" s="81">
        <f>6.5634 * CHOOSE(CONTROL!$C$32, $C$9, 100%, $E$9)</f>
        <v>6.5633999999999997</v>
      </c>
      <c r="G314" s="81">
        <f>6.567 * CHOOSE(CONTROL!$C$32, $C$9, 100%, $E$9)</f>
        <v>6.5670000000000002</v>
      </c>
      <c r="H314" s="81">
        <f>10.8607 * CHOOSE(CONTROL!$C$32, $C$9, 100%, $E$9)</f>
        <v>10.8607</v>
      </c>
      <c r="I314" s="81">
        <f>10.8643 * CHOOSE(CONTROL!$C$32, $C$9, 100%, $E$9)</f>
        <v>10.8643</v>
      </c>
      <c r="J314" s="81">
        <f>10.8607 * CHOOSE(CONTROL!$C$32, $C$9, 100%, $E$9)</f>
        <v>10.8607</v>
      </c>
      <c r="K314" s="81">
        <f>10.8643 * CHOOSE(CONTROL!$C$32, $C$9, 100%, $E$9)</f>
        <v>10.8643</v>
      </c>
      <c r="L314" s="81">
        <f>6.5634 * CHOOSE(CONTROL!$C$32, $C$9, 100%, $E$9)</f>
        <v>6.5633999999999997</v>
      </c>
      <c r="M314" s="81">
        <f>6.567 * CHOOSE(CONTROL!$C$32, $C$9, 100%, $E$9)</f>
        <v>6.5670000000000002</v>
      </c>
      <c r="N314" s="81">
        <f>6.5634 * CHOOSE(CONTROL!$C$32, $C$9, 100%, $E$9)</f>
        <v>6.5633999999999997</v>
      </c>
      <c r="O314" s="81">
        <f>6.567 * CHOOSE(CONTROL!$C$32, $C$9, 100%, $E$9)</f>
        <v>6.5670000000000002</v>
      </c>
    </row>
    <row r="315" spans="1:15" ht="15" x14ac:dyDescent="0.2">
      <c r="A315" s="16">
        <v>50802</v>
      </c>
      <c r="B315" s="80">
        <f>5.1544 * CHOOSE(CONTROL!$C$32, $C$9, 100%, $E$9)</f>
        <v>5.1543999999999999</v>
      </c>
      <c r="C315" s="80">
        <f>5.1544 * CHOOSE(CONTROL!$C$32, $C$9, 100%, $E$9)</f>
        <v>5.1543999999999999</v>
      </c>
      <c r="D315" s="80">
        <f>5.1555 * CHOOSE(CONTROL!$C$32, $C$9, 100%, $E$9)</f>
        <v>5.1555</v>
      </c>
      <c r="E315" s="81">
        <f>6.4498 * CHOOSE(CONTROL!$C$32, $C$9, 100%, $E$9)</f>
        <v>6.4497999999999998</v>
      </c>
      <c r="F315" s="81">
        <f>6.4498 * CHOOSE(CONTROL!$C$32, $C$9, 100%, $E$9)</f>
        <v>6.4497999999999998</v>
      </c>
      <c r="G315" s="81">
        <f>6.4535 * CHOOSE(CONTROL!$C$32, $C$9, 100%, $E$9)</f>
        <v>6.4535</v>
      </c>
      <c r="H315" s="81">
        <f>10.8833 * CHOOSE(CONTROL!$C$32, $C$9, 100%, $E$9)</f>
        <v>10.8833</v>
      </c>
      <c r="I315" s="81">
        <f>10.8869 * CHOOSE(CONTROL!$C$32, $C$9, 100%, $E$9)</f>
        <v>10.886900000000001</v>
      </c>
      <c r="J315" s="81">
        <f>10.8833 * CHOOSE(CONTROL!$C$32, $C$9, 100%, $E$9)</f>
        <v>10.8833</v>
      </c>
      <c r="K315" s="81">
        <f>10.8869 * CHOOSE(CONTROL!$C$32, $C$9, 100%, $E$9)</f>
        <v>10.886900000000001</v>
      </c>
      <c r="L315" s="81">
        <f>6.4498 * CHOOSE(CONTROL!$C$32, $C$9, 100%, $E$9)</f>
        <v>6.4497999999999998</v>
      </c>
      <c r="M315" s="81">
        <f>6.4535 * CHOOSE(CONTROL!$C$32, $C$9, 100%, $E$9)</f>
        <v>6.4535</v>
      </c>
      <c r="N315" s="81">
        <f>6.4498 * CHOOSE(CONTROL!$C$32, $C$9, 100%, $E$9)</f>
        <v>6.4497999999999998</v>
      </c>
      <c r="O315" s="81">
        <f>6.4535 * CHOOSE(CONTROL!$C$32, $C$9, 100%, $E$9)</f>
        <v>6.4535</v>
      </c>
    </row>
    <row r="316" spans="1:15" ht="15" x14ac:dyDescent="0.2">
      <c r="A316" s="16">
        <v>50830</v>
      </c>
      <c r="B316" s="80">
        <f>5.1514 * CHOOSE(CONTROL!$C$32, $C$9, 100%, $E$9)</f>
        <v>5.1513999999999998</v>
      </c>
      <c r="C316" s="80">
        <f>5.1514 * CHOOSE(CONTROL!$C$32, $C$9, 100%, $E$9)</f>
        <v>5.1513999999999998</v>
      </c>
      <c r="D316" s="80">
        <f>5.1525 * CHOOSE(CONTROL!$C$32, $C$9, 100%, $E$9)</f>
        <v>5.1524999999999999</v>
      </c>
      <c r="E316" s="81">
        <f>6.5356 * CHOOSE(CONTROL!$C$32, $C$9, 100%, $E$9)</f>
        <v>6.5355999999999996</v>
      </c>
      <c r="F316" s="81">
        <f>6.5356 * CHOOSE(CONTROL!$C$32, $C$9, 100%, $E$9)</f>
        <v>6.5355999999999996</v>
      </c>
      <c r="G316" s="81">
        <f>6.5392 * CHOOSE(CONTROL!$C$32, $C$9, 100%, $E$9)</f>
        <v>6.5392000000000001</v>
      </c>
      <c r="H316" s="81">
        <f>10.906 * CHOOSE(CONTROL!$C$32, $C$9, 100%, $E$9)</f>
        <v>10.906000000000001</v>
      </c>
      <c r="I316" s="81">
        <f>10.9096 * CHOOSE(CONTROL!$C$32, $C$9, 100%, $E$9)</f>
        <v>10.909599999999999</v>
      </c>
      <c r="J316" s="81">
        <f>10.906 * CHOOSE(CONTROL!$C$32, $C$9, 100%, $E$9)</f>
        <v>10.906000000000001</v>
      </c>
      <c r="K316" s="81">
        <f>10.9096 * CHOOSE(CONTROL!$C$32, $C$9, 100%, $E$9)</f>
        <v>10.909599999999999</v>
      </c>
      <c r="L316" s="81">
        <f>6.5356 * CHOOSE(CONTROL!$C$32, $C$9, 100%, $E$9)</f>
        <v>6.5355999999999996</v>
      </c>
      <c r="M316" s="81">
        <f>6.5392 * CHOOSE(CONTROL!$C$32, $C$9, 100%, $E$9)</f>
        <v>6.5392000000000001</v>
      </c>
      <c r="N316" s="81">
        <f>6.5356 * CHOOSE(CONTROL!$C$32, $C$9, 100%, $E$9)</f>
        <v>6.5355999999999996</v>
      </c>
      <c r="O316" s="81">
        <f>6.5392 * CHOOSE(CONTROL!$C$32, $C$9, 100%, $E$9)</f>
        <v>6.5392000000000001</v>
      </c>
    </row>
    <row r="317" spans="1:15" ht="15" x14ac:dyDescent="0.2">
      <c r="A317" s="16">
        <v>50861</v>
      </c>
      <c r="B317" s="80">
        <f>5.1502 * CHOOSE(CONTROL!$C$32, $C$9, 100%, $E$9)</f>
        <v>5.1501999999999999</v>
      </c>
      <c r="C317" s="80">
        <f>5.1502 * CHOOSE(CONTROL!$C$32, $C$9, 100%, $E$9)</f>
        <v>5.1501999999999999</v>
      </c>
      <c r="D317" s="80">
        <f>5.1512 * CHOOSE(CONTROL!$C$32, $C$9, 100%, $E$9)</f>
        <v>5.1512000000000002</v>
      </c>
      <c r="E317" s="81">
        <f>6.6256 * CHOOSE(CONTROL!$C$32, $C$9, 100%, $E$9)</f>
        <v>6.6256000000000004</v>
      </c>
      <c r="F317" s="81">
        <f>6.6256 * CHOOSE(CONTROL!$C$32, $C$9, 100%, $E$9)</f>
        <v>6.6256000000000004</v>
      </c>
      <c r="G317" s="81">
        <f>6.6292 * CHOOSE(CONTROL!$C$32, $C$9, 100%, $E$9)</f>
        <v>6.6292</v>
      </c>
      <c r="H317" s="81">
        <f>10.9287 * CHOOSE(CONTROL!$C$32, $C$9, 100%, $E$9)</f>
        <v>10.928699999999999</v>
      </c>
      <c r="I317" s="81">
        <f>10.9323 * CHOOSE(CONTROL!$C$32, $C$9, 100%, $E$9)</f>
        <v>10.9323</v>
      </c>
      <c r="J317" s="81">
        <f>10.9287 * CHOOSE(CONTROL!$C$32, $C$9, 100%, $E$9)</f>
        <v>10.928699999999999</v>
      </c>
      <c r="K317" s="81">
        <f>10.9323 * CHOOSE(CONTROL!$C$32, $C$9, 100%, $E$9)</f>
        <v>10.9323</v>
      </c>
      <c r="L317" s="81">
        <f>6.6256 * CHOOSE(CONTROL!$C$32, $C$9, 100%, $E$9)</f>
        <v>6.6256000000000004</v>
      </c>
      <c r="M317" s="81">
        <f>6.6292 * CHOOSE(CONTROL!$C$32, $C$9, 100%, $E$9)</f>
        <v>6.6292</v>
      </c>
      <c r="N317" s="81">
        <f>6.6256 * CHOOSE(CONTROL!$C$32, $C$9, 100%, $E$9)</f>
        <v>6.6256000000000004</v>
      </c>
      <c r="O317" s="81">
        <f>6.6292 * CHOOSE(CONTROL!$C$32, $C$9, 100%, $E$9)</f>
        <v>6.6292</v>
      </c>
    </row>
    <row r="318" spans="1:15" ht="15" x14ac:dyDescent="0.2">
      <c r="A318" s="16">
        <v>50891</v>
      </c>
      <c r="B318" s="80">
        <f>5.1502 * CHOOSE(CONTROL!$C$32, $C$9, 100%, $E$9)</f>
        <v>5.1501999999999999</v>
      </c>
      <c r="C318" s="80">
        <f>5.1502 * CHOOSE(CONTROL!$C$32, $C$9, 100%, $E$9)</f>
        <v>5.1501999999999999</v>
      </c>
      <c r="D318" s="80">
        <f>5.1517 * CHOOSE(CONTROL!$C$32, $C$9, 100%, $E$9)</f>
        <v>5.1516999999999999</v>
      </c>
      <c r="E318" s="81">
        <f>6.661 * CHOOSE(CONTROL!$C$32, $C$9, 100%, $E$9)</f>
        <v>6.6609999999999996</v>
      </c>
      <c r="F318" s="81">
        <f>6.661 * CHOOSE(CONTROL!$C$32, $C$9, 100%, $E$9)</f>
        <v>6.6609999999999996</v>
      </c>
      <c r="G318" s="81">
        <f>6.6663 * CHOOSE(CONTROL!$C$32, $C$9, 100%, $E$9)</f>
        <v>6.6662999999999997</v>
      </c>
      <c r="H318" s="81">
        <f>10.9515 * CHOOSE(CONTROL!$C$32, $C$9, 100%, $E$9)</f>
        <v>10.951499999999999</v>
      </c>
      <c r="I318" s="81">
        <f>10.9568 * CHOOSE(CONTROL!$C$32, $C$9, 100%, $E$9)</f>
        <v>10.956799999999999</v>
      </c>
      <c r="J318" s="81">
        <f>10.9515 * CHOOSE(CONTROL!$C$32, $C$9, 100%, $E$9)</f>
        <v>10.951499999999999</v>
      </c>
      <c r="K318" s="81">
        <f>10.9568 * CHOOSE(CONTROL!$C$32, $C$9, 100%, $E$9)</f>
        <v>10.956799999999999</v>
      </c>
      <c r="L318" s="81">
        <f>6.661 * CHOOSE(CONTROL!$C$32, $C$9, 100%, $E$9)</f>
        <v>6.6609999999999996</v>
      </c>
      <c r="M318" s="81">
        <f>6.6663 * CHOOSE(CONTROL!$C$32, $C$9, 100%, $E$9)</f>
        <v>6.6662999999999997</v>
      </c>
      <c r="N318" s="81">
        <f>6.661 * CHOOSE(CONTROL!$C$32, $C$9, 100%, $E$9)</f>
        <v>6.6609999999999996</v>
      </c>
      <c r="O318" s="81">
        <f>6.6663 * CHOOSE(CONTROL!$C$32, $C$9, 100%, $E$9)</f>
        <v>6.6662999999999997</v>
      </c>
    </row>
    <row r="319" spans="1:15" ht="15" x14ac:dyDescent="0.2">
      <c r="A319" s="16">
        <v>50922</v>
      </c>
      <c r="B319" s="80">
        <f>5.1562 * CHOOSE(CONTROL!$C$32, $C$9, 100%, $E$9)</f>
        <v>5.1562000000000001</v>
      </c>
      <c r="C319" s="80">
        <f>5.1562 * CHOOSE(CONTROL!$C$32, $C$9, 100%, $E$9)</f>
        <v>5.1562000000000001</v>
      </c>
      <c r="D319" s="80">
        <f>5.1578 * CHOOSE(CONTROL!$C$32, $C$9, 100%, $E$9)</f>
        <v>5.1577999999999999</v>
      </c>
      <c r="E319" s="81">
        <f>6.6299 * CHOOSE(CONTROL!$C$32, $C$9, 100%, $E$9)</f>
        <v>6.6299000000000001</v>
      </c>
      <c r="F319" s="81">
        <f>6.6299 * CHOOSE(CONTROL!$C$32, $C$9, 100%, $E$9)</f>
        <v>6.6299000000000001</v>
      </c>
      <c r="G319" s="81">
        <f>6.6352 * CHOOSE(CONTROL!$C$32, $C$9, 100%, $E$9)</f>
        <v>6.6352000000000002</v>
      </c>
      <c r="H319" s="81">
        <f>10.9743 * CHOOSE(CONTROL!$C$32, $C$9, 100%, $E$9)</f>
        <v>10.974299999999999</v>
      </c>
      <c r="I319" s="81">
        <f>10.9796 * CHOOSE(CONTROL!$C$32, $C$9, 100%, $E$9)</f>
        <v>10.9796</v>
      </c>
      <c r="J319" s="81">
        <f>10.9743 * CHOOSE(CONTROL!$C$32, $C$9, 100%, $E$9)</f>
        <v>10.974299999999999</v>
      </c>
      <c r="K319" s="81">
        <f>10.9796 * CHOOSE(CONTROL!$C$32, $C$9, 100%, $E$9)</f>
        <v>10.9796</v>
      </c>
      <c r="L319" s="81">
        <f>6.6299 * CHOOSE(CONTROL!$C$32, $C$9, 100%, $E$9)</f>
        <v>6.6299000000000001</v>
      </c>
      <c r="M319" s="81">
        <f>6.6352 * CHOOSE(CONTROL!$C$32, $C$9, 100%, $E$9)</f>
        <v>6.6352000000000002</v>
      </c>
      <c r="N319" s="81">
        <f>6.6299 * CHOOSE(CONTROL!$C$32, $C$9, 100%, $E$9)</f>
        <v>6.6299000000000001</v>
      </c>
      <c r="O319" s="81">
        <f>6.6352 * CHOOSE(CONTROL!$C$32, $C$9, 100%, $E$9)</f>
        <v>6.6352000000000002</v>
      </c>
    </row>
    <row r="320" spans="1:15" ht="15" x14ac:dyDescent="0.2">
      <c r="A320" s="16">
        <v>50952</v>
      </c>
      <c r="B320" s="80">
        <f>5.2245 * CHOOSE(CONTROL!$C$32, $C$9, 100%, $E$9)</f>
        <v>5.2244999999999999</v>
      </c>
      <c r="C320" s="80">
        <f>5.2245 * CHOOSE(CONTROL!$C$32, $C$9, 100%, $E$9)</f>
        <v>5.2244999999999999</v>
      </c>
      <c r="D320" s="80">
        <f>5.226 * CHOOSE(CONTROL!$C$32, $C$9, 100%, $E$9)</f>
        <v>5.226</v>
      </c>
      <c r="E320" s="81">
        <f>6.6597 * CHOOSE(CONTROL!$C$32, $C$9, 100%, $E$9)</f>
        <v>6.6597</v>
      </c>
      <c r="F320" s="81">
        <f>6.6597 * CHOOSE(CONTROL!$C$32, $C$9, 100%, $E$9)</f>
        <v>6.6597</v>
      </c>
      <c r="G320" s="81">
        <f>6.665 * CHOOSE(CONTROL!$C$32, $C$9, 100%, $E$9)</f>
        <v>6.665</v>
      </c>
      <c r="H320" s="81">
        <f>10.9972 * CHOOSE(CONTROL!$C$32, $C$9, 100%, $E$9)</f>
        <v>10.997199999999999</v>
      </c>
      <c r="I320" s="81">
        <f>11.0025 * CHOOSE(CONTROL!$C$32, $C$9, 100%, $E$9)</f>
        <v>11.0025</v>
      </c>
      <c r="J320" s="81">
        <f>10.9972 * CHOOSE(CONTROL!$C$32, $C$9, 100%, $E$9)</f>
        <v>10.997199999999999</v>
      </c>
      <c r="K320" s="81">
        <f>11.0025 * CHOOSE(CONTROL!$C$32, $C$9, 100%, $E$9)</f>
        <v>11.0025</v>
      </c>
      <c r="L320" s="81">
        <f>6.6597 * CHOOSE(CONTROL!$C$32, $C$9, 100%, $E$9)</f>
        <v>6.6597</v>
      </c>
      <c r="M320" s="81">
        <f>6.665 * CHOOSE(CONTROL!$C$32, $C$9, 100%, $E$9)</f>
        <v>6.665</v>
      </c>
      <c r="N320" s="81">
        <f>6.6597 * CHOOSE(CONTROL!$C$32, $C$9, 100%, $E$9)</f>
        <v>6.6597</v>
      </c>
      <c r="O320" s="81">
        <f>6.665 * CHOOSE(CONTROL!$C$32, $C$9, 100%, $E$9)</f>
        <v>6.665</v>
      </c>
    </row>
    <row r="321" spans="1:15" ht="15" x14ac:dyDescent="0.2">
      <c r="A321" s="16">
        <v>50983</v>
      </c>
      <c r="B321" s="80">
        <f>5.2312 * CHOOSE(CONTROL!$C$32, $C$9, 100%, $E$9)</f>
        <v>5.2312000000000003</v>
      </c>
      <c r="C321" s="80">
        <f>5.2312 * CHOOSE(CONTROL!$C$32, $C$9, 100%, $E$9)</f>
        <v>5.2312000000000003</v>
      </c>
      <c r="D321" s="80">
        <f>5.2327 * CHOOSE(CONTROL!$C$32, $C$9, 100%, $E$9)</f>
        <v>5.2327000000000004</v>
      </c>
      <c r="E321" s="81">
        <f>6.5583 * CHOOSE(CONTROL!$C$32, $C$9, 100%, $E$9)</f>
        <v>6.5583</v>
      </c>
      <c r="F321" s="81">
        <f>6.5583 * CHOOSE(CONTROL!$C$32, $C$9, 100%, $E$9)</f>
        <v>6.5583</v>
      </c>
      <c r="G321" s="81">
        <f>6.5635 * CHOOSE(CONTROL!$C$32, $C$9, 100%, $E$9)</f>
        <v>6.5635000000000003</v>
      </c>
      <c r="H321" s="81">
        <f>11.0201 * CHOOSE(CONTROL!$C$32, $C$9, 100%, $E$9)</f>
        <v>11.020099999999999</v>
      </c>
      <c r="I321" s="81">
        <f>11.0254 * CHOOSE(CONTROL!$C$32, $C$9, 100%, $E$9)</f>
        <v>11.025399999999999</v>
      </c>
      <c r="J321" s="81">
        <f>11.0201 * CHOOSE(CONTROL!$C$32, $C$9, 100%, $E$9)</f>
        <v>11.020099999999999</v>
      </c>
      <c r="K321" s="81">
        <f>11.0254 * CHOOSE(CONTROL!$C$32, $C$9, 100%, $E$9)</f>
        <v>11.025399999999999</v>
      </c>
      <c r="L321" s="81">
        <f>6.5583 * CHOOSE(CONTROL!$C$32, $C$9, 100%, $E$9)</f>
        <v>6.5583</v>
      </c>
      <c r="M321" s="81">
        <f>6.5635 * CHOOSE(CONTROL!$C$32, $C$9, 100%, $E$9)</f>
        <v>6.5635000000000003</v>
      </c>
      <c r="N321" s="81">
        <f>6.5583 * CHOOSE(CONTROL!$C$32, $C$9, 100%, $E$9)</f>
        <v>6.5583</v>
      </c>
      <c r="O321" s="81">
        <f>6.5635 * CHOOSE(CONTROL!$C$32, $C$9, 100%, $E$9)</f>
        <v>6.5635000000000003</v>
      </c>
    </row>
    <row r="322" spans="1:15" ht="15" x14ac:dyDescent="0.2">
      <c r="A322" s="16">
        <v>51014</v>
      </c>
      <c r="B322" s="80">
        <f>5.2281 * CHOOSE(CONTROL!$C$32, $C$9, 100%, $E$9)</f>
        <v>5.2281000000000004</v>
      </c>
      <c r="C322" s="80">
        <f>5.2281 * CHOOSE(CONTROL!$C$32, $C$9, 100%, $E$9)</f>
        <v>5.2281000000000004</v>
      </c>
      <c r="D322" s="80">
        <f>5.2297 * CHOOSE(CONTROL!$C$32, $C$9, 100%, $E$9)</f>
        <v>5.2297000000000002</v>
      </c>
      <c r="E322" s="81">
        <f>6.5443 * CHOOSE(CONTROL!$C$32, $C$9, 100%, $E$9)</f>
        <v>6.5442999999999998</v>
      </c>
      <c r="F322" s="81">
        <f>6.5443 * CHOOSE(CONTROL!$C$32, $C$9, 100%, $E$9)</f>
        <v>6.5442999999999998</v>
      </c>
      <c r="G322" s="81">
        <f>6.5496 * CHOOSE(CONTROL!$C$32, $C$9, 100%, $E$9)</f>
        <v>6.5495999999999999</v>
      </c>
      <c r="H322" s="81">
        <f>11.043 * CHOOSE(CONTROL!$C$32, $C$9, 100%, $E$9)</f>
        <v>11.042999999999999</v>
      </c>
      <c r="I322" s="81">
        <f>11.0483 * CHOOSE(CONTROL!$C$32, $C$9, 100%, $E$9)</f>
        <v>11.048299999999999</v>
      </c>
      <c r="J322" s="81">
        <f>11.043 * CHOOSE(CONTROL!$C$32, $C$9, 100%, $E$9)</f>
        <v>11.042999999999999</v>
      </c>
      <c r="K322" s="81">
        <f>11.0483 * CHOOSE(CONTROL!$C$32, $C$9, 100%, $E$9)</f>
        <v>11.048299999999999</v>
      </c>
      <c r="L322" s="81">
        <f>6.5443 * CHOOSE(CONTROL!$C$32, $C$9, 100%, $E$9)</f>
        <v>6.5442999999999998</v>
      </c>
      <c r="M322" s="81">
        <f>6.5496 * CHOOSE(CONTROL!$C$32, $C$9, 100%, $E$9)</f>
        <v>6.5495999999999999</v>
      </c>
      <c r="N322" s="81">
        <f>6.5443 * CHOOSE(CONTROL!$C$32, $C$9, 100%, $E$9)</f>
        <v>6.5442999999999998</v>
      </c>
      <c r="O322" s="81">
        <f>6.5496 * CHOOSE(CONTROL!$C$32, $C$9, 100%, $E$9)</f>
        <v>6.5495999999999999</v>
      </c>
    </row>
    <row r="323" spans="1:15" ht="15" x14ac:dyDescent="0.2">
      <c r="A323" s="16">
        <v>51044</v>
      </c>
      <c r="B323" s="80">
        <f>5.2277 * CHOOSE(CONTROL!$C$32, $C$9, 100%, $E$9)</f>
        <v>5.2276999999999996</v>
      </c>
      <c r="C323" s="80">
        <f>5.2277 * CHOOSE(CONTROL!$C$32, $C$9, 100%, $E$9)</f>
        <v>5.2276999999999996</v>
      </c>
      <c r="D323" s="80">
        <f>5.2288 * CHOOSE(CONTROL!$C$32, $C$9, 100%, $E$9)</f>
        <v>5.2287999999999997</v>
      </c>
      <c r="E323" s="81">
        <f>6.5781 * CHOOSE(CONTROL!$C$32, $C$9, 100%, $E$9)</f>
        <v>6.5781000000000001</v>
      </c>
      <c r="F323" s="81">
        <f>6.5781 * CHOOSE(CONTROL!$C$32, $C$9, 100%, $E$9)</f>
        <v>6.5781000000000001</v>
      </c>
      <c r="G323" s="81">
        <f>6.5817 * CHOOSE(CONTROL!$C$32, $C$9, 100%, $E$9)</f>
        <v>6.5816999999999997</v>
      </c>
      <c r="H323" s="81">
        <f>11.066 * CHOOSE(CONTROL!$C$32, $C$9, 100%, $E$9)</f>
        <v>11.066000000000001</v>
      </c>
      <c r="I323" s="81">
        <f>11.0697 * CHOOSE(CONTROL!$C$32, $C$9, 100%, $E$9)</f>
        <v>11.069699999999999</v>
      </c>
      <c r="J323" s="81">
        <f>11.066 * CHOOSE(CONTROL!$C$32, $C$9, 100%, $E$9)</f>
        <v>11.066000000000001</v>
      </c>
      <c r="K323" s="81">
        <f>11.0697 * CHOOSE(CONTROL!$C$32, $C$9, 100%, $E$9)</f>
        <v>11.069699999999999</v>
      </c>
      <c r="L323" s="81">
        <f>6.5781 * CHOOSE(CONTROL!$C$32, $C$9, 100%, $E$9)</f>
        <v>6.5781000000000001</v>
      </c>
      <c r="M323" s="81">
        <f>6.5817 * CHOOSE(CONTROL!$C$32, $C$9, 100%, $E$9)</f>
        <v>6.5816999999999997</v>
      </c>
      <c r="N323" s="81">
        <f>6.5781 * CHOOSE(CONTROL!$C$32, $C$9, 100%, $E$9)</f>
        <v>6.5781000000000001</v>
      </c>
      <c r="O323" s="81">
        <f>6.5817 * CHOOSE(CONTROL!$C$32, $C$9, 100%, $E$9)</f>
        <v>6.5816999999999997</v>
      </c>
    </row>
    <row r="324" spans="1:15" ht="15" x14ac:dyDescent="0.2">
      <c r="A324" s="16">
        <v>51075</v>
      </c>
      <c r="B324" s="80">
        <f>5.2308 * CHOOSE(CONTROL!$C$32, $C$9, 100%, $E$9)</f>
        <v>5.2308000000000003</v>
      </c>
      <c r="C324" s="80">
        <f>5.2308 * CHOOSE(CONTROL!$C$32, $C$9, 100%, $E$9)</f>
        <v>5.2308000000000003</v>
      </c>
      <c r="D324" s="80">
        <f>5.2319 * CHOOSE(CONTROL!$C$32, $C$9, 100%, $E$9)</f>
        <v>5.2319000000000004</v>
      </c>
      <c r="E324" s="81">
        <f>6.6038 * CHOOSE(CONTROL!$C$32, $C$9, 100%, $E$9)</f>
        <v>6.6037999999999997</v>
      </c>
      <c r="F324" s="81">
        <f>6.6038 * CHOOSE(CONTROL!$C$32, $C$9, 100%, $E$9)</f>
        <v>6.6037999999999997</v>
      </c>
      <c r="G324" s="81">
        <f>6.6074 * CHOOSE(CONTROL!$C$32, $C$9, 100%, $E$9)</f>
        <v>6.6074000000000002</v>
      </c>
      <c r="H324" s="81">
        <f>11.0891 * CHOOSE(CONTROL!$C$32, $C$9, 100%, $E$9)</f>
        <v>11.0891</v>
      </c>
      <c r="I324" s="81">
        <f>11.0927 * CHOOSE(CONTROL!$C$32, $C$9, 100%, $E$9)</f>
        <v>11.092700000000001</v>
      </c>
      <c r="J324" s="81">
        <f>11.0891 * CHOOSE(CONTROL!$C$32, $C$9, 100%, $E$9)</f>
        <v>11.0891</v>
      </c>
      <c r="K324" s="81">
        <f>11.0927 * CHOOSE(CONTROL!$C$32, $C$9, 100%, $E$9)</f>
        <v>11.092700000000001</v>
      </c>
      <c r="L324" s="81">
        <f>6.6038 * CHOOSE(CONTROL!$C$32, $C$9, 100%, $E$9)</f>
        <v>6.6037999999999997</v>
      </c>
      <c r="M324" s="81">
        <f>6.6074 * CHOOSE(CONTROL!$C$32, $C$9, 100%, $E$9)</f>
        <v>6.6074000000000002</v>
      </c>
      <c r="N324" s="81">
        <f>6.6038 * CHOOSE(CONTROL!$C$32, $C$9, 100%, $E$9)</f>
        <v>6.6037999999999997</v>
      </c>
      <c r="O324" s="81">
        <f>6.6074 * CHOOSE(CONTROL!$C$32, $C$9, 100%, $E$9)</f>
        <v>6.6074000000000002</v>
      </c>
    </row>
    <row r="325" spans="1:15" ht="15" x14ac:dyDescent="0.2">
      <c r="A325" s="16">
        <v>51105</v>
      </c>
      <c r="B325" s="80">
        <f>5.2308 * CHOOSE(CONTROL!$C$32, $C$9, 100%, $E$9)</f>
        <v>5.2308000000000003</v>
      </c>
      <c r="C325" s="80">
        <f>5.2308 * CHOOSE(CONTROL!$C$32, $C$9, 100%, $E$9)</f>
        <v>5.2308000000000003</v>
      </c>
      <c r="D325" s="80">
        <f>5.2319 * CHOOSE(CONTROL!$C$32, $C$9, 100%, $E$9)</f>
        <v>5.2319000000000004</v>
      </c>
      <c r="E325" s="81">
        <f>6.5448 * CHOOSE(CONTROL!$C$32, $C$9, 100%, $E$9)</f>
        <v>6.5448000000000004</v>
      </c>
      <c r="F325" s="81">
        <f>6.5448 * CHOOSE(CONTROL!$C$32, $C$9, 100%, $E$9)</f>
        <v>6.5448000000000004</v>
      </c>
      <c r="G325" s="81">
        <f>6.5485 * CHOOSE(CONTROL!$C$32, $C$9, 100%, $E$9)</f>
        <v>6.5484999999999998</v>
      </c>
      <c r="H325" s="81">
        <f>11.1122 * CHOOSE(CONTROL!$C$32, $C$9, 100%, $E$9)</f>
        <v>11.1122</v>
      </c>
      <c r="I325" s="81">
        <f>11.1158 * CHOOSE(CONTROL!$C$32, $C$9, 100%, $E$9)</f>
        <v>11.1158</v>
      </c>
      <c r="J325" s="81">
        <f>11.1122 * CHOOSE(CONTROL!$C$32, $C$9, 100%, $E$9)</f>
        <v>11.1122</v>
      </c>
      <c r="K325" s="81">
        <f>11.1158 * CHOOSE(CONTROL!$C$32, $C$9, 100%, $E$9)</f>
        <v>11.1158</v>
      </c>
      <c r="L325" s="81">
        <f>6.5448 * CHOOSE(CONTROL!$C$32, $C$9, 100%, $E$9)</f>
        <v>6.5448000000000004</v>
      </c>
      <c r="M325" s="81">
        <f>6.5485 * CHOOSE(CONTROL!$C$32, $C$9, 100%, $E$9)</f>
        <v>6.5484999999999998</v>
      </c>
      <c r="N325" s="81">
        <f>6.5448 * CHOOSE(CONTROL!$C$32, $C$9, 100%, $E$9)</f>
        <v>6.5448000000000004</v>
      </c>
      <c r="O325" s="81">
        <f>6.5485 * CHOOSE(CONTROL!$C$32, $C$9, 100%, $E$9)</f>
        <v>6.5484999999999998</v>
      </c>
    </row>
    <row r="326" spans="1:15" ht="15" x14ac:dyDescent="0.2">
      <c r="A326" s="16">
        <v>51136</v>
      </c>
      <c r="B326" s="80">
        <f>5.2721 * CHOOSE(CONTROL!$C$32, $C$9, 100%, $E$9)</f>
        <v>5.2721</v>
      </c>
      <c r="C326" s="80">
        <f>5.2721 * CHOOSE(CONTROL!$C$32, $C$9, 100%, $E$9)</f>
        <v>5.2721</v>
      </c>
      <c r="D326" s="80">
        <f>5.2732 * CHOOSE(CONTROL!$C$32, $C$9, 100%, $E$9)</f>
        <v>5.2732000000000001</v>
      </c>
      <c r="E326" s="81">
        <f>6.6042 * CHOOSE(CONTROL!$C$32, $C$9, 100%, $E$9)</f>
        <v>6.6041999999999996</v>
      </c>
      <c r="F326" s="81">
        <f>6.6042 * CHOOSE(CONTROL!$C$32, $C$9, 100%, $E$9)</f>
        <v>6.6041999999999996</v>
      </c>
      <c r="G326" s="81">
        <f>6.6078 * CHOOSE(CONTROL!$C$32, $C$9, 100%, $E$9)</f>
        <v>6.6078000000000001</v>
      </c>
      <c r="H326" s="81">
        <f>11.1353 * CHOOSE(CONTROL!$C$32, $C$9, 100%, $E$9)</f>
        <v>11.135300000000001</v>
      </c>
      <c r="I326" s="81">
        <f>11.139 * CHOOSE(CONTROL!$C$32, $C$9, 100%, $E$9)</f>
        <v>11.138999999999999</v>
      </c>
      <c r="J326" s="81">
        <f>11.1353 * CHOOSE(CONTROL!$C$32, $C$9, 100%, $E$9)</f>
        <v>11.135300000000001</v>
      </c>
      <c r="K326" s="81">
        <f>11.139 * CHOOSE(CONTROL!$C$32, $C$9, 100%, $E$9)</f>
        <v>11.138999999999999</v>
      </c>
      <c r="L326" s="81">
        <f>6.6042 * CHOOSE(CONTROL!$C$32, $C$9, 100%, $E$9)</f>
        <v>6.6041999999999996</v>
      </c>
      <c r="M326" s="81">
        <f>6.6078 * CHOOSE(CONTROL!$C$32, $C$9, 100%, $E$9)</f>
        <v>6.6078000000000001</v>
      </c>
      <c r="N326" s="81">
        <f>6.6042 * CHOOSE(CONTROL!$C$32, $C$9, 100%, $E$9)</f>
        <v>6.6041999999999996</v>
      </c>
      <c r="O326" s="81">
        <f>6.6078 * CHOOSE(CONTROL!$C$32, $C$9, 100%, $E$9)</f>
        <v>6.6078000000000001</v>
      </c>
    </row>
    <row r="327" spans="1:15" ht="15" x14ac:dyDescent="0.2">
      <c r="A327" s="16">
        <v>51167</v>
      </c>
      <c r="B327" s="80">
        <f>5.2691 * CHOOSE(CONTROL!$C$32, $C$9, 100%, $E$9)</f>
        <v>5.2690999999999999</v>
      </c>
      <c r="C327" s="80">
        <f>5.2691 * CHOOSE(CONTROL!$C$32, $C$9, 100%, $E$9)</f>
        <v>5.2690999999999999</v>
      </c>
      <c r="D327" s="80">
        <f>5.2702 * CHOOSE(CONTROL!$C$32, $C$9, 100%, $E$9)</f>
        <v>5.2702</v>
      </c>
      <c r="E327" s="81">
        <f>6.487 * CHOOSE(CONTROL!$C$32, $C$9, 100%, $E$9)</f>
        <v>6.4870000000000001</v>
      </c>
      <c r="F327" s="81">
        <f>6.487 * CHOOSE(CONTROL!$C$32, $C$9, 100%, $E$9)</f>
        <v>6.4870000000000001</v>
      </c>
      <c r="G327" s="81">
        <f>6.4906 * CHOOSE(CONTROL!$C$32, $C$9, 100%, $E$9)</f>
        <v>6.4905999999999997</v>
      </c>
      <c r="H327" s="81">
        <f>11.1585 * CHOOSE(CONTROL!$C$32, $C$9, 100%, $E$9)</f>
        <v>11.1585</v>
      </c>
      <c r="I327" s="81">
        <f>11.1622 * CHOOSE(CONTROL!$C$32, $C$9, 100%, $E$9)</f>
        <v>11.1622</v>
      </c>
      <c r="J327" s="81">
        <f>11.1585 * CHOOSE(CONTROL!$C$32, $C$9, 100%, $E$9)</f>
        <v>11.1585</v>
      </c>
      <c r="K327" s="81">
        <f>11.1622 * CHOOSE(CONTROL!$C$32, $C$9, 100%, $E$9)</f>
        <v>11.1622</v>
      </c>
      <c r="L327" s="81">
        <f>6.487 * CHOOSE(CONTROL!$C$32, $C$9, 100%, $E$9)</f>
        <v>6.4870000000000001</v>
      </c>
      <c r="M327" s="81">
        <f>6.4906 * CHOOSE(CONTROL!$C$32, $C$9, 100%, $E$9)</f>
        <v>6.4905999999999997</v>
      </c>
      <c r="N327" s="81">
        <f>6.487 * CHOOSE(CONTROL!$C$32, $C$9, 100%, $E$9)</f>
        <v>6.4870000000000001</v>
      </c>
      <c r="O327" s="81">
        <f>6.4906 * CHOOSE(CONTROL!$C$32, $C$9, 100%, $E$9)</f>
        <v>6.4905999999999997</v>
      </c>
    </row>
    <row r="328" spans="1:15" ht="15" x14ac:dyDescent="0.2">
      <c r="A328" s="16">
        <v>51196</v>
      </c>
      <c r="B328" s="80">
        <f>5.266 * CHOOSE(CONTROL!$C$32, $C$9, 100%, $E$9)</f>
        <v>5.266</v>
      </c>
      <c r="C328" s="80">
        <f>5.266 * CHOOSE(CONTROL!$C$32, $C$9, 100%, $E$9)</f>
        <v>5.266</v>
      </c>
      <c r="D328" s="80">
        <f>5.2671 * CHOOSE(CONTROL!$C$32, $C$9, 100%, $E$9)</f>
        <v>5.2671000000000001</v>
      </c>
      <c r="E328" s="81">
        <f>6.5756 * CHOOSE(CONTROL!$C$32, $C$9, 100%, $E$9)</f>
        <v>6.5755999999999997</v>
      </c>
      <c r="F328" s="81">
        <f>6.5756 * CHOOSE(CONTROL!$C$32, $C$9, 100%, $E$9)</f>
        <v>6.5755999999999997</v>
      </c>
      <c r="G328" s="81">
        <f>6.5792 * CHOOSE(CONTROL!$C$32, $C$9, 100%, $E$9)</f>
        <v>6.5792000000000002</v>
      </c>
      <c r="H328" s="81">
        <f>11.1818 * CHOOSE(CONTROL!$C$32, $C$9, 100%, $E$9)</f>
        <v>11.181800000000001</v>
      </c>
      <c r="I328" s="81">
        <f>11.1854 * CHOOSE(CONTROL!$C$32, $C$9, 100%, $E$9)</f>
        <v>11.1854</v>
      </c>
      <c r="J328" s="81">
        <f>11.1818 * CHOOSE(CONTROL!$C$32, $C$9, 100%, $E$9)</f>
        <v>11.181800000000001</v>
      </c>
      <c r="K328" s="81">
        <f>11.1854 * CHOOSE(CONTROL!$C$32, $C$9, 100%, $E$9)</f>
        <v>11.1854</v>
      </c>
      <c r="L328" s="81">
        <f>6.5756 * CHOOSE(CONTROL!$C$32, $C$9, 100%, $E$9)</f>
        <v>6.5755999999999997</v>
      </c>
      <c r="M328" s="81">
        <f>6.5792 * CHOOSE(CONTROL!$C$32, $C$9, 100%, $E$9)</f>
        <v>6.5792000000000002</v>
      </c>
      <c r="N328" s="81">
        <f>6.5756 * CHOOSE(CONTROL!$C$32, $C$9, 100%, $E$9)</f>
        <v>6.5755999999999997</v>
      </c>
      <c r="O328" s="81">
        <f>6.5792 * CHOOSE(CONTROL!$C$32, $C$9, 100%, $E$9)</f>
        <v>6.5792000000000002</v>
      </c>
    </row>
    <row r="329" spans="1:15" ht="15" x14ac:dyDescent="0.2">
      <c r="A329" s="16">
        <v>51227</v>
      </c>
      <c r="B329" s="80">
        <f>5.2649 * CHOOSE(CONTROL!$C$32, $C$9, 100%, $E$9)</f>
        <v>5.2648999999999999</v>
      </c>
      <c r="C329" s="80">
        <f>5.2649 * CHOOSE(CONTROL!$C$32, $C$9, 100%, $E$9)</f>
        <v>5.2648999999999999</v>
      </c>
      <c r="D329" s="80">
        <f>5.266 * CHOOSE(CONTROL!$C$32, $C$9, 100%, $E$9)</f>
        <v>5.266</v>
      </c>
      <c r="E329" s="81">
        <f>6.6687 * CHOOSE(CONTROL!$C$32, $C$9, 100%, $E$9)</f>
        <v>6.6687000000000003</v>
      </c>
      <c r="F329" s="81">
        <f>6.6687 * CHOOSE(CONTROL!$C$32, $C$9, 100%, $E$9)</f>
        <v>6.6687000000000003</v>
      </c>
      <c r="G329" s="81">
        <f>6.6723 * CHOOSE(CONTROL!$C$32, $C$9, 100%, $E$9)</f>
        <v>6.6722999999999999</v>
      </c>
      <c r="H329" s="81">
        <f>11.2051 * CHOOSE(CONTROL!$C$32, $C$9, 100%, $E$9)</f>
        <v>11.2051</v>
      </c>
      <c r="I329" s="81">
        <f>11.2087 * CHOOSE(CONTROL!$C$32, $C$9, 100%, $E$9)</f>
        <v>11.2087</v>
      </c>
      <c r="J329" s="81">
        <f>11.2051 * CHOOSE(CONTROL!$C$32, $C$9, 100%, $E$9)</f>
        <v>11.2051</v>
      </c>
      <c r="K329" s="81">
        <f>11.2087 * CHOOSE(CONTROL!$C$32, $C$9, 100%, $E$9)</f>
        <v>11.2087</v>
      </c>
      <c r="L329" s="81">
        <f>6.6687 * CHOOSE(CONTROL!$C$32, $C$9, 100%, $E$9)</f>
        <v>6.6687000000000003</v>
      </c>
      <c r="M329" s="81">
        <f>6.6723 * CHOOSE(CONTROL!$C$32, $C$9, 100%, $E$9)</f>
        <v>6.6722999999999999</v>
      </c>
      <c r="N329" s="81">
        <f>6.6687 * CHOOSE(CONTROL!$C$32, $C$9, 100%, $E$9)</f>
        <v>6.6687000000000003</v>
      </c>
      <c r="O329" s="81">
        <f>6.6723 * CHOOSE(CONTROL!$C$32, $C$9, 100%, $E$9)</f>
        <v>6.6722999999999999</v>
      </c>
    </row>
    <row r="330" spans="1:15" ht="15" x14ac:dyDescent="0.2">
      <c r="A330" s="16">
        <v>51257</v>
      </c>
      <c r="B330" s="80">
        <f>5.2649 * CHOOSE(CONTROL!$C$32, $C$9, 100%, $E$9)</f>
        <v>5.2648999999999999</v>
      </c>
      <c r="C330" s="80">
        <f>5.2649 * CHOOSE(CONTROL!$C$32, $C$9, 100%, $E$9)</f>
        <v>5.2648999999999999</v>
      </c>
      <c r="D330" s="80">
        <f>5.2665 * CHOOSE(CONTROL!$C$32, $C$9, 100%, $E$9)</f>
        <v>5.2664999999999997</v>
      </c>
      <c r="E330" s="81">
        <f>6.7052 * CHOOSE(CONTROL!$C$32, $C$9, 100%, $E$9)</f>
        <v>6.7051999999999996</v>
      </c>
      <c r="F330" s="81">
        <f>6.7052 * CHOOSE(CONTROL!$C$32, $C$9, 100%, $E$9)</f>
        <v>6.7051999999999996</v>
      </c>
      <c r="G330" s="81">
        <f>6.7105 * CHOOSE(CONTROL!$C$32, $C$9, 100%, $E$9)</f>
        <v>6.7104999999999997</v>
      </c>
      <c r="H330" s="81">
        <f>11.2284 * CHOOSE(CONTROL!$C$32, $C$9, 100%, $E$9)</f>
        <v>11.228400000000001</v>
      </c>
      <c r="I330" s="81">
        <f>11.2337 * CHOOSE(CONTROL!$C$32, $C$9, 100%, $E$9)</f>
        <v>11.233700000000001</v>
      </c>
      <c r="J330" s="81">
        <f>11.2284 * CHOOSE(CONTROL!$C$32, $C$9, 100%, $E$9)</f>
        <v>11.228400000000001</v>
      </c>
      <c r="K330" s="81">
        <f>11.2337 * CHOOSE(CONTROL!$C$32, $C$9, 100%, $E$9)</f>
        <v>11.233700000000001</v>
      </c>
      <c r="L330" s="81">
        <f>6.7052 * CHOOSE(CONTROL!$C$32, $C$9, 100%, $E$9)</f>
        <v>6.7051999999999996</v>
      </c>
      <c r="M330" s="81">
        <f>6.7105 * CHOOSE(CONTROL!$C$32, $C$9, 100%, $E$9)</f>
        <v>6.7104999999999997</v>
      </c>
      <c r="N330" s="81">
        <f>6.7052 * CHOOSE(CONTROL!$C$32, $C$9, 100%, $E$9)</f>
        <v>6.7051999999999996</v>
      </c>
      <c r="O330" s="81">
        <f>6.7105 * CHOOSE(CONTROL!$C$32, $C$9, 100%, $E$9)</f>
        <v>6.7104999999999997</v>
      </c>
    </row>
    <row r="331" spans="1:15" ht="15" x14ac:dyDescent="0.2">
      <c r="A331" s="16">
        <v>51288</v>
      </c>
      <c r="B331" s="80">
        <f>5.271 * CHOOSE(CONTROL!$C$32, $C$9, 100%, $E$9)</f>
        <v>5.2709999999999999</v>
      </c>
      <c r="C331" s="80">
        <f>5.271 * CHOOSE(CONTROL!$C$32, $C$9, 100%, $E$9)</f>
        <v>5.2709999999999999</v>
      </c>
      <c r="D331" s="80">
        <f>5.2726 * CHOOSE(CONTROL!$C$32, $C$9, 100%, $E$9)</f>
        <v>5.2725999999999997</v>
      </c>
      <c r="E331" s="81">
        <f>6.673 * CHOOSE(CONTROL!$C$32, $C$9, 100%, $E$9)</f>
        <v>6.673</v>
      </c>
      <c r="F331" s="81">
        <f>6.673 * CHOOSE(CONTROL!$C$32, $C$9, 100%, $E$9)</f>
        <v>6.673</v>
      </c>
      <c r="G331" s="81">
        <f>6.6782 * CHOOSE(CONTROL!$C$32, $C$9, 100%, $E$9)</f>
        <v>6.6782000000000004</v>
      </c>
      <c r="H331" s="81">
        <f>11.2518 * CHOOSE(CONTROL!$C$32, $C$9, 100%, $E$9)</f>
        <v>11.251799999999999</v>
      </c>
      <c r="I331" s="81">
        <f>11.2571 * CHOOSE(CONTROL!$C$32, $C$9, 100%, $E$9)</f>
        <v>11.257099999999999</v>
      </c>
      <c r="J331" s="81">
        <f>11.2518 * CHOOSE(CONTROL!$C$32, $C$9, 100%, $E$9)</f>
        <v>11.251799999999999</v>
      </c>
      <c r="K331" s="81">
        <f>11.2571 * CHOOSE(CONTROL!$C$32, $C$9, 100%, $E$9)</f>
        <v>11.257099999999999</v>
      </c>
      <c r="L331" s="81">
        <f>6.673 * CHOOSE(CONTROL!$C$32, $C$9, 100%, $E$9)</f>
        <v>6.673</v>
      </c>
      <c r="M331" s="81">
        <f>6.6782 * CHOOSE(CONTROL!$C$32, $C$9, 100%, $E$9)</f>
        <v>6.6782000000000004</v>
      </c>
      <c r="N331" s="81">
        <f>6.673 * CHOOSE(CONTROL!$C$32, $C$9, 100%, $E$9)</f>
        <v>6.673</v>
      </c>
      <c r="O331" s="81">
        <f>6.6782 * CHOOSE(CONTROL!$C$32, $C$9, 100%, $E$9)</f>
        <v>6.6782000000000004</v>
      </c>
    </row>
    <row r="332" spans="1:15" ht="15" x14ac:dyDescent="0.2">
      <c r="A332" s="16">
        <v>51318</v>
      </c>
      <c r="B332" s="80">
        <f>5.345 * CHOOSE(CONTROL!$C$32, $C$9, 100%, $E$9)</f>
        <v>5.3449999999999998</v>
      </c>
      <c r="C332" s="80">
        <f>5.345 * CHOOSE(CONTROL!$C$32, $C$9, 100%, $E$9)</f>
        <v>5.3449999999999998</v>
      </c>
      <c r="D332" s="80">
        <f>5.3466 * CHOOSE(CONTROL!$C$32, $C$9, 100%, $E$9)</f>
        <v>5.3465999999999996</v>
      </c>
      <c r="E332" s="81">
        <f>6.6813 * CHOOSE(CONTROL!$C$32, $C$9, 100%, $E$9)</f>
        <v>6.6813000000000002</v>
      </c>
      <c r="F332" s="81">
        <f>6.6813 * CHOOSE(CONTROL!$C$32, $C$9, 100%, $E$9)</f>
        <v>6.6813000000000002</v>
      </c>
      <c r="G332" s="81">
        <f>6.6866 * CHOOSE(CONTROL!$C$32, $C$9, 100%, $E$9)</f>
        <v>6.6866000000000003</v>
      </c>
      <c r="H332" s="81">
        <f>11.2753 * CHOOSE(CONTROL!$C$32, $C$9, 100%, $E$9)</f>
        <v>11.2753</v>
      </c>
      <c r="I332" s="81">
        <f>11.2806 * CHOOSE(CONTROL!$C$32, $C$9, 100%, $E$9)</f>
        <v>11.2806</v>
      </c>
      <c r="J332" s="81">
        <f>11.2753 * CHOOSE(CONTROL!$C$32, $C$9, 100%, $E$9)</f>
        <v>11.2753</v>
      </c>
      <c r="K332" s="81">
        <f>11.2806 * CHOOSE(CONTROL!$C$32, $C$9, 100%, $E$9)</f>
        <v>11.2806</v>
      </c>
      <c r="L332" s="81">
        <f>6.6813 * CHOOSE(CONTROL!$C$32, $C$9, 100%, $E$9)</f>
        <v>6.6813000000000002</v>
      </c>
      <c r="M332" s="81">
        <f>6.6866 * CHOOSE(CONTROL!$C$32, $C$9, 100%, $E$9)</f>
        <v>6.6866000000000003</v>
      </c>
      <c r="N332" s="81">
        <f>6.6813 * CHOOSE(CONTROL!$C$32, $C$9, 100%, $E$9)</f>
        <v>6.6813000000000002</v>
      </c>
      <c r="O332" s="81">
        <f>6.6866 * CHOOSE(CONTROL!$C$32, $C$9, 100%, $E$9)</f>
        <v>6.6866000000000003</v>
      </c>
    </row>
    <row r="333" spans="1:15" ht="15" x14ac:dyDescent="0.2">
      <c r="A333" s="16">
        <v>51349</v>
      </c>
      <c r="B333" s="80">
        <f>5.3517 * CHOOSE(CONTROL!$C$32, $C$9, 100%, $E$9)</f>
        <v>5.3517000000000001</v>
      </c>
      <c r="C333" s="80">
        <f>5.3517 * CHOOSE(CONTROL!$C$32, $C$9, 100%, $E$9)</f>
        <v>5.3517000000000001</v>
      </c>
      <c r="D333" s="80">
        <f>5.3533 * CHOOSE(CONTROL!$C$32, $C$9, 100%, $E$9)</f>
        <v>5.3532999999999999</v>
      </c>
      <c r="E333" s="81">
        <f>6.5764 * CHOOSE(CONTROL!$C$32, $C$9, 100%, $E$9)</f>
        <v>6.5763999999999996</v>
      </c>
      <c r="F333" s="81">
        <f>6.5764 * CHOOSE(CONTROL!$C$32, $C$9, 100%, $E$9)</f>
        <v>6.5763999999999996</v>
      </c>
      <c r="G333" s="81">
        <f>6.5817 * CHOOSE(CONTROL!$C$32, $C$9, 100%, $E$9)</f>
        <v>6.5816999999999997</v>
      </c>
      <c r="H333" s="81">
        <f>11.2988 * CHOOSE(CONTROL!$C$32, $C$9, 100%, $E$9)</f>
        <v>11.2988</v>
      </c>
      <c r="I333" s="81">
        <f>11.3041 * CHOOSE(CONTROL!$C$32, $C$9, 100%, $E$9)</f>
        <v>11.3041</v>
      </c>
      <c r="J333" s="81">
        <f>11.2988 * CHOOSE(CONTROL!$C$32, $C$9, 100%, $E$9)</f>
        <v>11.2988</v>
      </c>
      <c r="K333" s="81">
        <f>11.3041 * CHOOSE(CONTROL!$C$32, $C$9, 100%, $E$9)</f>
        <v>11.3041</v>
      </c>
      <c r="L333" s="81">
        <f>6.5764 * CHOOSE(CONTROL!$C$32, $C$9, 100%, $E$9)</f>
        <v>6.5763999999999996</v>
      </c>
      <c r="M333" s="81">
        <f>6.5817 * CHOOSE(CONTROL!$C$32, $C$9, 100%, $E$9)</f>
        <v>6.5816999999999997</v>
      </c>
      <c r="N333" s="81">
        <f>6.5764 * CHOOSE(CONTROL!$C$32, $C$9, 100%, $E$9)</f>
        <v>6.5763999999999996</v>
      </c>
      <c r="O333" s="81">
        <f>6.5817 * CHOOSE(CONTROL!$C$32, $C$9, 100%, $E$9)</f>
        <v>6.5816999999999997</v>
      </c>
    </row>
    <row r="334" spans="1:15" ht="15" x14ac:dyDescent="0.2">
      <c r="A334" s="16">
        <v>51380</v>
      </c>
      <c r="B334" s="80">
        <f>5.3487 * CHOOSE(CONTROL!$C$32, $C$9, 100%, $E$9)</f>
        <v>5.3487</v>
      </c>
      <c r="C334" s="80">
        <f>5.3487 * CHOOSE(CONTROL!$C$32, $C$9, 100%, $E$9)</f>
        <v>5.3487</v>
      </c>
      <c r="D334" s="80">
        <f>5.3502 * CHOOSE(CONTROL!$C$32, $C$9, 100%, $E$9)</f>
        <v>5.3502000000000001</v>
      </c>
      <c r="E334" s="81">
        <f>6.5621 * CHOOSE(CONTROL!$C$32, $C$9, 100%, $E$9)</f>
        <v>6.5621</v>
      </c>
      <c r="F334" s="81">
        <f>6.5621 * CHOOSE(CONTROL!$C$32, $C$9, 100%, $E$9)</f>
        <v>6.5621</v>
      </c>
      <c r="G334" s="81">
        <f>6.5674 * CHOOSE(CONTROL!$C$32, $C$9, 100%, $E$9)</f>
        <v>6.5674000000000001</v>
      </c>
      <c r="H334" s="81">
        <f>11.3223 * CHOOSE(CONTROL!$C$32, $C$9, 100%, $E$9)</f>
        <v>11.3223</v>
      </c>
      <c r="I334" s="81">
        <f>11.3276 * CHOOSE(CONTROL!$C$32, $C$9, 100%, $E$9)</f>
        <v>11.3276</v>
      </c>
      <c r="J334" s="81">
        <f>11.3223 * CHOOSE(CONTROL!$C$32, $C$9, 100%, $E$9)</f>
        <v>11.3223</v>
      </c>
      <c r="K334" s="81">
        <f>11.3276 * CHOOSE(CONTROL!$C$32, $C$9, 100%, $E$9)</f>
        <v>11.3276</v>
      </c>
      <c r="L334" s="81">
        <f>6.5621 * CHOOSE(CONTROL!$C$32, $C$9, 100%, $E$9)</f>
        <v>6.5621</v>
      </c>
      <c r="M334" s="81">
        <f>6.5674 * CHOOSE(CONTROL!$C$32, $C$9, 100%, $E$9)</f>
        <v>6.5674000000000001</v>
      </c>
      <c r="N334" s="81">
        <f>6.5621 * CHOOSE(CONTROL!$C$32, $C$9, 100%, $E$9)</f>
        <v>6.5621</v>
      </c>
      <c r="O334" s="81">
        <f>6.5674 * CHOOSE(CONTROL!$C$32, $C$9, 100%, $E$9)</f>
        <v>6.5674000000000001</v>
      </c>
    </row>
    <row r="335" spans="1:15" ht="15" x14ac:dyDescent="0.2">
      <c r="A335" s="16">
        <v>51410</v>
      </c>
      <c r="B335" s="80">
        <f>5.3487 * CHOOSE(CONTROL!$C$32, $C$9, 100%, $E$9)</f>
        <v>5.3487</v>
      </c>
      <c r="C335" s="80">
        <f>5.3487 * CHOOSE(CONTROL!$C$32, $C$9, 100%, $E$9)</f>
        <v>5.3487</v>
      </c>
      <c r="D335" s="80">
        <f>5.3498 * CHOOSE(CONTROL!$C$32, $C$9, 100%, $E$9)</f>
        <v>5.3498000000000001</v>
      </c>
      <c r="E335" s="81">
        <f>6.5974 * CHOOSE(CONTROL!$C$32, $C$9, 100%, $E$9)</f>
        <v>6.5974000000000004</v>
      </c>
      <c r="F335" s="81">
        <f>6.5974 * CHOOSE(CONTROL!$C$32, $C$9, 100%, $E$9)</f>
        <v>6.5974000000000004</v>
      </c>
      <c r="G335" s="81">
        <f>6.601 * CHOOSE(CONTROL!$C$32, $C$9, 100%, $E$9)</f>
        <v>6.601</v>
      </c>
      <c r="H335" s="81">
        <f>11.3459 * CHOOSE(CONTROL!$C$32, $C$9, 100%, $E$9)</f>
        <v>11.3459</v>
      </c>
      <c r="I335" s="81">
        <f>11.3495 * CHOOSE(CONTROL!$C$32, $C$9, 100%, $E$9)</f>
        <v>11.349500000000001</v>
      </c>
      <c r="J335" s="81">
        <f>11.3459 * CHOOSE(CONTROL!$C$32, $C$9, 100%, $E$9)</f>
        <v>11.3459</v>
      </c>
      <c r="K335" s="81">
        <f>11.3495 * CHOOSE(CONTROL!$C$32, $C$9, 100%, $E$9)</f>
        <v>11.349500000000001</v>
      </c>
      <c r="L335" s="81">
        <f>6.5974 * CHOOSE(CONTROL!$C$32, $C$9, 100%, $E$9)</f>
        <v>6.5974000000000004</v>
      </c>
      <c r="M335" s="81">
        <f>6.601 * CHOOSE(CONTROL!$C$32, $C$9, 100%, $E$9)</f>
        <v>6.601</v>
      </c>
      <c r="N335" s="81">
        <f>6.5974 * CHOOSE(CONTROL!$C$32, $C$9, 100%, $E$9)</f>
        <v>6.5974000000000004</v>
      </c>
      <c r="O335" s="81">
        <f>6.601 * CHOOSE(CONTROL!$C$32, $C$9, 100%, $E$9)</f>
        <v>6.601</v>
      </c>
    </row>
    <row r="336" spans="1:15" ht="15" x14ac:dyDescent="0.2">
      <c r="A336" s="16">
        <v>51441</v>
      </c>
      <c r="B336" s="80">
        <f>5.3518 * CHOOSE(CONTROL!$C$32, $C$9, 100%, $E$9)</f>
        <v>5.3517999999999999</v>
      </c>
      <c r="C336" s="80">
        <f>5.3518 * CHOOSE(CONTROL!$C$32, $C$9, 100%, $E$9)</f>
        <v>5.3517999999999999</v>
      </c>
      <c r="D336" s="80">
        <f>5.3528 * CHOOSE(CONTROL!$C$32, $C$9, 100%, $E$9)</f>
        <v>5.3528000000000002</v>
      </c>
      <c r="E336" s="81">
        <f>6.6239 * CHOOSE(CONTROL!$C$32, $C$9, 100%, $E$9)</f>
        <v>6.6238999999999999</v>
      </c>
      <c r="F336" s="81">
        <f>6.6239 * CHOOSE(CONTROL!$C$32, $C$9, 100%, $E$9)</f>
        <v>6.6238999999999999</v>
      </c>
      <c r="G336" s="81">
        <f>6.6275 * CHOOSE(CONTROL!$C$32, $C$9, 100%, $E$9)</f>
        <v>6.6275000000000004</v>
      </c>
      <c r="H336" s="81">
        <f>11.3695 * CHOOSE(CONTROL!$C$32, $C$9, 100%, $E$9)</f>
        <v>11.3695</v>
      </c>
      <c r="I336" s="81">
        <f>11.3731 * CHOOSE(CONTROL!$C$32, $C$9, 100%, $E$9)</f>
        <v>11.373100000000001</v>
      </c>
      <c r="J336" s="81">
        <f>11.3695 * CHOOSE(CONTROL!$C$32, $C$9, 100%, $E$9)</f>
        <v>11.3695</v>
      </c>
      <c r="K336" s="81">
        <f>11.3731 * CHOOSE(CONTROL!$C$32, $C$9, 100%, $E$9)</f>
        <v>11.373100000000001</v>
      </c>
      <c r="L336" s="81">
        <f>6.6239 * CHOOSE(CONTROL!$C$32, $C$9, 100%, $E$9)</f>
        <v>6.6238999999999999</v>
      </c>
      <c r="M336" s="81">
        <f>6.6275 * CHOOSE(CONTROL!$C$32, $C$9, 100%, $E$9)</f>
        <v>6.6275000000000004</v>
      </c>
      <c r="N336" s="81">
        <f>6.6239 * CHOOSE(CONTROL!$C$32, $C$9, 100%, $E$9)</f>
        <v>6.6238999999999999</v>
      </c>
      <c r="O336" s="81">
        <f>6.6275 * CHOOSE(CONTROL!$C$32, $C$9, 100%, $E$9)</f>
        <v>6.6275000000000004</v>
      </c>
    </row>
    <row r="337" spans="1:15" ht="15" x14ac:dyDescent="0.2">
      <c r="A337" s="16">
        <v>51471</v>
      </c>
      <c r="B337" s="80">
        <f>5.3518 * CHOOSE(CONTROL!$C$32, $C$9, 100%, $E$9)</f>
        <v>5.3517999999999999</v>
      </c>
      <c r="C337" s="80">
        <f>5.3518 * CHOOSE(CONTROL!$C$32, $C$9, 100%, $E$9)</f>
        <v>5.3517999999999999</v>
      </c>
      <c r="D337" s="80">
        <f>5.3528 * CHOOSE(CONTROL!$C$32, $C$9, 100%, $E$9)</f>
        <v>5.3528000000000002</v>
      </c>
      <c r="E337" s="81">
        <f>6.563 * CHOOSE(CONTROL!$C$32, $C$9, 100%, $E$9)</f>
        <v>6.5629999999999997</v>
      </c>
      <c r="F337" s="81">
        <f>6.563 * CHOOSE(CONTROL!$C$32, $C$9, 100%, $E$9)</f>
        <v>6.5629999999999997</v>
      </c>
      <c r="G337" s="81">
        <f>6.5666 * CHOOSE(CONTROL!$C$32, $C$9, 100%, $E$9)</f>
        <v>6.5666000000000002</v>
      </c>
      <c r="H337" s="81">
        <f>11.3932 * CHOOSE(CONTROL!$C$32, $C$9, 100%, $E$9)</f>
        <v>11.3932</v>
      </c>
      <c r="I337" s="81">
        <f>11.3968 * CHOOSE(CONTROL!$C$32, $C$9, 100%, $E$9)</f>
        <v>11.396800000000001</v>
      </c>
      <c r="J337" s="81">
        <f>11.3932 * CHOOSE(CONTROL!$C$32, $C$9, 100%, $E$9)</f>
        <v>11.3932</v>
      </c>
      <c r="K337" s="81">
        <f>11.3968 * CHOOSE(CONTROL!$C$32, $C$9, 100%, $E$9)</f>
        <v>11.396800000000001</v>
      </c>
      <c r="L337" s="81">
        <f>6.563 * CHOOSE(CONTROL!$C$32, $C$9, 100%, $E$9)</f>
        <v>6.5629999999999997</v>
      </c>
      <c r="M337" s="81">
        <f>6.5666 * CHOOSE(CONTROL!$C$32, $C$9, 100%, $E$9)</f>
        <v>6.5666000000000002</v>
      </c>
      <c r="N337" s="81">
        <f>6.563 * CHOOSE(CONTROL!$C$32, $C$9, 100%, $E$9)</f>
        <v>6.5629999999999997</v>
      </c>
      <c r="O337" s="81">
        <f>6.5666 * CHOOSE(CONTROL!$C$32, $C$9, 100%, $E$9)</f>
        <v>6.5666000000000002</v>
      </c>
    </row>
    <row r="338" spans="1:15" ht="15" x14ac:dyDescent="0.2">
      <c r="A338" s="16">
        <v>51502</v>
      </c>
      <c r="B338" s="80">
        <f>5.3929 * CHOOSE(CONTROL!$C$32, $C$9, 100%, $E$9)</f>
        <v>5.3929</v>
      </c>
      <c r="C338" s="80">
        <f>5.3929 * CHOOSE(CONTROL!$C$32, $C$9, 100%, $E$9)</f>
        <v>5.3929</v>
      </c>
      <c r="D338" s="80">
        <f>5.3939 * CHOOSE(CONTROL!$C$32, $C$9, 100%, $E$9)</f>
        <v>5.3939000000000004</v>
      </c>
      <c r="E338" s="81">
        <f>6.6304 * CHOOSE(CONTROL!$C$32, $C$9, 100%, $E$9)</f>
        <v>6.6303999999999998</v>
      </c>
      <c r="F338" s="81">
        <f>6.6304 * CHOOSE(CONTROL!$C$32, $C$9, 100%, $E$9)</f>
        <v>6.6303999999999998</v>
      </c>
      <c r="G338" s="81">
        <f>6.6341 * CHOOSE(CONTROL!$C$32, $C$9, 100%, $E$9)</f>
        <v>6.6341000000000001</v>
      </c>
      <c r="H338" s="81">
        <f>11.4169 * CHOOSE(CONTROL!$C$32, $C$9, 100%, $E$9)</f>
        <v>11.4169</v>
      </c>
      <c r="I338" s="81">
        <f>11.4206 * CHOOSE(CONTROL!$C$32, $C$9, 100%, $E$9)</f>
        <v>11.4206</v>
      </c>
      <c r="J338" s="81">
        <f>11.4169 * CHOOSE(CONTROL!$C$32, $C$9, 100%, $E$9)</f>
        <v>11.4169</v>
      </c>
      <c r="K338" s="81">
        <f>11.4206 * CHOOSE(CONTROL!$C$32, $C$9, 100%, $E$9)</f>
        <v>11.4206</v>
      </c>
      <c r="L338" s="81">
        <f>6.6304 * CHOOSE(CONTROL!$C$32, $C$9, 100%, $E$9)</f>
        <v>6.6303999999999998</v>
      </c>
      <c r="M338" s="81">
        <f>6.6341 * CHOOSE(CONTROL!$C$32, $C$9, 100%, $E$9)</f>
        <v>6.6341000000000001</v>
      </c>
      <c r="N338" s="81">
        <f>6.6304 * CHOOSE(CONTROL!$C$32, $C$9, 100%, $E$9)</f>
        <v>6.6303999999999998</v>
      </c>
      <c r="O338" s="81">
        <f>6.6341 * CHOOSE(CONTROL!$C$32, $C$9, 100%, $E$9)</f>
        <v>6.6341000000000001</v>
      </c>
    </row>
    <row r="339" spans="1:15" ht="15" x14ac:dyDescent="0.2">
      <c r="A339" s="16">
        <v>51533</v>
      </c>
      <c r="B339" s="80">
        <f>5.3898 * CHOOSE(CONTROL!$C$32, $C$9, 100%, $E$9)</f>
        <v>5.3898000000000001</v>
      </c>
      <c r="C339" s="80">
        <f>5.3898 * CHOOSE(CONTROL!$C$32, $C$9, 100%, $E$9)</f>
        <v>5.3898000000000001</v>
      </c>
      <c r="D339" s="80">
        <f>5.3909 * CHOOSE(CONTROL!$C$32, $C$9, 100%, $E$9)</f>
        <v>5.3909000000000002</v>
      </c>
      <c r="E339" s="81">
        <f>6.5096 * CHOOSE(CONTROL!$C$32, $C$9, 100%, $E$9)</f>
        <v>6.5095999999999998</v>
      </c>
      <c r="F339" s="81">
        <f>6.5096 * CHOOSE(CONTROL!$C$32, $C$9, 100%, $E$9)</f>
        <v>6.5095999999999998</v>
      </c>
      <c r="G339" s="81">
        <f>6.5132 * CHOOSE(CONTROL!$C$32, $C$9, 100%, $E$9)</f>
        <v>6.5132000000000003</v>
      </c>
      <c r="H339" s="81">
        <f>11.4407 * CHOOSE(CONTROL!$C$32, $C$9, 100%, $E$9)</f>
        <v>11.4407</v>
      </c>
      <c r="I339" s="81">
        <f>11.4443 * CHOOSE(CONTROL!$C$32, $C$9, 100%, $E$9)</f>
        <v>11.4443</v>
      </c>
      <c r="J339" s="81">
        <f>11.4407 * CHOOSE(CONTROL!$C$32, $C$9, 100%, $E$9)</f>
        <v>11.4407</v>
      </c>
      <c r="K339" s="81">
        <f>11.4443 * CHOOSE(CONTROL!$C$32, $C$9, 100%, $E$9)</f>
        <v>11.4443</v>
      </c>
      <c r="L339" s="81">
        <f>6.5096 * CHOOSE(CONTROL!$C$32, $C$9, 100%, $E$9)</f>
        <v>6.5095999999999998</v>
      </c>
      <c r="M339" s="81">
        <f>6.5132 * CHOOSE(CONTROL!$C$32, $C$9, 100%, $E$9)</f>
        <v>6.5132000000000003</v>
      </c>
      <c r="N339" s="81">
        <f>6.5096 * CHOOSE(CONTROL!$C$32, $C$9, 100%, $E$9)</f>
        <v>6.5095999999999998</v>
      </c>
      <c r="O339" s="81">
        <f>6.5132 * CHOOSE(CONTROL!$C$32, $C$9, 100%, $E$9)</f>
        <v>6.5132000000000003</v>
      </c>
    </row>
    <row r="340" spans="1:15" ht="15" x14ac:dyDescent="0.2">
      <c r="A340" s="16">
        <v>51561</v>
      </c>
      <c r="B340" s="80">
        <f>5.3868 * CHOOSE(CONTROL!$C$32, $C$9, 100%, $E$9)</f>
        <v>5.3868</v>
      </c>
      <c r="C340" s="80">
        <f>5.3868 * CHOOSE(CONTROL!$C$32, $C$9, 100%, $E$9)</f>
        <v>5.3868</v>
      </c>
      <c r="D340" s="80">
        <f>5.3878 * CHOOSE(CONTROL!$C$32, $C$9, 100%, $E$9)</f>
        <v>5.3878000000000004</v>
      </c>
      <c r="E340" s="81">
        <f>6.6011 * CHOOSE(CONTROL!$C$32, $C$9, 100%, $E$9)</f>
        <v>6.6010999999999997</v>
      </c>
      <c r="F340" s="81">
        <f>6.6011 * CHOOSE(CONTROL!$C$32, $C$9, 100%, $E$9)</f>
        <v>6.6010999999999997</v>
      </c>
      <c r="G340" s="81">
        <f>6.6047 * CHOOSE(CONTROL!$C$32, $C$9, 100%, $E$9)</f>
        <v>6.6047000000000002</v>
      </c>
      <c r="H340" s="81">
        <f>11.4646 * CHOOSE(CONTROL!$C$32, $C$9, 100%, $E$9)</f>
        <v>11.464600000000001</v>
      </c>
      <c r="I340" s="81">
        <f>11.4682 * CHOOSE(CONTROL!$C$32, $C$9, 100%, $E$9)</f>
        <v>11.4682</v>
      </c>
      <c r="J340" s="81">
        <f>11.4646 * CHOOSE(CONTROL!$C$32, $C$9, 100%, $E$9)</f>
        <v>11.464600000000001</v>
      </c>
      <c r="K340" s="81">
        <f>11.4682 * CHOOSE(CONTROL!$C$32, $C$9, 100%, $E$9)</f>
        <v>11.4682</v>
      </c>
      <c r="L340" s="81">
        <f>6.6011 * CHOOSE(CONTROL!$C$32, $C$9, 100%, $E$9)</f>
        <v>6.6010999999999997</v>
      </c>
      <c r="M340" s="81">
        <f>6.6047 * CHOOSE(CONTROL!$C$32, $C$9, 100%, $E$9)</f>
        <v>6.6047000000000002</v>
      </c>
      <c r="N340" s="81">
        <f>6.6011 * CHOOSE(CONTROL!$C$32, $C$9, 100%, $E$9)</f>
        <v>6.6010999999999997</v>
      </c>
      <c r="O340" s="81">
        <f>6.6047 * CHOOSE(CONTROL!$C$32, $C$9, 100%, $E$9)</f>
        <v>6.6047000000000002</v>
      </c>
    </row>
    <row r="341" spans="1:15" ht="15" x14ac:dyDescent="0.2">
      <c r="A341" s="16">
        <v>51592</v>
      </c>
      <c r="B341" s="80">
        <f>5.3858 * CHOOSE(CONTROL!$C$32, $C$9, 100%, $E$9)</f>
        <v>5.3857999999999997</v>
      </c>
      <c r="C341" s="80">
        <f>5.3858 * CHOOSE(CONTROL!$C$32, $C$9, 100%, $E$9)</f>
        <v>5.3857999999999997</v>
      </c>
      <c r="D341" s="80">
        <f>5.3868 * CHOOSE(CONTROL!$C$32, $C$9, 100%, $E$9)</f>
        <v>5.3868</v>
      </c>
      <c r="E341" s="81">
        <f>6.6974 * CHOOSE(CONTROL!$C$32, $C$9, 100%, $E$9)</f>
        <v>6.6974</v>
      </c>
      <c r="F341" s="81">
        <f>6.6974 * CHOOSE(CONTROL!$C$32, $C$9, 100%, $E$9)</f>
        <v>6.6974</v>
      </c>
      <c r="G341" s="81">
        <f>6.701 * CHOOSE(CONTROL!$C$32, $C$9, 100%, $E$9)</f>
        <v>6.7009999999999996</v>
      </c>
      <c r="H341" s="81">
        <f>11.4884 * CHOOSE(CONTROL!$C$32, $C$9, 100%, $E$9)</f>
        <v>11.4884</v>
      </c>
      <c r="I341" s="81">
        <f>11.4921 * CHOOSE(CONTROL!$C$32, $C$9, 100%, $E$9)</f>
        <v>11.492100000000001</v>
      </c>
      <c r="J341" s="81">
        <f>11.4884 * CHOOSE(CONTROL!$C$32, $C$9, 100%, $E$9)</f>
        <v>11.4884</v>
      </c>
      <c r="K341" s="81">
        <f>11.4921 * CHOOSE(CONTROL!$C$32, $C$9, 100%, $E$9)</f>
        <v>11.492100000000001</v>
      </c>
      <c r="L341" s="81">
        <f>6.6974 * CHOOSE(CONTROL!$C$32, $C$9, 100%, $E$9)</f>
        <v>6.6974</v>
      </c>
      <c r="M341" s="81">
        <f>6.701 * CHOOSE(CONTROL!$C$32, $C$9, 100%, $E$9)</f>
        <v>6.7009999999999996</v>
      </c>
      <c r="N341" s="81">
        <f>6.6974 * CHOOSE(CONTROL!$C$32, $C$9, 100%, $E$9)</f>
        <v>6.6974</v>
      </c>
      <c r="O341" s="81">
        <f>6.701 * CHOOSE(CONTROL!$C$32, $C$9, 100%, $E$9)</f>
        <v>6.7009999999999996</v>
      </c>
    </row>
    <row r="342" spans="1:15" ht="15" x14ac:dyDescent="0.2">
      <c r="A342" s="16">
        <v>51622</v>
      </c>
      <c r="B342" s="80">
        <f>5.3858 * CHOOSE(CONTROL!$C$32, $C$9, 100%, $E$9)</f>
        <v>5.3857999999999997</v>
      </c>
      <c r="C342" s="80">
        <f>5.3858 * CHOOSE(CONTROL!$C$32, $C$9, 100%, $E$9)</f>
        <v>5.3857999999999997</v>
      </c>
      <c r="D342" s="80">
        <f>5.3873 * CHOOSE(CONTROL!$C$32, $C$9, 100%, $E$9)</f>
        <v>5.3872999999999998</v>
      </c>
      <c r="E342" s="81">
        <f>6.7351 * CHOOSE(CONTROL!$C$32, $C$9, 100%, $E$9)</f>
        <v>6.7351000000000001</v>
      </c>
      <c r="F342" s="81">
        <f>6.7351 * CHOOSE(CONTROL!$C$32, $C$9, 100%, $E$9)</f>
        <v>6.7351000000000001</v>
      </c>
      <c r="G342" s="81">
        <f>6.7404 * CHOOSE(CONTROL!$C$32, $C$9, 100%, $E$9)</f>
        <v>6.7404000000000002</v>
      </c>
      <c r="H342" s="81">
        <f>11.5124 * CHOOSE(CONTROL!$C$32, $C$9, 100%, $E$9)</f>
        <v>11.5124</v>
      </c>
      <c r="I342" s="81">
        <f>11.5177 * CHOOSE(CONTROL!$C$32, $C$9, 100%, $E$9)</f>
        <v>11.5177</v>
      </c>
      <c r="J342" s="81">
        <f>11.5124 * CHOOSE(CONTROL!$C$32, $C$9, 100%, $E$9)</f>
        <v>11.5124</v>
      </c>
      <c r="K342" s="81">
        <f>11.5177 * CHOOSE(CONTROL!$C$32, $C$9, 100%, $E$9)</f>
        <v>11.5177</v>
      </c>
      <c r="L342" s="81">
        <f>6.7351 * CHOOSE(CONTROL!$C$32, $C$9, 100%, $E$9)</f>
        <v>6.7351000000000001</v>
      </c>
      <c r="M342" s="81">
        <f>6.7404 * CHOOSE(CONTROL!$C$32, $C$9, 100%, $E$9)</f>
        <v>6.7404000000000002</v>
      </c>
      <c r="N342" s="81">
        <f>6.7351 * CHOOSE(CONTROL!$C$32, $C$9, 100%, $E$9)</f>
        <v>6.7351000000000001</v>
      </c>
      <c r="O342" s="81">
        <f>6.7404 * CHOOSE(CONTROL!$C$32, $C$9, 100%, $E$9)</f>
        <v>6.7404000000000002</v>
      </c>
    </row>
    <row r="343" spans="1:15" ht="15" x14ac:dyDescent="0.2">
      <c r="A343" s="16">
        <v>51653</v>
      </c>
      <c r="B343" s="80">
        <f>5.3918 * CHOOSE(CONTROL!$C$32, $C$9, 100%, $E$9)</f>
        <v>5.3917999999999999</v>
      </c>
      <c r="C343" s="80">
        <f>5.3918 * CHOOSE(CONTROL!$C$32, $C$9, 100%, $E$9)</f>
        <v>5.3917999999999999</v>
      </c>
      <c r="D343" s="80">
        <f>5.3934 * CHOOSE(CONTROL!$C$32, $C$9, 100%, $E$9)</f>
        <v>5.3933999999999997</v>
      </c>
      <c r="E343" s="81">
        <f>6.7016 * CHOOSE(CONTROL!$C$32, $C$9, 100%, $E$9)</f>
        <v>6.7016</v>
      </c>
      <c r="F343" s="81">
        <f>6.7016 * CHOOSE(CONTROL!$C$32, $C$9, 100%, $E$9)</f>
        <v>6.7016</v>
      </c>
      <c r="G343" s="81">
        <f>6.7069 * CHOOSE(CONTROL!$C$32, $C$9, 100%, $E$9)</f>
        <v>6.7069000000000001</v>
      </c>
      <c r="H343" s="81">
        <f>11.5364 * CHOOSE(CONTROL!$C$32, $C$9, 100%, $E$9)</f>
        <v>11.5364</v>
      </c>
      <c r="I343" s="81">
        <f>11.5417 * CHOOSE(CONTROL!$C$32, $C$9, 100%, $E$9)</f>
        <v>11.541700000000001</v>
      </c>
      <c r="J343" s="81">
        <f>11.5364 * CHOOSE(CONTROL!$C$32, $C$9, 100%, $E$9)</f>
        <v>11.5364</v>
      </c>
      <c r="K343" s="81">
        <f>11.5417 * CHOOSE(CONTROL!$C$32, $C$9, 100%, $E$9)</f>
        <v>11.541700000000001</v>
      </c>
      <c r="L343" s="81">
        <f>6.7016 * CHOOSE(CONTROL!$C$32, $C$9, 100%, $E$9)</f>
        <v>6.7016</v>
      </c>
      <c r="M343" s="81">
        <f>6.7069 * CHOOSE(CONTROL!$C$32, $C$9, 100%, $E$9)</f>
        <v>6.7069000000000001</v>
      </c>
      <c r="N343" s="81">
        <f>6.7016 * CHOOSE(CONTROL!$C$32, $C$9, 100%, $E$9)</f>
        <v>6.7016</v>
      </c>
      <c r="O343" s="81">
        <f>6.7069 * CHOOSE(CONTROL!$C$32, $C$9, 100%, $E$9)</f>
        <v>6.7069000000000001</v>
      </c>
    </row>
    <row r="344" spans="1:15" ht="15" x14ac:dyDescent="0.2">
      <c r="A344" s="16">
        <v>51683</v>
      </c>
      <c r="B344" s="80">
        <f>5.4648 * CHOOSE(CONTROL!$C$32, $C$9, 100%, $E$9)</f>
        <v>5.4648000000000003</v>
      </c>
      <c r="C344" s="80">
        <f>5.4648 * CHOOSE(CONTROL!$C$32, $C$9, 100%, $E$9)</f>
        <v>5.4648000000000003</v>
      </c>
      <c r="D344" s="80">
        <f>5.4664 * CHOOSE(CONTROL!$C$32, $C$9, 100%, $E$9)</f>
        <v>5.4664000000000001</v>
      </c>
      <c r="E344" s="81">
        <f>6.7253 * CHOOSE(CONTROL!$C$32, $C$9, 100%, $E$9)</f>
        <v>6.7252999999999998</v>
      </c>
      <c r="F344" s="81">
        <f>6.7253 * CHOOSE(CONTROL!$C$32, $C$9, 100%, $E$9)</f>
        <v>6.7252999999999998</v>
      </c>
      <c r="G344" s="81">
        <f>6.7306 * CHOOSE(CONTROL!$C$32, $C$9, 100%, $E$9)</f>
        <v>6.7305999999999999</v>
      </c>
      <c r="H344" s="81">
        <f>11.5604 * CHOOSE(CONTROL!$C$32, $C$9, 100%, $E$9)</f>
        <v>11.5604</v>
      </c>
      <c r="I344" s="81">
        <f>11.5657 * CHOOSE(CONTROL!$C$32, $C$9, 100%, $E$9)</f>
        <v>11.5657</v>
      </c>
      <c r="J344" s="81">
        <f>11.5604 * CHOOSE(CONTROL!$C$32, $C$9, 100%, $E$9)</f>
        <v>11.5604</v>
      </c>
      <c r="K344" s="81">
        <f>11.5657 * CHOOSE(CONTROL!$C$32, $C$9, 100%, $E$9)</f>
        <v>11.5657</v>
      </c>
      <c r="L344" s="81">
        <f>6.7253 * CHOOSE(CONTROL!$C$32, $C$9, 100%, $E$9)</f>
        <v>6.7252999999999998</v>
      </c>
      <c r="M344" s="81">
        <f>6.7306 * CHOOSE(CONTROL!$C$32, $C$9, 100%, $E$9)</f>
        <v>6.7305999999999999</v>
      </c>
      <c r="N344" s="81">
        <f>6.7253 * CHOOSE(CONTROL!$C$32, $C$9, 100%, $E$9)</f>
        <v>6.7252999999999998</v>
      </c>
      <c r="O344" s="81">
        <f>6.7306 * CHOOSE(CONTROL!$C$32, $C$9, 100%, $E$9)</f>
        <v>6.7305999999999999</v>
      </c>
    </row>
    <row r="345" spans="1:15" ht="15" x14ac:dyDescent="0.2">
      <c r="A345" s="16">
        <v>51714</v>
      </c>
      <c r="B345" s="80">
        <f>5.4715 * CHOOSE(CONTROL!$C$32, $C$9, 100%, $E$9)</f>
        <v>5.4714999999999998</v>
      </c>
      <c r="C345" s="80">
        <f>5.4715 * CHOOSE(CONTROL!$C$32, $C$9, 100%, $E$9)</f>
        <v>5.4714999999999998</v>
      </c>
      <c r="D345" s="80">
        <f>5.4731 * CHOOSE(CONTROL!$C$32, $C$9, 100%, $E$9)</f>
        <v>5.4730999999999996</v>
      </c>
      <c r="E345" s="81">
        <f>6.6169 * CHOOSE(CONTROL!$C$32, $C$9, 100%, $E$9)</f>
        <v>6.6169000000000002</v>
      </c>
      <c r="F345" s="81">
        <f>6.6169 * CHOOSE(CONTROL!$C$32, $C$9, 100%, $E$9)</f>
        <v>6.6169000000000002</v>
      </c>
      <c r="G345" s="81">
        <f>6.6222 * CHOOSE(CONTROL!$C$32, $C$9, 100%, $E$9)</f>
        <v>6.6222000000000003</v>
      </c>
      <c r="H345" s="81">
        <f>11.5845 * CHOOSE(CONTROL!$C$32, $C$9, 100%, $E$9)</f>
        <v>11.5845</v>
      </c>
      <c r="I345" s="81">
        <f>11.5898 * CHOOSE(CONTROL!$C$32, $C$9, 100%, $E$9)</f>
        <v>11.5898</v>
      </c>
      <c r="J345" s="81">
        <f>11.5845 * CHOOSE(CONTROL!$C$32, $C$9, 100%, $E$9)</f>
        <v>11.5845</v>
      </c>
      <c r="K345" s="81">
        <f>11.5898 * CHOOSE(CONTROL!$C$32, $C$9, 100%, $E$9)</f>
        <v>11.5898</v>
      </c>
      <c r="L345" s="81">
        <f>6.6169 * CHOOSE(CONTROL!$C$32, $C$9, 100%, $E$9)</f>
        <v>6.6169000000000002</v>
      </c>
      <c r="M345" s="81">
        <f>6.6222 * CHOOSE(CONTROL!$C$32, $C$9, 100%, $E$9)</f>
        <v>6.6222000000000003</v>
      </c>
      <c r="N345" s="81">
        <f>6.6169 * CHOOSE(CONTROL!$C$32, $C$9, 100%, $E$9)</f>
        <v>6.6169000000000002</v>
      </c>
      <c r="O345" s="81">
        <f>6.6222 * CHOOSE(CONTROL!$C$32, $C$9, 100%, $E$9)</f>
        <v>6.6222000000000003</v>
      </c>
    </row>
    <row r="346" spans="1:15" ht="15" x14ac:dyDescent="0.2">
      <c r="A346" s="16">
        <v>51745</v>
      </c>
      <c r="B346" s="80">
        <f>5.4685 * CHOOSE(CONTROL!$C$32, $C$9, 100%, $E$9)</f>
        <v>5.4684999999999997</v>
      </c>
      <c r="C346" s="80">
        <f>5.4685 * CHOOSE(CONTROL!$C$32, $C$9, 100%, $E$9)</f>
        <v>5.4684999999999997</v>
      </c>
      <c r="D346" s="80">
        <f>5.47 * CHOOSE(CONTROL!$C$32, $C$9, 100%, $E$9)</f>
        <v>5.47</v>
      </c>
      <c r="E346" s="81">
        <f>6.6022 * CHOOSE(CONTROL!$C$32, $C$9, 100%, $E$9)</f>
        <v>6.6021999999999998</v>
      </c>
      <c r="F346" s="81">
        <f>6.6022 * CHOOSE(CONTROL!$C$32, $C$9, 100%, $E$9)</f>
        <v>6.6021999999999998</v>
      </c>
      <c r="G346" s="81">
        <f>6.6075 * CHOOSE(CONTROL!$C$32, $C$9, 100%, $E$9)</f>
        <v>6.6074999999999999</v>
      </c>
      <c r="H346" s="81">
        <f>11.6086 * CHOOSE(CONTROL!$C$32, $C$9, 100%, $E$9)</f>
        <v>11.608599999999999</v>
      </c>
      <c r="I346" s="81">
        <f>11.6139 * CHOOSE(CONTROL!$C$32, $C$9, 100%, $E$9)</f>
        <v>11.613899999999999</v>
      </c>
      <c r="J346" s="81">
        <f>11.6086 * CHOOSE(CONTROL!$C$32, $C$9, 100%, $E$9)</f>
        <v>11.608599999999999</v>
      </c>
      <c r="K346" s="81">
        <f>11.6139 * CHOOSE(CONTROL!$C$32, $C$9, 100%, $E$9)</f>
        <v>11.613899999999999</v>
      </c>
      <c r="L346" s="81">
        <f>6.6022 * CHOOSE(CONTROL!$C$32, $C$9, 100%, $E$9)</f>
        <v>6.6021999999999998</v>
      </c>
      <c r="M346" s="81">
        <f>6.6075 * CHOOSE(CONTROL!$C$32, $C$9, 100%, $E$9)</f>
        <v>6.6074999999999999</v>
      </c>
      <c r="N346" s="81">
        <f>6.6022 * CHOOSE(CONTROL!$C$32, $C$9, 100%, $E$9)</f>
        <v>6.6021999999999998</v>
      </c>
      <c r="O346" s="81">
        <f>6.6075 * CHOOSE(CONTROL!$C$32, $C$9, 100%, $E$9)</f>
        <v>6.6074999999999999</v>
      </c>
    </row>
    <row r="347" spans="1:15" ht="15" x14ac:dyDescent="0.2">
      <c r="A347" s="16">
        <v>51775</v>
      </c>
      <c r="B347" s="80">
        <f>5.469 * CHOOSE(CONTROL!$C$32, $C$9, 100%, $E$9)</f>
        <v>5.4690000000000003</v>
      </c>
      <c r="C347" s="80">
        <f>5.469 * CHOOSE(CONTROL!$C$32, $C$9, 100%, $E$9)</f>
        <v>5.4690000000000003</v>
      </c>
      <c r="D347" s="80">
        <f>5.47 * CHOOSE(CONTROL!$C$32, $C$9, 100%, $E$9)</f>
        <v>5.47</v>
      </c>
      <c r="E347" s="81">
        <f>6.639 * CHOOSE(CONTROL!$C$32, $C$9, 100%, $E$9)</f>
        <v>6.6390000000000002</v>
      </c>
      <c r="F347" s="81">
        <f>6.639 * CHOOSE(CONTROL!$C$32, $C$9, 100%, $E$9)</f>
        <v>6.6390000000000002</v>
      </c>
      <c r="G347" s="81">
        <f>6.6427 * CHOOSE(CONTROL!$C$32, $C$9, 100%, $E$9)</f>
        <v>6.6426999999999996</v>
      </c>
      <c r="H347" s="81">
        <f>11.6328 * CHOOSE(CONTROL!$C$32, $C$9, 100%, $E$9)</f>
        <v>11.6328</v>
      </c>
      <c r="I347" s="81">
        <f>11.6364 * CHOOSE(CONTROL!$C$32, $C$9, 100%, $E$9)</f>
        <v>11.6364</v>
      </c>
      <c r="J347" s="81">
        <f>11.6328 * CHOOSE(CONTROL!$C$32, $C$9, 100%, $E$9)</f>
        <v>11.6328</v>
      </c>
      <c r="K347" s="81">
        <f>11.6364 * CHOOSE(CONTROL!$C$32, $C$9, 100%, $E$9)</f>
        <v>11.6364</v>
      </c>
      <c r="L347" s="81">
        <f>6.639 * CHOOSE(CONTROL!$C$32, $C$9, 100%, $E$9)</f>
        <v>6.6390000000000002</v>
      </c>
      <c r="M347" s="81">
        <f>6.6427 * CHOOSE(CONTROL!$C$32, $C$9, 100%, $E$9)</f>
        <v>6.6426999999999996</v>
      </c>
      <c r="N347" s="81">
        <f>6.639 * CHOOSE(CONTROL!$C$32, $C$9, 100%, $E$9)</f>
        <v>6.6390000000000002</v>
      </c>
      <c r="O347" s="81">
        <f>6.6427 * CHOOSE(CONTROL!$C$32, $C$9, 100%, $E$9)</f>
        <v>6.6426999999999996</v>
      </c>
    </row>
    <row r="348" spans="1:15" ht="15" x14ac:dyDescent="0.2">
      <c r="A348" s="16">
        <v>51806</v>
      </c>
      <c r="B348" s="80">
        <f>5.472 * CHOOSE(CONTROL!$C$32, $C$9, 100%, $E$9)</f>
        <v>5.4720000000000004</v>
      </c>
      <c r="C348" s="80">
        <f>5.472 * CHOOSE(CONTROL!$C$32, $C$9, 100%, $E$9)</f>
        <v>5.4720000000000004</v>
      </c>
      <c r="D348" s="80">
        <f>5.4731 * CHOOSE(CONTROL!$C$32, $C$9, 100%, $E$9)</f>
        <v>5.4730999999999996</v>
      </c>
      <c r="E348" s="81">
        <f>6.6663 * CHOOSE(CONTROL!$C$32, $C$9, 100%, $E$9)</f>
        <v>6.6662999999999997</v>
      </c>
      <c r="F348" s="81">
        <f>6.6663 * CHOOSE(CONTROL!$C$32, $C$9, 100%, $E$9)</f>
        <v>6.6662999999999997</v>
      </c>
      <c r="G348" s="81">
        <f>6.6699 * CHOOSE(CONTROL!$C$32, $C$9, 100%, $E$9)</f>
        <v>6.6699000000000002</v>
      </c>
      <c r="H348" s="81">
        <f>11.657 * CHOOSE(CONTROL!$C$32, $C$9, 100%, $E$9)</f>
        <v>11.657</v>
      </c>
      <c r="I348" s="81">
        <f>11.6607 * CHOOSE(CONTROL!$C$32, $C$9, 100%, $E$9)</f>
        <v>11.6607</v>
      </c>
      <c r="J348" s="81">
        <f>11.657 * CHOOSE(CONTROL!$C$32, $C$9, 100%, $E$9)</f>
        <v>11.657</v>
      </c>
      <c r="K348" s="81">
        <f>11.6607 * CHOOSE(CONTROL!$C$32, $C$9, 100%, $E$9)</f>
        <v>11.6607</v>
      </c>
      <c r="L348" s="81">
        <f>6.6663 * CHOOSE(CONTROL!$C$32, $C$9, 100%, $E$9)</f>
        <v>6.6662999999999997</v>
      </c>
      <c r="M348" s="81">
        <f>6.6699 * CHOOSE(CONTROL!$C$32, $C$9, 100%, $E$9)</f>
        <v>6.6699000000000002</v>
      </c>
      <c r="N348" s="81">
        <f>6.6663 * CHOOSE(CONTROL!$C$32, $C$9, 100%, $E$9)</f>
        <v>6.6662999999999997</v>
      </c>
      <c r="O348" s="81">
        <f>6.6699 * CHOOSE(CONTROL!$C$32, $C$9, 100%, $E$9)</f>
        <v>6.6699000000000002</v>
      </c>
    </row>
    <row r="349" spans="1:15" ht="15" x14ac:dyDescent="0.2">
      <c r="A349" s="16">
        <v>51836</v>
      </c>
      <c r="B349" s="80">
        <f>5.472 * CHOOSE(CONTROL!$C$32, $C$9, 100%, $E$9)</f>
        <v>5.4720000000000004</v>
      </c>
      <c r="C349" s="80">
        <f>5.472 * CHOOSE(CONTROL!$C$32, $C$9, 100%, $E$9)</f>
        <v>5.4720000000000004</v>
      </c>
      <c r="D349" s="80">
        <f>5.4731 * CHOOSE(CONTROL!$C$32, $C$9, 100%, $E$9)</f>
        <v>5.4730999999999996</v>
      </c>
      <c r="E349" s="81">
        <f>6.6035 * CHOOSE(CONTROL!$C$32, $C$9, 100%, $E$9)</f>
        <v>6.6035000000000004</v>
      </c>
      <c r="F349" s="81">
        <f>6.6035 * CHOOSE(CONTROL!$C$32, $C$9, 100%, $E$9)</f>
        <v>6.6035000000000004</v>
      </c>
      <c r="G349" s="81">
        <f>6.6071 * CHOOSE(CONTROL!$C$32, $C$9, 100%, $E$9)</f>
        <v>6.6071</v>
      </c>
      <c r="H349" s="81">
        <f>11.6813 * CHOOSE(CONTROL!$C$32, $C$9, 100%, $E$9)</f>
        <v>11.6813</v>
      </c>
      <c r="I349" s="81">
        <f>11.6849 * CHOOSE(CONTROL!$C$32, $C$9, 100%, $E$9)</f>
        <v>11.684900000000001</v>
      </c>
      <c r="J349" s="81">
        <f>11.6813 * CHOOSE(CONTROL!$C$32, $C$9, 100%, $E$9)</f>
        <v>11.6813</v>
      </c>
      <c r="K349" s="81">
        <f>11.6849 * CHOOSE(CONTROL!$C$32, $C$9, 100%, $E$9)</f>
        <v>11.684900000000001</v>
      </c>
      <c r="L349" s="81">
        <f>6.6035 * CHOOSE(CONTROL!$C$32, $C$9, 100%, $E$9)</f>
        <v>6.6035000000000004</v>
      </c>
      <c r="M349" s="81">
        <f>6.6071 * CHOOSE(CONTROL!$C$32, $C$9, 100%, $E$9)</f>
        <v>6.6071</v>
      </c>
      <c r="N349" s="81">
        <f>6.6035 * CHOOSE(CONTROL!$C$32, $C$9, 100%, $E$9)</f>
        <v>6.6035000000000004</v>
      </c>
      <c r="O349" s="81">
        <f>6.6071 * CHOOSE(CONTROL!$C$32, $C$9, 100%, $E$9)</f>
        <v>6.6071</v>
      </c>
    </row>
    <row r="350" spans="1:15" ht="15" x14ac:dyDescent="0.2">
      <c r="A350" s="16">
        <v>51867</v>
      </c>
      <c r="B350" s="80">
        <f>5.5145 * CHOOSE(CONTROL!$C$32, $C$9, 100%, $E$9)</f>
        <v>5.5145</v>
      </c>
      <c r="C350" s="80">
        <f>5.5145 * CHOOSE(CONTROL!$C$32, $C$9, 100%, $E$9)</f>
        <v>5.5145</v>
      </c>
      <c r="D350" s="80">
        <f>5.5156 * CHOOSE(CONTROL!$C$32, $C$9, 100%, $E$9)</f>
        <v>5.5156000000000001</v>
      </c>
      <c r="E350" s="81">
        <f>6.6708 * CHOOSE(CONTROL!$C$32, $C$9, 100%, $E$9)</f>
        <v>6.6707999999999998</v>
      </c>
      <c r="F350" s="81">
        <f>6.6708 * CHOOSE(CONTROL!$C$32, $C$9, 100%, $E$9)</f>
        <v>6.6707999999999998</v>
      </c>
      <c r="G350" s="81">
        <f>6.6744 * CHOOSE(CONTROL!$C$32, $C$9, 100%, $E$9)</f>
        <v>6.6744000000000003</v>
      </c>
      <c r="H350" s="81">
        <f>11.7057 * CHOOSE(CONTROL!$C$32, $C$9, 100%, $E$9)</f>
        <v>11.7057</v>
      </c>
      <c r="I350" s="81">
        <f>11.7093 * CHOOSE(CONTROL!$C$32, $C$9, 100%, $E$9)</f>
        <v>11.709300000000001</v>
      </c>
      <c r="J350" s="81">
        <f>11.7057 * CHOOSE(CONTROL!$C$32, $C$9, 100%, $E$9)</f>
        <v>11.7057</v>
      </c>
      <c r="K350" s="81">
        <f>11.7093 * CHOOSE(CONTROL!$C$32, $C$9, 100%, $E$9)</f>
        <v>11.709300000000001</v>
      </c>
      <c r="L350" s="81">
        <f>6.6708 * CHOOSE(CONTROL!$C$32, $C$9, 100%, $E$9)</f>
        <v>6.6707999999999998</v>
      </c>
      <c r="M350" s="81">
        <f>6.6744 * CHOOSE(CONTROL!$C$32, $C$9, 100%, $E$9)</f>
        <v>6.6744000000000003</v>
      </c>
      <c r="N350" s="81">
        <f>6.6708 * CHOOSE(CONTROL!$C$32, $C$9, 100%, $E$9)</f>
        <v>6.6707999999999998</v>
      </c>
      <c r="O350" s="81">
        <f>6.6744 * CHOOSE(CONTROL!$C$32, $C$9, 100%, $E$9)</f>
        <v>6.6744000000000003</v>
      </c>
    </row>
    <row r="351" spans="1:15" ht="15" x14ac:dyDescent="0.2">
      <c r="A351" s="16">
        <v>51898</v>
      </c>
      <c r="B351" s="80">
        <f>5.5115 * CHOOSE(CONTROL!$C$32, $C$9, 100%, $E$9)</f>
        <v>5.5114999999999998</v>
      </c>
      <c r="C351" s="80">
        <f>5.5115 * CHOOSE(CONTROL!$C$32, $C$9, 100%, $E$9)</f>
        <v>5.5114999999999998</v>
      </c>
      <c r="D351" s="80">
        <f>5.5125 * CHOOSE(CONTROL!$C$32, $C$9, 100%, $E$9)</f>
        <v>5.5125000000000002</v>
      </c>
      <c r="E351" s="81">
        <f>6.5461 * CHOOSE(CONTROL!$C$32, $C$9, 100%, $E$9)</f>
        <v>6.5461</v>
      </c>
      <c r="F351" s="81">
        <f>6.5461 * CHOOSE(CONTROL!$C$32, $C$9, 100%, $E$9)</f>
        <v>6.5461</v>
      </c>
      <c r="G351" s="81">
        <f>6.5497 * CHOOSE(CONTROL!$C$32, $C$9, 100%, $E$9)</f>
        <v>6.5496999999999996</v>
      </c>
      <c r="H351" s="81">
        <f>11.73 * CHOOSE(CONTROL!$C$32, $C$9, 100%, $E$9)</f>
        <v>11.73</v>
      </c>
      <c r="I351" s="81">
        <f>11.7337 * CHOOSE(CONTROL!$C$32, $C$9, 100%, $E$9)</f>
        <v>11.733700000000001</v>
      </c>
      <c r="J351" s="81">
        <f>11.73 * CHOOSE(CONTROL!$C$32, $C$9, 100%, $E$9)</f>
        <v>11.73</v>
      </c>
      <c r="K351" s="81">
        <f>11.7337 * CHOOSE(CONTROL!$C$32, $C$9, 100%, $E$9)</f>
        <v>11.733700000000001</v>
      </c>
      <c r="L351" s="81">
        <f>6.5461 * CHOOSE(CONTROL!$C$32, $C$9, 100%, $E$9)</f>
        <v>6.5461</v>
      </c>
      <c r="M351" s="81">
        <f>6.5497 * CHOOSE(CONTROL!$C$32, $C$9, 100%, $E$9)</f>
        <v>6.5496999999999996</v>
      </c>
      <c r="N351" s="81">
        <f>6.5461 * CHOOSE(CONTROL!$C$32, $C$9, 100%, $E$9)</f>
        <v>6.5461</v>
      </c>
      <c r="O351" s="81">
        <f>6.5497 * CHOOSE(CONTROL!$C$32, $C$9, 100%, $E$9)</f>
        <v>6.5496999999999996</v>
      </c>
    </row>
    <row r="352" spans="1:15" ht="15" x14ac:dyDescent="0.2">
      <c r="A352" s="16">
        <v>51926</v>
      </c>
      <c r="B352" s="80">
        <f>5.5084 * CHOOSE(CONTROL!$C$32, $C$9, 100%, $E$9)</f>
        <v>5.5084</v>
      </c>
      <c r="C352" s="80">
        <f>5.5084 * CHOOSE(CONTROL!$C$32, $C$9, 100%, $E$9)</f>
        <v>5.5084</v>
      </c>
      <c r="D352" s="80">
        <f>5.5095 * CHOOSE(CONTROL!$C$32, $C$9, 100%, $E$9)</f>
        <v>5.5095000000000001</v>
      </c>
      <c r="E352" s="81">
        <f>6.6406 * CHOOSE(CONTROL!$C$32, $C$9, 100%, $E$9)</f>
        <v>6.6406000000000001</v>
      </c>
      <c r="F352" s="81">
        <f>6.6406 * CHOOSE(CONTROL!$C$32, $C$9, 100%, $E$9)</f>
        <v>6.6406000000000001</v>
      </c>
      <c r="G352" s="81">
        <f>6.6442 * CHOOSE(CONTROL!$C$32, $C$9, 100%, $E$9)</f>
        <v>6.6441999999999997</v>
      </c>
      <c r="H352" s="81">
        <f>11.7545 * CHOOSE(CONTROL!$C$32, $C$9, 100%, $E$9)</f>
        <v>11.7545</v>
      </c>
      <c r="I352" s="81">
        <f>11.7581 * CHOOSE(CONTROL!$C$32, $C$9, 100%, $E$9)</f>
        <v>11.758100000000001</v>
      </c>
      <c r="J352" s="81">
        <f>11.7545 * CHOOSE(CONTROL!$C$32, $C$9, 100%, $E$9)</f>
        <v>11.7545</v>
      </c>
      <c r="K352" s="81">
        <f>11.7581 * CHOOSE(CONTROL!$C$32, $C$9, 100%, $E$9)</f>
        <v>11.758100000000001</v>
      </c>
      <c r="L352" s="81">
        <f>6.6406 * CHOOSE(CONTROL!$C$32, $C$9, 100%, $E$9)</f>
        <v>6.6406000000000001</v>
      </c>
      <c r="M352" s="81">
        <f>6.6442 * CHOOSE(CONTROL!$C$32, $C$9, 100%, $E$9)</f>
        <v>6.6441999999999997</v>
      </c>
      <c r="N352" s="81">
        <f>6.6406 * CHOOSE(CONTROL!$C$32, $C$9, 100%, $E$9)</f>
        <v>6.6406000000000001</v>
      </c>
      <c r="O352" s="81">
        <f>6.6442 * CHOOSE(CONTROL!$C$32, $C$9, 100%, $E$9)</f>
        <v>6.6441999999999997</v>
      </c>
    </row>
    <row r="353" spans="1:15" ht="15" x14ac:dyDescent="0.2">
      <c r="A353" s="16">
        <v>51957</v>
      </c>
      <c r="B353" s="80">
        <f>5.5075 * CHOOSE(CONTROL!$C$32, $C$9, 100%, $E$9)</f>
        <v>5.5075000000000003</v>
      </c>
      <c r="C353" s="80">
        <f>5.5075 * CHOOSE(CONTROL!$C$32, $C$9, 100%, $E$9)</f>
        <v>5.5075000000000003</v>
      </c>
      <c r="D353" s="80">
        <f>5.5086 * CHOOSE(CONTROL!$C$32, $C$9, 100%, $E$9)</f>
        <v>5.5086000000000004</v>
      </c>
      <c r="E353" s="81">
        <f>6.7402 * CHOOSE(CONTROL!$C$32, $C$9, 100%, $E$9)</f>
        <v>6.7401999999999997</v>
      </c>
      <c r="F353" s="81">
        <f>6.7402 * CHOOSE(CONTROL!$C$32, $C$9, 100%, $E$9)</f>
        <v>6.7401999999999997</v>
      </c>
      <c r="G353" s="81">
        <f>6.7438 * CHOOSE(CONTROL!$C$32, $C$9, 100%, $E$9)</f>
        <v>6.7438000000000002</v>
      </c>
      <c r="H353" s="81">
        <f>11.779 * CHOOSE(CONTROL!$C$32, $C$9, 100%, $E$9)</f>
        <v>11.779</v>
      </c>
      <c r="I353" s="81">
        <f>11.7826 * CHOOSE(CONTROL!$C$32, $C$9, 100%, $E$9)</f>
        <v>11.7826</v>
      </c>
      <c r="J353" s="81">
        <f>11.779 * CHOOSE(CONTROL!$C$32, $C$9, 100%, $E$9)</f>
        <v>11.779</v>
      </c>
      <c r="K353" s="81">
        <f>11.7826 * CHOOSE(CONTROL!$C$32, $C$9, 100%, $E$9)</f>
        <v>11.7826</v>
      </c>
      <c r="L353" s="81">
        <f>6.7402 * CHOOSE(CONTROL!$C$32, $C$9, 100%, $E$9)</f>
        <v>6.7401999999999997</v>
      </c>
      <c r="M353" s="81">
        <f>6.7438 * CHOOSE(CONTROL!$C$32, $C$9, 100%, $E$9)</f>
        <v>6.7438000000000002</v>
      </c>
      <c r="N353" s="81">
        <f>6.7402 * CHOOSE(CONTROL!$C$32, $C$9, 100%, $E$9)</f>
        <v>6.7401999999999997</v>
      </c>
      <c r="O353" s="81">
        <f>6.7438 * CHOOSE(CONTROL!$C$32, $C$9, 100%, $E$9)</f>
        <v>6.7438000000000002</v>
      </c>
    </row>
    <row r="354" spans="1:15" ht="15" x14ac:dyDescent="0.2">
      <c r="A354" s="16">
        <v>51987</v>
      </c>
      <c r="B354" s="80">
        <f>5.5075 * CHOOSE(CONTROL!$C$32, $C$9, 100%, $E$9)</f>
        <v>5.5075000000000003</v>
      </c>
      <c r="C354" s="80">
        <f>5.5075 * CHOOSE(CONTROL!$C$32, $C$9, 100%, $E$9)</f>
        <v>5.5075000000000003</v>
      </c>
      <c r="D354" s="80">
        <f>5.5091 * CHOOSE(CONTROL!$C$32, $C$9, 100%, $E$9)</f>
        <v>5.5091000000000001</v>
      </c>
      <c r="E354" s="81">
        <f>6.7791 * CHOOSE(CONTROL!$C$32, $C$9, 100%, $E$9)</f>
        <v>6.7790999999999997</v>
      </c>
      <c r="F354" s="81">
        <f>6.7791 * CHOOSE(CONTROL!$C$32, $C$9, 100%, $E$9)</f>
        <v>6.7790999999999997</v>
      </c>
      <c r="G354" s="81">
        <f>6.7844 * CHOOSE(CONTROL!$C$32, $C$9, 100%, $E$9)</f>
        <v>6.7843999999999998</v>
      </c>
      <c r="H354" s="81">
        <f>11.8035 * CHOOSE(CONTROL!$C$32, $C$9, 100%, $E$9)</f>
        <v>11.8035</v>
      </c>
      <c r="I354" s="81">
        <f>11.8088 * CHOOSE(CONTROL!$C$32, $C$9, 100%, $E$9)</f>
        <v>11.8088</v>
      </c>
      <c r="J354" s="81">
        <f>11.8035 * CHOOSE(CONTROL!$C$32, $C$9, 100%, $E$9)</f>
        <v>11.8035</v>
      </c>
      <c r="K354" s="81">
        <f>11.8088 * CHOOSE(CONTROL!$C$32, $C$9, 100%, $E$9)</f>
        <v>11.8088</v>
      </c>
      <c r="L354" s="81">
        <f>6.7791 * CHOOSE(CONTROL!$C$32, $C$9, 100%, $E$9)</f>
        <v>6.7790999999999997</v>
      </c>
      <c r="M354" s="81">
        <f>6.7844 * CHOOSE(CONTROL!$C$32, $C$9, 100%, $E$9)</f>
        <v>6.7843999999999998</v>
      </c>
      <c r="N354" s="81">
        <f>6.7791 * CHOOSE(CONTROL!$C$32, $C$9, 100%, $E$9)</f>
        <v>6.7790999999999997</v>
      </c>
      <c r="O354" s="81">
        <f>6.7844 * CHOOSE(CONTROL!$C$32, $C$9, 100%, $E$9)</f>
        <v>6.7843999999999998</v>
      </c>
    </row>
    <row r="355" spans="1:15" ht="15" x14ac:dyDescent="0.2">
      <c r="A355" s="16">
        <v>52018</v>
      </c>
      <c r="B355" s="80">
        <f>5.5136 * CHOOSE(CONTROL!$C$32, $C$9, 100%, $E$9)</f>
        <v>5.5136000000000003</v>
      </c>
      <c r="C355" s="80">
        <f>5.5136 * CHOOSE(CONTROL!$C$32, $C$9, 100%, $E$9)</f>
        <v>5.5136000000000003</v>
      </c>
      <c r="D355" s="80">
        <f>5.5152 * CHOOSE(CONTROL!$C$32, $C$9, 100%, $E$9)</f>
        <v>5.5152000000000001</v>
      </c>
      <c r="E355" s="81">
        <f>6.7444 * CHOOSE(CONTROL!$C$32, $C$9, 100%, $E$9)</f>
        <v>6.7443999999999997</v>
      </c>
      <c r="F355" s="81">
        <f>6.7444 * CHOOSE(CONTROL!$C$32, $C$9, 100%, $E$9)</f>
        <v>6.7443999999999997</v>
      </c>
      <c r="G355" s="81">
        <f>6.7497 * CHOOSE(CONTROL!$C$32, $C$9, 100%, $E$9)</f>
        <v>6.7496999999999998</v>
      </c>
      <c r="H355" s="81">
        <f>11.8281 * CHOOSE(CONTROL!$C$32, $C$9, 100%, $E$9)</f>
        <v>11.828099999999999</v>
      </c>
      <c r="I355" s="81">
        <f>11.8334 * CHOOSE(CONTROL!$C$32, $C$9, 100%, $E$9)</f>
        <v>11.833399999999999</v>
      </c>
      <c r="J355" s="81">
        <f>11.8281 * CHOOSE(CONTROL!$C$32, $C$9, 100%, $E$9)</f>
        <v>11.828099999999999</v>
      </c>
      <c r="K355" s="81">
        <f>11.8334 * CHOOSE(CONTROL!$C$32, $C$9, 100%, $E$9)</f>
        <v>11.833399999999999</v>
      </c>
      <c r="L355" s="81">
        <f>6.7444 * CHOOSE(CONTROL!$C$32, $C$9, 100%, $E$9)</f>
        <v>6.7443999999999997</v>
      </c>
      <c r="M355" s="81">
        <f>6.7497 * CHOOSE(CONTROL!$C$32, $C$9, 100%, $E$9)</f>
        <v>6.7496999999999998</v>
      </c>
      <c r="N355" s="81">
        <f>6.7444 * CHOOSE(CONTROL!$C$32, $C$9, 100%, $E$9)</f>
        <v>6.7443999999999997</v>
      </c>
      <c r="O355" s="81">
        <f>6.7497 * CHOOSE(CONTROL!$C$32, $C$9, 100%, $E$9)</f>
        <v>6.7496999999999998</v>
      </c>
    </row>
    <row r="356" spans="1:15" ht="15" x14ac:dyDescent="0.2">
      <c r="A356" s="16">
        <v>52048</v>
      </c>
      <c r="B356" s="80">
        <f>5.5892 * CHOOSE(CONTROL!$C$32, $C$9, 100%, $E$9)</f>
        <v>5.5891999999999999</v>
      </c>
      <c r="C356" s="80">
        <f>5.5892 * CHOOSE(CONTROL!$C$32, $C$9, 100%, $E$9)</f>
        <v>5.5891999999999999</v>
      </c>
      <c r="D356" s="80">
        <f>5.5907 * CHOOSE(CONTROL!$C$32, $C$9, 100%, $E$9)</f>
        <v>5.5907</v>
      </c>
      <c r="E356" s="81">
        <f>6.7633 * CHOOSE(CONTROL!$C$32, $C$9, 100%, $E$9)</f>
        <v>6.7633000000000001</v>
      </c>
      <c r="F356" s="81">
        <f>6.7633 * CHOOSE(CONTROL!$C$32, $C$9, 100%, $E$9)</f>
        <v>6.7633000000000001</v>
      </c>
      <c r="G356" s="81">
        <f>6.7686 * CHOOSE(CONTROL!$C$32, $C$9, 100%, $E$9)</f>
        <v>6.7686000000000002</v>
      </c>
      <c r="H356" s="81">
        <f>11.8527 * CHOOSE(CONTROL!$C$32, $C$9, 100%, $E$9)</f>
        <v>11.8527</v>
      </c>
      <c r="I356" s="81">
        <f>11.858 * CHOOSE(CONTROL!$C$32, $C$9, 100%, $E$9)</f>
        <v>11.858000000000001</v>
      </c>
      <c r="J356" s="81">
        <f>11.8527 * CHOOSE(CONTROL!$C$32, $C$9, 100%, $E$9)</f>
        <v>11.8527</v>
      </c>
      <c r="K356" s="81">
        <f>11.858 * CHOOSE(CONTROL!$C$32, $C$9, 100%, $E$9)</f>
        <v>11.858000000000001</v>
      </c>
      <c r="L356" s="81">
        <f>6.7633 * CHOOSE(CONTROL!$C$32, $C$9, 100%, $E$9)</f>
        <v>6.7633000000000001</v>
      </c>
      <c r="M356" s="81">
        <f>6.7686 * CHOOSE(CONTROL!$C$32, $C$9, 100%, $E$9)</f>
        <v>6.7686000000000002</v>
      </c>
      <c r="N356" s="81">
        <f>6.7633 * CHOOSE(CONTROL!$C$32, $C$9, 100%, $E$9)</f>
        <v>6.7633000000000001</v>
      </c>
      <c r="O356" s="81">
        <f>6.7686 * CHOOSE(CONTROL!$C$32, $C$9, 100%, $E$9)</f>
        <v>6.7686000000000002</v>
      </c>
    </row>
    <row r="357" spans="1:15" ht="15" x14ac:dyDescent="0.2">
      <c r="A357" s="16">
        <v>52079</v>
      </c>
      <c r="B357" s="80">
        <f>5.5958 * CHOOSE(CONTROL!$C$32, $C$9, 100%, $E$9)</f>
        <v>5.5957999999999997</v>
      </c>
      <c r="C357" s="80">
        <f>5.5958 * CHOOSE(CONTROL!$C$32, $C$9, 100%, $E$9)</f>
        <v>5.5957999999999997</v>
      </c>
      <c r="D357" s="80">
        <f>5.5974 * CHOOSE(CONTROL!$C$32, $C$9, 100%, $E$9)</f>
        <v>5.5974000000000004</v>
      </c>
      <c r="E357" s="81">
        <f>6.6512 * CHOOSE(CONTROL!$C$32, $C$9, 100%, $E$9)</f>
        <v>6.6512000000000002</v>
      </c>
      <c r="F357" s="81">
        <f>6.6512 * CHOOSE(CONTROL!$C$32, $C$9, 100%, $E$9)</f>
        <v>6.6512000000000002</v>
      </c>
      <c r="G357" s="81">
        <f>6.6565 * CHOOSE(CONTROL!$C$32, $C$9, 100%, $E$9)</f>
        <v>6.6565000000000003</v>
      </c>
      <c r="H357" s="81">
        <f>11.8774 * CHOOSE(CONTROL!$C$32, $C$9, 100%, $E$9)</f>
        <v>11.8774</v>
      </c>
      <c r="I357" s="81">
        <f>11.8827 * CHOOSE(CONTROL!$C$32, $C$9, 100%, $E$9)</f>
        <v>11.8827</v>
      </c>
      <c r="J357" s="81">
        <f>11.8774 * CHOOSE(CONTROL!$C$32, $C$9, 100%, $E$9)</f>
        <v>11.8774</v>
      </c>
      <c r="K357" s="81">
        <f>11.8827 * CHOOSE(CONTROL!$C$32, $C$9, 100%, $E$9)</f>
        <v>11.8827</v>
      </c>
      <c r="L357" s="81">
        <f>6.6512 * CHOOSE(CONTROL!$C$32, $C$9, 100%, $E$9)</f>
        <v>6.6512000000000002</v>
      </c>
      <c r="M357" s="81">
        <f>6.6565 * CHOOSE(CONTROL!$C$32, $C$9, 100%, $E$9)</f>
        <v>6.6565000000000003</v>
      </c>
      <c r="N357" s="81">
        <f>6.6512 * CHOOSE(CONTROL!$C$32, $C$9, 100%, $E$9)</f>
        <v>6.6512000000000002</v>
      </c>
      <c r="O357" s="81">
        <f>6.6565 * CHOOSE(CONTROL!$C$32, $C$9, 100%, $E$9)</f>
        <v>6.6565000000000003</v>
      </c>
    </row>
    <row r="358" spans="1:15" ht="15" x14ac:dyDescent="0.2">
      <c r="A358" s="16">
        <v>52110</v>
      </c>
      <c r="B358" s="80">
        <f>5.5928 * CHOOSE(CONTROL!$C$32, $C$9, 100%, $E$9)</f>
        <v>5.5928000000000004</v>
      </c>
      <c r="C358" s="80">
        <f>5.5928 * CHOOSE(CONTROL!$C$32, $C$9, 100%, $E$9)</f>
        <v>5.5928000000000004</v>
      </c>
      <c r="D358" s="80">
        <f>5.5944 * CHOOSE(CONTROL!$C$32, $C$9, 100%, $E$9)</f>
        <v>5.5944000000000003</v>
      </c>
      <c r="E358" s="81">
        <f>6.6361 * CHOOSE(CONTROL!$C$32, $C$9, 100%, $E$9)</f>
        <v>6.6360999999999999</v>
      </c>
      <c r="F358" s="81">
        <f>6.6361 * CHOOSE(CONTROL!$C$32, $C$9, 100%, $E$9)</f>
        <v>6.6360999999999999</v>
      </c>
      <c r="G358" s="81">
        <f>6.6414 * CHOOSE(CONTROL!$C$32, $C$9, 100%, $E$9)</f>
        <v>6.6414</v>
      </c>
      <c r="H358" s="81">
        <f>11.9022 * CHOOSE(CONTROL!$C$32, $C$9, 100%, $E$9)</f>
        <v>11.902200000000001</v>
      </c>
      <c r="I358" s="81">
        <f>11.9075 * CHOOSE(CONTROL!$C$32, $C$9, 100%, $E$9)</f>
        <v>11.907500000000001</v>
      </c>
      <c r="J358" s="81">
        <f>11.9022 * CHOOSE(CONTROL!$C$32, $C$9, 100%, $E$9)</f>
        <v>11.902200000000001</v>
      </c>
      <c r="K358" s="81">
        <f>11.9075 * CHOOSE(CONTROL!$C$32, $C$9, 100%, $E$9)</f>
        <v>11.907500000000001</v>
      </c>
      <c r="L358" s="81">
        <f>6.6361 * CHOOSE(CONTROL!$C$32, $C$9, 100%, $E$9)</f>
        <v>6.6360999999999999</v>
      </c>
      <c r="M358" s="81">
        <f>6.6414 * CHOOSE(CONTROL!$C$32, $C$9, 100%, $E$9)</f>
        <v>6.6414</v>
      </c>
      <c r="N358" s="81">
        <f>6.6361 * CHOOSE(CONTROL!$C$32, $C$9, 100%, $E$9)</f>
        <v>6.6360999999999999</v>
      </c>
      <c r="O358" s="81">
        <f>6.6414 * CHOOSE(CONTROL!$C$32, $C$9, 100%, $E$9)</f>
        <v>6.6414</v>
      </c>
    </row>
    <row r="359" spans="1:15" ht="15" x14ac:dyDescent="0.2">
      <c r="A359" s="16">
        <v>52140</v>
      </c>
      <c r="B359" s="80">
        <f>5.5938 * CHOOSE(CONTROL!$C$32, $C$9, 100%, $E$9)</f>
        <v>5.5937999999999999</v>
      </c>
      <c r="C359" s="80">
        <f>5.5938 * CHOOSE(CONTROL!$C$32, $C$9, 100%, $E$9)</f>
        <v>5.5937999999999999</v>
      </c>
      <c r="D359" s="80">
        <f>5.5949 * CHOOSE(CONTROL!$C$32, $C$9, 100%, $E$9)</f>
        <v>5.5949</v>
      </c>
      <c r="E359" s="81">
        <f>6.6746 * CHOOSE(CONTROL!$C$32, $C$9, 100%, $E$9)</f>
        <v>6.6745999999999999</v>
      </c>
      <c r="F359" s="81">
        <f>6.6746 * CHOOSE(CONTROL!$C$32, $C$9, 100%, $E$9)</f>
        <v>6.6745999999999999</v>
      </c>
      <c r="G359" s="81">
        <f>6.6782 * CHOOSE(CONTROL!$C$32, $C$9, 100%, $E$9)</f>
        <v>6.6782000000000004</v>
      </c>
      <c r="H359" s="81">
        <f>11.927 * CHOOSE(CONTROL!$C$32, $C$9, 100%, $E$9)</f>
        <v>11.927</v>
      </c>
      <c r="I359" s="81">
        <f>11.9306 * CHOOSE(CONTROL!$C$32, $C$9, 100%, $E$9)</f>
        <v>11.9306</v>
      </c>
      <c r="J359" s="81">
        <f>11.927 * CHOOSE(CONTROL!$C$32, $C$9, 100%, $E$9)</f>
        <v>11.927</v>
      </c>
      <c r="K359" s="81">
        <f>11.9306 * CHOOSE(CONTROL!$C$32, $C$9, 100%, $E$9)</f>
        <v>11.9306</v>
      </c>
      <c r="L359" s="81">
        <f>6.6746 * CHOOSE(CONTROL!$C$32, $C$9, 100%, $E$9)</f>
        <v>6.6745999999999999</v>
      </c>
      <c r="M359" s="81">
        <f>6.6782 * CHOOSE(CONTROL!$C$32, $C$9, 100%, $E$9)</f>
        <v>6.6782000000000004</v>
      </c>
      <c r="N359" s="81">
        <f>6.6746 * CHOOSE(CONTROL!$C$32, $C$9, 100%, $E$9)</f>
        <v>6.6745999999999999</v>
      </c>
      <c r="O359" s="81">
        <f>6.6782 * CHOOSE(CONTROL!$C$32, $C$9, 100%, $E$9)</f>
        <v>6.6782000000000004</v>
      </c>
    </row>
    <row r="360" spans="1:15" ht="15" x14ac:dyDescent="0.2">
      <c r="A360" s="16">
        <v>52171</v>
      </c>
      <c r="B360" s="80">
        <f>5.5968 * CHOOSE(CONTROL!$C$32, $C$9, 100%, $E$9)</f>
        <v>5.5968</v>
      </c>
      <c r="C360" s="80">
        <f>5.5968 * CHOOSE(CONTROL!$C$32, $C$9, 100%, $E$9)</f>
        <v>5.5968</v>
      </c>
      <c r="D360" s="80">
        <f>5.5979 * CHOOSE(CONTROL!$C$32, $C$9, 100%, $E$9)</f>
        <v>5.5979000000000001</v>
      </c>
      <c r="E360" s="81">
        <f>6.7026 * CHOOSE(CONTROL!$C$32, $C$9, 100%, $E$9)</f>
        <v>6.7026000000000003</v>
      </c>
      <c r="F360" s="81">
        <f>6.7026 * CHOOSE(CONTROL!$C$32, $C$9, 100%, $E$9)</f>
        <v>6.7026000000000003</v>
      </c>
      <c r="G360" s="81">
        <f>6.7063 * CHOOSE(CONTROL!$C$32, $C$9, 100%, $E$9)</f>
        <v>6.7062999999999997</v>
      </c>
      <c r="H360" s="81">
        <f>11.9518 * CHOOSE(CONTROL!$C$32, $C$9, 100%, $E$9)</f>
        <v>11.9518</v>
      </c>
      <c r="I360" s="81">
        <f>11.9554 * CHOOSE(CONTROL!$C$32, $C$9, 100%, $E$9)</f>
        <v>11.955399999999999</v>
      </c>
      <c r="J360" s="81">
        <f>11.9518 * CHOOSE(CONTROL!$C$32, $C$9, 100%, $E$9)</f>
        <v>11.9518</v>
      </c>
      <c r="K360" s="81">
        <f>11.9554 * CHOOSE(CONTROL!$C$32, $C$9, 100%, $E$9)</f>
        <v>11.955399999999999</v>
      </c>
      <c r="L360" s="81">
        <f>6.7026 * CHOOSE(CONTROL!$C$32, $C$9, 100%, $E$9)</f>
        <v>6.7026000000000003</v>
      </c>
      <c r="M360" s="81">
        <f>6.7063 * CHOOSE(CONTROL!$C$32, $C$9, 100%, $E$9)</f>
        <v>6.7062999999999997</v>
      </c>
      <c r="N360" s="81">
        <f>6.7026 * CHOOSE(CONTROL!$C$32, $C$9, 100%, $E$9)</f>
        <v>6.7026000000000003</v>
      </c>
      <c r="O360" s="81">
        <f>6.7063 * CHOOSE(CONTROL!$C$32, $C$9, 100%, $E$9)</f>
        <v>6.7062999999999997</v>
      </c>
    </row>
    <row r="361" spans="1:15" ht="15" x14ac:dyDescent="0.2">
      <c r="A361" s="16">
        <v>52201</v>
      </c>
      <c r="B361" s="80">
        <f>5.5968 * CHOOSE(CONTROL!$C$32, $C$9, 100%, $E$9)</f>
        <v>5.5968</v>
      </c>
      <c r="C361" s="80">
        <f>5.5968 * CHOOSE(CONTROL!$C$32, $C$9, 100%, $E$9)</f>
        <v>5.5968</v>
      </c>
      <c r="D361" s="80">
        <f>5.5979 * CHOOSE(CONTROL!$C$32, $C$9, 100%, $E$9)</f>
        <v>5.5979000000000001</v>
      </c>
      <c r="E361" s="81">
        <f>6.6378 * CHOOSE(CONTROL!$C$32, $C$9, 100%, $E$9)</f>
        <v>6.6378000000000004</v>
      </c>
      <c r="F361" s="81">
        <f>6.6378 * CHOOSE(CONTROL!$C$32, $C$9, 100%, $E$9)</f>
        <v>6.6378000000000004</v>
      </c>
      <c r="G361" s="81">
        <f>6.6414 * CHOOSE(CONTROL!$C$32, $C$9, 100%, $E$9)</f>
        <v>6.6414</v>
      </c>
      <c r="H361" s="81">
        <f>11.9767 * CHOOSE(CONTROL!$C$32, $C$9, 100%, $E$9)</f>
        <v>11.976699999999999</v>
      </c>
      <c r="I361" s="81">
        <f>11.9803 * CHOOSE(CONTROL!$C$32, $C$9, 100%, $E$9)</f>
        <v>11.9803</v>
      </c>
      <c r="J361" s="81">
        <f>11.9767 * CHOOSE(CONTROL!$C$32, $C$9, 100%, $E$9)</f>
        <v>11.976699999999999</v>
      </c>
      <c r="K361" s="81">
        <f>11.9803 * CHOOSE(CONTROL!$C$32, $C$9, 100%, $E$9)</f>
        <v>11.9803</v>
      </c>
      <c r="L361" s="81">
        <f>6.6378 * CHOOSE(CONTROL!$C$32, $C$9, 100%, $E$9)</f>
        <v>6.6378000000000004</v>
      </c>
      <c r="M361" s="81">
        <f>6.6414 * CHOOSE(CONTROL!$C$32, $C$9, 100%, $E$9)</f>
        <v>6.6414</v>
      </c>
      <c r="N361" s="81">
        <f>6.6378 * CHOOSE(CONTROL!$C$32, $C$9, 100%, $E$9)</f>
        <v>6.6378000000000004</v>
      </c>
      <c r="O361" s="81">
        <f>6.6414 * CHOOSE(CONTROL!$C$32, $C$9, 100%, $E$9)</f>
        <v>6.6414</v>
      </c>
    </row>
    <row r="362" spans="1:15" ht="15" x14ac:dyDescent="0.2">
      <c r="A362" s="16">
        <v>52232</v>
      </c>
      <c r="B362" s="80">
        <f>5.6399 * CHOOSE(CONTROL!$C$32, $C$9, 100%, $E$9)</f>
        <v>5.6398999999999999</v>
      </c>
      <c r="C362" s="80">
        <f>5.6399 * CHOOSE(CONTROL!$C$32, $C$9, 100%, $E$9)</f>
        <v>5.6398999999999999</v>
      </c>
      <c r="D362" s="80">
        <f>5.6409 * CHOOSE(CONTROL!$C$32, $C$9, 100%, $E$9)</f>
        <v>5.6409000000000002</v>
      </c>
      <c r="E362" s="81">
        <f>6.7096 * CHOOSE(CONTROL!$C$32, $C$9, 100%, $E$9)</f>
        <v>6.7096</v>
      </c>
      <c r="F362" s="81">
        <f>6.7096 * CHOOSE(CONTROL!$C$32, $C$9, 100%, $E$9)</f>
        <v>6.7096</v>
      </c>
      <c r="G362" s="81">
        <f>6.7132 * CHOOSE(CONTROL!$C$32, $C$9, 100%, $E$9)</f>
        <v>6.7131999999999996</v>
      </c>
      <c r="H362" s="81">
        <f>12.0017 * CHOOSE(CONTROL!$C$32, $C$9, 100%, $E$9)</f>
        <v>12.0017</v>
      </c>
      <c r="I362" s="81">
        <f>12.0053 * CHOOSE(CONTROL!$C$32, $C$9, 100%, $E$9)</f>
        <v>12.0053</v>
      </c>
      <c r="J362" s="81">
        <f>12.0017 * CHOOSE(CONTROL!$C$32, $C$9, 100%, $E$9)</f>
        <v>12.0017</v>
      </c>
      <c r="K362" s="81">
        <f>12.0053 * CHOOSE(CONTROL!$C$32, $C$9, 100%, $E$9)</f>
        <v>12.0053</v>
      </c>
      <c r="L362" s="81">
        <f>6.7096 * CHOOSE(CONTROL!$C$32, $C$9, 100%, $E$9)</f>
        <v>6.7096</v>
      </c>
      <c r="M362" s="81">
        <f>6.7132 * CHOOSE(CONTROL!$C$32, $C$9, 100%, $E$9)</f>
        <v>6.7131999999999996</v>
      </c>
      <c r="N362" s="81">
        <f>6.7096 * CHOOSE(CONTROL!$C$32, $C$9, 100%, $E$9)</f>
        <v>6.7096</v>
      </c>
      <c r="O362" s="81">
        <f>6.7132 * CHOOSE(CONTROL!$C$32, $C$9, 100%, $E$9)</f>
        <v>6.7131999999999996</v>
      </c>
    </row>
    <row r="363" spans="1:15" ht="15" x14ac:dyDescent="0.2">
      <c r="A363" s="16">
        <v>52263</v>
      </c>
      <c r="B363" s="80">
        <f>5.6368 * CHOOSE(CONTROL!$C$32, $C$9, 100%, $E$9)</f>
        <v>5.6368</v>
      </c>
      <c r="C363" s="80">
        <f>5.6368 * CHOOSE(CONTROL!$C$32, $C$9, 100%, $E$9)</f>
        <v>5.6368</v>
      </c>
      <c r="D363" s="80">
        <f>5.6379 * CHOOSE(CONTROL!$C$32, $C$9, 100%, $E$9)</f>
        <v>5.6379000000000001</v>
      </c>
      <c r="E363" s="81">
        <f>6.5809 * CHOOSE(CONTROL!$C$32, $C$9, 100%, $E$9)</f>
        <v>6.5808999999999997</v>
      </c>
      <c r="F363" s="81">
        <f>6.5809 * CHOOSE(CONTROL!$C$32, $C$9, 100%, $E$9)</f>
        <v>6.5808999999999997</v>
      </c>
      <c r="G363" s="81">
        <f>6.5845 * CHOOSE(CONTROL!$C$32, $C$9, 100%, $E$9)</f>
        <v>6.5845000000000002</v>
      </c>
      <c r="H363" s="81">
        <f>12.0267 * CHOOSE(CONTROL!$C$32, $C$9, 100%, $E$9)</f>
        <v>12.0267</v>
      </c>
      <c r="I363" s="81">
        <f>12.0303 * CHOOSE(CONTROL!$C$32, $C$9, 100%, $E$9)</f>
        <v>12.0303</v>
      </c>
      <c r="J363" s="81">
        <f>12.0267 * CHOOSE(CONTROL!$C$32, $C$9, 100%, $E$9)</f>
        <v>12.0267</v>
      </c>
      <c r="K363" s="81">
        <f>12.0303 * CHOOSE(CONTROL!$C$32, $C$9, 100%, $E$9)</f>
        <v>12.0303</v>
      </c>
      <c r="L363" s="81">
        <f>6.5809 * CHOOSE(CONTROL!$C$32, $C$9, 100%, $E$9)</f>
        <v>6.5808999999999997</v>
      </c>
      <c r="M363" s="81">
        <f>6.5845 * CHOOSE(CONTROL!$C$32, $C$9, 100%, $E$9)</f>
        <v>6.5845000000000002</v>
      </c>
      <c r="N363" s="81">
        <f>6.5809 * CHOOSE(CONTROL!$C$32, $C$9, 100%, $E$9)</f>
        <v>6.5808999999999997</v>
      </c>
      <c r="O363" s="81">
        <f>6.5845 * CHOOSE(CONTROL!$C$32, $C$9, 100%, $E$9)</f>
        <v>6.5845000000000002</v>
      </c>
    </row>
    <row r="364" spans="1:15" ht="15" x14ac:dyDescent="0.2">
      <c r="A364" s="16">
        <v>52291</v>
      </c>
      <c r="B364" s="80">
        <f>5.6338 * CHOOSE(CONTROL!$C$32, $C$9, 100%, $E$9)</f>
        <v>5.6337999999999999</v>
      </c>
      <c r="C364" s="80">
        <f>5.6338 * CHOOSE(CONTROL!$C$32, $C$9, 100%, $E$9)</f>
        <v>5.6337999999999999</v>
      </c>
      <c r="D364" s="80">
        <f>5.6349 * CHOOSE(CONTROL!$C$32, $C$9, 100%, $E$9)</f>
        <v>5.6349</v>
      </c>
      <c r="E364" s="81">
        <f>6.6786 * CHOOSE(CONTROL!$C$32, $C$9, 100%, $E$9)</f>
        <v>6.6786000000000003</v>
      </c>
      <c r="F364" s="81">
        <f>6.6786 * CHOOSE(CONTROL!$C$32, $C$9, 100%, $E$9)</f>
        <v>6.6786000000000003</v>
      </c>
      <c r="G364" s="81">
        <f>6.6822 * CHOOSE(CONTROL!$C$32, $C$9, 100%, $E$9)</f>
        <v>6.6821999999999999</v>
      </c>
      <c r="H364" s="81">
        <f>12.0517 * CHOOSE(CONTROL!$C$32, $C$9, 100%, $E$9)</f>
        <v>12.0517</v>
      </c>
      <c r="I364" s="81">
        <f>12.0554 * CHOOSE(CONTROL!$C$32, $C$9, 100%, $E$9)</f>
        <v>12.055400000000001</v>
      </c>
      <c r="J364" s="81">
        <f>12.0517 * CHOOSE(CONTROL!$C$32, $C$9, 100%, $E$9)</f>
        <v>12.0517</v>
      </c>
      <c r="K364" s="81">
        <f>12.0554 * CHOOSE(CONTROL!$C$32, $C$9, 100%, $E$9)</f>
        <v>12.055400000000001</v>
      </c>
      <c r="L364" s="81">
        <f>6.6786 * CHOOSE(CONTROL!$C$32, $C$9, 100%, $E$9)</f>
        <v>6.6786000000000003</v>
      </c>
      <c r="M364" s="81">
        <f>6.6822 * CHOOSE(CONTROL!$C$32, $C$9, 100%, $E$9)</f>
        <v>6.6821999999999999</v>
      </c>
      <c r="N364" s="81">
        <f>6.6786 * CHOOSE(CONTROL!$C$32, $C$9, 100%, $E$9)</f>
        <v>6.6786000000000003</v>
      </c>
      <c r="O364" s="81">
        <f>6.6822 * CHOOSE(CONTROL!$C$32, $C$9, 100%, $E$9)</f>
        <v>6.6821999999999999</v>
      </c>
    </row>
    <row r="365" spans="1:15" ht="15" x14ac:dyDescent="0.2">
      <c r="A365" s="16">
        <v>52322</v>
      </c>
      <c r="B365" s="80">
        <f>5.633 * CHOOSE(CONTROL!$C$32, $C$9, 100%, $E$9)</f>
        <v>5.633</v>
      </c>
      <c r="C365" s="80">
        <f>5.633 * CHOOSE(CONTROL!$C$32, $C$9, 100%, $E$9)</f>
        <v>5.633</v>
      </c>
      <c r="D365" s="80">
        <f>5.6341 * CHOOSE(CONTROL!$C$32, $C$9, 100%, $E$9)</f>
        <v>5.6341000000000001</v>
      </c>
      <c r="E365" s="81">
        <f>6.7815 * CHOOSE(CONTROL!$C$32, $C$9, 100%, $E$9)</f>
        <v>6.7815000000000003</v>
      </c>
      <c r="F365" s="81">
        <f>6.7815 * CHOOSE(CONTROL!$C$32, $C$9, 100%, $E$9)</f>
        <v>6.7815000000000003</v>
      </c>
      <c r="G365" s="81">
        <f>6.7852 * CHOOSE(CONTROL!$C$32, $C$9, 100%, $E$9)</f>
        <v>6.7851999999999997</v>
      </c>
      <c r="H365" s="81">
        <f>12.0768 * CHOOSE(CONTROL!$C$32, $C$9, 100%, $E$9)</f>
        <v>12.0768</v>
      </c>
      <c r="I365" s="81">
        <f>12.0805 * CHOOSE(CONTROL!$C$32, $C$9, 100%, $E$9)</f>
        <v>12.080500000000001</v>
      </c>
      <c r="J365" s="81">
        <f>12.0768 * CHOOSE(CONTROL!$C$32, $C$9, 100%, $E$9)</f>
        <v>12.0768</v>
      </c>
      <c r="K365" s="81">
        <f>12.0805 * CHOOSE(CONTROL!$C$32, $C$9, 100%, $E$9)</f>
        <v>12.080500000000001</v>
      </c>
      <c r="L365" s="81">
        <f>6.7815 * CHOOSE(CONTROL!$C$32, $C$9, 100%, $E$9)</f>
        <v>6.7815000000000003</v>
      </c>
      <c r="M365" s="81">
        <f>6.7852 * CHOOSE(CONTROL!$C$32, $C$9, 100%, $E$9)</f>
        <v>6.7851999999999997</v>
      </c>
      <c r="N365" s="81">
        <f>6.7815 * CHOOSE(CONTROL!$C$32, $C$9, 100%, $E$9)</f>
        <v>6.7815000000000003</v>
      </c>
      <c r="O365" s="81">
        <f>6.7852 * CHOOSE(CONTROL!$C$32, $C$9, 100%, $E$9)</f>
        <v>6.7851999999999997</v>
      </c>
    </row>
    <row r="366" spans="1:15" ht="15" x14ac:dyDescent="0.2">
      <c r="A366" s="16">
        <v>52352</v>
      </c>
      <c r="B366" s="80">
        <f>5.633 * CHOOSE(CONTROL!$C$32, $C$9, 100%, $E$9)</f>
        <v>5.633</v>
      </c>
      <c r="C366" s="80">
        <f>5.633 * CHOOSE(CONTROL!$C$32, $C$9, 100%, $E$9)</f>
        <v>5.633</v>
      </c>
      <c r="D366" s="80">
        <f>5.6346 * CHOOSE(CONTROL!$C$32, $C$9, 100%, $E$9)</f>
        <v>5.6345999999999998</v>
      </c>
      <c r="E366" s="81">
        <f>6.8217 * CHOOSE(CONTROL!$C$32, $C$9, 100%, $E$9)</f>
        <v>6.8216999999999999</v>
      </c>
      <c r="F366" s="81">
        <f>6.8217 * CHOOSE(CONTROL!$C$32, $C$9, 100%, $E$9)</f>
        <v>6.8216999999999999</v>
      </c>
      <c r="G366" s="81">
        <f>6.827 * CHOOSE(CONTROL!$C$32, $C$9, 100%, $E$9)</f>
        <v>6.827</v>
      </c>
      <c r="H366" s="81">
        <f>12.102 * CHOOSE(CONTROL!$C$32, $C$9, 100%, $E$9)</f>
        <v>12.102</v>
      </c>
      <c r="I366" s="81">
        <f>12.1073 * CHOOSE(CONTROL!$C$32, $C$9, 100%, $E$9)</f>
        <v>12.1073</v>
      </c>
      <c r="J366" s="81">
        <f>12.102 * CHOOSE(CONTROL!$C$32, $C$9, 100%, $E$9)</f>
        <v>12.102</v>
      </c>
      <c r="K366" s="81">
        <f>12.1073 * CHOOSE(CONTROL!$C$32, $C$9, 100%, $E$9)</f>
        <v>12.1073</v>
      </c>
      <c r="L366" s="81">
        <f>6.8217 * CHOOSE(CONTROL!$C$32, $C$9, 100%, $E$9)</f>
        <v>6.8216999999999999</v>
      </c>
      <c r="M366" s="81">
        <f>6.827 * CHOOSE(CONTROL!$C$32, $C$9, 100%, $E$9)</f>
        <v>6.827</v>
      </c>
      <c r="N366" s="81">
        <f>6.8217 * CHOOSE(CONTROL!$C$32, $C$9, 100%, $E$9)</f>
        <v>6.8216999999999999</v>
      </c>
      <c r="O366" s="81">
        <f>6.827 * CHOOSE(CONTROL!$C$32, $C$9, 100%, $E$9)</f>
        <v>6.827</v>
      </c>
    </row>
    <row r="367" spans="1:15" ht="15" x14ac:dyDescent="0.2">
      <c r="A367" s="16">
        <v>52383</v>
      </c>
      <c r="B367" s="80">
        <f>5.6391 * CHOOSE(CONTROL!$C$32, $C$9, 100%, $E$9)</f>
        <v>5.6391</v>
      </c>
      <c r="C367" s="80">
        <f>5.6391 * CHOOSE(CONTROL!$C$32, $C$9, 100%, $E$9)</f>
        <v>5.6391</v>
      </c>
      <c r="D367" s="80">
        <f>5.6407 * CHOOSE(CONTROL!$C$32, $C$9, 100%, $E$9)</f>
        <v>5.6406999999999998</v>
      </c>
      <c r="E367" s="81">
        <f>6.7858 * CHOOSE(CONTROL!$C$32, $C$9, 100%, $E$9)</f>
        <v>6.7858000000000001</v>
      </c>
      <c r="F367" s="81">
        <f>6.7858 * CHOOSE(CONTROL!$C$32, $C$9, 100%, $E$9)</f>
        <v>6.7858000000000001</v>
      </c>
      <c r="G367" s="81">
        <f>6.7911 * CHOOSE(CONTROL!$C$32, $C$9, 100%, $E$9)</f>
        <v>6.7911000000000001</v>
      </c>
      <c r="H367" s="81">
        <f>12.1272 * CHOOSE(CONTROL!$C$32, $C$9, 100%, $E$9)</f>
        <v>12.1272</v>
      </c>
      <c r="I367" s="81">
        <f>12.1325 * CHOOSE(CONTROL!$C$32, $C$9, 100%, $E$9)</f>
        <v>12.1325</v>
      </c>
      <c r="J367" s="81">
        <f>12.1272 * CHOOSE(CONTROL!$C$32, $C$9, 100%, $E$9)</f>
        <v>12.1272</v>
      </c>
      <c r="K367" s="81">
        <f>12.1325 * CHOOSE(CONTROL!$C$32, $C$9, 100%, $E$9)</f>
        <v>12.1325</v>
      </c>
      <c r="L367" s="81">
        <f>6.7858 * CHOOSE(CONTROL!$C$32, $C$9, 100%, $E$9)</f>
        <v>6.7858000000000001</v>
      </c>
      <c r="M367" s="81">
        <f>6.7911 * CHOOSE(CONTROL!$C$32, $C$9, 100%, $E$9)</f>
        <v>6.7911000000000001</v>
      </c>
      <c r="N367" s="81">
        <f>6.7858 * CHOOSE(CONTROL!$C$32, $C$9, 100%, $E$9)</f>
        <v>6.7858000000000001</v>
      </c>
      <c r="O367" s="81">
        <f>6.7911 * CHOOSE(CONTROL!$C$32, $C$9, 100%, $E$9)</f>
        <v>6.7911000000000001</v>
      </c>
    </row>
    <row r="368" spans="1:15" ht="15" x14ac:dyDescent="0.2">
      <c r="A368" s="16">
        <v>52413</v>
      </c>
      <c r="B368" s="80">
        <f>5.7154 * CHOOSE(CONTROL!$C$32, $C$9, 100%, $E$9)</f>
        <v>5.7153999999999998</v>
      </c>
      <c r="C368" s="80">
        <f>5.7154 * CHOOSE(CONTROL!$C$32, $C$9, 100%, $E$9)</f>
        <v>5.7153999999999998</v>
      </c>
      <c r="D368" s="80">
        <f>5.7169 * CHOOSE(CONTROL!$C$32, $C$9, 100%, $E$9)</f>
        <v>5.7168999999999999</v>
      </c>
      <c r="E368" s="81">
        <f>6.8109 * CHOOSE(CONTROL!$C$32, $C$9, 100%, $E$9)</f>
        <v>6.8109000000000002</v>
      </c>
      <c r="F368" s="81">
        <f>6.8109 * CHOOSE(CONTROL!$C$32, $C$9, 100%, $E$9)</f>
        <v>6.8109000000000002</v>
      </c>
      <c r="G368" s="81">
        <f>6.8162 * CHOOSE(CONTROL!$C$32, $C$9, 100%, $E$9)</f>
        <v>6.8162000000000003</v>
      </c>
      <c r="H368" s="81">
        <f>12.1525 * CHOOSE(CONTROL!$C$32, $C$9, 100%, $E$9)</f>
        <v>12.1525</v>
      </c>
      <c r="I368" s="81">
        <f>12.1578 * CHOOSE(CONTROL!$C$32, $C$9, 100%, $E$9)</f>
        <v>12.1578</v>
      </c>
      <c r="J368" s="81">
        <f>12.1525 * CHOOSE(CONTROL!$C$32, $C$9, 100%, $E$9)</f>
        <v>12.1525</v>
      </c>
      <c r="K368" s="81">
        <f>12.1578 * CHOOSE(CONTROL!$C$32, $C$9, 100%, $E$9)</f>
        <v>12.1578</v>
      </c>
      <c r="L368" s="81">
        <f>6.8109 * CHOOSE(CONTROL!$C$32, $C$9, 100%, $E$9)</f>
        <v>6.8109000000000002</v>
      </c>
      <c r="M368" s="81">
        <f>6.8162 * CHOOSE(CONTROL!$C$32, $C$9, 100%, $E$9)</f>
        <v>6.8162000000000003</v>
      </c>
      <c r="N368" s="81">
        <f>6.8109 * CHOOSE(CONTROL!$C$32, $C$9, 100%, $E$9)</f>
        <v>6.8109000000000002</v>
      </c>
      <c r="O368" s="81">
        <f>6.8162 * CHOOSE(CONTROL!$C$32, $C$9, 100%, $E$9)</f>
        <v>6.8162000000000003</v>
      </c>
    </row>
    <row r="369" spans="1:15" ht="15" x14ac:dyDescent="0.2">
      <c r="A369" s="16">
        <v>52444</v>
      </c>
      <c r="B369" s="80">
        <f>5.7221 * CHOOSE(CONTROL!$C$32, $C$9, 100%, $E$9)</f>
        <v>5.7221000000000002</v>
      </c>
      <c r="C369" s="80">
        <f>5.7221 * CHOOSE(CONTROL!$C$32, $C$9, 100%, $E$9)</f>
        <v>5.7221000000000002</v>
      </c>
      <c r="D369" s="80">
        <f>5.7236 * CHOOSE(CONTROL!$C$32, $C$9, 100%, $E$9)</f>
        <v>5.7236000000000002</v>
      </c>
      <c r="E369" s="81">
        <f>6.695 * CHOOSE(CONTROL!$C$32, $C$9, 100%, $E$9)</f>
        <v>6.6950000000000003</v>
      </c>
      <c r="F369" s="81">
        <f>6.695 * CHOOSE(CONTROL!$C$32, $C$9, 100%, $E$9)</f>
        <v>6.6950000000000003</v>
      </c>
      <c r="G369" s="81">
        <f>6.7003 * CHOOSE(CONTROL!$C$32, $C$9, 100%, $E$9)</f>
        <v>6.7003000000000004</v>
      </c>
      <c r="H369" s="81">
        <f>12.1778 * CHOOSE(CONTROL!$C$32, $C$9, 100%, $E$9)</f>
        <v>12.1778</v>
      </c>
      <c r="I369" s="81">
        <f>12.1831 * CHOOSE(CONTROL!$C$32, $C$9, 100%, $E$9)</f>
        <v>12.1831</v>
      </c>
      <c r="J369" s="81">
        <f>12.1778 * CHOOSE(CONTROL!$C$32, $C$9, 100%, $E$9)</f>
        <v>12.1778</v>
      </c>
      <c r="K369" s="81">
        <f>12.1831 * CHOOSE(CONTROL!$C$32, $C$9, 100%, $E$9)</f>
        <v>12.1831</v>
      </c>
      <c r="L369" s="81">
        <f>6.695 * CHOOSE(CONTROL!$C$32, $C$9, 100%, $E$9)</f>
        <v>6.6950000000000003</v>
      </c>
      <c r="M369" s="81">
        <f>6.7003 * CHOOSE(CONTROL!$C$32, $C$9, 100%, $E$9)</f>
        <v>6.7003000000000004</v>
      </c>
      <c r="N369" s="81">
        <f>6.695 * CHOOSE(CONTROL!$C$32, $C$9, 100%, $E$9)</f>
        <v>6.6950000000000003</v>
      </c>
      <c r="O369" s="81">
        <f>6.7003 * CHOOSE(CONTROL!$C$32, $C$9, 100%, $E$9)</f>
        <v>6.7003000000000004</v>
      </c>
    </row>
    <row r="370" spans="1:15" ht="15" x14ac:dyDescent="0.2">
      <c r="A370" s="16">
        <v>52475</v>
      </c>
      <c r="B370" s="80">
        <f>5.719 * CHOOSE(CONTROL!$C$32, $C$9, 100%, $E$9)</f>
        <v>5.7190000000000003</v>
      </c>
      <c r="C370" s="80">
        <f>5.719 * CHOOSE(CONTROL!$C$32, $C$9, 100%, $E$9)</f>
        <v>5.7190000000000003</v>
      </c>
      <c r="D370" s="80">
        <f>5.7206 * CHOOSE(CONTROL!$C$32, $C$9, 100%, $E$9)</f>
        <v>5.7206000000000001</v>
      </c>
      <c r="E370" s="81">
        <f>6.6795 * CHOOSE(CONTROL!$C$32, $C$9, 100%, $E$9)</f>
        <v>6.6795</v>
      </c>
      <c r="F370" s="81">
        <f>6.6795 * CHOOSE(CONTROL!$C$32, $C$9, 100%, $E$9)</f>
        <v>6.6795</v>
      </c>
      <c r="G370" s="81">
        <f>6.6848 * CHOOSE(CONTROL!$C$32, $C$9, 100%, $E$9)</f>
        <v>6.6848000000000001</v>
      </c>
      <c r="H370" s="81">
        <f>12.2032 * CHOOSE(CONTROL!$C$32, $C$9, 100%, $E$9)</f>
        <v>12.203200000000001</v>
      </c>
      <c r="I370" s="81">
        <f>12.2085 * CHOOSE(CONTROL!$C$32, $C$9, 100%, $E$9)</f>
        <v>12.208500000000001</v>
      </c>
      <c r="J370" s="81">
        <f>12.2032 * CHOOSE(CONTROL!$C$32, $C$9, 100%, $E$9)</f>
        <v>12.203200000000001</v>
      </c>
      <c r="K370" s="81">
        <f>12.2085 * CHOOSE(CONTROL!$C$32, $C$9, 100%, $E$9)</f>
        <v>12.208500000000001</v>
      </c>
      <c r="L370" s="81">
        <f>6.6795 * CHOOSE(CONTROL!$C$32, $C$9, 100%, $E$9)</f>
        <v>6.6795</v>
      </c>
      <c r="M370" s="81">
        <f>6.6848 * CHOOSE(CONTROL!$C$32, $C$9, 100%, $E$9)</f>
        <v>6.6848000000000001</v>
      </c>
      <c r="N370" s="81">
        <f>6.6795 * CHOOSE(CONTROL!$C$32, $C$9, 100%, $E$9)</f>
        <v>6.6795</v>
      </c>
      <c r="O370" s="81">
        <f>6.6848 * CHOOSE(CONTROL!$C$32, $C$9, 100%, $E$9)</f>
        <v>6.6848000000000001</v>
      </c>
    </row>
    <row r="371" spans="1:15" ht="15" x14ac:dyDescent="0.2">
      <c r="A371" s="16">
        <v>52505</v>
      </c>
      <c r="B371" s="80">
        <f>5.7205 * CHOOSE(CONTROL!$C$32, $C$9, 100%, $E$9)</f>
        <v>5.7205000000000004</v>
      </c>
      <c r="C371" s="80">
        <f>5.7205 * CHOOSE(CONTROL!$C$32, $C$9, 100%, $E$9)</f>
        <v>5.7205000000000004</v>
      </c>
      <c r="D371" s="80">
        <f>5.7215 * CHOOSE(CONTROL!$C$32, $C$9, 100%, $E$9)</f>
        <v>5.7214999999999998</v>
      </c>
      <c r="E371" s="81">
        <f>6.7197 * CHOOSE(CONTROL!$C$32, $C$9, 100%, $E$9)</f>
        <v>6.7196999999999996</v>
      </c>
      <c r="F371" s="81">
        <f>6.7197 * CHOOSE(CONTROL!$C$32, $C$9, 100%, $E$9)</f>
        <v>6.7196999999999996</v>
      </c>
      <c r="G371" s="81">
        <f>6.7233 * CHOOSE(CONTROL!$C$32, $C$9, 100%, $E$9)</f>
        <v>6.7233000000000001</v>
      </c>
      <c r="H371" s="81">
        <f>12.2286 * CHOOSE(CONTROL!$C$32, $C$9, 100%, $E$9)</f>
        <v>12.2286</v>
      </c>
      <c r="I371" s="81">
        <f>12.2322 * CHOOSE(CONTROL!$C$32, $C$9, 100%, $E$9)</f>
        <v>12.232200000000001</v>
      </c>
      <c r="J371" s="81">
        <f>12.2286 * CHOOSE(CONTROL!$C$32, $C$9, 100%, $E$9)</f>
        <v>12.2286</v>
      </c>
      <c r="K371" s="81">
        <f>12.2322 * CHOOSE(CONTROL!$C$32, $C$9, 100%, $E$9)</f>
        <v>12.232200000000001</v>
      </c>
      <c r="L371" s="81">
        <f>6.7197 * CHOOSE(CONTROL!$C$32, $C$9, 100%, $E$9)</f>
        <v>6.7196999999999996</v>
      </c>
      <c r="M371" s="81">
        <f>6.7233 * CHOOSE(CONTROL!$C$32, $C$9, 100%, $E$9)</f>
        <v>6.7233000000000001</v>
      </c>
      <c r="N371" s="81">
        <f>6.7197 * CHOOSE(CONTROL!$C$32, $C$9, 100%, $E$9)</f>
        <v>6.7196999999999996</v>
      </c>
      <c r="O371" s="81">
        <f>6.7233 * CHOOSE(CONTROL!$C$32, $C$9, 100%, $E$9)</f>
        <v>6.7233000000000001</v>
      </c>
    </row>
    <row r="372" spans="1:15" ht="15" x14ac:dyDescent="0.2">
      <c r="A372" s="16">
        <v>52536</v>
      </c>
      <c r="B372" s="80">
        <f>5.7235 * CHOOSE(CONTROL!$C$32, $C$9, 100%, $E$9)</f>
        <v>5.7234999999999996</v>
      </c>
      <c r="C372" s="80">
        <f>5.7235 * CHOOSE(CONTROL!$C$32, $C$9, 100%, $E$9)</f>
        <v>5.7234999999999996</v>
      </c>
      <c r="D372" s="80">
        <f>5.7246 * CHOOSE(CONTROL!$C$32, $C$9, 100%, $E$9)</f>
        <v>5.7245999999999997</v>
      </c>
      <c r="E372" s="81">
        <f>6.7486 * CHOOSE(CONTROL!$C$32, $C$9, 100%, $E$9)</f>
        <v>6.7485999999999997</v>
      </c>
      <c r="F372" s="81">
        <f>6.7486 * CHOOSE(CONTROL!$C$32, $C$9, 100%, $E$9)</f>
        <v>6.7485999999999997</v>
      </c>
      <c r="G372" s="81">
        <f>6.7522 * CHOOSE(CONTROL!$C$32, $C$9, 100%, $E$9)</f>
        <v>6.7522000000000002</v>
      </c>
      <c r="H372" s="81">
        <f>12.2541 * CHOOSE(CONTROL!$C$32, $C$9, 100%, $E$9)</f>
        <v>12.254099999999999</v>
      </c>
      <c r="I372" s="81">
        <f>12.2577 * CHOOSE(CONTROL!$C$32, $C$9, 100%, $E$9)</f>
        <v>12.2577</v>
      </c>
      <c r="J372" s="81">
        <f>12.2541 * CHOOSE(CONTROL!$C$32, $C$9, 100%, $E$9)</f>
        <v>12.254099999999999</v>
      </c>
      <c r="K372" s="81">
        <f>12.2577 * CHOOSE(CONTROL!$C$32, $C$9, 100%, $E$9)</f>
        <v>12.2577</v>
      </c>
      <c r="L372" s="81">
        <f>6.7486 * CHOOSE(CONTROL!$C$32, $C$9, 100%, $E$9)</f>
        <v>6.7485999999999997</v>
      </c>
      <c r="M372" s="81">
        <f>6.7522 * CHOOSE(CONTROL!$C$32, $C$9, 100%, $E$9)</f>
        <v>6.7522000000000002</v>
      </c>
      <c r="N372" s="81">
        <f>6.7486 * CHOOSE(CONTROL!$C$32, $C$9, 100%, $E$9)</f>
        <v>6.7485999999999997</v>
      </c>
      <c r="O372" s="81">
        <f>6.7522 * CHOOSE(CONTROL!$C$32, $C$9, 100%, $E$9)</f>
        <v>6.7522000000000002</v>
      </c>
    </row>
    <row r="373" spans="1:15" ht="15" x14ac:dyDescent="0.2">
      <c r="A373" s="16">
        <v>52566</v>
      </c>
      <c r="B373" s="80">
        <f>5.7235 * CHOOSE(CONTROL!$C$32, $C$9, 100%, $E$9)</f>
        <v>5.7234999999999996</v>
      </c>
      <c r="C373" s="80">
        <f>5.7235 * CHOOSE(CONTROL!$C$32, $C$9, 100%, $E$9)</f>
        <v>5.7234999999999996</v>
      </c>
      <c r="D373" s="80">
        <f>5.7246 * CHOOSE(CONTROL!$C$32, $C$9, 100%, $E$9)</f>
        <v>5.7245999999999997</v>
      </c>
      <c r="E373" s="81">
        <f>6.6816 * CHOOSE(CONTROL!$C$32, $C$9, 100%, $E$9)</f>
        <v>6.6816000000000004</v>
      </c>
      <c r="F373" s="81">
        <f>6.6816 * CHOOSE(CONTROL!$C$32, $C$9, 100%, $E$9)</f>
        <v>6.6816000000000004</v>
      </c>
      <c r="G373" s="81">
        <f>6.6852 * CHOOSE(CONTROL!$C$32, $C$9, 100%, $E$9)</f>
        <v>6.6852</v>
      </c>
      <c r="H373" s="81">
        <f>12.2796 * CHOOSE(CONTROL!$C$32, $C$9, 100%, $E$9)</f>
        <v>12.2796</v>
      </c>
      <c r="I373" s="81">
        <f>12.2832 * CHOOSE(CONTROL!$C$32, $C$9, 100%, $E$9)</f>
        <v>12.283200000000001</v>
      </c>
      <c r="J373" s="81">
        <f>12.2796 * CHOOSE(CONTROL!$C$32, $C$9, 100%, $E$9)</f>
        <v>12.2796</v>
      </c>
      <c r="K373" s="81">
        <f>12.2832 * CHOOSE(CONTROL!$C$32, $C$9, 100%, $E$9)</f>
        <v>12.283200000000001</v>
      </c>
      <c r="L373" s="81">
        <f>6.6816 * CHOOSE(CONTROL!$C$32, $C$9, 100%, $E$9)</f>
        <v>6.6816000000000004</v>
      </c>
      <c r="M373" s="81">
        <f>6.6852 * CHOOSE(CONTROL!$C$32, $C$9, 100%, $E$9)</f>
        <v>6.6852</v>
      </c>
      <c r="N373" s="81">
        <f>6.6816 * CHOOSE(CONTROL!$C$32, $C$9, 100%, $E$9)</f>
        <v>6.6816000000000004</v>
      </c>
      <c r="O373" s="81">
        <f>6.6852 * CHOOSE(CONTROL!$C$32, $C$9, 100%, $E$9)</f>
        <v>6.6852</v>
      </c>
    </row>
    <row r="374" spans="1:15" ht="15" x14ac:dyDescent="0.2">
      <c r="A374" s="16">
        <v>52597</v>
      </c>
      <c r="B374" s="80">
        <f>5.7676 * CHOOSE(CONTROL!$C$32, $C$9, 100%, $E$9)</f>
        <v>5.7675999999999998</v>
      </c>
      <c r="C374" s="80">
        <f>5.7676 * CHOOSE(CONTROL!$C$32, $C$9, 100%, $E$9)</f>
        <v>5.7675999999999998</v>
      </c>
      <c r="D374" s="80">
        <f>5.7686 * CHOOSE(CONTROL!$C$32, $C$9, 100%, $E$9)</f>
        <v>5.7686000000000002</v>
      </c>
      <c r="E374" s="81">
        <f>6.7573 * CHOOSE(CONTROL!$C$32, $C$9, 100%, $E$9)</f>
        <v>6.7572999999999999</v>
      </c>
      <c r="F374" s="81">
        <f>6.7573 * CHOOSE(CONTROL!$C$32, $C$9, 100%, $E$9)</f>
        <v>6.7572999999999999</v>
      </c>
      <c r="G374" s="81">
        <f>6.7609 * CHOOSE(CONTROL!$C$32, $C$9, 100%, $E$9)</f>
        <v>6.7609000000000004</v>
      </c>
      <c r="H374" s="81">
        <f>12.3052 * CHOOSE(CONTROL!$C$32, $C$9, 100%, $E$9)</f>
        <v>12.305199999999999</v>
      </c>
      <c r="I374" s="81">
        <f>12.3088 * CHOOSE(CONTROL!$C$32, $C$9, 100%, $E$9)</f>
        <v>12.3088</v>
      </c>
      <c r="J374" s="81">
        <f>12.3052 * CHOOSE(CONTROL!$C$32, $C$9, 100%, $E$9)</f>
        <v>12.305199999999999</v>
      </c>
      <c r="K374" s="81">
        <f>12.3088 * CHOOSE(CONTROL!$C$32, $C$9, 100%, $E$9)</f>
        <v>12.3088</v>
      </c>
      <c r="L374" s="81">
        <f>6.7573 * CHOOSE(CONTROL!$C$32, $C$9, 100%, $E$9)</f>
        <v>6.7572999999999999</v>
      </c>
      <c r="M374" s="81">
        <f>6.7609 * CHOOSE(CONTROL!$C$32, $C$9, 100%, $E$9)</f>
        <v>6.7609000000000004</v>
      </c>
      <c r="N374" s="81">
        <f>6.7573 * CHOOSE(CONTROL!$C$32, $C$9, 100%, $E$9)</f>
        <v>6.7572999999999999</v>
      </c>
      <c r="O374" s="81">
        <f>6.7609 * CHOOSE(CONTROL!$C$32, $C$9, 100%, $E$9)</f>
        <v>6.7609000000000004</v>
      </c>
    </row>
    <row r="375" spans="1:15" ht="15" x14ac:dyDescent="0.2">
      <c r="A375" s="16">
        <v>52628</v>
      </c>
      <c r="B375" s="80">
        <f>5.7645 * CHOOSE(CONTROL!$C$32, $C$9, 100%, $E$9)</f>
        <v>5.7645</v>
      </c>
      <c r="C375" s="80">
        <f>5.7645 * CHOOSE(CONTROL!$C$32, $C$9, 100%, $E$9)</f>
        <v>5.7645</v>
      </c>
      <c r="D375" s="80">
        <f>5.7656 * CHOOSE(CONTROL!$C$32, $C$9, 100%, $E$9)</f>
        <v>5.7656000000000001</v>
      </c>
      <c r="E375" s="81">
        <f>6.6244 * CHOOSE(CONTROL!$C$32, $C$9, 100%, $E$9)</f>
        <v>6.6243999999999996</v>
      </c>
      <c r="F375" s="81">
        <f>6.6244 * CHOOSE(CONTROL!$C$32, $C$9, 100%, $E$9)</f>
        <v>6.6243999999999996</v>
      </c>
      <c r="G375" s="81">
        <f>6.628 * CHOOSE(CONTROL!$C$32, $C$9, 100%, $E$9)</f>
        <v>6.6280000000000001</v>
      </c>
      <c r="H375" s="81">
        <f>12.3308 * CHOOSE(CONTROL!$C$32, $C$9, 100%, $E$9)</f>
        <v>12.3308</v>
      </c>
      <c r="I375" s="81">
        <f>12.3344 * CHOOSE(CONTROL!$C$32, $C$9, 100%, $E$9)</f>
        <v>12.3344</v>
      </c>
      <c r="J375" s="81">
        <f>12.3308 * CHOOSE(CONTROL!$C$32, $C$9, 100%, $E$9)</f>
        <v>12.3308</v>
      </c>
      <c r="K375" s="81">
        <f>12.3344 * CHOOSE(CONTROL!$C$32, $C$9, 100%, $E$9)</f>
        <v>12.3344</v>
      </c>
      <c r="L375" s="81">
        <f>6.6244 * CHOOSE(CONTROL!$C$32, $C$9, 100%, $E$9)</f>
        <v>6.6243999999999996</v>
      </c>
      <c r="M375" s="81">
        <f>6.628 * CHOOSE(CONTROL!$C$32, $C$9, 100%, $E$9)</f>
        <v>6.6280000000000001</v>
      </c>
      <c r="N375" s="81">
        <f>6.6244 * CHOOSE(CONTROL!$C$32, $C$9, 100%, $E$9)</f>
        <v>6.6243999999999996</v>
      </c>
      <c r="O375" s="81">
        <f>6.628 * CHOOSE(CONTROL!$C$32, $C$9, 100%, $E$9)</f>
        <v>6.6280000000000001</v>
      </c>
    </row>
    <row r="376" spans="1:15" ht="15" x14ac:dyDescent="0.2">
      <c r="A376" s="16">
        <v>52657</v>
      </c>
      <c r="B376" s="80">
        <f>5.7615 * CHOOSE(CONTROL!$C$32, $C$9, 100%, $E$9)</f>
        <v>5.7614999999999998</v>
      </c>
      <c r="C376" s="80">
        <f>5.7615 * CHOOSE(CONTROL!$C$32, $C$9, 100%, $E$9)</f>
        <v>5.7614999999999998</v>
      </c>
      <c r="D376" s="80">
        <f>5.7626 * CHOOSE(CONTROL!$C$32, $C$9, 100%, $E$9)</f>
        <v>5.7625999999999999</v>
      </c>
      <c r="E376" s="81">
        <f>6.7254 * CHOOSE(CONTROL!$C$32, $C$9, 100%, $E$9)</f>
        <v>6.7253999999999996</v>
      </c>
      <c r="F376" s="81">
        <f>6.7254 * CHOOSE(CONTROL!$C$32, $C$9, 100%, $E$9)</f>
        <v>6.7253999999999996</v>
      </c>
      <c r="G376" s="81">
        <f>6.729 * CHOOSE(CONTROL!$C$32, $C$9, 100%, $E$9)</f>
        <v>6.7290000000000001</v>
      </c>
      <c r="H376" s="81">
        <f>12.3565 * CHOOSE(CONTROL!$C$32, $C$9, 100%, $E$9)</f>
        <v>12.3565</v>
      </c>
      <c r="I376" s="81">
        <f>12.3601 * CHOOSE(CONTROL!$C$32, $C$9, 100%, $E$9)</f>
        <v>12.360099999999999</v>
      </c>
      <c r="J376" s="81">
        <f>12.3565 * CHOOSE(CONTROL!$C$32, $C$9, 100%, $E$9)</f>
        <v>12.3565</v>
      </c>
      <c r="K376" s="81">
        <f>12.3601 * CHOOSE(CONTROL!$C$32, $C$9, 100%, $E$9)</f>
        <v>12.360099999999999</v>
      </c>
      <c r="L376" s="81">
        <f>6.7254 * CHOOSE(CONTROL!$C$32, $C$9, 100%, $E$9)</f>
        <v>6.7253999999999996</v>
      </c>
      <c r="M376" s="81">
        <f>6.729 * CHOOSE(CONTROL!$C$32, $C$9, 100%, $E$9)</f>
        <v>6.7290000000000001</v>
      </c>
      <c r="N376" s="81">
        <f>6.7254 * CHOOSE(CONTROL!$C$32, $C$9, 100%, $E$9)</f>
        <v>6.7253999999999996</v>
      </c>
      <c r="O376" s="81">
        <f>6.729 * CHOOSE(CONTROL!$C$32, $C$9, 100%, $E$9)</f>
        <v>6.7290000000000001</v>
      </c>
    </row>
    <row r="377" spans="1:15" ht="15" x14ac:dyDescent="0.2">
      <c r="A377" s="16">
        <v>52688</v>
      </c>
      <c r="B377" s="80">
        <f>5.7608 * CHOOSE(CONTROL!$C$32, $C$9, 100%, $E$9)</f>
        <v>5.7607999999999997</v>
      </c>
      <c r="C377" s="80">
        <f>5.7608 * CHOOSE(CONTROL!$C$32, $C$9, 100%, $E$9)</f>
        <v>5.7607999999999997</v>
      </c>
      <c r="D377" s="80">
        <f>5.7619 * CHOOSE(CONTROL!$C$32, $C$9, 100%, $E$9)</f>
        <v>5.7618999999999998</v>
      </c>
      <c r="E377" s="81">
        <f>6.8318 * CHOOSE(CONTROL!$C$32, $C$9, 100%, $E$9)</f>
        <v>6.8318000000000003</v>
      </c>
      <c r="F377" s="81">
        <f>6.8318 * CHOOSE(CONTROL!$C$32, $C$9, 100%, $E$9)</f>
        <v>6.8318000000000003</v>
      </c>
      <c r="G377" s="81">
        <f>6.8354 * CHOOSE(CONTROL!$C$32, $C$9, 100%, $E$9)</f>
        <v>6.8353999999999999</v>
      </c>
      <c r="H377" s="81">
        <f>12.3823 * CHOOSE(CONTROL!$C$32, $C$9, 100%, $E$9)</f>
        <v>12.382300000000001</v>
      </c>
      <c r="I377" s="81">
        <f>12.3859 * CHOOSE(CONTROL!$C$32, $C$9, 100%, $E$9)</f>
        <v>12.385899999999999</v>
      </c>
      <c r="J377" s="81">
        <f>12.3823 * CHOOSE(CONTROL!$C$32, $C$9, 100%, $E$9)</f>
        <v>12.382300000000001</v>
      </c>
      <c r="K377" s="81">
        <f>12.3859 * CHOOSE(CONTROL!$C$32, $C$9, 100%, $E$9)</f>
        <v>12.385899999999999</v>
      </c>
      <c r="L377" s="81">
        <f>6.8318 * CHOOSE(CONTROL!$C$32, $C$9, 100%, $E$9)</f>
        <v>6.8318000000000003</v>
      </c>
      <c r="M377" s="81">
        <f>6.8354 * CHOOSE(CONTROL!$C$32, $C$9, 100%, $E$9)</f>
        <v>6.8353999999999999</v>
      </c>
      <c r="N377" s="81">
        <f>6.8318 * CHOOSE(CONTROL!$C$32, $C$9, 100%, $E$9)</f>
        <v>6.8318000000000003</v>
      </c>
      <c r="O377" s="81">
        <f>6.8354 * CHOOSE(CONTROL!$C$32, $C$9, 100%, $E$9)</f>
        <v>6.8353999999999999</v>
      </c>
    </row>
    <row r="378" spans="1:15" ht="15" x14ac:dyDescent="0.2">
      <c r="A378" s="16">
        <v>52718</v>
      </c>
      <c r="B378" s="80">
        <f>5.7608 * CHOOSE(CONTROL!$C$32, $C$9, 100%, $E$9)</f>
        <v>5.7607999999999997</v>
      </c>
      <c r="C378" s="80">
        <f>5.7608 * CHOOSE(CONTROL!$C$32, $C$9, 100%, $E$9)</f>
        <v>5.7607999999999997</v>
      </c>
      <c r="D378" s="80">
        <f>5.7624 * CHOOSE(CONTROL!$C$32, $C$9, 100%, $E$9)</f>
        <v>5.7624000000000004</v>
      </c>
      <c r="E378" s="81">
        <f>6.8733 * CHOOSE(CONTROL!$C$32, $C$9, 100%, $E$9)</f>
        <v>6.8733000000000004</v>
      </c>
      <c r="F378" s="81">
        <f>6.8733 * CHOOSE(CONTROL!$C$32, $C$9, 100%, $E$9)</f>
        <v>6.8733000000000004</v>
      </c>
      <c r="G378" s="81">
        <f>6.8786 * CHOOSE(CONTROL!$C$32, $C$9, 100%, $E$9)</f>
        <v>6.8785999999999996</v>
      </c>
      <c r="H378" s="81">
        <f>12.408 * CHOOSE(CONTROL!$C$32, $C$9, 100%, $E$9)</f>
        <v>12.407999999999999</v>
      </c>
      <c r="I378" s="81">
        <f>12.4133 * CHOOSE(CONTROL!$C$32, $C$9, 100%, $E$9)</f>
        <v>12.4133</v>
      </c>
      <c r="J378" s="81">
        <f>12.408 * CHOOSE(CONTROL!$C$32, $C$9, 100%, $E$9)</f>
        <v>12.407999999999999</v>
      </c>
      <c r="K378" s="81">
        <f>12.4133 * CHOOSE(CONTROL!$C$32, $C$9, 100%, $E$9)</f>
        <v>12.4133</v>
      </c>
      <c r="L378" s="81">
        <f>6.8733 * CHOOSE(CONTROL!$C$32, $C$9, 100%, $E$9)</f>
        <v>6.8733000000000004</v>
      </c>
      <c r="M378" s="81">
        <f>6.8786 * CHOOSE(CONTROL!$C$32, $C$9, 100%, $E$9)</f>
        <v>6.8785999999999996</v>
      </c>
      <c r="N378" s="81">
        <f>6.8733 * CHOOSE(CONTROL!$C$32, $C$9, 100%, $E$9)</f>
        <v>6.8733000000000004</v>
      </c>
      <c r="O378" s="81">
        <f>6.8786 * CHOOSE(CONTROL!$C$32, $C$9, 100%, $E$9)</f>
        <v>6.8785999999999996</v>
      </c>
    </row>
    <row r="379" spans="1:15" ht="15" x14ac:dyDescent="0.2">
      <c r="A379" s="16">
        <v>52749</v>
      </c>
      <c r="B379" s="80">
        <f>5.7669 * CHOOSE(CONTROL!$C$32, $C$9, 100%, $E$9)</f>
        <v>5.7668999999999997</v>
      </c>
      <c r="C379" s="80">
        <f>5.7669 * CHOOSE(CONTROL!$C$32, $C$9, 100%, $E$9)</f>
        <v>5.7668999999999997</v>
      </c>
      <c r="D379" s="80">
        <f>5.7685 * CHOOSE(CONTROL!$C$32, $C$9, 100%, $E$9)</f>
        <v>5.7685000000000004</v>
      </c>
      <c r="E379" s="81">
        <f>6.836 * CHOOSE(CONTROL!$C$32, $C$9, 100%, $E$9)</f>
        <v>6.8360000000000003</v>
      </c>
      <c r="F379" s="81">
        <f>6.836 * CHOOSE(CONTROL!$C$32, $C$9, 100%, $E$9)</f>
        <v>6.8360000000000003</v>
      </c>
      <c r="G379" s="81">
        <f>6.8413 * CHOOSE(CONTROL!$C$32, $C$9, 100%, $E$9)</f>
        <v>6.8413000000000004</v>
      </c>
      <c r="H379" s="81">
        <f>12.4339 * CHOOSE(CONTROL!$C$32, $C$9, 100%, $E$9)</f>
        <v>12.4339</v>
      </c>
      <c r="I379" s="81">
        <f>12.4392 * CHOOSE(CONTROL!$C$32, $C$9, 100%, $E$9)</f>
        <v>12.4392</v>
      </c>
      <c r="J379" s="81">
        <f>12.4339 * CHOOSE(CONTROL!$C$32, $C$9, 100%, $E$9)</f>
        <v>12.4339</v>
      </c>
      <c r="K379" s="81">
        <f>12.4392 * CHOOSE(CONTROL!$C$32, $C$9, 100%, $E$9)</f>
        <v>12.4392</v>
      </c>
      <c r="L379" s="81">
        <f>6.836 * CHOOSE(CONTROL!$C$32, $C$9, 100%, $E$9)</f>
        <v>6.8360000000000003</v>
      </c>
      <c r="M379" s="81">
        <f>6.8413 * CHOOSE(CONTROL!$C$32, $C$9, 100%, $E$9)</f>
        <v>6.8413000000000004</v>
      </c>
      <c r="N379" s="81">
        <f>6.836 * CHOOSE(CONTROL!$C$32, $C$9, 100%, $E$9)</f>
        <v>6.8360000000000003</v>
      </c>
      <c r="O379" s="81">
        <f>6.8413 * CHOOSE(CONTROL!$C$32, $C$9, 100%, $E$9)</f>
        <v>6.8413000000000004</v>
      </c>
    </row>
    <row r="380" spans="1:15" ht="15" x14ac:dyDescent="0.2">
      <c r="A380" s="16">
        <v>52779</v>
      </c>
      <c r="B380" s="80">
        <f>5.845 * CHOOSE(CONTROL!$C$32, $C$9, 100%, $E$9)</f>
        <v>5.8449999999999998</v>
      </c>
      <c r="C380" s="80">
        <f>5.845 * CHOOSE(CONTROL!$C$32, $C$9, 100%, $E$9)</f>
        <v>5.8449999999999998</v>
      </c>
      <c r="D380" s="80">
        <f>5.8465 * CHOOSE(CONTROL!$C$32, $C$9, 100%, $E$9)</f>
        <v>5.8464999999999998</v>
      </c>
      <c r="E380" s="81">
        <f>6.8655 * CHOOSE(CONTROL!$C$32, $C$9, 100%, $E$9)</f>
        <v>6.8654999999999999</v>
      </c>
      <c r="F380" s="81">
        <f>6.8655 * CHOOSE(CONTROL!$C$32, $C$9, 100%, $E$9)</f>
        <v>6.8654999999999999</v>
      </c>
      <c r="G380" s="81">
        <f>6.8708 * CHOOSE(CONTROL!$C$32, $C$9, 100%, $E$9)</f>
        <v>6.8708</v>
      </c>
      <c r="H380" s="81">
        <f>12.4598 * CHOOSE(CONTROL!$C$32, $C$9, 100%, $E$9)</f>
        <v>12.4598</v>
      </c>
      <c r="I380" s="81">
        <f>12.4651 * CHOOSE(CONTROL!$C$32, $C$9, 100%, $E$9)</f>
        <v>12.4651</v>
      </c>
      <c r="J380" s="81">
        <f>12.4598 * CHOOSE(CONTROL!$C$32, $C$9, 100%, $E$9)</f>
        <v>12.4598</v>
      </c>
      <c r="K380" s="81">
        <f>12.4651 * CHOOSE(CONTROL!$C$32, $C$9, 100%, $E$9)</f>
        <v>12.4651</v>
      </c>
      <c r="L380" s="81">
        <f>6.8655 * CHOOSE(CONTROL!$C$32, $C$9, 100%, $E$9)</f>
        <v>6.8654999999999999</v>
      </c>
      <c r="M380" s="81">
        <f>6.8708 * CHOOSE(CONTROL!$C$32, $C$9, 100%, $E$9)</f>
        <v>6.8708</v>
      </c>
      <c r="N380" s="81">
        <f>6.8655 * CHOOSE(CONTROL!$C$32, $C$9, 100%, $E$9)</f>
        <v>6.8654999999999999</v>
      </c>
      <c r="O380" s="81">
        <f>6.8708 * CHOOSE(CONTROL!$C$32, $C$9, 100%, $E$9)</f>
        <v>6.8708</v>
      </c>
    </row>
    <row r="381" spans="1:15" ht="15" x14ac:dyDescent="0.2">
      <c r="A381" s="16">
        <v>52810</v>
      </c>
      <c r="B381" s="80">
        <f>5.8516 * CHOOSE(CONTROL!$C$32, $C$9, 100%, $E$9)</f>
        <v>5.8516000000000004</v>
      </c>
      <c r="C381" s="80">
        <f>5.8516 * CHOOSE(CONTROL!$C$32, $C$9, 100%, $E$9)</f>
        <v>5.8516000000000004</v>
      </c>
      <c r="D381" s="80">
        <f>5.8532 * CHOOSE(CONTROL!$C$32, $C$9, 100%, $E$9)</f>
        <v>5.8532000000000002</v>
      </c>
      <c r="E381" s="81">
        <f>6.7456 * CHOOSE(CONTROL!$C$32, $C$9, 100%, $E$9)</f>
        <v>6.7455999999999996</v>
      </c>
      <c r="F381" s="81">
        <f>6.7456 * CHOOSE(CONTROL!$C$32, $C$9, 100%, $E$9)</f>
        <v>6.7455999999999996</v>
      </c>
      <c r="G381" s="81">
        <f>6.7509 * CHOOSE(CONTROL!$C$32, $C$9, 100%, $E$9)</f>
        <v>6.7508999999999997</v>
      </c>
      <c r="H381" s="81">
        <f>12.4858 * CHOOSE(CONTROL!$C$32, $C$9, 100%, $E$9)</f>
        <v>12.485799999999999</v>
      </c>
      <c r="I381" s="81">
        <f>12.4911 * CHOOSE(CONTROL!$C$32, $C$9, 100%, $E$9)</f>
        <v>12.491099999999999</v>
      </c>
      <c r="J381" s="81">
        <f>12.4858 * CHOOSE(CONTROL!$C$32, $C$9, 100%, $E$9)</f>
        <v>12.485799999999999</v>
      </c>
      <c r="K381" s="81">
        <f>12.4911 * CHOOSE(CONTROL!$C$32, $C$9, 100%, $E$9)</f>
        <v>12.491099999999999</v>
      </c>
      <c r="L381" s="81">
        <f>6.7456 * CHOOSE(CONTROL!$C$32, $C$9, 100%, $E$9)</f>
        <v>6.7455999999999996</v>
      </c>
      <c r="M381" s="81">
        <f>6.7509 * CHOOSE(CONTROL!$C$32, $C$9, 100%, $E$9)</f>
        <v>6.7508999999999997</v>
      </c>
      <c r="N381" s="81">
        <f>6.7456 * CHOOSE(CONTROL!$C$32, $C$9, 100%, $E$9)</f>
        <v>6.7455999999999996</v>
      </c>
      <c r="O381" s="81">
        <f>6.7509 * CHOOSE(CONTROL!$C$32, $C$9, 100%, $E$9)</f>
        <v>6.7508999999999997</v>
      </c>
    </row>
    <row r="382" spans="1:15" ht="15" x14ac:dyDescent="0.2">
      <c r="A382" s="16">
        <v>52841</v>
      </c>
      <c r="B382" s="80">
        <f>5.8486 * CHOOSE(CONTROL!$C$32, $C$9, 100%, $E$9)</f>
        <v>5.8486000000000002</v>
      </c>
      <c r="C382" s="80">
        <f>5.8486 * CHOOSE(CONTROL!$C$32, $C$9, 100%, $E$9)</f>
        <v>5.8486000000000002</v>
      </c>
      <c r="D382" s="80">
        <f>5.8502 * CHOOSE(CONTROL!$C$32, $C$9, 100%, $E$9)</f>
        <v>5.8502000000000001</v>
      </c>
      <c r="E382" s="81">
        <f>6.7297 * CHOOSE(CONTROL!$C$32, $C$9, 100%, $E$9)</f>
        <v>6.7297000000000002</v>
      </c>
      <c r="F382" s="81">
        <f>6.7297 * CHOOSE(CONTROL!$C$32, $C$9, 100%, $E$9)</f>
        <v>6.7297000000000002</v>
      </c>
      <c r="G382" s="81">
        <f>6.735 * CHOOSE(CONTROL!$C$32, $C$9, 100%, $E$9)</f>
        <v>6.7350000000000003</v>
      </c>
      <c r="H382" s="81">
        <f>12.5118 * CHOOSE(CONTROL!$C$32, $C$9, 100%, $E$9)</f>
        <v>12.511799999999999</v>
      </c>
      <c r="I382" s="81">
        <f>12.5171 * CHOOSE(CONTROL!$C$32, $C$9, 100%, $E$9)</f>
        <v>12.517099999999999</v>
      </c>
      <c r="J382" s="81">
        <f>12.5118 * CHOOSE(CONTROL!$C$32, $C$9, 100%, $E$9)</f>
        <v>12.511799999999999</v>
      </c>
      <c r="K382" s="81">
        <f>12.5171 * CHOOSE(CONTROL!$C$32, $C$9, 100%, $E$9)</f>
        <v>12.517099999999999</v>
      </c>
      <c r="L382" s="81">
        <f>6.7297 * CHOOSE(CONTROL!$C$32, $C$9, 100%, $E$9)</f>
        <v>6.7297000000000002</v>
      </c>
      <c r="M382" s="81">
        <f>6.735 * CHOOSE(CONTROL!$C$32, $C$9, 100%, $E$9)</f>
        <v>6.7350000000000003</v>
      </c>
      <c r="N382" s="81">
        <f>6.7297 * CHOOSE(CONTROL!$C$32, $C$9, 100%, $E$9)</f>
        <v>6.7297000000000002</v>
      </c>
      <c r="O382" s="81">
        <f>6.735 * CHOOSE(CONTROL!$C$32, $C$9, 100%, $E$9)</f>
        <v>6.7350000000000003</v>
      </c>
    </row>
    <row r="383" spans="1:15" ht="15" x14ac:dyDescent="0.2">
      <c r="A383" s="16">
        <v>52871</v>
      </c>
      <c r="B383" s="80">
        <f>5.8505 * CHOOSE(CONTROL!$C$32, $C$9, 100%, $E$9)</f>
        <v>5.8505000000000003</v>
      </c>
      <c r="C383" s="80">
        <f>5.8505 * CHOOSE(CONTROL!$C$32, $C$9, 100%, $E$9)</f>
        <v>5.8505000000000003</v>
      </c>
      <c r="D383" s="80">
        <f>5.8516 * CHOOSE(CONTROL!$C$32, $C$9, 100%, $E$9)</f>
        <v>5.8516000000000004</v>
      </c>
      <c r="E383" s="81">
        <f>6.7716 * CHOOSE(CONTROL!$C$32, $C$9, 100%, $E$9)</f>
        <v>6.7716000000000003</v>
      </c>
      <c r="F383" s="81">
        <f>6.7716 * CHOOSE(CONTROL!$C$32, $C$9, 100%, $E$9)</f>
        <v>6.7716000000000003</v>
      </c>
      <c r="G383" s="81">
        <f>6.7752 * CHOOSE(CONTROL!$C$32, $C$9, 100%, $E$9)</f>
        <v>6.7751999999999999</v>
      </c>
      <c r="H383" s="81">
        <f>12.5378 * CHOOSE(CONTROL!$C$32, $C$9, 100%, $E$9)</f>
        <v>12.537800000000001</v>
      </c>
      <c r="I383" s="81">
        <f>12.5415 * CHOOSE(CONTROL!$C$32, $C$9, 100%, $E$9)</f>
        <v>12.541499999999999</v>
      </c>
      <c r="J383" s="81">
        <f>12.5378 * CHOOSE(CONTROL!$C$32, $C$9, 100%, $E$9)</f>
        <v>12.537800000000001</v>
      </c>
      <c r="K383" s="81">
        <f>12.5415 * CHOOSE(CONTROL!$C$32, $C$9, 100%, $E$9)</f>
        <v>12.541499999999999</v>
      </c>
      <c r="L383" s="81">
        <f>6.7716 * CHOOSE(CONTROL!$C$32, $C$9, 100%, $E$9)</f>
        <v>6.7716000000000003</v>
      </c>
      <c r="M383" s="81">
        <f>6.7752 * CHOOSE(CONTROL!$C$32, $C$9, 100%, $E$9)</f>
        <v>6.7751999999999999</v>
      </c>
      <c r="N383" s="81">
        <f>6.7716 * CHOOSE(CONTROL!$C$32, $C$9, 100%, $E$9)</f>
        <v>6.7716000000000003</v>
      </c>
      <c r="O383" s="81">
        <f>6.7752 * CHOOSE(CONTROL!$C$32, $C$9, 100%, $E$9)</f>
        <v>6.7751999999999999</v>
      </c>
    </row>
    <row r="384" spans="1:15" ht="15" x14ac:dyDescent="0.2">
      <c r="A384" s="16">
        <v>52902</v>
      </c>
      <c r="B384" s="80">
        <f>5.8536 * CHOOSE(CONTROL!$C$32, $C$9, 100%, $E$9)</f>
        <v>5.8536000000000001</v>
      </c>
      <c r="C384" s="80">
        <f>5.8536 * CHOOSE(CONTROL!$C$32, $C$9, 100%, $E$9)</f>
        <v>5.8536000000000001</v>
      </c>
      <c r="D384" s="80">
        <f>5.8546 * CHOOSE(CONTROL!$C$32, $C$9, 100%, $E$9)</f>
        <v>5.8545999999999996</v>
      </c>
      <c r="E384" s="81">
        <f>6.8014 * CHOOSE(CONTROL!$C$32, $C$9, 100%, $E$9)</f>
        <v>6.8014000000000001</v>
      </c>
      <c r="F384" s="81">
        <f>6.8014 * CHOOSE(CONTROL!$C$32, $C$9, 100%, $E$9)</f>
        <v>6.8014000000000001</v>
      </c>
      <c r="G384" s="81">
        <f>6.805 * CHOOSE(CONTROL!$C$32, $C$9, 100%, $E$9)</f>
        <v>6.8049999999999997</v>
      </c>
      <c r="H384" s="81">
        <f>12.564 * CHOOSE(CONTROL!$C$32, $C$9, 100%, $E$9)</f>
        <v>12.564</v>
      </c>
      <c r="I384" s="81">
        <f>12.5676 * CHOOSE(CONTROL!$C$32, $C$9, 100%, $E$9)</f>
        <v>12.567600000000001</v>
      </c>
      <c r="J384" s="81">
        <f>12.564 * CHOOSE(CONTROL!$C$32, $C$9, 100%, $E$9)</f>
        <v>12.564</v>
      </c>
      <c r="K384" s="81">
        <f>12.5676 * CHOOSE(CONTROL!$C$32, $C$9, 100%, $E$9)</f>
        <v>12.567600000000001</v>
      </c>
      <c r="L384" s="81">
        <f>6.8014 * CHOOSE(CONTROL!$C$32, $C$9, 100%, $E$9)</f>
        <v>6.8014000000000001</v>
      </c>
      <c r="M384" s="81">
        <f>6.805 * CHOOSE(CONTROL!$C$32, $C$9, 100%, $E$9)</f>
        <v>6.8049999999999997</v>
      </c>
      <c r="N384" s="81">
        <f>6.8014 * CHOOSE(CONTROL!$C$32, $C$9, 100%, $E$9)</f>
        <v>6.8014000000000001</v>
      </c>
      <c r="O384" s="81">
        <f>6.805 * CHOOSE(CONTROL!$C$32, $C$9, 100%, $E$9)</f>
        <v>6.8049999999999997</v>
      </c>
    </row>
    <row r="385" spans="1:15" ht="15" x14ac:dyDescent="0.2">
      <c r="A385" s="16">
        <v>52932</v>
      </c>
      <c r="B385" s="80">
        <f>5.8536 * CHOOSE(CONTROL!$C$32, $C$9, 100%, $E$9)</f>
        <v>5.8536000000000001</v>
      </c>
      <c r="C385" s="80">
        <f>5.8536 * CHOOSE(CONTROL!$C$32, $C$9, 100%, $E$9)</f>
        <v>5.8536000000000001</v>
      </c>
      <c r="D385" s="80">
        <f>5.8546 * CHOOSE(CONTROL!$C$32, $C$9, 100%, $E$9)</f>
        <v>5.8545999999999996</v>
      </c>
      <c r="E385" s="81">
        <f>6.7322 * CHOOSE(CONTROL!$C$32, $C$9, 100%, $E$9)</f>
        <v>6.7321999999999997</v>
      </c>
      <c r="F385" s="81">
        <f>6.7322 * CHOOSE(CONTROL!$C$32, $C$9, 100%, $E$9)</f>
        <v>6.7321999999999997</v>
      </c>
      <c r="G385" s="81">
        <f>6.7358 * CHOOSE(CONTROL!$C$32, $C$9, 100%, $E$9)</f>
        <v>6.7358000000000002</v>
      </c>
      <c r="H385" s="81">
        <f>12.5901 * CHOOSE(CONTROL!$C$32, $C$9, 100%, $E$9)</f>
        <v>12.5901</v>
      </c>
      <c r="I385" s="81">
        <f>12.5938 * CHOOSE(CONTROL!$C$32, $C$9, 100%, $E$9)</f>
        <v>12.5938</v>
      </c>
      <c r="J385" s="81">
        <f>12.5901 * CHOOSE(CONTROL!$C$32, $C$9, 100%, $E$9)</f>
        <v>12.5901</v>
      </c>
      <c r="K385" s="81">
        <f>12.5938 * CHOOSE(CONTROL!$C$32, $C$9, 100%, $E$9)</f>
        <v>12.5938</v>
      </c>
      <c r="L385" s="81">
        <f>6.7322 * CHOOSE(CONTROL!$C$32, $C$9, 100%, $E$9)</f>
        <v>6.7321999999999997</v>
      </c>
      <c r="M385" s="81">
        <f>6.7358 * CHOOSE(CONTROL!$C$32, $C$9, 100%, $E$9)</f>
        <v>6.7358000000000002</v>
      </c>
      <c r="N385" s="81">
        <f>6.7322 * CHOOSE(CONTROL!$C$32, $C$9, 100%, $E$9)</f>
        <v>6.7321999999999997</v>
      </c>
      <c r="O385" s="81">
        <f>6.7358 * CHOOSE(CONTROL!$C$32, $C$9, 100%, $E$9)</f>
        <v>6.7358000000000002</v>
      </c>
    </row>
    <row r="386" spans="1:15" ht="15" x14ac:dyDescent="0.2">
      <c r="A386" s="16">
        <v>52963</v>
      </c>
      <c r="B386" s="80">
        <f>5.8984 * CHOOSE(CONTROL!$C$32, $C$9, 100%, $E$9)</f>
        <v>5.8983999999999996</v>
      </c>
      <c r="C386" s="80">
        <f>5.8984 * CHOOSE(CONTROL!$C$32, $C$9, 100%, $E$9)</f>
        <v>5.8983999999999996</v>
      </c>
      <c r="D386" s="80">
        <f>5.8995 * CHOOSE(CONTROL!$C$32, $C$9, 100%, $E$9)</f>
        <v>5.8994999999999997</v>
      </c>
      <c r="E386" s="81">
        <f>6.8151 * CHOOSE(CONTROL!$C$32, $C$9, 100%, $E$9)</f>
        <v>6.8151000000000002</v>
      </c>
      <c r="F386" s="81">
        <f>6.8151 * CHOOSE(CONTROL!$C$32, $C$9, 100%, $E$9)</f>
        <v>6.8151000000000002</v>
      </c>
      <c r="G386" s="81">
        <f>6.8187 * CHOOSE(CONTROL!$C$32, $C$9, 100%, $E$9)</f>
        <v>6.8186999999999998</v>
      </c>
      <c r="H386" s="81">
        <f>12.6164 * CHOOSE(CONTROL!$C$32, $C$9, 100%, $E$9)</f>
        <v>12.616400000000001</v>
      </c>
      <c r="I386" s="81">
        <f>12.62 * CHOOSE(CONTROL!$C$32, $C$9, 100%, $E$9)</f>
        <v>12.62</v>
      </c>
      <c r="J386" s="81">
        <f>12.6164 * CHOOSE(CONTROL!$C$32, $C$9, 100%, $E$9)</f>
        <v>12.616400000000001</v>
      </c>
      <c r="K386" s="81">
        <f>12.62 * CHOOSE(CONTROL!$C$32, $C$9, 100%, $E$9)</f>
        <v>12.62</v>
      </c>
      <c r="L386" s="81">
        <f>6.8151 * CHOOSE(CONTROL!$C$32, $C$9, 100%, $E$9)</f>
        <v>6.8151000000000002</v>
      </c>
      <c r="M386" s="81">
        <f>6.8187 * CHOOSE(CONTROL!$C$32, $C$9, 100%, $E$9)</f>
        <v>6.8186999999999998</v>
      </c>
      <c r="N386" s="81">
        <f>6.8151 * CHOOSE(CONTROL!$C$32, $C$9, 100%, $E$9)</f>
        <v>6.8151000000000002</v>
      </c>
      <c r="O386" s="81">
        <f>6.8187 * CHOOSE(CONTROL!$C$32, $C$9, 100%, $E$9)</f>
        <v>6.8186999999999998</v>
      </c>
    </row>
    <row r="387" spans="1:15" ht="15" x14ac:dyDescent="0.2">
      <c r="A387" s="16">
        <v>52994</v>
      </c>
      <c r="B387" s="80">
        <f>5.8954 * CHOOSE(CONTROL!$C$32, $C$9, 100%, $E$9)</f>
        <v>5.8954000000000004</v>
      </c>
      <c r="C387" s="80">
        <f>5.8954 * CHOOSE(CONTROL!$C$32, $C$9, 100%, $E$9)</f>
        <v>5.8954000000000004</v>
      </c>
      <c r="D387" s="80">
        <f>5.8965 * CHOOSE(CONTROL!$C$32, $C$9, 100%, $E$9)</f>
        <v>5.8964999999999996</v>
      </c>
      <c r="E387" s="81">
        <f>6.678 * CHOOSE(CONTROL!$C$32, $C$9, 100%, $E$9)</f>
        <v>6.6779999999999999</v>
      </c>
      <c r="F387" s="81">
        <f>6.678 * CHOOSE(CONTROL!$C$32, $C$9, 100%, $E$9)</f>
        <v>6.6779999999999999</v>
      </c>
      <c r="G387" s="81">
        <f>6.6816 * CHOOSE(CONTROL!$C$32, $C$9, 100%, $E$9)</f>
        <v>6.6816000000000004</v>
      </c>
      <c r="H387" s="81">
        <f>12.6426 * CHOOSE(CONTROL!$C$32, $C$9, 100%, $E$9)</f>
        <v>12.6426</v>
      </c>
      <c r="I387" s="81">
        <f>12.6463 * CHOOSE(CONTROL!$C$32, $C$9, 100%, $E$9)</f>
        <v>12.6463</v>
      </c>
      <c r="J387" s="81">
        <f>12.6426 * CHOOSE(CONTROL!$C$32, $C$9, 100%, $E$9)</f>
        <v>12.6426</v>
      </c>
      <c r="K387" s="81">
        <f>12.6463 * CHOOSE(CONTROL!$C$32, $C$9, 100%, $E$9)</f>
        <v>12.6463</v>
      </c>
      <c r="L387" s="81">
        <f>6.678 * CHOOSE(CONTROL!$C$32, $C$9, 100%, $E$9)</f>
        <v>6.6779999999999999</v>
      </c>
      <c r="M387" s="81">
        <f>6.6816 * CHOOSE(CONTROL!$C$32, $C$9, 100%, $E$9)</f>
        <v>6.6816000000000004</v>
      </c>
      <c r="N387" s="81">
        <f>6.678 * CHOOSE(CONTROL!$C$32, $C$9, 100%, $E$9)</f>
        <v>6.6779999999999999</v>
      </c>
      <c r="O387" s="81">
        <f>6.6816 * CHOOSE(CONTROL!$C$32, $C$9, 100%, $E$9)</f>
        <v>6.6816000000000004</v>
      </c>
    </row>
    <row r="388" spans="1:15" ht="15" x14ac:dyDescent="0.2">
      <c r="A388" s="16">
        <v>53022</v>
      </c>
      <c r="B388" s="80">
        <f>5.8924 * CHOOSE(CONTROL!$C$32, $C$9, 100%, $E$9)</f>
        <v>5.8924000000000003</v>
      </c>
      <c r="C388" s="80">
        <f>5.8924 * CHOOSE(CONTROL!$C$32, $C$9, 100%, $E$9)</f>
        <v>5.8924000000000003</v>
      </c>
      <c r="D388" s="80">
        <f>5.8934 * CHOOSE(CONTROL!$C$32, $C$9, 100%, $E$9)</f>
        <v>5.8933999999999997</v>
      </c>
      <c r="E388" s="81">
        <f>6.7823 * CHOOSE(CONTROL!$C$32, $C$9, 100%, $E$9)</f>
        <v>6.7823000000000002</v>
      </c>
      <c r="F388" s="81">
        <f>6.7823 * CHOOSE(CONTROL!$C$32, $C$9, 100%, $E$9)</f>
        <v>6.7823000000000002</v>
      </c>
      <c r="G388" s="81">
        <f>6.7859 * CHOOSE(CONTROL!$C$32, $C$9, 100%, $E$9)</f>
        <v>6.7858999999999998</v>
      </c>
      <c r="H388" s="81">
        <f>12.669 * CHOOSE(CONTROL!$C$32, $C$9, 100%, $E$9)</f>
        <v>12.669</v>
      </c>
      <c r="I388" s="81">
        <f>12.6726 * CHOOSE(CONTROL!$C$32, $C$9, 100%, $E$9)</f>
        <v>12.672599999999999</v>
      </c>
      <c r="J388" s="81">
        <f>12.669 * CHOOSE(CONTROL!$C$32, $C$9, 100%, $E$9)</f>
        <v>12.669</v>
      </c>
      <c r="K388" s="81">
        <f>12.6726 * CHOOSE(CONTROL!$C$32, $C$9, 100%, $E$9)</f>
        <v>12.672599999999999</v>
      </c>
      <c r="L388" s="81">
        <f>6.7823 * CHOOSE(CONTROL!$C$32, $C$9, 100%, $E$9)</f>
        <v>6.7823000000000002</v>
      </c>
      <c r="M388" s="81">
        <f>6.7859 * CHOOSE(CONTROL!$C$32, $C$9, 100%, $E$9)</f>
        <v>6.7858999999999998</v>
      </c>
      <c r="N388" s="81">
        <f>6.7823 * CHOOSE(CONTROL!$C$32, $C$9, 100%, $E$9)</f>
        <v>6.7823000000000002</v>
      </c>
      <c r="O388" s="81">
        <f>6.7859 * CHOOSE(CONTROL!$C$32, $C$9, 100%, $E$9)</f>
        <v>6.7858999999999998</v>
      </c>
    </row>
    <row r="389" spans="1:15" ht="15" x14ac:dyDescent="0.2">
      <c r="A389" s="16">
        <v>53053</v>
      </c>
      <c r="B389" s="80">
        <f>5.8918 * CHOOSE(CONTROL!$C$32, $C$9, 100%, $E$9)</f>
        <v>5.8917999999999999</v>
      </c>
      <c r="C389" s="80">
        <f>5.8918 * CHOOSE(CONTROL!$C$32, $C$9, 100%, $E$9)</f>
        <v>5.8917999999999999</v>
      </c>
      <c r="D389" s="80">
        <f>5.8929 * CHOOSE(CONTROL!$C$32, $C$9, 100%, $E$9)</f>
        <v>5.8929</v>
      </c>
      <c r="E389" s="81">
        <f>6.8923 * CHOOSE(CONTROL!$C$32, $C$9, 100%, $E$9)</f>
        <v>6.8922999999999996</v>
      </c>
      <c r="F389" s="81">
        <f>6.8923 * CHOOSE(CONTROL!$C$32, $C$9, 100%, $E$9)</f>
        <v>6.8922999999999996</v>
      </c>
      <c r="G389" s="81">
        <f>6.896 * CHOOSE(CONTROL!$C$32, $C$9, 100%, $E$9)</f>
        <v>6.8959999999999999</v>
      </c>
      <c r="H389" s="81">
        <f>12.6954 * CHOOSE(CONTROL!$C$32, $C$9, 100%, $E$9)</f>
        <v>12.695399999999999</v>
      </c>
      <c r="I389" s="81">
        <f>12.699 * CHOOSE(CONTROL!$C$32, $C$9, 100%, $E$9)</f>
        <v>12.699</v>
      </c>
      <c r="J389" s="81">
        <f>12.6954 * CHOOSE(CONTROL!$C$32, $C$9, 100%, $E$9)</f>
        <v>12.695399999999999</v>
      </c>
      <c r="K389" s="81">
        <f>12.699 * CHOOSE(CONTROL!$C$32, $C$9, 100%, $E$9)</f>
        <v>12.699</v>
      </c>
      <c r="L389" s="81">
        <f>6.8923 * CHOOSE(CONTROL!$C$32, $C$9, 100%, $E$9)</f>
        <v>6.8922999999999996</v>
      </c>
      <c r="M389" s="81">
        <f>6.896 * CHOOSE(CONTROL!$C$32, $C$9, 100%, $E$9)</f>
        <v>6.8959999999999999</v>
      </c>
      <c r="N389" s="81">
        <f>6.8923 * CHOOSE(CONTROL!$C$32, $C$9, 100%, $E$9)</f>
        <v>6.8922999999999996</v>
      </c>
      <c r="O389" s="81">
        <f>6.896 * CHOOSE(CONTROL!$C$32, $C$9, 100%, $E$9)</f>
        <v>6.8959999999999999</v>
      </c>
    </row>
    <row r="390" spans="1:15" ht="15" x14ac:dyDescent="0.2">
      <c r="A390" s="16">
        <v>53083</v>
      </c>
      <c r="B390" s="80">
        <f>5.8918 * CHOOSE(CONTROL!$C$32, $C$9, 100%, $E$9)</f>
        <v>5.8917999999999999</v>
      </c>
      <c r="C390" s="80">
        <f>5.8918 * CHOOSE(CONTROL!$C$32, $C$9, 100%, $E$9)</f>
        <v>5.8917999999999999</v>
      </c>
      <c r="D390" s="80">
        <f>5.8934 * CHOOSE(CONTROL!$C$32, $C$9, 100%, $E$9)</f>
        <v>5.8933999999999997</v>
      </c>
      <c r="E390" s="81">
        <f>6.9352 * CHOOSE(CONTROL!$C$32, $C$9, 100%, $E$9)</f>
        <v>6.9352</v>
      </c>
      <c r="F390" s="81">
        <f>6.9352 * CHOOSE(CONTROL!$C$32, $C$9, 100%, $E$9)</f>
        <v>6.9352</v>
      </c>
      <c r="G390" s="81">
        <f>6.9405 * CHOOSE(CONTROL!$C$32, $C$9, 100%, $E$9)</f>
        <v>6.9405000000000001</v>
      </c>
      <c r="H390" s="81">
        <f>12.7218 * CHOOSE(CONTROL!$C$32, $C$9, 100%, $E$9)</f>
        <v>12.7218</v>
      </c>
      <c r="I390" s="81">
        <f>12.7271 * CHOOSE(CONTROL!$C$32, $C$9, 100%, $E$9)</f>
        <v>12.7271</v>
      </c>
      <c r="J390" s="81">
        <f>12.7218 * CHOOSE(CONTROL!$C$32, $C$9, 100%, $E$9)</f>
        <v>12.7218</v>
      </c>
      <c r="K390" s="81">
        <f>12.7271 * CHOOSE(CONTROL!$C$32, $C$9, 100%, $E$9)</f>
        <v>12.7271</v>
      </c>
      <c r="L390" s="81">
        <f>6.9352 * CHOOSE(CONTROL!$C$32, $C$9, 100%, $E$9)</f>
        <v>6.9352</v>
      </c>
      <c r="M390" s="81">
        <f>6.9405 * CHOOSE(CONTROL!$C$32, $C$9, 100%, $E$9)</f>
        <v>6.9405000000000001</v>
      </c>
      <c r="N390" s="81">
        <f>6.9352 * CHOOSE(CONTROL!$C$32, $C$9, 100%, $E$9)</f>
        <v>6.9352</v>
      </c>
      <c r="O390" s="81">
        <f>6.9405 * CHOOSE(CONTROL!$C$32, $C$9, 100%, $E$9)</f>
        <v>6.9405000000000001</v>
      </c>
    </row>
    <row r="391" spans="1:15" ht="15" x14ac:dyDescent="0.2">
      <c r="A391" s="16">
        <v>53114</v>
      </c>
      <c r="B391" s="80">
        <f>5.8979 * CHOOSE(CONTROL!$C$32, $C$9, 100%, $E$9)</f>
        <v>5.8978999999999999</v>
      </c>
      <c r="C391" s="80">
        <f>5.8979 * CHOOSE(CONTROL!$C$32, $C$9, 100%, $E$9)</f>
        <v>5.8978999999999999</v>
      </c>
      <c r="D391" s="80">
        <f>5.8995 * CHOOSE(CONTROL!$C$32, $C$9, 100%, $E$9)</f>
        <v>5.8994999999999997</v>
      </c>
      <c r="E391" s="81">
        <f>6.8966 * CHOOSE(CONTROL!$C$32, $C$9, 100%, $E$9)</f>
        <v>6.8966000000000003</v>
      </c>
      <c r="F391" s="81">
        <f>6.8966 * CHOOSE(CONTROL!$C$32, $C$9, 100%, $E$9)</f>
        <v>6.8966000000000003</v>
      </c>
      <c r="G391" s="81">
        <f>6.9019 * CHOOSE(CONTROL!$C$32, $C$9, 100%, $E$9)</f>
        <v>6.9019000000000004</v>
      </c>
      <c r="H391" s="81">
        <f>12.7483 * CHOOSE(CONTROL!$C$32, $C$9, 100%, $E$9)</f>
        <v>12.7483</v>
      </c>
      <c r="I391" s="81">
        <f>12.7536 * CHOOSE(CONTROL!$C$32, $C$9, 100%, $E$9)</f>
        <v>12.7536</v>
      </c>
      <c r="J391" s="81">
        <f>12.7483 * CHOOSE(CONTROL!$C$32, $C$9, 100%, $E$9)</f>
        <v>12.7483</v>
      </c>
      <c r="K391" s="81">
        <f>12.7536 * CHOOSE(CONTROL!$C$32, $C$9, 100%, $E$9)</f>
        <v>12.7536</v>
      </c>
      <c r="L391" s="81">
        <f>6.8966 * CHOOSE(CONTROL!$C$32, $C$9, 100%, $E$9)</f>
        <v>6.8966000000000003</v>
      </c>
      <c r="M391" s="81">
        <f>6.9019 * CHOOSE(CONTROL!$C$32, $C$9, 100%, $E$9)</f>
        <v>6.9019000000000004</v>
      </c>
      <c r="N391" s="81">
        <f>6.8966 * CHOOSE(CONTROL!$C$32, $C$9, 100%, $E$9)</f>
        <v>6.8966000000000003</v>
      </c>
      <c r="O391" s="81">
        <f>6.9019 * CHOOSE(CONTROL!$C$32, $C$9, 100%, $E$9)</f>
        <v>6.9019000000000004</v>
      </c>
    </row>
    <row r="392" spans="1:15" ht="15" x14ac:dyDescent="0.2">
      <c r="A392" s="16">
        <v>53144</v>
      </c>
      <c r="B392" s="80">
        <f>5.9772 * CHOOSE(CONTROL!$C$32, $C$9, 100%, $E$9)</f>
        <v>5.9771999999999998</v>
      </c>
      <c r="C392" s="80">
        <f>5.9772 * CHOOSE(CONTROL!$C$32, $C$9, 100%, $E$9)</f>
        <v>5.9771999999999998</v>
      </c>
      <c r="D392" s="80">
        <f>5.9788 * CHOOSE(CONTROL!$C$32, $C$9, 100%, $E$9)</f>
        <v>5.9787999999999997</v>
      </c>
      <c r="E392" s="81">
        <f>6.9386 * CHOOSE(CONTROL!$C$32, $C$9, 100%, $E$9)</f>
        <v>6.9386000000000001</v>
      </c>
      <c r="F392" s="81">
        <f>6.9386 * CHOOSE(CONTROL!$C$32, $C$9, 100%, $E$9)</f>
        <v>6.9386000000000001</v>
      </c>
      <c r="G392" s="81">
        <f>6.9439 * CHOOSE(CONTROL!$C$32, $C$9, 100%, $E$9)</f>
        <v>6.9439000000000002</v>
      </c>
      <c r="H392" s="81">
        <f>12.7749 * CHOOSE(CONTROL!$C$32, $C$9, 100%, $E$9)</f>
        <v>12.774900000000001</v>
      </c>
      <c r="I392" s="81">
        <f>12.7802 * CHOOSE(CONTROL!$C$32, $C$9, 100%, $E$9)</f>
        <v>12.780200000000001</v>
      </c>
      <c r="J392" s="81">
        <f>12.7749 * CHOOSE(CONTROL!$C$32, $C$9, 100%, $E$9)</f>
        <v>12.774900000000001</v>
      </c>
      <c r="K392" s="81">
        <f>12.7802 * CHOOSE(CONTROL!$C$32, $C$9, 100%, $E$9)</f>
        <v>12.780200000000001</v>
      </c>
      <c r="L392" s="81">
        <f>6.9386 * CHOOSE(CONTROL!$C$32, $C$9, 100%, $E$9)</f>
        <v>6.9386000000000001</v>
      </c>
      <c r="M392" s="81">
        <f>6.9439 * CHOOSE(CONTROL!$C$32, $C$9, 100%, $E$9)</f>
        <v>6.9439000000000002</v>
      </c>
      <c r="N392" s="81">
        <f>6.9386 * CHOOSE(CONTROL!$C$32, $C$9, 100%, $E$9)</f>
        <v>6.9386000000000001</v>
      </c>
      <c r="O392" s="81">
        <f>6.9439 * CHOOSE(CONTROL!$C$32, $C$9, 100%, $E$9)</f>
        <v>6.9439000000000002</v>
      </c>
    </row>
    <row r="393" spans="1:15" ht="15" x14ac:dyDescent="0.2">
      <c r="A393" s="16">
        <v>53175</v>
      </c>
      <c r="B393" s="80">
        <f>5.9839 * CHOOSE(CONTROL!$C$32, $C$9, 100%, $E$9)</f>
        <v>5.9839000000000002</v>
      </c>
      <c r="C393" s="80">
        <f>5.9839 * CHOOSE(CONTROL!$C$32, $C$9, 100%, $E$9)</f>
        <v>5.9839000000000002</v>
      </c>
      <c r="D393" s="80">
        <f>5.9855 * CHOOSE(CONTROL!$C$32, $C$9, 100%, $E$9)</f>
        <v>5.9855</v>
      </c>
      <c r="E393" s="81">
        <f>6.8147 * CHOOSE(CONTROL!$C$32, $C$9, 100%, $E$9)</f>
        <v>6.8147000000000002</v>
      </c>
      <c r="F393" s="81">
        <f>6.8147 * CHOOSE(CONTROL!$C$32, $C$9, 100%, $E$9)</f>
        <v>6.8147000000000002</v>
      </c>
      <c r="G393" s="81">
        <f>6.82 * CHOOSE(CONTROL!$C$32, $C$9, 100%, $E$9)</f>
        <v>6.82</v>
      </c>
      <c r="H393" s="81">
        <f>12.8015 * CHOOSE(CONTROL!$C$32, $C$9, 100%, $E$9)</f>
        <v>12.801500000000001</v>
      </c>
      <c r="I393" s="81">
        <f>12.8068 * CHOOSE(CONTROL!$C$32, $C$9, 100%, $E$9)</f>
        <v>12.806800000000001</v>
      </c>
      <c r="J393" s="81">
        <f>12.8015 * CHOOSE(CONTROL!$C$32, $C$9, 100%, $E$9)</f>
        <v>12.801500000000001</v>
      </c>
      <c r="K393" s="81">
        <f>12.8068 * CHOOSE(CONTROL!$C$32, $C$9, 100%, $E$9)</f>
        <v>12.806800000000001</v>
      </c>
      <c r="L393" s="81">
        <f>6.8147 * CHOOSE(CONTROL!$C$32, $C$9, 100%, $E$9)</f>
        <v>6.8147000000000002</v>
      </c>
      <c r="M393" s="81">
        <f>6.82 * CHOOSE(CONTROL!$C$32, $C$9, 100%, $E$9)</f>
        <v>6.82</v>
      </c>
      <c r="N393" s="81">
        <f>6.8147 * CHOOSE(CONTROL!$C$32, $C$9, 100%, $E$9)</f>
        <v>6.8147000000000002</v>
      </c>
      <c r="O393" s="81">
        <f>6.82 * CHOOSE(CONTROL!$C$32, $C$9, 100%, $E$9)</f>
        <v>6.82</v>
      </c>
    </row>
    <row r="394" spans="1:15" ht="15" x14ac:dyDescent="0.2">
      <c r="A394" s="16">
        <v>53206</v>
      </c>
      <c r="B394" s="80">
        <f>5.9809 * CHOOSE(CONTROL!$C$32, $C$9, 100%, $E$9)</f>
        <v>5.9809000000000001</v>
      </c>
      <c r="C394" s="80">
        <f>5.9809 * CHOOSE(CONTROL!$C$32, $C$9, 100%, $E$9)</f>
        <v>5.9809000000000001</v>
      </c>
      <c r="D394" s="80">
        <f>5.9824 * CHOOSE(CONTROL!$C$32, $C$9, 100%, $E$9)</f>
        <v>5.9824000000000002</v>
      </c>
      <c r="E394" s="81">
        <f>6.7983 * CHOOSE(CONTROL!$C$32, $C$9, 100%, $E$9)</f>
        <v>6.7983000000000002</v>
      </c>
      <c r="F394" s="81">
        <f>6.7983 * CHOOSE(CONTROL!$C$32, $C$9, 100%, $E$9)</f>
        <v>6.7983000000000002</v>
      </c>
      <c r="G394" s="81">
        <f>6.8036 * CHOOSE(CONTROL!$C$32, $C$9, 100%, $E$9)</f>
        <v>6.8036000000000003</v>
      </c>
      <c r="H394" s="81">
        <f>12.8282 * CHOOSE(CONTROL!$C$32, $C$9, 100%, $E$9)</f>
        <v>12.828200000000001</v>
      </c>
      <c r="I394" s="81">
        <f>12.8335 * CHOOSE(CONTROL!$C$32, $C$9, 100%, $E$9)</f>
        <v>12.833500000000001</v>
      </c>
      <c r="J394" s="81">
        <f>12.8282 * CHOOSE(CONTROL!$C$32, $C$9, 100%, $E$9)</f>
        <v>12.828200000000001</v>
      </c>
      <c r="K394" s="81">
        <f>12.8335 * CHOOSE(CONTROL!$C$32, $C$9, 100%, $E$9)</f>
        <v>12.833500000000001</v>
      </c>
      <c r="L394" s="81">
        <f>6.7983 * CHOOSE(CONTROL!$C$32, $C$9, 100%, $E$9)</f>
        <v>6.7983000000000002</v>
      </c>
      <c r="M394" s="81">
        <f>6.8036 * CHOOSE(CONTROL!$C$32, $C$9, 100%, $E$9)</f>
        <v>6.8036000000000003</v>
      </c>
      <c r="N394" s="81">
        <f>6.7983 * CHOOSE(CONTROL!$C$32, $C$9, 100%, $E$9)</f>
        <v>6.7983000000000002</v>
      </c>
      <c r="O394" s="81">
        <f>6.8036 * CHOOSE(CONTROL!$C$32, $C$9, 100%, $E$9)</f>
        <v>6.8036000000000003</v>
      </c>
    </row>
    <row r="395" spans="1:15" ht="15" x14ac:dyDescent="0.2">
      <c r="A395" s="16">
        <v>53236</v>
      </c>
      <c r="B395" s="80">
        <f>5.9833 * CHOOSE(CONTROL!$C$32, $C$9, 100%, $E$9)</f>
        <v>5.9832999999999998</v>
      </c>
      <c r="C395" s="80">
        <f>5.9833 * CHOOSE(CONTROL!$C$32, $C$9, 100%, $E$9)</f>
        <v>5.9832999999999998</v>
      </c>
      <c r="D395" s="80">
        <f>5.9844 * CHOOSE(CONTROL!$C$32, $C$9, 100%, $E$9)</f>
        <v>5.9843999999999999</v>
      </c>
      <c r="E395" s="81">
        <f>6.842 * CHOOSE(CONTROL!$C$32, $C$9, 100%, $E$9)</f>
        <v>6.8419999999999996</v>
      </c>
      <c r="F395" s="81">
        <f>6.842 * CHOOSE(CONTROL!$C$32, $C$9, 100%, $E$9)</f>
        <v>6.8419999999999996</v>
      </c>
      <c r="G395" s="81">
        <f>6.8456 * CHOOSE(CONTROL!$C$32, $C$9, 100%, $E$9)</f>
        <v>6.8456000000000001</v>
      </c>
      <c r="H395" s="81">
        <f>12.8549 * CHOOSE(CONTROL!$C$32, $C$9, 100%, $E$9)</f>
        <v>12.854900000000001</v>
      </c>
      <c r="I395" s="81">
        <f>12.8585 * CHOOSE(CONTROL!$C$32, $C$9, 100%, $E$9)</f>
        <v>12.858499999999999</v>
      </c>
      <c r="J395" s="81">
        <f>12.8549 * CHOOSE(CONTROL!$C$32, $C$9, 100%, $E$9)</f>
        <v>12.854900000000001</v>
      </c>
      <c r="K395" s="81">
        <f>12.8585 * CHOOSE(CONTROL!$C$32, $C$9, 100%, $E$9)</f>
        <v>12.858499999999999</v>
      </c>
      <c r="L395" s="81">
        <f>6.842 * CHOOSE(CONTROL!$C$32, $C$9, 100%, $E$9)</f>
        <v>6.8419999999999996</v>
      </c>
      <c r="M395" s="81">
        <f>6.8456 * CHOOSE(CONTROL!$C$32, $C$9, 100%, $E$9)</f>
        <v>6.8456000000000001</v>
      </c>
      <c r="N395" s="81">
        <f>6.842 * CHOOSE(CONTROL!$C$32, $C$9, 100%, $E$9)</f>
        <v>6.8419999999999996</v>
      </c>
      <c r="O395" s="81">
        <f>6.8456 * CHOOSE(CONTROL!$C$32, $C$9, 100%, $E$9)</f>
        <v>6.8456000000000001</v>
      </c>
    </row>
    <row r="396" spans="1:15" ht="15" x14ac:dyDescent="0.2">
      <c r="A396" s="16">
        <v>53267</v>
      </c>
      <c r="B396" s="80">
        <f>5.9863 * CHOOSE(CONTROL!$C$32, $C$9, 100%, $E$9)</f>
        <v>5.9863</v>
      </c>
      <c r="C396" s="80">
        <f>5.9863 * CHOOSE(CONTROL!$C$32, $C$9, 100%, $E$9)</f>
        <v>5.9863</v>
      </c>
      <c r="D396" s="80">
        <f>5.9874 * CHOOSE(CONTROL!$C$32, $C$9, 100%, $E$9)</f>
        <v>5.9874000000000001</v>
      </c>
      <c r="E396" s="81">
        <f>6.8727 * CHOOSE(CONTROL!$C$32, $C$9, 100%, $E$9)</f>
        <v>6.8727</v>
      </c>
      <c r="F396" s="81">
        <f>6.8727 * CHOOSE(CONTROL!$C$32, $C$9, 100%, $E$9)</f>
        <v>6.8727</v>
      </c>
      <c r="G396" s="81">
        <f>6.8763 * CHOOSE(CONTROL!$C$32, $C$9, 100%, $E$9)</f>
        <v>6.8762999999999996</v>
      </c>
      <c r="H396" s="81">
        <f>12.8817 * CHOOSE(CONTROL!$C$32, $C$9, 100%, $E$9)</f>
        <v>12.8817</v>
      </c>
      <c r="I396" s="81">
        <f>12.8853 * CHOOSE(CONTROL!$C$32, $C$9, 100%, $E$9)</f>
        <v>12.885300000000001</v>
      </c>
      <c r="J396" s="81">
        <f>12.8817 * CHOOSE(CONTROL!$C$32, $C$9, 100%, $E$9)</f>
        <v>12.8817</v>
      </c>
      <c r="K396" s="81">
        <f>12.8853 * CHOOSE(CONTROL!$C$32, $C$9, 100%, $E$9)</f>
        <v>12.885300000000001</v>
      </c>
      <c r="L396" s="81">
        <f>6.8727 * CHOOSE(CONTROL!$C$32, $C$9, 100%, $E$9)</f>
        <v>6.8727</v>
      </c>
      <c r="M396" s="81">
        <f>6.8763 * CHOOSE(CONTROL!$C$32, $C$9, 100%, $E$9)</f>
        <v>6.8762999999999996</v>
      </c>
      <c r="N396" s="81">
        <f>6.8727 * CHOOSE(CONTROL!$C$32, $C$9, 100%, $E$9)</f>
        <v>6.8727</v>
      </c>
      <c r="O396" s="81">
        <f>6.8763 * CHOOSE(CONTROL!$C$32, $C$9, 100%, $E$9)</f>
        <v>6.8762999999999996</v>
      </c>
    </row>
    <row r="397" spans="1:15" ht="15" x14ac:dyDescent="0.2">
      <c r="A397" s="16">
        <v>53297</v>
      </c>
      <c r="B397" s="80">
        <f>5.9863 * CHOOSE(CONTROL!$C$32, $C$9, 100%, $E$9)</f>
        <v>5.9863</v>
      </c>
      <c r="C397" s="80">
        <f>5.9863 * CHOOSE(CONTROL!$C$32, $C$9, 100%, $E$9)</f>
        <v>5.9863</v>
      </c>
      <c r="D397" s="80">
        <f>5.9874 * CHOOSE(CONTROL!$C$32, $C$9, 100%, $E$9)</f>
        <v>5.9874000000000001</v>
      </c>
      <c r="E397" s="81">
        <f>6.8013 * CHOOSE(CONTROL!$C$32, $C$9, 100%, $E$9)</f>
        <v>6.8013000000000003</v>
      </c>
      <c r="F397" s="81">
        <f>6.8013 * CHOOSE(CONTROL!$C$32, $C$9, 100%, $E$9)</f>
        <v>6.8013000000000003</v>
      </c>
      <c r="G397" s="81">
        <f>6.8049 * CHOOSE(CONTROL!$C$32, $C$9, 100%, $E$9)</f>
        <v>6.8048999999999999</v>
      </c>
      <c r="H397" s="81">
        <f>12.9085 * CHOOSE(CONTROL!$C$32, $C$9, 100%, $E$9)</f>
        <v>12.9085</v>
      </c>
      <c r="I397" s="81">
        <f>12.9121 * CHOOSE(CONTROL!$C$32, $C$9, 100%, $E$9)</f>
        <v>12.912100000000001</v>
      </c>
      <c r="J397" s="81">
        <f>12.9085 * CHOOSE(CONTROL!$C$32, $C$9, 100%, $E$9)</f>
        <v>12.9085</v>
      </c>
      <c r="K397" s="81">
        <f>12.9121 * CHOOSE(CONTROL!$C$32, $C$9, 100%, $E$9)</f>
        <v>12.912100000000001</v>
      </c>
      <c r="L397" s="81">
        <f>6.8013 * CHOOSE(CONTROL!$C$32, $C$9, 100%, $E$9)</f>
        <v>6.8013000000000003</v>
      </c>
      <c r="M397" s="81">
        <f>6.8049 * CHOOSE(CONTROL!$C$32, $C$9, 100%, $E$9)</f>
        <v>6.8048999999999999</v>
      </c>
      <c r="N397" s="81">
        <f>6.8013 * CHOOSE(CONTROL!$C$32, $C$9, 100%, $E$9)</f>
        <v>6.8013000000000003</v>
      </c>
      <c r="O397" s="81">
        <f>6.8049 * CHOOSE(CONTROL!$C$32, $C$9, 100%, $E$9)</f>
        <v>6.8048999999999999</v>
      </c>
    </row>
    <row r="398" spans="1:15" ht="15" x14ac:dyDescent="0.2">
      <c r="A398" s="16">
        <v>53328</v>
      </c>
      <c r="B398" s="80">
        <f>6.0321 * CHOOSE(CONTROL!$C$32, $C$9, 100%, $E$9)</f>
        <v>6.0320999999999998</v>
      </c>
      <c r="C398" s="80">
        <f>6.0321 * CHOOSE(CONTROL!$C$32, $C$9, 100%, $E$9)</f>
        <v>6.0320999999999998</v>
      </c>
      <c r="D398" s="80">
        <f>6.0332 * CHOOSE(CONTROL!$C$32, $C$9, 100%, $E$9)</f>
        <v>6.0331999999999999</v>
      </c>
      <c r="E398" s="81">
        <f>6.8926 * CHOOSE(CONTROL!$C$32, $C$9, 100%, $E$9)</f>
        <v>6.8925999999999998</v>
      </c>
      <c r="F398" s="81">
        <f>6.8926 * CHOOSE(CONTROL!$C$32, $C$9, 100%, $E$9)</f>
        <v>6.8925999999999998</v>
      </c>
      <c r="G398" s="81">
        <f>6.8962 * CHOOSE(CONTROL!$C$32, $C$9, 100%, $E$9)</f>
        <v>6.8962000000000003</v>
      </c>
      <c r="H398" s="81">
        <f>12.9354 * CHOOSE(CONTROL!$C$32, $C$9, 100%, $E$9)</f>
        <v>12.9354</v>
      </c>
      <c r="I398" s="81">
        <f>12.939 * CHOOSE(CONTROL!$C$32, $C$9, 100%, $E$9)</f>
        <v>12.939</v>
      </c>
      <c r="J398" s="81">
        <f>12.9354 * CHOOSE(CONTROL!$C$32, $C$9, 100%, $E$9)</f>
        <v>12.9354</v>
      </c>
      <c r="K398" s="81">
        <f>12.939 * CHOOSE(CONTROL!$C$32, $C$9, 100%, $E$9)</f>
        <v>12.939</v>
      </c>
      <c r="L398" s="81">
        <f>6.8926 * CHOOSE(CONTROL!$C$32, $C$9, 100%, $E$9)</f>
        <v>6.8925999999999998</v>
      </c>
      <c r="M398" s="81">
        <f>6.8962 * CHOOSE(CONTROL!$C$32, $C$9, 100%, $E$9)</f>
        <v>6.8962000000000003</v>
      </c>
      <c r="N398" s="81">
        <f>6.8926 * CHOOSE(CONTROL!$C$32, $C$9, 100%, $E$9)</f>
        <v>6.8925999999999998</v>
      </c>
      <c r="O398" s="81">
        <f>6.8962 * CHOOSE(CONTROL!$C$32, $C$9, 100%, $E$9)</f>
        <v>6.8962000000000003</v>
      </c>
    </row>
    <row r="399" spans="1:15" ht="15" x14ac:dyDescent="0.2">
      <c r="A399" s="16">
        <v>53359</v>
      </c>
      <c r="B399" s="80">
        <f>6.0291 * CHOOSE(CONTROL!$C$32, $C$9, 100%, $E$9)</f>
        <v>6.0290999999999997</v>
      </c>
      <c r="C399" s="80">
        <f>6.0291 * CHOOSE(CONTROL!$C$32, $C$9, 100%, $E$9)</f>
        <v>6.0290999999999997</v>
      </c>
      <c r="D399" s="80">
        <f>6.0302 * CHOOSE(CONTROL!$C$32, $C$9, 100%, $E$9)</f>
        <v>6.0301999999999998</v>
      </c>
      <c r="E399" s="81">
        <f>6.7511 * CHOOSE(CONTROL!$C$32, $C$9, 100%, $E$9)</f>
        <v>6.7511000000000001</v>
      </c>
      <c r="F399" s="81">
        <f>6.7511 * CHOOSE(CONTROL!$C$32, $C$9, 100%, $E$9)</f>
        <v>6.7511000000000001</v>
      </c>
      <c r="G399" s="81">
        <f>6.7547 * CHOOSE(CONTROL!$C$32, $C$9, 100%, $E$9)</f>
        <v>6.7546999999999997</v>
      </c>
      <c r="H399" s="81">
        <f>12.9624 * CHOOSE(CONTROL!$C$32, $C$9, 100%, $E$9)</f>
        <v>12.962400000000001</v>
      </c>
      <c r="I399" s="81">
        <f>12.966 * CHOOSE(CONTROL!$C$32, $C$9, 100%, $E$9)</f>
        <v>12.965999999999999</v>
      </c>
      <c r="J399" s="81">
        <f>12.9624 * CHOOSE(CONTROL!$C$32, $C$9, 100%, $E$9)</f>
        <v>12.962400000000001</v>
      </c>
      <c r="K399" s="81">
        <f>12.966 * CHOOSE(CONTROL!$C$32, $C$9, 100%, $E$9)</f>
        <v>12.965999999999999</v>
      </c>
      <c r="L399" s="81">
        <f>6.7511 * CHOOSE(CONTROL!$C$32, $C$9, 100%, $E$9)</f>
        <v>6.7511000000000001</v>
      </c>
      <c r="M399" s="81">
        <f>6.7547 * CHOOSE(CONTROL!$C$32, $C$9, 100%, $E$9)</f>
        <v>6.7546999999999997</v>
      </c>
      <c r="N399" s="81">
        <f>6.7511 * CHOOSE(CONTROL!$C$32, $C$9, 100%, $E$9)</f>
        <v>6.7511000000000001</v>
      </c>
      <c r="O399" s="81">
        <f>6.7547 * CHOOSE(CONTROL!$C$32, $C$9, 100%, $E$9)</f>
        <v>6.7546999999999997</v>
      </c>
    </row>
    <row r="400" spans="1:15" ht="15" x14ac:dyDescent="0.2">
      <c r="A400" s="16">
        <v>53387</v>
      </c>
      <c r="B400" s="80">
        <f>6.0261 * CHOOSE(CONTROL!$C$32, $C$9, 100%, $E$9)</f>
        <v>6.0260999999999996</v>
      </c>
      <c r="C400" s="80">
        <f>6.0261 * CHOOSE(CONTROL!$C$32, $C$9, 100%, $E$9)</f>
        <v>6.0260999999999996</v>
      </c>
      <c r="D400" s="80">
        <f>6.0271 * CHOOSE(CONTROL!$C$32, $C$9, 100%, $E$9)</f>
        <v>6.0270999999999999</v>
      </c>
      <c r="E400" s="81">
        <f>6.8589 * CHOOSE(CONTROL!$C$32, $C$9, 100%, $E$9)</f>
        <v>6.8589000000000002</v>
      </c>
      <c r="F400" s="81">
        <f>6.8589 * CHOOSE(CONTROL!$C$32, $C$9, 100%, $E$9)</f>
        <v>6.8589000000000002</v>
      </c>
      <c r="G400" s="81">
        <f>6.8625 * CHOOSE(CONTROL!$C$32, $C$9, 100%, $E$9)</f>
        <v>6.8624999999999998</v>
      </c>
      <c r="H400" s="81">
        <f>12.9894 * CHOOSE(CONTROL!$C$32, $C$9, 100%, $E$9)</f>
        <v>12.9894</v>
      </c>
      <c r="I400" s="81">
        <f>12.993 * CHOOSE(CONTROL!$C$32, $C$9, 100%, $E$9)</f>
        <v>12.993</v>
      </c>
      <c r="J400" s="81">
        <f>12.9894 * CHOOSE(CONTROL!$C$32, $C$9, 100%, $E$9)</f>
        <v>12.9894</v>
      </c>
      <c r="K400" s="81">
        <f>12.993 * CHOOSE(CONTROL!$C$32, $C$9, 100%, $E$9)</f>
        <v>12.993</v>
      </c>
      <c r="L400" s="81">
        <f>6.8589 * CHOOSE(CONTROL!$C$32, $C$9, 100%, $E$9)</f>
        <v>6.8589000000000002</v>
      </c>
      <c r="M400" s="81">
        <f>6.8625 * CHOOSE(CONTROL!$C$32, $C$9, 100%, $E$9)</f>
        <v>6.8624999999999998</v>
      </c>
      <c r="N400" s="81">
        <f>6.8589 * CHOOSE(CONTROL!$C$32, $C$9, 100%, $E$9)</f>
        <v>6.8589000000000002</v>
      </c>
      <c r="O400" s="81">
        <f>6.8625 * CHOOSE(CONTROL!$C$32, $C$9, 100%, $E$9)</f>
        <v>6.8624999999999998</v>
      </c>
    </row>
    <row r="401" spans="1:15" ht="15" x14ac:dyDescent="0.2">
      <c r="A401" s="16">
        <v>53418</v>
      </c>
      <c r="B401" s="80">
        <f>6.0257 * CHOOSE(CONTROL!$C$32, $C$9, 100%, $E$9)</f>
        <v>6.0256999999999996</v>
      </c>
      <c r="C401" s="80">
        <f>6.0257 * CHOOSE(CONTROL!$C$32, $C$9, 100%, $E$9)</f>
        <v>6.0256999999999996</v>
      </c>
      <c r="D401" s="80">
        <f>6.0268 * CHOOSE(CONTROL!$C$32, $C$9, 100%, $E$9)</f>
        <v>6.0267999999999997</v>
      </c>
      <c r="E401" s="81">
        <f>6.9726 * CHOOSE(CONTROL!$C$32, $C$9, 100%, $E$9)</f>
        <v>6.9725999999999999</v>
      </c>
      <c r="F401" s="81">
        <f>6.9726 * CHOOSE(CONTROL!$C$32, $C$9, 100%, $E$9)</f>
        <v>6.9725999999999999</v>
      </c>
      <c r="G401" s="81">
        <f>6.9762 * CHOOSE(CONTROL!$C$32, $C$9, 100%, $E$9)</f>
        <v>6.9762000000000004</v>
      </c>
      <c r="H401" s="81">
        <f>13.0164 * CHOOSE(CONTROL!$C$32, $C$9, 100%, $E$9)</f>
        <v>13.016400000000001</v>
      </c>
      <c r="I401" s="81">
        <f>13.02 * CHOOSE(CONTROL!$C$32, $C$9, 100%, $E$9)</f>
        <v>13.02</v>
      </c>
      <c r="J401" s="81">
        <f>13.0164 * CHOOSE(CONTROL!$C$32, $C$9, 100%, $E$9)</f>
        <v>13.016400000000001</v>
      </c>
      <c r="K401" s="81">
        <f>13.02 * CHOOSE(CONTROL!$C$32, $C$9, 100%, $E$9)</f>
        <v>13.02</v>
      </c>
      <c r="L401" s="81">
        <f>6.9726 * CHOOSE(CONTROL!$C$32, $C$9, 100%, $E$9)</f>
        <v>6.9725999999999999</v>
      </c>
      <c r="M401" s="81">
        <f>6.9762 * CHOOSE(CONTROL!$C$32, $C$9, 100%, $E$9)</f>
        <v>6.9762000000000004</v>
      </c>
      <c r="N401" s="81">
        <f>6.9726 * CHOOSE(CONTROL!$C$32, $C$9, 100%, $E$9)</f>
        <v>6.9725999999999999</v>
      </c>
      <c r="O401" s="81">
        <f>6.9762 * CHOOSE(CONTROL!$C$32, $C$9, 100%, $E$9)</f>
        <v>6.9762000000000004</v>
      </c>
    </row>
    <row r="402" spans="1:15" ht="15" x14ac:dyDescent="0.2">
      <c r="A402" s="16">
        <v>53448</v>
      </c>
      <c r="B402" s="80">
        <f>6.0257 * CHOOSE(CONTROL!$C$32, $C$9, 100%, $E$9)</f>
        <v>6.0256999999999996</v>
      </c>
      <c r="C402" s="80">
        <f>6.0257 * CHOOSE(CONTROL!$C$32, $C$9, 100%, $E$9)</f>
        <v>6.0256999999999996</v>
      </c>
      <c r="D402" s="80">
        <f>6.0273 * CHOOSE(CONTROL!$C$32, $C$9, 100%, $E$9)</f>
        <v>6.0273000000000003</v>
      </c>
      <c r="E402" s="81">
        <f>7.0168 * CHOOSE(CONTROL!$C$32, $C$9, 100%, $E$9)</f>
        <v>7.0167999999999999</v>
      </c>
      <c r="F402" s="81">
        <f>7.0168 * CHOOSE(CONTROL!$C$32, $C$9, 100%, $E$9)</f>
        <v>7.0167999999999999</v>
      </c>
      <c r="G402" s="81">
        <f>7.0221 * CHOOSE(CONTROL!$C$32, $C$9, 100%, $E$9)</f>
        <v>7.0221</v>
      </c>
      <c r="H402" s="81">
        <f>13.0435 * CHOOSE(CONTROL!$C$32, $C$9, 100%, $E$9)</f>
        <v>13.0435</v>
      </c>
      <c r="I402" s="81">
        <f>13.0488 * CHOOSE(CONTROL!$C$32, $C$9, 100%, $E$9)</f>
        <v>13.0488</v>
      </c>
      <c r="J402" s="81">
        <f>13.0435 * CHOOSE(CONTROL!$C$32, $C$9, 100%, $E$9)</f>
        <v>13.0435</v>
      </c>
      <c r="K402" s="81">
        <f>13.0488 * CHOOSE(CONTROL!$C$32, $C$9, 100%, $E$9)</f>
        <v>13.0488</v>
      </c>
      <c r="L402" s="81">
        <f>7.0168 * CHOOSE(CONTROL!$C$32, $C$9, 100%, $E$9)</f>
        <v>7.0167999999999999</v>
      </c>
      <c r="M402" s="81">
        <f>7.0221 * CHOOSE(CONTROL!$C$32, $C$9, 100%, $E$9)</f>
        <v>7.0221</v>
      </c>
      <c r="N402" s="81">
        <f>7.0168 * CHOOSE(CONTROL!$C$32, $C$9, 100%, $E$9)</f>
        <v>7.0167999999999999</v>
      </c>
      <c r="O402" s="81">
        <f>7.0221 * CHOOSE(CONTROL!$C$32, $C$9, 100%, $E$9)</f>
        <v>7.0221</v>
      </c>
    </row>
    <row r="403" spans="1:15" ht="15" x14ac:dyDescent="0.2">
      <c r="A403" s="16">
        <v>53479</v>
      </c>
      <c r="B403" s="80">
        <f>6.0318 * CHOOSE(CONTROL!$C$32, $C$9, 100%, $E$9)</f>
        <v>6.0317999999999996</v>
      </c>
      <c r="C403" s="80">
        <f>6.0318 * CHOOSE(CONTROL!$C$32, $C$9, 100%, $E$9)</f>
        <v>6.0317999999999996</v>
      </c>
      <c r="D403" s="80">
        <f>6.0333 * CHOOSE(CONTROL!$C$32, $C$9, 100%, $E$9)</f>
        <v>6.0332999999999997</v>
      </c>
      <c r="E403" s="81">
        <f>6.9768 * CHOOSE(CONTROL!$C$32, $C$9, 100%, $E$9)</f>
        <v>6.9767999999999999</v>
      </c>
      <c r="F403" s="81">
        <f>6.9768 * CHOOSE(CONTROL!$C$32, $C$9, 100%, $E$9)</f>
        <v>6.9767999999999999</v>
      </c>
      <c r="G403" s="81">
        <f>6.9821 * CHOOSE(CONTROL!$C$32, $C$9, 100%, $E$9)</f>
        <v>6.9821</v>
      </c>
      <c r="H403" s="81">
        <f>13.0707 * CHOOSE(CONTROL!$C$32, $C$9, 100%, $E$9)</f>
        <v>13.0707</v>
      </c>
      <c r="I403" s="81">
        <f>13.076 * CHOOSE(CONTROL!$C$32, $C$9, 100%, $E$9)</f>
        <v>13.076000000000001</v>
      </c>
      <c r="J403" s="81">
        <f>13.0707 * CHOOSE(CONTROL!$C$32, $C$9, 100%, $E$9)</f>
        <v>13.0707</v>
      </c>
      <c r="K403" s="81">
        <f>13.076 * CHOOSE(CONTROL!$C$32, $C$9, 100%, $E$9)</f>
        <v>13.076000000000001</v>
      </c>
      <c r="L403" s="81">
        <f>6.9768 * CHOOSE(CONTROL!$C$32, $C$9, 100%, $E$9)</f>
        <v>6.9767999999999999</v>
      </c>
      <c r="M403" s="81">
        <f>6.9821 * CHOOSE(CONTROL!$C$32, $C$9, 100%, $E$9)</f>
        <v>6.9821</v>
      </c>
      <c r="N403" s="81">
        <f>6.9768 * CHOOSE(CONTROL!$C$32, $C$9, 100%, $E$9)</f>
        <v>6.9767999999999999</v>
      </c>
      <c r="O403" s="81">
        <f>6.9821 * CHOOSE(CONTROL!$C$32, $C$9, 100%, $E$9)</f>
        <v>6.9821</v>
      </c>
    </row>
    <row r="404" spans="1:15" ht="15" x14ac:dyDescent="0.2">
      <c r="A404" s="16">
        <v>53509</v>
      </c>
      <c r="B404" s="80">
        <f>6.1126 * CHOOSE(CONTROL!$C$32, $C$9, 100%, $E$9)</f>
        <v>6.1125999999999996</v>
      </c>
      <c r="C404" s="80">
        <f>6.1126 * CHOOSE(CONTROL!$C$32, $C$9, 100%, $E$9)</f>
        <v>6.1125999999999996</v>
      </c>
      <c r="D404" s="80">
        <f>6.1142 * CHOOSE(CONTROL!$C$32, $C$9, 100%, $E$9)</f>
        <v>6.1142000000000003</v>
      </c>
      <c r="E404" s="81">
        <f>7.0342 * CHOOSE(CONTROL!$C$32, $C$9, 100%, $E$9)</f>
        <v>7.0342000000000002</v>
      </c>
      <c r="F404" s="81">
        <f>7.0342 * CHOOSE(CONTROL!$C$32, $C$9, 100%, $E$9)</f>
        <v>7.0342000000000002</v>
      </c>
      <c r="G404" s="81">
        <f>7.0395 * CHOOSE(CONTROL!$C$32, $C$9, 100%, $E$9)</f>
        <v>7.0395000000000003</v>
      </c>
      <c r="H404" s="81">
        <f>13.0979 * CHOOSE(CONTROL!$C$32, $C$9, 100%, $E$9)</f>
        <v>13.097899999999999</v>
      </c>
      <c r="I404" s="81">
        <f>13.1032 * CHOOSE(CONTROL!$C$32, $C$9, 100%, $E$9)</f>
        <v>13.103199999999999</v>
      </c>
      <c r="J404" s="81">
        <f>13.0979 * CHOOSE(CONTROL!$C$32, $C$9, 100%, $E$9)</f>
        <v>13.097899999999999</v>
      </c>
      <c r="K404" s="81">
        <f>13.1032 * CHOOSE(CONTROL!$C$32, $C$9, 100%, $E$9)</f>
        <v>13.103199999999999</v>
      </c>
      <c r="L404" s="81">
        <f>7.0342 * CHOOSE(CONTROL!$C$32, $C$9, 100%, $E$9)</f>
        <v>7.0342000000000002</v>
      </c>
      <c r="M404" s="81">
        <f>7.0395 * CHOOSE(CONTROL!$C$32, $C$9, 100%, $E$9)</f>
        <v>7.0395000000000003</v>
      </c>
      <c r="N404" s="81">
        <f>7.0342 * CHOOSE(CONTROL!$C$32, $C$9, 100%, $E$9)</f>
        <v>7.0342000000000002</v>
      </c>
      <c r="O404" s="81">
        <f>7.0395 * CHOOSE(CONTROL!$C$32, $C$9, 100%, $E$9)</f>
        <v>7.0395000000000003</v>
      </c>
    </row>
    <row r="405" spans="1:15" ht="15" x14ac:dyDescent="0.2">
      <c r="A405" s="16">
        <v>53540</v>
      </c>
      <c r="B405" s="80">
        <f>6.1193 * CHOOSE(CONTROL!$C$32, $C$9, 100%, $E$9)</f>
        <v>6.1193</v>
      </c>
      <c r="C405" s="80">
        <f>6.1193 * CHOOSE(CONTROL!$C$32, $C$9, 100%, $E$9)</f>
        <v>6.1193</v>
      </c>
      <c r="D405" s="80">
        <f>6.1209 * CHOOSE(CONTROL!$C$32, $C$9, 100%, $E$9)</f>
        <v>6.1208999999999998</v>
      </c>
      <c r="E405" s="81">
        <f>6.9061 * CHOOSE(CONTROL!$C$32, $C$9, 100%, $E$9)</f>
        <v>6.9061000000000003</v>
      </c>
      <c r="F405" s="81">
        <f>6.9061 * CHOOSE(CONTROL!$C$32, $C$9, 100%, $E$9)</f>
        <v>6.9061000000000003</v>
      </c>
      <c r="G405" s="81">
        <f>6.9114 * CHOOSE(CONTROL!$C$32, $C$9, 100%, $E$9)</f>
        <v>6.9114000000000004</v>
      </c>
      <c r="H405" s="81">
        <f>13.1252 * CHOOSE(CONTROL!$C$32, $C$9, 100%, $E$9)</f>
        <v>13.1252</v>
      </c>
      <c r="I405" s="81">
        <f>13.1305 * CHOOSE(CONTROL!$C$32, $C$9, 100%, $E$9)</f>
        <v>13.1305</v>
      </c>
      <c r="J405" s="81">
        <f>13.1252 * CHOOSE(CONTROL!$C$32, $C$9, 100%, $E$9)</f>
        <v>13.1252</v>
      </c>
      <c r="K405" s="81">
        <f>13.1305 * CHOOSE(CONTROL!$C$32, $C$9, 100%, $E$9)</f>
        <v>13.1305</v>
      </c>
      <c r="L405" s="81">
        <f>6.9061 * CHOOSE(CONTROL!$C$32, $C$9, 100%, $E$9)</f>
        <v>6.9061000000000003</v>
      </c>
      <c r="M405" s="81">
        <f>6.9114 * CHOOSE(CONTROL!$C$32, $C$9, 100%, $E$9)</f>
        <v>6.9114000000000004</v>
      </c>
      <c r="N405" s="81">
        <f>6.9061 * CHOOSE(CONTROL!$C$32, $C$9, 100%, $E$9)</f>
        <v>6.9061000000000003</v>
      </c>
      <c r="O405" s="81">
        <f>6.9114 * CHOOSE(CONTROL!$C$32, $C$9, 100%, $E$9)</f>
        <v>6.9114000000000004</v>
      </c>
    </row>
    <row r="406" spans="1:15" ht="15" x14ac:dyDescent="0.2">
      <c r="A406" s="16">
        <v>53571</v>
      </c>
      <c r="B406" s="80">
        <f>6.1163 * CHOOSE(CONTROL!$C$32, $C$9, 100%, $E$9)</f>
        <v>6.1162999999999998</v>
      </c>
      <c r="C406" s="80">
        <f>6.1163 * CHOOSE(CONTROL!$C$32, $C$9, 100%, $E$9)</f>
        <v>6.1162999999999998</v>
      </c>
      <c r="D406" s="80">
        <f>6.1178 * CHOOSE(CONTROL!$C$32, $C$9, 100%, $E$9)</f>
        <v>6.1177999999999999</v>
      </c>
      <c r="E406" s="81">
        <f>6.8892 * CHOOSE(CONTROL!$C$32, $C$9, 100%, $E$9)</f>
        <v>6.8891999999999998</v>
      </c>
      <c r="F406" s="81">
        <f>6.8892 * CHOOSE(CONTROL!$C$32, $C$9, 100%, $E$9)</f>
        <v>6.8891999999999998</v>
      </c>
      <c r="G406" s="81">
        <f>6.8945 * CHOOSE(CONTROL!$C$32, $C$9, 100%, $E$9)</f>
        <v>6.8944999999999999</v>
      </c>
      <c r="H406" s="81">
        <f>13.1526 * CHOOSE(CONTROL!$C$32, $C$9, 100%, $E$9)</f>
        <v>13.1526</v>
      </c>
      <c r="I406" s="81">
        <f>13.1579 * CHOOSE(CONTROL!$C$32, $C$9, 100%, $E$9)</f>
        <v>13.1579</v>
      </c>
      <c r="J406" s="81">
        <f>13.1526 * CHOOSE(CONTROL!$C$32, $C$9, 100%, $E$9)</f>
        <v>13.1526</v>
      </c>
      <c r="K406" s="81">
        <f>13.1579 * CHOOSE(CONTROL!$C$32, $C$9, 100%, $E$9)</f>
        <v>13.1579</v>
      </c>
      <c r="L406" s="81">
        <f>6.8892 * CHOOSE(CONTROL!$C$32, $C$9, 100%, $E$9)</f>
        <v>6.8891999999999998</v>
      </c>
      <c r="M406" s="81">
        <f>6.8945 * CHOOSE(CONTROL!$C$32, $C$9, 100%, $E$9)</f>
        <v>6.8944999999999999</v>
      </c>
      <c r="N406" s="81">
        <f>6.8892 * CHOOSE(CONTROL!$C$32, $C$9, 100%, $E$9)</f>
        <v>6.8891999999999998</v>
      </c>
      <c r="O406" s="81">
        <f>6.8945 * CHOOSE(CONTROL!$C$32, $C$9, 100%, $E$9)</f>
        <v>6.8944999999999999</v>
      </c>
    </row>
    <row r="407" spans="1:15" ht="15" x14ac:dyDescent="0.2">
      <c r="A407" s="16">
        <v>53601</v>
      </c>
      <c r="B407" s="80">
        <f>6.1192 * CHOOSE(CONTROL!$C$32, $C$9, 100%, $E$9)</f>
        <v>6.1192000000000002</v>
      </c>
      <c r="C407" s="80">
        <f>6.1192 * CHOOSE(CONTROL!$C$32, $C$9, 100%, $E$9)</f>
        <v>6.1192000000000002</v>
      </c>
      <c r="D407" s="80">
        <f>6.1203 * CHOOSE(CONTROL!$C$32, $C$9, 100%, $E$9)</f>
        <v>6.1203000000000003</v>
      </c>
      <c r="E407" s="81">
        <f>6.9348 * CHOOSE(CONTROL!$C$32, $C$9, 100%, $E$9)</f>
        <v>6.9348000000000001</v>
      </c>
      <c r="F407" s="81">
        <f>6.9348 * CHOOSE(CONTROL!$C$32, $C$9, 100%, $E$9)</f>
        <v>6.9348000000000001</v>
      </c>
      <c r="G407" s="81">
        <f>6.9384 * CHOOSE(CONTROL!$C$32, $C$9, 100%, $E$9)</f>
        <v>6.9383999999999997</v>
      </c>
      <c r="H407" s="81">
        <f>13.18 * CHOOSE(CONTROL!$C$32, $C$9, 100%, $E$9)</f>
        <v>13.18</v>
      </c>
      <c r="I407" s="81">
        <f>13.1836 * CHOOSE(CONTROL!$C$32, $C$9, 100%, $E$9)</f>
        <v>13.1836</v>
      </c>
      <c r="J407" s="81">
        <f>13.18 * CHOOSE(CONTROL!$C$32, $C$9, 100%, $E$9)</f>
        <v>13.18</v>
      </c>
      <c r="K407" s="81">
        <f>13.1836 * CHOOSE(CONTROL!$C$32, $C$9, 100%, $E$9)</f>
        <v>13.1836</v>
      </c>
      <c r="L407" s="81">
        <f>6.9348 * CHOOSE(CONTROL!$C$32, $C$9, 100%, $E$9)</f>
        <v>6.9348000000000001</v>
      </c>
      <c r="M407" s="81">
        <f>6.9384 * CHOOSE(CONTROL!$C$32, $C$9, 100%, $E$9)</f>
        <v>6.9383999999999997</v>
      </c>
      <c r="N407" s="81">
        <f>6.9348 * CHOOSE(CONTROL!$C$32, $C$9, 100%, $E$9)</f>
        <v>6.9348000000000001</v>
      </c>
      <c r="O407" s="81">
        <f>6.9384 * CHOOSE(CONTROL!$C$32, $C$9, 100%, $E$9)</f>
        <v>6.9383999999999997</v>
      </c>
    </row>
    <row r="408" spans="1:15" ht="15" x14ac:dyDescent="0.2">
      <c r="A408" s="16">
        <v>53632</v>
      </c>
      <c r="B408" s="80">
        <f>6.1222 * CHOOSE(CONTROL!$C$32, $C$9, 100%, $E$9)</f>
        <v>6.1222000000000003</v>
      </c>
      <c r="C408" s="80">
        <f>6.1222 * CHOOSE(CONTROL!$C$32, $C$9, 100%, $E$9)</f>
        <v>6.1222000000000003</v>
      </c>
      <c r="D408" s="80">
        <f>6.1233 * CHOOSE(CONTROL!$C$32, $C$9, 100%, $E$9)</f>
        <v>6.1233000000000004</v>
      </c>
      <c r="E408" s="81">
        <f>6.9664 * CHOOSE(CONTROL!$C$32, $C$9, 100%, $E$9)</f>
        <v>6.9664000000000001</v>
      </c>
      <c r="F408" s="81">
        <f>6.9664 * CHOOSE(CONTROL!$C$32, $C$9, 100%, $E$9)</f>
        <v>6.9664000000000001</v>
      </c>
      <c r="G408" s="81">
        <f>6.97 * CHOOSE(CONTROL!$C$32, $C$9, 100%, $E$9)</f>
        <v>6.97</v>
      </c>
      <c r="H408" s="81">
        <f>13.2074 * CHOOSE(CONTROL!$C$32, $C$9, 100%, $E$9)</f>
        <v>13.2074</v>
      </c>
      <c r="I408" s="81">
        <f>13.2111 * CHOOSE(CONTROL!$C$32, $C$9, 100%, $E$9)</f>
        <v>13.2111</v>
      </c>
      <c r="J408" s="81">
        <f>13.2074 * CHOOSE(CONTROL!$C$32, $C$9, 100%, $E$9)</f>
        <v>13.2074</v>
      </c>
      <c r="K408" s="81">
        <f>13.2111 * CHOOSE(CONTROL!$C$32, $C$9, 100%, $E$9)</f>
        <v>13.2111</v>
      </c>
      <c r="L408" s="81">
        <f>6.9664 * CHOOSE(CONTROL!$C$32, $C$9, 100%, $E$9)</f>
        <v>6.9664000000000001</v>
      </c>
      <c r="M408" s="81">
        <f>6.97 * CHOOSE(CONTROL!$C$32, $C$9, 100%, $E$9)</f>
        <v>6.97</v>
      </c>
      <c r="N408" s="81">
        <f>6.9664 * CHOOSE(CONTROL!$C$32, $C$9, 100%, $E$9)</f>
        <v>6.9664000000000001</v>
      </c>
      <c r="O408" s="81">
        <f>6.97 * CHOOSE(CONTROL!$C$32, $C$9, 100%, $E$9)</f>
        <v>6.97</v>
      </c>
    </row>
    <row r="409" spans="1:15" ht="15" x14ac:dyDescent="0.2">
      <c r="A409" s="16">
        <v>53662</v>
      </c>
      <c r="B409" s="80">
        <f>6.1222 * CHOOSE(CONTROL!$C$32, $C$9, 100%, $E$9)</f>
        <v>6.1222000000000003</v>
      </c>
      <c r="C409" s="80">
        <f>6.1222 * CHOOSE(CONTROL!$C$32, $C$9, 100%, $E$9)</f>
        <v>6.1222000000000003</v>
      </c>
      <c r="D409" s="80">
        <f>6.1233 * CHOOSE(CONTROL!$C$32, $C$9, 100%, $E$9)</f>
        <v>6.1233000000000004</v>
      </c>
      <c r="E409" s="81">
        <f>6.8927 * CHOOSE(CONTROL!$C$32, $C$9, 100%, $E$9)</f>
        <v>6.8926999999999996</v>
      </c>
      <c r="F409" s="81">
        <f>6.8927 * CHOOSE(CONTROL!$C$32, $C$9, 100%, $E$9)</f>
        <v>6.8926999999999996</v>
      </c>
      <c r="G409" s="81">
        <f>6.8963 * CHOOSE(CONTROL!$C$32, $C$9, 100%, $E$9)</f>
        <v>6.8963000000000001</v>
      </c>
      <c r="H409" s="81">
        <f>13.235 * CHOOSE(CONTROL!$C$32, $C$9, 100%, $E$9)</f>
        <v>13.234999999999999</v>
      </c>
      <c r="I409" s="81">
        <f>13.2386 * CHOOSE(CONTROL!$C$32, $C$9, 100%, $E$9)</f>
        <v>13.2386</v>
      </c>
      <c r="J409" s="81">
        <f>13.235 * CHOOSE(CONTROL!$C$32, $C$9, 100%, $E$9)</f>
        <v>13.234999999999999</v>
      </c>
      <c r="K409" s="81">
        <f>13.2386 * CHOOSE(CONTROL!$C$32, $C$9, 100%, $E$9)</f>
        <v>13.2386</v>
      </c>
      <c r="L409" s="81">
        <f>6.8927 * CHOOSE(CONTROL!$C$32, $C$9, 100%, $E$9)</f>
        <v>6.8926999999999996</v>
      </c>
      <c r="M409" s="81">
        <f>6.8963 * CHOOSE(CONTROL!$C$32, $C$9, 100%, $E$9)</f>
        <v>6.8963000000000001</v>
      </c>
      <c r="N409" s="81">
        <f>6.8927 * CHOOSE(CONTROL!$C$32, $C$9, 100%, $E$9)</f>
        <v>6.8926999999999996</v>
      </c>
      <c r="O409" s="81">
        <f>6.8963 * CHOOSE(CONTROL!$C$32, $C$9, 100%, $E$9)</f>
        <v>6.8963000000000001</v>
      </c>
    </row>
    <row r="410" spans="1:15" ht="15" x14ac:dyDescent="0.2">
      <c r="A410" s="16">
        <v>53693</v>
      </c>
      <c r="B410" s="80">
        <f>6.169 * CHOOSE(CONTROL!$C$32, $C$9, 100%, $E$9)</f>
        <v>6.1689999999999996</v>
      </c>
      <c r="C410" s="80">
        <f>6.169 * CHOOSE(CONTROL!$C$32, $C$9, 100%, $E$9)</f>
        <v>6.1689999999999996</v>
      </c>
      <c r="D410" s="80">
        <f>6.17 * CHOOSE(CONTROL!$C$32, $C$9, 100%, $E$9)</f>
        <v>6.17</v>
      </c>
      <c r="E410" s="81">
        <f>6.9915 * CHOOSE(CONTROL!$C$32, $C$9, 100%, $E$9)</f>
        <v>6.9915000000000003</v>
      </c>
      <c r="F410" s="81">
        <f>6.9915 * CHOOSE(CONTROL!$C$32, $C$9, 100%, $E$9)</f>
        <v>6.9915000000000003</v>
      </c>
      <c r="G410" s="81">
        <f>6.9951 * CHOOSE(CONTROL!$C$32, $C$9, 100%, $E$9)</f>
        <v>6.9950999999999999</v>
      </c>
      <c r="H410" s="81">
        <f>13.2625 * CHOOSE(CONTROL!$C$32, $C$9, 100%, $E$9)</f>
        <v>13.262499999999999</v>
      </c>
      <c r="I410" s="81">
        <f>13.2661 * CHOOSE(CONTROL!$C$32, $C$9, 100%, $E$9)</f>
        <v>13.2661</v>
      </c>
      <c r="J410" s="81">
        <f>13.2625 * CHOOSE(CONTROL!$C$32, $C$9, 100%, $E$9)</f>
        <v>13.262499999999999</v>
      </c>
      <c r="K410" s="81">
        <f>13.2661 * CHOOSE(CONTROL!$C$32, $C$9, 100%, $E$9)</f>
        <v>13.2661</v>
      </c>
      <c r="L410" s="81">
        <f>6.9915 * CHOOSE(CONTROL!$C$32, $C$9, 100%, $E$9)</f>
        <v>6.9915000000000003</v>
      </c>
      <c r="M410" s="81">
        <f>6.9951 * CHOOSE(CONTROL!$C$32, $C$9, 100%, $E$9)</f>
        <v>6.9950999999999999</v>
      </c>
      <c r="N410" s="81">
        <f>6.9915 * CHOOSE(CONTROL!$C$32, $C$9, 100%, $E$9)</f>
        <v>6.9915000000000003</v>
      </c>
      <c r="O410" s="81">
        <f>6.9951 * CHOOSE(CONTROL!$C$32, $C$9, 100%, $E$9)</f>
        <v>6.9950999999999999</v>
      </c>
    </row>
    <row r="411" spans="1:15" ht="15" x14ac:dyDescent="0.2">
      <c r="A411" s="16">
        <v>53724</v>
      </c>
      <c r="B411" s="80">
        <f>6.1659 * CHOOSE(CONTROL!$C$32, $C$9, 100%, $E$9)</f>
        <v>6.1658999999999997</v>
      </c>
      <c r="C411" s="80">
        <f>6.1659 * CHOOSE(CONTROL!$C$32, $C$9, 100%, $E$9)</f>
        <v>6.1658999999999997</v>
      </c>
      <c r="D411" s="80">
        <f>6.167 * CHOOSE(CONTROL!$C$32, $C$9, 100%, $E$9)</f>
        <v>6.1669999999999998</v>
      </c>
      <c r="E411" s="81">
        <f>6.8455 * CHOOSE(CONTROL!$C$32, $C$9, 100%, $E$9)</f>
        <v>6.8455000000000004</v>
      </c>
      <c r="F411" s="81">
        <f>6.8455 * CHOOSE(CONTROL!$C$32, $C$9, 100%, $E$9)</f>
        <v>6.8455000000000004</v>
      </c>
      <c r="G411" s="81">
        <f>6.8491 * CHOOSE(CONTROL!$C$32, $C$9, 100%, $E$9)</f>
        <v>6.8491</v>
      </c>
      <c r="H411" s="81">
        <f>13.2902 * CHOOSE(CONTROL!$C$32, $C$9, 100%, $E$9)</f>
        <v>13.2902</v>
      </c>
      <c r="I411" s="81">
        <f>13.2938 * CHOOSE(CONTROL!$C$32, $C$9, 100%, $E$9)</f>
        <v>13.293799999999999</v>
      </c>
      <c r="J411" s="81">
        <f>13.2902 * CHOOSE(CONTROL!$C$32, $C$9, 100%, $E$9)</f>
        <v>13.2902</v>
      </c>
      <c r="K411" s="81">
        <f>13.2938 * CHOOSE(CONTROL!$C$32, $C$9, 100%, $E$9)</f>
        <v>13.293799999999999</v>
      </c>
      <c r="L411" s="81">
        <f>6.8455 * CHOOSE(CONTROL!$C$32, $C$9, 100%, $E$9)</f>
        <v>6.8455000000000004</v>
      </c>
      <c r="M411" s="81">
        <f>6.8491 * CHOOSE(CONTROL!$C$32, $C$9, 100%, $E$9)</f>
        <v>6.8491</v>
      </c>
      <c r="N411" s="81">
        <f>6.8455 * CHOOSE(CONTROL!$C$32, $C$9, 100%, $E$9)</f>
        <v>6.8455000000000004</v>
      </c>
      <c r="O411" s="81">
        <f>6.8491 * CHOOSE(CONTROL!$C$32, $C$9, 100%, $E$9)</f>
        <v>6.8491</v>
      </c>
    </row>
    <row r="412" spans="1:15" ht="15" x14ac:dyDescent="0.2">
      <c r="A412" s="16">
        <v>53752</v>
      </c>
      <c r="B412" s="80">
        <f>6.1629 * CHOOSE(CONTROL!$C$32, $C$9, 100%, $E$9)</f>
        <v>6.1628999999999996</v>
      </c>
      <c r="C412" s="80">
        <f>6.1629 * CHOOSE(CONTROL!$C$32, $C$9, 100%, $E$9)</f>
        <v>6.1628999999999996</v>
      </c>
      <c r="D412" s="80">
        <f>6.164 * CHOOSE(CONTROL!$C$32, $C$9, 100%, $E$9)</f>
        <v>6.1639999999999997</v>
      </c>
      <c r="E412" s="81">
        <f>6.9568 * CHOOSE(CONTROL!$C$32, $C$9, 100%, $E$9)</f>
        <v>6.9568000000000003</v>
      </c>
      <c r="F412" s="81">
        <f>6.9568 * CHOOSE(CONTROL!$C$32, $C$9, 100%, $E$9)</f>
        <v>6.9568000000000003</v>
      </c>
      <c r="G412" s="81">
        <f>6.9605 * CHOOSE(CONTROL!$C$32, $C$9, 100%, $E$9)</f>
        <v>6.9604999999999997</v>
      </c>
      <c r="H412" s="81">
        <f>13.3178 * CHOOSE(CONTROL!$C$32, $C$9, 100%, $E$9)</f>
        <v>13.3178</v>
      </c>
      <c r="I412" s="81">
        <f>13.3215 * CHOOSE(CONTROL!$C$32, $C$9, 100%, $E$9)</f>
        <v>13.3215</v>
      </c>
      <c r="J412" s="81">
        <f>13.3178 * CHOOSE(CONTROL!$C$32, $C$9, 100%, $E$9)</f>
        <v>13.3178</v>
      </c>
      <c r="K412" s="81">
        <f>13.3215 * CHOOSE(CONTROL!$C$32, $C$9, 100%, $E$9)</f>
        <v>13.3215</v>
      </c>
      <c r="L412" s="81">
        <f>6.9568 * CHOOSE(CONTROL!$C$32, $C$9, 100%, $E$9)</f>
        <v>6.9568000000000003</v>
      </c>
      <c r="M412" s="81">
        <f>6.9605 * CHOOSE(CONTROL!$C$32, $C$9, 100%, $E$9)</f>
        <v>6.9604999999999997</v>
      </c>
      <c r="N412" s="81">
        <f>6.9568 * CHOOSE(CONTROL!$C$32, $C$9, 100%, $E$9)</f>
        <v>6.9568000000000003</v>
      </c>
      <c r="O412" s="81">
        <f>6.9605 * CHOOSE(CONTROL!$C$32, $C$9, 100%, $E$9)</f>
        <v>6.9604999999999997</v>
      </c>
    </row>
    <row r="413" spans="1:15" ht="15" x14ac:dyDescent="0.2">
      <c r="A413" s="16">
        <v>53783</v>
      </c>
      <c r="B413" s="80">
        <f>6.1626 * CHOOSE(CONTROL!$C$32, $C$9, 100%, $E$9)</f>
        <v>6.1626000000000003</v>
      </c>
      <c r="C413" s="80">
        <f>6.1626 * CHOOSE(CONTROL!$C$32, $C$9, 100%, $E$9)</f>
        <v>6.1626000000000003</v>
      </c>
      <c r="D413" s="80">
        <f>6.1637 * CHOOSE(CONTROL!$C$32, $C$9, 100%, $E$9)</f>
        <v>6.1637000000000004</v>
      </c>
      <c r="E413" s="81">
        <f>7.0744 * CHOOSE(CONTROL!$C$32, $C$9, 100%, $E$9)</f>
        <v>7.0743999999999998</v>
      </c>
      <c r="F413" s="81">
        <f>7.0744 * CHOOSE(CONTROL!$C$32, $C$9, 100%, $E$9)</f>
        <v>7.0743999999999998</v>
      </c>
      <c r="G413" s="81">
        <f>7.078 * CHOOSE(CONTROL!$C$32, $C$9, 100%, $E$9)</f>
        <v>7.0780000000000003</v>
      </c>
      <c r="H413" s="81">
        <f>13.3456 * CHOOSE(CONTROL!$C$32, $C$9, 100%, $E$9)</f>
        <v>13.345599999999999</v>
      </c>
      <c r="I413" s="81">
        <f>13.3492 * CHOOSE(CONTROL!$C$32, $C$9, 100%, $E$9)</f>
        <v>13.3492</v>
      </c>
      <c r="J413" s="81">
        <f>13.3456 * CHOOSE(CONTROL!$C$32, $C$9, 100%, $E$9)</f>
        <v>13.345599999999999</v>
      </c>
      <c r="K413" s="81">
        <f>13.3492 * CHOOSE(CONTROL!$C$32, $C$9, 100%, $E$9)</f>
        <v>13.3492</v>
      </c>
      <c r="L413" s="81">
        <f>7.0744 * CHOOSE(CONTROL!$C$32, $C$9, 100%, $E$9)</f>
        <v>7.0743999999999998</v>
      </c>
      <c r="M413" s="81">
        <f>7.078 * CHOOSE(CONTROL!$C$32, $C$9, 100%, $E$9)</f>
        <v>7.0780000000000003</v>
      </c>
      <c r="N413" s="81">
        <f>7.0744 * CHOOSE(CONTROL!$C$32, $C$9, 100%, $E$9)</f>
        <v>7.0743999999999998</v>
      </c>
      <c r="O413" s="81">
        <f>7.078 * CHOOSE(CONTROL!$C$32, $C$9, 100%, $E$9)</f>
        <v>7.0780000000000003</v>
      </c>
    </row>
    <row r="414" spans="1:15" ht="15" x14ac:dyDescent="0.2">
      <c r="A414" s="16">
        <v>53813</v>
      </c>
      <c r="B414" s="80">
        <f>6.1626 * CHOOSE(CONTROL!$C$32, $C$9, 100%, $E$9)</f>
        <v>6.1626000000000003</v>
      </c>
      <c r="C414" s="80">
        <f>6.1626 * CHOOSE(CONTROL!$C$32, $C$9, 100%, $E$9)</f>
        <v>6.1626000000000003</v>
      </c>
      <c r="D414" s="80">
        <f>6.1642 * CHOOSE(CONTROL!$C$32, $C$9, 100%, $E$9)</f>
        <v>6.1642000000000001</v>
      </c>
      <c r="E414" s="81">
        <f>7.1201 * CHOOSE(CONTROL!$C$32, $C$9, 100%, $E$9)</f>
        <v>7.1200999999999999</v>
      </c>
      <c r="F414" s="81">
        <f>7.1201 * CHOOSE(CONTROL!$C$32, $C$9, 100%, $E$9)</f>
        <v>7.1200999999999999</v>
      </c>
      <c r="G414" s="81">
        <f>7.1254 * CHOOSE(CONTROL!$C$32, $C$9, 100%, $E$9)</f>
        <v>7.1254</v>
      </c>
      <c r="H414" s="81">
        <f>13.3734 * CHOOSE(CONTROL!$C$32, $C$9, 100%, $E$9)</f>
        <v>13.3734</v>
      </c>
      <c r="I414" s="81">
        <f>13.3787 * CHOOSE(CONTROL!$C$32, $C$9, 100%, $E$9)</f>
        <v>13.3787</v>
      </c>
      <c r="J414" s="81">
        <f>13.3734 * CHOOSE(CONTROL!$C$32, $C$9, 100%, $E$9)</f>
        <v>13.3734</v>
      </c>
      <c r="K414" s="81">
        <f>13.3787 * CHOOSE(CONTROL!$C$32, $C$9, 100%, $E$9)</f>
        <v>13.3787</v>
      </c>
      <c r="L414" s="81">
        <f>7.1201 * CHOOSE(CONTROL!$C$32, $C$9, 100%, $E$9)</f>
        <v>7.1200999999999999</v>
      </c>
      <c r="M414" s="81">
        <f>7.1254 * CHOOSE(CONTROL!$C$32, $C$9, 100%, $E$9)</f>
        <v>7.1254</v>
      </c>
      <c r="N414" s="81">
        <f>7.1201 * CHOOSE(CONTROL!$C$32, $C$9, 100%, $E$9)</f>
        <v>7.1200999999999999</v>
      </c>
      <c r="O414" s="81">
        <f>7.1254 * CHOOSE(CONTROL!$C$32, $C$9, 100%, $E$9)</f>
        <v>7.1254</v>
      </c>
    </row>
    <row r="415" spans="1:15" ht="15" x14ac:dyDescent="0.2">
      <c r="A415" s="16">
        <v>53844</v>
      </c>
      <c r="B415" s="80">
        <f>6.1687 * CHOOSE(CONTROL!$C$32, $C$9, 100%, $E$9)</f>
        <v>6.1687000000000003</v>
      </c>
      <c r="C415" s="80">
        <f>6.1687 * CHOOSE(CONTROL!$C$32, $C$9, 100%, $E$9)</f>
        <v>6.1687000000000003</v>
      </c>
      <c r="D415" s="80">
        <f>6.1703 * CHOOSE(CONTROL!$C$32, $C$9, 100%, $E$9)</f>
        <v>6.1703000000000001</v>
      </c>
      <c r="E415" s="81">
        <f>7.0787 * CHOOSE(CONTROL!$C$32, $C$9, 100%, $E$9)</f>
        <v>7.0787000000000004</v>
      </c>
      <c r="F415" s="81">
        <f>7.0787 * CHOOSE(CONTROL!$C$32, $C$9, 100%, $E$9)</f>
        <v>7.0787000000000004</v>
      </c>
      <c r="G415" s="81">
        <f>7.0839 * CHOOSE(CONTROL!$C$32, $C$9, 100%, $E$9)</f>
        <v>7.0838999999999999</v>
      </c>
      <c r="H415" s="81">
        <f>13.4013 * CHOOSE(CONTROL!$C$32, $C$9, 100%, $E$9)</f>
        <v>13.401300000000001</v>
      </c>
      <c r="I415" s="81">
        <f>13.4065 * CHOOSE(CONTROL!$C$32, $C$9, 100%, $E$9)</f>
        <v>13.406499999999999</v>
      </c>
      <c r="J415" s="81">
        <f>13.4013 * CHOOSE(CONTROL!$C$32, $C$9, 100%, $E$9)</f>
        <v>13.401300000000001</v>
      </c>
      <c r="K415" s="81">
        <f>13.4065 * CHOOSE(CONTROL!$C$32, $C$9, 100%, $E$9)</f>
        <v>13.406499999999999</v>
      </c>
      <c r="L415" s="81">
        <f>7.0787 * CHOOSE(CONTROL!$C$32, $C$9, 100%, $E$9)</f>
        <v>7.0787000000000004</v>
      </c>
      <c r="M415" s="81">
        <f>7.0839 * CHOOSE(CONTROL!$C$32, $C$9, 100%, $E$9)</f>
        <v>7.0838999999999999</v>
      </c>
      <c r="N415" s="81">
        <f>7.0787 * CHOOSE(CONTROL!$C$32, $C$9, 100%, $E$9)</f>
        <v>7.0787000000000004</v>
      </c>
      <c r="O415" s="81">
        <f>7.0839 * CHOOSE(CONTROL!$C$32, $C$9, 100%, $E$9)</f>
        <v>7.0838999999999999</v>
      </c>
    </row>
    <row r="416" spans="1:15" ht="15" x14ac:dyDescent="0.2">
      <c r="A416" s="16">
        <v>53874</v>
      </c>
      <c r="B416" s="80">
        <f>6.251 * CHOOSE(CONTROL!$C$32, $C$9, 100%, $E$9)</f>
        <v>6.2510000000000003</v>
      </c>
      <c r="C416" s="80">
        <f>6.251 * CHOOSE(CONTROL!$C$32, $C$9, 100%, $E$9)</f>
        <v>6.2510000000000003</v>
      </c>
      <c r="D416" s="80">
        <f>6.2526 * CHOOSE(CONTROL!$C$32, $C$9, 100%, $E$9)</f>
        <v>6.2526000000000002</v>
      </c>
      <c r="E416" s="81">
        <f>7.149 * CHOOSE(CONTROL!$C$32, $C$9, 100%, $E$9)</f>
        <v>7.149</v>
      </c>
      <c r="F416" s="81">
        <f>7.149 * CHOOSE(CONTROL!$C$32, $C$9, 100%, $E$9)</f>
        <v>7.149</v>
      </c>
      <c r="G416" s="81">
        <f>7.1543 * CHOOSE(CONTROL!$C$32, $C$9, 100%, $E$9)</f>
        <v>7.1543000000000001</v>
      </c>
      <c r="H416" s="81">
        <f>13.4292 * CHOOSE(CONTROL!$C$32, $C$9, 100%, $E$9)</f>
        <v>13.4292</v>
      </c>
      <c r="I416" s="81">
        <f>13.4345 * CHOOSE(CONTROL!$C$32, $C$9, 100%, $E$9)</f>
        <v>13.4345</v>
      </c>
      <c r="J416" s="81">
        <f>13.4292 * CHOOSE(CONTROL!$C$32, $C$9, 100%, $E$9)</f>
        <v>13.4292</v>
      </c>
      <c r="K416" s="81">
        <f>13.4345 * CHOOSE(CONTROL!$C$32, $C$9, 100%, $E$9)</f>
        <v>13.4345</v>
      </c>
      <c r="L416" s="81">
        <f>7.149 * CHOOSE(CONTROL!$C$32, $C$9, 100%, $E$9)</f>
        <v>7.149</v>
      </c>
      <c r="M416" s="81">
        <f>7.1543 * CHOOSE(CONTROL!$C$32, $C$9, 100%, $E$9)</f>
        <v>7.1543000000000001</v>
      </c>
      <c r="N416" s="81">
        <f>7.149 * CHOOSE(CONTROL!$C$32, $C$9, 100%, $E$9)</f>
        <v>7.149</v>
      </c>
      <c r="O416" s="81">
        <f>7.1543 * CHOOSE(CONTROL!$C$32, $C$9, 100%, $E$9)</f>
        <v>7.1543000000000001</v>
      </c>
    </row>
    <row r="417" spans="1:15" ht="15" x14ac:dyDescent="0.2">
      <c r="A417" s="16">
        <v>53905</v>
      </c>
      <c r="B417" s="80">
        <f>6.2577 * CHOOSE(CONTROL!$C$32, $C$9, 100%, $E$9)</f>
        <v>6.2576999999999998</v>
      </c>
      <c r="C417" s="80">
        <f>6.2577 * CHOOSE(CONTROL!$C$32, $C$9, 100%, $E$9)</f>
        <v>6.2576999999999998</v>
      </c>
      <c r="D417" s="80">
        <f>6.2593 * CHOOSE(CONTROL!$C$32, $C$9, 100%, $E$9)</f>
        <v>6.2592999999999996</v>
      </c>
      <c r="E417" s="81">
        <f>7.0166 * CHOOSE(CONTROL!$C$32, $C$9, 100%, $E$9)</f>
        <v>7.0166000000000004</v>
      </c>
      <c r="F417" s="81">
        <f>7.0166 * CHOOSE(CONTROL!$C$32, $C$9, 100%, $E$9)</f>
        <v>7.0166000000000004</v>
      </c>
      <c r="G417" s="81">
        <f>7.0219 * CHOOSE(CONTROL!$C$32, $C$9, 100%, $E$9)</f>
        <v>7.0218999999999996</v>
      </c>
      <c r="H417" s="81">
        <f>13.4572 * CHOOSE(CONTROL!$C$32, $C$9, 100%, $E$9)</f>
        <v>13.4572</v>
      </c>
      <c r="I417" s="81">
        <f>13.4624 * CHOOSE(CONTROL!$C$32, $C$9, 100%, $E$9)</f>
        <v>13.462400000000001</v>
      </c>
      <c r="J417" s="81">
        <f>13.4572 * CHOOSE(CONTROL!$C$32, $C$9, 100%, $E$9)</f>
        <v>13.4572</v>
      </c>
      <c r="K417" s="81">
        <f>13.4624 * CHOOSE(CONTROL!$C$32, $C$9, 100%, $E$9)</f>
        <v>13.462400000000001</v>
      </c>
      <c r="L417" s="81">
        <f>7.0166 * CHOOSE(CONTROL!$C$32, $C$9, 100%, $E$9)</f>
        <v>7.0166000000000004</v>
      </c>
      <c r="M417" s="81">
        <f>7.0219 * CHOOSE(CONTROL!$C$32, $C$9, 100%, $E$9)</f>
        <v>7.0218999999999996</v>
      </c>
      <c r="N417" s="81">
        <f>7.0166 * CHOOSE(CONTROL!$C$32, $C$9, 100%, $E$9)</f>
        <v>7.0166000000000004</v>
      </c>
      <c r="O417" s="81">
        <f>7.0219 * CHOOSE(CONTROL!$C$32, $C$9, 100%, $E$9)</f>
        <v>7.0218999999999996</v>
      </c>
    </row>
    <row r="418" spans="1:15" ht="15" x14ac:dyDescent="0.2">
      <c r="A418" s="16">
        <v>53936</v>
      </c>
      <c r="B418" s="80">
        <f>6.2547 * CHOOSE(CONTROL!$C$32, $C$9, 100%, $E$9)</f>
        <v>6.2546999999999997</v>
      </c>
      <c r="C418" s="80">
        <f>6.2547 * CHOOSE(CONTROL!$C$32, $C$9, 100%, $E$9)</f>
        <v>6.2546999999999997</v>
      </c>
      <c r="D418" s="80">
        <f>6.2562 * CHOOSE(CONTROL!$C$32, $C$9, 100%, $E$9)</f>
        <v>6.2561999999999998</v>
      </c>
      <c r="E418" s="81">
        <f>6.9993 * CHOOSE(CONTROL!$C$32, $C$9, 100%, $E$9)</f>
        <v>6.9992999999999999</v>
      </c>
      <c r="F418" s="81">
        <f>6.9993 * CHOOSE(CONTROL!$C$32, $C$9, 100%, $E$9)</f>
        <v>6.9992999999999999</v>
      </c>
      <c r="G418" s="81">
        <f>7.0045 * CHOOSE(CONTROL!$C$32, $C$9, 100%, $E$9)</f>
        <v>7.0045000000000002</v>
      </c>
      <c r="H418" s="81">
        <f>13.4852 * CHOOSE(CONTROL!$C$32, $C$9, 100%, $E$9)</f>
        <v>13.485200000000001</v>
      </c>
      <c r="I418" s="81">
        <f>13.4905 * CHOOSE(CONTROL!$C$32, $C$9, 100%, $E$9)</f>
        <v>13.490500000000001</v>
      </c>
      <c r="J418" s="81">
        <f>13.4852 * CHOOSE(CONTROL!$C$32, $C$9, 100%, $E$9)</f>
        <v>13.485200000000001</v>
      </c>
      <c r="K418" s="81">
        <f>13.4905 * CHOOSE(CONTROL!$C$32, $C$9, 100%, $E$9)</f>
        <v>13.490500000000001</v>
      </c>
      <c r="L418" s="81">
        <f>6.9993 * CHOOSE(CONTROL!$C$32, $C$9, 100%, $E$9)</f>
        <v>6.9992999999999999</v>
      </c>
      <c r="M418" s="81">
        <f>7.0045 * CHOOSE(CONTROL!$C$32, $C$9, 100%, $E$9)</f>
        <v>7.0045000000000002</v>
      </c>
      <c r="N418" s="81">
        <f>6.9993 * CHOOSE(CONTROL!$C$32, $C$9, 100%, $E$9)</f>
        <v>6.9992999999999999</v>
      </c>
      <c r="O418" s="81">
        <f>7.0045 * CHOOSE(CONTROL!$C$32, $C$9, 100%, $E$9)</f>
        <v>7.0045000000000002</v>
      </c>
    </row>
    <row r="419" spans="1:15" ht="15" x14ac:dyDescent="0.2">
      <c r="A419" s="16">
        <v>53966</v>
      </c>
      <c r="B419" s="80">
        <f>6.2581 * CHOOSE(CONTROL!$C$32, $C$9, 100%, $E$9)</f>
        <v>6.2580999999999998</v>
      </c>
      <c r="C419" s="80">
        <f>6.2581 * CHOOSE(CONTROL!$C$32, $C$9, 100%, $E$9)</f>
        <v>6.2580999999999998</v>
      </c>
      <c r="D419" s="80">
        <f>6.2592 * CHOOSE(CONTROL!$C$32, $C$9, 100%, $E$9)</f>
        <v>6.2591999999999999</v>
      </c>
      <c r="E419" s="81">
        <f>7.0467 * CHOOSE(CONTROL!$C$32, $C$9, 100%, $E$9)</f>
        <v>7.0467000000000004</v>
      </c>
      <c r="F419" s="81">
        <f>7.0467 * CHOOSE(CONTROL!$C$32, $C$9, 100%, $E$9)</f>
        <v>7.0467000000000004</v>
      </c>
      <c r="G419" s="81">
        <f>7.0504 * CHOOSE(CONTROL!$C$32, $C$9, 100%, $E$9)</f>
        <v>7.0503999999999998</v>
      </c>
      <c r="H419" s="81">
        <f>13.5133 * CHOOSE(CONTROL!$C$32, $C$9, 100%, $E$9)</f>
        <v>13.513299999999999</v>
      </c>
      <c r="I419" s="81">
        <f>13.5169 * CHOOSE(CONTROL!$C$32, $C$9, 100%, $E$9)</f>
        <v>13.5169</v>
      </c>
      <c r="J419" s="81">
        <f>13.5133 * CHOOSE(CONTROL!$C$32, $C$9, 100%, $E$9)</f>
        <v>13.513299999999999</v>
      </c>
      <c r="K419" s="81">
        <f>13.5169 * CHOOSE(CONTROL!$C$32, $C$9, 100%, $E$9)</f>
        <v>13.5169</v>
      </c>
      <c r="L419" s="81">
        <f>7.0467 * CHOOSE(CONTROL!$C$32, $C$9, 100%, $E$9)</f>
        <v>7.0467000000000004</v>
      </c>
      <c r="M419" s="81">
        <f>7.0504 * CHOOSE(CONTROL!$C$32, $C$9, 100%, $E$9)</f>
        <v>7.0503999999999998</v>
      </c>
      <c r="N419" s="81">
        <f>7.0467 * CHOOSE(CONTROL!$C$32, $C$9, 100%, $E$9)</f>
        <v>7.0467000000000004</v>
      </c>
      <c r="O419" s="81">
        <f>7.0504 * CHOOSE(CONTROL!$C$32, $C$9, 100%, $E$9)</f>
        <v>7.0503999999999998</v>
      </c>
    </row>
    <row r="420" spans="1:15" ht="15" x14ac:dyDescent="0.2">
      <c r="A420" s="16">
        <v>53997</v>
      </c>
      <c r="B420" s="80">
        <f>6.2611 * CHOOSE(CONTROL!$C$32, $C$9, 100%, $E$9)</f>
        <v>6.2610999999999999</v>
      </c>
      <c r="C420" s="80">
        <f>6.2611 * CHOOSE(CONTROL!$C$32, $C$9, 100%, $E$9)</f>
        <v>6.2610999999999999</v>
      </c>
      <c r="D420" s="80">
        <f>6.2622 * CHOOSE(CONTROL!$C$32, $C$9, 100%, $E$9)</f>
        <v>6.2622</v>
      </c>
      <c r="E420" s="81">
        <f>7.0793 * CHOOSE(CONTROL!$C$32, $C$9, 100%, $E$9)</f>
        <v>7.0792999999999999</v>
      </c>
      <c r="F420" s="81">
        <f>7.0793 * CHOOSE(CONTROL!$C$32, $C$9, 100%, $E$9)</f>
        <v>7.0792999999999999</v>
      </c>
      <c r="G420" s="81">
        <f>7.0829 * CHOOSE(CONTROL!$C$32, $C$9, 100%, $E$9)</f>
        <v>7.0829000000000004</v>
      </c>
      <c r="H420" s="81">
        <f>13.5414 * CHOOSE(CONTROL!$C$32, $C$9, 100%, $E$9)</f>
        <v>13.541399999999999</v>
      </c>
      <c r="I420" s="81">
        <f>13.5451 * CHOOSE(CONTROL!$C$32, $C$9, 100%, $E$9)</f>
        <v>13.5451</v>
      </c>
      <c r="J420" s="81">
        <f>13.5414 * CHOOSE(CONTROL!$C$32, $C$9, 100%, $E$9)</f>
        <v>13.541399999999999</v>
      </c>
      <c r="K420" s="81">
        <f>13.5451 * CHOOSE(CONTROL!$C$32, $C$9, 100%, $E$9)</f>
        <v>13.5451</v>
      </c>
      <c r="L420" s="81">
        <f>7.0793 * CHOOSE(CONTROL!$C$32, $C$9, 100%, $E$9)</f>
        <v>7.0792999999999999</v>
      </c>
      <c r="M420" s="81">
        <f>7.0829 * CHOOSE(CONTROL!$C$32, $C$9, 100%, $E$9)</f>
        <v>7.0829000000000004</v>
      </c>
      <c r="N420" s="81">
        <f>7.0793 * CHOOSE(CONTROL!$C$32, $C$9, 100%, $E$9)</f>
        <v>7.0792999999999999</v>
      </c>
      <c r="O420" s="81">
        <f>7.0829 * CHOOSE(CONTROL!$C$32, $C$9, 100%, $E$9)</f>
        <v>7.0829000000000004</v>
      </c>
    </row>
    <row r="421" spans="1:15" ht="15" x14ac:dyDescent="0.2">
      <c r="A421" s="16">
        <v>54027</v>
      </c>
      <c r="B421" s="80">
        <f>6.2611 * CHOOSE(CONTROL!$C$32, $C$9, 100%, $E$9)</f>
        <v>6.2610999999999999</v>
      </c>
      <c r="C421" s="80">
        <f>6.2611 * CHOOSE(CONTROL!$C$32, $C$9, 100%, $E$9)</f>
        <v>6.2610999999999999</v>
      </c>
      <c r="D421" s="80">
        <f>6.2622 * CHOOSE(CONTROL!$C$32, $C$9, 100%, $E$9)</f>
        <v>6.2622</v>
      </c>
      <c r="E421" s="81">
        <f>7.0032 * CHOOSE(CONTROL!$C$32, $C$9, 100%, $E$9)</f>
        <v>7.0031999999999996</v>
      </c>
      <c r="F421" s="81">
        <f>7.0032 * CHOOSE(CONTROL!$C$32, $C$9, 100%, $E$9)</f>
        <v>7.0031999999999996</v>
      </c>
      <c r="G421" s="81">
        <f>7.0068 * CHOOSE(CONTROL!$C$32, $C$9, 100%, $E$9)</f>
        <v>7.0068000000000001</v>
      </c>
      <c r="H421" s="81">
        <f>13.5696 * CHOOSE(CONTROL!$C$32, $C$9, 100%, $E$9)</f>
        <v>13.569599999999999</v>
      </c>
      <c r="I421" s="81">
        <f>13.5733 * CHOOSE(CONTROL!$C$32, $C$9, 100%, $E$9)</f>
        <v>13.5733</v>
      </c>
      <c r="J421" s="81">
        <f>13.5696 * CHOOSE(CONTROL!$C$32, $C$9, 100%, $E$9)</f>
        <v>13.569599999999999</v>
      </c>
      <c r="K421" s="81">
        <f>13.5733 * CHOOSE(CONTROL!$C$32, $C$9, 100%, $E$9)</f>
        <v>13.5733</v>
      </c>
      <c r="L421" s="81">
        <f>7.0032 * CHOOSE(CONTROL!$C$32, $C$9, 100%, $E$9)</f>
        <v>7.0031999999999996</v>
      </c>
      <c r="M421" s="81">
        <f>7.0068 * CHOOSE(CONTROL!$C$32, $C$9, 100%, $E$9)</f>
        <v>7.0068000000000001</v>
      </c>
      <c r="N421" s="81">
        <f>7.0032 * CHOOSE(CONTROL!$C$32, $C$9, 100%, $E$9)</f>
        <v>7.0031999999999996</v>
      </c>
      <c r="O421" s="81">
        <f>7.0068 * CHOOSE(CONTROL!$C$32, $C$9, 100%, $E$9)</f>
        <v>7.0068000000000001</v>
      </c>
    </row>
    <row r="422" spans="1:15" ht="15" x14ac:dyDescent="0.2">
      <c r="A422" s="16">
        <v>54058</v>
      </c>
      <c r="B422" s="80">
        <f>6.3089 * CHOOSE(CONTROL!$C$32, $C$9, 100%, $E$9)</f>
        <v>6.3089000000000004</v>
      </c>
      <c r="C422" s="80">
        <f>6.3089 * CHOOSE(CONTROL!$C$32, $C$9, 100%, $E$9)</f>
        <v>6.3089000000000004</v>
      </c>
      <c r="D422" s="80">
        <f>6.3099 * CHOOSE(CONTROL!$C$32, $C$9, 100%, $E$9)</f>
        <v>6.3098999999999998</v>
      </c>
      <c r="E422" s="81">
        <f>7.1107 * CHOOSE(CONTROL!$C$32, $C$9, 100%, $E$9)</f>
        <v>7.1106999999999996</v>
      </c>
      <c r="F422" s="81">
        <f>7.1107 * CHOOSE(CONTROL!$C$32, $C$9, 100%, $E$9)</f>
        <v>7.1106999999999996</v>
      </c>
      <c r="G422" s="81">
        <f>7.1143 * CHOOSE(CONTROL!$C$32, $C$9, 100%, $E$9)</f>
        <v>7.1143000000000001</v>
      </c>
      <c r="H422" s="81">
        <f>13.5979 * CHOOSE(CONTROL!$C$32, $C$9, 100%, $E$9)</f>
        <v>13.597899999999999</v>
      </c>
      <c r="I422" s="81">
        <f>13.6015 * CHOOSE(CONTROL!$C$32, $C$9, 100%, $E$9)</f>
        <v>13.6015</v>
      </c>
      <c r="J422" s="81">
        <f>13.5979 * CHOOSE(CONTROL!$C$32, $C$9, 100%, $E$9)</f>
        <v>13.597899999999999</v>
      </c>
      <c r="K422" s="81">
        <f>13.6015 * CHOOSE(CONTROL!$C$32, $C$9, 100%, $E$9)</f>
        <v>13.6015</v>
      </c>
      <c r="L422" s="81">
        <f>7.1107 * CHOOSE(CONTROL!$C$32, $C$9, 100%, $E$9)</f>
        <v>7.1106999999999996</v>
      </c>
      <c r="M422" s="81">
        <f>7.1143 * CHOOSE(CONTROL!$C$32, $C$9, 100%, $E$9)</f>
        <v>7.1143000000000001</v>
      </c>
      <c r="N422" s="81">
        <f>7.1107 * CHOOSE(CONTROL!$C$32, $C$9, 100%, $E$9)</f>
        <v>7.1106999999999996</v>
      </c>
      <c r="O422" s="81">
        <f>7.1143 * CHOOSE(CONTROL!$C$32, $C$9, 100%, $E$9)</f>
        <v>7.1143000000000001</v>
      </c>
    </row>
    <row r="423" spans="1:15" ht="15" x14ac:dyDescent="0.2">
      <c r="A423" s="16">
        <v>54089</v>
      </c>
      <c r="B423" s="80">
        <f>6.3058 * CHOOSE(CONTROL!$C$32, $C$9, 100%, $E$9)</f>
        <v>6.3057999999999996</v>
      </c>
      <c r="C423" s="80">
        <f>6.3058 * CHOOSE(CONTROL!$C$32, $C$9, 100%, $E$9)</f>
        <v>6.3057999999999996</v>
      </c>
      <c r="D423" s="80">
        <f>6.3069 * CHOOSE(CONTROL!$C$32, $C$9, 100%, $E$9)</f>
        <v>6.3068999999999997</v>
      </c>
      <c r="E423" s="81">
        <f>6.96 * CHOOSE(CONTROL!$C$32, $C$9, 100%, $E$9)</f>
        <v>6.96</v>
      </c>
      <c r="F423" s="81">
        <f>6.96 * CHOOSE(CONTROL!$C$32, $C$9, 100%, $E$9)</f>
        <v>6.96</v>
      </c>
      <c r="G423" s="81">
        <f>6.9636 * CHOOSE(CONTROL!$C$32, $C$9, 100%, $E$9)</f>
        <v>6.9635999999999996</v>
      </c>
      <c r="H423" s="81">
        <f>13.6262 * CHOOSE(CONTROL!$C$32, $C$9, 100%, $E$9)</f>
        <v>13.626200000000001</v>
      </c>
      <c r="I423" s="81">
        <f>13.6299 * CHOOSE(CONTROL!$C$32, $C$9, 100%, $E$9)</f>
        <v>13.629899999999999</v>
      </c>
      <c r="J423" s="81">
        <f>13.6262 * CHOOSE(CONTROL!$C$32, $C$9, 100%, $E$9)</f>
        <v>13.626200000000001</v>
      </c>
      <c r="K423" s="81">
        <f>13.6299 * CHOOSE(CONTROL!$C$32, $C$9, 100%, $E$9)</f>
        <v>13.629899999999999</v>
      </c>
      <c r="L423" s="81">
        <f>6.96 * CHOOSE(CONTROL!$C$32, $C$9, 100%, $E$9)</f>
        <v>6.96</v>
      </c>
      <c r="M423" s="81">
        <f>6.9636 * CHOOSE(CONTROL!$C$32, $C$9, 100%, $E$9)</f>
        <v>6.9635999999999996</v>
      </c>
      <c r="N423" s="81">
        <f>6.96 * CHOOSE(CONTROL!$C$32, $C$9, 100%, $E$9)</f>
        <v>6.96</v>
      </c>
      <c r="O423" s="81">
        <f>6.9636 * CHOOSE(CONTROL!$C$32, $C$9, 100%, $E$9)</f>
        <v>6.9635999999999996</v>
      </c>
    </row>
    <row r="424" spans="1:15" ht="15" x14ac:dyDescent="0.2">
      <c r="A424" s="16">
        <v>54118</v>
      </c>
      <c r="B424" s="80">
        <f>6.3028 * CHOOSE(CONTROL!$C$32, $C$9, 100%, $E$9)</f>
        <v>6.3028000000000004</v>
      </c>
      <c r="C424" s="80">
        <f>6.3028 * CHOOSE(CONTROL!$C$32, $C$9, 100%, $E$9)</f>
        <v>6.3028000000000004</v>
      </c>
      <c r="D424" s="80">
        <f>6.3038 * CHOOSE(CONTROL!$C$32, $C$9, 100%, $E$9)</f>
        <v>6.3037999999999998</v>
      </c>
      <c r="E424" s="81">
        <f>7.075 * CHOOSE(CONTROL!$C$32, $C$9, 100%, $E$9)</f>
        <v>7.0750000000000002</v>
      </c>
      <c r="F424" s="81">
        <f>7.075 * CHOOSE(CONTROL!$C$32, $C$9, 100%, $E$9)</f>
        <v>7.0750000000000002</v>
      </c>
      <c r="G424" s="81">
        <f>7.0786 * CHOOSE(CONTROL!$C$32, $C$9, 100%, $E$9)</f>
        <v>7.0785999999999998</v>
      </c>
      <c r="H424" s="81">
        <f>13.6546 * CHOOSE(CONTROL!$C$32, $C$9, 100%, $E$9)</f>
        <v>13.6546</v>
      </c>
      <c r="I424" s="81">
        <f>13.6583 * CHOOSE(CONTROL!$C$32, $C$9, 100%, $E$9)</f>
        <v>13.658300000000001</v>
      </c>
      <c r="J424" s="81">
        <f>13.6546 * CHOOSE(CONTROL!$C$32, $C$9, 100%, $E$9)</f>
        <v>13.6546</v>
      </c>
      <c r="K424" s="81">
        <f>13.6583 * CHOOSE(CONTROL!$C$32, $C$9, 100%, $E$9)</f>
        <v>13.658300000000001</v>
      </c>
      <c r="L424" s="81">
        <f>7.075 * CHOOSE(CONTROL!$C$32, $C$9, 100%, $E$9)</f>
        <v>7.0750000000000002</v>
      </c>
      <c r="M424" s="81">
        <f>7.0786 * CHOOSE(CONTROL!$C$32, $C$9, 100%, $E$9)</f>
        <v>7.0785999999999998</v>
      </c>
      <c r="N424" s="81">
        <f>7.075 * CHOOSE(CONTROL!$C$32, $C$9, 100%, $E$9)</f>
        <v>7.0750000000000002</v>
      </c>
      <c r="O424" s="81">
        <f>7.0786 * CHOOSE(CONTROL!$C$32, $C$9, 100%, $E$9)</f>
        <v>7.0785999999999998</v>
      </c>
    </row>
    <row r="425" spans="1:15" ht="15" x14ac:dyDescent="0.2">
      <c r="A425" s="16">
        <v>54149</v>
      </c>
      <c r="B425" s="80">
        <f>6.3027 * CHOOSE(CONTROL!$C$32, $C$9, 100%, $E$9)</f>
        <v>6.3026999999999997</v>
      </c>
      <c r="C425" s="80">
        <f>6.3027 * CHOOSE(CONTROL!$C$32, $C$9, 100%, $E$9)</f>
        <v>6.3026999999999997</v>
      </c>
      <c r="D425" s="80">
        <f>6.3037 * CHOOSE(CONTROL!$C$32, $C$9, 100%, $E$9)</f>
        <v>6.3037000000000001</v>
      </c>
      <c r="E425" s="81">
        <f>7.1965 * CHOOSE(CONTROL!$C$32, $C$9, 100%, $E$9)</f>
        <v>7.1965000000000003</v>
      </c>
      <c r="F425" s="81">
        <f>7.1965 * CHOOSE(CONTROL!$C$32, $C$9, 100%, $E$9)</f>
        <v>7.1965000000000003</v>
      </c>
      <c r="G425" s="81">
        <f>7.2001 * CHOOSE(CONTROL!$C$32, $C$9, 100%, $E$9)</f>
        <v>7.2000999999999999</v>
      </c>
      <c r="H425" s="81">
        <f>13.6831 * CHOOSE(CONTROL!$C$32, $C$9, 100%, $E$9)</f>
        <v>13.6831</v>
      </c>
      <c r="I425" s="81">
        <f>13.6867 * CHOOSE(CONTROL!$C$32, $C$9, 100%, $E$9)</f>
        <v>13.6867</v>
      </c>
      <c r="J425" s="81">
        <f>13.6831 * CHOOSE(CONTROL!$C$32, $C$9, 100%, $E$9)</f>
        <v>13.6831</v>
      </c>
      <c r="K425" s="81">
        <f>13.6867 * CHOOSE(CONTROL!$C$32, $C$9, 100%, $E$9)</f>
        <v>13.6867</v>
      </c>
      <c r="L425" s="81">
        <f>7.1965 * CHOOSE(CONTROL!$C$32, $C$9, 100%, $E$9)</f>
        <v>7.1965000000000003</v>
      </c>
      <c r="M425" s="81">
        <f>7.2001 * CHOOSE(CONTROL!$C$32, $C$9, 100%, $E$9)</f>
        <v>7.2000999999999999</v>
      </c>
      <c r="N425" s="81">
        <f>7.1965 * CHOOSE(CONTROL!$C$32, $C$9, 100%, $E$9)</f>
        <v>7.1965000000000003</v>
      </c>
      <c r="O425" s="81">
        <f>7.2001 * CHOOSE(CONTROL!$C$32, $C$9, 100%, $E$9)</f>
        <v>7.2000999999999999</v>
      </c>
    </row>
    <row r="426" spans="1:15" ht="15" x14ac:dyDescent="0.2">
      <c r="A426" s="16">
        <v>54179</v>
      </c>
      <c r="B426" s="80">
        <f>6.3027 * CHOOSE(CONTROL!$C$32, $C$9, 100%, $E$9)</f>
        <v>6.3026999999999997</v>
      </c>
      <c r="C426" s="80">
        <f>6.3027 * CHOOSE(CONTROL!$C$32, $C$9, 100%, $E$9)</f>
        <v>6.3026999999999997</v>
      </c>
      <c r="D426" s="80">
        <f>6.3042 * CHOOSE(CONTROL!$C$32, $C$9, 100%, $E$9)</f>
        <v>6.3041999999999998</v>
      </c>
      <c r="E426" s="81">
        <f>7.2437 * CHOOSE(CONTROL!$C$32, $C$9, 100%, $E$9)</f>
        <v>7.2436999999999996</v>
      </c>
      <c r="F426" s="81">
        <f>7.2437 * CHOOSE(CONTROL!$C$32, $C$9, 100%, $E$9)</f>
        <v>7.2436999999999996</v>
      </c>
      <c r="G426" s="81">
        <f>7.249 * CHOOSE(CONTROL!$C$32, $C$9, 100%, $E$9)</f>
        <v>7.2489999999999997</v>
      </c>
      <c r="H426" s="81">
        <f>13.7116 * CHOOSE(CONTROL!$C$32, $C$9, 100%, $E$9)</f>
        <v>13.711600000000001</v>
      </c>
      <c r="I426" s="81">
        <f>13.7169 * CHOOSE(CONTROL!$C$32, $C$9, 100%, $E$9)</f>
        <v>13.716900000000001</v>
      </c>
      <c r="J426" s="81">
        <f>13.7116 * CHOOSE(CONTROL!$C$32, $C$9, 100%, $E$9)</f>
        <v>13.711600000000001</v>
      </c>
      <c r="K426" s="81">
        <f>13.7169 * CHOOSE(CONTROL!$C$32, $C$9, 100%, $E$9)</f>
        <v>13.716900000000001</v>
      </c>
      <c r="L426" s="81">
        <f>7.2437 * CHOOSE(CONTROL!$C$32, $C$9, 100%, $E$9)</f>
        <v>7.2436999999999996</v>
      </c>
      <c r="M426" s="81">
        <f>7.249 * CHOOSE(CONTROL!$C$32, $C$9, 100%, $E$9)</f>
        <v>7.2489999999999997</v>
      </c>
      <c r="N426" s="81">
        <f>7.2437 * CHOOSE(CONTROL!$C$32, $C$9, 100%, $E$9)</f>
        <v>7.2436999999999996</v>
      </c>
      <c r="O426" s="81">
        <f>7.249 * CHOOSE(CONTROL!$C$32, $C$9, 100%, $E$9)</f>
        <v>7.2489999999999997</v>
      </c>
    </row>
    <row r="427" spans="1:15" ht="15" x14ac:dyDescent="0.2">
      <c r="A427" s="16">
        <v>54210</v>
      </c>
      <c r="B427" s="80">
        <f>6.3087 * CHOOSE(CONTROL!$C$32, $C$9, 100%, $E$9)</f>
        <v>6.3087</v>
      </c>
      <c r="C427" s="80">
        <f>6.3087 * CHOOSE(CONTROL!$C$32, $C$9, 100%, $E$9)</f>
        <v>6.3087</v>
      </c>
      <c r="D427" s="80">
        <f>6.3103 * CHOOSE(CONTROL!$C$32, $C$9, 100%, $E$9)</f>
        <v>6.3102999999999998</v>
      </c>
      <c r="E427" s="81">
        <f>7.2008 * CHOOSE(CONTROL!$C$32, $C$9, 100%, $E$9)</f>
        <v>7.2008000000000001</v>
      </c>
      <c r="F427" s="81">
        <f>7.2008 * CHOOSE(CONTROL!$C$32, $C$9, 100%, $E$9)</f>
        <v>7.2008000000000001</v>
      </c>
      <c r="G427" s="81">
        <f>7.206 * CHOOSE(CONTROL!$C$32, $C$9, 100%, $E$9)</f>
        <v>7.2060000000000004</v>
      </c>
      <c r="H427" s="81">
        <f>13.7402 * CHOOSE(CONTROL!$C$32, $C$9, 100%, $E$9)</f>
        <v>13.7402</v>
      </c>
      <c r="I427" s="81">
        <f>13.7454 * CHOOSE(CONTROL!$C$32, $C$9, 100%, $E$9)</f>
        <v>13.7454</v>
      </c>
      <c r="J427" s="81">
        <f>13.7402 * CHOOSE(CONTROL!$C$32, $C$9, 100%, $E$9)</f>
        <v>13.7402</v>
      </c>
      <c r="K427" s="81">
        <f>13.7454 * CHOOSE(CONTROL!$C$32, $C$9, 100%, $E$9)</f>
        <v>13.7454</v>
      </c>
      <c r="L427" s="81">
        <f>7.2008 * CHOOSE(CONTROL!$C$32, $C$9, 100%, $E$9)</f>
        <v>7.2008000000000001</v>
      </c>
      <c r="M427" s="81">
        <f>7.206 * CHOOSE(CONTROL!$C$32, $C$9, 100%, $E$9)</f>
        <v>7.2060000000000004</v>
      </c>
      <c r="N427" s="81">
        <f>7.2008 * CHOOSE(CONTROL!$C$32, $C$9, 100%, $E$9)</f>
        <v>7.2008000000000001</v>
      </c>
      <c r="O427" s="81">
        <f>7.206 * CHOOSE(CONTROL!$C$32, $C$9, 100%, $E$9)</f>
        <v>7.2060000000000004</v>
      </c>
    </row>
    <row r="428" spans="1:15" ht="15" x14ac:dyDescent="0.2">
      <c r="A428" s="16">
        <v>54240</v>
      </c>
      <c r="B428" s="80">
        <f>6.3926 * CHOOSE(CONTROL!$C$32, $C$9, 100%, $E$9)</f>
        <v>6.3925999999999998</v>
      </c>
      <c r="C428" s="80">
        <f>6.3926 * CHOOSE(CONTROL!$C$32, $C$9, 100%, $E$9)</f>
        <v>6.3925999999999998</v>
      </c>
      <c r="D428" s="80">
        <f>6.3942 * CHOOSE(CONTROL!$C$32, $C$9, 100%, $E$9)</f>
        <v>6.3941999999999997</v>
      </c>
      <c r="E428" s="81">
        <f>7.2866 * CHOOSE(CONTROL!$C$32, $C$9, 100%, $E$9)</f>
        <v>7.2866</v>
      </c>
      <c r="F428" s="81">
        <f>7.2866 * CHOOSE(CONTROL!$C$32, $C$9, 100%, $E$9)</f>
        <v>7.2866</v>
      </c>
      <c r="G428" s="81">
        <f>7.2919 * CHOOSE(CONTROL!$C$32, $C$9, 100%, $E$9)</f>
        <v>7.2919</v>
      </c>
      <c r="H428" s="81">
        <f>13.7688 * CHOOSE(CONTROL!$C$32, $C$9, 100%, $E$9)</f>
        <v>13.768800000000001</v>
      </c>
      <c r="I428" s="81">
        <f>13.7741 * CHOOSE(CONTROL!$C$32, $C$9, 100%, $E$9)</f>
        <v>13.774100000000001</v>
      </c>
      <c r="J428" s="81">
        <f>13.7688 * CHOOSE(CONTROL!$C$32, $C$9, 100%, $E$9)</f>
        <v>13.768800000000001</v>
      </c>
      <c r="K428" s="81">
        <f>13.7741 * CHOOSE(CONTROL!$C$32, $C$9, 100%, $E$9)</f>
        <v>13.774100000000001</v>
      </c>
      <c r="L428" s="81">
        <f>7.2866 * CHOOSE(CONTROL!$C$32, $C$9, 100%, $E$9)</f>
        <v>7.2866</v>
      </c>
      <c r="M428" s="81">
        <f>7.2919 * CHOOSE(CONTROL!$C$32, $C$9, 100%, $E$9)</f>
        <v>7.2919</v>
      </c>
      <c r="N428" s="81">
        <f>7.2866 * CHOOSE(CONTROL!$C$32, $C$9, 100%, $E$9)</f>
        <v>7.2866</v>
      </c>
      <c r="O428" s="81">
        <f>7.2919 * CHOOSE(CONTROL!$C$32, $C$9, 100%, $E$9)</f>
        <v>7.2919</v>
      </c>
    </row>
    <row r="429" spans="1:15" ht="15" x14ac:dyDescent="0.2">
      <c r="A429" s="16">
        <v>54271</v>
      </c>
      <c r="B429" s="80">
        <f>6.3993 * CHOOSE(CONTROL!$C$32, $C$9, 100%, $E$9)</f>
        <v>6.3993000000000002</v>
      </c>
      <c r="C429" s="80">
        <f>6.3993 * CHOOSE(CONTROL!$C$32, $C$9, 100%, $E$9)</f>
        <v>6.3993000000000002</v>
      </c>
      <c r="D429" s="80">
        <f>6.4009 * CHOOSE(CONTROL!$C$32, $C$9, 100%, $E$9)</f>
        <v>6.4009</v>
      </c>
      <c r="E429" s="81">
        <f>7.1497 * CHOOSE(CONTROL!$C$32, $C$9, 100%, $E$9)</f>
        <v>7.1497000000000002</v>
      </c>
      <c r="F429" s="81">
        <f>7.1497 * CHOOSE(CONTROL!$C$32, $C$9, 100%, $E$9)</f>
        <v>7.1497000000000002</v>
      </c>
      <c r="G429" s="81">
        <f>7.155 * CHOOSE(CONTROL!$C$32, $C$9, 100%, $E$9)</f>
        <v>7.1550000000000002</v>
      </c>
      <c r="H429" s="81">
        <f>13.7975 * CHOOSE(CONTROL!$C$32, $C$9, 100%, $E$9)</f>
        <v>13.797499999999999</v>
      </c>
      <c r="I429" s="81">
        <f>13.8028 * CHOOSE(CONTROL!$C$32, $C$9, 100%, $E$9)</f>
        <v>13.8028</v>
      </c>
      <c r="J429" s="81">
        <f>13.7975 * CHOOSE(CONTROL!$C$32, $C$9, 100%, $E$9)</f>
        <v>13.797499999999999</v>
      </c>
      <c r="K429" s="81">
        <f>13.8028 * CHOOSE(CONTROL!$C$32, $C$9, 100%, $E$9)</f>
        <v>13.8028</v>
      </c>
      <c r="L429" s="81">
        <f>7.1497 * CHOOSE(CONTROL!$C$32, $C$9, 100%, $E$9)</f>
        <v>7.1497000000000002</v>
      </c>
      <c r="M429" s="81">
        <f>7.155 * CHOOSE(CONTROL!$C$32, $C$9, 100%, $E$9)</f>
        <v>7.1550000000000002</v>
      </c>
      <c r="N429" s="81">
        <f>7.1497 * CHOOSE(CONTROL!$C$32, $C$9, 100%, $E$9)</f>
        <v>7.1497000000000002</v>
      </c>
      <c r="O429" s="81">
        <f>7.155 * CHOOSE(CONTROL!$C$32, $C$9, 100%, $E$9)</f>
        <v>7.1550000000000002</v>
      </c>
    </row>
    <row r="430" spans="1:15" ht="15" x14ac:dyDescent="0.2">
      <c r="A430" s="16">
        <v>54302</v>
      </c>
      <c r="B430" s="80">
        <f>6.3963 * CHOOSE(CONTROL!$C$32, $C$9, 100%, $E$9)</f>
        <v>6.3963000000000001</v>
      </c>
      <c r="C430" s="80">
        <f>6.3963 * CHOOSE(CONTROL!$C$32, $C$9, 100%, $E$9)</f>
        <v>6.3963000000000001</v>
      </c>
      <c r="D430" s="80">
        <f>6.3978 * CHOOSE(CONTROL!$C$32, $C$9, 100%, $E$9)</f>
        <v>6.3978000000000002</v>
      </c>
      <c r="E430" s="81">
        <f>7.1319 * CHOOSE(CONTROL!$C$32, $C$9, 100%, $E$9)</f>
        <v>7.1318999999999999</v>
      </c>
      <c r="F430" s="81">
        <f>7.1319 * CHOOSE(CONTROL!$C$32, $C$9, 100%, $E$9)</f>
        <v>7.1318999999999999</v>
      </c>
      <c r="G430" s="81">
        <f>7.1372 * CHOOSE(CONTROL!$C$32, $C$9, 100%, $E$9)</f>
        <v>7.1372</v>
      </c>
      <c r="H430" s="81">
        <f>13.8262 * CHOOSE(CONTROL!$C$32, $C$9, 100%, $E$9)</f>
        <v>13.8262</v>
      </c>
      <c r="I430" s="81">
        <f>13.8315 * CHOOSE(CONTROL!$C$32, $C$9, 100%, $E$9)</f>
        <v>13.8315</v>
      </c>
      <c r="J430" s="81">
        <f>13.8262 * CHOOSE(CONTROL!$C$32, $C$9, 100%, $E$9)</f>
        <v>13.8262</v>
      </c>
      <c r="K430" s="81">
        <f>13.8315 * CHOOSE(CONTROL!$C$32, $C$9, 100%, $E$9)</f>
        <v>13.8315</v>
      </c>
      <c r="L430" s="81">
        <f>7.1319 * CHOOSE(CONTROL!$C$32, $C$9, 100%, $E$9)</f>
        <v>7.1318999999999999</v>
      </c>
      <c r="M430" s="81">
        <f>7.1372 * CHOOSE(CONTROL!$C$32, $C$9, 100%, $E$9)</f>
        <v>7.1372</v>
      </c>
      <c r="N430" s="81">
        <f>7.1319 * CHOOSE(CONTROL!$C$32, $C$9, 100%, $E$9)</f>
        <v>7.1318999999999999</v>
      </c>
      <c r="O430" s="81">
        <f>7.1372 * CHOOSE(CONTROL!$C$32, $C$9, 100%, $E$9)</f>
        <v>7.1372</v>
      </c>
    </row>
    <row r="431" spans="1:15" ht="15" x14ac:dyDescent="0.2">
      <c r="A431" s="16">
        <v>54332</v>
      </c>
      <c r="B431" s="80">
        <f>6.4002 * CHOOSE(CONTROL!$C$32, $C$9, 100%, $E$9)</f>
        <v>6.4001999999999999</v>
      </c>
      <c r="C431" s="80">
        <f>6.4002 * CHOOSE(CONTROL!$C$32, $C$9, 100%, $E$9)</f>
        <v>6.4001999999999999</v>
      </c>
      <c r="D431" s="80">
        <f>6.4013 * CHOOSE(CONTROL!$C$32, $C$9, 100%, $E$9)</f>
        <v>6.4013</v>
      </c>
      <c r="E431" s="81">
        <f>7.1814 * CHOOSE(CONTROL!$C$32, $C$9, 100%, $E$9)</f>
        <v>7.1814</v>
      </c>
      <c r="F431" s="81">
        <f>7.1814 * CHOOSE(CONTROL!$C$32, $C$9, 100%, $E$9)</f>
        <v>7.1814</v>
      </c>
      <c r="G431" s="81">
        <f>7.185 * CHOOSE(CONTROL!$C$32, $C$9, 100%, $E$9)</f>
        <v>7.1849999999999996</v>
      </c>
      <c r="H431" s="81">
        <f>13.855 * CHOOSE(CONTROL!$C$32, $C$9, 100%, $E$9)</f>
        <v>13.855</v>
      </c>
      <c r="I431" s="81">
        <f>13.8586 * CHOOSE(CONTROL!$C$32, $C$9, 100%, $E$9)</f>
        <v>13.858599999999999</v>
      </c>
      <c r="J431" s="81">
        <f>13.855 * CHOOSE(CONTROL!$C$32, $C$9, 100%, $E$9)</f>
        <v>13.855</v>
      </c>
      <c r="K431" s="81">
        <f>13.8586 * CHOOSE(CONTROL!$C$32, $C$9, 100%, $E$9)</f>
        <v>13.858599999999999</v>
      </c>
      <c r="L431" s="81">
        <f>7.1814 * CHOOSE(CONTROL!$C$32, $C$9, 100%, $E$9)</f>
        <v>7.1814</v>
      </c>
      <c r="M431" s="81">
        <f>7.185 * CHOOSE(CONTROL!$C$32, $C$9, 100%, $E$9)</f>
        <v>7.1849999999999996</v>
      </c>
      <c r="N431" s="81">
        <f>7.1814 * CHOOSE(CONTROL!$C$32, $C$9, 100%, $E$9)</f>
        <v>7.1814</v>
      </c>
      <c r="O431" s="81">
        <f>7.185 * CHOOSE(CONTROL!$C$32, $C$9, 100%, $E$9)</f>
        <v>7.1849999999999996</v>
      </c>
    </row>
    <row r="432" spans="1:15" ht="15" x14ac:dyDescent="0.2">
      <c r="A432" s="16">
        <v>54363</v>
      </c>
      <c r="B432" s="80">
        <f>6.4033 * CHOOSE(CONTROL!$C$32, $C$9, 100%, $E$9)</f>
        <v>6.4032999999999998</v>
      </c>
      <c r="C432" s="80">
        <f>6.4033 * CHOOSE(CONTROL!$C$32, $C$9, 100%, $E$9)</f>
        <v>6.4032999999999998</v>
      </c>
      <c r="D432" s="80">
        <f>6.4043 * CHOOSE(CONTROL!$C$32, $C$9, 100%, $E$9)</f>
        <v>6.4043000000000001</v>
      </c>
      <c r="E432" s="81">
        <f>7.2149 * CHOOSE(CONTROL!$C$32, $C$9, 100%, $E$9)</f>
        <v>7.2149000000000001</v>
      </c>
      <c r="F432" s="81">
        <f>7.2149 * CHOOSE(CONTROL!$C$32, $C$9, 100%, $E$9)</f>
        <v>7.2149000000000001</v>
      </c>
      <c r="G432" s="81">
        <f>7.2185 * CHOOSE(CONTROL!$C$32, $C$9, 100%, $E$9)</f>
        <v>7.2184999999999997</v>
      </c>
      <c r="H432" s="81">
        <f>13.8839 * CHOOSE(CONTROL!$C$32, $C$9, 100%, $E$9)</f>
        <v>13.883900000000001</v>
      </c>
      <c r="I432" s="81">
        <f>13.8875 * CHOOSE(CONTROL!$C$32, $C$9, 100%, $E$9)</f>
        <v>13.887499999999999</v>
      </c>
      <c r="J432" s="81">
        <f>13.8839 * CHOOSE(CONTROL!$C$32, $C$9, 100%, $E$9)</f>
        <v>13.883900000000001</v>
      </c>
      <c r="K432" s="81">
        <f>13.8875 * CHOOSE(CONTROL!$C$32, $C$9, 100%, $E$9)</f>
        <v>13.887499999999999</v>
      </c>
      <c r="L432" s="81">
        <f>7.2149 * CHOOSE(CONTROL!$C$32, $C$9, 100%, $E$9)</f>
        <v>7.2149000000000001</v>
      </c>
      <c r="M432" s="81">
        <f>7.2185 * CHOOSE(CONTROL!$C$32, $C$9, 100%, $E$9)</f>
        <v>7.2184999999999997</v>
      </c>
      <c r="N432" s="81">
        <f>7.2149 * CHOOSE(CONTROL!$C$32, $C$9, 100%, $E$9)</f>
        <v>7.2149000000000001</v>
      </c>
      <c r="O432" s="81">
        <f>7.2185 * CHOOSE(CONTROL!$C$32, $C$9, 100%, $E$9)</f>
        <v>7.2184999999999997</v>
      </c>
    </row>
    <row r="433" spans="1:15" ht="15" x14ac:dyDescent="0.2">
      <c r="A433" s="16">
        <v>54393</v>
      </c>
      <c r="B433" s="80">
        <f>6.4033 * CHOOSE(CONTROL!$C$32, $C$9, 100%, $E$9)</f>
        <v>6.4032999999999998</v>
      </c>
      <c r="C433" s="80">
        <f>6.4033 * CHOOSE(CONTROL!$C$32, $C$9, 100%, $E$9)</f>
        <v>6.4032999999999998</v>
      </c>
      <c r="D433" s="80">
        <f>6.4043 * CHOOSE(CONTROL!$C$32, $C$9, 100%, $E$9)</f>
        <v>6.4043000000000001</v>
      </c>
      <c r="E433" s="81">
        <f>7.1363 * CHOOSE(CONTROL!$C$32, $C$9, 100%, $E$9)</f>
        <v>7.1363000000000003</v>
      </c>
      <c r="F433" s="81">
        <f>7.1363 * CHOOSE(CONTROL!$C$32, $C$9, 100%, $E$9)</f>
        <v>7.1363000000000003</v>
      </c>
      <c r="G433" s="81">
        <f>7.1399 * CHOOSE(CONTROL!$C$32, $C$9, 100%, $E$9)</f>
        <v>7.1398999999999999</v>
      </c>
      <c r="H433" s="81">
        <f>13.9128 * CHOOSE(CONTROL!$C$32, $C$9, 100%, $E$9)</f>
        <v>13.912800000000001</v>
      </c>
      <c r="I433" s="81">
        <f>13.9164 * CHOOSE(CONTROL!$C$32, $C$9, 100%, $E$9)</f>
        <v>13.916399999999999</v>
      </c>
      <c r="J433" s="81">
        <f>13.9128 * CHOOSE(CONTROL!$C$32, $C$9, 100%, $E$9)</f>
        <v>13.912800000000001</v>
      </c>
      <c r="K433" s="81">
        <f>13.9164 * CHOOSE(CONTROL!$C$32, $C$9, 100%, $E$9)</f>
        <v>13.916399999999999</v>
      </c>
      <c r="L433" s="81">
        <f>7.1363 * CHOOSE(CONTROL!$C$32, $C$9, 100%, $E$9)</f>
        <v>7.1363000000000003</v>
      </c>
      <c r="M433" s="81">
        <f>7.1399 * CHOOSE(CONTROL!$C$32, $C$9, 100%, $E$9)</f>
        <v>7.1398999999999999</v>
      </c>
      <c r="N433" s="81">
        <f>7.1363 * CHOOSE(CONTROL!$C$32, $C$9, 100%, $E$9)</f>
        <v>7.1363000000000003</v>
      </c>
      <c r="O433" s="81">
        <f>7.1399 * CHOOSE(CONTROL!$C$32, $C$9, 100%, $E$9)</f>
        <v>7.1398999999999999</v>
      </c>
    </row>
    <row r="434" spans="1:15" ht="15" x14ac:dyDescent="0.2">
      <c r="A434" s="16">
        <v>54424</v>
      </c>
      <c r="B434" s="80">
        <f>6.4519 * CHOOSE(CONTROL!$C$32, $C$9, 100%, $E$9)</f>
        <v>6.4519000000000002</v>
      </c>
      <c r="C434" s="80">
        <f>6.4519 * CHOOSE(CONTROL!$C$32, $C$9, 100%, $E$9)</f>
        <v>6.4519000000000002</v>
      </c>
      <c r="D434" s="80">
        <f>6.453 * CHOOSE(CONTROL!$C$32, $C$9, 100%, $E$9)</f>
        <v>6.4530000000000003</v>
      </c>
      <c r="E434" s="81">
        <f>7.2513 * CHOOSE(CONTROL!$C$32, $C$9, 100%, $E$9)</f>
        <v>7.2512999999999996</v>
      </c>
      <c r="F434" s="81">
        <f>7.2513 * CHOOSE(CONTROL!$C$32, $C$9, 100%, $E$9)</f>
        <v>7.2512999999999996</v>
      </c>
      <c r="G434" s="81">
        <f>7.2549 * CHOOSE(CONTROL!$C$32, $C$9, 100%, $E$9)</f>
        <v>7.2549000000000001</v>
      </c>
      <c r="H434" s="81">
        <f>13.9418 * CHOOSE(CONTROL!$C$32, $C$9, 100%, $E$9)</f>
        <v>13.941800000000001</v>
      </c>
      <c r="I434" s="81">
        <f>13.9454 * CHOOSE(CONTROL!$C$32, $C$9, 100%, $E$9)</f>
        <v>13.945399999999999</v>
      </c>
      <c r="J434" s="81">
        <f>13.9418 * CHOOSE(CONTROL!$C$32, $C$9, 100%, $E$9)</f>
        <v>13.941800000000001</v>
      </c>
      <c r="K434" s="81">
        <f>13.9454 * CHOOSE(CONTROL!$C$32, $C$9, 100%, $E$9)</f>
        <v>13.945399999999999</v>
      </c>
      <c r="L434" s="81">
        <f>7.2513 * CHOOSE(CONTROL!$C$32, $C$9, 100%, $E$9)</f>
        <v>7.2512999999999996</v>
      </c>
      <c r="M434" s="81">
        <f>7.2549 * CHOOSE(CONTROL!$C$32, $C$9, 100%, $E$9)</f>
        <v>7.2549000000000001</v>
      </c>
      <c r="N434" s="81">
        <f>7.2513 * CHOOSE(CONTROL!$C$32, $C$9, 100%, $E$9)</f>
        <v>7.2512999999999996</v>
      </c>
      <c r="O434" s="81">
        <f>7.2549 * CHOOSE(CONTROL!$C$32, $C$9, 100%, $E$9)</f>
        <v>7.2549000000000001</v>
      </c>
    </row>
    <row r="435" spans="1:15" ht="15" x14ac:dyDescent="0.2">
      <c r="A435" s="16">
        <v>54455</v>
      </c>
      <c r="B435" s="80">
        <f>6.4489 * CHOOSE(CONTROL!$C$32, $C$9, 100%, $E$9)</f>
        <v>6.4489000000000001</v>
      </c>
      <c r="C435" s="80">
        <f>6.4489 * CHOOSE(CONTROL!$C$32, $C$9, 100%, $E$9)</f>
        <v>6.4489000000000001</v>
      </c>
      <c r="D435" s="80">
        <f>6.45 * CHOOSE(CONTROL!$C$32, $C$9, 100%, $E$9)</f>
        <v>6.45</v>
      </c>
      <c r="E435" s="81">
        <f>7.0958 * CHOOSE(CONTROL!$C$32, $C$9, 100%, $E$9)</f>
        <v>7.0957999999999997</v>
      </c>
      <c r="F435" s="81">
        <f>7.0958 * CHOOSE(CONTROL!$C$32, $C$9, 100%, $E$9)</f>
        <v>7.0957999999999997</v>
      </c>
      <c r="G435" s="81">
        <f>7.0994 * CHOOSE(CONTROL!$C$32, $C$9, 100%, $E$9)</f>
        <v>7.0994000000000002</v>
      </c>
      <c r="H435" s="81">
        <f>13.9708 * CHOOSE(CONTROL!$C$32, $C$9, 100%, $E$9)</f>
        <v>13.970800000000001</v>
      </c>
      <c r="I435" s="81">
        <f>13.9744 * CHOOSE(CONTROL!$C$32, $C$9, 100%, $E$9)</f>
        <v>13.974399999999999</v>
      </c>
      <c r="J435" s="81">
        <f>13.9708 * CHOOSE(CONTROL!$C$32, $C$9, 100%, $E$9)</f>
        <v>13.970800000000001</v>
      </c>
      <c r="K435" s="81">
        <f>13.9744 * CHOOSE(CONTROL!$C$32, $C$9, 100%, $E$9)</f>
        <v>13.974399999999999</v>
      </c>
      <c r="L435" s="81">
        <f>7.0958 * CHOOSE(CONTROL!$C$32, $C$9, 100%, $E$9)</f>
        <v>7.0957999999999997</v>
      </c>
      <c r="M435" s="81">
        <f>7.0994 * CHOOSE(CONTROL!$C$32, $C$9, 100%, $E$9)</f>
        <v>7.0994000000000002</v>
      </c>
      <c r="N435" s="81">
        <f>7.0958 * CHOOSE(CONTROL!$C$32, $C$9, 100%, $E$9)</f>
        <v>7.0957999999999997</v>
      </c>
      <c r="O435" s="81">
        <f>7.0994 * CHOOSE(CONTROL!$C$32, $C$9, 100%, $E$9)</f>
        <v>7.0994000000000002</v>
      </c>
    </row>
    <row r="436" spans="1:15" ht="15" x14ac:dyDescent="0.2">
      <c r="A436" s="16">
        <v>54483</v>
      </c>
      <c r="B436" s="80">
        <f>6.4459 * CHOOSE(CONTROL!$C$32, $C$9, 100%, $E$9)</f>
        <v>6.4459</v>
      </c>
      <c r="C436" s="80">
        <f>6.4459 * CHOOSE(CONTROL!$C$32, $C$9, 100%, $E$9)</f>
        <v>6.4459</v>
      </c>
      <c r="D436" s="80">
        <f>6.4469 * CHOOSE(CONTROL!$C$32, $C$9, 100%, $E$9)</f>
        <v>6.4469000000000003</v>
      </c>
      <c r="E436" s="81">
        <f>7.2146 * CHOOSE(CONTROL!$C$32, $C$9, 100%, $E$9)</f>
        <v>7.2145999999999999</v>
      </c>
      <c r="F436" s="81">
        <f>7.2146 * CHOOSE(CONTROL!$C$32, $C$9, 100%, $E$9)</f>
        <v>7.2145999999999999</v>
      </c>
      <c r="G436" s="81">
        <f>7.2182 * CHOOSE(CONTROL!$C$32, $C$9, 100%, $E$9)</f>
        <v>7.2182000000000004</v>
      </c>
      <c r="H436" s="81">
        <f>13.9999 * CHOOSE(CONTROL!$C$32, $C$9, 100%, $E$9)</f>
        <v>13.9999</v>
      </c>
      <c r="I436" s="81">
        <f>14.0036 * CHOOSE(CONTROL!$C$32, $C$9, 100%, $E$9)</f>
        <v>14.0036</v>
      </c>
      <c r="J436" s="81">
        <f>13.9999 * CHOOSE(CONTROL!$C$32, $C$9, 100%, $E$9)</f>
        <v>13.9999</v>
      </c>
      <c r="K436" s="81">
        <f>14.0036 * CHOOSE(CONTROL!$C$32, $C$9, 100%, $E$9)</f>
        <v>14.0036</v>
      </c>
      <c r="L436" s="81">
        <f>7.2146 * CHOOSE(CONTROL!$C$32, $C$9, 100%, $E$9)</f>
        <v>7.2145999999999999</v>
      </c>
      <c r="M436" s="81">
        <f>7.2182 * CHOOSE(CONTROL!$C$32, $C$9, 100%, $E$9)</f>
        <v>7.2182000000000004</v>
      </c>
      <c r="N436" s="81">
        <f>7.2146 * CHOOSE(CONTROL!$C$32, $C$9, 100%, $E$9)</f>
        <v>7.2145999999999999</v>
      </c>
      <c r="O436" s="81">
        <f>7.2182 * CHOOSE(CONTROL!$C$32, $C$9, 100%, $E$9)</f>
        <v>7.2182000000000004</v>
      </c>
    </row>
    <row r="437" spans="1:15" ht="15" x14ac:dyDescent="0.2">
      <c r="A437" s="16">
        <v>54514</v>
      </c>
      <c r="B437" s="80">
        <f>6.4459 * CHOOSE(CONTROL!$C$32, $C$9, 100%, $E$9)</f>
        <v>6.4459</v>
      </c>
      <c r="C437" s="80">
        <f>6.4459 * CHOOSE(CONTROL!$C$32, $C$9, 100%, $E$9)</f>
        <v>6.4459</v>
      </c>
      <c r="D437" s="80">
        <f>6.447 * CHOOSE(CONTROL!$C$32, $C$9, 100%, $E$9)</f>
        <v>6.4470000000000001</v>
      </c>
      <c r="E437" s="81">
        <f>7.3402 * CHOOSE(CONTROL!$C$32, $C$9, 100%, $E$9)</f>
        <v>7.3402000000000003</v>
      </c>
      <c r="F437" s="81">
        <f>7.3402 * CHOOSE(CONTROL!$C$32, $C$9, 100%, $E$9)</f>
        <v>7.3402000000000003</v>
      </c>
      <c r="G437" s="81">
        <f>7.3438 * CHOOSE(CONTROL!$C$32, $C$9, 100%, $E$9)</f>
        <v>7.3437999999999999</v>
      </c>
      <c r="H437" s="81">
        <f>14.0291 * CHOOSE(CONTROL!$C$32, $C$9, 100%, $E$9)</f>
        <v>14.0291</v>
      </c>
      <c r="I437" s="81">
        <f>14.0327 * CHOOSE(CONTROL!$C$32, $C$9, 100%, $E$9)</f>
        <v>14.0327</v>
      </c>
      <c r="J437" s="81">
        <f>14.0291 * CHOOSE(CONTROL!$C$32, $C$9, 100%, $E$9)</f>
        <v>14.0291</v>
      </c>
      <c r="K437" s="81">
        <f>14.0327 * CHOOSE(CONTROL!$C$32, $C$9, 100%, $E$9)</f>
        <v>14.0327</v>
      </c>
      <c r="L437" s="81">
        <f>7.3402 * CHOOSE(CONTROL!$C$32, $C$9, 100%, $E$9)</f>
        <v>7.3402000000000003</v>
      </c>
      <c r="M437" s="81">
        <f>7.3438 * CHOOSE(CONTROL!$C$32, $C$9, 100%, $E$9)</f>
        <v>7.3437999999999999</v>
      </c>
      <c r="N437" s="81">
        <f>7.3402 * CHOOSE(CONTROL!$C$32, $C$9, 100%, $E$9)</f>
        <v>7.3402000000000003</v>
      </c>
      <c r="O437" s="81">
        <f>7.3438 * CHOOSE(CONTROL!$C$32, $C$9, 100%, $E$9)</f>
        <v>7.3437999999999999</v>
      </c>
    </row>
    <row r="438" spans="1:15" ht="15" x14ac:dyDescent="0.2">
      <c r="A438" s="16">
        <v>54544</v>
      </c>
      <c r="B438" s="80">
        <f>6.4459 * CHOOSE(CONTROL!$C$32, $C$9, 100%, $E$9)</f>
        <v>6.4459</v>
      </c>
      <c r="C438" s="80">
        <f>6.4459 * CHOOSE(CONTROL!$C$32, $C$9, 100%, $E$9)</f>
        <v>6.4459</v>
      </c>
      <c r="D438" s="80">
        <f>6.4475 * CHOOSE(CONTROL!$C$32, $C$9, 100%, $E$9)</f>
        <v>6.4474999999999998</v>
      </c>
      <c r="E438" s="81">
        <f>7.3889 * CHOOSE(CONTROL!$C$32, $C$9, 100%, $E$9)</f>
        <v>7.3888999999999996</v>
      </c>
      <c r="F438" s="81">
        <f>7.3889 * CHOOSE(CONTROL!$C$32, $C$9, 100%, $E$9)</f>
        <v>7.3888999999999996</v>
      </c>
      <c r="G438" s="81">
        <f>7.3942 * CHOOSE(CONTROL!$C$32, $C$9, 100%, $E$9)</f>
        <v>7.3941999999999997</v>
      </c>
      <c r="H438" s="81">
        <f>14.0583 * CHOOSE(CONTROL!$C$32, $C$9, 100%, $E$9)</f>
        <v>14.058299999999999</v>
      </c>
      <c r="I438" s="81">
        <f>14.0636 * CHOOSE(CONTROL!$C$32, $C$9, 100%, $E$9)</f>
        <v>14.063599999999999</v>
      </c>
      <c r="J438" s="81">
        <f>14.0583 * CHOOSE(CONTROL!$C$32, $C$9, 100%, $E$9)</f>
        <v>14.058299999999999</v>
      </c>
      <c r="K438" s="81">
        <f>14.0636 * CHOOSE(CONTROL!$C$32, $C$9, 100%, $E$9)</f>
        <v>14.063599999999999</v>
      </c>
      <c r="L438" s="81">
        <f>7.3889 * CHOOSE(CONTROL!$C$32, $C$9, 100%, $E$9)</f>
        <v>7.3888999999999996</v>
      </c>
      <c r="M438" s="81">
        <f>7.3942 * CHOOSE(CONTROL!$C$32, $C$9, 100%, $E$9)</f>
        <v>7.3941999999999997</v>
      </c>
      <c r="N438" s="81">
        <f>7.3889 * CHOOSE(CONTROL!$C$32, $C$9, 100%, $E$9)</f>
        <v>7.3888999999999996</v>
      </c>
      <c r="O438" s="81">
        <f>7.3942 * CHOOSE(CONTROL!$C$32, $C$9, 100%, $E$9)</f>
        <v>7.3941999999999997</v>
      </c>
    </row>
    <row r="439" spans="1:15" ht="15" x14ac:dyDescent="0.2">
      <c r="A439" s="16">
        <v>54575</v>
      </c>
      <c r="B439" s="80">
        <f>6.452 * CHOOSE(CONTROL!$C$32, $C$9, 100%, $E$9)</f>
        <v>6.452</v>
      </c>
      <c r="C439" s="80">
        <f>6.452 * CHOOSE(CONTROL!$C$32, $C$9, 100%, $E$9)</f>
        <v>6.452</v>
      </c>
      <c r="D439" s="80">
        <f>6.4535 * CHOOSE(CONTROL!$C$32, $C$9, 100%, $E$9)</f>
        <v>6.4535</v>
      </c>
      <c r="E439" s="81">
        <f>7.3444 * CHOOSE(CONTROL!$C$32, $C$9, 100%, $E$9)</f>
        <v>7.3444000000000003</v>
      </c>
      <c r="F439" s="81">
        <f>7.3444 * CHOOSE(CONTROL!$C$32, $C$9, 100%, $E$9)</f>
        <v>7.3444000000000003</v>
      </c>
      <c r="G439" s="81">
        <f>7.3497 * CHOOSE(CONTROL!$C$32, $C$9, 100%, $E$9)</f>
        <v>7.3497000000000003</v>
      </c>
      <c r="H439" s="81">
        <f>14.0876 * CHOOSE(CONTROL!$C$32, $C$9, 100%, $E$9)</f>
        <v>14.0876</v>
      </c>
      <c r="I439" s="81">
        <f>14.0929 * CHOOSE(CONTROL!$C$32, $C$9, 100%, $E$9)</f>
        <v>14.0929</v>
      </c>
      <c r="J439" s="81">
        <f>14.0876 * CHOOSE(CONTROL!$C$32, $C$9, 100%, $E$9)</f>
        <v>14.0876</v>
      </c>
      <c r="K439" s="81">
        <f>14.0929 * CHOOSE(CONTROL!$C$32, $C$9, 100%, $E$9)</f>
        <v>14.0929</v>
      </c>
      <c r="L439" s="81">
        <f>7.3444 * CHOOSE(CONTROL!$C$32, $C$9, 100%, $E$9)</f>
        <v>7.3444000000000003</v>
      </c>
      <c r="M439" s="81">
        <f>7.3497 * CHOOSE(CONTROL!$C$32, $C$9, 100%, $E$9)</f>
        <v>7.3497000000000003</v>
      </c>
      <c r="N439" s="81">
        <f>7.3444 * CHOOSE(CONTROL!$C$32, $C$9, 100%, $E$9)</f>
        <v>7.3444000000000003</v>
      </c>
      <c r="O439" s="81">
        <f>7.3497 * CHOOSE(CONTROL!$C$32, $C$9, 100%, $E$9)</f>
        <v>7.3497000000000003</v>
      </c>
    </row>
    <row r="440" spans="1:15" ht="15" x14ac:dyDescent="0.2">
      <c r="A440" s="16">
        <v>54605</v>
      </c>
      <c r="B440" s="80">
        <f>6.5374 * CHOOSE(CONTROL!$C$32, $C$9, 100%, $E$9)</f>
        <v>6.5373999999999999</v>
      </c>
      <c r="C440" s="80">
        <f>6.5374 * CHOOSE(CONTROL!$C$32, $C$9, 100%, $E$9)</f>
        <v>6.5373999999999999</v>
      </c>
      <c r="D440" s="80">
        <f>6.539 * CHOOSE(CONTROL!$C$32, $C$9, 100%, $E$9)</f>
        <v>6.5389999999999997</v>
      </c>
      <c r="E440" s="81">
        <f>7.4428 * CHOOSE(CONTROL!$C$32, $C$9, 100%, $E$9)</f>
        <v>7.4428000000000001</v>
      </c>
      <c r="F440" s="81">
        <f>7.4428 * CHOOSE(CONTROL!$C$32, $C$9, 100%, $E$9)</f>
        <v>7.4428000000000001</v>
      </c>
      <c r="G440" s="81">
        <f>7.448 * CHOOSE(CONTROL!$C$32, $C$9, 100%, $E$9)</f>
        <v>7.4480000000000004</v>
      </c>
      <c r="H440" s="81">
        <f>14.117 * CHOOSE(CONTROL!$C$32, $C$9, 100%, $E$9)</f>
        <v>14.117000000000001</v>
      </c>
      <c r="I440" s="81">
        <f>14.1223 * CHOOSE(CONTROL!$C$32, $C$9, 100%, $E$9)</f>
        <v>14.122299999999999</v>
      </c>
      <c r="J440" s="81">
        <f>14.117 * CHOOSE(CONTROL!$C$32, $C$9, 100%, $E$9)</f>
        <v>14.117000000000001</v>
      </c>
      <c r="K440" s="81">
        <f>14.1223 * CHOOSE(CONTROL!$C$32, $C$9, 100%, $E$9)</f>
        <v>14.122299999999999</v>
      </c>
      <c r="L440" s="81">
        <f>7.4428 * CHOOSE(CONTROL!$C$32, $C$9, 100%, $E$9)</f>
        <v>7.4428000000000001</v>
      </c>
      <c r="M440" s="81">
        <f>7.448 * CHOOSE(CONTROL!$C$32, $C$9, 100%, $E$9)</f>
        <v>7.4480000000000004</v>
      </c>
      <c r="N440" s="81">
        <f>7.4428 * CHOOSE(CONTROL!$C$32, $C$9, 100%, $E$9)</f>
        <v>7.4428000000000001</v>
      </c>
      <c r="O440" s="81">
        <f>7.448 * CHOOSE(CONTROL!$C$32, $C$9, 100%, $E$9)</f>
        <v>7.4480000000000004</v>
      </c>
    </row>
    <row r="441" spans="1:15" ht="15" x14ac:dyDescent="0.2">
      <c r="A441" s="16">
        <v>54636</v>
      </c>
      <c r="B441" s="80">
        <f>6.5441 * CHOOSE(CONTROL!$C$32, $C$9, 100%, $E$9)</f>
        <v>6.5441000000000003</v>
      </c>
      <c r="C441" s="80">
        <f>6.5441 * CHOOSE(CONTROL!$C$32, $C$9, 100%, $E$9)</f>
        <v>6.5441000000000003</v>
      </c>
      <c r="D441" s="80">
        <f>6.5457 * CHOOSE(CONTROL!$C$32, $C$9, 100%, $E$9)</f>
        <v>6.5457000000000001</v>
      </c>
      <c r="E441" s="81">
        <f>7.3013 * CHOOSE(CONTROL!$C$32, $C$9, 100%, $E$9)</f>
        <v>7.3013000000000003</v>
      </c>
      <c r="F441" s="81">
        <f>7.3013 * CHOOSE(CONTROL!$C$32, $C$9, 100%, $E$9)</f>
        <v>7.3013000000000003</v>
      </c>
      <c r="G441" s="81">
        <f>7.3066 * CHOOSE(CONTROL!$C$32, $C$9, 100%, $E$9)</f>
        <v>7.3066000000000004</v>
      </c>
      <c r="H441" s="81">
        <f>14.1464 * CHOOSE(CONTROL!$C$32, $C$9, 100%, $E$9)</f>
        <v>14.1464</v>
      </c>
      <c r="I441" s="81">
        <f>14.1517 * CHOOSE(CONTROL!$C$32, $C$9, 100%, $E$9)</f>
        <v>14.1517</v>
      </c>
      <c r="J441" s="81">
        <f>14.1464 * CHOOSE(CONTROL!$C$32, $C$9, 100%, $E$9)</f>
        <v>14.1464</v>
      </c>
      <c r="K441" s="81">
        <f>14.1517 * CHOOSE(CONTROL!$C$32, $C$9, 100%, $E$9)</f>
        <v>14.1517</v>
      </c>
      <c r="L441" s="81">
        <f>7.3013 * CHOOSE(CONTROL!$C$32, $C$9, 100%, $E$9)</f>
        <v>7.3013000000000003</v>
      </c>
      <c r="M441" s="81">
        <f>7.3066 * CHOOSE(CONTROL!$C$32, $C$9, 100%, $E$9)</f>
        <v>7.3066000000000004</v>
      </c>
      <c r="N441" s="81">
        <f>7.3013 * CHOOSE(CONTROL!$C$32, $C$9, 100%, $E$9)</f>
        <v>7.3013000000000003</v>
      </c>
      <c r="O441" s="81">
        <f>7.3066 * CHOOSE(CONTROL!$C$32, $C$9, 100%, $E$9)</f>
        <v>7.3066000000000004</v>
      </c>
    </row>
    <row r="442" spans="1:15" ht="15" x14ac:dyDescent="0.2">
      <c r="A442" s="16">
        <v>54667</v>
      </c>
      <c r="B442" s="80">
        <f>6.541 * CHOOSE(CONTROL!$C$32, $C$9, 100%, $E$9)</f>
        <v>6.5410000000000004</v>
      </c>
      <c r="C442" s="80">
        <f>6.541 * CHOOSE(CONTROL!$C$32, $C$9, 100%, $E$9)</f>
        <v>6.5410000000000004</v>
      </c>
      <c r="D442" s="80">
        <f>6.5426 * CHOOSE(CONTROL!$C$32, $C$9, 100%, $E$9)</f>
        <v>6.5426000000000002</v>
      </c>
      <c r="E442" s="81">
        <f>7.283 * CHOOSE(CONTROL!$C$32, $C$9, 100%, $E$9)</f>
        <v>7.2830000000000004</v>
      </c>
      <c r="F442" s="81">
        <f>7.283 * CHOOSE(CONTROL!$C$32, $C$9, 100%, $E$9)</f>
        <v>7.2830000000000004</v>
      </c>
      <c r="G442" s="81">
        <f>7.2883 * CHOOSE(CONTROL!$C$32, $C$9, 100%, $E$9)</f>
        <v>7.2882999999999996</v>
      </c>
      <c r="H442" s="81">
        <f>14.1759 * CHOOSE(CONTROL!$C$32, $C$9, 100%, $E$9)</f>
        <v>14.1759</v>
      </c>
      <c r="I442" s="81">
        <f>14.1811 * CHOOSE(CONTROL!$C$32, $C$9, 100%, $E$9)</f>
        <v>14.181100000000001</v>
      </c>
      <c r="J442" s="81">
        <f>14.1759 * CHOOSE(CONTROL!$C$32, $C$9, 100%, $E$9)</f>
        <v>14.1759</v>
      </c>
      <c r="K442" s="81">
        <f>14.1811 * CHOOSE(CONTROL!$C$32, $C$9, 100%, $E$9)</f>
        <v>14.181100000000001</v>
      </c>
      <c r="L442" s="81">
        <f>7.283 * CHOOSE(CONTROL!$C$32, $C$9, 100%, $E$9)</f>
        <v>7.2830000000000004</v>
      </c>
      <c r="M442" s="81">
        <f>7.2883 * CHOOSE(CONTROL!$C$32, $C$9, 100%, $E$9)</f>
        <v>7.2882999999999996</v>
      </c>
      <c r="N442" s="81">
        <f>7.283 * CHOOSE(CONTROL!$C$32, $C$9, 100%, $E$9)</f>
        <v>7.2830000000000004</v>
      </c>
      <c r="O442" s="81">
        <f>7.2883 * CHOOSE(CONTROL!$C$32, $C$9, 100%, $E$9)</f>
        <v>7.2882999999999996</v>
      </c>
    </row>
    <row r="443" spans="1:15" ht="15" x14ac:dyDescent="0.2">
      <c r="A443" s="16">
        <v>54697</v>
      </c>
      <c r="B443" s="80">
        <f>6.5456 * CHOOSE(CONTROL!$C$32, $C$9, 100%, $E$9)</f>
        <v>6.5456000000000003</v>
      </c>
      <c r="C443" s="80">
        <f>6.5456 * CHOOSE(CONTROL!$C$32, $C$9, 100%, $E$9)</f>
        <v>6.5456000000000003</v>
      </c>
      <c r="D443" s="80">
        <f>6.5466 * CHOOSE(CONTROL!$C$32, $C$9, 100%, $E$9)</f>
        <v>6.5465999999999998</v>
      </c>
      <c r="E443" s="81">
        <f>7.3345 * CHOOSE(CONTROL!$C$32, $C$9, 100%, $E$9)</f>
        <v>7.3345000000000002</v>
      </c>
      <c r="F443" s="81">
        <f>7.3345 * CHOOSE(CONTROL!$C$32, $C$9, 100%, $E$9)</f>
        <v>7.3345000000000002</v>
      </c>
      <c r="G443" s="81">
        <f>7.3381 * CHOOSE(CONTROL!$C$32, $C$9, 100%, $E$9)</f>
        <v>7.3380999999999998</v>
      </c>
      <c r="H443" s="81">
        <f>14.2054 * CHOOSE(CONTROL!$C$32, $C$9, 100%, $E$9)</f>
        <v>14.205399999999999</v>
      </c>
      <c r="I443" s="81">
        <f>14.209 * CHOOSE(CONTROL!$C$32, $C$9, 100%, $E$9)</f>
        <v>14.209</v>
      </c>
      <c r="J443" s="81">
        <f>14.2054 * CHOOSE(CONTROL!$C$32, $C$9, 100%, $E$9)</f>
        <v>14.205399999999999</v>
      </c>
      <c r="K443" s="81">
        <f>14.209 * CHOOSE(CONTROL!$C$32, $C$9, 100%, $E$9)</f>
        <v>14.209</v>
      </c>
      <c r="L443" s="81">
        <f>7.3345 * CHOOSE(CONTROL!$C$32, $C$9, 100%, $E$9)</f>
        <v>7.3345000000000002</v>
      </c>
      <c r="M443" s="81">
        <f>7.3381 * CHOOSE(CONTROL!$C$32, $C$9, 100%, $E$9)</f>
        <v>7.3380999999999998</v>
      </c>
      <c r="N443" s="81">
        <f>7.3345 * CHOOSE(CONTROL!$C$32, $C$9, 100%, $E$9)</f>
        <v>7.3345000000000002</v>
      </c>
      <c r="O443" s="81">
        <f>7.3381 * CHOOSE(CONTROL!$C$32, $C$9, 100%, $E$9)</f>
        <v>7.3380999999999998</v>
      </c>
    </row>
    <row r="444" spans="1:15" ht="15" x14ac:dyDescent="0.2">
      <c r="A444" s="16">
        <v>54728</v>
      </c>
      <c r="B444" s="80">
        <f>6.5486 * CHOOSE(CONTROL!$C$32, $C$9, 100%, $E$9)</f>
        <v>6.5486000000000004</v>
      </c>
      <c r="C444" s="80">
        <f>6.5486 * CHOOSE(CONTROL!$C$32, $C$9, 100%, $E$9)</f>
        <v>6.5486000000000004</v>
      </c>
      <c r="D444" s="80">
        <f>6.5497 * CHOOSE(CONTROL!$C$32, $C$9, 100%, $E$9)</f>
        <v>6.5496999999999996</v>
      </c>
      <c r="E444" s="81">
        <f>7.3691 * CHOOSE(CONTROL!$C$32, $C$9, 100%, $E$9)</f>
        <v>7.3691000000000004</v>
      </c>
      <c r="F444" s="81">
        <f>7.3691 * CHOOSE(CONTROL!$C$32, $C$9, 100%, $E$9)</f>
        <v>7.3691000000000004</v>
      </c>
      <c r="G444" s="81">
        <f>7.3727 * CHOOSE(CONTROL!$C$32, $C$9, 100%, $E$9)</f>
        <v>7.3727</v>
      </c>
      <c r="H444" s="81">
        <f>14.235 * CHOOSE(CONTROL!$C$32, $C$9, 100%, $E$9)</f>
        <v>14.234999999999999</v>
      </c>
      <c r="I444" s="81">
        <f>14.2386 * CHOOSE(CONTROL!$C$32, $C$9, 100%, $E$9)</f>
        <v>14.2386</v>
      </c>
      <c r="J444" s="81">
        <f>14.235 * CHOOSE(CONTROL!$C$32, $C$9, 100%, $E$9)</f>
        <v>14.234999999999999</v>
      </c>
      <c r="K444" s="81">
        <f>14.2386 * CHOOSE(CONTROL!$C$32, $C$9, 100%, $E$9)</f>
        <v>14.2386</v>
      </c>
      <c r="L444" s="81">
        <f>7.3691 * CHOOSE(CONTROL!$C$32, $C$9, 100%, $E$9)</f>
        <v>7.3691000000000004</v>
      </c>
      <c r="M444" s="81">
        <f>7.3727 * CHOOSE(CONTROL!$C$32, $C$9, 100%, $E$9)</f>
        <v>7.3727</v>
      </c>
      <c r="N444" s="81">
        <f>7.3691 * CHOOSE(CONTROL!$C$32, $C$9, 100%, $E$9)</f>
        <v>7.3691000000000004</v>
      </c>
      <c r="O444" s="81">
        <f>7.3727 * CHOOSE(CONTROL!$C$32, $C$9, 100%, $E$9)</f>
        <v>7.3727</v>
      </c>
    </row>
    <row r="445" spans="1:15" ht="15" x14ac:dyDescent="0.2">
      <c r="A445" s="16">
        <v>54758</v>
      </c>
      <c r="B445" s="80">
        <f>6.5486 * CHOOSE(CONTROL!$C$32, $C$9, 100%, $E$9)</f>
        <v>6.5486000000000004</v>
      </c>
      <c r="C445" s="80">
        <f>6.5486 * CHOOSE(CONTROL!$C$32, $C$9, 100%, $E$9)</f>
        <v>6.5486000000000004</v>
      </c>
      <c r="D445" s="80">
        <f>6.5497 * CHOOSE(CONTROL!$C$32, $C$9, 100%, $E$9)</f>
        <v>6.5496999999999996</v>
      </c>
      <c r="E445" s="81">
        <f>7.2879 * CHOOSE(CONTROL!$C$32, $C$9, 100%, $E$9)</f>
        <v>7.2878999999999996</v>
      </c>
      <c r="F445" s="81">
        <f>7.2879 * CHOOSE(CONTROL!$C$32, $C$9, 100%, $E$9)</f>
        <v>7.2878999999999996</v>
      </c>
      <c r="G445" s="81">
        <f>7.2915 * CHOOSE(CONTROL!$C$32, $C$9, 100%, $E$9)</f>
        <v>7.2915000000000001</v>
      </c>
      <c r="H445" s="81">
        <f>14.2646 * CHOOSE(CONTROL!$C$32, $C$9, 100%, $E$9)</f>
        <v>14.2646</v>
      </c>
      <c r="I445" s="81">
        <f>14.2683 * CHOOSE(CONTROL!$C$32, $C$9, 100%, $E$9)</f>
        <v>14.2683</v>
      </c>
      <c r="J445" s="81">
        <f>14.2646 * CHOOSE(CONTROL!$C$32, $C$9, 100%, $E$9)</f>
        <v>14.2646</v>
      </c>
      <c r="K445" s="81">
        <f>14.2683 * CHOOSE(CONTROL!$C$32, $C$9, 100%, $E$9)</f>
        <v>14.2683</v>
      </c>
      <c r="L445" s="81">
        <f>7.2879 * CHOOSE(CONTROL!$C$32, $C$9, 100%, $E$9)</f>
        <v>7.2878999999999996</v>
      </c>
      <c r="M445" s="81">
        <f>7.2915 * CHOOSE(CONTROL!$C$32, $C$9, 100%, $E$9)</f>
        <v>7.2915000000000001</v>
      </c>
      <c r="N445" s="81">
        <f>7.2879 * CHOOSE(CONTROL!$C$32, $C$9, 100%, $E$9)</f>
        <v>7.2878999999999996</v>
      </c>
      <c r="O445" s="81">
        <f>7.2915 * CHOOSE(CONTROL!$C$32, $C$9, 100%, $E$9)</f>
        <v>7.2915000000000001</v>
      </c>
    </row>
    <row r="446" spans="1:15" ht="15" x14ac:dyDescent="0.2">
      <c r="A446" s="16">
        <v>54789</v>
      </c>
      <c r="B446" s="80">
        <f>6.5983 * CHOOSE(CONTROL!$C$32, $C$9, 100%, $E$9)</f>
        <v>6.5983000000000001</v>
      </c>
      <c r="C446" s="80">
        <f>6.5983 * CHOOSE(CONTROL!$C$32, $C$9, 100%, $E$9)</f>
        <v>6.5983000000000001</v>
      </c>
      <c r="D446" s="80">
        <f>6.5993 * CHOOSE(CONTROL!$C$32, $C$9, 100%, $E$9)</f>
        <v>6.5993000000000004</v>
      </c>
      <c r="E446" s="81">
        <f>7.4077 * CHOOSE(CONTROL!$C$32, $C$9, 100%, $E$9)</f>
        <v>7.4077000000000002</v>
      </c>
      <c r="F446" s="81">
        <f>7.4077 * CHOOSE(CONTROL!$C$32, $C$9, 100%, $E$9)</f>
        <v>7.4077000000000002</v>
      </c>
      <c r="G446" s="81">
        <f>7.4113 * CHOOSE(CONTROL!$C$32, $C$9, 100%, $E$9)</f>
        <v>7.4112999999999998</v>
      </c>
      <c r="H446" s="81">
        <f>14.2944 * CHOOSE(CONTROL!$C$32, $C$9, 100%, $E$9)</f>
        <v>14.2944</v>
      </c>
      <c r="I446" s="81">
        <f>14.298 * CHOOSE(CONTROL!$C$32, $C$9, 100%, $E$9)</f>
        <v>14.298</v>
      </c>
      <c r="J446" s="81">
        <f>14.2944 * CHOOSE(CONTROL!$C$32, $C$9, 100%, $E$9)</f>
        <v>14.2944</v>
      </c>
      <c r="K446" s="81">
        <f>14.298 * CHOOSE(CONTROL!$C$32, $C$9, 100%, $E$9)</f>
        <v>14.298</v>
      </c>
      <c r="L446" s="81">
        <f>7.4077 * CHOOSE(CONTROL!$C$32, $C$9, 100%, $E$9)</f>
        <v>7.4077000000000002</v>
      </c>
      <c r="M446" s="81">
        <f>7.4113 * CHOOSE(CONTROL!$C$32, $C$9, 100%, $E$9)</f>
        <v>7.4112999999999998</v>
      </c>
      <c r="N446" s="81">
        <f>7.4077 * CHOOSE(CONTROL!$C$32, $C$9, 100%, $E$9)</f>
        <v>7.4077000000000002</v>
      </c>
      <c r="O446" s="81">
        <f>7.4113 * CHOOSE(CONTROL!$C$32, $C$9, 100%, $E$9)</f>
        <v>7.4112999999999998</v>
      </c>
    </row>
    <row r="447" spans="1:15" ht="15" x14ac:dyDescent="0.2">
      <c r="A447" s="16">
        <v>54820</v>
      </c>
      <c r="B447" s="80">
        <f>6.5952 * CHOOSE(CONTROL!$C$32, $C$9, 100%, $E$9)</f>
        <v>6.5952000000000002</v>
      </c>
      <c r="C447" s="80">
        <f>6.5952 * CHOOSE(CONTROL!$C$32, $C$9, 100%, $E$9)</f>
        <v>6.5952000000000002</v>
      </c>
      <c r="D447" s="80">
        <f>6.5963 * CHOOSE(CONTROL!$C$32, $C$9, 100%, $E$9)</f>
        <v>6.5963000000000003</v>
      </c>
      <c r="E447" s="81">
        <f>7.2472 * CHOOSE(CONTROL!$C$32, $C$9, 100%, $E$9)</f>
        <v>7.2472000000000003</v>
      </c>
      <c r="F447" s="81">
        <f>7.2472 * CHOOSE(CONTROL!$C$32, $C$9, 100%, $E$9)</f>
        <v>7.2472000000000003</v>
      </c>
      <c r="G447" s="81">
        <f>7.2508 * CHOOSE(CONTROL!$C$32, $C$9, 100%, $E$9)</f>
        <v>7.2507999999999999</v>
      </c>
      <c r="H447" s="81">
        <f>14.3241 * CHOOSE(CONTROL!$C$32, $C$9, 100%, $E$9)</f>
        <v>14.3241</v>
      </c>
      <c r="I447" s="81">
        <f>14.3278 * CHOOSE(CONTROL!$C$32, $C$9, 100%, $E$9)</f>
        <v>14.3278</v>
      </c>
      <c r="J447" s="81">
        <f>14.3241 * CHOOSE(CONTROL!$C$32, $C$9, 100%, $E$9)</f>
        <v>14.3241</v>
      </c>
      <c r="K447" s="81">
        <f>14.3278 * CHOOSE(CONTROL!$C$32, $C$9, 100%, $E$9)</f>
        <v>14.3278</v>
      </c>
      <c r="L447" s="81">
        <f>7.2472 * CHOOSE(CONTROL!$C$32, $C$9, 100%, $E$9)</f>
        <v>7.2472000000000003</v>
      </c>
      <c r="M447" s="81">
        <f>7.2508 * CHOOSE(CONTROL!$C$32, $C$9, 100%, $E$9)</f>
        <v>7.2507999999999999</v>
      </c>
      <c r="N447" s="81">
        <f>7.2472 * CHOOSE(CONTROL!$C$32, $C$9, 100%, $E$9)</f>
        <v>7.2472000000000003</v>
      </c>
      <c r="O447" s="81">
        <f>7.2508 * CHOOSE(CONTROL!$C$32, $C$9, 100%, $E$9)</f>
        <v>7.2507999999999999</v>
      </c>
    </row>
    <row r="448" spans="1:15" ht="15" x14ac:dyDescent="0.2">
      <c r="A448" s="16">
        <v>54848</v>
      </c>
      <c r="B448" s="80">
        <f>6.5922 * CHOOSE(CONTROL!$C$32, $C$9, 100%, $E$9)</f>
        <v>6.5922000000000001</v>
      </c>
      <c r="C448" s="80">
        <f>6.5922 * CHOOSE(CONTROL!$C$32, $C$9, 100%, $E$9)</f>
        <v>6.5922000000000001</v>
      </c>
      <c r="D448" s="80">
        <f>6.5933 * CHOOSE(CONTROL!$C$32, $C$9, 100%, $E$9)</f>
        <v>6.5933000000000002</v>
      </c>
      <c r="E448" s="81">
        <f>7.3699 * CHOOSE(CONTROL!$C$32, $C$9, 100%, $E$9)</f>
        <v>7.3699000000000003</v>
      </c>
      <c r="F448" s="81">
        <f>7.3699 * CHOOSE(CONTROL!$C$32, $C$9, 100%, $E$9)</f>
        <v>7.3699000000000003</v>
      </c>
      <c r="G448" s="81">
        <f>7.3735 * CHOOSE(CONTROL!$C$32, $C$9, 100%, $E$9)</f>
        <v>7.3734999999999999</v>
      </c>
      <c r="H448" s="81">
        <f>14.354 * CHOOSE(CONTROL!$C$32, $C$9, 100%, $E$9)</f>
        <v>14.353999999999999</v>
      </c>
      <c r="I448" s="81">
        <f>14.3576 * CHOOSE(CONTROL!$C$32, $C$9, 100%, $E$9)</f>
        <v>14.3576</v>
      </c>
      <c r="J448" s="81">
        <f>14.354 * CHOOSE(CONTROL!$C$32, $C$9, 100%, $E$9)</f>
        <v>14.353999999999999</v>
      </c>
      <c r="K448" s="81">
        <f>14.3576 * CHOOSE(CONTROL!$C$32, $C$9, 100%, $E$9)</f>
        <v>14.3576</v>
      </c>
      <c r="L448" s="81">
        <f>7.3699 * CHOOSE(CONTROL!$C$32, $C$9, 100%, $E$9)</f>
        <v>7.3699000000000003</v>
      </c>
      <c r="M448" s="81">
        <f>7.3735 * CHOOSE(CONTROL!$C$32, $C$9, 100%, $E$9)</f>
        <v>7.3734999999999999</v>
      </c>
      <c r="N448" s="81">
        <f>7.3699 * CHOOSE(CONTROL!$C$32, $C$9, 100%, $E$9)</f>
        <v>7.3699000000000003</v>
      </c>
      <c r="O448" s="81">
        <f>7.3735 * CHOOSE(CONTROL!$C$32, $C$9, 100%, $E$9)</f>
        <v>7.3734999999999999</v>
      </c>
    </row>
    <row r="449" spans="1:15" ht="15" x14ac:dyDescent="0.2">
      <c r="A449" s="16">
        <v>54879</v>
      </c>
      <c r="B449" s="80">
        <f>6.5923 * CHOOSE(CONTROL!$C$32, $C$9, 100%, $E$9)</f>
        <v>6.5922999999999998</v>
      </c>
      <c r="C449" s="80">
        <f>6.5923 * CHOOSE(CONTROL!$C$32, $C$9, 100%, $E$9)</f>
        <v>6.5922999999999998</v>
      </c>
      <c r="D449" s="80">
        <f>6.5934 * CHOOSE(CONTROL!$C$32, $C$9, 100%, $E$9)</f>
        <v>6.5933999999999999</v>
      </c>
      <c r="E449" s="81">
        <f>7.4998 * CHOOSE(CONTROL!$C$32, $C$9, 100%, $E$9)</f>
        <v>7.4997999999999996</v>
      </c>
      <c r="F449" s="81">
        <f>7.4998 * CHOOSE(CONTROL!$C$32, $C$9, 100%, $E$9)</f>
        <v>7.4997999999999996</v>
      </c>
      <c r="G449" s="81">
        <f>7.5034 * CHOOSE(CONTROL!$C$32, $C$9, 100%, $E$9)</f>
        <v>7.5034000000000001</v>
      </c>
      <c r="H449" s="81">
        <f>14.3839 * CHOOSE(CONTROL!$C$32, $C$9, 100%, $E$9)</f>
        <v>14.383900000000001</v>
      </c>
      <c r="I449" s="81">
        <f>14.3875 * CHOOSE(CONTROL!$C$32, $C$9, 100%, $E$9)</f>
        <v>14.387499999999999</v>
      </c>
      <c r="J449" s="81">
        <f>14.3839 * CHOOSE(CONTROL!$C$32, $C$9, 100%, $E$9)</f>
        <v>14.383900000000001</v>
      </c>
      <c r="K449" s="81">
        <f>14.3875 * CHOOSE(CONTROL!$C$32, $C$9, 100%, $E$9)</f>
        <v>14.387499999999999</v>
      </c>
      <c r="L449" s="81">
        <f>7.4998 * CHOOSE(CONTROL!$C$32, $C$9, 100%, $E$9)</f>
        <v>7.4997999999999996</v>
      </c>
      <c r="M449" s="81">
        <f>7.5034 * CHOOSE(CONTROL!$C$32, $C$9, 100%, $E$9)</f>
        <v>7.5034000000000001</v>
      </c>
      <c r="N449" s="81">
        <f>7.4998 * CHOOSE(CONTROL!$C$32, $C$9, 100%, $E$9)</f>
        <v>7.4997999999999996</v>
      </c>
      <c r="O449" s="81">
        <f>7.5034 * CHOOSE(CONTROL!$C$32, $C$9, 100%, $E$9)</f>
        <v>7.5034000000000001</v>
      </c>
    </row>
    <row r="450" spans="1:15" ht="15" x14ac:dyDescent="0.2">
      <c r="A450" s="16">
        <v>54909</v>
      </c>
      <c r="B450" s="80">
        <f>6.5923 * CHOOSE(CONTROL!$C$32, $C$9, 100%, $E$9)</f>
        <v>6.5922999999999998</v>
      </c>
      <c r="C450" s="80">
        <f>6.5923 * CHOOSE(CONTROL!$C$32, $C$9, 100%, $E$9)</f>
        <v>6.5922999999999998</v>
      </c>
      <c r="D450" s="80">
        <f>6.5939 * CHOOSE(CONTROL!$C$32, $C$9, 100%, $E$9)</f>
        <v>6.5938999999999997</v>
      </c>
      <c r="E450" s="81">
        <f>7.55 * CHOOSE(CONTROL!$C$32, $C$9, 100%, $E$9)</f>
        <v>7.55</v>
      </c>
      <c r="F450" s="81">
        <f>7.55 * CHOOSE(CONTROL!$C$32, $C$9, 100%, $E$9)</f>
        <v>7.55</v>
      </c>
      <c r="G450" s="81">
        <f>7.5553 * CHOOSE(CONTROL!$C$32, $C$9, 100%, $E$9)</f>
        <v>7.5552999999999999</v>
      </c>
      <c r="H450" s="81">
        <f>14.4138 * CHOOSE(CONTROL!$C$32, $C$9, 100%, $E$9)</f>
        <v>14.4138</v>
      </c>
      <c r="I450" s="81">
        <f>14.4191 * CHOOSE(CONTROL!$C$32, $C$9, 100%, $E$9)</f>
        <v>14.4191</v>
      </c>
      <c r="J450" s="81">
        <f>14.4138 * CHOOSE(CONTROL!$C$32, $C$9, 100%, $E$9)</f>
        <v>14.4138</v>
      </c>
      <c r="K450" s="81">
        <f>14.4191 * CHOOSE(CONTROL!$C$32, $C$9, 100%, $E$9)</f>
        <v>14.4191</v>
      </c>
      <c r="L450" s="81">
        <f>7.55 * CHOOSE(CONTROL!$C$32, $C$9, 100%, $E$9)</f>
        <v>7.55</v>
      </c>
      <c r="M450" s="81">
        <f>7.5553 * CHOOSE(CONTROL!$C$32, $C$9, 100%, $E$9)</f>
        <v>7.5552999999999999</v>
      </c>
      <c r="N450" s="81">
        <f>7.55 * CHOOSE(CONTROL!$C$32, $C$9, 100%, $E$9)</f>
        <v>7.55</v>
      </c>
      <c r="O450" s="81">
        <f>7.5553 * CHOOSE(CONTROL!$C$32, $C$9, 100%, $E$9)</f>
        <v>7.5552999999999999</v>
      </c>
    </row>
    <row r="451" spans="1:15" ht="15" x14ac:dyDescent="0.2">
      <c r="A451" s="16">
        <v>54940</v>
      </c>
      <c r="B451" s="80">
        <f>6.5984 * CHOOSE(CONTROL!$C$32, $C$9, 100%, $E$9)</f>
        <v>6.5983999999999998</v>
      </c>
      <c r="C451" s="80">
        <f>6.5984 * CHOOSE(CONTROL!$C$32, $C$9, 100%, $E$9)</f>
        <v>6.5983999999999998</v>
      </c>
      <c r="D451" s="80">
        <f>6.6 * CHOOSE(CONTROL!$C$32, $C$9, 100%, $E$9)</f>
        <v>6.6</v>
      </c>
      <c r="E451" s="81">
        <f>7.504 * CHOOSE(CONTROL!$C$32, $C$9, 100%, $E$9)</f>
        <v>7.5039999999999996</v>
      </c>
      <c r="F451" s="81">
        <f>7.504 * CHOOSE(CONTROL!$C$32, $C$9, 100%, $E$9)</f>
        <v>7.5039999999999996</v>
      </c>
      <c r="G451" s="81">
        <f>7.5093 * CHOOSE(CONTROL!$C$32, $C$9, 100%, $E$9)</f>
        <v>7.5092999999999996</v>
      </c>
      <c r="H451" s="81">
        <f>14.4439 * CHOOSE(CONTROL!$C$32, $C$9, 100%, $E$9)</f>
        <v>14.443899999999999</v>
      </c>
      <c r="I451" s="81">
        <f>14.4492 * CHOOSE(CONTROL!$C$32, $C$9, 100%, $E$9)</f>
        <v>14.449199999999999</v>
      </c>
      <c r="J451" s="81">
        <f>14.4439 * CHOOSE(CONTROL!$C$32, $C$9, 100%, $E$9)</f>
        <v>14.443899999999999</v>
      </c>
      <c r="K451" s="81">
        <f>14.4492 * CHOOSE(CONTROL!$C$32, $C$9, 100%, $E$9)</f>
        <v>14.449199999999999</v>
      </c>
      <c r="L451" s="81">
        <f>7.504 * CHOOSE(CONTROL!$C$32, $C$9, 100%, $E$9)</f>
        <v>7.5039999999999996</v>
      </c>
      <c r="M451" s="81">
        <f>7.5093 * CHOOSE(CONTROL!$C$32, $C$9, 100%, $E$9)</f>
        <v>7.5092999999999996</v>
      </c>
      <c r="N451" s="81">
        <f>7.504 * CHOOSE(CONTROL!$C$32, $C$9, 100%, $E$9)</f>
        <v>7.5039999999999996</v>
      </c>
      <c r="O451" s="81">
        <f>7.5093 * CHOOSE(CONTROL!$C$32, $C$9, 100%, $E$9)</f>
        <v>7.5092999999999996</v>
      </c>
    </row>
    <row r="452" spans="1:15" ht="15" x14ac:dyDescent="0.2">
      <c r="A452" s="16">
        <v>54970</v>
      </c>
      <c r="B452" s="80">
        <f>6.6855 * CHOOSE(CONTROL!$C$32, $C$9, 100%, $E$9)</f>
        <v>6.6855000000000002</v>
      </c>
      <c r="C452" s="80">
        <f>6.6855 * CHOOSE(CONTROL!$C$32, $C$9, 100%, $E$9)</f>
        <v>6.6855000000000002</v>
      </c>
      <c r="D452" s="80">
        <f>6.6871 * CHOOSE(CONTROL!$C$32, $C$9, 100%, $E$9)</f>
        <v>6.6871</v>
      </c>
      <c r="E452" s="81">
        <f>7.6081 * CHOOSE(CONTROL!$C$32, $C$9, 100%, $E$9)</f>
        <v>7.6081000000000003</v>
      </c>
      <c r="F452" s="81">
        <f>7.6081 * CHOOSE(CONTROL!$C$32, $C$9, 100%, $E$9)</f>
        <v>7.6081000000000003</v>
      </c>
      <c r="G452" s="81">
        <f>7.6134 * CHOOSE(CONTROL!$C$32, $C$9, 100%, $E$9)</f>
        <v>7.6134000000000004</v>
      </c>
      <c r="H452" s="81">
        <f>14.474 * CHOOSE(CONTROL!$C$32, $C$9, 100%, $E$9)</f>
        <v>14.474</v>
      </c>
      <c r="I452" s="81">
        <f>14.4793 * CHOOSE(CONTROL!$C$32, $C$9, 100%, $E$9)</f>
        <v>14.4793</v>
      </c>
      <c r="J452" s="81">
        <f>14.474 * CHOOSE(CONTROL!$C$32, $C$9, 100%, $E$9)</f>
        <v>14.474</v>
      </c>
      <c r="K452" s="81">
        <f>14.4793 * CHOOSE(CONTROL!$C$32, $C$9, 100%, $E$9)</f>
        <v>14.4793</v>
      </c>
      <c r="L452" s="81">
        <f>7.6081 * CHOOSE(CONTROL!$C$32, $C$9, 100%, $E$9)</f>
        <v>7.6081000000000003</v>
      </c>
      <c r="M452" s="81">
        <f>7.6134 * CHOOSE(CONTROL!$C$32, $C$9, 100%, $E$9)</f>
        <v>7.6134000000000004</v>
      </c>
      <c r="N452" s="81">
        <f>7.6081 * CHOOSE(CONTROL!$C$32, $C$9, 100%, $E$9)</f>
        <v>7.6081000000000003</v>
      </c>
      <c r="O452" s="81">
        <f>7.6134 * CHOOSE(CONTROL!$C$32, $C$9, 100%, $E$9)</f>
        <v>7.6134000000000004</v>
      </c>
    </row>
    <row r="453" spans="1:15" ht="15" x14ac:dyDescent="0.2">
      <c r="A453" s="16">
        <v>55001</v>
      </c>
      <c r="B453" s="80">
        <f>6.6922 * CHOOSE(CONTROL!$C$32, $C$9, 100%, $E$9)</f>
        <v>6.6921999999999997</v>
      </c>
      <c r="C453" s="80">
        <f>6.6922 * CHOOSE(CONTROL!$C$32, $C$9, 100%, $E$9)</f>
        <v>6.6921999999999997</v>
      </c>
      <c r="D453" s="80">
        <f>6.6937 * CHOOSE(CONTROL!$C$32, $C$9, 100%, $E$9)</f>
        <v>6.6936999999999998</v>
      </c>
      <c r="E453" s="81">
        <f>7.4619 * CHOOSE(CONTROL!$C$32, $C$9, 100%, $E$9)</f>
        <v>7.4619</v>
      </c>
      <c r="F453" s="81">
        <f>7.4619 * CHOOSE(CONTROL!$C$32, $C$9, 100%, $E$9)</f>
        <v>7.4619</v>
      </c>
      <c r="G453" s="81">
        <f>7.4672 * CHOOSE(CONTROL!$C$32, $C$9, 100%, $E$9)</f>
        <v>7.4672000000000001</v>
      </c>
      <c r="H453" s="81">
        <f>14.5041 * CHOOSE(CONTROL!$C$32, $C$9, 100%, $E$9)</f>
        <v>14.504099999999999</v>
      </c>
      <c r="I453" s="81">
        <f>14.5094 * CHOOSE(CONTROL!$C$32, $C$9, 100%, $E$9)</f>
        <v>14.509399999999999</v>
      </c>
      <c r="J453" s="81">
        <f>14.5041 * CHOOSE(CONTROL!$C$32, $C$9, 100%, $E$9)</f>
        <v>14.504099999999999</v>
      </c>
      <c r="K453" s="81">
        <f>14.5094 * CHOOSE(CONTROL!$C$32, $C$9, 100%, $E$9)</f>
        <v>14.509399999999999</v>
      </c>
      <c r="L453" s="81">
        <f>7.4619 * CHOOSE(CONTROL!$C$32, $C$9, 100%, $E$9)</f>
        <v>7.4619</v>
      </c>
      <c r="M453" s="81">
        <f>7.4672 * CHOOSE(CONTROL!$C$32, $C$9, 100%, $E$9)</f>
        <v>7.4672000000000001</v>
      </c>
      <c r="N453" s="81">
        <f>7.4619 * CHOOSE(CONTROL!$C$32, $C$9, 100%, $E$9)</f>
        <v>7.4619</v>
      </c>
      <c r="O453" s="81">
        <f>7.4672 * CHOOSE(CONTROL!$C$32, $C$9, 100%, $E$9)</f>
        <v>7.4672000000000001</v>
      </c>
    </row>
    <row r="454" spans="1:15" ht="15" x14ac:dyDescent="0.2">
      <c r="A454" s="16">
        <v>55032</v>
      </c>
      <c r="B454" s="80">
        <f>6.6891 * CHOOSE(CONTROL!$C$32, $C$9, 100%, $E$9)</f>
        <v>6.6890999999999998</v>
      </c>
      <c r="C454" s="80">
        <f>6.6891 * CHOOSE(CONTROL!$C$32, $C$9, 100%, $E$9)</f>
        <v>6.6890999999999998</v>
      </c>
      <c r="D454" s="80">
        <f>6.6907 * CHOOSE(CONTROL!$C$32, $C$9, 100%, $E$9)</f>
        <v>6.6906999999999996</v>
      </c>
      <c r="E454" s="81">
        <f>7.443 * CHOOSE(CONTROL!$C$32, $C$9, 100%, $E$9)</f>
        <v>7.4429999999999996</v>
      </c>
      <c r="F454" s="81">
        <f>7.443 * CHOOSE(CONTROL!$C$32, $C$9, 100%, $E$9)</f>
        <v>7.4429999999999996</v>
      </c>
      <c r="G454" s="81">
        <f>7.4483 * CHOOSE(CONTROL!$C$32, $C$9, 100%, $E$9)</f>
        <v>7.4482999999999997</v>
      </c>
      <c r="H454" s="81">
        <f>14.5343 * CHOOSE(CONTROL!$C$32, $C$9, 100%, $E$9)</f>
        <v>14.5343</v>
      </c>
      <c r="I454" s="81">
        <f>14.5396 * CHOOSE(CONTROL!$C$32, $C$9, 100%, $E$9)</f>
        <v>14.5396</v>
      </c>
      <c r="J454" s="81">
        <f>14.5343 * CHOOSE(CONTROL!$C$32, $C$9, 100%, $E$9)</f>
        <v>14.5343</v>
      </c>
      <c r="K454" s="81">
        <f>14.5396 * CHOOSE(CONTROL!$C$32, $C$9, 100%, $E$9)</f>
        <v>14.5396</v>
      </c>
      <c r="L454" s="81">
        <f>7.443 * CHOOSE(CONTROL!$C$32, $C$9, 100%, $E$9)</f>
        <v>7.4429999999999996</v>
      </c>
      <c r="M454" s="81">
        <f>7.4483 * CHOOSE(CONTROL!$C$32, $C$9, 100%, $E$9)</f>
        <v>7.4482999999999997</v>
      </c>
      <c r="N454" s="81">
        <f>7.443 * CHOOSE(CONTROL!$C$32, $C$9, 100%, $E$9)</f>
        <v>7.4429999999999996</v>
      </c>
      <c r="O454" s="81">
        <f>7.4483 * CHOOSE(CONTROL!$C$32, $C$9, 100%, $E$9)</f>
        <v>7.4482999999999997</v>
      </c>
    </row>
    <row r="455" spans="1:15" ht="15" x14ac:dyDescent="0.2">
      <c r="A455" s="16">
        <v>55062</v>
      </c>
      <c r="B455" s="80">
        <f>6.6942 * CHOOSE(CONTROL!$C$32, $C$9, 100%, $E$9)</f>
        <v>6.6942000000000004</v>
      </c>
      <c r="C455" s="80">
        <f>6.6942 * CHOOSE(CONTROL!$C$32, $C$9, 100%, $E$9)</f>
        <v>6.6942000000000004</v>
      </c>
      <c r="D455" s="80">
        <f>6.6953 * CHOOSE(CONTROL!$C$32, $C$9, 100%, $E$9)</f>
        <v>6.6952999999999996</v>
      </c>
      <c r="E455" s="81">
        <f>7.4966 * CHOOSE(CONTROL!$C$32, $C$9, 100%, $E$9)</f>
        <v>7.4965999999999999</v>
      </c>
      <c r="F455" s="81">
        <f>7.4966 * CHOOSE(CONTROL!$C$32, $C$9, 100%, $E$9)</f>
        <v>7.4965999999999999</v>
      </c>
      <c r="G455" s="81">
        <f>7.5002 * CHOOSE(CONTROL!$C$32, $C$9, 100%, $E$9)</f>
        <v>7.5002000000000004</v>
      </c>
      <c r="H455" s="81">
        <f>14.5646 * CHOOSE(CONTROL!$C$32, $C$9, 100%, $E$9)</f>
        <v>14.5646</v>
      </c>
      <c r="I455" s="81">
        <f>14.5682 * CHOOSE(CONTROL!$C$32, $C$9, 100%, $E$9)</f>
        <v>14.568199999999999</v>
      </c>
      <c r="J455" s="81">
        <f>14.5646 * CHOOSE(CONTROL!$C$32, $C$9, 100%, $E$9)</f>
        <v>14.5646</v>
      </c>
      <c r="K455" s="81">
        <f>14.5682 * CHOOSE(CONTROL!$C$32, $C$9, 100%, $E$9)</f>
        <v>14.568199999999999</v>
      </c>
      <c r="L455" s="81">
        <f>7.4966 * CHOOSE(CONTROL!$C$32, $C$9, 100%, $E$9)</f>
        <v>7.4965999999999999</v>
      </c>
      <c r="M455" s="81">
        <f>7.5002 * CHOOSE(CONTROL!$C$32, $C$9, 100%, $E$9)</f>
        <v>7.5002000000000004</v>
      </c>
      <c r="N455" s="81">
        <f>7.4966 * CHOOSE(CONTROL!$C$32, $C$9, 100%, $E$9)</f>
        <v>7.4965999999999999</v>
      </c>
      <c r="O455" s="81">
        <f>7.5002 * CHOOSE(CONTROL!$C$32, $C$9, 100%, $E$9)</f>
        <v>7.5002000000000004</v>
      </c>
    </row>
    <row r="456" spans="1:15" ht="15" x14ac:dyDescent="0.2">
      <c r="A456" s="16">
        <v>55093</v>
      </c>
      <c r="B456" s="80">
        <f>6.6972 * CHOOSE(CONTROL!$C$32, $C$9, 100%, $E$9)</f>
        <v>6.6971999999999996</v>
      </c>
      <c r="C456" s="80">
        <f>6.6972 * CHOOSE(CONTROL!$C$32, $C$9, 100%, $E$9)</f>
        <v>6.6971999999999996</v>
      </c>
      <c r="D456" s="80">
        <f>6.6983 * CHOOSE(CONTROL!$C$32, $C$9, 100%, $E$9)</f>
        <v>6.6982999999999997</v>
      </c>
      <c r="E456" s="81">
        <f>7.5323 * CHOOSE(CONTROL!$C$32, $C$9, 100%, $E$9)</f>
        <v>7.5323000000000002</v>
      </c>
      <c r="F456" s="81">
        <f>7.5323 * CHOOSE(CONTROL!$C$32, $C$9, 100%, $E$9)</f>
        <v>7.5323000000000002</v>
      </c>
      <c r="G456" s="81">
        <f>7.5359 * CHOOSE(CONTROL!$C$32, $C$9, 100%, $E$9)</f>
        <v>7.5358999999999998</v>
      </c>
      <c r="H456" s="81">
        <f>14.595 * CHOOSE(CONTROL!$C$32, $C$9, 100%, $E$9)</f>
        <v>14.595000000000001</v>
      </c>
      <c r="I456" s="81">
        <f>14.5986 * CHOOSE(CONTROL!$C$32, $C$9, 100%, $E$9)</f>
        <v>14.598599999999999</v>
      </c>
      <c r="J456" s="81">
        <f>14.595 * CHOOSE(CONTROL!$C$32, $C$9, 100%, $E$9)</f>
        <v>14.595000000000001</v>
      </c>
      <c r="K456" s="81">
        <f>14.5986 * CHOOSE(CONTROL!$C$32, $C$9, 100%, $E$9)</f>
        <v>14.598599999999999</v>
      </c>
      <c r="L456" s="81">
        <f>7.5323 * CHOOSE(CONTROL!$C$32, $C$9, 100%, $E$9)</f>
        <v>7.5323000000000002</v>
      </c>
      <c r="M456" s="81">
        <f>7.5359 * CHOOSE(CONTROL!$C$32, $C$9, 100%, $E$9)</f>
        <v>7.5358999999999998</v>
      </c>
      <c r="N456" s="81">
        <f>7.5323 * CHOOSE(CONTROL!$C$32, $C$9, 100%, $E$9)</f>
        <v>7.5323000000000002</v>
      </c>
      <c r="O456" s="81">
        <f>7.5359 * CHOOSE(CONTROL!$C$32, $C$9, 100%, $E$9)</f>
        <v>7.5358999999999998</v>
      </c>
    </row>
    <row r="457" spans="1:15" ht="15" x14ac:dyDescent="0.2">
      <c r="A457" s="16">
        <v>55123</v>
      </c>
      <c r="B457" s="80">
        <f>6.6972 * CHOOSE(CONTROL!$C$32, $C$9, 100%, $E$9)</f>
        <v>6.6971999999999996</v>
      </c>
      <c r="C457" s="80">
        <f>6.6972 * CHOOSE(CONTROL!$C$32, $C$9, 100%, $E$9)</f>
        <v>6.6971999999999996</v>
      </c>
      <c r="D457" s="80">
        <f>6.6983 * CHOOSE(CONTROL!$C$32, $C$9, 100%, $E$9)</f>
        <v>6.6982999999999997</v>
      </c>
      <c r="E457" s="81">
        <f>7.4485 * CHOOSE(CONTROL!$C$32, $C$9, 100%, $E$9)</f>
        <v>7.4485000000000001</v>
      </c>
      <c r="F457" s="81">
        <f>7.4485 * CHOOSE(CONTROL!$C$32, $C$9, 100%, $E$9)</f>
        <v>7.4485000000000001</v>
      </c>
      <c r="G457" s="81">
        <f>7.4521 * CHOOSE(CONTROL!$C$32, $C$9, 100%, $E$9)</f>
        <v>7.4520999999999997</v>
      </c>
      <c r="H457" s="81">
        <f>14.6254 * CHOOSE(CONTROL!$C$32, $C$9, 100%, $E$9)</f>
        <v>14.625400000000001</v>
      </c>
      <c r="I457" s="81">
        <f>14.629 * CHOOSE(CONTROL!$C$32, $C$9, 100%, $E$9)</f>
        <v>14.629</v>
      </c>
      <c r="J457" s="81">
        <f>14.6254 * CHOOSE(CONTROL!$C$32, $C$9, 100%, $E$9)</f>
        <v>14.625400000000001</v>
      </c>
      <c r="K457" s="81">
        <f>14.629 * CHOOSE(CONTROL!$C$32, $C$9, 100%, $E$9)</f>
        <v>14.629</v>
      </c>
      <c r="L457" s="81">
        <f>7.4485 * CHOOSE(CONTROL!$C$32, $C$9, 100%, $E$9)</f>
        <v>7.4485000000000001</v>
      </c>
      <c r="M457" s="81">
        <f>7.4521 * CHOOSE(CONTROL!$C$32, $C$9, 100%, $E$9)</f>
        <v>7.4520999999999997</v>
      </c>
      <c r="N457" s="81">
        <f>7.4485 * CHOOSE(CONTROL!$C$32, $C$9, 100%, $E$9)</f>
        <v>7.4485000000000001</v>
      </c>
      <c r="O457" s="81">
        <f>7.4521 * CHOOSE(CONTROL!$C$32, $C$9, 100%, $E$9)</f>
        <v>7.4520999999999997</v>
      </c>
    </row>
    <row r="458" spans="1:15" ht="15" x14ac:dyDescent="0.2">
      <c r="A458" s="16">
        <v>55154</v>
      </c>
      <c r="B458" s="80">
        <f>6.7479 * CHOOSE(CONTROL!$C$32, $C$9, 100%, $E$9)</f>
        <v>6.7478999999999996</v>
      </c>
      <c r="C458" s="80">
        <f>6.7479 * CHOOSE(CONTROL!$C$32, $C$9, 100%, $E$9)</f>
        <v>6.7478999999999996</v>
      </c>
      <c r="D458" s="80">
        <f>6.749 * CHOOSE(CONTROL!$C$32, $C$9, 100%, $E$9)</f>
        <v>6.7489999999999997</v>
      </c>
      <c r="E458" s="81">
        <f>7.571 * CHOOSE(CONTROL!$C$32, $C$9, 100%, $E$9)</f>
        <v>7.5709999999999997</v>
      </c>
      <c r="F458" s="81">
        <f>7.571 * CHOOSE(CONTROL!$C$32, $C$9, 100%, $E$9)</f>
        <v>7.5709999999999997</v>
      </c>
      <c r="G458" s="81">
        <f>7.5746 * CHOOSE(CONTROL!$C$32, $C$9, 100%, $E$9)</f>
        <v>7.5746000000000002</v>
      </c>
      <c r="H458" s="81">
        <f>14.6558 * CHOOSE(CONTROL!$C$32, $C$9, 100%, $E$9)</f>
        <v>14.655799999999999</v>
      </c>
      <c r="I458" s="81">
        <f>14.6595 * CHOOSE(CONTROL!$C$32, $C$9, 100%, $E$9)</f>
        <v>14.6595</v>
      </c>
      <c r="J458" s="81">
        <f>14.6558 * CHOOSE(CONTROL!$C$32, $C$9, 100%, $E$9)</f>
        <v>14.655799999999999</v>
      </c>
      <c r="K458" s="81">
        <f>14.6595 * CHOOSE(CONTROL!$C$32, $C$9, 100%, $E$9)</f>
        <v>14.6595</v>
      </c>
      <c r="L458" s="81">
        <f>7.571 * CHOOSE(CONTROL!$C$32, $C$9, 100%, $E$9)</f>
        <v>7.5709999999999997</v>
      </c>
      <c r="M458" s="81">
        <f>7.5746 * CHOOSE(CONTROL!$C$32, $C$9, 100%, $E$9)</f>
        <v>7.5746000000000002</v>
      </c>
      <c r="N458" s="81">
        <f>7.571 * CHOOSE(CONTROL!$C$32, $C$9, 100%, $E$9)</f>
        <v>7.5709999999999997</v>
      </c>
      <c r="O458" s="81">
        <f>7.5746 * CHOOSE(CONTROL!$C$32, $C$9, 100%, $E$9)</f>
        <v>7.5746000000000002</v>
      </c>
    </row>
    <row r="459" spans="1:15" ht="15" x14ac:dyDescent="0.2">
      <c r="A459" s="16">
        <v>55185</v>
      </c>
      <c r="B459" s="80">
        <f>6.7449 * CHOOSE(CONTROL!$C$32, $C$9, 100%, $E$9)</f>
        <v>6.7449000000000003</v>
      </c>
      <c r="C459" s="80">
        <f>6.7449 * CHOOSE(CONTROL!$C$32, $C$9, 100%, $E$9)</f>
        <v>6.7449000000000003</v>
      </c>
      <c r="D459" s="80">
        <f>6.746 * CHOOSE(CONTROL!$C$32, $C$9, 100%, $E$9)</f>
        <v>6.7460000000000004</v>
      </c>
      <c r="E459" s="81">
        <f>7.4053 * CHOOSE(CONTROL!$C$32, $C$9, 100%, $E$9)</f>
        <v>7.4053000000000004</v>
      </c>
      <c r="F459" s="81">
        <f>7.4053 * CHOOSE(CONTROL!$C$32, $C$9, 100%, $E$9)</f>
        <v>7.4053000000000004</v>
      </c>
      <c r="G459" s="81">
        <f>7.409 * CHOOSE(CONTROL!$C$32, $C$9, 100%, $E$9)</f>
        <v>7.4089999999999998</v>
      </c>
      <c r="H459" s="81">
        <f>14.6864 * CHOOSE(CONTROL!$C$32, $C$9, 100%, $E$9)</f>
        <v>14.686400000000001</v>
      </c>
      <c r="I459" s="81">
        <f>14.69 * CHOOSE(CONTROL!$C$32, $C$9, 100%, $E$9)</f>
        <v>14.69</v>
      </c>
      <c r="J459" s="81">
        <f>14.6864 * CHOOSE(CONTROL!$C$32, $C$9, 100%, $E$9)</f>
        <v>14.686400000000001</v>
      </c>
      <c r="K459" s="81">
        <f>14.69 * CHOOSE(CONTROL!$C$32, $C$9, 100%, $E$9)</f>
        <v>14.69</v>
      </c>
      <c r="L459" s="81">
        <f>7.4053 * CHOOSE(CONTROL!$C$32, $C$9, 100%, $E$9)</f>
        <v>7.4053000000000004</v>
      </c>
      <c r="M459" s="81">
        <f>7.409 * CHOOSE(CONTROL!$C$32, $C$9, 100%, $E$9)</f>
        <v>7.4089999999999998</v>
      </c>
      <c r="N459" s="81">
        <f>7.4053 * CHOOSE(CONTROL!$C$32, $C$9, 100%, $E$9)</f>
        <v>7.4053000000000004</v>
      </c>
      <c r="O459" s="81">
        <f>7.409 * CHOOSE(CONTROL!$C$32, $C$9, 100%, $E$9)</f>
        <v>7.4089999999999998</v>
      </c>
    </row>
    <row r="460" spans="1:15" ht="15" x14ac:dyDescent="0.2">
      <c r="A460" s="16">
        <v>55213</v>
      </c>
      <c r="B460" s="80">
        <f>6.7418 * CHOOSE(CONTROL!$C$32, $C$9, 100%, $E$9)</f>
        <v>6.7417999999999996</v>
      </c>
      <c r="C460" s="80">
        <f>6.7418 * CHOOSE(CONTROL!$C$32, $C$9, 100%, $E$9)</f>
        <v>6.7417999999999996</v>
      </c>
      <c r="D460" s="80">
        <f>6.7429 * CHOOSE(CONTROL!$C$32, $C$9, 100%, $E$9)</f>
        <v>6.7428999999999997</v>
      </c>
      <c r="E460" s="81">
        <f>7.5321 * CHOOSE(CONTROL!$C$32, $C$9, 100%, $E$9)</f>
        <v>7.5320999999999998</v>
      </c>
      <c r="F460" s="81">
        <f>7.5321 * CHOOSE(CONTROL!$C$32, $C$9, 100%, $E$9)</f>
        <v>7.5320999999999998</v>
      </c>
      <c r="G460" s="81">
        <f>7.5357 * CHOOSE(CONTROL!$C$32, $C$9, 100%, $E$9)</f>
        <v>7.5357000000000003</v>
      </c>
      <c r="H460" s="81">
        <f>14.717 * CHOOSE(CONTROL!$C$32, $C$9, 100%, $E$9)</f>
        <v>14.717000000000001</v>
      </c>
      <c r="I460" s="81">
        <f>14.7206 * CHOOSE(CONTROL!$C$32, $C$9, 100%, $E$9)</f>
        <v>14.720599999999999</v>
      </c>
      <c r="J460" s="81">
        <f>14.717 * CHOOSE(CONTROL!$C$32, $C$9, 100%, $E$9)</f>
        <v>14.717000000000001</v>
      </c>
      <c r="K460" s="81">
        <f>14.7206 * CHOOSE(CONTROL!$C$32, $C$9, 100%, $E$9)</f>
        <v>14.720599999999999</v>
      </c>
      <c r="L460" s="81">
        <f>7.5321 * CHOOSE(CONTROL!$C$32, $C$9, 100%, $E$9)</f>
        <v>7.5320999999999998</v>
      </c>
      <c r="M460" s="81">
        <f>7.5357 * CHOOSE(CONTROL!$C$32, $C$9, 100%, $E$9)</f>
        <v>7.5357000000000003</v>
      </c>
      <c r="N460" s="81">
        <f>7.5321 * CHOOSE(CONTROL!$C$32, $C$9, 100%, $E$9)</f>
        <v>7.5320999999999998</v>
      </c>
      <c r="O460" s="81">
        <f>7.5357 * CHOOSE(CONTROL!$C$32, $C$9, 100%, $E$9)</f>
        <v>7.5357000000000003</v>
      </c>
    </row>
    <row r="461" spans="1:15" ht="15" x14ac:dyDescent="0.2">
      <c r="A461" s="16">
        <v>55244</v>
      </c>
      <c r="B461" s="80">
        <f>6.7421 * CHOOSE(CONTROL!$C$32, $C$9, 100%, $E$9)</f>
        <v>6.7420999999999998</v>
      </c>
      <c r="C461" s="80">
        <f>6.7421 * CHOOSE(CONTROL!$C$32, $C$9, 100%, $E$9)</f>
        <v>6.7420999999999998</v>
      </c>
      <c r="D461" s="80">
        <f>6.7432 * CHOOSE(CONTROL!$C$32, $C$9, 100%, $E$9)</f>
        <v>6.7431999999999999</v>
      </c>
      <c r="E461" s="81">
        <f>7.6663 * CHOOSE(CONTROL!$C$32, $C$9, 100%, $E$9)</f>
        <v>7.6662999999999997</v>
      </c>
      <c r="F461" s="81">
        <f>7.6663 * CHOOSE(CONTROL!$C$32, $C$9, 100%, $E$9)</f>
        <v>7.6662999999999997</v>
      </c>
      <c r="G461" s="81">
        <f>7.6699 * CHOOSE(CONTROL!$C$32, $C$9, 100%, $E$9)</f>
        <v>7.6699000000000002</v>
      </c>
      <c r="H461" s="81">
        <f>14.7476 * CHOOSE(CONTROL!$C$32, $C$9, 100%, $E$9)</f>
        <v>14.7476</v>
      </c>
      <c r="I461" s="81">
        <f>14.7512 * CHOOSE(CONTROL!$C$32, $C$9, 100%, $E$9)</f>
        <v>14.751200000000001</v>
      </c>
      <c r="J461" s="81">
        <f>14.7476 * CHOOSE(CONTROL!$C$32, $C$9, 100%, $E$9)</f>
        <v>14.7476</v>
      </c>
      <c r="K461" s="81">
        <f>14.7512 * CHOOSE(CONTROL!$C$32, $C$9, 100%, $E$9)</f>
        <v>14.751200000000001</v>
      </c>
      <c r="L461" s="81">
        <f>7.6663 * CHOOSE(CONTROL!$C$32, $C$9, 100%, $E$9)</f>
        <v>7.6662999999999997</v>
      </c>
      <c r="M461" s="81">
        <f>7.6699 * CHOOSE(CONTROL!$C$32, $C$9, 100%, $E$9)</f>
        <v>7.6699000000000002</v>
      </c>
      <c r="N461" s="81">
        <f>7.6663 * CHOOSE(CONTROL!$C$32, $C$9, 100%, $E$9)</f>
        <v>7.6662999999999997</v>
      </c>
      <c r="O461" s="81">
        <f>7.6699 * CHOOSE(CONTROL!$C$32, $C$9, 100%, $E$9)</f>
        <v>7.6699000000000002</v>
      </c>
    </row>
    <row r="462" spans="1:15" ht="15" x14ac:dyDescent="0.2">
      <c r="A462" s="16">
        <v>55274</v>
      </c>
      <c r="B462" s="80">
        <f>6.7421 * CHOOSE(CONTROL!$C$32, $C$9, 100%, $E$9)</f>
        <v>6.7420999999999998</v>
      </c>
      <c r="C462" s="80">
        <f>6.7421 * CHOOSE(CONTROL!$C$32, $C$9, 100%, $E$9)</f>
        <v>6.7420999999999998</v>
      </c>
      <c r="D462" s="80">
        <f>6.7437 * CHOOSE(CONTROL!$C$32, $C$9, 100%, $E$9)</f>
        <v>6.7436999999999996</v>
      </c>
      <c r="E462" s="81">
        <f>7.7182 * CHOOSE(CONTROL!$C$32, $C$9, 100%, $E$9)</f>
        <v>7.7182000000000004</v>
      </c>
      <c r="F462" s="81">
        <f>7.7182 * CHOOSE(CONTROL!$C$32, $C$9, 100%, $E$9)</f>
        <v>7.7182000000000004</v>
      </c>
      <c r="G462" s="81">
        <f>7.7235 * CHOOSE(CONTROL!$C$32, $C$9, 100%, $E$9)</f>
        <v>7.7234999999999996</v>
      </c>
      <c r="H462" s="81">
        <f>14.7783 * CHOOSE(CONTROL!$C$32, $C$9, 100%, $E$9)</f>
        <v>14.7783</v>
      </c>
      <c r="I462" s="81">
        <f>14.7836 * CHOOSE(CONTROL!$C$32, $C$9, 100%, $E$9)</f>
        <v>14.7836</v>
      </c>
      <c r="J462" s="81">
        <f>14.7783 * CHOOSE(CONTROL!$C$32, $C$9, 100%, $E$9)</f>
        <v>14.7783</v>
      </c>
      <c r="K462" s="81">
        <f>14.7836 * CHOOSE(CONTROL!$C$32, $C$9, 100%, $E$9)</f>
        <v>14.7836</v>
      </c>
      <c r="L462" s="81">
        <f>7.7182 * CHOOSE(CONTROL!$C$32, $C$9, 100%, $E$9)</f>
        <v>7.7182000000000004</v>
      </c>
      <c r="M462" s="81">
        <f>7.7235 * CHOOSE(CONTROL!$C$32, $C$9, 100%, $E$9)</f>
        <v>7.7234999999999996</v>
      </c>
      <c r="N462" s="81">
        <f>7.7182 * CHOOSE(CONTROL!$C$32, $C$9, 100%, $E$9)</f>
        <v>7.7182000000000004</v>
      </c>
      <c r="O462" s="81">
        <f>7.7235 * CHOOSE(CONTROL!$C$32, $C$9, 100%, $E$9)</f>
        <v>7.7234999999999996</v>
      </c>
    </row>
    <row r="463" spans="1:15" ht="15" x14ac:dyDescent="0.2">
      <c r="A463" s="16">
        <v>55305</v>
      </c>
      <c r="B463" s="80">
        <f>6.7482 * CHOOSE(CONTROL!$C$32, $C$9, 100%, $E$9)</f>
        <v>6.7481999999999998</v>
      </c>
      <c r="C463" s="80">
        <f>6.7482 * CHOOSE(CONTROL!$C$32, $C$9, 100%, $E$9)</f>
        <v>6.7481999999999998</v>
      </c>
      <c r="D463" s="80">
        <f>6.7498 * CHOOSE(CONTROL!$C$32, $C$9, 100%, $E$9)</f>
        <v>6.7497999999999996</v>
      </c>
      <c r="E463" s="81">
        <f>7.6706 * CHOOSE(CONTROL!$C$32, $C$9, 100%, $E$9)</f>
        <v>7.6706000000000003</v>
      </c>
      <c r="F463" s="81">
        <f>7.6706 * CHOOSE(CONTROL!$C$32, $C$9, 100%, $E$9)</f>
        <v>7.6706000000000003</v>
      </c>
      <c r="G463" s="81">
        <f>7.6759 * CHOOSE(CONTROL!$C$32, $C$9, 100%, $E$9)</f>
        <v>7.6759000000000004</v>
      </c>
      <c r="H463" s="81">
        <f>14.8091 * CHOOSE(CONTROL!$C$32, $C$9, 100%, $E$9)</f>
        <v>14.809100000000001</v>
      </c>
      <c r="I463" s="81">
        <f>14.8144 * CHOOSE(CONTROL!$C$32, $C$9, 100%, $E$9)</f>
        <v>14.814399999999999</v>
      </c>
      <c r="J463" s="81">
        <f>14.8091 * CHOOSE(CONTROL!$C$32, $C$9, 100%, $E$9)</f>
        <v>14.809100000000001</v>
      </c>
      <c r="K463" s="81">
        <f>14.8144 * CHOOSE(CONTROL!$C$32, $C$9, 100%, $E$9)</f>
        <v>14.814399999999999</v>
      </c>
      <c r="L463" s="81">
        <f>7.6706 * CHOOSE(CONTROL!$C$32, $C$9, 100%, $E$9)</f>
        <v>7.6706000000000003</v>
      </c>
      <c r="M463" s="81">
        <f>7.6759 * CHOOSE(CONTROL!$C$32, $C$9, 100%, $E$9)</f>
        <v>7.6759000000000004</v>
      </c>
      <c r="N463" s="81">
        <f>7.6706 * CHOOSE(CONTROL!$C$32, $C$9, 100%, $E$9)</f>
        <v>7.6706000000000003</v>
      </c>
      <c r="O463" s="81">
        <f>7.6759 * CHOOSE(CONTROL!$C$32, $C$9, 100%, $E$9)</f>
        <v>7.6759000000000004</v>
      </c>
    </row>
    <row r="464" spans="1:15" ht="15" x14ac:dyDescent="0.2">
      <c r="A464" s="16">
        <v>55335</v>
      </c>
      <c r="B464" s="80">
        <f>6.8369 * CHOOSE(CONTROL!$C$32, $C$9, 100%, $E$9)</f>
        <v>6.8369</v>
      </c>
      <c r="C464" s="80">
        <f>6.8369 * CHOOSE(CONTROL!$C$32, $C$9, 100%, $E$9)</f>
        <v>6.8369</v>
      </c>
      <c r="D464" s="80">
        <f>6.8385 * CHOOSE(CONTROL!$C$32, $C$9, 100%, $E$9)</f>
        <v>6.8384999999999998</v>
      </c>
      <c r="E464" s="81">
        <f>7.7751 * CHOOSE(CONTROL!$C$32, $C$9, 100%, $E$9)</f>
        <v>7.7751000000000001</v>
      </c>
      <c r="F464" s="81">
        <f>7.7751 * CHOOSE(CONTROL!$C$32, $C$9, 100%, $E$9)</f>
        <v>7.7751000000000001</v>
      </c>
      <c r="G464" s="81">
        <f>7.7804 * CHOOSE(CONTROL!$C$32, $C$9, 100%, $E$9)</f>
        <v>7.7804000000000002</v>
      </c>
      <c r="H464" s="81">
        <f>14.84 * CHOOSE(CONTROL!$C$32, $C$9, 100%, $E$9)</f>
        <v>14.84</v>
      </c>
      <c r="I464" s="81">
        <f>14.8453 * CHOOSE(CONTROL!$C$32, $C$9, 100%, $E$9)</f>
        <v>14.8453</v>
      </c>
      <c r="J464" s="81">
        <f>14.84 * CHOOSE(CONTROL!$C$32, $C$9, 100%, $E$9)</f>
        <v>14.84</v>
      </c>
      <c r="K464" s="81">
        <f>14.8453 * CHOOSE(CONTROL!$C$32, $C$9, 100%, $E$9)</f>
        <v>14.8453</v>
      </c>
      <c r="L464" s="81">
        <f>7.7751 * CHOOSE(CONTROL!$C$32, $C$9, 100%, $E$9)</f>
        <v>7.7751000000000001</v>
      </c>
      <c r="M464" s="81">
        <f>7.7804 * CHOOSE(CONTROL!$C$32, $C$9, 100%, $E$9)</f>
        <v>7.7804000000000002</v>
      </c>
      <c r="N464" s="81">
        <f>7.7751 * CHOOSE(CONTROL!$C$32, $C$9, 100%, $E$9)</f>
        <v>7.7751000000000001</v>
      </c>
      <c r="O464" s="81">
        <f>7.7804 * CHOOSE(CONTROL!$C$32, $C$9, 100%, $E$9)</f>
        <v>7.7804000000000002</v>
      </c>
    </row>
    <row r="465" spans="1:15" ht="15" x14ac:dyDescent="0.2">
      <c r="A465" s="16">
        <v>55366</v>
      </c>
      <c r="B465" s="80">
        <f>6.8436 * CHOOSE(CONTROL!$C$32, $C$9, 100%, $E$9)</f>
        <v>6.8436000000000003</v>
      </c>
      <c r="C465" s="80">
        <f>6.8436 * CHOOSE(CONTROL!$C$32, $C$9, 100%, $E$9)</f>
        <v>6.8436000000000003</v>
      </c>
      <c r="D465" s="80">
        <f>6.8452 * CHOOSE(CONTROL!$C$32, $C$9, 100%, $E$9)</f>
        <v>6.8452000000000002</v>
      </c>
      <c r="E465" s="81">
        <f>7.6241 * CHOOSE(CONTROL!$C$32, $C$9, 100%, $E$9)</f>
        <v>7.6241000000000003</v>
      </c>
      <c r="F465" s="81">
        <f>7.6241 * CHOOSE(CONTROL!$C$32, $C$9, 100%, $E$9)</f>
        <v>7.6241000000000003</v>
      </c>
      <c r="G465" s="81">
        <f>7.6294 * CHOOSE(CONTROL!$C$32, $C$9, 100%, $E$9)</f>
        <v>7.6294000000000004</v>
      </c>
      <c r="H465" s="81">
        <f>14.8709 * CHOOSE(CONTROL!$C$32, $C$9, 100%, $E$9)</f>
        <v>14.870900000000001</v>
      </c>
      <c r="I465" s="81">
        <f>14.8762 * CHOOSE(CONTROL!$C$32, $C$9, 100%, $E$9)</f>
        <v>14.876200000000001</v>
      </c>
      <c r="J465" s="81">
        <f>14.8709 * CHOOSE(CONTROL!$C$32, $C$9, 100%, $E$9)</f>
        <v>14.870900000000001</v>
      </c>
      <c r="K465" s="81">
        <f>14.8762 * CHOOSE(CONTROL!$C$32, $C$9, 100%, $E$9)</f>
        <v>14.876200000000001</v>
      </c>
      <c r="L465" s="81">
        <f>7.6241 * CHOOSE(CONTROL!$C$32, $C$9, 100%, $E$9)</f>
        <v>7.6241000000000003</v>
      </c>
      <c r="M465" s="81">
        <f>7.6294 * CHOOSE(CONTROL!$C$32, $C$9, 100%, $E$9)</f>
        <v>7.6294000000000004</v>
      </c>
      <c r="N465" s="81">
        <f>7.6241 * CHOOSE(CONTROL!$C$32, $C$9, 100%, $E$9)</f>
        <v>7.6241000000000003</v>
      </c>
      <c r="O465" s="81">
        <f>7.6294 * CHOOSE(CONTROL!$C$32, $C$9, 100%, $E$9)</f>
        <v>7.6294000000000004</v>
      </c>
    </row>
    <row r="466" spans="1:15" ht="15" x14ac:dyDescent="0.2">
      <c r="A466" s="16">
        <v>55397</v>
      </c>
      <c r="B466" s="80">
        <f>6.8406 * CHOOSE(CONTROL!$C$32, $C$9, 100%, $E$9)</f>
        <v>6.8406000000000002</v>
      </c>
      <c r="C466" s="80">
        <f>6.8406 * CHOOSE(CONTROL!$C$32, $C$9, 100%, $E$9)</f>
        <v>6.8406000000000002</v>
      </c>
      <c r="D466" s="80">
        <f>6.8422 * CHOOSE(CONTROL!$C$32, $C$9, 100%, $E$9)</f>
        <v>6.8422000000000001</v>
      </c>
      <c r="E466" s="81">
        <f>7.6046 * CHOOSE(CONTROL!$C$32, $C$9, 100%, $E$9)</f>
        <v>7.6045999999999996</v>
      </c>
      <c r="F466" s="81">
        <f>7.6046 * CHOOSE(CONTROL!$C$32, $C$9, 100%, $E$9)</f>
        <v>7.6045999999999996</v>
      </c>
      <c r="G466" s="81">
        <f>7.6099 * CHOOSE(CONTROL!$C$32, $C$9, 100%, $E$9)</f>
        <v>7.6098999999999997</v>
      </c>
      <c r="H466" s="81">
        <f>14.9019 * CHOOSE(CONTROL!$C$32, $C$9, 100%, $E$9)</f>
        <v>14.901899999999999</v>
      </c>
      <c r="I466" s="81">
        <f>14.9072 * CHOOSE(CONTROL!$C$32, $C$9, 100%, $E$9)</f>
        <v>14.9072</v>
      </c>
      <c r="J466" s="81">
        <f>14.9019 * CHOOSE(CONTROL!$C$32, $C$9, 100%, $E$9)</f>
        <v>14.901899999999999</v>
      </c>
      <c r="K466" s="81">
        <f>14.9072 * CHOOSE(CONTROL!$C$32, $C$9, 100%, $E$9)</f>
        <v>14.9072</v>
      </c>
      <c r="L466" s="81">
        <f>7.6046 * CHOOSE(CONTROL!$C$32, $C$9, 100%, $E$9)</f>
        <v>7.6045999999999996</v>
      </c>
      <c r="M466" s="81">
        <f>7.6099 * CHOOSE(CONTROL!$C$32, $C$9, 100%, $E$9)</f>
        <v>7.6098999999999997</v>
      </c>
      <c r="N466" s="81">
        <f>7.6046 * CHOOSE(CONTROL!$C$32, $C$9, 100%, $E$9)</f>
        <v>7.6045999999999996</v>
      </c>
      <c r="O466" s="81">
        <f>7.6099 * CHOOSE(CONTROL!$C$32, $C$9, 100%, $E$9)</f>
        <v>7.6098999999999997</v>
      </c>
    </row>
    <row r="467" spans="1:15" ht="15" x14ac:dyDescent="0.2">
      <c r="A467" s="16">
        <v>55427</v>
      </c>
      <c r="B467" s="80">
        <f>6.8462 * CHOOSE(CONTROL!$C$32, $C$9, 100%, $E$9)</f>
        <v>6.8461999999999996</v>
      </c>
      <c r="C467" s="80">
        <f>6.8462 * CHOOSE(CONTROL!$C$32, $C$9, 100%, $E$9)</f>
        <v>6.8461999999999996</v>
      </c>
      <c r="D467" s="80">
        <f>6.8473 * CHOOSE(CONTROL!$C$32, $C$9, 100%, $E$9)</f>
        <v>6.8472999999999997</v>
      </c>
      <c r="E467" s="81">
        <f>7.6604 * CHOOSE(CONTROL!$C$32, $C$9, 100%, $E$9)</f>
        <v>7.6604000000000001</v>
      </c>
      <c r="F467" s="81">
        <f>7.6604 * CHOOSE(CONTROL!$C$32, $C$9, 100%, $E$9)</f>
        <v>7.6604000000000001</v>
      </c>
      <c r="G467" s="81">
        <f>7.6641 * CHOOSE(CONTROL!$C$32, $C$9, 100%, $E$9)</f>
        <v>7.6641000000000004</v>
      </c>
      <c r="H467" s="81">
        <f>14.9329 * CHOOSE(CONTROL!$C$32, $C$9, 100%, $E$9)</f>
        <v>14.9329</v>
      </c>
      <c r="I467" s="81">
        <f>14.9366 * CHOOSE(CONTROL!$C$32, $C$9, 100%, $E$9)</f>
        <v>14.9366</v>
      </c>
      <c r="J467" s="81">
        <f>14.9329 * CHOOSE(CONTROL!$C$32, $C$9, 100%, $E$9)</f>
        <v>14.9329</v>
      </c>
      <c r="K467" s="81">
        <f>14.9366 * CHOOSE(CONTROL!$C$32, $C$9, 100%, $E$9)</f>
        <v>14.9366</v>
      </c>
      <c r="L467" s="81">
        <f>7.6604 * CHOOSE(CONTROL!$C$32, $C$9, 100%, $E$9)</f>
        <v>7.6604000000000001</v>
      </c>
      <c r="M467" s="81">
        <f>7.6641 * CHOOSE(CONTROL!$C$32, $C$9, 100%, $E$9)</f>
        <v>7.6641000000000004</v>
      </c>
      <c r="N467" s="81">
        <f>7.6604 * CHOOSE(CONTROL!$C$32, $C$9, 100%, $E$9)</f>
        <v>7.6604000000000001</v>
      </c>
      <c r="O467" s="81">
        <f>7.6641 * CHOOSE(CONTROL!$C$32, $C$9, 100%, $E$9)</f>
        <v>7.6641000000000004</v>
      </c>
    </row>
    <row r="468" spans="1:15" ht="15" x14ac:dyDescent="0.2">
      <c r="A468" s="16">
        <v>55458</v>
      </c>
      <c r="B468" s="80">
        <f>6.8492 * CHOOSE(CONTROL!$C$32, $C$9, 100%, $E$9)</f>
        <v>6.8491999999999997</v>
      </c>
      <c r="C468" s="80">
        <f>6.8492 * CHOOSE(CONTROL!$C$32, $C$9, 100%, $E$9)</f>
        <v>6.8491999999999997</v>
      </c>
      <c r="D468" s="80">
        <f>6.8503 * CHOOSE(CONTROL!$C$32, $C$9, 100%, $E$9)</f>
        <v>6.8502999999999998</v>
      </c>
      <c r="E468" s="81">
        <f>7.6972 * CHOOSE(CONTROL!$C$32, $C$9, 100%, $E$9)</f>
        <v>7.6971999999999996</v>
      </c>
      <c r="F468" s="81">
        <f>7.6972 * CHOOSE(CONTROL!$C$32, $C$9, 100%, $E$9)</f>
        <v>7.6971999999999996</v>
      </c>
      <c r="G468" s="81">
        <f>7.7008 * CHOOSE(CONTROL!$C$32, $C$9, 100%, $E$9)</f>
        <v>7.7008000000000001</v>
      </c>
      <c r="H468" s="81">
        <f>14.964 * CHOOSE(CONTROL!$C$32, $C$9, 100%, $E$9)</f>
        <v>14.964</v>
      </c>
      <c r="I468" s="81">
        <f>14.9677 * CHOOSE(CONTROL!$C$32, $C$9, 100%, $E$9)</f>
        <v>14.967700000000001</v>
      </c>
      <c r="J468" s="81">
        <f>14.964 * CHOOSE(CONTROL!$C$32, $C$9, 100%, $E$9)</f>
        <v>14.964</v>
      </c>
      <c r="K468" s="81">
        <f>14.9677 * CHOOSE(CONTROL!$C$32, $C$9, 100%, $E$9)</f>
        <v>14.967700000000001</v>
      </c>
      <c r="L468" s="81">
        <f>7.6972 * CHOOSE(CONTROL!$C$32, $C$9, 100%, $E$9)</f>
        <v>7.6971999999999996</v>
      </c>
      <c r="M468" s="81">
        <f>7.7008 * CHOOSE(CONTROL!$C$32, $C$9, 100%, $E$9)</f>
        <v>7.7008000000000001</v>
      </c>
      <c r="N468" s="81">
        <f>7.6972 * CHOOSE(CONTROL!$C$32, $C$9, 100%, $E$9)</f>
        <v>7.6971999999999996</v>
      </c>
      <c r="O468" s="81">
        <f>7.7008 * CHOOSE(CONTROL!$C$32, $C$9, 100%, $E$9)</f>
        <v>7.7008000000000001</v>
      </c>
    </row>
    <row r="469" spans="1:15" ht="15" x14ac:dyDescent="0.2">
      <c r="A469" s="16">
        <v>55488</v>
      </c>
      <c r="B469" s="80">
        <f>6.8492 * CHOOSE(CONTROL!$C$32, $C$9, 100%, $E$9)</f>
        <v>6.8491999999999997</v>
      </c>
      <c r="C469" s="80">
        <f>6.8492 * CHOOSE(CONTROL!$C$32, $C$9, 100%, $E$9)</f>
        <v>6.8491999999999997</v>
      </c>
      <c r="D469" s="80">
        <f>6.8503 * CHOOSE(CONTROL!$C$32, $C$9, 100%, $E$9)</f>
        <v>6.8502999999999998</v>
      </c>
      <c r="E469" s="81">
        <f>7.6106 * CHOOSE(CONTROL!$C$32, $C$9, 100%, $E$9)</f>
        <v>7.6105999999999998</v>
      </c>
      <c r="F469" s="81">
        <f>7.6106 * CHOOSE(CONTROL!$C$32, $C$9, 100%, $E$9)</f>
        <v>7.6105999999999998</v>
      </c>
      <c r="G469" s="81">
        <f>7.6143 * CHOOSE(CONTROL!$C$32, $C$9, 100%, $E$9)</f>
        <v>7.6143000000000001</v>
      </c>
      <c r="H469" s="81">
        <f>14.9952 * CHOOSE(CONTROL!$C$32, $C$9, 100%, $E$9)</f>
        <v>14.995200000000001</v>
      </c>
      <c r="I469" s="81">
        <f>14.9988 * CHOOSE(CONTROL!$C$32, $C$9, 100%, $E$9)</f>
        <v>14.998799999999999</v>
      </c>
      <c r="J469" s="81">
        <f>14.9952 * CHOOSE(CONTROL!$C$32, $C$9, 100%, $E$9)</f>
        <v>14.995200000000001</v>
      </c>
      <c r="K469" s="81">
        <f>14.9988 * CHOOSE(CONTROL!$C$32, $C$9, 100%, $E$9)</f>
        <v>14.998799999999999</v>
      </c>
      <c r="L469" s="81">
        <f>7.6106 * CHOOSE(CONTROL!$C$32, $C$9, 100%, $E$9)</f>
        <v>7.6105999999999998</v>
      </c>
      <c r="M469" s="81">
        <f>7.6143 * CHOOSE(CONTROL!$C$32, $C$9, 100%, $E$9)</f>
        <v>7.6143000000000001</v>
      </c>
      <c r="N469" s="81">
        <f>7.6106 * CHOOSE(CONTROL!$C$32, $C$9, 100%, $E$9)</f>
        <v>7.6105999999999998</v>
      </c>
      <c r="O469" s="81">
        <f>7.6143 * CHOOSE(CONTROL!$C$32, $C$9, 100%, $E$9)</f>
        <v>7.6143000000000001</v>
      </c>
    </row>
    <row r="470" spans="1:15" ht="15" x14ac:dyDescent="0.2">
      <c r="A470" s="16">
        <v>55519</v>
      </c>
      <c r="B470" s="80">
        <f>6.901 * CHOOSE(CONTROL!$C$32, $C$9, 100%, $E$9)</f>
        <v>6.9009999999999998</v>
      </c>
      <c r="C470" s="80">
        <f>6.901 * CHOOSE(CONTROL!$C$32, $C$9, 100%, $E$9)</f>
        <v>6.9009999999999998</v>
      </c>
      <c r="D470" s="80">
        <f>6.9021 * CHOOSE(CONTROL!$C$32, $C$9, 100%, $E$9)</f>
        <v>6.9020999999999999</v>
      </c>
      <c r="E470" s="81">
        <f>7.7372 * CHOOSE(CONTROL!$C$32, $C$9, 100%, $E$9)</f>
        <v>7.7371999999999996</v>
      </c>
      <c r="F470" s="81">
        <f>7.7372 * CHOOSE(CONTROL!$C$32, $C$9, 100%, $E$9)</f>
        <v>7.7371999999999996</v>
      </c>
      <c r="G470" s="81">
        <f>7.7408 * CHOOSE(CONTROL!$C$32, $C$9, 100%, $E$9)</f>
        <v>7.7408000000000001</v>
      </c>
      <c r="H470" s="81">
        <f>15.0265 * CHOOSE(CONTROL!$C$32, $C$9, 100%, $E$9)</f>
        <v>15.0265</v>
      </c>
      <c r="I470" s="81">
        <f>15.0301 * CHOOSE(CONTROL!$C$32, $C$9, 100%, $E$9)</f>
        <v>15.030099999999999</v>
      </c>
      <c r="J470" s="81">
        <f>15.0265 * CHOOSE(CONTROL!$C$32, $C$9, 100%, $E$9)</f>
        <v>15.0265</v>
      </c>
      <c r="K470" s="81">
        <f>15.0301 * CHOOSE(CONTROL!$C$32, $C$9, 100%, $E$9)</f>
        <v>15.030099999999999</v>
      </c>
      <c r="L470" s="81">
        <f>7.7372 * CHOOSE(CONTROL!$C$32, $C$9, 100%, $E$9)</f>
        <v>7.7371999999999996</v>
      </c>
      <c r="M470" s="81">
        <f>7.7408 * CHOOSE(CONTROL!$C$32, $C$9, 100%, $E$9)</f>
        <v>7.7408000000000001</v>
      </c>
      <c r="N470" s="81">
        <f>7.7372 * CHOOSE(CONTROL!$C$32, $C$9, 100%, $E$9)</f>
        <v>7.7371999999999996</v>
      </c>
      <c r="O470" s="81">
        <f>7.7408 * CHOOSE(CONTROL!$C$32, $C$9, 100%, $E$9)</f>
        <v>7.7408000000000001</v>
      </c>
    </row>
    <row r="471" spans="1:15" ht="15" x14ac:dyDescent="0.2">
      <c r="A471" s="16">
        <v>55550</v>
      </c>
      <c r="B471" s="80">
        <f>6.8979 * CHOOSE(CONTROL!$C$32, $C$9, 100%, $E$9)</f>
        <v>6.8978999999999999</v>
      </c>
      <c r="C471" s="80">
        <f>6.8979 * CHOOSE(CONTROL!$C$32, $C$9, 100%, $E$9)</f>
        <v>6.8978999999999999</v>
      </c>
      <c r="D471" s="80">
        <f>6.899 * CHOOSE(CONTROL!$C$32, $C$9, 100%, $E$9)</f>
        <v>6.899</v>
      </c>
      <c r="E471" s="81">
        <f>7.5663 * CHOOSE(CONTROL!$C$32, $C$9, 100%, $E$9)</f>
        <v>7.5663</v>
      </c>
      <c r="F471" s="81">
        <f>7.5663 * CHOOSE(CONTROL!$C$32, $C$9, 100%, $E$9)</f>
        <v>7.5663</v>
      </c>
      <c r="G471" s="81">
        <f>7.5699 * CHOOSE(CONTROL!$C$32, $C$9, 100%, $E$9)</f>
        <v>7.5698999999999996</v>
      </c>
      <c r="H471" s="81">
        <f>15.0578 * CHOOSE(CONTROL!$C$32, $C$9, 100%, $E$9)</f>
        <v>15.0578</v>
      </c>
      <c r="I471" s="81">
        <f>15.0614 * CHOOSE(CONTROL!$C$32, $C$9, 100%, $E$9)</f>
        <v>15.061400000000001</v>
      </c>
      <c r="J471" s="81">
        <f>15.0578 * CHOOSE(CONTROL!$C$32, $C$9, 100%, $E$9)</f>
        <v>15.0578</v>
      </c>
      <c r="K471" s="81">
        <f>15.0614 * CHOOSE(CONTROL!$C$32, $C$9, 100%, $E$9)</f>
        <v>15.061400000000001</v>
      </c>
      <c r="L471" s="81">
        <f>7.5663 * CHOOSE(CONTROL!$C$32, $C$9, 100%, $E$9)</f>
        <v>7.5663</v>
      </c>
      <c r="M471" s="81">
        <f>7.5699 * CHOOSE(CONTROL!$C$32, $C$9, 100%, $E$9)</f>
        <v>7.5698999999999996</v>
      </c>
      <c r="N471" s="81">
        <f>7.5663 * CHOOSE(CONTROL!$C$32, $C$9, 100%, $E$9)</f>
        <v>7.5663</v>
      </c>
      <c r="O471" s="81">
        <f>7.5699 * CHOOSE(CONTROL!$C$32, $C$9, 100%, $E$9)</f>
        <v>7.5698999999999996</v>
      </c>
    </row>
    <row r="472" spans="1:15" ht="15" x14ac:dyDescent="0.2">
      <c r="A472" s="16">
        <v>55579</v>
      </c>
      <c r="B472" s="80">
        <f>6.8949 * CHOOSE(CONTROL!$C$32, $C$9, 100%, $E$9)</f>
        <v>6.8948999999999998</v>
      </c>
      <c r="C472" s="80">
        <f>6.8949 * CHOOSE(CONTROL!$C$32, $C$9, 100%, $E$9)</f>
        <v>6.8948999999999998</v>
      </c>
      <c r="D472" s="80">
        <f>6.896 * CHOOSE(CONTROL!$C$32, $C$9, 100%, $E$9)</f>
        <v>6.8959999999999999</v>
      </c>
      <c r="E472" s="81">
        <f>7.6972 * CHOOSE(CONTROL!$C$32, $C$9, 100%, $E$9)</f>
        <v>7.6971999999999996</v>
      </c>
      <c r="F472" s="81">
        <f>7.6972 * CHOOSE(CONTROL!$C$32, $C$9, 100%, $E$9)</f>
        <v>7.6971999999999996</v>
      </c>
      <c r="G472" s="81">
        <f>7.7008 * CHOOSE(CONTROL!$C$32, $C$9, 100%, $E$9)</f>
        <v>7.7008000000000001</v>
      </c>
      <c r="H472" s="81">
        <f>15.0891 * CHOOSE(CONTROL!$C$32, $C$9, 100%, $E$9)</f>
        <v>15.0891</v>
      </c>
      <c r="I472" s="81">
        <f>15.0928 * CHOOSE(CONTROL!$C$32, $C$9, 100%, $E$9)</f>
        <v>15.0928</v>
      </c>
      <c r="J472" s="81">
        <f>15.0891 * CHOOSE(CONTROL!$C$32, $C$9, 100%, $E$9)</f>
        <v>15.0891</v>
      </c>
      <c r="K472" s="81">
        <f>15.0928 * CHOOSE(CONTROL!$C$32, $C$9, 100%, $E$9)</f>
        <v>15.0928</v>
      </c>
      <c r="L472" s="81">
        <f>7.6972 * CHOOSE(CONTROL!$C$32, $C$9, 100%, $E$9)</f>
        <v>7.6971999999999996</v>
      </c>
      <c r="M472" s="81">
        <f>7.7008 * CHOOSE(CONTROL!$C$32, $C$9, 100%, $E$9)</f>
        <v>7.7008000000000001</v>
      </c>
      <c r="N472" s="81">
        <f>7.6972 * CHOOSE(CONTROL!$C$32, $C$9, 100%, $E$9)</f>
        <v>7.6971999999999996</v>
      </c>
      <c r="O472" s="81">
        <f>7.7008 * CHOOSE(CONTROL!$C$32, $C$9, 100%, $E$9)</f>
        <v>7.7008000000000001</v>
      </c>
    </row>
    <row r="473" spans="1:15" ht="15" x14ac:dyDescent="0.2">
      <c r="A473" s="16">
        <v>55610</v>
      </c>
      <c r="B473" s="80">
        <f>6.8953 * CHOOSE(CONTROL!$C$32, $C$9, 100%, $E$9)</f>
        <v>6.8952999999999998</v>
      </c>
      <c r="C473" s="80">
        <f>6.8953 * CHOOSE(CONTROL!$C$32, $C$9, 100%, $E$9)</f>
        <v>6.8952999999999998</v>
      </c>
      <c r="D473" s="80">
        <f>6.8964 * CHOOSE(CONTROL!$C$32, $C$9, 100%, $E$9)</f>
        <v>6.8963999999999999</v>
      </c>
      <c r="E473" s="81">
        <f>7.8359 * CHOOSE(CONTROL!$C$32, $C$9, 100%, $E$9)</f>
        <v>7.8358999999999996</v>
      </c>
      <c r="F473" s="81">
        <f>7.8359 * CHOOSE(CONTROL!$C$32, $C$9, 100%, $E$9)</f>
        <v>7.8358999999999996</v>
      </c>
      <c r="G473" s="81">
        <f>7.8395 * CHOOSE(CONTROL!$C$32, $C$9, 100%, $E$9)</f>
        <v>7.8395000000000001</v>
      </c>
      <c r="H473" s="81">
        <f>15.1206 * CHOOSE(CONTROL!$C$32, $C$9, 100%, $E$9)</f>
        <v>15.1206</v>
      </c>
      <c r="I473" s="81">
        <f>15.1242 * CHOOSE(CONTROL!$C$32, $C$9, 100%, $E$9)</f>
        <v>15.1242</v>
      </c>
      <c r="J473" s="81">
        <f>15.1206 * CHOOSE(CONTROL!$C$32, $C$9, 100%, $E$9)</f>
        <v>15.1206</v>
      </c>
      <c r="K473" s="81">
        <f>15.1242 * CHOOSE(CONTROL!$C$32, $C$9, 100%, $E$9)</f>
        <v>15.1242</v>
      </c>
      <c r="L473" s="81">
        <f>7.8359 * CHOOSE(CONTROL!$C$32, $C$9, 100%, $E$9)</f>
        <v>7.8358999999999996</v>
      </c>
      <c r="M473" s="81">
        <f>7.8395 * CHOOSE(CONTROL!$C$32, $C$9, 100%, $E$9)</f>
        <v>7.8395000000000001</v>
      </c>
      <c r="N473" s="81">
        <f>7.8359 * CHOOSE(CONTROL!$C$32, $C$9, 100%, $E$9)</f>
        <v>7.8358999999999996</v>
      </c>
      <c r="O473" s="81">
        <f>7.8395 * CHOOSE(CONTROL!$C$32, $C$9, 100%, $E$9)</f>
        <v>7.8395000000000001</v>
      </c>
    </row>
    <row r="474" spans="1:15" ht="15" x14ac:dyDescent="0.2">
      <c r="A474" s="16">
        <v>55640</v>
      </c>
      <c r="B474" s="80">
        <f>6.8953 * CHOOSE(CONTROL!$C$32, $C$9, 100%, $E$9)</f>
        <v>6.8952999999999998</v>
      </c>
      <c r="C474" s="80">
        <f>6.8953 * CHOOSE(CONTROL!$C$32, $C$9, 100%, $E$9)</f>
        <v>6.8952999999999998</v>
      </c>
      <c r="D474" s="80">
        <f>6.8969 * CHOOSE(CONTROL!$C$32, $C$9, 100%, $E$9)</f>
        <v>6.8968999999999996</v>
      </c>
      <c r="E474" s="81">
        <f>7.8895 * CHOOSE(CONTROL!$C$32, $C$9, 100%, $E$9)</f>
        <v>7.8895</v>
      </c>
      <c r="F474" s="81">
        <f>7.8895 * CHOOSE(CONTROL!$C$32, $C$9, 100%, $E$9)</f>
        <v>7.8895</v>
      </c>
      <c r="G474" s="81">
        <f>7.8948 * CHOOSE(CONTROL!$C$32, $C$9, 100%, $E$9)</f>
        <v>7.8948</v>
      </c>
      <c r="H474" s="81">
        <f>15.1521 * CHOOSE(CONTROL!$C$32, $C$9, 100%, $E$9)</f>
        <v>15.152100000000001</v>
      </c>
      <c r="I474" s="81">
        <f>15.1574 * CHOOSE(CONTROL!$C$32, $C$9, 100%, $E$9)</f>
        <v>15.157400000000001</v>
      </c>
      <c r="J474" s="81">
        <f>15.1521 * CHOOSE(CONTROL!$C$32, $C$9, 100%, $E$9)</f>
        <v>15.152100000000001</v>
      </c>
      <c r="K474" s="81">
        <f>15.1574 * CHOOSE(CONTROL!$C$32, $C$9, 100%, $E$9)</f>
        <v>15.157400000000001</v>
      </c>
      <c r="L474" s="81">
        <f>7.8895 * CHOOSE(CONTROL!$C$32, $C$9, 100%, $E$9)</f>
        <v>7.8895</v>
      </c>
      <c r="M474" s="81">
        <f>7.8948 * CHOOSE(CONTROL!$C$32, $C$9, 100%, $E$9)</f>
        <v>7.8948</v>
      </c>
      <c r="N474" s="81">
        <f>7.8895 * CHOOSE(CONTROL!$C$32, $C$9, 100%, $E$9)</f>
        <v>7.8895</v>
      </c>
      <c r="O474" s="81">
        <f>7.8948 * CHOOSE(CONTROL!$C$32, $C$9, 100%, $E$9)</f>
        <v>7.8948</v>
      </c>
    </row>
    <row r="475" spans="1:15" ht="15" x14ac:dyDescent="0.2">
      <c r="A475" s="16">
        <v>55671</v>
      </c>
      <c r="B475" s="80">
        <f>6.9014 * CHOOSE(CONTROL!$C$32, $C$9, 100%, $E$9)</f>
        <v>6.9013999999999998</v>
      </c>
      <c r="C475" s="80">
        <f>6.9014 * CHOOSE(CONTROL!$C$32, $C$9, 100%, $E$9)</f>
        <v>6.9013999999999998</v>
      </c>
      <c r="D475" s="80">
        <f>6.903 * CHOOSE(CONTROL!$C$32, $C$9, 100%, $E$9)</f>
        <v>6.9029999999999996</v>
      </c>
      <c r="E475" s="81">
        <f>7.8402 * CHOOSE(CONTROL!$C$32, $C$9, 100%, $E$9)</f>
        <v>7.8402000000000003</v>
      </c>
      <c r="F475" s="81">
        <f>7.8402 * CHOOSE(CONTROL!$C$32, $C$9, 100%, $E$9)</f>
        <v>7.8402000000000003</v>
      </c>
      <c r="G475" s="81">
        <f>7.8455 * CHOOSE(CONTROL!$C$32, $C$9, 100%, $E$9)</f>
        <v>7.8455000000000004</v>
      </c>
      <c r="H475" s="81">
        <f>15.1836 * CHOOSE(CONTROL!$C$32, $C$9, 100%, $E$9)</f>
        <v>15.1836</v>
      </c>
      <c r="I475" s="81">
        <f>15.1889 * CHOOSE(CONTROL!$C$32, $C$9, 100%, $E$9)</f>
        <v>15.1889</v>
      </c>
      <c r="J475" s="81">
        <f>15.1836 * CHOOSE(CONTROL!$C$32, $C$9, 100%, $E$9)</f>
        <v>15.1836</v>
      </c>
      <c r="K475" s="81">
        <f>15.1889 * CHOOSE(CONTROL!$C$32, $C$9, 100%, $E$9)</f>
        <v>15.1889</v>
      </c>
      <c r="L475" s="81">
        <f>7.8402 * CHOOSE(CONTROL!$C$32, $C$9, 100%, $E$9)</f>
        <v>7.8402000000000003</v>
      </c>
      <c r="M475" s="81">
        <f>7.8455 * CHOOSE(CONTROL!$C$32, $C$9, 100%, $E$9)</f>
        <v>7.8455000000000004</v>
      </c>
      <c r="N475" s="81">
        <f>7.8402 * CHOOSE(CONTROL!$C$32, $C$9, 100%, $E$9)</f>
        <v>7.8402000000000003</v>
      </c>
      <c r="O475" s="81">
        <f>7.8455 * CHOOSE(CONTROL!$C$32, $C$9, 100%, $E$9)</f>
        <v>7.8455000000000004</v>
      </c>
    </row>
    <row r="476" spans="1:15" ht="15" x14ac:dyDescent="0.2">
      <c r="A476" s="16">
        <v>55701</v>
      </c>
      <c r="B476" s="80">
        <f>6.9918 * CHOOSE(CONTROL!$C$32, $C$9, 100%, $E$9)</f>
        <v>6.9917999999999996</v>
      </c>
      <c r="C476" s="80">
        <f>6.9918 * CHOOSE(CONTROL!$C$32, $C$9, 100%, $E$9)</f>
        <v>6.9917999999999996</v>
      </c>
      <c r="D476" s="80">
        <f>6.9934 * CHOOSE(CONTROL!$C$32, $C$9, 100%, $E$9)</f>
        <v>6.9934000000000003</v>
      </c>
      <c r="E476" s="81">
        <f>7.9482 * CHOOSE(CONTROL!$C$32, $C$9, 100%, $E$9)</f>
        <v>7.9481999999999999</v>
      </c>
      <c r="F476" s="81">
        <f>7.9482 * CHOOSE(CONTROL!$C$32, $C$9, 100%, $E$9)</f>
        <v>7.9481999999999999</v>
      </c>
      <c r="G476" s="81">
        <f>7.9535 * CHOOSE(CONTROL!$C$32, $C$9, 100%, $E$9)</f>
        <v>7.9535</v>
      </c>
      <c r="H476" s="81">
        <f>15.2153 * CHOOSE(CONTROL!$C$32, $C$9, 100%, $E$9)</f>
        <v>15.215299999999999</v>
      </c>
      <c r="I476" s="81">
        <f>15.2206 * CHOOSE(CONTROL!$C$32, $C$9, 100%, $E$9)</f>
        <v>15.220599999999999</v>
      </c>
      <c r="J476" s="81">
        <f>15.2153 * CHOOSE(CONTROL!$C$32, $C$9, 100%, $E$9)</f>
        <v>15.215299999999999</v>
      </c>
      <c r="K476" s="81">
        <f>15.2206 * CHOOSE(CONTROL!$C$32, $C$9, 100%, $E$9)</f>
        <v>15.220599999999999</v>
      </c>
      <c r="L476" s="81">
        <f>7.9482 * CHOOSE(CONTROL!$C$32, $C$9, 100%, $E$9)</f>
        <v>7.9481999999999999</v>
      </c>
      <c r="M476" s="81">
        <f>7.9535 * CHOOSE(CONTROL!$C$32, $C$9, 100%, $E$9)</f>
        <v>7.9535</v>
      </c>
      <c r="N476" s="81">
        <f>7.9482 * CHOOSE(CONTROL!$C$32, $C$9, 100%, $E$9)</f>
        <v>7.9481999999999999</v>
      </c>
      <c r="O476" s="81">
        <f>7.9535 * CHOOSE(CONTROL!$C$32, $C$9, 100%, $E$9)</f>
        <v>7.9535</v>
      </c>
    </row>
    <row r="477" spans="1:15" ht="15" x14ac:dyDescent="0.2">
      <c r="A477" s="16">
        <v>55732</v>
      </c>
      <c r="B477" s="80">
        <f>6.9985 * CHOOSE(CONTROL!$C$32, $C$9, 100%, $E$9)</f>
        <v>6.9984999999999999</v>
      </c>
      <c r="C477" s="80">
        <f>6.9985 * CHOOSE(CONTROL!$C$32, $C$9, 100%, $E$9)</f>
        <v>6.9984999999999999</v>
      </c>
      <c r="D477" s="80">
        <f>7.0001 * CHOOSE(CONTROL!$C$32, $C$9, 100%, $E$9)</f>
        <v>7.0000999999999998</v>
      </c>
      <c r="E477" s="81">
        <f>7.7921 * CHOOSE(CONTROL!$C$32, $C$9, 100%, $E$9)</f>
        <v>7.7920999999999996</v>
      </c>
      <c r="F477" s="81">
        <f>7.7921 * CHOOSE(CONTROL!$C$32, $C$9, 100%, $E$9)</f>
        <v>7.7920999999999996</v>
      </c>
      <c r="G477" s="81">
        <f>7.7974 * CHOOSE(CONTROL!$C$32, $C$9, 100%, $E$9)</f>
        <v>7.7973999999999997</v>
      </c>
      <c r="H477" s="81">
        <f>15.247 * CHOOSE(CONTROL!$C$32, $C$9, 100%, $E$9)</f>
        <v>15.247</v>
      </c>
      <c r="I477" s="81">
        <f>15.2523 * CHOOSE(CONTROL!$C$32, $C$9, 100%, $E$9)</f>
        <v>15.2523</v>
      </c>
      <c r="J477" s="81">
        <f>15.247 * CHOOSE(CONTROL!$C$32, $C$9, 100%, $E$9)</f>
        <v>15.247</v>
      </c>
      <c r="K477" s="81">
        <f>15.2523 * CHOOSE(CONTROL!$C$32, $C$9, 100%, $E$9)</f>
        <v>15.2523</v>
      </c>
      <c r="L477" s="81">
        <f>7.7921 * CHOOSE(CONTROL!$C$32, $C$9, 100%, $E$9)</f>
        <v>7.7920999999999996</v>
      </c>
      <c r="M477" s="81">
        <f>7.7974 * CHOOSE(CONTROL!$C$32, $C$9, 100%, $E$9)</f>
        <v>7.7973999999999997</v>
      </c>
      <c r="N477" s="81">
        <f>7.7921 * CHOOSE(CONTROL!$C$32, $C$9, 100%, $E$9)</f>
        <v>7.7920999999999996</v>
      </c>
      <c r="O477" s="81">
        <f>7.7974 * CHOOSE(CONTROL!$C$32, $C$9, 100%, $E$9)</f>
        <v>7.7973999999999997</v>
      </c>
    </row>
    <row r="478" spans="1:15" ht="15" x14ac:dyDescent="0.2">
      <c r="A478" s="16">
        <v>55763</v>
      </c>
      <c r="B478" s="80">
        <f>6.9955 * CHOOSE(CONTROL!$C$32, $C$9, 100%, $E$9)</f>
        <v>6.9954999999999998</v>
      </c>
      <c r="C478" s="80">
        <f>6.9955 * CHOOSE(CONTROL!$C$32, $C$9, 100%, $E$9)</f>
        <v>6.9954999999999998</v>
      </c>
      <c r="D478" s="80">
        <f>6.997 * CHOOSE(CONTROL!$C$32, $C$9, 100%, $E$9)</f>
        <v>6.9969999999999999</v>
      </c>
      <c r="E478" s="81">
        <f>7.7721 * CHOOSE(CONTROL!$C$32, $C$9, 100%, $E$9)</f>
        <v>7.7721</v>
      </c>
      <c r="F478" s="81">
        <f>7.7721 * CHOOSE(CONTROL!$C$32, $C$9, 100%, $E$9)</f>
        <v>7.7721</v>
      </c>
      <c r="G478" s="81">
        <f>7.7774 * CHOOSE(CONTROL!$C$32, $C$9, 100%, $E$9)</f>
        <v>7.7774000000000001</v>
      </c>
      <c r="H478" s="81">
        <f>15.2787 * CHOOSE(CONTROL!$C$32, $C$9, 100%, $E$9)</f>
        <v>15.278700000000001</v>
      </c>
      <c r="I478" s="81">
        <f>15.284 * CHOOSE(CONTROL!$C$32, $C$9, 100%, $E$9)</f>
        <v>15.284000000000001</v>
      </c>
      <c r="J478" s="81">
        <f>15.2787 * CHOOSE(CONTROL!$C$32, $C$9, 100%, $E$9)</f>
        <v>15.278700000000001</v>
      </c>
      <c r="K478" s="81">
        <f>15.284 * CHOOSE(CONTROL!$C$32, $C$9, 100%, $E$9)</f>
        <v>15.284000000000001</v>
      </c>
      <c r="L478" s="81">
        <f>7.7721 * CHOOSE(CONTROL!$C$32, $C$9, 100%, $E$9)</f>
        <v>7.7721</v>
      </c>
      <c r="M478" s="81">
        <f>7.7774 * CHOOSE(CONTROL!$C$32, $C$9, 100%, $E$9)</f>
        <v>7.7774000000000001</v>
      </c>
      <c r="N478" s="81">
        <f>7.7721 * CHOOSE(CONTROL!$C$32, $C$9, 100%, $E$9)</f>
        <v>7.7721</v>
      </c>
      <c r="O478" s="81">
        <f>7.7774 * CHOOSE(CONTROL!$C$32, $C$9, 100%, $E$9)</f>
        <v>7.7774000000000001</v>
      </c>
    </row>
    <row r="479" spans="1:15" ht="15" x14ac:dyDescent="0.2">
      <c r="A479" s="16">
        <v>55793</v>
      </c>
      <c r="B479" s="80">
        <f>7.0017 * CHOOSE(CONTROL!$C$32, $C$9, 100%, $E$9)</f>
        <v>7.0016999999999996</v>
      </c>
      <c r="C479" s="80">
        <f>7.0017 * CHOOSE(CONTROL!$C$32, $C$9, 100%, $E$9)</f>
        <v>7.0016999999999996</v>
      </c>
      <c r="D479" s="80">
        <f>7.0027 * CHOOSE(CONTROL!$C$32, $C$9, 100%, $E$9)</f>
        <v>7.0026999999999999</v>
      </c>
      <c r="E479" s="81">
        <f>7.8302 * CHOOSE(CONTROL!$C$32, $C$9, 100%, $E$9)</f>
        <v>7.8301999999999996</v>
      </c>
      <c r="F479" s="81">
        <f>7.8302 * CHOOSE(CONTROL!$C$32, $C$9, 100%, $E$9)</f>
        <v>7.8301999999999996</v>
      </c>
      <c r="G479" s="81">
        <f>7.8338 * CHOOSE(CONTROL!$C$32, $C$9, 100%, $E$9)</f>
        <v>7.8338000000000001</v>
      </c>
      <c r="H479" s="81">
        <f>15.3106 * CHOOSE(CONTROL!$C$32, $C$9, 100%, $E$9)</f>
        <v>15.310600000000001</v>
      </c>
      <c r="I479" s="81">
        <f>15.3142 * CHOOSE(CONTROL!$C$32, $C$9, 100%, $E$9)</f>
        <v>15.3142</v>
      </c>
      <c r="J479" s="81">
        <f>15.3106 * CHOOSE(CONTROL!$C$32, $C$9, 100%, $E$9)</f>
        <v>15.310600000000001</v>
      </c>
      <c r="K479" s="81">
        <f>15.3142 * CHOOSE(CONTROL!$C$32, $C$9, 100%, $E$9)</f>
        <v>15.3142</v>
      </c>
      <c r="L479" s="81">
        <f>7.8302 * CHOOSE(CONTROL!$C$32, $C$9, 100%, $E$9)</f>
        <v>7.8301999999999996</v>
      </c>
      <c r="M479" s="81">
        <f>7.8338 * CHOOSE(CONTROL!$C$32, $C$9, 100%, $E$9)</f>
        <v>7.8338000000000001</v>
      </c>
      <c r="N479" s="81">
        <f>7.8302 * CHOOSE(CONTROL!$C$32, $C$9, 100%, $E$9)</f>
        <v>7.8301999999999996</v>
      </c>
      <c r="O479" s="81">
        <f>7.8338 * CHOOSE(CONTROL!$C$32, $C$9, 100%, $E$9)</f>
        <v>7.8338000000000001</v>
      </c>
    </row>
    <row r="480" spans="1:15" ht="15" x14ac:dyDescent="0.2">
      <c r="A480" s="16">
        <v>55824</v>
      </c>
      <c r="B480" s="80">
        <f>7.0047 * CHOOSE(CONTROL!$C$32, $C$9, 100%, $E$9)</f>
        <v>7.0046999999999997</v>
      </c>
      <c r="C480" s="80">
        <f>7.0047 * CHOOSE(CONTROL!$C$32, $C$9, 100%, $E$9)</f>
        <v>7.0046999999999997</v>
      </c>
      <c r="D480" s="80">
        <f>7.0058 * CHOOSE(CONTROL!$C$32, $C$9, 100%, $E$9)</f>
        <v>7.0057999999999998</v>
      </c>
      <c r="E480" s="81">
        <f>7.868 * CHOOSE(CONTROL!$C$32, $C$9, 100%, $E$9)</f>
        <v>7.8680000000000003</v>
      </c>
      <c r="F480" s="81">
        <f>7.868 * CHOOSE(CONTROL!$C$32, $C$9, 100%, $E$9)</f>
        <v>7.8680000000000003</v>
      </c>
      <c r="G480" s="81">
        <f>7.8716 * CHOOSE(CONTROL!$C$32, $C$9, 100%, $E$9)</f>
        <v>7.8715999999999999</v>
      </c>
      <c r="H480" s="81">
        <f>15.3425 * CHOOSE(CONTROL!$C$32, $C$9, 100%, $E$9)</f>
        <v>15.342499999999999</v>
      </c>
      <c r="I480" s="81">
        <f>15.3461 * CHOOSE(CONTROL!$C$32, $C$9, 100%, $E$9)</f>
        <v>15.3461</v>
      </c>
      <c r="J480" s="81">
        <f>15.3425 * CHOOSE(CONTROL!$C$32, $C$9, 100%, $E$9)</f>
        <v>15.342499999999999</v>
      </c>
      <c r="K480" s="81">
        <f>15.3461 * CHOOSE(CONTROL!$C$32, $C$9, 100%, $E$9)</f>
        <v>15.3461</v>
      </c>
      <c r="L480" s="81">
        <f>7.868 * CHOOSE(CONTROL!$C$32, $C$9, 100%, $E$9)</f>
        <v>7.8680000000000003</v>
      </c>
      <c r="M480" s="81">
        <f>7.8716 * CHOOSE(CONTROL!$C$32, $C$9, 100%, $E$9)</f>
        <v>7.8715999999999999</v>
      </c>
      <c r="N480" s="81">
        <f>7.868 * CHOOSE(CONTROL!$C$32, $C$9, 100%, $E$9)</f>
        <v>7.8680000000000003</v>
      </c>
      <c r="O480" s="81">
        <f>7.8716 * CHOOSE(CONTROL!$C$32, $C$9, 100%, $E$9)</f>
        <v>7.8715999999999999</v>
      </c>
    </row>
    <row r="481" spans="1:15" ht="15" x14ac:dyDescent="0.2">
      <c r="A481" s="16">
        <v>55854</v>
      </c>
      <c r="B481" s="80">
        <f>7.0047 * CHOOSE(CONTROL!$C$32, $C$9, 100%, $E$9)</f>
        <v>7.0046999999999997</v>
      </c>
      <c r="C481" s="80">
        <f>7.0047 * CHOOSE(CONTROL!$C$32, $C$9, 100%, $E$9)</f>
        <v>7.0046999999999997</v>
      </c>
      <c r="D481" s="80">
        <f>7.0058 * CHOOSE(CONTROL!$C$32, $C$9, 100%, $E$9)</f>
        <v>7.0057999999999998</v>
      </c>
      <c r="E481" s="81">
        <f>7.7787 * CHOOSE(CONTROL!$C$32, $C$9, 100%, $E$9)</f>
        <v>7.7786999999999997</v>
      </c>
      <c r="F481" s="81">
        <f>7.7787 * CHOOSE(CONTROL!$C$32, $C$9, 100%, $E$9)</f>
        <v>7.7786999999999997</v>
      </c>
      <c r="G481" s="81">
        <f>7.7823 * CHOOSE(CONTROL!$C$32, $C$9, 100%, $E$9)</f>
        <v>7.7823000000000002</v>
      </c>
      <c r="H481" s="81">
        <f>15.3744 * CHOOSE(CONTROL!$C$32, $C$9, 100%, $E$9)</f>
        <v>15.3744</v>
      </c>
      <c r="I481" s="81">
        <f>15.378 * CHOOSE(CONTROL!$C$32, $C$9, 100%, $E$9)</f>
        <v>15.378</v>
      </c>
      <c r="J481" s="81">
        <f>15.3744 * CHOOSE(CONTROL!$C$32, $C$9, 100%, $E$9)</f>
        <v>15.3744</v>
      </c>
      <c r="K481" s="81">
        <f>15.378 * CHOOSE(CONTROL!$C$32, $C$9, 100%, $E$9)</f>
        <v>15.378</v>
      </c>
      <c r="L481" s="81">
        <f>7.7787 * CHOOSE(CONTROL!$C$32, $C$9, 100%, $E$9)</f>
        <v>7.7786999999999997</v>
      </c>
      <c r="M481" s="81">
        <f>7.7823 * CHOOSE(CONTROL!$C$32, $C$9, 100%, $E$9)</f>
        <v>7.7823000000000002</v>
      </c>
      <c r="N481" s="81">
        <f>7.7787 * CHOOSE(CONTROL!$C$32, $C$9, 100%, $E$9)</f>
        <v>7.7786999999999997</v>
      </c>
      <c r="O481" s="81">
        <f>7.7823 * CHOOSE(CONTROL!$C$32, $C$9, 100%, $E$9)</f>
        <v>7.7823000000000002</v>
      </c>
    </row>
    <row r="482" spans="1:15" ht="15" x14ac:dyDescent="0.2">
      <c r="A482" s="16">
        <v>55885</v>
      </c>
      <c r="B482" s="80">
        <f>7.0575 * CHOOSE(CONTROL!$C$32, $C$9, 100%, $E$9)</f>
        <v>7.0575000000000001</v>
      </c>
      <c r="C482" s="80">
        <f>7.0575 * CHOOSE(CONTROL!$C$32, $C$9, 100%, $E$9)</f>
        <v>7.0575000000000001</v>
      </c>
      <c r="D482" s="80">
        <f>7.0586 * CHOOSE(CONTROL!$C$32, $C$9, 100%, $E$9)</f>
        <v>7.0586000000000002</v>
      </c>
      <c r="E482" s="81">
        <f>7.9087 * CHOOSE(CONTROL!$C$32, $C$9, 100%, $E$9)</f>
        <v>7.9086999999999996</v>
      </c>
      <c r="F482" s="81">
        <f>7.9087 * CHOOSE(CONTROL!$C$32, $C$9, 100%, $E$9)</f>
        <v>7.9086999999999996</v>
      </c>
      <c r="G482" s="81">
        <f>7.9124 * CHOOSE(CONTROL!$C$32, $C$9, 100%, $E$9)</f>
        <v>7.9123999999999999</v>
      </c>
      <c r="H482" s="81">
        <f>15.4065 * CHOOSE(CONTROL!$C$32, $C$9, 100%, $E$9)</f>
        <v>15.406499999999999</v>
      </c>
      <c r="I482" s="81">
        <f>15.4101 * CHOOSE(CONTROL!$C$32, $C$9, 100%, $E$9)</f>
        <v>15.4101</v>
      </c>
      <c r="J482" s="81">
        <f>15.4065 * CHOOSE(CONTROL!$C$32, $C$9, 100%, $E$9)</f>
        <v>15.406499999999999</v>
      </c>
      <c r="K482" s="81">
        <f>15.4101 * CHOOSE(CONTROL!$C$32, $C$9, 100%, $E$9)</f>
        <v>15.4101</v>
      </c>
      <c r="L482" s="81">
        <f>7.9087 * CHOOSE(CONTROL!$C$32, $C$9, 100%, $E$9)</f>
        <v>7.9086999999999996</v>
      </c>
      <c r="M482" s="81">
        <f>7.9124 * CHOOSE(CONTROL!$C$32, $C$9, 100%, $E$9)</f>
        <v>7.9123999999999999</v>
      </c>
      <c r="N482" s="81">
        <f>7.9087 * CHOOSE(CONTROL!$C$32, $C$9, 100%, $E$9)</f>
        <v>7.9086999999999996</v>
      </c>
      <c r="O482" s="81">
        <f>7.9124 * CHOOSE(CONTROL!$C$32, $C$9, 100%, $E$9)</f>
        <v>7.9123999999999999</v>
      </c>
    </row>
    <row r="483" spans="1:15" ht="15" x14ac:dyDescent="0.2">
      <c r="A483" s="16">
        <v>55916</v>
      </c>
      <c r="B483" s="80">
        <f>7.0545 * CHOOSE(CONTROL!$C$32, $C$9, 100%, $E$9)</f>
        <v>7.0545</v>
      </c>
      <c r="C483" s="80">
        <f>7.0545 * CHOOSE(CONTROL!$C$32, $C$9, 100%, $E$9)</f>
        <v>7.0545</v>
      </c>
      <c r="D483" s="80">
        <f>7.0555 * CHOOSE(CONTROL!$C$32, $C$9, 100%, $E$9)</f>
        <v>7.0555000000000003</v>
      </c>
      <c r="E483" s="81">
        <f>7.7323 * CHOOSE(CONTROL!$C$32, $C$9, 100%, $E$9)</f>
        <v>7.7323000000000004</v>
      </c>
      <c r="F483" s="81">
        <f>7.7323 * CHOOSE(CONTROL!$C$32, $C$9, 100%, $E$9)</f>
        <v>7.7323000000000004</v>
      </c>
      <c r="G483" s="81">
        <f>7.7359 * CHOOSE(CONTROL!$C$32, $C$9, 100%, $E$9)</f>
        <v>7.7359</v>
      </c>
      <c r="H483" s="81">
        <f>15.4386 * CHOOSE(CONTROL!$C$32, $C$9, 100%, $E$9)</f>
        <v>15.438599999999999</v>
      </c>
      <c r="I483" s="81">
        <f>15.4422 * CHOOSE(CONTROL!$C$32, $C$9, 100%, $E$9)</f>
        <v>15.4422</v>
      </c>
      <c r="J483" s="81">
        <f>15.4386 * CHOOSE(CONTROL!$C$32, $C$9, 100%, $E$9)</f>
        <v>15.438599999999999</v>
      </c>
      <c r="K483" s="81">
        <f>15.4422 * CHOOSE(CONTROL!$C$32, $C$9, 100%, $E$9)</f>
        <v>15.4422</v>
      </c>
      <c r="L483" s="81">
        <f>7.7323 * CHOOSE(CONTROL!$C$32, $C$9, 100%, $E$9)</f>
        <v>7.7323000000000004</v>
      </c>
      <c r="M483" s="81">
        <f>7.7359 * CHOOSE(CONTROL!$C$32, $C$9, 100%, $E$9)</f>
        <v>7.7359</v>
      </c>
      <c r="N483" s="81">
        <f>7.7323 * CHOOSE(CONTROL!$C$32, $C$9, 100%, $E$9)</f>
        <v>7.7323000000000004</v>
      </c>
      <c r="O483" s="81">
        <f>7.7359 * CHOOSE(CONTROL!$C$32, $C$9, 100%, $E$9)</f>
        <v>7.7359</v>
      </c>
    </row>
    <row r="484" spans="1:15" ht="15" x14ac:dyDescent="0.2">
      <c r="A484" s="16">
        <v>55944</v>
      </c>
      <c r="B484" s="80">
        <f>7.0514 * CHOOSE(CONTROL!$C$32, $C$9, 100%, $E$9)</f>
        <v>7.0514000000000001</v>
      </c>
      <c r="C484" s="80">
        <f>7.0514 * CHOOSE(CONTROL!$C$32, $C$9, 100%, $E$9)</f>
        <v>7.0514000000000001</v>
      </c>
      <c r="D484" s="80">
        <f>7.0525 * CHOOSE(CONTROL!$C$32, $C$9, 100%, $E$9)</f>
        <v>7.0525000000000002</v>
      </c>
      <c r="E484" s="81">
        <f>7.8676 * CHOOSE(CONTROL!$C$32, $C$9, 100%, $E$9)</f>
        <v>7.8676000000000004</v>
      </c>
      <c r="F484" s="81">
        <f>7.8676 * CHOOSE(CONTROL!$C$32, $C$9, 100%, $E$9)</f>
        <v>7.8676000000000004</v>
      </c>
      <c r="G484" s="81">
        <f>7.8712 * CHOOSE(CONTROL!$C$32, $C$9, 100%, $E$9)</f>
        <v>7.8712</v>
      </c>
      <c r="H484" s="81">
        <f>15.4707 * CHOOSE(CONTROL!$C$32, $C$9, 100%, $E$9)</f>
        <v>15.470700000000001</v>
      </c>
      <c r="I484" s="81">
        <f>15.4743 * CHOOSE(CONTROL!$C$32, $C$9, 100%, $E$9)</f>
        <v>15.474299999999999</v>
      </c>
      <c r="J484" s="81">
        <f>15.4707 * CHOOSE(CONTROL!$C$32, $C$9, 100%, $E$9)</f>
        <v>15.470700000000001</v>
      </c>
      <c r="K484" s="81">
        <f>15.4743 * CHOOSE(CONTROL!$C$32, $C$9, 100%, $E$9)</f>
        <v>15.474299999999999</v>
      </c>
      <c r="L484" s="81">
        <f>7.8676 * CHOOSE(CONTROL!$C$32, $C$9, 100%, $E$9)</f>
        <v>7.8676000000000004</v>
      </c>
      <c r="M484" s="81">
        <f>7.8712 * CHOOSE(CONTROL!$C$32, $C$9, 100%, $E$9)</f>
        <v>7.8712</v>
      </c>
      <c r="N484" s="81">
        <f>7.8676 * CHOOSE(CONTROL!$C$32, $C$9, 100%, $E$9)</f>
        <v>7.8676000000000004</v>
      </c>
      <c r="O484" s="81">
        <f>7.8712 * CHOOSE(CONTROL!$C$32, $C$9, 100%, $E$9)</f>
        <v>7.8712</v>
      </c>
    </row>
    <row r="485" spans="1:15" ht="15" x14ac:dyDescent="0.2">
      <c r="A485" s="16">
        <v>55975</v>
      </c>
      <c r="B485" s="80">
        <f>7.052 * CHOOSE(CONTROL!$C$32, $C$9, 100%, $E$9)</f>
        <v>7.0519999999999996</v>
      </c>
      <c r="C485" s="80">
        <f>7.052 * CHOOSE(CONTROL!$C$32, $C$9, 100%, $E$9)</f>
        <v>7.0519999999999996</v>
      </c>
      <c r="D485" s="80">
        <f>7.0531 * CHOOSE(CONTROL!$C$32, $C$9, 100%, $E$9)</f>
        <v>7.0530999999999997</v>
      </c>
      <c r="E485" s="81">
        <f>8.011 * CHOOSE(CONTROL!$C$32, $C$9, 100%, $E$9)</f>
        <v>8.0109999999999992</v>
      </c>
      <c r="F485" s="81">
        <f>8.011 * CHOOSE(CONTROL!$C$32, $C$9, 100%, $E$9)</f>
        <v>8.0109999999999992</v>
      </c>
      <c r="G485" s="81">
        <f>8.0146 * CHOOSE(CONTROL!$C$32, $C$9, 100%, $E$9)</f>
        <v>8.0145999999999997</v>
      </c>
      <c r="H485" s="81">
        <f>15.5029 * CHOOSE(CONTROL!$C$32, $C$9, 100%, $E$9)</f>
        <v>15.5029</v>
      </c>
      <c r="I485" s="81">
        <f>15.5066 * CHOOSE(CONTROL!$C$32, $C$9, 100%, $E$9)</f>
        <v>15.506600000000001</v>
      </c>
      <c r="J485" s="81">
        <f>15.5029 * CHOOSE(CONTROL!$C$32, $C$9, 100%, $E$9)</f>
        <v>15.5029</v>
      </c>
      <c r="K485" s="81">
        <f>15.5066 * CHOOSE(CONTROL!$C$32, $C$9, 100%, $E$9)</f>
        <v>15.506600000000001</v>
      </c>
      <c r="L485" s="81">
        <f>8.011 * CHOOSE(CONTROL!$C$32, $C$9, 100%, $E$9)</f>
        <v>8.0109999999999992</v>
      </c>
      <c r="M485" s="81">
        <f>8.0146 * CHOOSE(CONTROL!$C$32, $C$9, 100%, $E$9)</f>
        <v>8.0145999999999997</v>
      </c>
      <c r="N485" s="81">
        <f>8.011 * CHOOSE(CONTROL!$C$32, $C$9, 100%, $E$9)</f>
        <v>8.0109999999999992</v>
      </c>
      <c r="O485" s="81">
        <f>8.0146 * CHOOSE(CONTROL!$C$32, $C$9, 100%, $E$9)</f>
        <v>8.0145999999999997</v>
      </c>
    </row>
    <row r="486" spans="1:15" ht="15" x14ac:dyDescent="0.2">
      <c r="A486" s="16">
        <v>56005</v>
      </c>
      <c r="B486" s="80">
        <f>7.052 * CHOOSE(CONTROL!$C$32, $C$9, 100%, $E$9)</f>
        <v>7.0519999999999996</v>
      </c>
      <c r="C486" s="80">
        <f>7.052 * CHOOSE(CONTROL!$C$32, $C$9, 100%, $E$9)</f>
        <v>7.0519999999999996</v>
      </c>
      <c r="D486" s="80">
        <f>7.0536 * CHOOSE(CONTROL!$C$32, $C$9, 100%, $E$9)</f>
        <v>7.0536000000000003</v>
      </c>
      <c r="E486" s="81">
        <f>8.0663 * CHOOSE(CONTROL!$C$32, $C$9, 100%, $E$9)</f>
        <v>8.0663</v>
      </c>
      <c r="F486" s="81">
        <f>8.0663 * CHOOSE(CONTROL!$C$32, $C$9, 100%, $E$9)</f>
        <v>8.0663</v>
      </c>
      <c r="G486" s="81">
        <f>8.0716 * CHOOSE(CONTROL!$C$32, $C$9, 100%, $E$9)</f>
        <v>8.0716000000000001</v>
      </c>
      <c r="H486" s="81">
        <f>15.5352 * CHOOSE(CONTROL!$C$32, $C$9, 100%, $E$9)</f>
        <v>15.5352</v>
      </c>
      <c r="I486" s="81">
        <f>15.5405 * CHOOSE(CONTROL!$C$32, $C$9, 100%, $E$9)</f>
        <v>15.5405</v>
      </c>
      <c r="J486" s="81">
        <f>15.5352 * CHOOSE(CONTROL!$C$32, $C$9, 100%, $E$9)</f>
        <v>15.5352</v>
      </c>
      <c r="K486" s="81">
        <f>15.5405 * CHOOSE(CONTROL!$C$32, $C$9, 100%, $E$9)</f>
        <v>15.5405</v>
      </c>
      <c r="L486" s="81">
        <f>8.0663 * CHOOSE(CONTROL!$C$32, $C$9, 100%, $E$9)</f>
        <v>8.0663</v>
      </c>
      <c r="M486" s="81">
        <f>8.0716 * CHOOSE(CONTROL!$C$32, $C$9, 100%, $E$9)</f>
        <v>8.0716000000000001</v>
      </c>
      <c r="N486" s="81">
        <f>8.0663 * CHOOSE(CONTROL!$C$32, $C$9, 100%, $E$9)</f>
        <v>8.0663</v>
      </c>
      <c r="O486" s="81">
        <f>8.0716 * CHOOSE(CONTROL!$C$32, $C$9, 100%, $E$9)</f>
        <v>8.0716000000000001</v>
      </c>
    </row>
    <row r="487" spans="1:15" ht="15" x14ac:dyDescent="0.2">
      <c r="A487" s="16">
        <v>56036</v>
      </c>
      <c r="B487" s="80">
        <f>7.0581 * CHOOSE(CONTROL!$C$32, $C$9, 100%, $E$9)</f>
        <v>7.0580999999999996</v>
      </c>
      <c r="C487" s="80">
        <f>7.0581 * CHOOSE(CONTROL!$C$32, $C$9, 100%, $E$9)</f>
        <v>7.0580999999999996</v>
      </c>
      <c r="D487" s="80">
        <f>7.0597 * CHOOSE(CONTROL!$C$32, $C$9, 100%, $E$9)</f>
        <v>7.0597000000000003</v>
      </c>
      <c r="E487" s="81">
        <f>8.0152 * CHOOSE(CONTROL!$C$32, $C$9, 100%, $E$9)</f>
        <v>8.0152000000000001</v>
      </c>
      <c r="F487" s="81">
        <f>8.0152 * CHOOSE(CONTROL!$C$32, $C$9, 100%, $E$9)</f>
        <v>8.0152000000000001</v>
      </c>
      <c r="G487" s="81">
        <f>8.0205 * CHOOSE(CONTROL!$C$32, $C$9, 100%, $E$9)</f>
        <v>8.0205000000000002</v>
      </c>
      <c r="H487" s="81">
        <f>15.5676 * CHOOSE(CONTROL!$C$32, $C$9, 100%, $E$9)</f>
        <v>15.567600000000001</v>
      </c>
      <c r="I487" s="81">
        <f>15.5729 * CHOOSE(CONTROL!$C$32, $C$9, 100%, $E$9)</f>
        <v>15.572900000000001</v>
      </c>
      <c r="J487" s="81">
        <f>15.5676 * CHOOSE(CONTROL!$C$32, $C$9, 100%, $E$9)</f>
        <v>15.567600000000001</v>
      </c>
      <c r="K487" s="81">
        <f>15.5729 * CHOOSE(CONTROL!$C$32, $C$9, 100%, $E$9)</f>
        <v>15.572900000000001</v>
      </c>
      <c r="L487" s="81">
        <f>8.0152 * CHOOSE(CONTROL!$C$32, $C$9, 100%, $E$9)</f>
        <v>8.0152000000000001</v>
      </c>
      <c r="M487" s="81">
        <f>8.0205 * CHOOSE(CONTROL!$C$32, $C$9, 100%, $E$9)</f>
        <v>8.0205000000000002</v>
      </c>
      <c r="N487" s="81">
        <f>8.0152 * CHOOSE(CONTROL!$C$32, $C$9, 100%, $E$9)</f>
        <v>8.0152000000000001</v>
      </c>
      <c r="O487" s="81">
        <f>8.0205 * CHOOSE(CONTROL!$C$32, $C$9, 100%, $E$9)</f>
        <v>8.0205000000000002</v>
      </c>
    </row>
    <row r="488" spans="1:15" ht="15" x14ac:dyDescent="0.2">
      <c r="A488" s="16">
        <v>56066</v>
      </c>
      <c r="B488" s="80">
        <f>7.1502 * CHOOSE(CONTROL!$C$32, $C$9, 100%, $E$9)</f>
        <v>7.1501999999999999</v>
      </c>
      <c r="C488" s="80">
        <f>7.1502 * CHOOSE(CONTROL!$C$32, $C$9, 100%, $E$9)</f>
        <v>7.1501999999999999</v>
      </c>
      <c r="D488" s="80">
        <f>7.1518 * CHOOSE(CONTROL!$C$32, $C$9, 100%, $E$9)</f>
        <v>7.1517999999999997</v>
      </c>
      <c r="E488" s="81">
        <f>8.1252 * CHOOSE(CONTROL!$C$32, $C$9, 100%, $E$9)</f>
        <v>8.1251999999999995</v>
      </c>
      <c r="F488" s="81">
        <f>8.1252 * CHOOSE(CONTROL!$C$32, $C$9, 100%, $E$9)</f>
        <v>8.1251999999999995</v>
      </c>
      <c r="G488" s="81">
        <f>8.1305 * CHOOSE(CONTROL!$C$32, $C$9, 100%, $E$9)</f>
        <v>8.1304999999999996</v>
      </c>
      <c r="H488" s="81">
        <f>15.6 * CHOOSE(CONTROL!$C$32, $C$9, 100%, $E$9)</f>
        <v>15.6</v>
      </c>
      <c r="I488" s="81">
        <f>15.6053 * CHOOSE(CONTROL!$C$32, $C$9, 100%, $E$9)</f>
        <v>15.6053</v>
      </c>
      <c r="J488" s="81">
        <f>15.6 * CHOOSE(CONTROL!$C$32, $C$9, 100%, $E$9)</f>
        <v>15.6</v>
      </c>
      <c r="K488" s="81">
        <f>15.6053 * CHOOSE(CONTROL!$C$32, $C$9, 100%, $E$9)</f>
        <v>15.6053</v>
      </c>
      <c r="L488" s="81">
        <f>8.1252 * CHOOSE(CONTROL!$C$32, $C$9, 100%, $E$9)</f>
        <v>8.1251999999999995</v>
      </c>
      <c r="M488" s="81">
        <f>8.1305 * CHOOSE(CONTROL!$C$32, $C$9, 100%, $E$9)</f>
        <v>8.1304999999999996</v>
      </c>
      <c r="N488" s="81">
        <f>8.1252 * CHOOSE(CONTROL!$C$32, $C$9, 100%, $E$9)</f>
        <v>8.1251999999999995</v>
      </c>
      <c r="O488" s="81">
        <f>8.1305 * CHOOSE(CONTROL!$C$32, $C$9, 100%, $E$9)</f>
        <v>8.1304999999999996</v>
      </c>
    </row>
    <row r="489" spans="1:15" ht="15" x14ac:dyDescent="0.2">
      <c r="A489" s="16">
        <v>56097</v>
      </c>
      <c r="B489" s="80">
        <f>7.1569 * CHOOSE(CONTROL!$C$32, $C$9, 100%, $E$9)</f>
        <v>7.1569000000000003</v>
      </c>
      <c r="C489" s="80">
        <f>7.1569 * CHOOSE(CONTROL!$C$32, $C$9, 100%, $E$9)</f>
        <v>7.1569000000000003</v>
      </c>
      <c r="D489" s="80">
        <f>7.1585 * CHOOSE(CONTROL!$C$32, $C$9, 100%, $E$9)</f>
        <v>7.1585000000000001</v>
      </c>
      <c r="E489" s="81">
        <f>7.9639 * CHOOSE(CONTROL!$C$32, $C$9, 100%, $E$9)</f>
        <v>7.9638999999999998</v>
      </c>
      <c r="F489" s="81">
        <f>7.9639 * CHOOSE(CONTROL!$C$32, $C$9, 100%, $E$9)</f>
        <v>7.9638999999999998</v>
      </c>
      <c r="G489" s="81">
        <f>7.9692 * CHOOSE(CONTROL!$C$32, $C$9, 100%, $E$9)</f>
        <v>7.9691999999999998</v>
      </c>
      <c r="H489" s="81">
        <f>15.6325 * CHOOSE(CONTROL!$C$32, $C$9, 100%, $E$9)</f>
        <v>15.6325</v>
      </c>
      <c r="I489" s="81">
        <f>15.6378 * CHOOSE(CONTROL!$C$32, $C$9, 100%, $E$9)</f>
        <v>15.6378</v>
      </c>
      <c r="J489" s="81">
        <f>15.6325 * CHOOSE(CONTROL!$C$32, $C$9, 100%, $E$9)</f>
        <v>15.6325</v>
      </c>
      <c r="K489" s="81">
        <f>15.6378 * CHOOSE(CONTROL!$C$32, $C$9, 100%, $E$9)</f>
        <v>15.6378</v>
      </c>
      <c r="L489" s="81">
        <f>7.9639 * CHOOSE(CONTROL!$C$32, $C$9, 100%, $E$9)</f>
        <v>7.9638999999999998</v>
      </c>
      <c r="M489" s="81">
        <f>7.9692 * CHOOSE(CONTROL!$C$32, $C$9, 100%, $E$9)</f>
        <v>7.9691999999999998</v>
      </c>
      <c r="N489" s="81">
        <f>7.9639 * CHOOSE(CONTROL!$C$32, $C$9, 100%, $E$9)</f>
        <v>7.9638999999999998</v>
      </c>
      <c r="O489" s="81">
        <f>7.9692 * CHOOSE(CONTROL!$C$32, $C$9, 100%, $E$9)</f>
        <v>7.9691999999999998</v>
      </c>
    </row>
    <row r="490" spans="1:15" ht="15" x14ac:dyDescent="0.2">
      <c r="A490" s="16">
        <v>56128</v>
      </c>
      <c r="B490" s="80">
        <f>7.1539 * CHOOSE(CONTROL!$C$32, $C$9, 100%, $E$9)</f>
        <v>7.1539000000000001</v>
      </c>
      <c r="C490" s="80">
        <f>7.1539 * CHOOSE(CONTROL!$C$32, $C$9, 100%, $E$9)</f>
        <v>7.1539000000000001</v>
      </c>
      <c r="D490" s="80">
        <f>7.1554 * CHOOSE(CONTROL!$C$32, $C$9, 100%, $E$9)</f>
        <v>7.1554000000000002</v>
      </c>
      <c r="E490" s="81">
        <f>7.9433 * CHOOSE(CONTROL!$C$32, $C$9, 100%, $E$9)</f>
        <v>7.9432999999999998</v>
      </c>
      <c r="F490" s="81">
        <f>7.9433 * CHOOSE(CONTROL!$C$32, $C$9, 100%, $E$9)</f>
        <v>7.9432999999999998</v>
      </c>
      <c r="G490" s="81">
        <f>7.9486 * CHOOSE(CONTROL!$C$32, $C$9, 100%, $E$9)</f>
        <v>7.9485999999999999</v>
      </c>
      <c r="H490" s="81">
        <f>15.6651 * CHOOSE(CONTROL!$C$32, $C$9, 100%, $E$9)</f>
        <v>15.665100000000001</v>
      </c>
      <c r="I490" s="81">
        <f>15.6704 * CHOOSE(CONTROL!$C$32, $C$9, 100%, $E$9)</f>
        <v>15.670400000000001</v>
      </c>
      <c r="J490" s="81">
        <f>15.6651 * CHOOSE(CONTROL!$C$32, $C$9, 100%, $E$9)</f>
        <v>15.665100000000001</v>
      </c>
      <c r="K490" s="81">
        <f>15.6704 * CHOOSE(CONTROL!$C$32, $C$9, 100%, $E$9)</f>
        <v>15.670400000000001</v>
      </c>
      <c r="L490" s="81">
        <f>7.9433 * CHOOSE(CONTROL!$C$32, $C$9, 100%, $E$9)</f>
        <v>7.9432999999999998</v>
      </c>
      <c r="M490" s="81">
        <f>7.9486 * CHOOSE(CONTROL!$C$32, $C$9, 100%, $E$9)</f>
        <v>7.9485999999999999</v>
      </c>
      <c r="N490" s="81">
        <f>7.9433 * CHOOSE(CONTROL!$C$32, $C$9, 100%, $E$9)</f>
        <v>7.9432999999999998</v>
      </c>
      <c r="O490" s="81">
        <f>7.9486 * CHOOSE(CONTROL!$C$32, $C$9, 100%, $E$9)</f>
        <v>7.9485999999999999</v>
      </c>
    </row>
    <row r="491" spans="1:15" ht="15" x14ac:dyDescent="0.2">
      <c r="A491" s="16">
        <v>56158</v>
      </c>
      <c r="B491" s="80">
        <f>7.1607 * CHOOSE(CONTROL!$C$32, $C$9, 100%, $E$9)</f>
        <v>7.1607000000000003</v>
      </c>
      <c r="C491" s="80">
        <f>7.1607 * CHOOSE(CONTROL!$C$32, $C$9, 100%, $E$9)</f>
        <v>7.1607000000000003</v>
      </c>
      <c r="D491" s="80">
        <f>7.1617 * CHOOSE(CONTROL!$C$32, $C$9, 100%, $E$9)</f>
        <v>7.1616999999999997</v>
      </c>
      <c r="E491" s="81">
        <f>8.0037 * CHOOSE(CONTROL!$C$32, $C$9, 100%, $E$9)</f>
        <v>8.0037000000000003</v>
      </c>
      <c r="F491" s="81">
        <f>8.0037 * CHOOSE(CONTROL!$C$32, $C$9, 100%, $E$9)</f>
        <v>8.0037000000000003</v>
      </c>
      <c r="G491" s="81">
        <f>8.0073 * CHOOSE(CONTROL!$C$32, $C$9, 100%, $E$9)</f>
        <v>8.0073000000000008</v>
      </c>
      <c r="H491" s="81">
        <f>15.6977 * CHOOSE(CONTROL!$C$32, $C$9, 100%, $E$9)</f>
        <v>15.697699999999999</v>
      </c>
      <c r="I491" s="81">
        <f>15.7014 * CHOOSE(CONTROL!$C$32, $C$9, 100%, $E$9)</f>
        <v>15.7014</v>
      </c>
      <c r="J491" s="81">
        <f>15.6977 * CHOOSE(CONTROL!$C$32, $C$9, 100%, $E$9)</f>
        <v>15.697699999999999</v>
      </c>
      <c r="K491" s="81">
        <f>15.7014 * CHOOSE(CONTROL!$C$32, $C$9, 100%, $E$9)</f>
        <v>15.7014</v>
      </c>
      <c r="L491" s="81">
        <f>8.0037 * CHOOSE(CONTROL!$C$32, $C$9, 100%, $E$9)</f>
        <v>8.0037000000000003</v>
      </c>
      <c r="M491" s="81">
        <f>8.0073 * CHOOSE(CONTROL!$C$32, $C$9, 100%, $E$9)</f>
        <v>8.0073000000000008</v>
      </c>
      <c r="N491" s="81">
        <f>8.0037 * CHOOSE(CONTROL!$C$32, $C$9, 100%, $E$9)</f>
        <v>8.0037000000000003</v>
      </c>
      <c r="O491" s="81">
        <f>8.0073 * CHOOSE(CONTROL!$C$32, $C$9, 100%, $E$9)</f>
        <v>8.0073000000000008</v>
      </c>
    </row>
    <row r="492" spans="1:15" ht="15" x14ac:dyDescent="0.2">
      <c r="A492" s="16">
        <v>56189</v>
      </c>
      <c r="B492" s="80">
        <f>7.1637 * CHOOSE(CONTROL!$C$32, $C$9, 100%, $E$9)</f>
        <v>7.1637000000000004</v>
      </c>
      <c r="C492" s="80">
        <f>7.1637 * CHOOSE(CONTROL!$C$32, $C$9, 100%, $E$9)</f>
        <v>7.1637000000000004</v>
      </c>
      <c r="D492" s="80">
        <f>7.1648 * CHOOSE(CONTROL!$C$32, $C$9, 100%, $E$9)</f>
        <v>7.1647999999999996</v>
      </c>
      <c r="E492" s="81">
        <f>8.0427 * CHOOSE(CONTROL!$C$32, $C$9, 100%, $E$9)</f>
        <v>8.0427</v>
      </c>
      <c r="F492" s="81">
        <f>8.0427 * CHOOSE(CONTROL!$C$32, $C$9, 100%, $E$9)</f>
        <v>8.0427</v>
      </c>
      <c r="G492" s="81">
        <f>8.0463 * CHOOSE(CONTROL!$C$32, $C$9, 100%, $E$9)</f>
        <v>8.0463000000000005</v>
      </c>
      <c r="H492" s="81">
        <f>15.7304 * CHOOSE(CONTROL!$C$32, $C$9, 100%, $E$9)</f>
        <v>15.730399999999999</v>
      </c>
      <c r="I492" s="81">
        <f>15.7341 * CHOOSE(CONTROL!$C$32, $C$9, 100%, $E$9)</f>
        <v>15.7341</v>
      </c>
      <c r="J492" s="81">
        <f>15.7304 * CHOOSE(CONTROL!$C$32, $C$9, 100%, $E$9)</f>
        <v>15.730399999999999</v>
      </c>
      <c r="K492" s="81">
        <f>15.7341 * CHOOSE(CONTROL!$C$32, $C$9, 100%, $E$9)</f>
        <v>15.7341</v>
      </c>
      <c r="L492" s="81">
        <f>8.0427 * CHOOSE(CONTROL!$C$32, $C$9, 100%, $E$9)</f>
        <v>8.0427</v>
      </c>
      <c r="M492" s="81">
        <f>8.0463 * CHOOSE(CONTROL!$C$32, $C$9, 100%, $E$9)</f>
        <v>8.0463000000000005</v>
      </c>
      <c r="N492" s="81">
        <f>8.0427 * CHOOSE(CONTROL!$C$32, $C$9, 100%, $E$9)</f>
        <v>8.0427</v>
      </c>
      <c r="O492" s="81">
        <f>8.0463 * CHOOSE(CONTROL!$C$32, $C$9, 100%, $E$9)</f>
        <v>8.0463000000000005</v>
      </c>
    </row>
    <row r="493" spans="1:15" ht="15" x14ac:dyDescent="0.2">
      <c r="A493" s="16">
        <v>56219</v>
      </c>
      <c r="B493" s="80">
        <f>7.1637 * CHOOSE(CONTROL!$C$32, $C$9, 100%, $E$9)</f>
        <v>7.1637000000000004</v>
      </c>
      <c r="C493" s="80">
        <f>7.1637 * CHOOSE(CONTROL!$C$32, $C$9, 100%, $E$9)</f>
        <v>7.1637000000000004</v>
      </c>
      <c r="D493" s="80">
        <f>7.1648 * CHOOSE(CONTROL!$C$32, $C$9, 100%, $E$9)</f>
        <v>7.1647999999999996</v>
      </c>
      <c r="E493" s="81">
        <f>7.9504 * CHOOSE(CONTROL!$C$32, $C$9, 100%, $E$9)</f>
        <v>7.9504000000000001</v>
      </c>
      <c r="F493" s="81">
        <f>7.9504 * CHOOSE(CONTROL!$C$32, $C$9, 100%, $E$9)</f>
        <v>7.9504000000000001</v>
      </c>
      <c r="G493" s="81">
        <f>7.9541 * CHOOSE(CONTROL!$C$32, $C$9, 100%, $E$9)</f>
        <v>7.9541000000000004</v>
      </c>
      <c r="H493" s="81">
        <f>15.7632 * CHOOSE(CONTROL!$C$32, $C$9, 100%, $E$9)</f>
        <v>15.763199999999999</v>
      </c>
      <c r="I493" s="81">
        <f>15.7668 * CHOOSE(CONTROL!$C$32, $C$9, 100%, $E$9)</f>
        <v>15.7668</v>
      </c>
      <c r="J493" s="81">
        <f>15.7632 * CHOOSE(CONTROL!$C$32, $C$9, 100%, $E$9)</f>
        <v>15.763199999999999</v>
      </c>
      <c r="K493" s="81">
        <f>15.7668 * CHOOSE(CONTROL!$C$32, $C$9, 100%, $E$9)</f>
        <v>15.7668</v>
      </c>
      <c r="L493" s="81">
        <f>7.9504 * CHOOSE(CONTROL!$C$32, $C$9, 100%, $E$9)</f>
        <v>7.9504000000000001</v>
      </c>
      <c r="M493" s="81">
        <f>7.9541 * CHOOSE(CONTROL!$C$32, $C$9, 100%, $E$9)</f>
        <v>7.9541000000000004</v>
      </c>
      <c r="N493" s="81">
        <f>7.9504 * CHOOSE(CONTROL!$C$32, $C$9, 100%, $E$9)</f>
        <v>7.9504000000000001</v>
      </c>
      <c r="O493" s="81">
        <f>7.9541 * CHOOSE(CONTROL!$C$32, $C$9, 100%, $E$9)</f>
        <v>7.9541000000000004</v>
      </c>
    </row>
    <row r="494" spans="1:15" ht="15" x14ac:dyDescent="0.2">
      <c r="A494" s="16">
        <v>56250</v>
      </c>
      <c r="B494" s="80">
        <f>7.2176 * CHOOSE(CONTROL!$C$32, $C$9, 100%, $E$9)</f>
        <v>7.2176</v>
      </c>
      <c r="C494" s="80">
        <f>7.2176 * CHOOSE(CONTROL!$C$32, $C$9, 100%, $E$9)</f>
        <v>7.2176</v>
      </c>
      <c r="D494" s="80">
        <f>7.2187 * CHOOSE(CONTROL!$C$32, $C$9, 100%, $E$9)</f>
        <v>7.2187000000000001</v>
      </c>
      <c r="E494" s="81">
        <f>8.0845 * CHOOSE(CONTROL!$C$32, $C$9, 100%, $E$9)</f>
        <v>8.0845000000000002</v>
      </c>
      <c r="F494" s="81">
        <f>8.0845 * CHOOSE(CONTROL!$C$32, $C$9, 100%, $E$9)</f>
        <v>8.0845000000000002</v>
      </c>
      <c r="G494" s="81">
        <f>8.0881 * CHOOSE(CONTROL!$C$32, $C$9, 100%, $E$9)</f>
        <v>8.0881000000000007</v>
      </c>
      <c r="H494" s="81">
        <f>15.7961 * CHOOSE(CONTROL!$C$32, $C$9, 100%, $E$9)</f>
        <v>15.796099999999999</v>
      </c>
      <c r="I494" s="81">
        <f>15.7997 * CHOOSE(CONTROL!$C$32, $C$9, 100%, $E$9)</f>
        <v>15.7997</v>
      </c>
      <c r="J494" s="81">
        <f>15.7961 * CHOOSE(CONTROL!$C$32, $C$9, 100%, $E$9)</f>
        <v>15.796099999999999</v>
      </c>
      <c r="K494" s="81">
        <f>15.7997 * CHOOSE(CONTROL!$C$32, $C$9, 100%, $E$9)</f>
        <v>15.7997</v>
      </c>
      <c r="L494" s="81">
        <f>8.0845 * CHOOSE(CONTROL!$C$32, $C$9, 100%, $E$9)</f>
        <v>8.0845000000000002</v>
      </c>
      <c r="M494" s="81">
        <f>8.0881 * CHOOSE(CONTROL!$C$32, $C$9, 100%, $E$9)</f>
        <v>8.0881000000000007</v>
      </c>
      <c r="N494" s="81">
        <f>8.0845 * CHOOSE(CONTROL!$C$32, $C$9, 100%, $E$9)</f>
        <v>8.0845000000000002</v>
      </c>
      <c r="O494" s="81">
        <f>8.0881 * CHOOSE(CONTROL!$C$32, $C$9, 100%, $E$9)</f>
        <v>8.0881000000000007</v>
      </c>
    </row>
    <row r="495" spans="1:15" ht="15" x14ac:dyDescent="0.2">
      <c r="A495" s="16">
        <v>56281</v>
      </c>
      <c r="B495" s="80">
        <f>7.2146 * CHOOSE(CONTROL!$C$32, $C$9, 100%, $E$9)</f>
        <v>7.2145999999999999</v>
      </c>
      <c r="C495" s="80">
        <f>7.2146 * CHOOSE(CONTROL!$C$32, $C$9, 100%, $E$9)</f>
        <v>7.2145999999999999</v>
      </c>
      <c r="D495" s="80">
        <f>7.2156 * CHOOSE(CONTROL!$C$32, $C$9, 100%, $E$9)</f>
        <v>7.2156000000000002</v>
      </c>
      <c r="E495" s="81">
        <f>7.9024 * CHOOSE(CONTROL!$C$32, $C$9, 100%, $E$9)</f>
        <v>7.9024000000000001</v>
      </c>
      <c r="F495" s="81">
        <f>7.9024 * CHOOSE(CONTROL!$C$32, $C$9, 100%, $E$9)</f>
        <v>7.9024000000000001</v>
      </c>
      <c r="G495" s="81">
        <f>7.906 * CHOOSE(CONTROL!$C$32, $C$9, 100%, $E$9)</f>
        <v>7.9059999999999997</v>
      </c>
      <c r="H495" s="81">
        <f>15.829 * CHOOSE(CONTROL!$C$32, $C$9, 100%, $E$9)</f>
        <v>15.829000000000001</v>
      </c>
      <c r="I495" s="81">
        <f>15.8326 * CHOOSE(CONTROL!$C$32, $C$9, 100%, $E$9)</f>
        <v>15.832599999999999</v>
      </c>
      <c r="J495" s="81">
        <f>15.829 * CHOOSE(CONTROL!$C$32, $C$9, 100%, $E$9)</f>
        <v>15.829000000000001</v>
      </c>
      <c r="K495" s="81">
        <f>15.8326 * CHOOSE(CONTROL!$C$32, $C$9, 100%, $E$9)</f>
        <v>15.832599999999999</v>
      </c>
      <c r="L495" s="81">
        <f>7.9024 * CHOOSE(CONTROL!$C$32, $C$9, 100%, $E$9)</f>
        <v>7.9024000000000001</v>
      </c>
      <c r="M495" s="81">
        <f>7.906 * CHOOSE(CONTROL!$C$32, $C$9, 100%, $E$9)</f>
        <v>7.9059999999999997</v>
      </c>
      <c r="N495" s="81">
        <f>7.9024 * CHOOSE(CONTROL!$C$32, $C$9, 100%, $E$9)</f>
        <v>7.9024000000000001</v>
      </c>
      <c r="O495" s="81">
        <f>7.906 * CHOOSE(CONTROL!$C$32, $C$9, 100%, $E$9)</f>
        <v>7.9059999999999997</v>
      </c>
    </row>
    <row r="496" spans="1:15" ht="15" x14ac:dyDescent="0.2">
      <c r="A496" s="16">
        <v>56309</v>
      </c>
      <c r="B496" s="80">
        <f>7.2115 * CHOOSE(CONTROL!$C$32, $C$9, 100%, $E$9)</f>
        <v>7.2115</v>
      </c>
      <c r="C496" s="80">
        <f>7.2115 * CHOOSE(CONTROL!$C$32, $C$9, 100%, $E$9)</f>
        <v>7.2115</v>
      </c>
      <c r="D496" s="80">
        <f>7.2126 * CHOOSE(CONTROL!$C$32, $C$9, 100%, $E$9)</f>
        <v>7.2126000000000001</v>
      </c>
      <c r="E496" s="81">
        <f>8.0422 * CHOOSE(CONTROL!$C$32, $C$9, 100%, $E$9)</f>
        <v>8.0421999999999993</v>
      </c>
      <c r="F496" s="81">
        <f>8.0422 * CHOOSE(CONTROL!$C$32, $C$9, 100%, $E$9)</f>
        <v>8.0421999999999993</v>
      </c>
      <c r="G496" s="81">
        <f>8.0458 * CHOOSE(CONTROL!$C$32, $C$9, 100%, $E$9)</f>
        <v>8.0457999999999998</v>
      </c>
      <c r="H496" s="81">
        <f>15.8619 * CHOOSE(CONTROL!$C$32, $C$9, 100%, $E$9)</f>
        <v>15.8619</v>
      </c>
      <c r="I496" s="81">
        <f>15.8656 * CHOOSE(CONTROL!$C$32, $C$9, 100%, $E$9)</f>
        <v>15.865600000000001</v>
      </c>
      <c r="J496" s="81">
        <f>15.8619 * CHOOSE(CONTROL!$C$32, $C$9, 100%, $E$9)</f>
        <v>15.8619</v>
      </c>
      <c r="K496" s="81">
        <f>15.8656 * CHOOSE(CONTROL!$C$32, $C$9, 100%, $E$9)</f>
        <v>15.865600000000001</v>
      </c>
      <c r="L496" s="81">
        <f>8.0422 * CHOOSE(CONTROL!$C$32, $C$9, 100%, $E$9)</f>
        <v>8.0421999999999993</v>
      </c>
      <c r="M496" s="81">
        <f>8.0458 * CHOOSE(CONTROL!$C$32, $C$9, 100%, $E$9)</f>
        <v>8.0457999999999998</v>
      </c>
      <c r="N496" s="81">
        <f>8.0422 * CHOOSE(CONTROL!$C$32, $C$9, 100%, $E$9)</f>
        <v>8.0421999999999993</v>
      </c>
      <c r="O496" s="81">
        <f>8.0458 * CHOOSE(CONTROL!$C$32, $C$9, 100%, $E$9)</f>
        <v>8.0457999999999998</v>
      </c>
    </row>
    <row r="497" spans="1:15" ht="15" x14ac:dyDescent="0.2">
      <c r="A497" s="16">
        <v>56340</v>
      </c>
      <c r="B497" s="80">
        <f>7.2123 * CHOOSE(CONTROL!$C$32, $C$9, 100%, $E$9)</f>
        <v>7.2122999999999999</v>
      </c>
      <c r="C497" s="80">
        <f>7.2123 * CHOOSE(CONTROL!$C$32, $C$9, 100%, $E$9)</f>
        <v>7.2122999999999999</v>
      </c>
      <c r="D497" s="80">
        <f>7.2134 * CHOOSE(CONTROL!$C$32, $C$9, 100%, $E$9)</f>
        <v>7.2134</v>
      </c>
      <c r="E497" s="81">
        <f>8.1903 * CHOOSE(CONTROL!$C$32, $C$9, 100%, $E$9)</f>
        <v>8.1903000000000006</v>
      </c>
      <c r="F497" s="81">
        <f>8.1903 * CHOOSE(CONTROL!$C$32, $C$9, 100%, $E$9)</f>
        <v>8.1903000000000006</v>
      </c>
      <c r="G497" s="81">
        <f>8.1939 * CHOOSE(CONTROL!$C$32, $C$9, 100%, $E$9)</f>
        <v>8.1938999999999993</v>
      </c>
      <c r="H497" s="81">
        <f>15.895 * CHOOSE(CONTROL!$C$32, $C$9, 100%, $E$9)</f>
        <v>15.895</v>
      </c>
      <c r="I497" s="81">
        <f>15.8986 * CHOOSE(CONTROL!$C$32, $C$9, 100%, $E$9)</f>
        <v>15.8986</v>
      </c>
      <c r="J497" s="81">
        <f>15.895 * CHOOSE(CONTROL!$C$32, $C$9, 100%, $E$9)</f>
        <v>15.895</v>
      </c>
      <c r="K497" s="81">
        <f>15.8986 * CHOOSE(CONTROL!$C$32, $C$9, 100%, $E$9)</f>
        <v>15.8986</v>
      </c>
      <c r="L497" s="81">
        <f>8.1903 * CHOOSE(CONTROL!$C$32, $C$9, 100%, $E$9)</f>
        <v>8.1903000000000006</v>
      </c>
      <c r="M497" s="81">
        <f>8.1939 * CHOOSE(CONTROL!$C$32, $C$9, 100%, $E$9)</f>
        <v>8.1938999999999993</v>
      </c>
      <c r="N497" s="81">
        <f>8.1903 * CHOOSE(CONTROL!$C$32, $C$9, 100%, $E$9)</f>
        <v>8.1903000000000006</v>
      </c>
      <c r="O497" s="81">
        <f>8.1939 * CHOOSE(CONTROL!$C$32, $C$9, 100%, $E$9)</f>
        <v>8.1938999999999993</v>
      </c>
    </row>
    <row r="498" spans="1:15" ht="15" x14ac:dyDescent="0.2">
      <c r="A498" s="16">
        <v>56370</v>
      </c>
      <c r="B498" s="80">
        <f>7.2123 * CHOOSE(CONTROL!$C$32, $C$9, 100%, $E$9)</f>
        <v>7.2122999999999999</v>
      </c>
      <c r="C498" s="80">
        <f>7.2123 * CHOOSE(CONTROL!$C$32, $C$9, 100%, $E$9)</f>
        <v>7.2122999999999999</v>
      </c>
      <c r="D498" s="80">
        <f>7.2139 * CHOOSE(CONTROL!$C$32, $C$9, 100%, $E$9)</f>
        <v>7.2138999999999998</v>
      </c>
      <c r="E498" s="81">
        <f>8.2474 * CHOOSE(CONTROL!$C$32, $C$9, 100%, $E$9)</f>
        <v>8.2474000000000007</v>
      </c>
      <c r="F498" s="81">
        <f>8.2474 * CHOOSE(CONTROL!$C$32, $C$9, 100%, $E$9)</f>
        <v>8.2474000000000007</v>
      </c>
      <c r="G498" s="81">
        <f>8.2527 * CHOOSE(CONTROL!$C$32, $C$9, 100%, $E$9)</f>
        <v>8.2527000000000008</v>
      </c>
      <c r="H498" s="81">
        <f>15.9281 * CHOOSE(CONTROL!$C$32, $C$9, 100%, $E$9)</f>
        <v>15.928100000000001</v>
      </c>
      <c r="I498" s="81">
        <f>15.9334 * CHOOSE(CONTROL!$C$32, $C$9, 100%, $E$9)</f>
        <v>15.933400000000001</v>
      </c>
      <c r="J498" s="81">
        <f>15.9281 * CHOOSE(CONTROL!$C$32, $C$9, 100%, $E$9)</f>
        <v>15.928100000000001</v>
      </c>
      <c r="K498" s="81">
        <f>15.9334 * CHOOSE(CONTROL!$C$32, $C$9, 100%, $E$9)</f>
        <v>15.933400000000001</v>
      </c>
      <c r="L498" s="81">
        <f>8.2474 * CHOOSE(CONTROL!$C$32, $C$9, 100%, $E$9)</f>
        <v>8.2474000000000007</v>
      </c>
      <c r="M498" s="81">
        <f>8.2527 * CHOOSE(CONTROL!$C$32, $C$9, 100%, $E$9)</f>
        <v>8.2527000000000008</v>
      </c>
      <c r="N498" s="81">
        <f>8.2474 * CHOOSE(CONTROL!$C$32, $C$9, 100%, $E$9)</f>
        <v>8.2474000000000007</v>
      </c>
      <c r="O498" s="81">
        <f>8.2527 * CHOOSE(CONTROL!$C$32, $C$9, 100%, $E$9)</f>
        <v>8.2527000000000008</v>
      </c>
    </row>
    <row r="499" spans="1:15" ht="15" x14ac:dyDescent="0.2">
      <c r="A499" s="16">
        <v>56401</v>
      </c>
      <c r="B499" s="80">
        <f>7.2184 * CHOOSE(CONTROL!$C$32, $C$9, 100%, $E$9)</f>
        <v>7.2183999999999999</v>
      </c>
      <c r="C499" s="80">
        <f>7.2184 * CHOOSE(CONTROL!$C$32, $C$9, 100%, $E$9)</f>
        <v>7.2183999999999999</v>
      </c>
      <c r="D499" s="80">
        <f>7.2199 * CHOOSE(CONTROL!$C$32, $C$9, 100%, $E$9)</f>
        <v>7.2199</v>
      </c>
      <c r="E499" s="81">
        <f>8.1945 * CHOOSE(CONTROL!$C$32, $C$9, 100%, $E$9)</f>
        <v>8.1944999999999997</v>
      </c>
      <c r="F499" s="81">
        <f>8.1945 * CHOOSE(CONTROL!$C$32, $C$9, 100%, $E$9)</f>
        <v>8.1944999999999997</v>
      </c>
      <c r="G499" s="81">
        <f>8.1998 * CHOOSE(CONTROL!$C$32, $C$9, 100%, $E$9)</f>
        <v>8.1997999999999998</v>
      </c>
      <c r="H499" s="81">
        <f>15.9613 * CHOOSE(CONTROL!$C$32, $C$9, 100%, $E$9)</f>
        <v>15.9613</v>
      </c>
      <c r="I499" s="81">
        <f>15.9666 * CHOOSE(CONTROL!$C$32, $C$9, 100%, $E$9)</f>
        <v>15.9666</v>
      </c>
      <c r="J499" s="81">
        <f>15.9613 * CHOOSE(CONTROL!$C$32, $C$9, 100%, $E$9)</f>
        <v>15.9613</v>
      </c>
      <c r="K499" s="81">
        <f>15.9666 * CHOOSE(CONTROL!$C$32, $C$9, 100%, $E$9)</f>
        <v>15.9666</v>
      </c>
      <c r="L499" s="81">
        <f>8.1945 * CHOOSE(CONTROL!$C$32, $C$9, 100%, $E$9)</f>
        <v>8.1944999999999997</v>
      </c>
      <c r="M499" s="81">
        <f>8.1998 * CHOOSE(CONTROL!$C$32, $C$9, 100%, $E$9)</f>
        <v>8.1997999999999998</v>
      </c>
      <c r="N499" s="81">
        <f>8.1945 * CHOOSE(CONTROL!$C$32, $C$9, 100%, $E$9)</f>
        <v>8.1944999999999997</v>
      </c>
      <c r="O499" s="81">
        <f>8.1998 * CHOOSE(CONTROL!$C$32, $C$9, 100%, $E$9)</f>
        <v>8.1997999999999998</v>
      </c>
    </row>
    <row r="500" spans="1:15" ht="15" x14ac:dyDescent="0.2">
      <c r="A500" s="16">
        <v>56431</v>
      </c>
      <c r="B500" s="80">
        <f>7.3122 * CHOOSE(CONTROL!$C$32, $C$9, 100%, $E$9)</f>
        <v>7.3121999999999998</v>
      </c>
      <c r="C500" s="80">
        <f>7.3122 * CHOOSE(CONTROL!$C$32, $C$9, 100%, $E$9)</f>
        <v>7.3121999999999998</v>
      </c>
      <c r="D500" s="80">
        <f>7.3138 * CHOOSE(CONTROL!$C$32, $C$9, 100%, $E$9)</f>
        <v>7.3137999999999996</v>
      </c>
      <c r="E500" s="81">
        <f>8.3075 * CHOOSE(CONTROL!$C$32, $C$9, 100%, $E$9)</f>
        <v>8.3074999999999992</v>
      </c>
      <c r="F500" s="81">
        <f>8.3075 * CHOOSE(CONTROL!$C$32, $C$9, 100%, $E$9)</f>
        <v>8.3074999999999992</v>
      </c>
      <c r="G500" s="81">
        <f>8.3128 * CHOOSE(CONTROL!$C$32, $C$9, 100%, $E$9)</f>
        <v>8.3127999999999993</v>
      </c>
      <c r="H500" s="81">
        <f>15.9945 * CHOOSE(CONTROL!$C$32, $C$9, 100%, $E$9)</f>
        <v>15.9945</v>
      </c>
      <c r="I500" s="81">
        <f>15.9998 * CHOOSE(CONTROL!$C$32, $C$9, 100%, $E$9)</f>
        <v>15.9998</v>
      </c>
      <c r="J500" s="81">
        <f>15.9945 * CHOOSE(CONTROL!$C$32, $C$9, 100%, $E$9)</f>
        <v>15.9945</v>
      </c>
      <c r="K500" s="81">
        <f>15.9998 * CHOOSE(CONTROL!$C$32, $C$9, 100%, $E$9)</f>
        <v>15.9998</v>
      </c>
      <c r="L500" s="81">
        <f>8.3075 * CHOOSE(CONTROL!$C$32, $C$9, 100%, $E$9)</f>
        <v>8.3074999999999992</v>
      </c>
      <c r="M500" s="81">
        <f>8.3128 * CHOOSE(CONTROL!$C$32, $C$9, 100%, $E$9)</f>
        <v>8.3127999999999993</v>
      </c>
      <c r="N500" s="81">
        <f>8.3075 * CHOOSE(CONTROL!$C$32, $C$9, 100%, $E$9)</f>
        <v>8.3074999999999992</v>
      </c>
      <c r="O500" s="81">
        <f>8.3128 * CHOOSE(CONTROL!$C$32, $C$9, 100%, $E$9)</f>
        <v>8.3127999999999993</v>
      </c>
    </row>
    <row r="501" spans="1:15" ht="15" x14ac:dyDescent="0.2">
      <c r="A501" s="16">
        <v>56462</v>
      </c>
      <c r="B501" s="80">
        <f>7.3189 * CHOOSE(CONTROL!$C$32, $C$9, 100%, $E$9)</f>
        <v>7.3189000000000002</v>
      </c>
      <c r="C501" s="80">
        <f>7.3189 * CHOOSE(CONTROL!$C$32, $C$9, 100%, $E$9)</f>
        <v>7.3189000000000002</v>
      </c>
      <c r="D501" s="80">
        <f>7.3205 * CHOOSE(CONTROL!$C$32, $C$9, 100%, $E$9)</f>
        <v>7.3205</v>
      </c>
      <c r="E501" s="81">
        <f>8.1407 * CHOOSE(CONTROL!$C$32, $C$9, 100%, $E$9)</f>
        <v>8.1407000000000007</v>
      </c>
      <c r="F501" s="81">
        <f>8.1407 * CHOOSE(CONTROL!$C$32, $C$9, 100%, $E$9)</f>
        <v>8.1407000000000007</v>
      </c>
      <c r="G501" s="81">
        <f>8.146 * CHOOSE(CONTROL!$C$32, $C$9, 100%, $E$9)</f>
        <v>8.1460000000000008</v>
      </c>
      <c r="H501" s="81">
        <f>16.0279 * CHOOSE(CONTROL!$C$32, $C$9, 100%, $E$9)</f>
        <v>16.027899999999999</v>
      </c>
      <c r="I501" s="81">
        <f>16.0332 * CHOOSE(CONTROL!$C$32, $C$9, 100%, $E$9)</f>
        <v>16.033200000000001</v>
      </c>
      <c r="J501" s="81">
        <f>16.0279 * CHOOSE(CONTROL!$C$32, $C$9, 100%, $E$9)</f>
        <v>16.027899999999999</v>
      </c>
      <c r="K501" s="81">
        <f>16.0332 * CHOOSE(CONTROL!$C$32, $C$9, 100%, $E$9)</f>
        <v>16.033200000000001</v>
      </c>
      <c r="L501" s="81">
        <f>8.1407 * CHOOSE(CONTROL!$C$32, $C$9, 100%, $E$9)</f>
        <v>8.1407000000000007</v>
      </c>
      <c r="M501" s="81">
        <f>8.146 * CHOOSE(CONTROL!$C$32, $C$9, 100%, $E$9)</f>
        <v>8.1460000000000008</v>
      </c>
      <c r="N501" s="81">
        <f>8.1407 * CHOOSE(CONTROL!$C$32, $C$9, 100%, $E$9)</f>
        <v>8.1407000000000007</v>
      </c>
      <c r="O501" s="81">
        <f>8.146 * CHOOSE(CONTROL!$C$32, $C$9, 100%, $E$9)</f>
        <v>8.1460000000000008</v>
      </c>
    </row>
    <row r="502" spans="1:15" ht="15" x14ac:dyDescent="0.2">
      <c r="A502" s="16">
        <v>56493</v>
      </c>
      <c r="B502" s="80">
        <f>7.3159 * CHOOSE(CONTROL!$C$32, $C$9, 100%, $E$9)</f>
        <v>7.3159000000000001</v>
      </c>
      <c r="C502" s="80">
        <f>7.3159 * CHOOSE(CONTROL!$C$32, $C$9, 100%, $E$9)</f>
        <v>7.3159000000000001</v>
      </c>
      <c r="D502" s="80">
        <f>7.3174 * CHOOSE(CONTROL!$C$32, $C$9, 100%, $E$9)</f>
        <v>7.3174000000000001</v>
      </c>
      <c r="E502" s="81">
        <f>8.1196 * CHOOSE(CONTROL!$C$32, $C$9, 100%, $E$9)</f>
        <v>8.1196000000000002</v>
      </c>
      <c r="F502" s="81">
        <f>8.1196 * CHOOSE(CONTROL!$C$32, $C$9, 100%, $E$9)</f>
        <v>8.1196000000000002</v>
      </c>
      <c r="G502" s="81">
        <f>8.1249 * CHOOSE(CONTROL!$C$32, $C$9, 100%, $E$9)</f>
        <v>8.1249000000000002</v>
      </c>
      <c r="H502" s="81">
        <f>16.0613 * CHOOSE(CONTROL!$C$32, $C$9, 100%, $E$9)</f>
        <v>16.061299999999999</v>
      </c>
      <c r="I502" s="81">
        <f>16.0665 * CHOOSE(CONTROL!$C$32, $C$9, 100%, $E$9)</f>
        <v>16.066500000000001</v>
      </c>
      <c r="J502" s="81">
        <f>16.0613 * CHOOSE(CONTROL!$C$32, $C$9, 100%, $E$9)</f>
        <v>16.061299999999999</v>
      </c>
      <c r="K502" s="81">
        <f>16.0665 * CHOOSE(CONTROL!$C$32, $C$9, 100%, $E$9)</f>
        <v>16.066500000000001</v>
      </c>
      <c r="L502" s="81">
        <f>8.1196 * CHOOSE(CONTROL!$C$32, $C$9, 100%, $E$9)</f>
        <v>8.1196000000000002</v>
      </c>
      <c r="M502" s="81">
        <f>8.1249 * CHOOSE(CONTROL!$C$32, $C$9, 100%, $E$9)</f>
        <v>8.1249000000000002</v>
      </c>
      <c r="N502" s="81">
        <f>8.1196 * CHOOSE(CONTROL!$C$32, $C$9, 100%, $E$9)</f>
        <v>8.1196000000000002</v>
      </c>
      <c r="O502" s="81">
        <f>8.1249 * CHOOSE(CONTROL!$C$32, $C$9, 100%, $E$9)</f>
        <v>8.1249000000000002</v>
      </c>
    </row>
    <row r="503" spans="1:15" ht="15" x14ac:dyDescent="0.2">
      <c r="A503" s="16">
        <v>56523</v>
      </c>
      <c r="B503" s="80">
        <f>7.3233 * CHOOSE(CONTROL!$C$32, $C$9, 100%, $E$9)</f>
        <v>7.3232999999999997</v>
      </c>
      <c r="C503" s="80">
        <f>7.3233 * CHOOSE(CONTROL!$C$32, $C$9, 100%, $E$9)</f>
        <v>7.3232999999999997</v>
      </c>
      <c r="D503" s="80">
        <f>7.3243 * CHOOSE(CONTROL!$C$32, $C$9, 100%, $E$9)</f>
        <v>7.3243</v>
      </c>
      <c r="E503" s="81">
        <f>8.1823 * CHOOSE(CONTROL!$C$32, $C$9, 100%, $E$9)</f>
        <v>8.1822999999999997</v>
      </c>
      <c r="F503" s="81">
        <f>8.1823 * CHOOSE(CONTROL!$C$32, $C$9, 100%, $E$9)</f>
        <v>8.1822999999999997</v>
      </c>
      <c r="G503" s="81">
        <f>8.186 * CHOOSE(CONTROL!$C$32, $C$9, 100%, $E$9)</f>
        <v>8.1859999999999999</v>
      </c>
      <c r="H503" s="81">
        <f>16.0947 * CHOOSE(CONTROL!$C$32, $C$9, 100%, $E$9)</f>
        <v>16.0947</v>
      </c>
      <c r="I503" s="81">
        <f>16.0983 * CHOOSE(CONTROL!$C$32, $C$9, 100%, $E$9)</f>
        <v>16.098299999999998</v>
      </c>
      <c r="J503" s="81">
        <f>16.0947 * CHOOSE(CONTROL!$C$32, $C$9, 100%, $E$9)</f>
        <v>16.0947</v>
      </c>
      <c r="K503" s="81">
        <f>16.0983 * CHOOSE(CONTROL!$C$32, $C$9, 100%, $E$9)</f>
        <v>16.098299999999998</v>
      </c>
      <c r="L503" s="81">
        <f>8.1823 * CHOOSE(CONTROL!$C$32, $C$9, 100%, $E$9)</f>
        <v>8.1822999999999997</v>
      </c>
      <c r="M503" s="81">
        <f>8.186 * CHOOSE(CONTROL!$C$32, $C$9, 100%, $E$9)</f>
        <v>8.1859999999999999</v>
      </c>
      <c r="N503" s="81">
        <f>8.1823 * CHOOSE(CONTROL!$C$32, $C$9, 100%, $E$9)</f>
        <v>8.1822999999999997</v>
      </c>
      <c r="O503" s="81">
        <f>8.186 * CHOOSE(CONTROL!$C$32, $C$9, 100%, $E$9)</f>
        <v>8.1859999999999999</v>
      </c>
    </row>
    <row r="504" spans="1:15" ht="15" x14ac:dyDescent="0.2">
      <c r="A504" s="16">
        <v>56554</v>
      </c>
      <c r="B504" s="80">
        <f>7.3263 * CHOOSE(CONTROL!$C$32, $C$9, 100%, $E$9)</f>
        <v>7.3262999999999998</v>
      </c>
      <c r="C504" s="80">
        <f>7.3263 * CHOOSE(CONTROL!$C$32, $C$9, 100%, $E$9)</f>
        <v>7.3262999999999998</v>
      </c>
      <c r="D504" s="80">
        <f>7.3274 * CHOOSE(CONTROL!$C$32, $C$9, 100%, $E$9)</f>
        <v>7.3273999999999999</v>
      </c>
      <c r="E504" s="81">
        <f>8.2226 * CHOOSE(CONTROL!$C$32, $C$9, 100%, $E$9)</f>
        <v>8.2225999999999999</v>
      </c>
      <c r="F504" s="81">
        <f>8.2226 * CHOOSE(CONTROL!$C$32, $C$9, 100%, $E$9)</f>
        <v>8.2225999999999999</v>
      </c>
      <c r="G504" s="81">
        <f>8.2262 * CHOOSE(CONTROL!$C$32, $C$9, 100%, $E$9)</f>
        <v>8.2262000000000004</v>
      </c>
      <c r="H504" s="81">
        <f>16.1282 * CHOOSE(CONTROL!$C$32, $C$9, 100%, $E$9)</f>
        <v>16.1282</v>
      </c>
      <c r="I504" s="81">
        <f>16.1319 * CHOOSE(CONTROL!$C$32, $C$9, 100%, $E$9)</f>
        <v>16.131900000000002</v>
      </c>
      <c r="J504" s="81">
        <f>16.1282 * CHOOSE(CONTROL!$C$32, $C$9, 100%, $E$9)</f>
        <v>16.1282</v>
      </c>
      <c r="K504" s="81">
        <f>16.1319 * CHOOSE(CONTROL!$C$32, $C$9, 100%, $E$9)</f>
        <v>16.131900000000002</v>
      </c>
      <c r="L504" s="81">
        <f>8.2226 * CHOOSE(CONTROL!$C$32, $C$9, 100%, $E$9)</f>
        <v>8.2225999999999999</v>
      </c>
      <c r="M504" s="81">
        <f>8.2262 * CHOOSE(CONTROL!$C$32, $C$9, 100%, $E$9)</f>
        <v>8.2262000000000004</v>
      </c>
      <c r="N504" s="81">
        <f>8.2226 * CHOOSE(CONTROL!$C$32, $C$9, 100%, $E$9)</f>
        <v>8.2225999999999999</v>
      </c>
      <c r="O504" s="81">
        <f>8.2262 * CHOOSE(CONTROL!$C$32, $C$9, 100%, $E$9)</f>
        <v>8.2262000000000004</v>
      </c>
    </row>
    <row r="505" spans="1:15" ht="15" x14ac:dyDescent="0.2">
      <c r="A505" s="16">
        <v>56584</v>
      </c>
      <c r="B505" s="80">
        <f>7.3263 * CHOOSE(CONTROL!$C$32, $C$9, 100%, $E$9)</f>
        <v>7.3262999999999998</v>
      </c>
      <c r="C505" s="80">
        <f>7.3263 * CHOOSE(CONTROL!$C$32, $C$9, 100%, $E$9)</f>
        <v>7.3262999999999998</v>
      </c>
      <c r="D505" s="80">
        <f>7.3274 * CHOOSE(CONTROL!$C$32, $C$9, 100%, $E$9)</f>
        <v>7.3273999999999999</v>
      </c>
      <c r="E505" s="81">
        <f>8.1273 * CHOOSE(CONTROL!$C$32, $C$9, 100%, $E$9)</f>
        <v>8.1273</v>
      </c>
      <c r="F505" s="81">
        <f>8.1273 * CHOOSE(CONTROL!$C$32, $C$9, 100%, $E$9)</f>
        <v>8.1273</v>
      </c>
      <c r="G505" s="81">
        <f>8.1309 * CHOOSE(CONTROL!$C$32, $C$9, 100%, $E$9)</f>
        <v>8.1309000000000005</v>
      </c>
      <c r="H505" s="81">
        <f>16.1618 * CHOOSE(CONTROL!$C$32, $C$9, 100%, $E$9)</f>
        <v>16.161799999999999</v>
      </c>
      <c r="I505" s="81">
        <f>16.1655 * CHOOSE(CONTROL!$C$32, $C$9, 100%, $E$9)</f>
        <v>16.165500000000002</v>
      </c>
      <c r="J505" s="81">
        <f>16.1618 * CHOOSE(CONTROL!$C$32, $C$9, 100%, $E$9)</f>
        <v>16.161799999999999</v>
      </c>
      <c r="K505" s="81">
        <f>16.1655 * CHOOSE(CONTROL!$C$32, $C$9, 100%, $E$9)</f>
        <v>16.165500000000002</v>
      </c>
      <c r="L505" s="81">
        <f>8.1273 * CHOOSE(CONTROL!$C$32, $C$9, 100%, $E$9)</f>
        <v>8.1273</v>
      </c>
      <c r="M505" s="81">
        <f>8.1309 * CHOOSE(CONTROL!$C$32, $C$9, 100%, $E$9)</f>
        <v>8.1309000000000005</v>
      </c>
      <c r="N505" s="81">
        <f>8.1273 * CHOOSE(CONTROL!$C$32, $C$9, 100%, $E$9)</f>
        <v>8.1273</v>
      </c>
      <c r="O505" s="81">
        <f>8.1309 * CHOOSE(CONTROL!$C$32, $C$9, 100%, $E$9)</f>
        <v>8.1309000000000005</v>
      </c>
    </row>
    <row r="506" spans="1:15" ht="15" x14ac:dyDescent="0.2">
      <c r="A506" s="16">
        <v>56615</v>
      </c>
      <c r="B506" s="80">
        <f>7.3813 * CHOOSE(CONTROL!$C$32, $C$9, 100%, $E$9)</f>
        <v>7.3813000000000004</v>
      </c>
      <c r="C506" s="80">
        <f>7.3813 * CHOOSE(CONTROL!$C$32, $C$9, 100%, $E$9)</f>
        <v>7.3813000000000004</v>
      </c>
      <c r="D506" s="80">
        <f>7.3824 * CHOOSE(CONTROL!$C$32, $C$9, 100%, $E$9)</f>
        <v>7.3823999999999996</v>
      </c>
      <c r="E506" s="81">
        <f>8.2653 * CHOOSE(CONTROL!$C$32, $C$9, 100%, $E$9)</f>
        <v>8.2652999999999999</v>
      </c>
      <c r="F506" s="81">
        <f>8.2653 * CHOOSE(CONTROL!$C$32, $C$9, 100%, $E$9)</f>
        <v>8.2652999999999999</v>
      </c>
      <c r="G506" s="81">
        <f>8.2689 * CHOOSE(CONTROL!$C$32, $C$9, 100%, $E$9)</f>
        <v>8.2689000000000004</v>
      </c>
      <c r="H506" s="81">
        <f>16.1955 * CHOOSE(CONTROL!$C$32, $C$9, 100%, $E$9)</f>
        <v>16.195499999999999</v>
      </c>
      <c r="I506" s="81">
        <f>16.1991 * CHOOSE(CONTROL!$C$32, $C$9, 100%, $E$9)</f>
        <v>16.199100000000001</v>
      </c>
      <c r="J506" s="81">
        <f>16.1955 * CHOOSE(CONTROL!$C$32, $C$9, 100%, $E$9)</f>
        <v>16.195499999999999</v>
      </c>
      <c r="K506" s="81">
        <f>16.1991 * CHOOSE(CONTROL!$C$32, $C$9, 100%, $E$9)</f>
        <v>16.199100000000001</v>
      </c>
      <c r="L506" s="81">
        <f>8.2653 * CHOOSE(CONTROL!$C$32, $C$9, 100%, $E$9)</f>
        <v>8.2652999999999999</v>
      </c>
      <c r="M506" s="81">
        <f>8.2689 * CHOOSE(CONTROL!$C$32, $C$9, 100%, $E$9)</f>
        <v>8.2689000000000004</v>
      </c>
      <c r="N506" s="81">
        <f>8.2653 * CHOOSE(CONTROL!$C$32, $C$9, 100%, $E$9)</f>
        <v>8.2652999999999999</v>
      </c>
      <c r="O506" s="81">
        <f>8.2689 * CHOOSE(CONTROL!$C$32, $C$9, 100%, $E$9)</f>
        <v>8.2689000000000004</v>
      </c>
    </row>
    <row r="507" spans="1:15" ht="15" x14ac:dyDescent="0.2">
      <c r="A507" s="16">
        <v>56646</v>
      </c>
      <c r="B507" s="80">
        <f>7.3783 * CHOOSE(CONTROL!$C$32, $C$9, 100%, $E$9)</f>
        <v>7.3783000000000003</v>
      </c>
      <c r="C507" s="80">
        <f>7.3783 * CHOOSE(CONTROL!$C$32, $C$9, 100%, $E$9)</f>
        <v>7.3783000000000003</v>
      </c>
      <c r="D507" s="80">
        <f>7.3794 * CHOOSE(CONTROL!$C$32, $C$9, 100%, $E$9)</f>
        <v>7.3794000000000004</v>
      </c>
      <c r="E507" s="81">
        <f>8.0773 * CHOOSE(CONTROL!$C$32, $C$9, 100%, $E$9)</f>
        <v>8.0772999999999993</v>
      </c>
      <c r="F507" s="81">
        <f>8.0773 * CHOOSE(CONTROL!$C$32, $C$9, 100%, $E$9)</f>
        <v>8.0772999999999993</v>
      </c>
      <c r="G507" s="81">
        <f>8.0809 * CHOOSE(CONTROL!$C$32, $C$9, 100%, $E$9)</f>
        <v>8.0808999999999997</v>
      </c>
      <c r="H507" s="81">
        <f>16.2293 * CHOOSE(CONTROL!$C$32, $C$9, 100%, $E$9)</f>
        <v>16.229299999999999</v>
      </c>
      <c r="I507" s="81">
        <f>16.2329 * CHOOSE(CONTROL!$C$32, $C$9, 100%, $E$9)</f>
        <v>16.232900000000001</v>
      </c>
      <c r="J507" s="81">
        <f>16.2293 * CHOOSE(CONTROL!$C$32, $C$9, 100%, $E$9)</f>
        <v>16.229299999999999</v>
      </c>
      <c r="K507" s="81">
        <f>16.2329 * CHOOSE(CONTROL!$C$32, $C$9, 100%, $E$9)</f>
        <v>16.232900000000001</v>
      </c>
      <c r="L507" s="81">
        <f>8.0773 * CHOOSE(CONTROL!$C$32, $C$9, 100%, $E$9)</f>
        <v>8.0772999999999993</v>
      </c>
      <c r="M507" s="81">
        <f>8.0809 * CHOOSE(CONTROL!$C$32, $C$9, 100%, $E$9)</f>
        <v>8.0808999999999997</v>
      </c>
      <c r="N507" s="81">
        <f>8.0773 * CHOOSE(CONTROL!$C$32, $C$9, 100%, $E$9)</f>
        <v>8.0772999999999993</v>
      </c>
      <c r="O507" s="81">
        <f>8.0809 * CHOOSE(CONTROL!$C$32, $C$9, 100%, $E$9)</f>
        <v>8.0808999999999997</v>
      </c>
    </row>
    <row r="508" spans="1:15" ht="15" x14ac:dyDescent="0.2">
      <c r="A508" s="16">
        <v>56674</v>
      </c>
      <c r="B508" s="80">
        <f>7.3752 * CHOOSE(CONTROL!$C$32, $C$9, 100%, $E$9)</f>
        <v>7.3752000000000004</v>
      </c>
      <c r="C508" s="80">
        <f>7.3752 * CHOOSE(CONTROL!$C$32, $C$9, 100%, $E$9)</f>
        <v>7.3752000000000004</v>
      </c>
      <c r="D508" s="80">
        <f>7.3763 * CHOOSE(CONTROL!$C$32, $C$9, 100%, $E$9)</f>
        <v>7.3762999999999996</v>
      </c>
      <c r="E508" s="81">
        <f>8.2217 * CHOOSE(CONTROL!$C$32, $C$9, 100%, $E$9)</f>
        <v>8.2217000000000002</v>
      </c>
      <c r="F508" s="81">
        <f>8.2217 * CHOOSE(CONTROL!$C$32, $C$9, 100%, $E$9)</f>
        <v>8.2217000000000002</v>
      </c>
      <c r="G508" s="81">
        <f>8.2253 * CHOOSE(CONTROL!$C$32, $C$9, 100%, $E$9)</f>
        <v>8.2253000000000007</v>
      </c>
      <c r="H508" s="81">
        <f>16.2631 * CHOOSE(CONTROL!$C$32, $C$9, 100%, $E$9)</f>
        <v>16.263100000000001</v>
      </c>
      <c r="I508" s="81">
        <f>16.2667 * CHOOSE(CONTROL!$C$32, $C$9, 100%, $E$9)</f>
        <v>16.2667</v>
      </c>
      <c r="J508" s="81">
        <f>16.2631 * CHOOSE(CONTROL!$C$32, $C$9, 100%, $E$9)</f>
        <v>16.263100000000001</v>
      </c>
      <c r="K508" s="81">
        <f>16.2667 * CHOOSE(CONTROL!$C$32, $C$9, 100%, $E$9)</f>
        <v>16.2667</v>
      </c>
      <c r="L508" s="81">
        <f>8.2217 * CHOOSE(CONTROL!$C$32, $C$9, 100%, $E$9)</f>
        <v>8.2217000000000002</v>
      </c>
      <c r="M508" s="81">
        <f>8.2253 * CHOOSE(CONTROL!$C$32, $C$9, 100%, $E$9)</f>
        <v>8.2253000000000007</v>
      </c>
      <c r="N508" s="81">
        <f>8.2217 * CHOOSE(CONTROL!$C$32, $C$9, 100%, $E$9)</f>
        <v>8.2217000000000002</v>
      </c>
      <c r="O508" s="81">
        <f>8.2253 * CHOOSE(CONTROL!$C$32, $C$9, 100%, $E$9)</f>
        <v>8.2253000000000007</v>
      </c>
    </row>
    <row r="509" spans="1:15" ht="15" x14ac:dyDescent="0.2">
      <c r="A509" s="16">
        <v>56705</v>
      </c>
      <c r="B509" s="80">
        <f>7.3762 * CHOOSE(CONTROL!$C$32, $C$9, 100%, $E$9)</f>
        <v>7.3761999999999999</v>
      </c>
      <c r="C509" s="80">
        <f>7.3762 * CHOOSE(CONTROL!$C$32, $C$9, 100%, $E$9)</f>
        <v>7.3761999999999999</v>
      </c>
      <c r="D509" s="80">
        <f>7.3772 * CHOOSE(CONTROL!$C$32, $C$9, 100%, $E$9)</f>
        <v>7.3772000000000002</v>
      </c>
      <c r="E509" s="81">
        <f>8.3748 * CHOOSE(CONTROL!$C$32, $C$9, 100%, $E$9)</f>
        <v>8.3748000000000005</v>
      </c>
      <c r="F509" s="81">
        <f>8.3748 * CHOOSE(CONTROL!$C$32, $C$9, 100%, $E$9)</f>
        <v>8.3748000000000005</v>
      </c>
      <c r="G509" s="81">
        <f>8.3784 * CHOOSE(CONTROL!$C$32, $C$9, 100%, $E$9)</f>
        <v>8.3783999999999992</v>
      </c>
      <c r="H509" s="81">
        <f>16.297 * CHOOSE(CONTROL!$C$32, $C$9, 100%, $E$9)</f>
        <v>16.297000000000001</v>
      </c>
      <c r="I509" s="81">
        <f>16.3006 * CHOOSE(CONTROL!$C$32, $C$9, 100%, $E$9)</f>
        <v>16.300599999999999</v>
      </c>
      <c r="J509" s="81">
        <f>16.297 * CHOOSE(CONTROL!$C$32, $C$9, 100%, $E$9)</f>
        <v>16.297000000000001</v>
      </c>
      <c r="K509" s="81">
        <f>16.3006 * CHOOSE(CONTROL!$C$32, $C$9, 100%, $E$9)</f>
        <v>16.300599999999999</v>
      </c>
      <c r="L509" s="81">
        <f>8.3748 * CHOOSE(CONTROL!$C$32, $C$9, 100%, $E$9)</f>
        <v>8.3748000000000005</v>
      </c>
      <c r="M509" s="81">
        <f>8.3784 * CHOOSE(CONTROL!$C$32, $C$9, 100%, $E$9)</f>
        <v>8.3783999999999992</v>
      </c>
      <c r="N509" s="81">
        <f>8.3748 * CHOOSE(CONTROL!$C$32, $C$9, 100%, $E$9)</f>
        <v>8.3748000000000005</v>
      </c>
      <c r="O509" s="81">
        <f>8.3784 * CHOOSE(CONTROL!$C$32, $C$9, 100%, $E$9)</f>
        <v>8.3783999999999992</v>
      </c>
    </row>
    <row r="510" spans="1:15" ht="15" x14ac:dyDescent="0.2">
      <c r="A510" s="16">
        <v>56735</v>
      </c>
      <c r="B510" s="80">
        <f>7.3762 * CHOOSE(CONTROL!$C$32, $C$9, 100%, $E$9)</f>
        <v>7.3761999999999999</v>
      </c>
      <c r="C510" s="80">
        <f>7.3762 * CHOOSE(CONTROL!$C$32, $C$9, 100%, $E$9)</f>
        <v>7.3761999999999999</v>
      </c>
      <c r="D510" s="80">
        <f>7.3777 * CHOOSE(CONTROL!$C$32, $C$9, 100%, $E$9)</f>
        <v>7.3776999999999999</v>
      </c>
      <c r="E510" s="81">
        <f>8.4338 * CHOOSE(CONTROL!$C$32, $C$9, 100%, $E$9)</f>
        <v>8.4337999999999997</v>
      </c>
      <c r="F510" s="81">
        <f>8.4338 * CHOOSE(CONTROL!$C$32, $C$9, 100%, $E$9)</f>
        <v>8.4337999999999997</v>
      </c>
      <c r="G510" s="81">
        <f>8.4391 * CHOOSE(CONTROL!$C$32, $C$9, 100%, $E$9)</f>
        <v>8.4390999999999998</v>
      </c>
      <c r="H510" s="81">
        <f>16.3309 * CHOOSE(CONTROL!$C$32, $C$9, 100%, $E$9)</f>
        <v>16.3309</v>
      </c>
      <c r="I510" s="81">
        <f>16.3362 * CHOOSE(CONTROL!$C$32, $C$9, 100%, $E$9)</f>
        <v>16.336200000000002</v>
      </c>
      <c r="J510" s="81">
        <f>16.3309 * CHOOSE(CONTROL!$C$32, $C$9, 100%, $E$9)</f>
        <v>16.3309</v>
      </c>
      <c r="K510" s="81">
        <f>16.3362 * CHOOSE(CONTROL!$C$32, $C$9, 100%, $E$9)</f>
        <v>16.336200000000002</v>
      </c>
      <c r="L510" s="81">
        <f>8.4338 * CHOOSE(CONTROL!$C$32, $C$9, 100%, $E$9)</f>
        <v>8.4337999999999997</v>
      </c>
      <c r="M510" s="81">
        <f>8.4391 * CHOOSE(CONTROL!$C$32, $C$9, 100%, $E$9)</f>
        <v>8.4390999999999998</v>
      </c>
      <c r="N510" s="81">
        <f>8.4338 * CHOOSE(CONTROL!$C$32, $C$9, 100%, $E$9)</f>
        <v>8.4337999999999997</v>
      </c>
      <c r="O510" s="81">
        <f>8.4391 * CHOOSE(CONTROL!$C$32, $C$9, 100%, $E$9)</f>
        <v>8.4390999999999998</v>
      </c>
    </row>
    <row r="511" spans="1:15" ht="15" x14ac:dyDescent="0.2">
      <c r="A511" s="16">
        <v>56766</v>
      </c>
      <c r="B511" s="80">
        <f>7.3822 * CHOOSE(CONTROL!$C$32, $C$9, 100%, $E$9)</f>
        <v>7.3822000000000001</v>
      </c>
      <c r="C511" s="80">
        <f>7.3822 * CHOOSE(CONTROL!$C$32, $C$9, 100%, $E$9)</f>
        <v>7.3822000000000001</v>
      </c>
      <c r="D511" s="80">
        <f>7.3838 * CHOOSE(CONTROL!$C$32, $C$9, 100%, $E$9)</f>
        <v>7.3837999999999999</v>
      </c>
      <c r="E511" s="81">
        <f>8.379 * CHOOSE(CONTROL!$C$32, $C$9, 100%, $E$9)</f>
        <v>8.3789999999999996</v>
      </c>
      <c r="F511" s="81">
        <f>8.379 * CHOOSE(CONTROL!$C$32, $C$9, 100%, $E$9)</f>
        <v>8.3789999999999996</v>
      </c>
      <c r="G511" s="81">
        <f>8.3843 * CHOOSE(CONTROL!$C$32, $C$9, 100%, $E$9)</f>
        <v>8.3842999999999996</v>
      </c>
      <c r="H511" s="81">
        <f>16.3649 * CHOOSE(CONTROL!$C$32, $C$9, 100%, $E$9)</f>
        <v>16.364899999999999</v>
      </c>
      <c r="I511" s="81">
        <f>16.3702 * CHOOSE(CONTROL!$C$32, $C$9, 100%, $E$9)</f>
        <v>16.370200000000001</v>
      </c>
      <c r="J511" s="81">
        <f>16.3649 * CHOOSE(CONTROL!$C$32, $C$9, 100%, $E$9)</f>
        <v>16.364899999999999</v>
      </c>
      <c r="K511" s="81">
        <f>16.3702 * CHOOSE(CONTROL!$C$32, $C$9, 100%, $E$9)</f>
        <v>16.370200000000001</v>
      </c>
      <c r="L511" s="81">
        <f>8.379 * CHOOSE(CONTROL!$C$32, $C$9, 100%, $E$9)</f>
        <v>8.3789999999999996</v>
      </c>
      <c r="M511" s="81">
        <f>8.3843 * CHOOSE(CONTROL!$C$32, $C$9, 100%, $E$9)</f>
        <v>8.3842999999999996</v>
      </c>
      <c r="N511" s="81">
        <f>8.379 * CHOOSE(CONTROL!$C$32, $C$9, 100%, $E$9)</f>
        <v>8.3789999999999996</v>
      </c>
      <c r="O511" s="81">
        <f>8.3843 * CHOOSE(CONTROL!$C$32, $C$9, 100%, $E$9)</f>
        <v>8.3842999999999996</v>
      </c>
    </row>
    <row r="512" spans="1:15" ht="15" x14ac:dyDescent="0.2">
      <c r="A512" s="16">
        <v>56796</v>
      </c>
      <c r="B512" s="80">
        <f>7.4779 * CHOOSE(CONTROL!$C$32, $C$9, 100%, $E$9)</f>
        <v>7.4779</v>
      </c>
      <c r="C512" s="80">
        <f>7.4779 * CHOOSE(CONTROL!$C$32, $C$9, 100%, $E$9)</f>
        <v>7.4779</v>
      </c>
      <c r="D512" s="80">
        <f>7.4795 * CHOOSE(CONTROL!$C$32, $C$9, 100%, $E$9)</f>
        <v>7.4794999999999998</v>
      </c>
      <c r="E512" s="81">
        <f>8.4945 * CHOOSE(CONTROL!$C$32, $C$9, 100%, $E$9)</f>
        <v>8.4945000000000004</v>
      </c>
      <c r="F512" s="81">
        <f>8.4945 * CHOOSE(CONTROL!$C$32, $C$9, 100%, $E$9)</f>
        <v>8.4945000000000004</v>
      </c>
      <c r="G512" s="81">
        <f>8.4998 * CHOOSE(CONTROL!$C$32, $C$9, 100%, $E$9)</f>
        <v>8.4998000000000005</v>
      </c>
      <c r="H512" s="81">
        <f>16.399 * CHOOSE(CONTROL!$C$32, $C$9, 100%, $E$9)</f>
        <v>16.399000000000001</v>
      </c>
      <c r="I512" s="81">
        <f>16.4043 * CHOOSE(CONTROL!$C$32, $C$9, 100%, $E$9)</f>
        <v>16.404299999999999</v>
      </c>
      <c r="J512" s="81">
        <f>16.399 * CHOOSE(CONTROL!$C$32, $C$9, 100%, $E$9)</f>
        <v>16.399000000000001</v>
      </c>
      <c r="K512" s="81">
        <f>16.4043 * CHOOSE(CONTROL!$C$32, $C$9, 100%, $E$9)</f>
        <v>16.404299999999999</v>
      </c>
      <c r="L512" s="81">
        <f>8.4945 * CHOOSE(CONTROL!$C$32, $C$9, 100%, $E$9)</f>
        <v>8.4945000000000004</v>
      </c>
      <c r="M512" s="81">
        <f>8.4998 * CHOOSE(CONTROL!$C$32, $C$9, 100%, $E$9)</f>
        <v>8.4998000000000005</v>
      </c>
      <c r="N512" s="81">
        <f>8.4945 * CHOOSE(CONTROL!$C$32, $C$9, 100%, $E$9)</f>
        <v>8.4945000000000004</v>
      </c>
      <c r="O512" s="81">
        <f>8.4998 * CHOOSE(CONTROL!$C$32, $C$9, 100%, $E$9)</f>
        <v>8.4998000000000005</v>
      </c>
    </row>
    <row r="513" spans="1:15" ht="15" x14ac:dyDescent="0.2">
      <c r="A513" s="16">
        <v>56827</v>
      </c>
      <c r="B513" s="80">
        <f>7.4846 * CHOOSE(CONTROL!$C$32, $C$9, 100%, $E$9)</f>
        <v>7.4846000000000004</v>
      </c>
      <c r="C513" s="80">
        <f>7.4846 * CHOOSE(CONTROL!$C$32, $C$9, 100%, $E$9)</f>
        <v>7.4846000000000004</v>
      </c>
      <c r="D513" s="80">
        <f>7.4862 * CHOOSE(CONTROL!$C$32, $C$9, 100%, $E$9)</f>
        <v>7.4862000000000002</v>
      </c>
      <c r="E513" s="81">
        <f>8.3222 * CHOOSE(CONTROL!$C$32, $C$9, 100%, $E$9)</f>
        <v>8.3222000000000005</v>
      </c>
      <c r="F513" s="81">
        <f>8.3222 * CHOOSE(CONTROL!$C$32, $C$9, 100%, $E$9)</f>
        <v>8.3222000000000005</v>
      </c>
      <c r="G513" s="81">
        <f>8.3275 * CHOOSE(CONTROL!$C$32, $C$9, 100%, $E$9)</f>
        <v>8.3275000000000006</v>
      </c>
      <c r="H513" s="81">
        <f>16.4332 * CHOOSE(CONTROL!$C$32, $C$9, 100%, $E$9)</f>
        <v>16.433199999999999</v>
      </c>
      <c r="I513" s="81">
        <f>16.4385 * CHOOSE(CONTROL!$C$32, $C$9, 100%, $E$9)</f>
        <v>16.438500000000001</v>
      </c>
      <c r="J513" s="81">
        <f>16.4332 * CHOOSE(CONTROL!$C$32, $C$9, 100%, $E$9)</f>
        <v>16.433199999999999</v>
      </c>
      <c r="K513" s="81">
        <f>16.4385 * CHOOSE(CONTROL!$C$32, $C$9, 100%, $E$9)</f>
        <v>16.438500000000001</v>
      </c>
      <c r="L513" s="81">
        <f>8.3222 * CHOOSE(CONTROL!$C$32, $C$9, 100%, $E$9)</f>
        <v>8.3222000000000005</v>
      </c>
      <c r="M513" s="81">
        <f>8.3275 * CHOOSE(CONTROL!$C$32, $C$9, 100%, $E$9)</f>
        <v>8.3275000000000006</v>
      </c>
      <c r="N513" s="81">
        <f>8.3222 * CHOOSE(CONTROL!$C$32, $C$9, 100%, $E$9)</f>
        <v>8.3222000000000005</v>
      </c>
      <c r="O513" s="81">
        <f>8.3275 * CHOOSE(CONTROL!$C$32, $C$9, 100%, $E$9)</f>
        <v>8.3275000000000006</v>
      </c>
    </row>
    <row r="514" spans="1:15" ht="15" x14ac:dyDescent="0.2">
      <c r="A514" s="16">
        <v>56858</v>
      </c>
      <c r="B514" s="80">
        <f>7.4816 * CHOOSE(CONTROL!$C$32, $C$9, 100%, $E$9)</f>
        <v>7.4816000000000003</v>
      </c>
      <c r="C514" s="80">
        <f>7.4816 * CHOOSE(CONTROL!$C$32, $C$9, 100%, $E$9)</f>
        <v>7.4816000000000003</v>
      </c>
      <c r="D514" s="80">
        <f>7.4831 * CHOOSE(CONTROL!$C$32, $C$9, 100%, $E$9)</f>
        <v>7.4831000000000003</v>
      </c>
      <c r="E514" s="81">
        <f>8.3004 * CHOOSE(CONTROL!$C$32, $C$9, 100%, $E$9)</f>
        <v>8.3003999999999998</v>
      </c>
      <c r="F514" s="81">
        <f>8.3004 * CHOOSE(CONTROL!$C$32, $C$9, 100%, $E$9)</f>
        <v>8.3003999999999998</v>
      </c>
      <c r="G514" s="81">
        <f>8.3057 * CHOOSE(CONTROL!$C$32, $C$9, 100%, $E$9)</f>
        <v>8.3056999999999999</v>
      </c>
      <c r="H514" s="81">
        <f>16.4674 * CHOOSE(CONTROL!$C$32, $C$9, 100%, $E$9)</f>
        <v>16.467400000000001</v>
      </c>
      <c r="I514" s="81">
        <f>16.4727 * CHOOSE(CONTROL!$C$32, $C$9, 100%, $E$9)</f>
        <v>16.4727</v>
      </c>
      <c r="J514" s="81">
        <f>16.4674 * CHOOSE(CONTROL!$C$32, $C$9, 100%, $E$9)</f>
        <v>16.467400000000001</v>
      </c>
      <c r="K514" s="81">
        <f>16.4727 * CHOOSE(CONTROL!$C$32, $C$9, 100%, $E$9)</f>
        <v>16.4727</v>
      </c>
      <c r="L514" s="81">
        <f>8.3004 * CHOOSE(CONTROL!$C$32, $C$9, 100%, $E$9)</f>
        <v>8.3003999999999998</v>
      </c>
      <c r="M514" s="81">
        <f>8.3057 * CHOOSE(CONTROL!$C$32, $C$9, 100%, $E$9)</f>
        <v>8.3056999999999999</v>
      </c>
      <c r="N514" s="81">
        <f>8.3004 * CHOOSE(CONTROL!$C$32, $C$9, 100%, $E$9)</f>
        <v>8.3003999999999998</v>
      </c>
      <c r="O514" s="81">
        <f>8.3057 * CHOOSE(CONTROL!$C$32, $C$9, 100%, $E$9)</f>
        <v>8.3056999999999999</v>
      </c>
    </row>
    <row r="515" spans="1:15" ht="15" x14ac:dyDescent="0.2">
      <c r="A515" s="16">
        <v>56888</v>
      </c>
      <c r="B515" s="80">
        <f>7.4896 * CHOOSE(CONTROL!$C$32, $C$9, 100%, $E$9)</f>
        <v>7.4896000000000003</v>
      </c>
      <c r="C515" s="80">
        <f>7.4896 * CHOOSE(CONTROL!$C$32, $C$9, 100%, $E$9)</f>
        <v>7.4896000000000003</v>
      </c>
      <c r="D515" s="80">
        <f>7.4906 * CHOOSE(CONTROL!$C$32, $C$9, 100%, $E$9)</f>
        <v>7.4905999999999997</v>
      </c>
      <c r="E515" s="81">
        <f>8.3656 * CHOOSE(CONTROL!$C$32, $C$9, 100%, $E$9)</f>
        <v>8.3656000000000006</v>
      </c>
      <c r="F515" s="81">
        <f>8.3656 * CHOOSE(CONTROL!$C$32, $C$9, 100%, $E$9)</f>
        <v>8.3656000000000006</v>
      </c>
      <c r="G515" s="81">
        <f>8.3692 * CHOOSE(CONTROL!$C$32, $C$9, 100%, $E$9)</f>
        <v>8.3691999999999993</v>
      </c>
      <c r="H515" s="81">
        <f>16.5017 * CHOOSE(CONTROL!$C$32, $C$9, 100%, $E$9)</f>
        <v>16.5017</v>
      </c>
      <c r="I515" s="81">
        <f>16.5053 * CHOOSE(CONTROL!$C$32, $C$9, 100%, $E$9)</f>
        <v>16.505299999999998</v>
      </c>
      <c r="J515" s="81">
        <f>16.5017 * CHOOSE(CONTROL!$C$32, $C$9, 100%, $E$9)</f>
        <v>16.5017</v>
      </c>
      <c r="K515" s="81">
        <f>16.5053 * CHOOSE(CONTROL!$C$32, $C$9, 100%, $E$9)</f>
        <v>16.505299999999998</v>
      </c>
      <c r="L515" s="81">
        <f>8.3656 * CHOOSE(CONTROL!$C$32, $C$9, 100%, $E$9)</f>
        <v>8.3656000000000006</v>
      </c>
      <c r="M515" s="81">
        <f>8.3692 * CHOOSE(CONTROL!$C$32, $C$9, 100%, $E$9)</f>
        <v>8.3691999999999993</v>
      </c>
      <c r="N515" s="81">
        <f>8.3656 * CHOOSE(CONTROL!$C$32, $C$9, 100%, $E$9)</f>
        <v>8.3656000000000006</v>
      </c>
      <c r="O515" s="81">
        <f>8.3692 * CHOOSE(CONTROL!$C$32, $C$9, 100%, $E$9)</f>
        <v>8.3691999999999993</v>
      </c>
    </row>
    <row r="516" spans="1:15" ht="15" x14ac:dyDescent="0.2">
      <c r="A516" s="16">
        <v>56919</v>
      </c>
      <c r="B516" s="80">
        <f>7.4926 * CHOOSE(CONTROL!$C$32, $C$9, 100%, $E$9)</f>
        <v>7.4926000000000004</v>
      </c>
      <c r="C516" s="80">
        <f>7.4926 * CHOOSE(CONTROL!$C$32, $C$9, 100%, $E$9)</f>
        <v>7.4926000000000004</v>
      </c>
      <c r="D516" s="80">
        <f>7.4937 * CHOOSE(CONTROL!$C$32, $C$9, 100%, $E$9)</f>
        <v>7.4936999999999996</v>
      </c>
      <c r="E516" s="81">
        <f>8.4071 * CHOOSE(CONTROL!$C$32, $C$9, 100%, $E$9)</f>
        <v>8.4070999999999998</v>
      </c>
      <c r="F516" s="81">
        <f>8.4071 * CHOOSE(CONTROL!$C$32, $C$9, 100%, $E$9)</f>
        <v>8.4070999999999998</v>
      </c>
      <c r="G516" s="81">
        <f>8.4107 * CHOOSE(CONTROL!$C$32, $C$9, 100%, $E$9)</f>
        <v>8.4107000000000003</v>
      </c>
      <c r="H516" s="81">
        <f>16.5361 * CHOOSE(CONTROL!$C$32, $C$9, 100%, $E$9)</f>
        <v>16.536100000000001</v>
      </c>
      <c r="I516" s="81">
        <f>16.5397 * CHOOSE(CONTROL!$C$32, $C$9, 100%, $E$9)</f>
        <v>16.5397</v>
      </c>
      <c r="J516" s="81">
        <f>16.5361 * CHOOSE(CONTROL!$C$32, $C$9, 100%, $E$9)</f>
        <v>16.536100000000001</v>
      </c>
      <c r="K516" s="81">
        <f>16.5397 * CHOOSE(CONTROL!$C$32, $C$9, 100%, $E$9)</f>
        <v>16.5397</v>
      </c>
      <c r="L516" s="81">
        <f>8.4071 * CHOOSE(CONTROL!$C$32, $C$9, 100%, $E$9)</f>
        <v>8.4070999999999998</v>
      </c>
      <c r="M516" s="81">
        <f>8.4107 * CHOOSE(CONTROL!$C$32, $C$9, 100%, $E$9)</f>
        <v>8.4107000000000003</v>
      </c>
      <c r="N516" s="81">
        <f>8.4071 * CHOOSE(CONTROL!$C$32, $C$9, 100%, $E$9)</f>
        <v>8.4070999999999998</v>
      </c>
      <c r="O516" s="81">
        <f>8.4107 * CHOOSE(CONTROL!$C$32, $C$9, 100%, $E$9)</f>
        <v>8.4107000000000003</v>
      </c>
    </row>
    <row r="517" spans="1:15" ht="15" x14ac:dyDescent="0.2">
      <c r="A517" s="16">
        <v>56949</v>
      </c>
      <c r="B517" s="80">
        <f>7.4926 * CHOOSE(CONTROL!$C$32, $C$9, 100%, $E$9)</f>
        <v>7.4926000000000004</v>
      </c>
      <c r="C517" s="80">
        <f>7.4926 * CHOOSE(CONTROL!$C$32, $C$9, 100%, $E$9)</f>
        <v>7.4926000000000004</v>
      </c>
      <c r="D517" s="80">
        <f>7.4937 * CHOOSE(CONTROL!$C$32, $C$9, 100%, $E$9)</f>
        <v>7.4936999999999996</v>
      </c>
      <c r="E517" s="81">
        <f>8.3087 * CHOOSE(CONTROL!$C$32, $C$9, 100%, $E$9)</f>
        <v>8.3087</v>
      </c>
      <c r="F517" s="81">
        <f>8.3087 * CHOOSE(CONTROL!$C$32, $C$9, 100%, $E$9)</f>
        <v>8.3087</v>
      </c>
      <c r="G517" s="81">
        <f>8.3124 * CHOOSE(CONTROL!$C$32, $C$9, 100%, $E$9)</f>
        <v>8.3124000000000002</v>
      </c>
      <c r="H517" s="81">
        <f>16.5706 * CHOOSE(CONTROL!$C$32, $C$9, 100%, $E$9)</f>
        <v>16.570599999999999</v>
      </c>
      <c r="I517" s="81">
        <f>16.5742 * CHOOSE(CONTROL!$C$32, $C$9, 100%, $E$9)</f>
        <v>16.574200000000001</v>
      </c>
      <c r="J517" s="81">
        <f>16.5706 * CHOOSE(CONTROL!$C$32, $C$9, 100%, $E$9)</f>
        <v>16.570599999999999</v>
      </c>
      <c r="K517" s="81">
        <f>16.5742 * CHOOSE(CONTROL!$C$32, $C$9, 100%, $E$9)</f>
        <v>16.574200000000001</v>
      </c>
      <c r="L517" s="81">
        <f>8.3087 * CHOOSE(CONTROL!$C$32, $C$9, 100%, $E$9)</f>
        <v>8.3087</v>
      </c>
      <c r="M517" s="81">
        <f>8.3124 * CHOOSE(CONTROL!$C$32, $C$9, 100%, $E$9)</f>
        <v>8.3124000000000002</v>
      </c>
      <c r="N517" s="81">
        <f>8.3087 * CHOOSE(CONTROL!$C$32, $C$9, 100%, $E$9)</f>
        <v>8.3087</v>
      </c>
      <c r="O517" s="81">
        <f>8.3124 * CHOOSE(CONTROL!$C$32, $C$9, 100%, $E$9)</f>
        <v>8.3124000000000002</v>
      </c>
    </row>
    <row r="518" spans="1:15" ht="15" x14ac:dyDescent="0.2">
      <c r="A518" s="16">
        <v>56980</v>
      </c>
      <c r="B518" s="80">
        <f>7.5488 * CHOOSE(CONTROL!$C$32, $C$9, 100%, $E$9)</f>
        <v>7.5488</v>
      </c>
      <c r="C518" s="80">
        <f>7.5488 * CHOOSE(CONTROL!$C$32, $C$9, 100%, $E$9)</f>
        <v>7.5488</v>
      </c>
      <c r="D518" s="80">
        <f>7.5498 * CHOOSE(CONTROL!$C$32, $C$9, 100%, $E$9)</f>
        <v>7.5498000000000003</v>
      </c>
      <c r="E518" s="81">
        <f>8.4508 * CHOOSE(CONTROL!$C$32, $C$9, 100%, $E$9)</f>
        <v>8.4507999999999992</v>
      </c>
      <c r="F518" s="81">
        <f>8.4508 * CHOOSE(CONTROL!$C$32, $C$9, 100%, $E$9)</f>
        <v>8.4507999999999992</v>
      </c>
      <c r="G518" s="81">
        <f>8.4544 * CHOOSE(CONTROL!$C$32, $C$9, 100%, $E$9)</f>
        <v>8.4543999999999997</v>
      </c>
      <c r="H518" s="81">
        <f>16.6051 * CHOOSE(CONTROL!$C$32, $C$9, 100%, $E$9)</f>
        <v>16.6051</v>
      </c>
      <c r="I518" s="81">
        <f>16.6087 * CHOOSE(CONTROL!$C$32, $C$9, 100%, $E$9)</f>
        <v>16.608699999999999</v>
      </c>
      <c r="J518" s="81">
        <f>16.6051 * CHOOSE(CONTROL!$C$32, $C$9, 100%, $E$9)</f>
        <v>16.6051</v>
      </c>
      <c r="K518" s="81">
        <f>16.6087 * CHOOSE(CONTROL!$C$32, $C$9, 100%, $E$9)</f>
        <v>16.608699999999999</v>
      </c>
      <c r="L518" s="81">
        <f>8.4508 * CHOOSE(CONTROL!$C$32, $C$9, 100%, $E$9)</f>
        <v>8.4507999999999992</v>
      </c>
      <c r="M518" s="81">
        <f>8.4544 * CHOOSE(CONTROL!$C$32, $C$9, 100%, $E$9)</f>
        <v>8.4543999999999997</v>
      </c>
      <c r="N518" s="81">
        <f>8.4508 * CHOOSE(CONTROL!$C$32, $C$9, 100%, $E$9)</f>
        <v>8.4507999999999992</v>
      </c>
      <c r="O518" s="81">
        <f>8.4544 * CHOOSE(CONTROL!$C$32, $C$9, 100%, $E$9)</f>
        <v>8.4543999999999997</v>
      </c>
    </row>
    <row r="519" spans="1:15" ht="15" x14ac:dyDescent="0.2">
      <c r="A519" s="16">
        <v>57011</v>
      </c>
      <c r="B519" s="80">
        <f>7.5457 * CHOOSE(CONTROL!$C$32, $C$9, 100%, $E$9)</f>
        <v>7.5457000000000001</v>
      </c>
      <c r="C519" s="80">
        <f>7.5457 * CHOOSE(CONTROL!$C$32, $C$9, 100%, $E$9)</f>
        <v>7.5457000000000001</v>
      </c>
      <c r="D519" s="80">
        <f>7.5468 * CHOOSE(CONTROL!$C$32, $C$9, 100%, $E$9)</f>
        <v>7.5468000000000002</v>
      </c>
      <c r="E519" s="81">
        <f>8.2568 * CHOOSE(CONTROL!$C$32, $C$9, 100%, $E$9)</f>
        <v>8.2568000000000001</v>
      </c>
      <c r="F519" s="81">
        <f>8.2568 * CHOOSE(CONTROL!$C$32, $C$9, 100%, $E$9)</f>
        <v>8.2568000000000001</v>
      </c>
      <c r="G519" s="81">
        <f>8.2604 * CHOOSE(CONTROL!$C$32, $C$9, 100%, $E$9)</f>
        <v>8.2604000000000006</v>
      </c>
      <c r="H519" s="81">
        <f>16.6397 * CHOOSE(CONTROL!$C$32, $C$9, 100%, $E$9)</f>
        <v>16.639700000000001</v>
      </c>
      <c r="I519" s="81">
        <f>16.6433 * CHOOSE(CONTROL!$C$32, $C$9, 100%, $E$9)</f>
        <v>16.6433</v>
      </c>
      <c r="J519" s="81">
        <f>16.6397 * CHOOSE(CONTROL!$C$32, $C$9, 100%, $E$9)</f>
        <v>16.639700000000001</v>
      </c>
      <c r="K519" s="81">
        <f>16.6433 * CHOOSE(CONTROL!$C$32, $C$9, 100%, $E$9)</f>
        <v>16.6433</v>
      </c>
      <c r="L519" s="81">
        <f>8.2568 * CHOOSE(CONTROL!$C$32, $C$9, 100%, $E$9)</f>
        <v>8.2568000000000001</v>
      </c>
      <c r="M519" s="81">
        <f>8.2604 * CHOOSE(CONTROL!$C$32, $C$9, 100%, $E$9)</f>
        <v>8.2604000000000006</v>
      </c>
      <c r="N519" s="81">
        <f>8.2568 * CHOOSE(CONTROL!$C$32, $C$9, 100%, $E$9)</f>
        <v>8.2568000000000001</v>
      </c>
      <c r="O519" s="81">
        <f>8.2604 * CHOOSE(CONTROL!$C$32, $C$9, 100%, $E$9)</f>
        <v>8.2604000000000006</v>
      </c>
    </row>
    <row r="520" spans="1:15" ht="15" x14ac:dyDescent="0.2">
      <c r="A520" s="16">
        <v>57040</v>
      </c>
      <c r="B520" s="80">
        <f>7.5427 * CHOOSE(CONTROL!$C$32, $C$9, 100%, $E$9)</f>
        <v>7.5427</v>
      </c>
      <c r="C520" s="80">
        <f>7.5427 * CHOOSE(CONTROL!$C$32, $C$9, 100%, $E$9)</f>
        <v>7.5427</v>
      </c>
      <c r="D520" s="80">
        <f>7.5438 * CHOOSE(CONTROL!$C$32, $C$9, 100%, $E$9)</f>
        <v>7.5438000000000001</v>
      </c>
      <c r="E520" s="81">
        <f>8.406 * CHOOSE(CONTROL!$C$32, $C$9, 100%, $E$9)</f>
        <v>8.4060000000000006</v>
      </c>
      <c r="F520" s="81">
        <f>8.406 * CHOOSE(CONTROL!$C$32, $C$9, 100%, $E$9)</f>
        <v>8.4060000000000006</v>
      </c>
      <c r="G520" s="81">
        <f>8.4096 * CHOOSE(CONTROL!$C$32, $C$9, 100%, $E$9)</f>
        <v>8.4095999999999993</v>
      </c>
      <c r="H520" s="81">
        <f>16.6743 * CHOOSE(CONTROL!$C$32, $C$9, 100%, $E$9)</f>
        <v>16.674299999999999</v>
      </c>
      <c r="I520" s="81">
        <f>16.678 * CHOOSE(CONTROL!$C$32, $C$9, 100%, $E$9)</f>
        <v>16.678000000000001</v>
      </c>
      <c r="J520" s="81">
        <f>16.6743 * CHOOSE(CONTROL!$C$32, $C$9, 100%, $E$9)</f>
        <v>16.674299999999999</v>
      </c>
      <c r="K520" s="81">
        <f>16.678 * CHOOSE(CONTROL!$C$32, $C$9, 100%, $E$9)</f>
        <v>16.678000000000001</v>
      </c>
      <c r="L520" s="81">
        <f>8.406 * CHOOSE(CONTROL!$C$32, $C$9, 100%, $E$9)</f>
        <v>8.4060000000000006</v>
      </c>
      <c r="M520" s="81">
        <f>8.4096 * CHOOSE(CONTROL!$C$32, $C$9, 100%, $E$9)</f>
        <v>8.4095999999999993</v>
      </c>
      <c r="N520" s="81">
        <f>8.406 * CHOOSE(CONTROL!$C$32, $C$9, 100%, $E$9)</f>
        <v>8.4060000000000006</v>
      </c>
      <c r="O520" s="81">
        <f>8.4096 * CHOOSE(CONTROL!$C$32, $C$9, 100%, $E$9)</f>
        <v>8.4095999999999993</v>
      </c>
    </row>
    <row r="521" spans="1:15" ht="15" x14ac:dyDescent="0.2">
      <c r="A521" s="16">
        <v>57071</v>
      </c>
      <c r="B521" s="80">
        <f>7.5438 * CHOOSE(CONTROL!$C$32, $C$9, 100%, $E$9)</f>
        <v>7.5438000000000001</v>
      </c>
      <c r="C521" s="80">
        <f>7.5438 * CHOOSE(CONTROL!$C$32, $C$9, 100%, $E$9)</f>
        <v>7.5438000000000001</v>
      </c>
      <c r="D521" s="80">
        <f>7.5448 * CHOOSE(CONTROL!$C$32, $C$9, 100%, $E$9)</f>
        <v>7.5448000000000004</v>
      </c>
      <c r="E521" s="81">
        <f>8.5642 * CHOOSE(CONTROL!$C$32, $C$9, 100%, $E$9)</f>
        <v>8.5641999999999996</v>
      </c>
      <c r="F521" s="81">
        <f>8.5642 * CHOOSE(CONTROL!$C$32, $C$9, 100%, $E$9)</f>
        <v>8.5641999999999996</v>
      </c>
      <c r="G521" s="81">
        <f>8.5678 * CHOOSE(CONTROL!$C$32, $C$9, 100%, $E$9)</f>
        <v>8.5678000000000001</v>
      </c>
      <c r="H521" s="81">
        <f>16.7091 * CHOOSE(CONTROL!$C$32, $C$9, 100%, $E$9)</f>
        <v>16.709099999999999</v>
      </c>
      <c r="I521" s="81">
        <f>16.7127 * CHOOSE(CONTROL!$C$32, $C$9, 100%, $E$9)</f>
        <v>16.712700000000002</v>
      </c>
      <c r="J521" s="81">
        <f>16.7091 * CHOOSE(CONTROL!$C$32, $C$9, 100%, $E$9)</f>
        <v>16.709099999999999</v>
      </c>
      <c r="K521" s="81">
        <f>16.7127 * CHOOSE(CONTROL!$C$32, $C$9, 100%, $E$9)</f>
        <v>16.712700000000002</v>
      </c>
      <c r="L521" s="81">
        <f>8.5642 * CHOOSE(CONTROL!$C$32, $C$9, 100%, $E$9)</f>
        <v>8.5641999999999996</v>
      </c>
      <c r="M521" s="81">
        <f>8.5678 * CHOOSE(CONTROL!$C$32, $C$9, 100%, $E$9)</f>
        <v>8.5678000000000001</v>
      </c>
      <c r="N521" s="81">
        <f>8.5642 * CHOOSE(CONTROL!$C$32, $C$9, 100%, $E$9)</f>
        <v>8.5641999999999996</v>
      </c>
      <c r="O521" s="81">
        <f>8.5678 * CHOOSE(CONTROL!$C$32, $C$9, 100%, $E$9)</f>
        <v>8.5678000000000001</v>
      </c>
    </row>
    <row r="522" spans="1:15" ht="15" x14ac:dyDescent="0.2">
      <c r="A522" s="16">
        <v>57101</v>
      </c>
      <c r="B522" s="80">
        <f>7.5438 * CHOOSE(CONTROL!$C$32, $C$9, 100%, $E$9)</f>
        <v>7.5438000000000001</v>
      </c>
      <c r="C522" s="80">
        <f>7.5438 * CHOOSE(CONTROL!$C$32, $C$9, 100%, $E$9)</f>
        <v>7.5438000000000001</v>
      </c>
      <c r="D522" s="80">
        <f>7.5454 * CHOOSE(CONTROL!$C$32, $C$9, 100%, $E$9)</f>
        <v>7.5453999999999999</v>
      </c>
      <c r="E522" s="81">
        <f>8.6251 * CHOOSE(CONTROL!$C$32, $C$9, 100%, $E$9)</f>
        <v>8.6250999999999998</v>
      </c>
      <c r="F522" s="81">
        <f>8.6251 * CHOOSE(CONTROL!$C$32, $C$9, 100%, $E$9)</f>
        <v>8.6250999999999998</v>
      </c>
      <c r="G522" s="81">
        <f>8.6304 * CHOOSE(CONTROL!$C$32, $C$9, 100%, $E$9)</f>
        <v>8.6303999999999998</v>
      </c>
      <c r="H522" s="81">
        <f>16.7439 * CHOOSE(CONTROL!$C$32, $C$9, 100%, $E$9)</f>
        <v>16.7439</v>
      </c>
      <c r="I522" s="81">
        <f>16.7492 * CHOOSE(CONTROL!$C$32, $C$9, 100%, $E$9)</f>
        <v>16.749199999999998</v>
      </c>
      <c r="J522" s="81">
        <f>16.7439 * CHOOSE(CONTROL!$C$32, $C$9, 100%, $E$9)</f>
        <v>16.7439</v>
      </c>
      <c r="K522" s="81">
        <f>16.7492 * CHOOSE(CONTROL!$C$32, $C$9, 100%, $E$9)</f>
        <v>16.749199999999998</v>
      </c>
      <c r="L522" s="81">
        <f>8.6251 * CHOOSE(CONTROL!$C$32, $C$9, 100%, $E$9)</f>
        <v>8.6250999999999998</v>
      </c>
      <c r="M522" s="81">
        <f>8.6304 * CHOOSE(CONTROL!$C$32, $C$9, 100%, $E$9)</f>
        <v>8.6303999999999998</v>
      </c>
      <c r="N522" s="81">
        <f>8.6251 * CHOOSE(CONTROL!$C$32, $C$9, 100%, $E$9)</f>
        <v>8.6250999999999998</v>
      </c>
      <c r="O522" s="81">
        <f>8.6304 * CHOOSE(CONTROL!$C$32, $C$9, 100%, $E$9)</f>
        <v>8.6303999999999998</v>
      </c>
    </row>
    <row r="523" spans="1:15" ht="15" x14ac:dyDescent="0.2">
      <c r="A523" s="16">
        <v>57132</v>
      </c>
      <c r="B523" s="80">
        <f>7.5499 * CHOOSE(CONTROL!$C$32, $C$9, 100%, $E$9)</f>
        <v>7.5499000000000001</v>
      </c>
      <c r="C523" s="80">
        <f>7.5499 * CHOOSE(CONTROL!$C$32, $C$9, 100%, $E$9)</f>
        <v>7.5499000000000001</v>
      </c>
      <c r="D523" s="80">
        <f>7.5514 * CHOOSE(CONTROL!$C$32, $C$9, 100%, $E$9)</f>
        <v>7.5514000000000001</v>
      </c>
      <c r="E523" s="81">
        <f>8.5684 * CHOOSE(CONTROL!$C$32, $C$9, 100%, $E$9)</f>
        <v>8.5684000000000005</v>
      </c>
      <c r="F523" s="81">
        <f>8.5684 * CHOOSE(CONTROL!$C$32, $C$9, 100%, $E$9)</f>
        <v>8.5684000000000005</v>
      </c>
      <c r="G523" s="81">
        <f>8.5737 * CHOOSE(CONTROL!$C$32, $C$9, 100%, $E$9)</f>
        <v>8.5737000000000005</v>
      </c>
      <c r="H523" s="81">
        <f>16.7788 * CHOOSE(CONTROL!$C$32, $C$9, 100%, $E$9)</f>
        <v>16.7788</v>
      </c>
      <c r="I523" s="81">
        <f>16.7841 * CHOOSE(CONTROL!$C$32, $C$9, 100%, $E$9)</f>
        <v>16.784099999999999</v>
      </c>
      <c r="J523" s="81">
        <f>16.7788 * CHOOSE(CONTROL!$C$32, $C$9, 100%, $E$9)</f>
        <v>16.7788</v>
      </c>
      <c r="K523" s="81">
        <f>16.7841 * CHOOSE(CONTROL!$C$32, $C$9, 100%, $E$9)</f>
        <v>16.784099999999999</v>
      </c>
      <c r="L523" s="81">
        <f>8.5684 * CHOOSE(CONTROL!$C$32, $C$9, 100%, $E$9)</f>
        <v>8.5684000000000005</v>
      </c>
      <c r="M523" s="81">
        <f>8.5737 * CHOOSE(CONTROL!$C$32, $C$9, 100%, $E$9)</f>
        <v>8.5737000000000005</v>
      </c>
      <c r="N523" s="81">
        <f>8.5684 * CHOOSE(CONTROL!$C$32, $C$9, 100%, $E$9)</f>
        <v>8.5684000000000005</v>
      </c>
      <c r="O523" s="81">
        <f>8.5737 * CHOOSE(CONTROL!$C$32, $C$9, 100%, $E$9)</f>
        <v>8.5737000000000005</v>
      </c>
    </row>
    <row r="524" spans="1:15" ht="15" x14ac:dyDescent="0.2">
      <c r="A524" s="16">
        <v>57162</v>
      </c>
      <c r="B524" s="80">
        <f>7.6474 * CHOOSE(CONTROL!$C$32, $C$9, 100%, $E$9)</f>
        <v>7.6474000000000002</v>
      </c>
      <c r="C524" s="80">
        <f>7.6474 * CHOOSE(CONTROL!$C$32, $C$9, 100%, $E$9)</f>
        <v>7.6474000000000002</v>
      </c>
      <c r="D524" s="80">
        <f>7.6489 * CHOOSE(CONTROL!$C$32, $C$9, 100%, $E$9)</f>
        <v>7.6489000000000003</v>
      </c>
      <c r="E524" s="81">
        <f>8.6867 * CHOOSE(CONTROL!$C$32, $C$9, 100%, $E$9)</f>
        <v>8.6867000000000001</v>
      </c>
      <c r="F524" s="81">
        <f>8.6867 * CHOOSE(CONTROL!$C$32, $C$9, 100%, $E$9)</f>
        <v>8.6867000000000001</v>
      </c>
      <c r="G524" s="81">
        <f>8.692 * CHOOSE(CONTROL!$C$32, $C$9, 100%, $E$9)</f>
        <v>8.6920000000000002</v>
      </c>
      <c r="H524" s="81">
        <f>16.8137 * CHOOSE(CONTROL!$C$32, $C$9, 100%, $E$9)</f>
        <v>16.813700000000001</v>
      </c>
      <c r="I524" s="81">
        <f>16.819 * CHOOSE(CONTROL!$C$32, $C$9, 100%, $E$9)</f>
        <v>16.818999999999999</v>
      </c>
      <c r="J524" s="81">
        <f>16.8137 * CHOOSE(CONTROL!$C$32, $C$9, 100%, $E$9)</f>
        <v>16.813700000000001</v>
      </c>
      <c r="K524" s="81">
        <f>16.819 * CHOOSE(CONTROL!$C$32, $C$9, 100%, $E$9)</f>
        <v>16.818999999999999</v>
      </c>
      <c r="L524" s="81">
        <f>8.6867 * CHOOSE(CONTROL!$C$32, $C$9, 100%, $E$9)</f>
        <v>8.6867000000000001</v>
      </c>
      <c r="M524" s="81">
        <f>8.692 * CHOOSE(CONTROL!$C$32, $C$9, 100%, $E$9)</f>
        <v>8.6920000000000002</v>
      </c>
      <c r="N524" s="81">
        <f>8.6867 * CHOOSE(CONTROL!$C$32, $C$9, 100%, $E$9)</f>
        <v>8.6867000000000001</v>
      </c>
      <c r="O524" s="81">
        <f>8.692 * CHOOSE(CONTROL!$C$32, $C$9, 100%, $E$9)</f>
        <v>8.6920000000000002</v>
      </c>
    </row>
    <row r="525" spans="1:15" ht="15" x14ac:dyDescent="0.2">
      <c r="A525" s="16">
        <v>57193</v>
      </c>
      <c r="B525" s="80">
        <f>7.654 * CHOOSE(CONTROL!$C$32, $C$9, 100%, $E$9)</f>
        <v>7.6539999999999999</v>
      </c>
      <c r="C525" s="80">
        <f>7.654 * CHOOSE(CONTROL!$C$32, $C$9, 100%, $E$9)</f>
        <v>7.6539999999999999</v>
      </c>
      <c r="D525" s="80">
        <f>7.6556 * CHOOSE(CONTROL!$C$32, $C$9, 100%, $E$9)</f>
        <v>7.6555999999999997</v>
      </c>
      <c r="E525" s="81">
        <f>8.5087 * CHOOSE(CONTROL!$C$32, $C$9, 100%, $E$9)</f>
        <v>8.5086999999999993</v>
      </c>
      <c r="F525" s="81">
        <f>8.5087 * CHOOSE(CONTROL!$C$32, $C$9, 100%, $E$9)</f>
        <v>8.5086999999999993</v>
      </c>
      <c r="G525" s="81">
        <f>8.5139 * CHOOSE(CONTROL!$C$32, $C$9, 100%, $E$9)</f>
        <v>8.5138999999999996</v>
      </c>
      <c r="H525" s="81">
        <f>16.8488 * CHOOSE(CONTROL!$C$32, $C$9, 100%, $E$9)</f>
        <v>16.848800000000001</v>
      </c>
      <c r="I525" s="81">
        <f>16.854 * CHOOSE(CONTROL!$C$32, $C$9, 100%, $E$9)</f>
        <v>16.853999999999999</v>
      </c>
      <c r="J525" s="81">
        <f>16.8488 * CHOOSE(CONTROL!$C$32, $C$9, 100%, $E$9)</f>
        <v>16.848800000000001</v>
      </c>
      <c r="K525" s="81">
        <f>16.854 * CHOOSE(CONTROL!$C$32, $C$9, 100%, $E$9)</f>
        <v>16.853999999999999</v>
      </c>
      <c r="L525" s="81">
        <f>8.5087 * CHOOSE(CONTROL!$C$32, $C$9, 100%, $E$9)</f>
        <v>8.5086999999999993</v>
      </c>
      <c r="M525" s="81">
        <f>8.5139 * CHOOSE(CONTROL!$C$32, $C$9, 100%, $E$9)</f>
        <v>8.5138999999999996</v>
      </c>
      <c r="N525" s="81">
        <f>8.5087 * CHOOSE(CONTROL!$C$32, $C$9, 100%, $E$9)</f>
        <v>8.5086999999999993</v>
      </c>
      <c r="O525" s="81">
        <f>8.5139 * CHOOSE(CONTROL!$C$32, $C$9, 100%, $E$9)</f>
        <v>8.5138999999999996</v>
      </c>
    </row>
    <row r="526" spans="1:15" ht="15" x14ac:dyDescent="0.2">
      <c r="A526" s="16">
        <v>57224</v>
      </c>
      <c r="B526" s="80">
        <f>7.651 * CHOOSE(CONTROL!$C$32, $C$9, 100%, $E$9)</f>
        <v>7.6509999999999998</v>
      </c>
      <c r="C526" s="80">
        <f>7.651 * CHOOSE(CONTROL!$C$32, $C$9, 100%, $E$9)</f>
        <v>7.6509999999999998</v>
      </c>
      <c r="D526" s="80">
        <f>7.6526 * CHOOSE(CONTROL!$C$32, $C$9, 100%, $E$9)</f>
        <v>7.6525999999999996</v>
      </c>
      <c r="E526" s="81">
        <f>8.4862 * CHOOSE(CONTROL!$C$32, $C$9, 100%, $E$9)</f>
        <v>8.4862000000000002</v>
      </c>
      <c r="F526" s="81">
        <f>8.4862 * CHOOSE(CONTROL!$C$32, $C$9, 100%, $E$9)</f>
        <v>8.4862000000000002</v>
      </c>
      <c r="G526" s="81">
        <f>8.4915 * CHOOSE(CONTROL!$C$32, $C$9, 100%, $E$9)</f>
        <v>8.4915000000000003</v>
      </c>
      <c r="H526" s="81">
        <f>16.8839 * CHOOSE(CONTROL!$C$32, $C$9, 100%, $E$9)</f>
        <v>16.883900000000001</v>
      </c>
      <c r="I526" s="81">
        <f>16.8891 * CHOOSE(CONTROL!$C$32, $C$9, 100%, $E$9)</f>
        <v>16.889099999999999</v>
      </c>
      <c r="J526" s="81">
        <f>16.8839 * CHOOSE(CONTROL!$C$32, $C$9, 100%, $E$9)</f>
        <v>16.883900000000001</v>
      </c>
      <c r="K526" s="81">
        <f>16.8891 * CHOOSE(CONTROL!$C$32, $C$9, 100%, $E$9)</f>
        <v>16.889099999999999</v>
      </c>
      <c r="L526" s="81">
        <f>8.4862 * CHOOSE(CONTROL!$C$32, $C$9, 100%, $E$9)</f>
        <v>8.4862000000000002</v>
      </c>
      <c r="M526" s="81">
        <f>8.4915 * CHOOSE(CONTROL!$C$32, $C$9, 100%, $E$9)</f>
        <v>8.4915000000000003</v>
      </c>
      <c r="N526" s="81">
        <f>8.4862 * CHOOSE(CONTROL!$C$32, $C$9, 100%, $E$9)</f>
        <v>8.4862000000000002</v>
      </c>
      <c r="O526" s="81">
        <f>8.4915 * CHOOSE(CONTROL!$C$32, $C$9, 100%, $E$9)</f>
        <v>8.4915000000000003</v>
      </c>
    </row>
    <row r="527" spans="1:15" ht="15" x14ac:dyDescent="0.2">
      <c r="A527" s="16">
        <v>57254</v>
      </c>
      <c r="B527" s="80">
        <f>7.6597 * CHOOSE(CONTROL!$C$32, $C$9, 100%, $E$9)</f>
        <v>7.6597</v>
      </c>
      <c r="C527" s="80">
        <f>7.6597 * CHOOSE(CONTROL!$C$32, $C$9, 100%, $E$9)</f>
        <v>7.6597</v>
      </c>
      <c r="D527" s="80">
        <f>7.6607 * CHOOSE(CONTROL!$C$32, $C$9, 100%, $E$9)</f>
        <v>7.6607000000000003</v>
      </c>
      <c r="E527" s="81">
        <f>8.554 * CHOOSE(CONTROL!$C$32, $C$9, 100%, $E$9)</f>
        <v>8.5540000000000003</v>
      </c>
      <c r="F527" s="81">
        <f>8.554 * CHOOSE(CONTROL!$C$32, $C$9, 100%, $E$9)</f>
        <v>8.5540000000000003</v>
      </c>
      <c r="G527" s="81">
        <f>8.5577 * CHOOSE(CONTROL!$C$32, $C$9, 100%, $E$9)</f>
        <v>8.5577000000000005</v>
      </c>
      <c r="H527" s="81">
        <f>16.919 * CHOOSE(CONTROL!$C$32, $C$9, 100%, $E$9)</f>
        <v>16.919</v>
      </c>
      <c r="I527" s="81">
        <f>16.9226 * CHOOSE(CONTROL!$C$32, $C$9, 100%, $E$9)</f>
        <v>16.922599999999999</v>
      </c>
      <c r="J527" s="81">
        <f>16.919 * CHOOSE(CONTROL!$C$32, $C$9, 100%, $E$9)</f>
        <v>16.919</v>
      </c>
      <c r="K527" s="81">
        <f>16.9226 * CHOOSE(CONTROL!$C$32, $C$9, 100%, $E$9)</f>
        <v>16.922599999999999</v>
      </c>
      <c r="L527" s="81">
        <f>8.554 * CHOOSE(CONTROL!$C$32, $C$9, 100%, $E$9)</f>
        <v>8.5540000000000003</v>
      </c>
      <c r="M527" s="81">
        <f>8.5577 * CHOOSE(CONTROL!$C$32, $C$9, 100%, $E$9)</f>
        <v>8.5577000000000005</v>
      </c>
      <c r="N527" s="81">
        <f>8.554 * CHOOSE(CONTROL!$C$32, $C$9, 100%, $E$9)</f>
        <v>8.5540000000000003</v>
      </c>
      <c r="O527" s="81">
        <f>8.5577 * CHOOSE(CONTROL!$C$32, $C$9, 100%, $E$9)</f>
        <v>8.5577000000000005</v>
      </c>
    </row>
    <row r="528" spans="1:15" ht="15" x14ac:dyDescent="0.2">
      <c r="A528" s="16">
        <v>57285</v>
      </c>
      <c r="B528" s="80">
        <f>7.6627 * CHOOSE(CONTROL!$C$32, $C$9, 100%, $E$9)</f>
        <v>7.6627000000000001</v>
      </c>
      <c r="C528" s="80">
        <f>7.6627 * CHOOSE(CONTROL!$C$32, $C$9, 100%, $E$9)</f>
        <v>7.6627000000000001</v>
      </c>
      <c r="D528" s="80">
        <f>7.6638 * CHOOSE(CONTROL!$C$32, $C$9, 100%, $E$9)</f>
        <v>7.6638000000000002</v>
      </c>
      <c r="E528" s="81">
        <f>8.5968 * CHOOSE(CONTROL!$C$32, $C$9, 100%, $E$9)</f>
        <v>8.5968</v>
      </c>
      <c r="F528" s="81">
        <f>8.5968 * CHOOSE(CONTROL!$C$32, $C$9, 100%, $E$9)</f>
        <v>8.5968</v>
      </c>
      <c r="G528" s="81">
        <f>8.6004 * CHOOSE(CONTROL!$C$32, $C$9, 100%, $E$9)</f>
        <v>8.6004000000000005</v>
      </c>
      <c r="H528" s="81">
        <f>16.9543 * CHOOSE(CONTROL!$C$32, $C$9, 100%, $E$9)</f>
        <v>16.9543</v>
      </c>
      <c r="I528" s="81">
        <f>16.9579 * CHOOSE(CONTROL!$C$32, $C$9, 100%, $E$9)</f>
        <v>16.957899999999999</v>
      </c>
      <c r="J528" s="81">
        <f>16.9543 * CHOOSE(CONTROL!$C$32, $C$9, 100%, $E$9)</f>
        <v>16.9543</v>
      </c>
      <c r="K528" s="81">
        <f>16.9579 * CHOOSE(CONTROL!$C$32, $C$9, 100%, $E$9)</f>
        <v>16.957899999999999</v>
      </c>
      <c r="L528" s="81">
        <f>8.5968 * CHOOSE(CONTROL!$C$32, $C$9, 100%, $E$9)</f>
        <v>8.5968</v>
      </c>
      <c r="M528" s="81">
        <f>8.6004 * CHOOSE(CONTROL!$C$32, $C$9, 100%, $E$9)</f>
        <v>8.6004000000000005</v>
      </c>
      <c r="N528" s="81">
        <f>8.5968 * CHOOSE(CONTROL!$C$32, $C$9, 100%, $E$9)</f>
        <v>8.5968</v>
      </c>
      <c r="O528" s="81">
        <f>8.6004 * CHOOSE(CONTROL!$C$32, $C$9, 100%, $E$9)</f>
        <v>8.6004000000000005</v>
      </c>
    </row>
    <row r="529" spans="1:15" ht="15" x14ac:dyDescent="0.2">
      <c r="A529" s="16">
        <v>57315</v>
      </c>
      <c r="B529" s="80">
        <f>7.6627 * CHOOSE(CONTROL!$C$32, $C$9, 100%, $E$9)</f>
        <v>7.6627000000000001</v>
      </c>
      <c r="C529" s="80">
        <f>7.6627 * CHOOSE(CONTROL!$C$32, $C$9, 100%, $E$9)</f>
        <v>7.6627000000000001</v>
      </c>
      <c r="D529" s="80">
        <f>7.6638 * CHOOSE(CONTROL!$C$32, $C$9, 100%, $E$9)</f>
        <v>7.6638000000000002</v>
      </c>
      <c r="E529" s="81">
        <f>8.4952 * CHOOSE(CONTROL!$C$32, $C$9, 100%, $E$9)</f>
        <v>8.4952000000000005</v>
      </c>
      <c r="F529" s="81">
        <f>8.4952 * CHOOSE(CONTROL!$C$32, $C$9, 100%, $E$9)</f>
        <v>8.4952000000000005</v>
      </c>
      <c r="G529" s="81">
        <f>8.4989 * CHOOSE(CONTROL!$C$32, $C$9, 100%, $E$9)</f>
        <v>8.4989000000000008</v>
      </c>
      <c r="H529" s="81">
        <f>16.9896 * CHOOSE(CONTROL!$C$32, $C$9, 100%, $E$9)</f>
        <v>16.989599999999999</v>
      </c>
      <c r="I529" s="81">
        <f>16.9932 * CHOOSE(CONTROL!$C$32, $C$9, 100%, $E$9)</f>
        <v>16.993200000000002</v>
      </c>
      <c r="J529" s="81">
        <f>16.9896 * CHOOSE(CONTROL!$C$32, $C$9, 100%, $E$9)</f>
        <v>16.989599999999999</v>
      </c>
      <c r="K529" s="81">
        <f>16.9932 * CHOOSE(CONTROL!$C$32, $C$9, 100%, $E$9)</f>
        <v>16.993200000000002</v>
      </c>
      <c r="L529" s="81">
        <f>8.4952 * CHOOSE(CONTROL!$C$32, $C$9, 100%, $E$9)</f>
        <v>8.4952000000000005</v>
      </c>
      <c r="M529" s="81">
        <f>8.4989 * CHOOSE(CONTROL!$C$32, $C$9, 100%, $E$9)</f>
        <v>8.4989000000000008</v>
      </c>
      <c r="N529" s="81">
        <f>8.4952 * CHOOSE(CONTROL!$C$32, $C$9, 100%, $E$9)</f>
        <v>8.4952000000000005</v>
      </c>
      <c r="O529" s="81">
        <f>8.4989 * CHOOSE(CONTROL!$C$32, $C$9, 100%, $E$9)</f>
        <v>8.4989000000000008</v>
      </c>
    </row>
    <row r="530" spans="1:15" ht="15" x14ac:dyDescent="0.2">
      <c r="A530" s="16">
        <v>57346</v>
      </c>
      <c r="B530" s="80">
        <f>7.72 * CHOOSE(CONTROL!$C$32, $C$9, 100%, $E$9)</f>
        <v>7.72</v>
      </c>
      <c r="C530" s="80">
        <f>7.72 * CHOOSE(CONTROL!$C$32, $C$9, 100%, $E$9)</f>
        <v>7.72</v>
      </c>
      <c r="D530" s="80">
        <f>7.7211 * CHOOSE(CONTROL!$C$32, $C$9, 100%, $E$9)</f>
        <v>7.7210999999999999</v>
      </c>
      <c r="E530" s="81">
        <f>8.6415 * CHOOSE(CONTROL!$C$32, $C$9, 100%, $E$9)</f>
        <v>8.6415000000000006</v>
      </c>
      <c r="F530" s="81">
        <f>8.6415 * CHOOSE(CONTROL!$C$32, $C$9, 100%, $E$9)</f>
        <v>8.6415000000000006</v>
      </c>
      <c r="G530" s="81">
        <f>8.6451 * CHOOSE(CONTROL!$C$32, $C$9, 100%, $E$9)</f>
        <v>8.6450999999999993</v>
      </c>
      <c r="H530" s="81">
        <f>17.025 * CHOOSE(CONTROL!$C$32, $C$9, 100%, $E$9)</f>
        <v>17.024999999999999</v>
      </c>
      <c r="I530" s="81">
        <f>17.0286 * CHOOSE(CONTROL!$C$32, $C$9, 100%, $E$9)</f>
        <v>17.028600000000001</v>
      </c>
      <c r="J530" s="81">
        <f>17.025 * CHOOSE(CONTROL!$C$32, $C$9, 100%, $E$9)</f>
        <v>17.024999999999999</v>
      </c>
      <c r="K530" s="81">
        <f>17.0286 * CHOOSE(CONTROL!$C$32, $C$9, 100%, $E$9)</f>
        <v>17.028600000000001</v>
      </c>
      <c r="L530" s="81">
        <f>8.6415 * CHOOSE(CONTROL!$C$32, $C$9, 100%, $E$9)</f>
        <v>8.6415000000000006</v>
      </c>
      <c r="M530" s="81">
        <f>8.6451 * CHOOSE(CONTROL!$C$32, $C$9, 100%, $E$9)</f>
        <v>8.6450999999999993</v>
      </c>
      <c r="N530" s="81">
        <f>8.6415 * CHOOSE(CONTROL!$C$32, $C$9, 100%, $E$9)</f>
        <v>8.6415000000000006</v>
      </c>
      <c r="O530" s="81">
        <f>8.6451 * CHOOSE(CONTROL!$C$32, $C$9, 100%, $E$9)</f>
        <v>8.6450999999999993</v>
      </c>
    </row>
    <row r="531" spans="1:15" ht="15" x14ac:dyDescent="0.2">
      <c r="A531" s="16">
        <v>57377</v>
      </c>
      <c r="B531" s="80">
        <f>7.717 * CHOOSE(CONTROL!$C$32, $C$9, 100%, $E$9)</f>
        <v>7.7169999999999996</v>
      </c>
      <c r="C531" s="80">
        <f>7.717 * CHOOSE(CONTROL!$C$32, $C$9, 100%, $E$9)</f>
        <v>7.7169999999999996</v>
      </c>
      <c r="D531" s="80">
        <f>7.7181 * CHOOSE(CONTROL!$C$32, $C$9, 100%, $E$9)</f>
        <v>7.7180999999999997</v>
      </c>
      <c r="E531" s="81">
        <f>8.4413 * CHOOSE(CONTROL!$C$32, $C$9, 100%, $E$9)</f>
        <v>8.4413</v>
      </c>
      <c r="F531" s="81">
        <f>8.4413 * CHOOSE(CONTROL!$C$32, $C$9, 100%, $E$9)</f>
        <v>8.4413</v>
      </c>
      <c r="G531" s="81">
        <f>8.4449 * CHOOSE(CONTROL!$C$32, $C$9, 100%, $E$9)</f>
        <v>8.4449000000000005</v>
      </c>
      <c r="H531" s="81">
        <f>17.0605 * CHOOSE(CONTROL!$C$32, $C$9, 100%, $E$9)</f>
        <v>17.060500000000001</v>
      </c>
      <c r="I531" s="81">
        <f>17.0641 * CHOOSE(CONTROL!$C$32, $C$9, 100%, $E$9)</f>
        <v>17.0641</v>
      </c>
      <c r="J531" s="81">
        <f>17.0605 * CHOOSE(CONTROL!$C$32, $C$9, 100%, $E$9)</f>
        <v>17.060500000000001</v>
      </c>
      <c r="K531" s="81">
        <f>17.0641 * CHOOSE(CONTROL!$C$32, $C$9, 100%, $E$9)</f>
        <v>17.0641</v>
      </c>
      <c r="L531" s="81">
        <f>8.4413 * CHOOSE(CONTROL!$C$32, $C$9, 100%, $E$9)</f>
        <v>8.4413</v>
      </c>
      <c r="M531" s="81">
        <f>8.4449 * CHOOSE(CONTROL!$C$32, $C$9, 100%, $E$9)</f>
        <v>8.4449000000000005</v>
      </c>
      <c r="N531" s="81">
        <f>8.4413 * CHOOSE(CONTROL!$C$32, $C$9, 100%, $E$9)</f>
        <v>8.4413</v>
      </c>
      <c r="O531" s="81">
        <f>8.4449 * CHOOSE(CONTROL!$C$32, $C$9, 100%, $E$9)</f>
        <v>8.4449000000000005</v>
      </c>
    </row>
    <row r="532" spans="1:15" ht="15" x14ac:dyDescent="0.2">
      <c r="A532" s="16">
        <v>57405</v>
      </c>
      <c r="B532" s="80">
        <f>7.7139 * CHOOSE(CONTROL!$C$32, $C$9, 100%, $E$9)</f>
        <v>7.7138999999999998</v>
      </c>
      <c r="C532" s="80">
        <f>7.7139 * CHOOSE(CONTROL!$C$32, $C$9, 100%, $E$9)</f>
        <v>7.7138999999999998</v>
      </c>
      <c r="D532" s="80">
        <f>7.715 * CHOOSE(CONTROL!$C$32, $C$9, 100%, $E$9)</f>
        <v>7.7149999999999999</v>
      </c>
      <c r="E532" s="81">
        <f>8.5954 * CHOOSE(CONTROL!$C$32, $C$9, 100%, $E$9)</f>
        <v>8.5953999999999997</v>
      </c>
      <c r="F532" s="81">
        <f>8.5954 * CHOOSE(CONTROL!$C$32, $C$9, 100%, $E$9)</f>
        <v>8.5953999999999997</v>
      </c>
      <c r="G532" s="81">
        <f>8.599 * CHOOSE(CONTROL!$C$32, $C$9, 100%, $E$9)</f>
        <v>8.5990000000000002</v>
      </c>
      <c r="H532" s="81">
        <f>17.096 * CHOOSE(CONTROL!$C$32, $C$9, 100%, $E$9)</f>
        <v>17.096</v>
      </c>
      <c r="I532" s="81">
        <f>17.0996 * CHOOSE(CONTROL!$C$32, $C$9, 100%, $E$9)</f>
        <v>17.099599999999999</v>
      </c>
      <c r="J532" s="81">
        <f>17.096 * CHOOSE(CONTROL!$C$32, $C$9, 100%, $E$9)</f>
        <v>17.096</v>
      </c>
      <c r="K532" s="81">
        <f>17.0996 * CHOOSE(CONTROL!$C$32, $C$9, 100%, $E$9)</f>
        <v>17.099599999999999</v>
      </c>
      <c r="L532" s="81">
        <f>8.5954 * CHOOSE(CONTROL!$C$32, $C$9, 100%, $E$9)</f>
        <v>8.5953999999999997</v>
      </c>
      <c r="M532" s="81">
        <f>8.599 * CHOOSE(CONTROL!$C$32, $C$9, 100%, $E$9)</f>
        <v>8.5990000000000002</v>
      </c>
      <c r="N532" s="81">
        <f>8.5954 * CHOOSE(CONTROL!$C$32, $C$9, 100%, $E$9)</f>
        <v>8.5953999999999997</v>
      </c>
      <c r="O532" s="81">
        <f>8.599 * CHOOSE(CONTROL!$C$32, $C$9, 100%, $E$9)</f>
        <v>8.5990000000000002</v>
      </c>
    </row>
    <row r="533" spans="1:15" ht="15" x14ac:dyDescent="0.2">
      <c r="A533" s="16">
        <v>57436</v>
      </c>
      <c r="B533" s="80">
        <f>7.7152 * CHOOSE(CONTROL!$C$32, $C$9, 100%, $E$9)</f>
        <v>7.7152000000000003</v>
      </c>
      <c r="C533" s="80">
        <f>7.7152 * CHOOSE(CONTROL!$C$32, $C$9, 100%, $E$9)</f>
        <v>7.7152000000000003</v>
      </c>
      <c r="D533" s="80">
        <f>7.7163 * CHOOSE(CONTROL!$C$32, $C$9, 100%, $E$9)</f>
        <v>7.7163000000000004</v>
      </c>
      <c r="E533" s="81">
        <f>8.7588 * CHOOSE(CONTROL!$C$32, $C$9, 100%, $E$9)</f>
        <v>8.7588000000000008</v>
      </c>
      <c r="F533" s="81">
        <f>8.7588 * CHOOSE(CONTROL!$C$32, $C$9, 100%, $E$9)</f>
        <v>8.7588000000000008</v>
      </c>
      <c r="G533" s="81">
        <f>8.7625 * CHOOSE(CONTROL!$C$32, $C$9, 100%, $E$9)</f>
        <v>8.7624999999999993</v>
      </c>
      <c r="H533" s="81">
        <f>17.1316 * CHOOSE(CONTROL!$C$32, $C$9, 100%, $E$9)</f>
        <v>17.131599999999999</v>
      </c>
      <c r="I533" s="81">
        <f>17.1352 * CHOOSE(CONTROL!$C$32, $C$9, 100%, $E$9)</f>
        <v>17.135200000000001</v>
      </c>
      <c r="J533" s="81">
        <f>17.1316 * CHOOSE(CONTROL!$C$32, $C$9, 100%, $E$9)</f>
        <v>17.131599999999999</v>
      </c>
      <c r="K533" s="81">
        <f>17.1352 * CHOOSE(CONTROL!$C$32, $C$9, 100%, $E$9)</f>
        <v>17.135200000000001</v>
      </c>
      <c r="L533" s="81">
        <f>8.7588 * CHOOSE(CONTROL!$C$32, $C$9, 100%, $E$9)</f>
        <v>8.7588000000000008</v>
      </c>
      <c r="M533" s="81">
        <f>8.7625 * CHOOSE(CONTROL!$C$32, $C$9, 100%, $E$9)</f>
        <v>8.7624999999999993</v>
      </c>
      <c r="N533" s="81">
        <f>8.7588 * CHOOSE(CONTROL!$C$32, $C$9, 100%, $E$9)</f>
        <v>8.7588000000000008</v>
      </c>
      <c r="O533" s="81">
        <f>8.7625 * CHOOSE(CONTROL!$C$32, $C$9, 100%, $E$9)</f>
        <v>8.7624999999999993</v>
      </c>
    </row>
    <row r="534" spans="1:15" ht="15" x14ac:dyDescent="0.2">
      <c r="A534" s="16">
        <v>57466</v>
      </c>
      <c r="B534" s="80">
        <f>7.7152 * CHOOSE(CONTROL!$C$32, $C$9, 100%, $E$9)</f>
        <v>7.7152000000000003</v>
      </c>
      <c r="C534" s="80">
        <f>7.7152 * CHOOSE(CONTROL!$C$32, $C$9, 100%, $E$9)</f>
        <v>7.7152000000000003</v>
      </c>
      <c r="D534" s="80">
        <f>7.7168 * CHOOSE(CONTROL!$C$32, $C$9, 100%, $E$9)</f>
        <v>7.7168000000000001</v>
      </c>
      <c r="E534" s="81">
        <f>8.8217 * CHOOSE(CONTROL!$C$32, $C$9, 100%, $E$9)</f>
        <v>8.8216999999999999</v>
      </c>
      <c r="F534" s="81">
        <f>8.8217 * CHOOSE(CONTROL!$C$32, $C$9, 100%, $E$9)</f>
        <v>8.8216999999999999</v>
      </c>
      <c r="G534" s="81">
        <f>8.827 * CHOOSE(CONTROL!$C$32, $C$9, 100%, $E$9)</f>
        <v>8.827</v>
      </c>
      <c r="H534" s="81">
        <f>17.1673 * CHOOSE(CONTROL!$C$32, $C$9, 100%, $E$9)</f>
        <v>17.167300000000001</v>
      </c>
      <c r="I534" s="81">
        <f>17.1726 * CHOOSE(CONTROL!$C$32, $C$9, 100%, $E$9)</f>
        <v>17.172599999999999</v>
      </c>
      <c r="J534" s="81">
        <f>17.1673 * CHOOSE(CONTROL!$C$32, $C$9, 100%, $E$9)</f>
        <v>17.167300000000001</v>
      </c>
      <c r="K534" s="81">
        <f>17.1726 * CHOOSE(CONTROL!$C$32, $C$9, 100%, $E$9)</f>
        <v>17.172599999999999</v>
      </c>
      <c r="L534" s="81">
        <f>8.8217 * CHOOSE(CONTROL!$C$32, $C$9, 100%, $E$9)</f>
        <v>8.8216999999999999</v>
      </c>
      <c r="M534" s="81">
        <f>8.827 * CHOOSE(CONTROL!$C$32, $C$9, 100%, $E$9)</f>
        <v>8.827</v>
      </c>
      <c r="N534" s="81">
        <f>8.8217 * CHOOSE(CONTROL!$C$32, $C$9, 100%, $E$9)</f>
        <v>8.8216999999999999</v>
      </c>
      <c r="O534" s="81">
        <f>8.827 * CHOOSE(CONTROL!$C$32, $C$9, 100%, $E$9)</f>
        <v>8.827</v>
      </c>
    </row>
    <row r="535" spans="1:15" ht="15" x14ac:dyDescent="0.2">
      <c r="A535" s="16">
        <v>57497</v>
      </c>
      <c r="B535" s="80">
        <f>7.7213 * CHOOSE(CONTROL!$C$32, $C$9, 100%, $E$9)</f>
        <v>7.7213000000000003</v>
      </c>
      <c r="C535" s="80">
        <f>7.7213 * CHOOSE(CONTROL!$C$32, $C$9, 100%, $E$9)</f>
        <v>7.7213000000000003</v>
      </c>
      <c r="D535" s="80">
        <f>7.7228 * CHOOSE(CONTROL!$C$32, $C$9, 100%, $E$9)</f>
        <v>7.7228000000000003</v>
      </c>
      <c r="E535" s="81">
        <f>8.7631 * CHOOSE(CONTROL!$C$32, $C$9, 100%, $E$9)</f>
        <v>8.7630999999999997</v>
      </c>
      <c r="F535" s="81">
        <f>8.7631 * CHOOSE(CONTROL!$C$32, $C$9, 100%, $E$9)</f>
        <v>8.7630999999999997</v>
      </c>
      <c r="G535" s="81">
        <f>8.7684 * CHOOSE(CONTROL!$C$32, $C$9, 100%, $E$9)</f>
        <v>8.7683999999999997</v>
      </c>
      <c r="H535" s="81">
        <f>17.2031 * CHOOSE(CONTROL!$C$32, $C$9, 100%, $E$9)</f>
        <v>17.203099999999999</v>
      </c>
      <c r="I535" s="81">
        <f>17.2084 * CHOOSE(CONTROL!$C$32, $C$9, 100%, $E$9)</f>
        <v>17.208400000000001</v>
      </c>
      <c r="J535" s="81">
        <f>17.2031 * CHOOSE(CONTROL!$C$32, $C$9, 100%, $E$9)</f>
        <v>17.203099999999999</v>
      </c>
      <c r="K535" s="81">
        <f>17.2084 * CHOOSE(CONTROL!$C$32, $C$9, 100%, $E$9)</f>
        <v>17.208400000000001</v>
      </c>
      <c r="L535" s="81">
        <f>8.7631 * CHOOSE(CONTROL!$C$32, $C$9, 100%, $E$9)</f>
        <v>8.7630999999999997</v>
      </c>
      <c r="M535" s="81">
        <f>8.7684 * CHOOSE(CONTROL!$C$32, $C$9, 100%, $E$9)</f>
        <v>8.7683999999999997</v>
      </c>
      <c r="N535" s="81">
        <f>8.7631 * CHOOSE(CONTROL!$C$32, $C$9, 100%, $E$9)</f>
        <v>8.7630999999999997</v>
      </c>
      <c r="O535" s="81">
        <f>8.7684 * CHOOSE(CONTROL!$C$32, $C$9, 100%, $E$9)</f>
        <v>8.7683999999999997</v>
      </c>
    </row>
    <row r="536" spans="1:15" ht="15" x14ac:dyDescent="0.2">
      <c r="A536" s="16">
        <v>57527</v>
      </c>
      <c r="B536" s="80">
        <f>7.8207 * CHOOSE(CONTROL!$C$32, $C$9, 100%, $E$9)</f>
        <v>7.8207000000000004</v>
      </c>
      <c r="C536" s="80">
        <f>7.8207 * CHOOSE(CONTROL!$C$32, $C$9, 100%, $E$9)</f>
        <v>7.8207000000000004</v>
      </c>
      <c r="D536" s="80">
        <f>7.8222 * CHOOSE(CONTROL!$C$32, $C$9, 100%, $E$9)</f>
        <v>7.8221999999999996</v>
      </c>
      <c r="E536" s="81">
        <f>8.8842 * CHOOSE(CONTROL!$C$32, $C$9, 100%, $E$9)</f>
        <v>8.8841999999999999</v>
      </c>
      <c r="F536" s="81">
        <f>8.8842 * CHOOSE(CONTROL!$C$32, $C$9, 100%, $E$9)</f>
        <v>8.8841999999999999</v>
      </c>
      <c r="G536" s="81">
        <f>8.8895 * CHOOSE(CONTROL!$C$32, $C$9, 100%, $E$9)</f>
        <v>8.8895</v>
      </c>
      <c r="H536" s="81">
        <f>17.2389 * CHOOSE(CONTROL!$C$32, $C$9, 100%, $E$9)</f>
        <v>17.238900000000001</v>
      </c>
      <c r="I536" s="81">
        <f>17.2442 * CHOOSE(CONTROL!$C$32, $C$9, 100%, $E$9)</f>
        <v>17.244199999999999</v>
      </c>
      <c r="J536" s="81">
        <f>17.2389 * CHOOSE(CONTROL!$C$32, $C$9, 100%, $E$9)</f>
        <v>17.238900000000001</v>
      </c>
      <c r="K536" s="81">
        <f>17.2442 * CHOOSE(CONTROL!$C$32, $C$9, 100%, $E$9)</f>
        <v>17.244199999999999</v>
      </c>
      <c r="L536" s="81">
        <f>8.8842 * CHOOSE(CONTROL!$C$32, $C$9, 100%, $E$9)</f>
        <v>8.8841999999999999</v>
      </c>
      <c r="M536" s="81">
        <f>8.8895 * CHOOSE(CONTROL!$C$32, $C$9, 100%, $E$9)</f>
        <v>8.8895</v>
      </c>
      <c r="N536" s="81">
        <f>8.8842 * CHOOSE(CONTROL!$C$32, $C$9, 100%, $E$9)</f>
        <v>8.8841999999999999</v>
      </c>
      <c r="O536" s="81">
        <f>8.8895 * CHOOSE(CONTROL!$C$32, $C$9, 100%, $E$9)</f>
        <v>8.8895</v>
      </c>
    </row>
    <row r="537" spans="1:15" ht="15" x14ac:dyDescent="0.2">
      <c r="A537" s="16">
        <v>57558</v>
      </c>
      <c r="B537" s="80">
        <f>7.8273 * CHOOSE(CONTROL!$C$32, $C$9, 100%, $E$9)</f>
        <v>7.8273000000000001</v>
      </c>
      <c r="C537" s="80">
        <f>7.8273 * CHOOSE(CONTROL!$C$32, $C$9, 100%, $E$9)</f>
        <v>7.8273000000000001</v>
      </c>
      <c r="D537" s="80">
        <f>7.8289 * CHOOSE(CONTROL!$C$32, $C$9, 100%, $E$9)</f>
        <v>7.8289</v>
      </c>
      <c r="E537" s="81">
        <f>8.7002 * CHOOSE(CONTROL!$C$32, $C$9, 100%, $E$9)</f>
        <v>8.7002000000000006</v>
      </c>
      <c r="F537" s="81">
        <f>8.7002 * CHOOSE(CONTROL!$C$32, $C$9, 100%, $E$9)</f>
        <v>8.7002000000000006</v>
      </c>
      <c r="G537" s="81">
        <f>8.7055 * CHOOSE(CONTROL!$C$32, $C$9, 100%, $E$9)</f>
        <v>8.7055000000000007</v>
      </c>
      <c r="H537" s="81">
        <f>17.2748 * CHOOSE(CONTROL!$C$32, $C$9, 100%, $E$9)</f>
        <v>17.274799999999999</v>
      </c>
      <c r="I537" s="81">
        <f>17.2801 * CHOOSE(CONTROL!$C$32, $C$9, 100%, $E$9)</f>
        <v>17.280100000000001</v>
      </c>
      <c r="J537" s="81">
        <f>17.2748 * CHOOSE(CONTROL!$C$32, $C$9, 100%, $E$9)</f>
        <v>17.274799999999999</v>
      </c>
      <c r="K537" s="81">
        <f>17.2801 * CHOOSE(CONTROL!$C$32, $C$9, 100%, $E$9)</f>
        <v>17.280100000000001</v>
      </c>
      <c r="L537" s="81">
        <f>8.7002 * CHOOSE(CONTROL!$C$32, $C$9, 100%, $E$9)</f>
        <v>8.7002000000000006</v>
      </c>
      <c r="M537" s="81">
        <f>8.7055 * CHOOSE(CONTROL!$C$32, $C$9, 100%, $E$9)</f>
        <v>8.7055000000000007</v>
      </c>
      <c r="N537" s="81">
        <f>8.7002 * CHOOSE(CONTROL!$C$32, $C$9, 100%, $E$9)</f>
        <v>8.7002000000000006</v>
      </c>
      <c r="O537" s="81">
        <f>8.7055 * CHOOSE(CONTROL!$C$32, $C$9, 100%, $E$9)</f>
        <v>8.7055000000000007</v>
      </c>
    </row>
    <row r="538" spans="1:15" ht="15" x14ac:dyDescent="0.2">
      <c r="A538" s="16">
        <v>57589</v>
      </c>
      <c r="B538" s="80">
        <f>7.8243 * CHOOSE(CONTROL!$C$32, $C$9, 100%, $E$9)</f>
        <v>7.8243</v>
      </c>
      <c r="C538" s="80">
        <f>7.8243 * CHOOSE(CONTROL!$C$32, $C$9, 100%, $E$9)</f>
        <v>7.8243</v>
      </c>
      <c r="D538" s="80">
        <f>7.8259 * CHOOSE(CONTROL!$C$32, $C$9, 100%, $E$9)</f>
        <v>7.8258999999999999</v>
      </c>
      <c r="E538" s="81">
        <f>8.6771 * CHOOSE(CONTROL!$C$32, $C$9, 100%, $E$9)</f>
        <v>8.6770999999999994</v>
      </c>
      <c r="F538" s="81">
        <f>8.6771 * CHOOSE(CONTROL!$C$32, $C$9, 100%, $E$9)</f>
        <v>8.6770999999999994</v>
      </c>
      <c r="G538" s="81">
        <f>8.6824 * CHOOSE(CONTROL!$C$32, $C$9, 100%, $E$9)</f>
        <v>8.6823999999999995</v>
      </c>
      <c r="H538" s="81">
        <f>17.3108 * CHOOSE(CONTROL!$C$32, $C$9, 100%, $E$9)</f>
        <v>17.3108</v>
      </c>
      <c r="I538" s="81">
        <f>17.3161 * CHOOSE(CONTROL!$C$32, $C$9, 100%, $E$9)</f>
        <v>17.316099999999999</v>
      </c>
      <c r="J538" s="81">
        <f>17.3108 * CHOOSE(CONTROL!$C$32, $C$9, 100%, $E$9)</f>
        <v>17.3108</v>
      </c>
      <c r="K538" s="81">
        <f>17.3161 * CHOOSE(CONTROL!$C$32, $C$9, 100%, $E$9)</f>
        <v>17.316099999999999</v>
      </c>
      <c r="L538" s="81">
        <f>8.6771 * CHOOSE(CONTROL!$C$32, $C$9, 100%, $E$9)</f>
        <v>8.6770999999999994</v>
      </c>
      <c r="M538" s="81">
        <f>8.6824 * CHOOSE(CONTROL!$C$32, $C$9, 100%, $E$9)</f>
        <v>8.6823999999999995</v>
      </c>
      <c r="N538" s="81">
        <f>8.6771 * CHOOSE(CONTROL!$C$32, $C$9, 100%, $E$9)</f>
        <v>8.6770999999999994</v>
      </c>
      <c r="O538" s="81">
        <f>8.6824 * CHOOSE(CONTROL!$C$32, $C$9, 100%, $E$9)</f>
        <v>8.6823999999999995</v>
      </c>
    </row>
    <row r="539" spans="1:15" ht="15" x14ac:dyDescent="0.2">
      <c r="A539" s="16">
        <v>57619</v>
      </c>
      <c r="B539" s="80">
        <f>7.8336 * CHOOSE(CONTROL!$C$32, $C$9, 100%, $E$9)</f>
        <v>7.8335999999999997</v>
      </c>
      <c r="C539" s="80">
        <f>7.8336 * CHOOSE(CONTROL!$C$32, $C$9, 100%, $E$9)</f>
        <v>7.8335999999999997</v>
      </c>
      <c r="D539" s="80">
        <f>7.8347 * CHOOSE(CONTROL!$C$32, $C$9, 100%, $E$9)</f>
        <v>7.8346999999999998</v>
      </c>
      <c r="E539" s="81">
        <f>8.7475 * CHOOSE(CONTROL!$C$32, $C$9, 100%, $E$9)</f>
        <v>8.7475000000000005</v>
      </c>
      <c r="F539" s="81">
        <f>8.7475 * CHOOSE(CONTROL!$C$32, $C$9, 100%, $E$9)</f>
        <v>8.7475000000000005</v>
      </c>
      <c r="G539" s="81">
        <f>8.7511 * CHOOSE(CONTROL!$C$32, $C$9, 100%, $E$9)</f>
        <v>8.7510999999999992</v>
      </c>
      <c r="H539" s="81">
        <f>17.3469 * CHOOSE(CONTROL!$C$32, $C$9, 100%, $E$9)</f>
        <v>17.346900000000002</v>
      </c>
      <c r="I539" s="81">
        <f>17.3505 * CHOOSE(CONTROL!$C$32, $C$9, 100%, $E$9)</f>
        <v>17.3505</v>
      </c>
      <c r="J539" s="81">
        <f>17.3469 * CHOOSE(CONTROL!$C$32, $C$9, 100%, $E$9)</f>
        <v>17.346900000000002</v>
      </c>
      <c r="K539" s="81">
        <f>17.3505 * CHOOSE(CONTROL!$C$32, $C$9, 100%, $E$9)</f>
        <v>17.3505</v>
      </c>
      <c r="L539" s="81">
        <f>8.7475 * CHOOSE(CONTROL!$C$32, $C$9, 100%, $E$9)</f>
        <v>8.7475000000000005</v>
      </c>
      <c r="M539" s="81">
        <f>8.7511 * CHOOSE(CONTROL!$C$32, $C$9, 100%, $E$9)</f>
        <v>8.7510999999999992</v>
      </c>
      <c r="N539" s="81">
        <f>8.7475 * CHOOSE(CONTROL!$C$32, $C$9, 100%, $E$9)</f>
        <v>8.7475000000000005</v>
      </c>
      <c r="O539" s="81">
        <f>8.7511 * CHOOSE(CONTROL!$C$32, $C$9, 100%, $E$9)</f>
        <v>8.7510999999999992</v>
      </c>
    </row>
    <row r="540" spans="1:15" ht="15" x14ac:dyDescent="0.2">
      <c r="A540" s="16">
        <v>57650</v>
      </c>
      <c r="B540" s="80">
        <f>7.8366 * CHOOSE(CONTROL!$C$32, $C$9, 100%, $E$9)</f>
        <v>7.8365999999999998</v>
      </c>
      <c r="C540" s="80">
        <f>7.8366 * CHOOSE(CONTROL!$C$32, $C$9, 100%, $E$9)</f>
        <v>7.8365999999999998</v>
      </c>
      <c r="D540" s="80">
        <f>7.8377 * CHOOSE(CONTROL!$C$32, $C$9, 100%, $E$9)</f>
        <v>7.8376999999999999</v>
      </c>
      <c r="E540" s="81">
        <f>8.7916 * CHOOSE(CONTROL!$C$32, $C$9, 100%, $E$9)</f>
        <v>8.7916000000000007</v>
      </c>
      <c r="F540" s="81">
        <f>8.7916 * CHOOSE(CONTROL!$C$32, $C$9, 100%, $E$9)</f>
        <v>8.7916000000000007</v>
      </c>
      <c r="G540" s="81">
        <f>8.7952 * CHOOSE(CONTROL!$C$32, $C$9, 100%, $E$9)</f>
        <v>8.7951999999999995</v>
      </c>
      <c r="H540" s="81">
        <f>17.383 * CHOOSE(CONTROL!$C$32, $C$9, 100%, $E$9)</f>
        <v>17.382999999999999</v>
      </c>
      <c r="I540" s="81">
        <f>17.3866 * CHOOSE(CONTROL!$C$32, $C$9, 100%, $E$9)</f>
        <v>17.386600000000001</v>
      </c>
      <c r="J540" s="81">
        <f>17.383 * CHOOSE(CONTROL!$C$32, $C$9, 100%, $E$9)</f>
        <v>17.382999999999999</v>
      </c>
      <c r="K540" s="81">
        <f>17.3866 * CHOOSE(CONTROL!$C$32, $C$9, 100%, $E$9)</f>
        <v>17.386600000000001</v>
      </c>
      <c r="L540" s="81">
        <f>8.7916 * CHOOSE(CONTROL!$C$32, $C$9, 100%, $E$9)</f>
        <v>8.7916000000000007</v>
      </c>
      <c r="M540" s="81">
        <f>8.7952 * CHOOSE(CONTROL!$C$32, $C$9, 100%, $E$9)</f>
        <v>8.7951999999999995</v>
      </c>
      <c r="N540" s="81">
        <f>8.7916 * CHOOSE(CONTROL!$C$32, $C$9, 100%, $E$9)</f>
        <v>8.7916000000000007</v>
      </c>
      <c r="O540" s="81">
        <f>8.7952 * CHOOSE(CONTROL!$C$32, $C$9, 100%, $E$9)</f>
        <v>8.7951999999999995</v>
      </c>
    </row>
    <row r="541" spans="1:15" ht="15" x14ac:dyDescent="0.2">
      <c r="A541" s="16">
        <v>57680</v>
      </c>
      <c r="B541" s="80">
        <f>7.8366 * CHOOSE(CONTROL!$C$32, $C$9, 100%, $E$9)</f>
        <v>7.8365999999999998</v>
      </c>
      <c r="C541" s="80">
        <f>7.8366 * CHOOSE(CONTROL!$C$32, $C$9, 100%, $E$9)</f>
        <v>7.8365999999999998</v>
      </c>
      <c r="D541" s="80">
        <f>7.8377 * CHOOSE(CONTROL!$C$32, $C$9, 100%, $E$9)</f>
        <v>7.8376999999999999</v>
      </c>
      <c r="E541" s="81">
        <f>8.6867 * CHOOSE(CONTROL!$C$32, $C$9, 100%, $E$9)</f>
        <v>8.6867000000000001</v>
      </c>
      <c r="F541" s="81">
        <f>8.6867 * CHOOSE(CONTROL!$C$32, $C$9, 100%, $E$9)</f>
        <v>8.6867000000000001</v>
      </c>
      <c r="G541" s="81">
        <f>8.6904 * CHOOSE(CONTROL!$C$32, $C$9, 100%, $E$9)</f>
        <v>8.6904000000000003</v>
      </c>
      <c r="H541" s="81">
        <f>17.4192 * CHOOSE(CONTROL!$C$32, $C$9, 100%, $E$9)</f>
        <v>17.4192</v>
      </c>
      <c r="I541" s="81">
        <f>17.4229 * CHOOSE(CONTROL!$C$32, $C$9, 100%, $E$9)</f>
        <v>17.422899999999998</v>
      </c>
      <c r="J541" s="81">
        <f>17.4192 * CHOOSE(CONTROL!$C$32, $C$9, 100%, $E$9)</f>
        <v>17.4192</v>
      </c>
      <c r="K541" s="81">
        <f>17.4229 * CHOOSE(CONTROL!$C$32, $C$9, 100%, $E$9)</f>
        <v>17.422899999999998</v>
      </c>
      <c r="L541" s="81">
        <f>8.6867 * CHOOSE(CONTROL!$C$32, $C$9, 100%, $E$9)</f>
        <v>8.6867000000000001</v>
      </c>
      <c r="M541" s="81">
        <f>8.6904 * CHOOSE(CONTROL!$C$32, $C$9, 100%, $E$9)</f>
        <v>8.6904000000000003</v>
      </c>
      <c r="N541" s="81">
        <f>8.6867 * CHOOSE(CONTROL!$C$32, $C$9, 100%, $E$9)</f>
        <v>8.6867000000000001</v>
      </c>
      <c r="O541" s="81">
        <f>8.6904 * CHOOSE(CONTROL!$C$32, $C$9, 100%, $E$9)</f>
        <v>8.6904000000000003</v>
      </c>
    </row>
    <row r="542" spans="1:15" ht="15" x14ac:dyDescent="0.2">
      <c r="A542" s="16">
        <v>57711</v>
      </c>
      <c r="B542" s="80">
        <f>7.8952 * CHOOSE(CONTROL!$C$32, $C$9, 100%, $E$9)</f>
        <v>7.8952</v>
      </c>
      <c r="C542" s="80">
        <f>7.8952 * CHOOSE(CONTROL!$C$32, $C$9, 100%, $E$9)</f>
        <v>7.8952</v>
      </c>
      <c r="D542" s="80">
        <f>7.8962 * CHOOSE(CONTROL!$C$32, $C$9, 100%, $E$9)</f>
        <v>7.8962000000000003</v>
      </c>
      <c r="E542" s="81">
        <f>8.8374 * CHOOSE(CONTROL!$C$32, $C$9, 100%, $E$9)</f>
        <v>8.8374000000000006</v>
      </c>
      <c r="F542" s="81">
        <f>8.8374 * CHOOSE(CONTROL!$C$32, $C$9, 100%, $E$9)</f>
        <v>8.8374000000000006</v>
      </c>
      <c r="G542" s="81">
        <f>8.841 * CHOOSE(CONTROL!$C$32, $C$9, 100%, $E$9)</f>
        <v>8.8409999999999993</v>
      </c>
      <c r="H542" s="81">
        <f>17.4555 * CHOOSE(CONTROL!$C$32, $C$9, 100%, $E$9)</f>
        <v>17.455500000000001</v>
      </c>
      <c r="I542" s="81">
        <f>17.4591 * CHOOSE(CONTROL!$C$32, $C$9, 100%, $E$9)</f>
        <v>17.459099999999999</v>
      </c>
      <c r="J542" s="81">
        <f>17.4555 * CHOOSE(CONTROL!$C$32, $C$9, 100%, $E$9)</f>
        <v>17.455500000000001</v>
      </c>
      <c r="K542" s="81">
        <f>17.4591 * CHOOSE(CONTROL!$C$32, $C$9, 100%, $E$9)</f>
        <v>17.459099999999999</v>
      </c>
      <c r="L542" s="81">
        <f>8.8374 * CHOOSE(CONTROL!$C$32, $C$9, 100%, $E$9)</f>
        <v>8.8374000000000006</v>
      </c>
      <c r="M542" s="81">
        <f>8.841 * CHOOSE(CONTROL!$C$32, $C$9, 100%, $E$9)</f>
        <v>8.8409999999999993</v>
      </c>
      <c r="N542" s="81">
        <f>8.8374 * CHOOSE(CONTROL!$C$32, $C$9, 100%, $E$9)</f>
        <v>8.8374000000000006</v>
      </c>
      <c r="O542" s="81">
        <f>8.841 * CHOOSE(CONTROL!$C$32, $C$9, 100%, $E$9)</f>
        <v>8.8409999999999993</v>
      </c>
    </row>
    <row r="543" spans="1:15" ht="15" x14ac:dyDescent="0.2">
      <c r="A543" s="16">
        <v>57742</v>
      </c>
      <c r="B543" s="80">
        <f>7.8921 * CHOOSE(CONTROL!$C$32, $C$9, 100%, $E$9)</f>
        <v>7.8921000000000001</v>
      </c>
      <c r="C543" s="80">
        <f>7.8921 * CHOOSE(CONTROL!$C$32, $C$9, 100%, $E$9)</f>
        <v>7.8921000000000001</v>
      </c>
      <c r="D543" s="80">
        <f>7.8932 * CHOOSE(CONTROL!$C$32, $C$9, 100%, $E$9)</f>
        <v>7.8932000000000002</v>
      </c>
      <c r="E543" s="81">
        <f>8.6307 * CHOOSE(CONTROL!$C$32, $C$9, 100%, $E$9)</f>
        <v>8.6306999999999992</v>
      </c>
      <c r="F543" s="81">
        <f>8.6307 * CHOOSE(CONTROL!$C$32, $C$9, 100%, $E$9)</f>
        <v>8.6306999999999992</v>
      </c>
      <c r="G543" s="81">
        <f>8.6344 * CHOOSE(CONTROL!$C$32, $C$9, 100%, $E$9)</f>
        <v>8.6343999999999994</v>
      </c>
      <c r="H543" s="81">
        <f>17.4919 * CHOOSE(CONTROL!$C$32, $C$9, 100%, $E$9)</f>
        <v>17.491900000000001</v>
      </c>
      <c r="I543" s="81">
        <f>17.4955 * CHOOSE(CONTROL!$C$32, $C$9, 100%, $E$9)</f>
        <v>17.4955</v>
      </c>
      <c r="J543" s="81">
        <f>17.4919 * CHOOSE(CONTROL!$C$32, $C$9, 100%, $E$9)</f>
        <v>17.491900000000001</v>
      </c>
      <c r="K543" s="81">
        <f>17.4955 * CHOOSE(CONTROL!$C$32, $C$9, 100%, $E$9)</f>
        <v>17.4955</v>
      </c>
      <c r="L543" s="81">
        <f>8.6307 * CHOOSE(CONTROL!$C$32, $C$9, 100%, $E$9)</f>
        <v>8.6306999999999992</v>
      </c>
      <c r="M543" s="81">
        <f>8.6344 * CHOOSE(CONTROL!$C$32, $C$9, 100%, $E$9)</f>
        <v>8.6343999999999994</v>
      </c>
      <c r="N543" s="81">
        <f>8.6307 * CHOOSE(CONTROL!$C$32, $C$9, 100%, $E$9)</f>
        <v>8.6306999999999992</v>
      </c>
      <c r="O543" s="81">
        <f>8.6344 * CHOOSE(CONTROL!$C$32, $C$9, 100%, $E$9)</f>
        <v>8.6343999999999994</v>
      </c>
    </row>
    <row r="544" spans="1:15" ht="15" x14ac:dyDescent="0.2">
      <c r="A544" s="16">
        <v>57770</v>
      </c>
      <c r="B544" s="80">
        <f>7.8891 * CHOOSE(CONTROL!$C$32, $C$9, 100%, $E$9)</f>
        <v>7.8891</v>
      </c>
      <c r="C544" s="80">
        <f>7.8891 * CHOOSE(CONTROL!$C$32, $C$9, 100%, $E$9)</f>
        <v>7.8891</v>
      </c>
      <c r="D544" s="80">
        <f>7.8902 * CHOOSE(CONTROL!$C$32, $C$9, 100%, $E$9)</f>
        <v>7.8902000000000001</v>
      </c>
      <c r="E544" s="81">
        <f>8.7899 * CHOOSE(CONTROL!$C$32, $C$9, 100%, $E$9)</f>
        <v>8.7898999999999994</v>
      </c>
      <c r="F544" s="81">
        <f>8.7899 * CHOOSE(CONTROL!$C$32, $C$9, 100%, $E$9)</f>
        <v>8.7898999999999994</v>
      </c>
      <c r="G544" s="81">
        <f>8.7935 * CHOOSE(CONTROL!$C$32, $C$9, 100%, $E$9)</f>
        <v>8.7934999999999999</v>
      </c>
      <c r="H544" s="81">
        <f>17.5283 * CHOOSE(CONTROL!$C$32, $C$9, 100%, $E$9)</f>
        <v>17.528300000000002</v>
      </c>
      <c r="I544" s="81">
        <f>17.532 * CHOOSE(CONTROL!$C$32, $C$9, 100%, $E$9)</f>
        <v>17.532</v>
      </c>
      <c r="J544" s="81">
        <f>17.5283 * CHOOSE(CONTROL!$C$32, $C$9, 100%, $E$9)</f>
        <v>17.528300000000002</v>
      </c>
      <c r="K544" s="81">
        <f>17.532 * CHOOSE(CONTROL!$C$32, $C$9, 100%, $E$9)</f>
        <v>17.532</v>
      </c>
      <c r="L544" s="81">
        <f>8.7899 * CHOOSE(CONTROL!$C$32, $C$9, 100%, $E$9)</f>
        <v>8.7898999999999994</v>
      </c>
      <c r="M544" s="81">
        <f>8.7935 * CHOOSE(CONTROL!$C$32, $C$9, 100%, $E$9)</f>
        <v>8.7934999999999999</v>
      </c>
      <c r="N544" s="81">
        <f>8.7899 * CHOOSE(CONTROL!$C$32, $C$9, 100%, $E$9)</f>
        <v>8.7898999999999994</v>
      </c>
      <c r="O544" s="81">
        <f>8.7935 * CHOOSE(CONTROL!$C$32, $C$9, 100%, $E$9)</f>
        <v>8.7934999999999999</v>
      </c>
    </row>
    <row r="545" spans="1:15" ht="15" x14ac:dyDescent="0.2">
      <c r="A545" s="16">
        <v>57801</v>
      </c>
      <c r="B545" s="80">
        <f>7.8905 * CHOOSE(CONTROL!$C$32, $C$9, 100%, $E$9)</f>
        <v>7.8905000000000003</v>
      </c>
      <c r="C545" s="80">
        <f>7.8905 * CHOOSE(CONTROL!$C$32, $C$9, 100%, $E$9)</f>
        <v>7.8905000000000003</v>
      </c>
      <c r="D545" s="80">
        <f>7.8916 * CHOOSE(CONTROL!$C$32, $C$9, 100%, $E$9)</f>
        <v>7.8916000000000004</v>
      </c>
      <c r="E545" s="81">
        <f>8.9588 * CHOOSE(CONTROL!$C$32, $C$9, 100%, $E$9)</f>
        <v>8.9588000000000001</v>
      </c>
      <c r="F545" s="81">
        <f>8.9588 * CHOOSE(CONTROL!$C$32, $C$9, 100%, $E$9)</f>
        <v>8.9588000000000001</v>
      </c>
      <c r="G545" s="81">
        <f>8.9624 * CHOOSE(CONTROL!$C$32, $C$9, 100%, $E$9)</f>
        <v>8.9624000000000006</v>
      </c>
      <c r="H545" s="81">
        <f>17.5649 * CHOOSE(CONTROL!$C$32, $C$9, 100%, $E$9)</f>
        <v>17.564900000000002</v>
      </c>
      <c r="I545" s="81">
        <f>17.5685 * CHOOSE(CONTROL!$C$32, $C$9, 100%, $E$9)</f>
        <v>17.5685</v>
      </c>
      <c r="J545" s="81">
        <f>17.5649 * CHOOSE(CONTROL!$C$32, $C$9, 100%, $E$9)</f>
        <v>17.564900000000002</v>
      </c>
      <c r="K545" s="81">
        <f>17.5685 * CHOOSE(CONTROL!$C$32, $C$9, 100%, $E$9)</f>
        <v>17.5685</v>
      </c>
      <c r="L545" s="81">
        <f>8.9588 * CHOOSE(CONTROL!$C$32, $C$9, 100%, $E$9)</f>
        <v>8.9588000000000001</v>
      </c>
      <c r="M545" s="81">
        <f>8.9624 * CHOOSE(CONTROL!$C$32, $C$9, 100%, $E$9)</f>
        <v>8.9624000000000006</v>
      </c>
      <c r="N545" s="81">
        <f>8.9588 * CHOOSE(CONTROL!$C$32, $C$9, 100%, $E$9)</f>
        <v>8.9588000000000001</v>
      </c>
      <c r="O545" s="81">
        <f>8.9624 * CHOOSE(CONTROL!$C$32, $C$9, 100%, $E$9)</f>
        <v>8.9624000000000006</v>
      </c>
    </row>
    <row r="546" spans="1:15" ht="15" x14ac:dyDescent="0.2">
      <c r="A546" s="16">
        <v>57831</v>
      </c>
      <c r="B546" s="80">
        <f>7.8905 * CHOOSE(CONTROL!$C$32, $C$9, 100%, $E$9)</f>
        <v>7.8905000000000003</v>
      </c>
      <c r="C546" s="80">
        <f>7.8905 * CHOOSE(CONTROL!$C$32, $C$9, 100%, $E$9)</f>
        <v>7.8905000000000003</v>
      </c>
      <c r="D546" s="80">
        <f>7.8921 * CHOOSE(CONTROL!$C$32, $C$9, 100%, $E$9)</f>
        <v>7.8921000000000001</v>
      </c>
      <c r="E546" s="81">
        <f>9.0237 * CHOOSE(CONTROL!$C$32, $C$9, 100%, $E$9)</f>
        <v>9.0236999999999998</v>
      </c>
      <c r="F546" s="81">
        <f>9.0237 * CHOOSE(CONTROL!$C$32, $C$9, 100%, $E$9)</f>
        <v>9.0236999999999998</v>
      </c>
      <c r="G546" s="81">
        <f>9.029 * CHOOSE(CONTROL!$C$32, $C$9, 100%, $E$9)</f>
        <v>9.0289999999999999</v>
      </c>
      <c r="H546" s="81">
        <f>17.6014 * CHOOSE(CONTROL!$C$32, $C$9, 100%, $E$9)</f>
        <v>17.601400000000002</v>
      </c>
      <c r="I546" s="81">
        <f>17.6067 * CHOOSE(CONTROL!$C$32, $C$9, 100%, $E$9)</f>
        <v>17.6067</v>
      </c>
      <c r="J546" s="81">
        <f>17.6014 * CHOOSE(CONTROL!$C$32, $C$9, 100%, $E$9)</f>
        <v>17.601400000000002</v>
      </c>
      <c r="K546" s="81">
        <f>17.6067 * CHOOSE(CONTROL!$C$32, $C$9, 100%, $E$9)</f>
        <v>17.6067</v>
      </c>
      <c r="L546" s="81">
        <f>9.0237 * CHOOSE(CONTROL!$C$32, $C$9, 100%, $E$9)</f>
        <v>9.0236999999999998</v>
      </c>
      <c r="M546" s="81">
        <f>9.029 * CHOOSE(CONTROL!$C$32, $C$9, 100%, $E$9)</f>
        <v>9.0289999999999999</v>
      </c>
      <c r="N546" s="81">
        <f>9.0237 * CHOOSE(CONTROL!$C$32, $C$9, 100%, $E$9)</f>
        <v>9.0236999999999998</v>
      </c>
      <c r="O546" s="81">
        <f>9.029 * CHOOSE(CONTROL!$C$32, $C$9, 100%, $E$9)</f>
        <v>9.0289999999999999</v>
      </c>
    </row>
    <row r="547" spans="1:15" ht="15" x14ac:dyDescent="0.2">
      <c r="A547" s="16">
        <v>57862</v>
      </c>
      <c r="B547" s="80">
        <f>7.8966 * CHOOSE(CONTROL!$C$32, $C$9, 100%, $E$9)</f>
        <v>7.8966000000000003</v>
      </c>
      <c r="C547" s="80">
        <f>7.8966 * CHOOSE(CONTROL!$C$32, $C$9, 100%, $E$9)</f>
        <v>7.8966000000000003</v>
      </c>
      <c r="D547" s="80">
        <f>7.8982 * CHOOSE(CONTROL!$C$32, $C$9, 100%, $E$9)</f>
        <v>7.8982000000000001</v>
      </c>
      <c r="E547" s="81">
        <f>8.963 * CHOOSE(CONTROL!$C$32, $C$9, 100%, $E$9)</f>
        <v>8.9629999999999992</v>
      </c>
      <c r="F547" s="81">
        <f>8.963 * CHOOSE(CONTROL!$C$32, $C$9, 100%, $E$9)</f>
        <v>8.9629999999999992</v>
      </c>
      <c r="G547" s="81">
        <f>8.9683 * CHOOSE(CONTROL!$C$32, $C$9, 100%, $E$9)</f>
        <v>8.9682999999999993</v>
      </c>
      <c r="H547" s="81">
        <f>17.6381 * CHOOSE(CONTROL!$C$32, $C$9, 100%, $E$9)</f>
        <v>17.638100000000001</v>
      </c>
      <c r="I547" s="81">
        <f>17.6434 * CHOOSE(CONTROL!$C$32, $C$9, 100%, $E$9)</f>
        <v>17.6434</v>
      </c>
      <c r="J547" s="81">
        <f>17.6381 * CHOOSE(CONTROL!$C$32, $C$9, 100%, $E$9)</f>
        <v>17.638100000000001</v>
      </c>
      <c r="K547" s="81">
        <f>17.6434 * CHOOSE(CONTROL!$C$32, $C$9, 100%, $E$9)</f>
        <v>17.6434</v>
      </c>
      <c r="L547" s="81">
        <f>8.963 * CHOOSE(CONTROL!$C$32, $C$9, 100%, $E$9)</f>
        <v>8.9629999999999992</v>
      </c>
      <c r="M547" s="81">
        <f>8.9683 * CHOOSE(CONTROL!$C$32, $C$9, 100%, $E$9)</f>
        <v>8.9682999999999993</v>
      </c>
      <c r="N547" s="81">
        <f>8.963 * CHOOSE(CONTROL!$C$32, $C$9, 100%, $E$9)</f>
        <v>8.9629999999999992</v>
      </c>
      <c r="O547" s="81">
        <f>8.9683 * CHOOSE(CONTROL!$C$32, $C$9, 100%, $E$9)</f>
        <v>8.9682999999999993</v>
      </c>
    </row>
    <row r="548" spans="1:15" ht="15" x14ac:dyDescent="0.2">
      <c r="A548" s="16">
        <v>57892</v>
      </c>
      <c r="B548" s="80">
        <f>7.9979 * CHOOSE(CONTROL!$C$32, $C$9, 100%, $E$9)</f>
        <v>7.9978999999999996</v>
      </c>
      <c r="C548" s="80">
        <f>7.9979 * CHOOSE(CONTROL!$C$32, $C$9, 100%, $E$9)</f>
        <v>7.9978999999999996</v>
      </c>
      <c r="D548" s="80">
        <f>7.9995 * CHOOSE(CONTROL!$C$32, $C$9, 100%, $E$9)</f>
        <v>7.9995000000000003</v>
      </c>
      <c r="E548" s="81">
        <f>9.0871 * CHOOSE(CONTROL!$C$32, $C$9, 100%, $E$9)</f>
        <v>9.0870999999999995</v>
      </c>
      <c r="F548" s="81">
        <f>9.0871 * CHOOSE(CONTROL!$C$32, $C$9, 100%, $E$9)</f>
        <v>9.0870999999999995</v>
      </c>
      <c r="G548" s="81">
        <f>9.0924 * CHOOSE(CONTROL!$C$32, $C$9, 100%, $E$9)</f>
        <v>9.0923999999999996</v>
      </c>
      <c r="H548" s="81">
        <f>17.6749 * CHOOSE(CONTROL!$C$32, $C$9, 100%, $E$9)</f>
        <v>17.674900000000001</v>
      </c>
      <c r="I548" s="81">
        <f>17.6802 * CHOOSE(CONTROL!$C$32, $C$9, 100%, $E$9)</f>
        <v>17.680199999999999</v>
      </c>
      <c r="J548" s="81">
        <f>17.6749 * CHOOSE(CONTROL!$C$32, $C$9, 100%, $E$9)</f>
        <v>17.674900000000001</v>
      </c>
      <c r="K548" s="81">
        <f>17.6802 * CHOOSE(CONTROL!$C$32, $C$9, 100%, $E$9)</f>
        <v>17.680199999999999</v>
      </c>
      <c r="L548" s="81">
        <f>9.0871 * CHOOSE(CONTROL!$C$32, $C$9, 100%, $E$9)</f>
        <v>9.0870999999999995</v>
      </c>
      <c r="M548" s="81">
        <f>9.0924 * CHOOSE(CONTROL!$C$32, $C$9, 100%, $E$9)</f>
        <v>9.0923999999999996</v>
      </c>
      <c r="N548" s="81">
        <f>9.0871 * CHOOSE(CONTROL!$C$32, $C$9, 100%, $E$9)</f>
        <v>9.0870999999999995</v>
      </c>
      <c r="O548" s="81">
        <f>9.0924 * CHOOSE(CONTROL!$C$32, $C$9, 100%, $E$9)</f>
        <v>9.0923999999999996</v>
      </c>
    </row>
    <row r="549" spans="1:15" ht="15" x14ac:dyDescent="0.2">
      <c r="A549" s="16">
        <v>57923</v>
      </c>
      <c r="B549" s="80">
        <f>8.0046 * CHOOSE(CONTROL!$C$32, $C$9, 100%, $E$9)</f>
        <v>8.0045999999999999</v>
      </c>
      <c r="C549" s="80">
        <f>8.0046 * CHOOSE(CONTROL!$C$32, $C$9, 100%, $E$9)</f>
        <v>8.0045999999999999</v>
      </c>
      <c r="D549" s="80">
        <f>8.0062 * CHOOSE(CONTROL!$C$32, $C$9, 100%, $E$9)</f>
        <v>8.0061999999999998</v>
      </c>
      <c r="E549" s="81">
        <f>8.897 * CHOOSE(CONTROL!$C$32, $C$9, 100%, $E$9)</f>
        <v>8.8970000000000002</v>
      </c>
      <c r="F549" s="81">
        <f>8.897 * CHOOSE(CONTROL!$C$32, $C$9, 100%, $E$9)</f>
        <v>8.8970000000000002</v>
      </c>
      <c r="G549" s="81">
        <f>8.9022 * CHOOSE(CONTROL!$C$32, $C$9, 100%, $E$9)</f>
        <v>8.9022000000000006</v>
      </c>
      <c r="H549" s="81">
        <f>17.7117 * CHOOSE(CONTROL!$C$32, $C$9, 100%, $E$9)</f>
        <v>17.7117</v>
      </c>
      <c r="I549" s="81">
        <f>17.717 * CHOOSE(CONTROL!$C$32, $C$9, 100%, $E$9)</f>
        <v>17.716999999999999</v>
      </c>
      <c r="J549" s="81">
        <f>17.7117 * CHOOSE(CONTROL!$C$32, $C$9, 100%, $E$9)</f>
        <v>17.7117</v>
      </c>
      <c r="K549" s="81">
        <f>17.717 * CHOOSE(CONTROL!$C$32, $C$9, 100%, $E$9)</f>
        <v>17.716999999999999</v>
      </c>
      <c r="L549" s="81">
        <f>8.897 * CHOOSE(CONTROL!$C$32, $C$9, 100%, $E$9)</f>
        <v>8.8970000000000002</v>
      </c>
      <c r="M549" s="81">
        <f>8.9022 * CHOOSE(CONTROL!$C$32, $C$9, 100%, $E$9)</f>
        <v>8.9022000000000006</v>
      </c>
      <c r="N549" s="81">
        <f>8.897 * CHOOSE(CONTROL!$C$32, $C$9, 100%, $E$9)</f>
        <v>8.8970000000000002</v>
      </c>
      <c r="O549" s="81">
        <f>8.9022 * CHOOSE(CONTROL!$C$32, $C$9, 100%, $E$9)</f>
        <v>8.9022000000000006</v>
      </c>
    </row>
    <row r="550" spans="1:15" ht="15" x14ac:dyDescent="0.2">
      <c r="A550" s="16">
        <v>57954</v>
      </c>
      <c r="B550" s="80">
        <f>8.0015 * CHOOSE(CONTROL!$C$32, $C$9, 100%, $E$9)</f>
        <v>8.0015000000000001</v>
      </c>
      <c r="C550" s="80">
        <f>8.0015 * CHOOSE(CONTROL!$C$32, $C$9, 100%, $E$9)</f>
        <v>8.0015000000000001</v>
      </c>
      <c r="D550" s="80">
        <f>8.0031 * CHOOSE(CONTROL!$C$32, $C$9, 100%, $E$9)</f>
        <v>8.0030999999999999</v>
      </c>
      <c r="E550" s="81">
        <f>8.8732 * CHOOSE(CONTROL!$C$32, $C$9, 100%, $E$9)</f>
        <v>8.8732000000000006</v>
      </c>
      <c r="F550" s="81">
        <f>8.8732 * CHOOSE(CONTROL!$C$32, $C$9, 100%, $E$9)</f>
        <v>8.8732000000000006</v>
      </c>
      <c r="G550" s="81">
        <f>8.8785 * CHOOSE(CONTROL!$C$32, $C$9, 100%, $E$9)</f>
        <v>8.8785000000000007</v>
      </c>
      <c r="H550" s="81">
        <f>17.7486 * CHOOSE(CONTROL!$C$32, $C$9, 100%, $E$9)</f>
        <v>17.7486</v>
      </c>
      <c r="I550" s="81">
        <f>17.7539 * CHOOSE(CONTROL!$C$32, $C$9, 100%, $E$9)</f>
        <v>17.753900000000002</v>
      </c>
      <c r="J550" s="81">
        <f>17.7486 * CHOOSE(CONTROL!$C$32, $C$9, 100%, $E$9)</f>
        <v>17.7486</v>
      </c>
      <c r="K550" s="81">
        <f>17.7539 * CHOOSE(CONTROL!$C$32, $C$9, 100%, $E$9)</f>
        <v>17.753900000000002</v>
      </c>
      <c r="L550" s="81">
        <f>8.8732 * CHOOSE(CONTROL!$C$32, $C$9, 100%, $E$9)</f>
        <v>8.8732000000000006</v>
      </c>
      <c r="M550" s="81">
        <f>8.8785 * CHOOSE(CONTROL!$C$32, $C$9, 100%, $E$9)</f>
        <v>8.8785000000000007</v>
      </c>
      <c r="N550" s="81">
        <f>8.8732 * CHOOSE(CONTROL!$C$32, $C$9, 100%, $E$9)</f>
        <v>8.8732000000000006</v>
      </c>
      <c r="O550" s="81">
        <f>8.8785 * CHOOSE(CONTROL!$C$32, $C$9, 100%, $E$9)</f>
        <v>8.8785000000000007</v>
      </c>
    </row>
    <row r="551" spans="1:15" ht="15" x14ac:dyDescent="0.2">
      <c r="A551" s="16">
        <v>57984</v>
      </c>
      <c r="B551" s="80">
        <f>8.0115 * CHOOSE(CONTROL!$C$32, $C$9, 100%, $E$9)</f>
        <v>8.0114999999999998</v>
      </c>
      <c r="C551" s="80">
        <f>8.0115 * CHOOSE(CONTROL!$C$32, $C$9, 100%, $E$9)</f>
        <v>8.0114999999999998</v>
      </c>
      <c r="D551" s="80">
        <f>8.0126 * CHOOSE(CONTROL!$C$32, $C$9, 100%, $E$9)</f>
        <v>8.0126000000000008</v>
      </c>
      <c r="E551" s="81">
        <f>8.9464 * CHOOSE(CONTROL!$C$32, $C$9, 100%, $E$9)</f>
        <v>8.9464000000000006</v>
      </c>
      <c r="F551" s="81">
        <f>8.9464 * CHOOSE(CONTROL!$C$32, $C$9, 100%, $E$9)</f>
        <v>8.9464000000000006</v>
      </c>
      <c r="G551" s="81">
        <f>8.95 * CHOOSE(CONTROL!$C$32, $C$9, 100%, $E$9)</f>
        <v>8.9499999999999993</v>
      </c>
      <c r="H551" s="81">
        <f>17.7856 * CHOOSE(CONTROL!$C$32, $C$9, 100%, $E$9)</f>
        <v>17.785599999999999</v>
      </c>
      <c r="I551" s="81">
        <f>17.7892 * CHOOSE(CONTROL!$C$32, $C$9, 100%, $E$9)</f>
        <v>17.789200000000001</v>
      </c>
      <c r="J551" s="81">
        <f>17.7856 * CHOOSE(CONTROL!$C$32, $C$9, 100%, $E$9)</f>
        <v>17.785599999999999</v>
      </c>
      <c r="K551" s="81">
        <f>17.7892 * CHOOSE(CONTROL!$C$32, $C$9, 100%, $E$9)</f>
        <v>17.789200000000001</v>
      </c>
      <c r="L551" s="81">
        <f>8.9464 * CHOOSE(CONTROL!$C$32, $C$9, 100%, $E$9)</f>
        <v>8.9464000000000006</v>
      </c>
      <c r="M551" s="81">
        <f>8.95 * CHOOSE(CONTROL!$C$32, $C$9, 100%, $E$9)</f>
        <v>8.9499999999999993</v>
      </c>
      <c r="N551" s="81">
        <f>8.9464 * CHOOSE(CONTROL!$C$32, $C$9, 100%, $E$9)</f>
        <v>8.9464000000000006</v>
      </c>
      <c r="O551" s="81">
        <f>8.95 * CHOOSE(CONTROL!$C$32, $C$9, 100%, $E$9)</f>
        <v>8.9499999999999993</v>
      </c>
    </row>
    <row r="552" spans="1:15" ht="15" x14ac:dyDescent="0.2">
      <c r="A552" s="16">
        <v>58015</v>
      </c>
      <c r="B552" s="80">
        <f>8.0145 * CHOOSE(CONTROL!$C$32, $C$9, 100%, $E$9)</f>
        <v>8.0145</v>
      </c>
      <c r="C552" s="80">
        <f>8.0145 * CHOOSE(CONTROL!$C$32, $C$9, 100%, $E$9)</f>
        <v>8.0145</v>
      </c>
      <c r="D552" s="80">
        <f>8.0156 * CHOOSE(CONTROL!$C$32, $C$9, 100%, $E$9)</f>
        <v>8.0155999999999992</v>
      </c>
      <c r="E552" s="81">
        <f>8.9918 * CHOOSE(CONTROL!$C$32, $C$9, 100%, $E$9)</f>
        <v>8.9917999999999996</v>
      </c>
      <c r="F552" s="81">
        <f>8.9918 * CHOOSE(CONTROL!$C$32, $C$9, 100%, $E$9)</f>
        <v>8.9917999999999996</v>
      </c>
      <c r="G552" s="81">
        <f>8.9954 * CHOOSE(CONTROL!$C$32, $C$9, 100%, $E$9)</f>
        <v>8.9954000000000001</v>
      </c>
      <c r="H552" s="81">
        <f>17.8226 * CHOOSE(CONTROL!$C$32, $C$9, 100%, $E$9)</f>
        <v>17.822600000000001</v>
      </c>
      <c r="I552" s="81">
        <f>17.8262 * CHOOSE(CONTROL!$C$32, $C$9, 100%, $E$9)</f>
        <v>17.8262</v>
      </c>
      <c r="J552" s="81">
        <f>17.8226 * CHOOSE(CONTROL!$C$32, $C$9, 100%, $E$9)</f>
        <v>17.822600000000001</v>
      </c>
      <c r="K552" s="81">
        <f>17.8262 * CHOOSE(CONTROL!$C$32, $C$9, 100%, $E$9)</f>
        <v>17.8262</v>
      </c>
      <c r="L552" s="81">
        <f>8.9918 * CHOOSE(CONTROL!$C$32, $C$9, 100%, $E$9)</f>
        <v>8.9917999999999996</v>
      </c>
      <c r="M552" s="81">
        <f>8.9954 * CHOOSE(CONTROL!$C$32, $C$9, 100%, $E$9)</f>
        <v>8.9954000000000001</v>
      </c>
      <c r="N552" s="81">
        <f>8.9918 * CHOOSE(CONTROL!$C$32, $C$9, 100%, $E$9)</f>
        <v>8.9917999999999996</v>
      </c>
      <c r="O552" s="81">
        <f>8.9954 * CHOOSE(CONTROL!$C$32, $C$9, 100%, $E$9)</f>
        <v>8.9954000000000001</v>
      </c>
    </row>
    <row r="553" spans="1:15" ht="15" x14ac:dyDescent="0.2">
      <c r="A553" s="16">
        <v>58045</v>
      </c>
      <c r="B553" s="80">
        <f>8.0145 * CHOOSE(CONTROL!$C$32, $C$9, 100%, $E$9)</f>
        <v>8.0145</v>
      </c>
      <c r="C553" s="80">
        <f>8.0145 * CHOOSE(CONTROL!$C$32, $C$9, 100%, $E$9)</f>
        <v>8.0145</v>
      </c>
      <c r="D553" s="80">
        <f>8.0156 * CHOOSE(CONTROL!$C$32, $C$9, 100%, $E$9)</f>
        <v>8.0155999999999992</v>
      </c>
      <c r="E553" s="81">
        <f>8.8835 * CHOOSE(CONTROL!$C$32, $C$9, 100%, $E$9)</f>
        <v>8.8834999999999997</v>
      </c>
      <c r="F553" s="81">
        <f>8.8835 * CHOOSE(CONTROL!$C$32, $C$9, 100%, $E$9)</f>
        <v>8.8834999999999997</v>
      </c>
      <c r="G553" s="81">
        <f>8.8872 * CHOOSE(CONTROL!$C$32, $C$9, 100%, $E$9)</f>
        <v>8.8872</v>
      </c>
      <c r="H553" s="81">
        <f>17.8597 * CHOOSE(CONTROL!$C$32, $C$9, 100%, $E$9)</f>
        <v>17.8597</v>
      </c>
      <c r="I553" s="81">
        <f>17.8634 * CHOOSE(CONTROL!$C$32, $C$9, 100%, $E$9)</f>
        <v>17.863399999999999</v>
      </c>
      <c r="J553" s="81">
        <f>17.8597 * CHOOSE(CONTROL!$C$32, $C$9, 100%, $E$9)</f>
        <v>17.8597</v>
      </c>
      <c r="K553" s="81">
        <f>17.8634 * CHOOSE(CONTROL!$C$32, $C$9, 100%, $E$9)</f>
        <v>17.863399999999999</v>
      </c>
      <c r="L553" s="81">
        <f>8.8835 * CHOOSE(CONTROL!$C$32, $C$9, 100%, $E$9)</f>
        <v>8.8834999999999997</v>
      </c>
      <c r="M553" s="81">
        <f>8.8872 * CHOOSE(CONTROL!$C$32, $C$9, 100%, $E$9)</f>
        <v>8.8872</v>
      </c>
      <c r="N553" s="81">
        <f>8.8835 * CHOOSE(CONTROL!$C$32, $C$9, 100%, $E$9)</f>
        <v>8.8834999999999997</v>
      </c>
      <c r="O553" s="81">
        <f>8.8872 * CHOOSE(CONTROL!$C$32, $C$9, 100%, $E$9)</f>
        <v>8.8872</v>
      </c>
    </row>
    <row r="554" spans="1:15" ht="15" x14ac:dyDescent="0.2">
      <c r="A554" s="16">
        <v>58076</v>
      </c>
      <c r="B554" s="80">
        <f>8.0743 * CHOOSE(CONTROL!$C$32, $C$9, 100%, $E$9)</f>
        <v>8.0742999999999991</v>
      </c>
      <c r="C554" s="80">
        <f>8.0743 * CHOOSE(CONTROL!$C$32, $C$9, 100%, $E$9)</f>
        <v>8.0742999999999991</v>
      </c>
      <c r="D554" s="80">
        <f>8.0754 * CHOOSE(CONTROL!$C$32, $C$9, 100%, $E$9)</f>
        <v>8.0754000000000001</v>
      </c>
      <c r="E554" s="81">
        <f>9.0387 * CHOOSE(CONTROL!$C$32, $C$9, 100%, $E$9)</f>
        <v>9.0387000000000004</v>
      </c>
      <c r="F554" s="81">
        <f>9.0387 * CHOOSE(CONTROL!$C$32, $C$9, 100%, $E$9)</f>
        <v>9.0387000000000004</v>
      </c>
      <c r="G554" s="81">
        <f>9.0423 * CHOOSE(CONTROL!$C$32, $C$9, 100%, $E$9)</f>
        <v>9.0422999999999991</v>
      </c>
      <c r="H554" s="81">
        <f>17.897 * CHOOSE(CONTROL!$C$32, $C$9, 100%, $E$9)</f>
        <v>17.896999999999998</v>
      </c>
      <c r="I554" s="81">
        <f>17.9006 * CHOOSE(CONTROL!$C$32, $C$9, 100%, $E$9)</f>
        <v>17.900600000000001</v>
      </c>
      <c r="J554" s="81">
        <f>17.897 * CHOOSE(CONTROL!$C$32, $C$9, 100%, $E$9)</f>
        <v>17.896999999999998</v>
      </c>
      <c r="K554" s="81">
        <f>17.9006 * CHOOSE(CONTROL!$C$32, $C$9, 100%, $E$9)</f>
        <v>17.900600000000001</v>
      </c>
      <c r="L554" s="81">
        <f>9.0387 * CHOOSE(CONTROL!$C$32, $C$9, 100%, $E$9)</f>
        <v>9.0387000000000004</v>
      </c>
      <c r="M554" s="81">
        <f>9.0423 * CHOOSE(CONTROL!$C$32, $C$9, 100%, $E$9)</f>
        <v>9.0422999999999991</v>
      </c>
      <c r="N554" s="81">
        <f>9.0387 * CHOOSE(CONTROL!$C$32, $C$9, 100%, $E$9)</f>
        <v>9.0387000000000004</v>
      </c>
      <c r="O554" s="81">
        <f>9.0423 * CHOOSE(CONTROL!$C$32, $C$9, 100%, $E$9)</f>
        <v>9.0422999999999991</v>
      </c>
    </row>
    <row r="555" spans="1:15" ht="15" x14ac:dyDescent="0.2">
      <c r="A555" s="16">
        <v>58107</v>
      </c>
      <c r="B555" s="80">
        <f>8.0713 * CHOOSE(CONTROL!$C$32, $C$9, 100%, $E$9)</f>
        <v>8.0713000000000008</v>
      </c>
      <c r="C555" s="80">
        <f>8.0713 * CHOOSE(CONTROL!$C$32, $C$9, 100%, $E$9)</f>
        <v>8.0713000000000008</v>
      </c>
      <c r="D555" s="80">
        <f>8.0723 * CHOOSE(CONTROL!$C$32, $C$9, 100%, $E$9)</f>
        <v>8.0723000000000003</v>
      </c>
      <c r="E555" s="81">
        <f>8.8254 * CHOOSE(CONTROL!$C$32, $C$9, 100%, $E$9)</f>
        <v>8.8254000000000001</v>
      </c>
      <c r="F555" s="81">
        <f>8.8254 * CHOOSE(CONTROL!$C$32, $C$9, 100%, $E$9)</f>
        <v>8.8254000000000001</v>
      </c>
      <c r="G555" s="81">
        <f>8.829 * CHOOSE(CONTROL!$C$32, $C$9, 100%, $E$9)</f>
        <v>8.8290000000000006</v>
      </c>
      <c r="H555" s="81">
        <f>17.9342 * CHOOSE(CONTROL!$C$32, $C$9, 100%, $E$9)</f>
        <v>17.934200000000001</v>
      </c>
      <c r="I555" s="81">
        <f>17.9379 * CHOOSE(CONTROL!$C$32, $C$9, 100%, $E$9)</f>
        <v>17.937899999999999</v>
      </c>
      <c r="J555" s="81">
        <f>17.9342 * CHOOSE(CONTROL!$C$32, $C$9, 100%, $E$9)</f>
        <v>17.934200000000001</v>
      </c>
      <c r="K555" s="81">
        <f>17.9379 * CHOOSE(CONTROL!$C$32, $C$9, 100%, $E$9)</f>
        <v>17.937899999999999</v>
      </c>
      <c r="L555" s="81">
        <f>8.8254 * CHOOSE(CONTROL!$C$32, $C$9, 100%, $E$9)</f>
        <v>8.8254000000000001</v>
      </c>
      <c r="M555" s="81">
        <f>8.829 * CHOOSE(CONTROL!$C$32, $C$9, 100%, $E$9)</f>
        <v>8.8290000000000006</v>
      </c>
      <c r="N555" s="81">
        <f>8.8254 * CHOOSE(CONTROL!$C$32, $C$9, 100%, $E$9)</f>
        <v>8.8254000000000001</v>
      </c>
      <c r="O555" s="81">
        <f>8.829 * CHOOSE(CONTROL!$C$32, $C$9, 100%, $E$9)</f>
        <v>8.8290000000000006</v>
      </c>
    </row>
    <row r="556" spans="1:15" ht="15" x14ac:dyDescent="0.2">
      <c r="A556" s="16">
        <v>58135</v>
      </c>
      <c r="B556" s="80">
        <f>8.0682 * CHOOSE(CONTROL!$C$32, $C$9, 100%, $E$9)</f>
        <v>8.0681999999999992</v>
      </c>
      <c r="C556" s="80">
        <f>8.0682 * CHOOSE(CONTROL!$C$32, $C$9, 100%, $E$9)</f>
        <v>8.0681999999999992</v>
      </c>
      <c r="D556" s="80">
        <f>8.0693 * CHOOSE(CONTROL!$C$32, $C$9, 100%, $E$9)</f>
        <v>8.0693000000000001</v>
      </c>
      <c r="E556" s="81">
        <f>8.9897 * CHOOSE(CONTROL!$C$32, $C$9, 100%, $E$9)</f>
        <v>8.9896999999999991</v>
      </c>
      <c r="F556" s="81">
        <f>8.9897 * CHOOSE(CONTROL!$C$32, $C$9, 100%, $E$9)</f>
        <v>8.9896999999999991</v>
      </c>
      <c r="G556" s="81">
        <f>8.9934 * CHOOSE(CONTROL!$C$32, $C$9, 100%, $E$9)</f>
        <v>8.9933999999999994</v>
      </c>
      <c r="H556" s="81">
        <f>17.9716 * CHOOSE(CONTROL!$C$32, $C$9, 100%, $E$9)</f>
        <v>17.971599999999999</v>
      </c>
      <c r="I556" s="81">
        <f>17.9752 * CHOOSE(CONTROL!$C$32, $C$9, 100%, $E$9)</f>
        <v>17.975200000000001</v>
      </c>
      <c r="J556" s="81">
        <f>17.9716 * CHOOSE(CONTROL!$C$32, $C$9, 100%, $E$9)</f>
        <v>17.971599999999999</v>
      </c>
      <c r="K556" s="81">
        <f>17.9752 * CHOOSE(CONTROL!$C$32, $C$9, 100%, $E$9)</f>
        <v>17.975200000000001</v>
      </c>
      <c r="L556" s="81">
        <f>8.9897 * CHOOSE(CONTROL!$C$32, $C$9, 100%, $E$9)</f>
        <v>8.9896999999999991</v>
      </c>
      <c r="M556" s="81">
        <f>8.9934 * CHOOSE(CONTROL!$C$32, $C$9, 100%, $E$9)</f>
        <v>8.9933999999999994</v>
      </c>
      <c r="N556" s="81">
        <f>8.9897 * CHOOSE(CONTROL!$C$32, $C$9, 100%, $E$9)</f>
        <v>8.9896999999999991</v>
      </c>
      <c r="O556" s="81">
        <f>8.9934 * CHOOSE(CONTROL!$C$32, $C$9, 100%, $E$9)</f>
        <v>8.9933999999999994</v>
      </c>
    </row>
    <row r="557" spans="1:15" ht="15" x14ac:dyDescent="0.2">
      <c r="A557" s="16">
        <v>58166</v>
      </c>
      <c r="B557" s="80">
        <f>8.0698 * CHOOSE(CONTROL!$C$32, $C$9, 100%, $E$9)</f>
        <v>8.0698000000000008</v>
      </c>
      <c r="C557" s="80">
        <f>8.0698 * CHOOSE(CONTROL!$C$32, $C$9, 100%, $E$9)</f>
        <v>8.0698000000000008</v>
      </c>
      <c r="D557" s="80">
        <f>8.0709 * CHOOSE(CONTROL!$C$32, $C$9, 100%, $E$9)</f>
        <v>8.0709</v>
      </c>
      <c r="E557" s="81">
        <f>9.1643 * CHOOSE(CONTROL!$C$32, $C$9, 100%, $E$9)</f>
        <v>9.1643000000000008</v>
      </c>
      <c r="F557" s="81">
        <f>9.1643 * CHOOSE(CONTROL!$C$32, $C$9, 100%, $E$9)</f>
        <v>9.1643000000000008</v>
      </c>
      <c r="G557" s="81">
        <f>9.1679 * CHOOSE(CONTROL!$C$32, $C$9, 100%, $E$9)</f>
        <v>9.1678999999999995</v>
      </c>
      <c r="H557" s="81">
        <f>18.009 * CHOOSE(CONTROL!$C$32, $C$9, 100%, $E$9)</f>
        <v>18.009</v>
      </c>
      <c r="I557" s="81">
        <f>18.0127 * CHOOSE(CONTROL!$C$32, $C$9, 100%, $E$9)</f>
        <v>18.012699999999999</v>
      </c>
      <c r="J557" s="81">
        <f>18.009 * CHOOSE(CONTROL!$C$32, $C$9, 100%, $E$9)</f>
        <v>18.009</v>
      </c>
      <c r="K557" s="81">
        <f>18.0127 * CHOOSE(CONTROL!$C$32, $C$9, 100%, $E$9)</f>
        <v>18.012699999999999</v>
      </c>
      <c r="L557" s="81">
        <f>9.1643 * CHOOSE(CONTROL!$C$32, $C$9, 100%, $E$9)</f>
        <v>9.1643000000000008</v>
      </c>
      <c r="M557" s="81">
        <f>9.1679 * CHOOSE(CONTROL!$C$32, $C$9, 100%, $E$9)</f>
        <v>9.1678999999999995</v>
      </c>
      <c r="N557" s="81">
        <f>9.1643 * CHOOSE(CONTROL!$C$32, $C$9, 100%, $E$9)</f>
        <v>9.1643000000000008</v>
      </c>
      <c r="O557" s="81">
        <f>9.1679 * CHOOSE(CONTROL!$C$32, $C$9, 100%, $E$9)</f>
        <v>9.1678999999999995</v>
      </c>
    </row>
    <row r="558" spans="1:15" ht="15" x14ac:dyDescent="0.2">
      <c r="A558" s="16">
        <v>58196</v>
      </c>
      <c r="B558" s="80">
        <f>8.0698 * CHOOSE(CONTROL!$C$32, $C$9, 100%, $E$9)</f>
        <v>8.0698000000000008</v>
      </c>
      <c r="C558" s="80">
        <f>8.0698 * CHOOSE(CONTROL!$C$32, $C$9, 100%, $E$9)</f>
        <v>8.0698000000000008</v>
      </c>
      <c r="D558" s="80">
        <f>8.0714 * CHOOSE(CONTROL!$C$32, $C$9, 100%, $E$9)</f>
        <v>8.0714000000000006</v>
      </c>
      <c r="E558" s="81">
        <f>9.2313 * CHOOSE(CONTROL!$C$32, $C$9, 100%, $E$9)</f>
        <v>9.2312999999999992</v>
      </c>
      <c r="F558" s="81">
        <f>9.2313 * CHOOSE(CONTROL!$C$32, $C$9, 100%, $E$9)</f>
        <v>9.2312999999999992</v>
      </c>
      <c r="G558" s="81">
        <f>9.2366 * CHOOSE(CONTROL!$C$32, $C$9, 100%, $E$9)</f>
        <v>9.2365999999999993</v>
      </c>
      <c r="H558" s="81">
        <f>18.0466 * CHOOSE(CONTROL!$C$32, $C$9, 100%, $E$9)</f>
        <v>18.046600000000002</v>
      </c>
      <c r="I558" s="81">
        <f>18.0519 * CHOOSE(CONTROL!$C$32, $C$9, 100%, $E$9)</f>
        <v>18.0519</v>
      </c>
      <c r="J558" s="81">
        <f>18.0466 * CHOOSE(CONTROL!$C$32, $C$9, 100%, $E$9)</f>
        <v>18.046600000000002</v>
      </c>
      <c r="K558" s="81">
        <f>18.0519 * CHOOSE(CONTROL!$C$32, $C$9, 100%, $E$9)</f>
        <v>18.0519</v>
      </c>
      <c r="L558" s="81">
        <f>9.2313 * CHOOSE(CONTROL!$C$32, $C$9, 100%, $E$9)</f>
        <v>9.2312999999999992</v>
      </c>
      <c r="M558" s="81">
        <f>9.2366 * CHOOSE(CONTROL!$C$32, $C$9, 100%, $E$9)</f>
        <v>9.2365999999999993</v>
      </c>
      <c r="N558" s="81">
        <f>9.2313 * CHOOSE(CONTROL!$C$32, $C$9, 100%, $E$9)</f>
        <v>9.2312999999999992</v>
      </c>
      <c r="O558" s="81">
        <f>9.2366 * CHOOSE(CONTROL!$C$32, $C$9, 100%, $E$9)</f>
        <v>9.2365999999999993</v>
      </c>
    </row>
    <row r="559" spans="1:15" ht="15" x14ac:dyDescent="0.2">
      <c r="A559" s="16">
        <v>58227</v>
      </c>
      <c r="B559" s="80">
        <f>8.0759 * CHOOSE(CONTROL!$C$32, $C$9, 100%, $E$9)</f>
        <v>8.0759000000000007</v>
      </c>
      <c r="C559" s="80">
        <f>8.0759 * CHOOSE(CONTROL!$C$32, $C$9, 100%, $E$9)</f>
        <v>8.0759000000000007</v>
      </c>
      <c r="D559" s="80">
        <f>8.0775 * CHOOSE(CONTROL!$C$32, $C$9, 100%, $E$9)</f>
        <v>8.0775000000000006</v>
      </c>
      <c r="E559" s="81">
        <f>9.1685 * CHOOSE(CONTROL!$C$32, $C$9, 100%, $E$9)</f>
        <v>9.1684999999999999</v>
      </c>
      <c r="F559" s="81">
        <f>9.1685 * CHOOSE(CONTROL!$C$32, $C$9, 100%, $E$9)</f>
        <v>9.1684999999999999</v>
      </c>
      <c r="G559" s="81">
        <f>9.1738 * CHOOSE(CONTROL!$C$32, $C$9, 100%, $E$9)</f>
        <v>9.1738</v>
      </c>
      <c r="H559" s="81">
        <f>18.0842 * CHOOSE(CONTROL!$C$32, $C$9, 100%, $E$9)</f>
        <v>18.084199999999999</v>
      </c>
      <c r="I559" s="81">
        <f>18.0895 * CHOOSE(CONTROL!$C$32, $C$9, 100%, $E$9)</f>
        <v>18.089500000000001</v>
      </c>
      <c r="J559" s="81">
        <f>18.0842 * CHOOSE(CONTROL!$C$32, $C$9, 100%, $E$9)</f>
        <v>18.084199999999999</v>
      </c>
      <c r="K559" s="81">
        <f>18.0895 * CHOOSE(CONTROL!$C$32, $C$9, 100%, $E$9)</f>
        <v>18.089500000000001</v>
      </c>
      <c r="L559" s="81">
        <f>9.1685 * CHOOSE(CONTROL!$C$32, $C$9, 100%, $E$9)</f>
        <v>9.1684999999999999</v>
      </c>
      <c r="M559" s="81">
        <f>9.1738 * CHOOSE(CONTROL!$C$32, $C$9, 100%, $E$9)</f>
        <v>9.1738</v>
      </c>
      <c r="N559" s="81">
        <f>9.1685 * CHOOSE(CONTROL!$C$32, $C$9, 100%, $E$9)</f>
        <v>9.1684999999999999</v>
      </c>
      <c r="O559" s="81">
        <f>9.1738 * CHOOSE(CONTROL!$C$32, $C$9, 100%, $E$9)</f>
        <v>9.1738</v>
      </c>
    </row>
    <row r="560" spans="1:15" ht="15" x14ac:dyDescent="0.2">
      <c r="A560" s="16">
        <v>58257</v>
      </c>
      <c r="B560" s="80">
        <f>8.1792 * CHOOSE(CONTROL!$C$32, $C$9, 100%, $E$9)</f>
        <v>8.1791999999999998</v>
      </c>
      <c r="C560" s="80">
        <f>8.1792 * CHOOSE(CONTROL!$C$32, $C$9, 100%, $E$9)</f>
        <v>8.1791999999999998</v>
      </c>
      <c r="D560" s="80">
        <f>8.1807 * CHOOSE(CONTROL!$C$32, $C$9, 100%, $E$9)</f>
        <v>8.1806999999999999</v>
      </c>
      <c r="E560" s="81">
        <f>9.2956 * CHOOSE(CONTROL!$C$32, $C$9, 100%, $E$9)</f>
        <v>9.2956000000000003</v>
      </c>
      <c r="F560" s="81">
        <f>9.2956 * CHOOSE(CONTROL!$C$32, $C$9, 100%, $E$9)</f>
        <v>9.2956000000000003</v>
      </c>
      <c r="G560" s="81">
        <f>9.3009 * CHOOSE(CONTROL!$C$32, $C$9, 100%, $E$9)</f>
        <v>9.3009000000000004</v>
      </c>
      <c r="H560" s="81">
        <f>18.1218 * CHOOSE(CONTROL!$C$32, $C$9, 100%, $E$9)</f>
        <v>18.1218</v>
      </c>
      <c r="I560" s="81">
        <f>18.1271 * CHOOSE(CONTROL!$C$32, $C$9, 100%, $E$9)</f>
        <v>18.127099999999999</v>
      </c>
      <c r="J560" s="81">
        <f>18.1218 * CHOOSE(CONTROL!$C$32, $C$9, 100%, $E$9)</f>
        <v>18.1218</v>
      </c>
      <c r="K560" s="81">
        <f>18.1271 * CHOOSE(CONTROL!$C$32, $C$9, 100%, $E$9)</f>
        <v>18.127099999999999</v>
      </c>
      <c r="L560" s="81">
        <f>9.2956 * CHOOSE(CONTROL!$C$32, $C$9, 100%, $E$9)</f>
        <v>9.2956000000000003</v>
      </c>
      <c r="M560" s="81">
        <f>9.3009 * CHOOSE(CONTROL!$C$32, $C$9, 100%, $E$9)</f>
        <v>9.3009000000000004</v>
      </c>
      <c r="N560" s="81">
        <f>9.2956 * CHOOSE(CONTROL!$C$32, $C$9, 100%, $E$9)</f>
        <v>9.2956000000000003</v>
      </c>
      <c r="O560" s="81">
        <f>9.3009 * CHOOSE(CONTROL!$C$32, $C$9, 100%, $E$9)</f>
        <v>9.3009000000000004</v>
      </c>
    </row>
    <row r="561" spans="1:15" ht="15" x14ac:dyDescent="0.2">
      <c r="A561" s="16">
        <v>58288</v>
      </c>
      <c r="B561" s="80">
        <f>8.1858 * CHOOSE(CONTROL!$C$32, $C$9, 100%, $E$9)</f>
        <v>8.1858000000000004</v>
      </c>
      <c r="C561" s="80">
        <f>8.1858 * CHOOSE(CONTROL!$C$32, $C$9, 100%, $E$9)</f>
        <v>8.1858000000000004</v>
      </c>
      <c r="D561" s="80">
        <f>8.1874 * CHOOSE(CONTROL!$C$32, $C$9, 100%, $E$9)</f>
        <v>8.1874000000000002</v>
      </c>
      <c r="E561" s="81">
        <f>9.0991 * CHOOSE(CONTROL!$C$32, $C$9, 100%, $E$9)</f>
        <v>9.0991</v>
      </c>
      <c r="F561" s="81">
        <f>9.0991 * CHOOSE(CONTROL!$C$32, $C$9, 100%, $E$9)</f>
        <v>9.0991</v>
      </c>
      <c r="G561" s="81">
        <f>9.1044 * CHOOSE(CONTROL!$C$32, $C$9, 100%, $E$9)</f>
        <v>9.1044</v>
      </c>
      <c r="H561" s="81">
        <f>18.1596 * CHOOSE(CONTROL!$C$32, $C$9, 100%, $E$9)</f>
        <v>18.159600000000001</v>
      </c>
      <c r="I561" s="81">
        <f>18.1649 * CHOOSE(CONTROL!$C$32, $C$9, 100%, $E$9)</f>
        <v>18.164899999999999</v>
      </c>
      <c r="J561" s="81">
        <f>18.1596 * CHOOSE(CONTROL!$C$32, $C$9, 100%, $E$9)</f>
        <v>18.159600000000001</v>
      </c>
      <c r="K561" s="81">
        <f>18.1649 * CHOOSE(CONTROL!$C$32, $C$9, 100%, $E$9)</f>
        <v>18.164899999999999</v>
      </c>
      <c r="L561" s="81">
        <f>9.0991 * CHOOSE(CONTROL!$C$32, $C$9, 100%, $E$9)</f>
        <v>9.0991</v>
      </c>
      <c r="M561" s="81">
        <f>9.1044 * CHOOSE(CONTROL!$C$32, $C$9, 100%, $E$9)</f>
        <v>9.1044</v>
      </c>
      <c r="N561" s="81">
        <f>9.0991 * CHOOSE(CONTROL!$C$32, $C$9, 100%, $E$9)</f>
        <v>9.0991</v>
      </c>
      <c r="O561" s="81">
        <f>9.1044 * CHOOSE(CONTROL!$C$32, $C$9, 100%, $E$9)</f>
        <v>9.1044</v>
      </c>
    </row>
    <row r="562" spans="1:15" ht="15" x14ac:dyDescent="0.2">
      <c r="A562" s="16">
        <v>58319</v>
      </c>
      <c r="B562" s="80">
        <f>8.1828 * CHOOSE(CONTROL!$C$32, $C$9, 100%, $E$9)</f>
        <v>8.1828000000000003</v>
      </c>
      <c r="C562" s="80">
        <f>8.1828 * CHOOSE(CONTROL!$C$32, $C$9, 100%, $E$9)</f>
        <v>8.1828000000000003</v>
      </c>
      <c r="D562" s="80">
        <f>8.1844 * CHOOSE(CONTROL!$C$32, $C$9, 100%, $E$9)</f>
        <v>8.1844000000000001</v>
      </c>
      <c r="E562" s="81">
        <f>9.0746 * CHOOSE(CONTROL!$C$32, $C$9, 100%, $E$9)</f>
        <v>9.0746000000000002</v>
      </c>
      <c r="F562" s="81">
        <f>9.0746 * CHOOSE(CONTROL!$C$32, $C$9, 100%, $E$9)</f>
        <v>9.0746000000000002</v>
      </c>
      <c r="G562" s="81">
        <f>9.0799 * CHOOSE(CONTROL!$C$32, $C$9, 100%, $E$9)</f>
        <v>9.0799000000000003</v>
      </c>
      <c r="H562" s="81">
        <f>18.1974 * CHOOSE(CONTROL!$C$32, $C$9, 100%, $E$9)</f>
        <v>18.197399999999998</v>
      </c>
      <c r="I562" s="81">
        <f>18.2027 * CHOOSE(CONTROL!$C$32, $C$9, 100%, $E$9)</f>
        <v>18.2027</v>
      </c>
      <c r="J562" s="81">
        <f>18.1974 * CHOOSE(CONTROL!$C$32, $C$9, 100%, $E$9)</f>
        <v>18.197399999999998</v>
      </c>
      <c r="K562" s="81">
        <f>18.2027 * CHOOSE(CONTROL!$C$32, $C$9, 100%, $E$9)</f>
        <v>18.2027</v>
      </c>
      <c r="L562" s="81">
        <f>9.0746 * CHOOSE(CONTROL!$C$32, $C$9, 100%, $E$9)</f>
        <v>9.0746000000000002</v>
      </c>
      <c r="M562" s="81">
        <f>9.0799 * CHOOSE(CONTROL!$C$32, $C$9, 100%, $E$9)</f>
        <v>9.0799000000000003</v>
      </c>
      <c r="N562" s="81">
        <f>9.0746 * CHOOSE(CONTROL!$C$32, $C$9, 100%, $E$9)</f>
        <v>9.0746000000000002</v>
      </c>
      <c r="O562" s="81">
        <f>9.0799 * CHOOSE(CONTROL!$C$32, $C$9, 100%, $E$9)</f>
        <v>9.0799000000000003</v>
      </c>
    </row>
    <row r="563" spans="1:15" ht="15" x14ac:dyDescent="0.2">
      <c r="A563" s="16">
        <v>58349</v>
      </c>
      <c r="B563" s="80">
        <f>8.1934 * CHOOSE(CONTROL!$C$32, $C$9, 100%, $E$9)</f>
        <v>8.1934000000000005</v>
      </c>
      <c r="C563" s="80">
        <f>8.1934 * CHOOSE(CONTROL!$C$32, $C$9, 100%, $E$9)</f>
        <v>8.1934000000000005</v>
      </c>
      <c r="D563" s="80">
        <f>8.1945 * CHOOSE(CONTROL!$C$32, $C$9, 100%, $E$9)</f>
        <v>8.1944999999999997</v>
      </c>
      <c r="E563" s="81">
        <f>9.1506 * CHOOSE(CONTROL!$C$32, $C$9, 100%, $E$9)</f>
        <v>9.1506000000000007</v>
      </c>
      <c r="F563" s="81">
        <f>9.1506 * CHOOSE(CONTROL!$C$32, $C$9, 100%, $E$9)</f>
        <v>9.1506000000000007</v>
      </c>
      <c r="G563" s="81">
        <f>9.1542 * CHOOSE(CONTROL!$C$32, $C$9, 100%, $E$9)</f>
        <v>9.1541999999999994</v>
      </c>
      <c r="H563" s="81">
        <f>18.2353 * CHOOSE(CONTROL!$C$32, $C$9, 100%, $E$9)</f>
        <v>18.235299999999999</v>
      </c>
      <c r="I563" s="81">
        <f>18.2389 * CHOOSE(CONTROL!$C$32, $C$9, 100%, $E$9)</f>
        <v>18.238900000000001</v>
      </c>
      <c r="J563" s="81">
        <f>18.2353 * CHOOSE(CONTROL!$C$32, $C$9, 100%, $E$9)</f>
        <v>18.235299999999999</v>
      </c>
      <c r="K563" s="81">
        <f>18.2389 * CHOOSE(CONTROL!$C$32, $C$9, 100%, $E$9)</f>
        <v>18.238900000000001</v>
      </c>
      <c r="L563" s="81">
        <f>9.1506 * CHOOSE(CONTROL!$C$32, $C$9, 100%, $E$9)</f>
        <v>9.1506000000000007</v>
      </c>
      <c r="M563" s="81">
        <f>9.1542 * CHOOSE(CONTROL!$C$32, $C$9, 100%, $E$9)</f>
        <v>9.1541999999999994</v>
      </c>
      <c r="N563" s="81">
        <f>9.1506 * CHOOSE(CONTROL!$C$32, $C$9, 100%, $E$9)</f>
        <v>9.1506000000000007</v>
      </c>
      <c r="O563" s="81">
        <f>9.1542 * CHOOSE(CONTROL!$C$32, $C$9, 100%, $E$9)</f>
        <v>9.1541999999999994</v>
      </c>
    </row>
    <row r="564" spans="1:15" ht="15" x14ac:dyDescent="0.2">
      <c r="A564" s="16">
        <v>58380</v>
      </c>
      <c r="B564" s="80">
        <f>8.1965 * CHOOSE(CONTROL!$C$32, $C$9, 100%, $E$9)</f>
        <v>8.1965000000000003</v>
      </c>
      <c r="C564" s="80">
        <f>8.1965 * CHOOSE(CONTROL!$C$32, $C$9, 100%, $E$9)</f>
        <v>8.1965000000000003</v>
      </c>
      <c r="D564" s="80">
        <f>8.1976 * CHOOSE(CONTROL!$C$32, $C$9, 100%, $E$9)</f>
        <v>8.1975999999999996</v>
      </c>
      <c r="E564" s="81">
        <f>9.1974 * CHOOSE(CONTROL!$C$32, $C$9, 100%, $E$9)</f>
        <v>9.1974</v>
      </c>
      <c r="F564" s="81">
        <f>9.1974 * CHOOSE(CONTROL!$C$32, $C$9, 100%, $E$9)</f>
        <v>9.1974</v>
      </c>
      <c r="G564" s="81">
        <f>9.2011 * CHOOSE(CONTROL!$C$32, $C$9, 100%, $E$9)</f>
        <v>9.2011000000000003</v>
      </c>
      <c r="H564" s="81">
        <f>18.2733 * CHOOSE(CONTROL!$C$32, $C$9, 100%, $E$9)</f>
        <v>18.273299999999999</v>
      </c>
      <c r="I564" s="81">
        <f>18.2769 * CHOOSE(CONTROL!$C$32, $C$9, 100%, $E$9)</f>
        <v>18.276900000000001</v>
      </c>
      <c r="J564" s="81">
        <f>18.2733 * CHOOSE(CONTROL!$C$32, $C$9, 100%, $E$9)</f>
        <v>18.273299999999999</v>
      </c>
      <c r="K564" s="81">
        <f>18.2769 * CHOOSE(CONTROL!$C$32, $C$9, 100%, $E$9)</f>
        <v>18.276900000000001</v>
      </c>
      <c r="L564" s="81">
        <f>9.1974 * CHOOSE(CONTROL!$C$32, $C$9, 100%, $E$9)</f>
        <v>9.1974</v>
      </c>
      <c r="M564" s="81">
        <f>9.2011 * CHOOSE(CONTROL!$C$32, $C$9, 100%, $E$9)</f>
        <v>9.2011000000000003</v>
      </c>
      <c r="N564" s="81">
        <f>9.1974 * CHOOSE(CONTROL!$C$32, $C$9, 100%, $E$9)</f>
        <v>9.1974</v>
      </c>
      <c r="O564" s="81">
        <f>9.2011 * CHOOSE(CONTROL!$C$32, $C$9, 100%, $E$9)</f>
        <v>9.2011000000000003</v>
      </c>
    </row>
    <row r="565" spans="1:15" ht="15" x14ac:dyDescent="0.2">
      <c r="A565" s="16">
        <v>58410</v>
      </c>
      <c r="B565" s="80">
        <f>8.1965 * CHOOSE(CONTROL!$C$32, $C$9, 100%, $E$9)</f>
        <v>8.1965000000000003</v>
      </c>
      <c r="C565" s="80">
        <f>8.1965 * CHOOSE(CONTROL!$C$32, $C$9, 100%, $E$9)</f>
        <v>8.1965000000000003</v>
      </c>
      <c r="D565" s="80">
        <f>8.1976 * CHOOSE(CONTROL!$C$32, $C$9, 100%, $E$9)</f>
        <v>8.1975999999999996</v>
      </c>
      <c r="E565" s="81">
        <f>9.0857 * CHOOSE(CONTROL!$C$32, $C$9, 100%, $E$9)</f>
        <v>9.0856999999999992</v>
      </c>
      <c r="F565" s="81">
        <f>9.0857 * CHOOSE(CONTROL!$C$32, $C$9, 100%, $E$9)</f>
        <v>9.0856999999999992</v>
      </c>
      <c r="G565" s="81">
        <f>9.0893 * CHOOSE(CONTROL!$C$32, $C$9, 100%, $E$9)</f>
        <v>9.0892999999999997</v>
      </c>
      <c r="H565" s="81">
        <f>18.3114 * CHOOSE(CONTROL!$C$32, $C$9, 100%, $E$9)</f>
        <v>18.311399999999999</v>
      </c>
      <c r="I565" s="81">
        <f>18.315 * CHOOSE(CONTROL!$C$32, $C$9, 100%, $E$9)</f>
        <v>18.315000000000001</v>
      </c>
      <c r="J565" s="81">
        <f>18.3114 * CHOOSE(CONTROL!$C$32, $C$9, 100%, $E$9)</f>
        <v>18.311399999999999</v>
      </c>
      <c r="K565" s="81">
        <f>18.315 * CHOOSE(CONTROL!$C$32, $C$9, 100%, $E$9)</f>
        <v>18.315000000000001</v>
      </c>
      <c r="L565" s="81">
        <f>9.0857 * CHOOSE(CONTROL!$C$32, $C$9, 100%, $E$9)</f>
        <v>9.0856999999999992</v>
      </c>
      <c r="M565" s="81">
        <f>9.0893 * CHOOSE(CONTROL!$C$32, $C$9, 100%, $E$9)</f>
        <v>9.0892999999999997</v>
      </c>
      <c r="N565" s="81">
        <f>9.0857 * CHOOSE(CONTROL!$C$32, $C$9, 100%, $E$9)</f>
        <v>9.0856999999999992</v>
      </c>
      <c r="O565" s="81">
        <f>9.0893 * CHOOSE(CONTROL!$C$32, $C$9, 100%, $E$9)</f>
        <v>9.0892999999999997</v>
      </c>
    </row>
    <row r="566" spans="1:15" ht="15" x14ac:dyDescent="0.2">
      <c r="A566" s="16">
        <v>58441</v>
      </c>
      <c r="B566" s="80">
        <f>8.2575 * CHOOSE(CONTROL!$C$32, $C$9, 100%, $E$9)</f>
        <v>8.2575000000000003</v>
      </c>
      <c r="C566" s="80">
        <f>8.2575 * CHOOSE(CONTROL!$C$32, $C$9, 100%, $E$9)</f>
        <v>8.2575000000000003</v>
      </c>
      <c r="D566" s="80">
        <f>8.2586 * CHOOSE(CONTROL!$C$32, $C$9, 100%, $E$9)</f>
        <v>8.2585999999999995</v>
      </c>
      <c r="E566" s="81">
        <f>9.2455 * CHOOSE(CONTROL!$C$32, $C$9, 100%, $E$9)</f>
        <v>9.2454999999999998</v>
      </c>
      <c r="F566" s="81">
        <f>9.2455 * CHOOSE(CONTROL!$C$32, $C$9, 100%, $E$9)</f>
        <v>9.2454999999999998</v>
      </c>
      <c r="G566" s="81">
        <f>9.2491 * CHOOSE(CONTROL!$C$32, $C$9, 100%, $E$9)</f>
        <v>9.2491000000000003</v>
      </c>
      <c r="H566" s="81">
        <f>18.3495 * CHOOSE(CONTROL!$C$32, $C$9, 100%, $E$9)</f>
        <v>18.349499999999999</v>
      </c>
      <c r="I566" s="81">
        <f>18.3532 * CHOOSE(CONTROL!$C$32, $C$9, 100%, $E$9)</f>
        <v>18.353200000000001</v>
      </c>
      <c r="J566" s="81">
        <f>18.3495 * CHOOSE(CONTROL!$C$32, $C$9, 100%, $E$9)</f>
        <v>18.349499999999999</v>
      </c>
      <c r="K566" s="81">
        <f>18.3532 * CHOOSE(CONTROL!$C$32, $C$9, 100%, $E$9)</f>
        <v>18.353200000000001</v>
      </c>
      <c r="L566" s="81">
        <f>9.2455 * CHOOSE(CONTROL!$C$32, $C$9, 100%, $E$9)</f>
        <v>9.2454999999999998</v>
      </c>
      <c r="M566" s="81">
        <f>9.2491 * CHOOSE(CONTROL!$C$32, $C$9, 100%, $E$9)</f>
        <v>9.2491000000000003</v>
      </c>
      <c r="N566" s="81">
        <f>9.2455 * CHOOSE(CONTROL!$C$32, $C$9, 100%, $E$9)</f>
        <v>9.2454999999999998</v>
      </c>
      <c r="O566" s="81">
        <f>9.2491 * CHOOSE(CONTROL!$C$32, $C$9, 100%, $E$9)</f>
        <v>9.2491000000000003</v>
      </c>
    </row>
    <row r="567" spans="1:15" ht="15" x14ac:dyDescent="0.2">
      <c r="A567" s="16">
        <v>58472</v>
      </c>
      <c r="B567" s="80">
        <f>8.2544 * CHOOSE(CONTROL!$C$32, $C$9, 100%, $E$9)</f>
        <v>8.2544000000000004</v>
      </c>
      <c r="C567" s="80">
        <f>8.2544 * CHOOSE(CONTROL!$C$32, $C$9, 100%, $E$9)</f>
        <v>8.2544000000000004</v>
      </c>
      <c r="D567" s="80">
        <f>8.2555 * CHOOSE(CONTROL!$C$32, $C$9, 100%, $E$9)</f>
        <v>8.2554999999999996</v>
      </c>
      <c r="E567" s="81">
        <f>9.0253 * CHOOSE(CONTROL!$C$32, $C$9, 100%, $E$9)</f>
        <v>9.0252999999999997</v>
      </c>
      <c r="F567" s="81">
        <f>9.0253 * CHOOSE(CONTROL!$C$32, $C$9, 100%, $E$9)</f>
        <v>9.0252999999999997</v>
      </c>
      <c r="G567" s="81">
        <f>9.0289 * CHOOSE(CONTROL!$C$32, $C$9, 100%, $E$9)</f>
        <v>9.0289000000000001</v>
      </c>
      <c r="H567" s="81">
        <f>18.3878 * CHOOSE(CONTROL!$C$32, $C$9, 100%, $E$9)</f>
        <v>18.387799999999999</v>
      </c>
      <c r="I567" s="81">
        <f>18.3914 * CHOOSE(CONTROL!$C$32, $C$9, 100%, $E$9)</f>
        <v>18.391400000000001</v>
      </c>
      <c r="J567" s="81">
        <f>18.3878 * CHOOSE(CONTROL!$C$32, $C$9, 100%, $E$9)</f>
        <v>18.387799999999999</v>
      </c>
      <c r="K567" s="81">
        <f>18.3914 * CHOOSE(CONTROL!$C$32, $C$9, 100%, $E$9)</f>
        <v>18.391400000000001</v>
      </c>
      <c r="L567" s="81">
        <f>9.0253 * CHOOSE(CONTROL!$C$32, $C$9, 100%, $E$9)</f>
        <v>9.0252999999999997</v>
      </c>
      <c r="M567" s="81">
        <f>9.0289 * CHOOSE(CONTROL!$C$32, $C$9, 100%, $E$9)</f>
        <v>9.0289000000000001</v>
      </c>
      <c r="N567" s="81">
        <f>9.0253 * CHOOSE(CONTROL!$C$32, $C$9, 100%, $E$9)</f>
        <v>9.0252999999999997</v>
      </c>
      <c r="O567" s="81">
        <f>9.0289 * CHOOSE(CONTROL!$C$32, $C$9, 100%, $E$9)</f>
        <v>9.0289000000000001</v>
      </c>
    </row>
    <row r="568" spans="1:15" ht="15" x14ac:dyDescent="0.2">
      <c r="A568" s="16">
        <v>58501</v>
      </c>
      <c r="B568" s="80">
        <f>8.2514 * CHOOSE(CONTROL!$C$32, $C$9, 100%, $E$9)</f>
        <v>8.2514000000000003</v>
      </c>
      <c r="C568" s="80">
        <f>8.2514 * CHOOSE(CONTROL!$C$32, $C$9, 100%, $E$9)</f>
        <v>8.2514000000000003</v>
      </c>
      <c r="D568" s="80">
        <f>8.2525 * CHOOSE(CONTROL!$C$32, $C$9, 100%, $E$9)</f>
        <v>8.2524999999999995</v>
      </c>
      <c r="E568" s="81">
        <f>9.1951 * CHOOSE(CONTROL!$C$32, $C$9, 100%, $E$9)</f>
        <v>9.1951000000000001</v>
      </c>
      <c r="F568" s="81">
        <f>9.1951 * CHOOSE(CONTROL!$C$32, $C$9, 100%, $E$9)</f>
        <v>9.1951000000000001</v>
      </c>
      <c r="G568" s="81">
        <f>9.1987 * CHOOSE(CONTROL!$C$32, $C$9, 100%, $E$9)</f>
        <v>9.1987000000000005</v>
      </c>
      <c r="H568" s="81">
        <f>18.4261 * CHOOSE(CONTROL!$C$32, $C$9, 100%, $E$9)</f>
        <v>18.426100000000002</v>
      </c>
      <c r="I568" s="81">
        <f>18.4297 * CHOOSE(CONTROL!$C$32, $C$9, 100%, $E$9)</f>
        <v>18.4297</v>
      </c>
      <c r="J568" s="81">
        <f>18.4261 * CHOOSE(CONTROL!$C$32, $C$9, 100%, $E$9)</f>
        <v>18.426100000000002</v>
      </c>
      <c r="K568" s="81">
        <f>18.4297 * CHOOSE(CONTROL!$C$32, $C$9, 100%, $E$9)</f>
        <v>18.4297</v>
      </c>
      <c r="L568" s="81">
        <f>9.1951 * CHOOSE(CONTROL!$C$32, $C$9, 100%, $E$9)</f>
        <v>9.1951000000000001</v>
      </c>
      <c r="M568" s="81">
        <f>9.1987 * CHOOSE(CONTROL!$C$32, $C$9, 100%, $E$9)</f>
        <v>9.1987000000000005</v>
      </c>
      <c r="N568" s="81">
        <f>9.1951 * CHOOSE(CONTROL!$C$32, $C$9, 100%, $E$9)</f>
        <v>9.1951000000000001</v>
      </c>
      <c r="O568" s="81">
        <f>9.1987 * CHOOSE(CONTROL!$C$32, $C$9, 100%, $E$9)</f>
        <v>9.1987000000000005</v>
      </c>
    </row>
    <row r="569" spans="1:15" ht="15" x14ac:dyDescent="0.2">
      <c r="A569" s="16">
        <v>58532</v>
      </c>
      <c r="B569" s="80">
        <f>8.2532 * CHOOSE(CONTROL!$C$32, $C$9, 100%, $E$9)</f>
        <v>8.2531999999999996</v>
      </c>
      <c r="C569" s="80">
        <f>8.2532 * CHOOSE(CONTROL!$C$32, $C$9, 100%, $E$9)</f>
        <v>8.2531999999999996</v>
      </c>
      <c r="D569" s="80">
        <f>8.2542 * CHOOSE(CONTROL!$C$32, $C$9, 100%, $E$9)</f>
        <v>8.2542000000000009</v>
      </c>
      <c r="E569" s="81">
        <f>9.3755 * CHOOSE(CONTROL!$C$32, $C$9, 100%, $E$9)</f>
        <v>9.3755000000000006</v>
      </c>
      <c r="F569" s="81">
        <f>9.3755 * CHOOSE(CONTROL!$C$32, $C$9, 100%, $E$9)</f>
        <v>9.3755000000000006</v>
      </c>
      <c r="G569" s="81">
        <f>9.3791 * CHOOSE(CONTROL!$C$32, $C$9, 100%, $E$9)</f>
        <v>9.3790999999999993</v>
      </c>
      <c r="H569" s="81">
        <f>18.4645 * CHOOSE(CONTROL!$C$32, $C$9, 100%, $E$9)</f>
        <v>18.464500000000001</v>
      </c>
      <c r="I569" s="81">
        <f>18.4681 * CHOOSE(CONTROL!$C$32, $C$9, 100%, $E$9)</f>
        <v>18.4681</v>
      </c>
      <c r="J569" s="81">
        <f>18.4645 * CHOOSE(CONTROL!$C$32, $C$9, 100%, $E$9)</f>
        <v>18.464500000000001</v>
      </c>
      <c r="K569" s="81">
        <f>18.4681 * CHOOSE(CONTROL!$C$32, $C$9, 100%, $E$9)</f>
        <v>18.4681</v>
      </c>
      <c r="L569" s="81">
        <f>9.3755 * CHOOSE(CONTROL!$C$32, $C$9, 100%, $E$9)</f>
        <v>9.3755000000000006</v>
      </c>
      <c r="M569" s="81">
        <f>9.3791 * CHOOSE(CONTROL!$C$32, $C$9, 100%, $E$9)</f>
        <v>9.3790999999999993</v>
      </c>
      <c r="N569" s="81">
        <f>9.3755 * CHOOSE(CONTROL!$C$32, $C$9, 100%, $E$9)</f>
        <v>9.3755000000000006</v>
      </c>
      <c r="O569" s="81">
        <f>9.3791 * CHOOSE(CONTROL!$C$32, $C$9, 100%, $E$9)</f>
        <v>9.3790999999999993</v>
      </c>
    </row>
    <row r="570" spans="1:15" ht="15" x14ac:dyDescent="0.2">
      <c r="A570" s="16">
        <v>58562</v>
      </c>
      <c r="B570" s="80">
        <f>8.2532 * CHOOSE(CONTROL!$C$32, $C$9, 100%, $E$9)</f>
        <v>8.2531999999999996</v>
      </c>
      <c r="C570" s="80">
        <f>8.2532 * CHOOSE(CONTROL!$C$32, $C$9, 100%, $E$9)</f>
        <v>8.2531999999999996</v>
      </c>
      <c r="D570" s="80">
        <f>8.2548 * CHOOSE(CONTROL!$C$32, $C$9, 100%, $E$9)</f>
        <v>8.2547999999999995</v>
      </c>
      <c r="E570" s="81">
        <f>9.4447 * CHOOSE(CONTROL!$C$32, $C$9, 100%, $E$9)</f>
        <v>9.4446999999999992</v>
      </c>
      <c r="F570" s="81">
        <f>9.4447 * CHOOSE(CONTROL!$C$32, $C$9, 100%, $E$9)</f>
        <v>9.4446999999999992</v>
      </c>
      <c r="G570" s="81">
        <f>9.45 * CHOOSE(CONTROL!$C$32, $C$9, 100%, $E$9)</f>
        <v>9.4499999999999993</v>
      </c>
      <c r="H570" s="81">
        <f>18.5029 * CHOOSE(CONTROL!$C$32, $C$9, 100%, $E$9)</f>
        <v>18.5029</v>
      </c>
      <c r="I570" s="81">
        <f>18.5082 * CHOOSE(CONTROL!$C$32, $C$9, 100%, $E$9)</f>
        <v>18.508199999999999</v>
      </c>
      <c r="J570" s="81">
        <f>18.5029 * CHOOSE(CONTROL!$C$32, $C$9, 100%, $E$9)</f>
        <v>18.5029</v>
      </c>
      <c r="K570" s="81">
        <f>18.5082 * CHOOSE(CONTROL!$C$32, $C$9, 100%, $E$9)</f>
        <v>18.508199999999999</v>
      </c>
      <c r="L570" s="81">
        <f>9.4447 * CHOOSE(CONTROL!$C$32, $C$9, 100%, $E$9)</f>
        <v>9.4446999999999992</v>
      </c>
      <c r="M570" s="81">
        <f>9.45 * CHOOSE(CONTROL!$C$32, $C$9, 100%, $E$9)</f>
        <v>9.4499999999999993</v>
      </c>
      <c r="N570" s="81">
        <f>9.4447 * CHOOSE(CONTROL!$C$32, $C$9, 100%, $E$9)</f>
        <v>9.4446999999999992</v>
      </c>
      <c r="O570" s="81">
        <f>9.45 * CHOOSE(CONTROL!$C$32, $C$9, 100%, $E$9)</f>
        <v>9.4499999999999993</v>
      </c>
    </row>
    <row r="571" spans="1:15" ht="15" x14ac:dyDescent="0.2">
      <c r="A571" s="16">
        <v>58593</v>
      </c>
      <c r="B571" s="80">
        <f>8.2593 * CHOOSE(CONTROL!$C$32, $C$9, 100%, $E$9)</f>
        <v>8.2592999999999996</v>
      </c>
      <c r="C571" s="80">
        <f>8.2593 * CHOOSE(CONTROL!$C$32, $C$9, 100%, $E$9)</f>
        <v>8.2592999999999996</v>
      </c>
      <c r="D571" s="80">
        <f>8.2608 * CHOOSE(CONTROL!$C$32, $C$9, 100%, $E$9)</f>
        <v>8.2607999999999997</v>
      </c>
      <c r="E571" s="81">
        <f>9.3797 * CHOOSE(CONTROL!$C$32, $C$9, 100%, $E$9)</f>
        <v>9.3796999999999997</v>
      </c>
      <c r="F571" s="81">
        <f>9.3797 * CHOOSE(CONTROL!$C$32, $C$9, 100%, $E$9)</f>
        <v>9.3796999999999997</v>
      </c>
      <c r="G571" s="81">
        <f>9.385 * CHOOSE(CONTROL!$C$32, $C$9, 100%, $E$9)</f>
        <v>9.3849999999999998</v>
      </c>
      <c r="H571" s="81">
        <f>18.5415 * CHOOSE(CONTROL!$C$32, $C$9, 100%, $E$9)</f>
        <v>18.541499999999999</v>
      </c>
      <c r="I571" s="81">
        <f>18.5468 * CHOOSE(CONTROL!$C$32, $C$9, 100%, $E$9)</f>
        <v>18.546800000000001</v>
      </c>
      <c r="J571" s="81">
        <f>18.5415 * CHOOSE(CONTROL!$C$32, $C$9, 100%, $E$9)</f>
        <v>18.541499999999999</v>
      </c>
      <c r="K571" s="81">
        <f>18.5468 * CHOOSE(CONTROL!$C$32, $C$9, 100%, $E$9)</f>
        <v>18.546800000000001</v>
      </c>
      <c r="L571" s="81">
        <f>9.3797 * CHOOSE(CONTROL!$C$32, $C$9, 100%, $E$9)</f>
        <v>9.3796999999999997</v>
      </c>
      <c r="M571" s="81">
        <f>9.385 * CHOOSE(CONTROL!$C$32, $C$9, 100%, $E$9)</f>
        <v>9.3849999999999998</v>
      </c>
      <c r="N571" s="81">
        <f>9.3797 * CHOOSE(CONTROL!$C$32, $C$9, 100%, $E$9)</f>
        <v>9.3796999999999997</v>
      </c>
      <c r="O571" s="81">
        <f>9.385 * CHOOSE(CONTROL!$C$32, $C$9, 100%, $E$9)</f>
        <v>9.3849999999999998</v>
      </c>
    </row>
    <row r="572" spans="1:15" ht="15" x14ac:dyDescent="0.2">
      <c r="A572" s="16">
        <v>58623</v>
      </c>
      <c r="B572" s="80">
        <f>8.3645 * CHOOSE(CONTROL!$C$32, $C$9, 100%, $E$9)</f>
        <v>8.3644999999999996</v>
      </c>
      <c r="C572" s="80">
        <f>8.3645 * CHOOSE(CONTROL!$C$32, $C$9, 100%, $E$9)</f>
        <v>8.3644999999999996</v>
      </c>
      <c r="D572" s="80">
        <f>8.3661 * CHOOSE(CONTROL!$C$32, $C$9, 100%, $E$9)</f>
        <v>8.3660999999999994</v>
      </c>
      <c r="E572" s="81">
        <f>9.5099 * CHOOSE(CONTROL!$C$32, $C$9, 100%, $E$9)</f>
        <v>9.5099</v>
      </c>
      <c r="F572" s="81">
        <f>9.5099 * CHOOSE(CONTROL!$C$32, $C$9, 100%, $E$9)</f>
        <v>9.5099</v>
      </c>
      <c r="G572" s="81">
        <f>9.5151 * CHOOSE(CONTROL!$C$32, $C$9, 100%, $E$9)</f>
        <v>9.5151000000000003</v>
      </c>
      <c r="H572" s="81">
        <f>18.5801 * CHOOSE(CONTROL!$C$32, $C$9, 100%, $E$9)</f>
        <v>18.580100000000002</v>
      </c>
      <c r="I572" s="81">
        <f>18.5854 * CHOOSE(CONTROL!$C$32, $C$9, 100%, $E$9)</f>
        <v>18.5854</v>
      </c>
      <c r="J572" s="81">
        <f>18.5801 * CHOOSE(CONTROL!$C$32, $C$9, 100%, $E$9)</f>
        <v>18.580100000000002</v>
      </c>
      <c r="K572" s="81">
        <f>18.5854 * CHOOSE(CONTROL!$C$32, $C$9, 100%, $E$9)</f>
        <v>18.5854</v>
      </c>
      <c r="L572" s="81">
        <f>9.5099 * CHOOSE(CONTROL!$C$32, $C$9, 100%, $E$9)</f>
        <v>9.5099</v>
      </c>
      <c r="M572" s="81">
        <f>9.5151 * CHOOSE(CONTROL!$C$32, $C$9, 100%, $E$9)</f>
        <v>9.5151000000000003</v>
      </c>
      <c r="N572" s="81">
        <f>9.5099 * CHOOSE(CONTROL!$C$32, $C$9, 100%, $E$9)</f>
        <v>9.5099</v>
      </c>
      <c r="O572" s="81">
        <f>9.5151 * CHOOSE(CONTROL!$C$32, $C$9, 100%, $E$9)</f>
        <v>9.5151000000000003</v>
      </c>
    </row>
    <row r="573" spans="1:15" ht="15" x14ac:dyDescent="0.2">
      <c r="A573" s="16">
        <v>58654</v>
      </c>
      <c r="B573" s="80">
        <f>8.3712 * CHOOSE(CONTROL!$C$32, $C$9, 100%, $E$9)</f>
        <v>8.3712</v>
      </c>
      <c r="C573" s="80">
        <f>8.3712 * CHOOSE(CONTROL!$C$32, $C$9, 100%, $E$9)</f>
        <v>8.3712</v>
      </c>
      <c r="D573" s="80">
        <f>8.3728 * CHOOSE(CONTROL!$C$32, $C$9, 100%, $E$9)</f>
        <v>8.3727999999999998</v>
      </c>
      <c r="E573" s="81">
        <f>9.3068 * CHOOSE(CONTROL!$C$32, $C$9, 100%, $E$9)</f>
        <v>9.3068000000000008</v>
      </c>
      <c r="F573" s="81">
        <f>9.3068 * CHOOSE(CONTROL!$C$32, $C$9, 100%, $E$9)</f>
        <v>9.3068000000000008</v>
      </c>
      <c r="G573" s="81">
        <f>9.3121 * CHOOSE(CONTROL!$C$32, $C$9, 100%, $E$9)</f>
        <v>9.3120999999999992</v>
      </c>
      <c r="H573" s="81">
        <f>18.6188 * CHOOSE(CONTROL!$C$32, $C$9, 100%, $E$9)</f>
        <v>18.6188</v>
      </c>
      <c r="I573" s="81">
        <f>18.6241 * CHOOSE(CONTROL!$C$32, $C$9, 100%, $E$9)</f>
        <v>18.624099999999999</v>
      </c>
      <c r="J573" s="81">
        <f>18.6188 * CHOOSE(CONTROL!$C$32, $C$9, 100%, $E$9)</f>
        <v>18.6188</v>
      </c>
      <c r="K573" s="81">
        <f>18.6241 * CHOOSE(CONTROL!$C$32, $C$9, 100%, $E$9)</f>
        <v>18.624099999999999</v>
      </c>
      <c r="L573" s="81">
        <f>9.3068 * CHOOSE(CONTROL!$C$32, $C$9, 100%, $E$9)</f>
        <v>9.3068000000000008</v>
      </c>
      <c r="M573" s="81">
        <f>9.3121 * CHOOSE(CONTROL!$C$32, $C$9, 100%, $E$9)</f>
        <v>9.3120999999999992</v>
      </c>
      <c r="N573" s="81">
        <f>9.3068 * CHOOSE(CONTROL!$C$32, $C$9, 100%, $E$9)</f>
        <v>9.3068000000000008</v>
      </c>
      <c r="O573" s="81">
        <f>9.3121 * CHOOSE(CONTROL!$C$32, $C$9, 100%, $E$9)</f>
        <v>9.3120999999999992</v>
      </c>
    </row>
    <row r="574" spans="1:15" ht="15" x14ac:dyDescent="0.2">
      <c r="A574" s="16">
        <v>58685</v>
      </c>
      <c r="B574" s="80">
        <f>8.3682 * CHOOSE(CONTROL!$C$32, $C$9, 100%, $E$9)</f>
        <v>8.3681999999999999</v>
      </c>
      <c r="C574" s="80">
        <f>8.3682 * CHOOSE(CONTROL!$C$32, $C$9, 100%, $E$9)</f>
        <v>8.3681999999999999</v>
      </c>
      <c r="D574" s="80">
        <f>8.3698 * CHOOSE(CONTROL!$C$32, $C$9, 100%, $E$9)</f>
        <v>8.3697999999999997</v>
      </c>
      <c r="E574" s="81">
        <f>9.2816 * CHOOSE(CONTROL!$C$32, $C$9, 100%, $E$9)</f>
        <v>9.2815999999999992</v>
      </c>
      <c r="F574" s="81">
        <f>9.2816 * CHOOSE(CONTROL!$C$32, $C$9, 100%, $E$9)</f>
        <v>9.2815999999999992</v>
      </c>
      <c r="G574" s="81">
        <f>9.2869 * CHOOSE(CONTROL!$C$32, $C$9, 100%, $E$9)</f>
        <v>9.2868999999999993</v>
      </c>
      <c r="H574" s="81">
        <f>18.6576 * CHOOSE(CONTROL!$C$32, $C$9, 100%, $E$9)</f>
        <v>18.657599999999999</v>
      </c>
      <c r="I574" s="81">
        <f>18.6629 * CHOOSE(CONTROL!$C$32, $C$9, 100%, $E$9)</f>
        <v>18.6629</v>
      </c>
      <c r="J574" s="81">
        <f>18.6576 * CHOOSE(CONTROL!$C$32, $C$9, 100%, $E$9)</f>
        <v>18.657599999999999</v>
      </c>
      <c r="K574" s="81">
        <f>18.6629 * CHOOSE(CONTROL!$C$32, $C$9, 100%, $E$9)</f>
        <v>18.6629</v>
      </c>
      <c r="L574" s="81">
        <f>9.2816 * CHOOSE(CONTROL!$C$32, $C$9, 100%, $E$9)</f>
        <v>9.2815999999999992</v>
      </c>
      <c r="M574" s="81">
        <f>9.2869 * CHOOSE(CONTROL!$C$32, $C$9, 100%, $E$9)</f>
        <v>9.2868999999999993</v>
      </c>
      <c r="N574" s="81">
        <f>9.2816 * CHOOSE(CONTROL!$C$32, $C$9, 100%, $E$9)</f>
        <v>9.2815999999999992</v>
      </c>
      <c r="O574" s="81">
        <f>9.2869 * CHOOSE(CONTROL!$C$32, $C$9, 100%, $E$9)</f>
        <v>9.2868999999999993</v>
      </c>
    </row>
    <row r="575" spans="1:15" ht="15" x14ac:dyDescent="0.2">
      <c r="A575" s="16">
        <v>58715</v>
      </c>
      <c r="B575" s="80">
        <f>8.3795 * CHOOSE(CONTROL!$C$32, $C$9, 100%, $E$9)</f>
        <v>8.3795000000000002</v>
      </c>
      <c r="C575" s="80">
        <f>8.3795 * CHOOSE(CONTROL!$C$32, $C$9, 100%, $E$9)</f>
        <v>8.3795000000000002</v>
      </c>
      <c r="D575" s="80">
        <f>8.3806 * CHOOSE(CONTROL!$C$32, $C$9, 100%, $E$9)</f>
        <v>8.3805999999999994</v>
      </c>
      <c r="E575" s="81">
        <f>9.3605 * CHOOSE(CONTROL!$C$32, $C$9, 100%, $E$9)</f>
        <v>9.3605</v>
      </c>
      <c r="F575" s="81">
        <f>9.3605 * CHOOSE(CONTROL!$C$32, $C$9, 100%, $E$9)</f>
        <v>9.3605</v>
      </c>
      <c r="G575" s="81">
        <f>9.3641 * CHOOSE(CONTROL!$C$32, $C$9, 100%, $E$9)</f>
        <v>9.3641000000000005</v>
      </c>
      <c r="H575" s="81">
        <f>18.6965 * CHOOSE(CONTROL!$C$32, $C$9, 100%, $E$9)</f>
        <v>18.6965</v>
      </c>
      <c r="I575" s="81">
        <f>18.7001 * CHOOSE(CONTROL!$C$32, $C$9, 100%, $E$9)</f>
        <v>18.700099999999999</v>
      </c>
      <c r="J575" s="81">
        <f>18.6965 * CHOOSE(CONTROL!$C$32, $C$9, 100%, $E$9)</f>
        <v>18.6965</v>
      </c>
      <c r="K575" s="81">
        <f>18.7001 * CHOOSE(CONTROL!$C$32, $C$9, 100%, $E$9)</f>
        <v>18.700099999999999</v>
      </c>
      <c r="L575" s="81">
        <f>9.3605 * CHOOSE(CONTROL!$C$32, $C$9, 100%, $E$9)</f>
        <v>9.3605</v>
      </c>
      <c r="M575" s="81">
        <f>9.3641 * CHOOSE(CONTROL!$C$32, $C$9, 100%, $E$9)</f>
        <v>9.3641000000000005</v>
      </c>
      <c r="N575" s="81">
        <f>9.3605 * CHOOSE(CONTROL!$C$32, $C$9, 100%, $E$9)</f>
        <v>9.3605</v>
      </c>
      <c r="O575" s="81">
        <f>9.3641 * CHOOSE(CONTROL!$C$32, $C$9, 100%, $E$9)</f>
        <v>9.3641000000000005</v>
      </c>
    </row>
    <row r="576" spans="1:15" ht="15" x14ac:dyDescent="0.2">
      <c r="A576" s="16">
        <v>58746</v>
      </c>
      <c r="B576" s="80">
        <f>8.3826 * CHOOSE(CONTROL!$C$32, $C$9, 100%, $E$9)</f>
        <v>8.3826000000000001</v>
      </c>
      <c r="C576" s="80">
        <f>8.3826 * CHOOSE(CONTROL!$C$32, $C$9, 100%, $E$9)</f>
        <v>8.3826000000000001</v>
      </c>
      <c r="D576" s="80">
        <f>8.3836 * CHOOSE(CONTROL!$C$32, $C$9, 100%, $E$9)</f>
        <v>8.3835999999999995</v>
      </c>
      <c r="E576" s="81">
        <f>9.4088 * CHOOSE(CONTROL!$C$32, $C$9, 100%, $E$9)</f>
        <v>9.4087999999999994</v>
      </c>
      <c r="F576" s="81">
        <f>9.4088 * CHOOSE(CONTROL!$C$32, $C$9, 100%, $E$9)</f>
        <v>9.4087999999999994</v>
      </c>
      <c r="G576" s="81">
        <f>9.4124 * CHOOSE(CONTROL!$C$32, $C$9, 100%, $E$9)</f>
        <v>9.4123999999999999</v>
      </c>
      <c r="H576" s="81">
        <f>18.7354 * CHOOSE(CONTROL!$C$32, $C$9, 100%, $E$9)</f>
        <v>18.735399999999998</v>
      </c>
      <c r="I576" s="81">
        <f>18.739 * CHOOSE(CONTROL!$C$32, $C$9, 100%, $E$9)</f>
        <v>18.739000000000001</v>
      </c>
      <c r="J576" s="81">
        <f>18.7354 * CHOOSE(CONTROL!$C$32, $C$9, 100%, $E$9)</f>
        <v>18.735399999999998</v>
      </c>
      <c r="K576" s="81">
        <f>18.739 * CHOOSE(CONTROL!$C$32, $C$9, 100%, $E$9)</f>
        <v>18.739000000000001</v>
      </c>
      <c r="L576" s="81">
        <f>9.4088 * CHOOSE(CONTROL!$C$32, $C$9, 100%, $E$9)</f>
        <v>9.4087999999999994</v>
      </c>
      <c r="M576" s="81">
        <f>9.4124 * CHOOSE(CONTROL!$C$32, $C$9, 100%, $E$9)</f>
        <v>9.4123999999999999</v>
      </c>
      <c r="N576" s="81">
        <f>9.4088 * CHOOSE(CONTROL!$C$32, $C$9, 100%, $E$9)</f>
        <v>9.4087999999999994</v>
      </c>
      <c r="O576" s="81">
        <f>9.4124 * CHOOSE(CONTROL!$C$32, $C$9, 100%, $E$9)</f>
        <v>9.4123999999999999</v>
      </c>
    </row>
    <row r="577" spans="1:15" ht="15" x14ac:dyDescent="0.2">
      <c r="A577" s="16">
        <v>58776</v>
      </c>
      <c r="B577" s="80">
        <f>8.3826 * CHOOSE(CONTROL!$C$32, $C$9, 100%, $E$9)</f>
        <v>8.3826000000000001</v>
      </c>
      <c r="C577" s="80">
        <f>8.3826 * CHOOSE(CONTROL!$C$32, $C$9, 100%, $E$9)</f>
        <v>8.3826000000000001</v>
      </c>
      <c r="D577" s="80">
        <f>8.3836 * CHOOSE(CONTROL!$C$32, $C$9, 100%, $E$9)</f>
        <v>8.3835999999999995</v>
      </c>
      <c r="E577" s="81">
        <f>9.2934 * CHOOSE(CONTROL!$C$32, $C$9, 100%, $E$9)</f>
        <v>9.2934000000000001</v>
      </c>
      <c r="F577" s="81">
        <f>9.2934 * CHOOSE(CONTROL!$C$32, $C$9, 100%, $E$9)</f>
        <v>9.2934000000000001</v>
      </c>
      <c r="G577" s="81">
        <f>9.297 * CHOOSE(CONTROL!$C$32, $C$9, 100%, $E$9)</f>
        <v>9.2970000000000006</v>
      </c>
      <c r="H577" s="81">
        <f>18.7745 * CHOOSE(CONTROL!$C$32, $C$9, 100%, $E$9)</f>
        <v>18.7745</v>
      </c>
      <c r="I577" s="81">
        <f>18.7781 * CHOOSE(CONTROL!$C$32, $C$9, 100%, $E$9)</f>
        <v>18.778099999999998</v>
      </c>
      <c r="J577" s="81">
        <f>18.7745 * CHOOSE(CONTROL!$C$32, $C$9, 100%, $E$9)</f>
        <v>18.7745</v>
      </c>
      <c r="K577" s="81">
        <f>18.7781 * CHOOSE(CONTROL!$C$32, $C$9, 100%, $E$9)</f>
        <v>18.778099999999998</v>
      </c>
      <c r="L577" s="81">
        <f>9.2934 * CHOOSE(CONTROL!$C$32, $C$9, 100%, $E$9)</f>
        <v>9.2934000000000001</v>
      </c>
      <c r="M577" s="81">
        <f>9.297 * CHOOSE(CONTROL!$C$32, $C$9, 100%, $E$9)</f>
        <v>9.2970000000000006</v>
      </c>
      <c r="N577" s="81">
        <f>9.2934 * CHOOSE(CONTROL!$C$32, $C$9, 100%, $E$9)</f>
        <v>9.2934000000000001</v>
      </c>
      <c r="O577" s="81">
        <f>9.297 * CHOOSE(CONTROL!$C$32, $C$9, 100%, $E$9)</f>
        <v>9.2970000000000006</v>
      </c>
    </row>
    <row r="578" spans="1:15" ht="15" x14ac:dyDescent="0.2">
      <c r="A578" s="16">
        <v>58807</v>
      </c>
      <c r="B578" s="80">
        <f>8.4448 * CHOOSE(CONTROL!$C$32, $C$9, 100%, $E$9)</f>
        <v>8.4448000000000008</v>
      </c>
      <c r="C578" s="80">
        <f>8.4448 * CHOOSE(CONTROL!$C$32, $C$9, 100%, $E$9)</f>
        <v>8.4448000000000008</v>
      </c>
      <c r="D578" s="80">
        <f>8.4459 * CHOOSE(CONTROL!$C$32, $C$9, 100%, $E$9)</f>
        <v>8.4459</v>
      </c>
      <c r="E578" s="81">
        <f>9.458 * CHOOSE(CONTROL!$C$32, $C$9, 100%, $E$9)</f>
        <v>9.4580000000000002</v>
      </c>
      <c r="F578" s="81">
        <f>9.458 * CHOOSE(CONTROL!$C$32, $C$9, 100%, $E$9)</f>
        <v>9.4580000000000002</v>
      </c>
      <c r="G578" s="81">
        <f>9.4616 * CHOOSE(CONTROL!$C$32, $C$9, 100%, $E$9)</f>
        <v>9.4616000000000007</v>
      </c>
      <c r="H578" s="81">
        <f>18.8136 * CHOOSE(CONTROL!$C$32, $C$9, 100%, $E$9)</f>
        <v>18.813600000000001</v>
      </c>
      <c r="I578" s="81">
        <f>18.8172 * CHOOSE(CONTROL!$C$32, $C$9, 100%, $E$9)</f>
        <v>18.8172</v>
      </c>
      <c r="J578" s="81">
        <f>18.8136 * CHOOSE(CONTROL!$C$32, $C$9, 100%, $E$9)</f>
        <v>18.813600000000001</v>
      </c>
      <c r="K578" s="81">
        <f>18.8172 * CHOOSE(CONTROL!$C$32, $C$9, 100%, $E$9)</f>
        <v>18.8172</v>
      </c>
      <c r="L578" s="81">
        <f>9.458 * CHOOSE(CONTROL!$C$32, $C$9, 100%, $E$9)</f>
        <v>9.4580000000000002</v>
      </c>
      <c r="M578" s="81">
        <f>9.4616 * CHOOSE(CONTROL!$C$32, $C$9, 100%, $E$9)</f>
        <v>9.4616000000000007</v>
      </c>
      <c r="N578" s="81">
        <f>9.458 * CHOOSE(CONTROL!$C$32, $C$9, 100%, $E$9)</f>
        <v>9.4580000000000002</v>
      </c>
      <c r="O578" s="81">
        <f>9.4616 * CHOOSE(CONTROL!$C$32, $C$9, 100%, $E$9)</f>
        <v>9.4616000000000007</v>
      </c>
    </row>
    <row r="579" spans="1:15" ht="15" x14ac:dyDescent="0.2">
      <c r="A579" s="16">
        <v>58838</v>
      </c>
      <c r="B579" s="80">
        <f>8.4418 * CHOOSE(CONTROL!$C$32, $C$9, 100%, $E$9)</f>
        <v>8.4418000000000006</v>
      </c>
      <c r="C579" s="80">
        <f>8.4418 * CHOOSE(CONTROL!$C$32, $C$9, 100%, $E$9)</f>
        <v>8.4418000000000006</v>
      </c>
      <c r="D579" s="80">
        <f>8.4429 * CHOOSE(CONTROL!$C$32, $C$9, 100%, $E$9)</f>
        <v>8.4428999999999998</v>
      </c>
      <c r="E579" s="81">
        <f>9.2307 * CHOOSE(CONTROL!$C$32, $C$9, 100%, $E$9)</f>
        <v>9.2307000000000006</v>
      </c>
      <c r="F579" s="81">
        <f>9.2307 * CHOOSE(CONTROL!$C$32, $C$9, 100%, $E$9)</f>
        <v>9.2307000000000006</v>
      </c>
      <c r="G579" s="81">
        <f>9.2343 * CHOOSE(CONTROL!$C$32, $C$9, 100%, $E$9)</f>
        <v>9.2342999999999993</v>
      </c>
      <c r="H579" s="81">
        <f>18.8528 * CHOOSE(CONTROL!$C$32, $C$9, 100%, $E$9)</f>
        <v>18.852799999999998</v>
      </c>
      <c r="I579" s="81">
        <f>18.8564 * CHOOSE(CONTROL!$C$32, $C$9, 100%, $E$9)</f>
        <v>18.856400000000001</v>
      </c>
      <c r="J579" s="81">
        <f>18.8528 * CHOOSE(CONTROL!$C$32, $C$9, 100%, $E$9)</f>
        <v>18.852799999999998</v>
      </c>
      <c r="K579" s="81">
        <f>18.8564 * CHOOSE(CONTROL!$C$32, $C$9, 100%, $E$9)</f>
        <v>18.856400000000001</v>
      </c>
      <c r="L579" s="81">
        <f>9.2307 * CHOOSE(CONTROL!$C$32, $C$9, 100%, $E$9)</f>
        <v>9.2307000000000006</v>
      </c>
      <c r="M579" s="81">
        <f>9.2343 * CHOOSE(CONTROL!$C$32, $C$9, 100%, $E$9)</f>
        <v>9.2342999999999993</v>
      </c>
      <c r="N579" s="81">
        <f>9.2307 * CHOOSE(CONTROL!$C$32, $C$9, 100%, $E$9)</f>
        <v>9.2307000000000006</v>
      </c>
      <c r="O579" s="81">
        <f>9.2343 * CHOOSE(CONTROL!$C$32, $C$9, 100%, $E$9)</f>
        <v>9.2342999999999993</v>
      </c>
    </row>
    <row r="580" spans="1:15" ht="15" x14ac:dyDescent="0.2">
      <c r="A580" s="16">
        <v>58866</v>
      </c>
      <c r="B580" s="80">
        <f>8.4388 * CHOOSE(CONTROL!$C$32, $C$9, 100%, $E$9)</f>
        <v>8.4388000000000005</v>
      </c>
      <c r="C580" s="80">
        <f>8.4388 * CHOOSE(CONTROL!$C$32, $C$9, 100%, $E$9)</f>
        <v>8.4388000000000005</v>
      </c>
      <c r="D580" s="80">
        <f>8.4398 * CHOOSE(CONTROL!$C$32, $C$9, 100%, $E$9)</f>
        <v>8.4398</v>
      </c>
      <c r="E580" s="81">
        <f>9.4061 * CHOOSE(CONTROL!$C$32, $C$9, 100%, $E$9)</f>
        <v>9.4061000000000003</v>
      </c>
      <c r="F580" s="81">
        <f>9.4061 * CHOOSE(CONTROL!$C$32, $C$9, 100%, $E$9)</f>
        <v>9.4061000000000003</v>
      </c>
      <c r="G580" s="81">
        <f>9.4097 * CHOOSE(CONTROL!$C$32, $C$9, 100%, $E$9)</f>
        <v>9.4097000000000008</v>
      </c>
      <c r="H580" s="81">
        <f>18.892 * CHOOSE(CONTROL!$C$32, $C$9, 100%, $E$9)</f>
        <v>18.891999999999999</v>
      </c>
      <c r="I580" s="81">
        <f>18.8957 * CHOOSE(CONTROL!$C$32, $C$9, 100%, $E$9)</f>
        <v>18.895700000000001</v>
      </c>
      <c r="J580" s="81">
        <f>18.892 * CHOOSE(CONTROL!$C$32, $C$9, 100%, $E$9)</f>
        <v>18.891999999999999</v>
      </c>
      <c r="K580" s="81">
        <f>18.8957 * CHOOSE(CONTROL!$C$32, $C$9, 100%, $E$9)</f>
        <v>18.895700000000001</v>
      </c>
      <c r="L580" s="81">
        <f>9.4061 * CHOOSE(CONTROL!$C$32, $C$9, 100%, $E$9)</f>
        <v>9.4061000000000003</v>
      </c>
      <c r="M580" s="81">
        <f>9.4097 * CHOOSE(CONTROL!$C$32, $C$9, 100%, $E$9)</f>
        <v>9.4097000000000008</v>
      </c>
      <c r="N580" s="81">
        <f>9.4061 * CHOOSE(CONTROL!$C$32, $C$9, 100%, $E$9)</f>
        <v>9.4061000000000003</v>
      </c>
      <c r="O580" s="81">
        <f>9.4097 * CHOOSE(CONTROL!$C$32, $C$9, 100%, $E$9)</f>
        <v>9.4097000000000008</v>
      </c>
    </row>
    <row r="581" spans="1:15" ht="15" x14ac:dyDescent="0.2">
      <c r="A581" s="16">
        <v>58897</v>
      </c>
      <c r="B581" s="80">
        <f>8.4407 * CHOOSE(CONTROL!$C$32, $C$9, 100%, $E$9)</f>
        <v>8.4406999999999996</v>
      </c>
      <c r="C581" s="80">
        <f>8.4407 * CHOOSE(CONTROL!$C$32, $C$9, 100%, $E$9)</f>
        <v>8.4406999999999996</v>
      </c>
      <c r="D581" s="80">
        <f>8.4418 * CHOOSE(CONTROL!$C$32, $C$9, 100%, $E$9)</f>
        <v>8.4418000000000006</v>
      </c>
      <c r="E581" s="81">
        <f>9.5925 * CHOOSE(CONTROL!$C$32, $C$9, 100%, $E$9)</f>
        <v>9.5924999999999994</v>
      </c>
      <c r="F581" s="81">
        <f>9.5925 * CHOOSE(CONTROL!$C$32, $C$9, 100%, $E$9)</f>
        <v>9.5924999999999994</v>
      </c>
      <c r="G581" s="81">
        <f>9.5961 * CHOOSE(CONTROL!$C$32, $C$9, 100%, $E$9)</f>
        <v>9.5960999999999999</v>
      </c>
      <c r="H581" s="81">
        <f>18.9314 * CHOOSE(CONTROL!$C$32, $C$9, 100%, $E$9)</f>
        <v>18.9314</v>
      </c>
      <c r="I581" s="81">
        <f>18.935 * CHOOSE(CONTROL!$C$32, $C$9, 100%, $E$9)</f>
        <v>18.934999999999999</v>
      </c>
      <c r="J581" s="81">
        <f>18.9314 * CHOOSE(CONTROL!$C$32, $C$9, 100%, $E$9)</f>
        <v>18.9314</v>
      </c>
      <c r="K581" s="81">
        <f>18.935 * CHOOSE(CONTROL!$C$32, $C$9, 100%, $E$9)</f>
        <v>18.934999999999999</v>
      </c>
      <c r="L581" s="81">
        <f>9.5925 * CHOOSE(CONTROL!$C$32, $C$9, 100%, $E$9)</f>
        <v>9.5924999999999994</v>
      </c>
      <c r="M581" s="81">
        <f>9.5961 * CHOOSE(CONTROL!$C$32, $C$9, 100%, $E$9)</f>
        <v>9.5960999999999999</v>
      </c>
      <c r="N581" s="81">
        <f>9.5925 * CHOOSE(CONTROL!$C$32, $C$9, 100%, $E$9)</f>
        <v>9.5924999999999994</v>
      </c>
      <c r="O581" s="81">
        <f>9.5961 * CHOOSE(CONTROL!$C$32, $C$9, 100%, $E$9)</f>
        <v>9.5960999999999999</v>
      </c>
    </row>
    <row r="582" spans="1:15" ht="15" x14ac:dyDescent="0.2">
      <c r="A582" s="16">
        <v>58927</v>
      </c>
      <c r="B582" s="80">
        <f>8.4407 * CHOOSE(CONTROL!$C$32, $C$9, 100%, $E$9)</f>
        <v>8.4406999999999996</v>
      </c>
      <c r="C582" s="80">
        <f>8.4407 * CHOOSE(CONTROL!$C$32, $C$9, 100%, $E$9)</f>
        <v>8.4406999999999996</v>
      </c>
      <c r="D582" s="80">
        <f>8.4423 * CHOOSE(CONTROL!$C$32, $C$9, 100%, $E$9)</f>
        <v>8.4422999999999995</v>
      </c>
      <c r="E582" s="81">
        <f>9.6639 * CHOOSE(CONTROL!$C$32, $C$9, 100%, $E$9)</f>
        <v>9.6638999999999999</v>
      </c>
      <c r="F582" s="81">
        <f>9.6639 * CHOOSE(CONTROL!$C$32, $C$9, 100%, $E$9)</f>
        <v>9.6638999999999999</v>
      </c>
      <c r="G582" s="81">
        <f>9.6692 * CHOOSE(CONTROL!$C$32, $C$9, 100%, $E$9)</f>
        <v>9.6692</v>
      </c>
      <c r="H582" s="81">
        <f>18.9708 * CHOOSE(CONTROL!$C$32, $C$9, 100%, $E$9)</f>
        <v>18.970800000000001</v>
      </c>
      <c r="I582" s="81">
        <f>18.9761 * CHOOSE(CONTROL!$C$32, $C$9, 100%, $E$9)</f>
        <v>18.976099999999999</v>
      </c>
      <c r="J582" s="81">
        <f>18.9708 * CHOOSE(CONTROL!$C$32, $C$9, 100%, $E$9)</f>
        <v>18.970800000000001</v>
      </c>
      <c r="K582" s="81">
        <f>18.9761 * CHOOSE(CONTROL!$C$32, $C$9, 100%, $E$9)</f>
        <v>18.976099999999999</v>
      </c>
      <c r="L582" s="81">
        <f>9.6639 * CHOOSE(CONTROL!$C$32, $C$9, 100%, $E$9)</f>
        <v>9.6638999999999999</v>
      </c>
      <c r="M582" s="81">
        <f>9.6692 * CHOOSE(CONTROL!$C$32, $C$9, 100%, $E$9)</f>
        <v>9.6692</v>
      </c>
      <c r="N582" s="81">
        <f>9.6639 * CHOOSE(CONTROL!$C$32, $C$9, 100%, $E$9)</f>
        <v>9.6638999999999999</v>
      </c>
      <c r="O582" s="81">
        <f>9.6692 * CHOOSE(CONTROL!$C$32, $C$9, 100%, $E$9)</f>
        <v>9.6692</v>
      </c>
    </row>
    <row r="583" spans="1:15" ht="15" x14ac:dyDescent="0.2">
      <c r="A583" s="16">
        <v>58958</v>
      </c>
      <c r="B583" s="80">
        <f>8.4468 * CHOOSE(CONTROL!$C$32, $C$9, 100%, $E$9)</f>
        <v>8.4467999999999996</v>
      </c>
      <c r="C583" s="80">
        <f>8.4468 * CHOOSE(CONTROL!$C$32, $C$9, 100%, $E$9)</f>
        <v>8.4467999999999996</v>
      </c>
      <c r="D583" s="80">
        <f>8.4484 * CHOOSE(CONTROL!$C$32, $C$9, 100%, $E$9)</f>
        <v>8.4483999999999995</v>
      </c>
      <c r="E583" s="81">
        <f>9.5967 * CHOOSE(CONTROL!$C$32, $C$9, 100%, $E$9)</f>
        <v>9.5967000000000002</v>
      </c>
      <c r="F583" s="81">
        <f>9.5967 * CHOOSE(CONTROL!$C$32, $C$9, 100%, $E$9)</f>
        <v>9.5967000000000002</v>
      </c>
      <c r="G583" s="81">
        <f>9.602 * CHOOSE(CONTROL!$C$32, $C$9, 100%, $E$9)</f>
        <v>9.6020000000000003</v>
      </c>
      <c r="H583" s="81">
        <f>19.0104 * CHOOSE(CONTROL!$C$32, $C$9, 100%, $E$9)</f>
        <v>19.010400000000001</v>
      </c>
      <c r="I583" s="81">
        <f>19.0157 * CHOOSE(CONTROL!$C$32, $C$9, 100%, $E$9)</f>
        <v>19.015699999999999</v>
      </c>
      <c r="J583" s="81">
        <f>19.0104 * CHOOSE(CONTROL!$C$32, $C$9, 100%, $E$9)</f>
        <v>19.010400000000001</v>
      </c>
      <c r="K583" s="81">
        <f>19.0157 * CHOOSE(CONTROL!$C$32, $C$9, 100%, $E$9)</f>
        <v>19.015699999999999</v>
      </c>
      <c r="L583" s="81">
        <f>9.5967 * CHOOSE(CONTROL!$C$32, $C$9, 100%, $E$9)</f>
        <v>9.5967000000000002</v>
      </c>
      <c r="M583" s="81">
        <f>9.602 * CHOOSE(CONTROL!$C$32, $C$9, 100%, $E$9)</f>
        <v>9.6020000000000003</v>
      </c>
      <c r="N583" s="81">
        <f>9.5967 * CHOOSE(CONTROL!$C$32, $C$9, 100%, $E$9)</f>
        <v>9.5967000000000002</v>
      </c>
      <c r="O583" s="81">
        <f>9.602 * CHOOSE(CONTROL!$C$32, $C$9, 100%, $E$9)</f>
        <v>9.6020000000000003</v>
      </c>
    </row>
    <row r="584" spans="1:15" ht="15" x14ac:dyDescent="0.2">
      <c r="A584" s="16">
        <v>58988</v>
      </c>
      <c r="B584" s="80">
        <f>8.5541 * CHOOSE(CONTROL!$C$32, $C$9, 100%, $E$9)</f>
        <v>8.5541</v>
      </c>
      <c r="C584" s="80">
        <f>8.5541 * CHOOSE(CONTROL!$C$32, $C$9, 100%, $E$9)</f>
        <v>8.5541</v>
      </c>
      <c r="D584" s="80">
        <f>8.5557 * CHOOSE(CONTROL!$C$32, $C$9, 100%, $E$9)</f>
        <v>8.5556999999999999</v>
      </c>
      <c r="E584" s="81">
        <f>9.73 * CHOOSE(CONTROL!$C$32, $C$9, 100%, $E$9)</f>
        <v>9.73</v>
      </c>
      <c r="F584" s="81">
        <f>9.73 * CHOOSE(CONTROL!$C$32, $C$9, 100%, $E$9)</f>
        <v>9.73</v>
      </c>
      <c r="G584" s="81">
        <f>9.7353 * CHOOSE(CONTROL!$C$32, $C$9, 100%, $E$9)</f>
        <v>9.7353000000000005</v>
      </c>
      <c r="H584" s="81">
        <f>19.05 * CHOOSE(CONTROL!$C$32, $C$9, 100%, $E$9)</f>
        <v>19.05</v>
      </c>
      <c r="I584" s="81">
        <f>19.0553 * CHOOSE(CONTROL!$C$32, $C$9, 100%, $E$9)</f>
        <v>19.055299999999999</v>
      </c>
      <c r="J584" s="81">
        <f>19.05 * CHOOSE(CONTROL!$C$32, $C$9, 100%, $E$9)</f>
        <v>19.05</v>
      </c>
      <c r="K584" s="81">
        <f>19.0553 * CHOOSE(CONTROL!$C$32, $C$9, 100%, $E$9)</f>
        <v>19.055299999999999</v>
      </c>
      <c r="L584" s="81">
        <f>9.73 * CHOOSE(CONTROL!$C$32, $C$9, 100%, $E$9)</f>
        <v>9.73</v>
      </c>
      <c r="M584" s="81">
        <f>9.7353 * CHOOSE(CONTROL!$C$32, $C$9, 100%, $E$9)</f>
        <v>9.7353000000000005</v>
      </c>
      <c r="N584" s="81">
        <f>9.73 * CHOOSE(CONTROL!$C$32, $C$9, 100%, $E$9)</f>
        <v>9.73</v>
      </c>
      <c r="O584" s="81">
        <f>9.7353 * CHOOSE(CONTROL!$C$32, $C$9, 100%, $E$9)</f>
        <v>9.7353000000000005</v>
      </c>
    </row>
    <row r="585" spans="1:15" ht="15" x14ac:dyDescent="0.2">
      <c r="A585" s="16">
        <v>59019</v>
      </c>
      <c r="B585" s="80">
        <f>8.5608 * CHOOSE(CONTROL!$C$32, $C$9, 100%, $E$9)</f>
        <v>8.5608000000000004</v>
      </c>
      <c r="C585" s="80">
        <f>8.5608 * CHOOSE(CONTROL!$C$32, $C$9, 100%, $E$9)</f>
        <v>8.5608000000000004</v>
      </c>
      <c r="D585" s="80">
        <f>8.5624 * CHOOSE(CONTROL!$C$32, $C$9, 100%, $E$9)</f>
        <v>8.5624000000000002</v>
      </c>
      <c r="E585" s="81">
        <f>9.5203 * CHOOSE(CONTROL!$C$32, $C$9, 100%, $E$9)</f>
        <v>9.5203000000000007</v>
      </c>
      <c r="F585" s="81">
        <f>9.5203 * CHOOSE(CONTROL!$C$32, $C$9, 100%, $E$9)</f>
        <v>9.5203000000000007</v>
      </c>
      <c r="G585" s="81">
        <f>9.5256 * CHOOSE(CONTROL!$C$32, $C$9, 100%, $E$9)</f>
        <v>9.5256000000000007</v>
      </c>
      <c r="H585" s="81">
        <f>19.0897 * CHOOSE(CONTROL!$C$32, $C$9, 100%, $E$9)</f>
        <v>19.089700000000001</v>
      </c>
      <c r="I585" s="81">
        <f>19.095 * CHOOSE(CONTROL!$C$32, $C$9, 100%, $E$9)</f>
        <v>19.094999999999999</v>
      </c>
      <c r="J585" s="81">
        <f>19.0897 * CHOOSE(CONTROL!$C$32, $C$9, 100%, $E$9)</f>
        <v>19.089700000000001</v>
      </c>
      <c r="K585" s="81">
        <f>19.095 * CHOOSE(CONTROL!$C$32, $C$9, 100%, $E$9)</f>
        <v>19.094999999999999</v>
      </c>
      <c r="L585" s="81">
        <f>9.5203 * CHOOSE(CONTROL!$C$32, $C$9, 100%, $E$9)</f>
        <v>9.5203000000000007</v>
      </c>
      <c r="M585" s="81">
        <f>9.5256 * CHOOSE(CONTROL!$C$32, $C$9, 100%, $E$9)</f>
        <v>9.5256000000000007</v>
      </c>
      <c r="N585" s="81">
        <f>9.5203 * CHOOSE(CONTROL!$C$32, $C$9, 100%, $E$9)</f>
        <v>9.5203000000000007</v>
      </c>
      <c r="O585" s="81">
        <f>9.5256 * CHOOSE(CONTROL!$C$32, $C$9, 100%, $E$9)</f>
        <v>9.5256000000000007</v>
      </c>
    </row>
    <row r="586" spans="1:15" ht="15" x14ac:dyDescent="0.2">
      <c r="A586" s="16">
        <v>59050</v>
      </c>
      <c r="B586" s="80">
        <f>8.5578 * CHOOSE(CONTROL!$C$32, $C$9, 100%, $E$9)</f>
        <v>8.5578000000000003</v>
      </c>
      <c r="C586" s="80">
        <f>8.5578 * CHOOSE(CONTROL!$C$32, $C$9, 100%, $E$9)</f>
        <v>8.5578000000000003</v>
      </c>
      <c r="D586" s="80">
        <f>8.5594 * CHOOSE(CONTROL!$C$32, $C$9, 100%, $E$9)</f>
        <v>8.5594000000000001</v>
      </c>
      <c r="E586" s="81">
        <f>9.4943 * CHOOSE(CONTROL!$C$32, $C$9, 100%, $E$9)</f>
        <v>9.4943000000000008</v>
      </c>
      <c r="F586" s="81">
        <f>9.4943 * CHOOSE(CONTROL!$C$32, $C$9, 100%, $E$9)</f>
        <v>9.4943000000000008</v>
      </c>
      <c r="G586" s="81">
        <f>9.4996 * CHOOSE(CONTROL!$C$32, $C$9, 100%, $E$9)</f>
        <v>9.4995999999999992</v>
      </c>
      <c r="H586" s="81">
        <f>19.1294 * CHOOSE(CONTROL!$C$32, $C$9, 100%, $E$9)</f>
        <v>19.1294</v>
      </c>
      <c r="I586" s="81">
        <f>19.1347 * CHOOSE(CONTROL!$C$32, $C$9, 100%, $E$9)</f>
        <v>19.134699999999999</v>
      </c>
      <c r="J586" s="81">
        <f>19.1294 * CHOOSE(CONTROL!$C$32, $C$9, 100%, $E$9)</f>
        <v>19.1294</v>
      </c>
      <c r="K586" s="81">
        <f>19.1347 * CHOOSE(CONTROL!$C$32, $C$9, 100%, $E$9)</f>
        <v>19.134699999999999</v>
      </c>
      <c r="L586" s="81">
        <f>9.4943 * CHOOSE(CONTROL!$C$32, $C$9, 100%, $E$9)</f>
        <v>9.4943000000000008</v>
      </c>
      <c r="M586" s="81">
        <f>9.4996 * CHOOSE(CONTROL!$C$32, $C$9, 100%, $E$9)</f>
        <v>9.4995999999999992</v>
      </c>
      <c r="N586" s="81">
        <f>9.4943 * CHOOSE(CONTROL!$C$32, $C$9, 100%, $E$9)</f>
        <v>9.4943000000000008</v>
      </c>
      <c r="O586" s="81">
        <f>9.4996 * CHOOSE(CONTROL!$C$32, $C$9, 100%, $E$9)</f>
        <v>9.4995999999999992</v>
      </c>
    </row>
    <row r="587" spans="1:15" ht="15" x14ac:dyDescent="0.2">
      <c r="A587" s="16">
        <v>59080</v>
      </c>
      <c r="B587" s="80">
        <f>8.5698 * CHOOSE(CONTROL!$C$32, $C$9, 100%, $E$9)</f>
        <v>8.5698000000000008</v>
      </c>
      <c r="C587" s="80">
        <f>8.5698 * CHOOSE(CONTROL!$C$32, $C$9, 100%, $E$9)</f>
        <v>8.5698000000000008</v>
      </c>
      <c r="D587" s="80">
        <f>8.5709 * CHOOSE(CONTROL!$C$32, $C$9, 100%, $E$9)</f>
        <v>8.5709</v>
      </c>
      <c r="E587" s="81">
        <f>9.5762 * CHOOSE(CONTROL!$C$32, $C$9, 100%, $E$9)</f>
        <v>9.5762</v>
      </c>
      <c r="F587" s="81">
        <f>9.5762 * CHOOSE(CONTROL!$C$32, $C$9, 100%, $E$9)</f>
        <v>9.5762</v>
      </c>
      <c r="G587" s="81">
        <f>9.5798 * CHOOSE(CONTROL!$C$32, $C$9, 100%, $E$9)</f>
        <v>9.5798000000000005</v>
      </c>
      <c r="H587" s="81">
        <f>19.1693 * CHOOSE(CONTROL!$C$32, $C$9, 100%, $E$9)</f>
        <v>19.1693</v>
      </c>
      <c r="I587" s="81">
        <f>19.1729 * CHOOSE(CONTROL!$C$32, $C$9, 100%, $E$9)</f>
        <v>19.172899999999998</v>
      </c>
      <c r="J587" s="81">
        <f>19.1693 * CHOOSE(CONTROL!$C$32, $C$9, 100%, $E$9)</f>
        <v>19.1693</v>
      </c>
      <c r="K587" s="81">
        <f>19.1729 * CHOOSE(CONTROL!$C$32, $C$9, 100%, $E$9)</f>
        <v>19.172899999999998</v>
      </c>
      <c r="L587" s="81">
        <f>9.5762 * CHOOSE(CONTROL!$C$32, $C$9, 100%, $E$9)</f>
        <v>9.5762</v>
      </c>
      <c r="M587" s="81">
        <f>9.5798 * CHOOSE(CONTROL!$C$32, $C$9, 100%, $E$9)</f>
        <v>9.5798000000000005</v>
      </c>
      <c r="N587" s="81">
        <f>9.5762 * CHOOSE(CONTROL!$C$32, $C$9, 100%, $E$9)</f>
        <v>9.5762</v>
      </c>
      <c r="O587" s="81">
        <f>9.5798 * CHOOSE(CONTROL!$C$32, $C$9, 100%, $E$9)</f>
        <v>9.5798000000000005</v>
      </c>
    </row>
    <row r="588" spans="1:15" ht="15" x14ac:dyDescent="0.2">
      <c r="A588" s="16">
        <v>59111</v>
      </c>
      <c r="B588" s="80">
        <f>8.5729 * CHOOSE(CONTROL!$C$32, $C$9, 100%, $E$9)</f>
        <v>8.5729000000000006</v>
      </c>
      <c r="C588" s="80">
        <f>8.5729 * CHOOSE(CONTROL!$C$32, $C$9, 100%, $E$9)</f>
        <v>8.5729000000000006</v>
      </c>
      <c r="D588" s="80">
        <f>8.5739 * CHOOSE(CONTROL!$C$32, $C$9, 100%, $E$9)</f>
        <v>8.5739000000000001</v>
      </c>
      <c r="E588" s="81">
        <f>9.626 * CHOOSE(CONTROL!$C$32, $C$9, 100%, $E$9)</f>
        <v>9.6259999999999994</v>
      </c>
      <c r="F588" s="81">
        <f>9.626 * CHOOSE(CONTROL!$C$32, $C$9, 100%, $E$9)</f>
        <v>9.6259999999999994</v>
      </c>
      <c r="G588" s="81">
        <f>9.6296 * CHOOSE(CONTROL!$C$32, $C$9, 100%, $E$9)</f>
        <v>9.6295999999999999</v>
      </c>
      <c r="H588" s="81">
        <f>19.2092 * CHOOSE(CONTROL!$C$32, $C$9, 100%, $E$9)</f>
        <v>19.209199999999999</v>
      </c>
      <c r="I588" s="81">
        <f>19.2128 * CHOOSE(CONTROL!$C$32, $C$9, 100%, $E$9)</f>
        <v>19.212800000000001</v>
      </c>
      <c r="J588" s="81">
        <f>19.2092 * CHOOSE(CONTROL!$C$32, $C$9, 100%, $E$9)</f>
        <v>19.209199999999999</v>
      </c>
      <c r="K588" s="81">
        <f>19.2128 * CHOOSE(CONTROL!$C$32, $C$9, 100%, $E$9)</f>
        <v>19.212800000000001</v>
      </c>
      <c r="L588" s="81">
        <f>9.626 * CHOOSE(CONTROL!$C$32, $C$9, 100%, $E$9)</f>
        <v>9.6259999999999994</v>
      </c>
      <c r="M588" s="81">
        <f>9.6296 * CHOOSE(CONTROL!$C$32, $C$9, 100%, $E$9)</f>
        <v>9.6295999999999999</v>
      </c>
      <c r="N588" s="81">
        <f>9.626 * CHOOSE(CONTROL!$C$32, $C$9, 100%, $E$9)</f>
        <v>9.6259999999999994</v>
      </c>
      <c r="O588" s="81">
        <f>9.6296 * CHOOSE(CONTROL!$C$32, $C$9, 100%, $E$9)</f>
        <v>9.6295999999999999</v>
      </c>
    </row>
    <row r="589" spans="1:15" ht="15" x14ac:dyDescent="0.2">
      <c r="A589" s="16">
        <v>59141</v>
      </c>
      <c r="B589" s="80">
        <f>8.5729 * CHOOSE(CONTROL!$C$32, $C$9, 100%, $E$9)</f>
        <v>8.5729000000000006</v>
      </c>
      <c r="C589" s="80">
        <f>8.5729 * CHOOSE(CONTROL!$C$32, $C$9, 100%, $E$9)</f>
        <v>8.5729000000000006</v>
      </c>
      <c r="D589" s="80">
        <f>8.5739 * CHOOSE(CONTROL!$C$32, $C$9, 100%, $E$9)</f>
        <v>8.5739000000000001</v>
      </c>
      <c r="E589" s="81">
        <f>9.5068 * CHOOSE(CONTROL!$C$32, $C$9, 100%, $E$9)</f>
        <v>9.5068000000000001</v>
      </c>
      <c r="F589" s="81">
        <f>9.5068 * CHOOSE(CONTROL!$C$32, $C$9, 100%, $E$9)</f>
        <v>9.5068000000000001</v>
      </c>
      <c r="G589" s="81">
        <f>9.5105 * CHOOSE(CONTROL!$C$32, $C$9, 100%, $E$9)</f>
        <v>9.5105000000000004</v>
      </c>
      <c r="H589" s="81">
        <f>19.2492 * CHOOSE(CONTROL!$C$32, $C$9, 100%, $E$9)</f>
        <v>19.249199999999998</v>
      </c>
      <c r="I589" s="81">
        <f>19.2529 * CHOOSE(CONTROL!$C$32, $C$9, 100%, $E$9)</f>
        <v>19.2529</v>
      </c>
      <c r="J589" s="81">
        <f>19.2492 * CHOOSE(CONTROL!$C$32, $C$9, 100%, $E$9)</f>
        <v>19.249199999999998</v>
      </c>
      <c r="K589" s="81">
        <f>19.2529 * CHOOSE(CONTROL!$C$32, $C$9, 100%, $E$9)</f>
        <v>19.2529</v>
      </c>
      <c r="L589" s="81">
        <f>9.5068 * CHOOSE(CONTROL!$C$32, $C$9, 100%, $E$9)</f>
        <v>9.5068000000000001</v>
      </c>
      <c r="M589" s="81">
        <f>9.5105 * CHOOSE(CONTROL!$C$32, $C$9, 100%, $E$9)</f>
        <v>9.5105000000000004</v>
      </c>
      <c r="N589" s="81">
        <f>9.5068 * CHOOSE(CONTROL!$C$32, $C$9, 100%, $E$9)</f>
        <v>9.5068000000000001</v>
      </c>
      <c r="O589" s="81">
        <f>9.5105 * CHOOSE(CONTROL!$C$32, $C$9, 100%, $E$9)</f>
        <v>9.5105000000000004</v>
      </c>
    </row>
    <row r="590" spans="1:15" ht="15" x14ac:dyDescent="0.2">
      <c r="A590" s="16">
        <v>59172</v>
      </c>
      <c r="B590" s="80">
        <f>8.6322 * CHOOSE(CONTROL!$C$32, $C$9, 100%, $E$9)</f>
        <v>8.6321999999999992</v>
      </c>
      <c r="C590" s="80">
        <f>8.6322 * CHOOSE(CONTROL!$C$32, $C$9, 100%, $E$9)</f>
        <v>8.6321999999999992</v>
      </c>
      <c r="D590" s="80">
        <f>8.6333 * CHOOSE(CONTROL!$C$32, $C$9, 100%, $E$9)</f>
        <v>8.6333000000000002</v>
      </c>
      <c r="E590" s="81">
        <f>9.6705 * CHOOSE(CONTROL!$C$32, $C$9, 100%, $E$9)</f>
        <v>9.6705000000000005</v>
      </c>
      <c r="F590" s="81">
        <f>9.6705 * CHOOSE(CONTROL!$C$32, $C$9, 100%, $E$9)</f>
        <v>9.6705000000000005</v>
      </c>
      <c r="G590" s="81">
        <f>9.6741 * CHOOSE(CONTROL!$C$32, $C$9, 100%, $E$9)</f>
        <v>9.6740999999999993</v>
      </c>
      <c r="H590" s="81">
        <f>19.2776 * CHOOSE(CONTROL!$C$32, $C$9, 100%, $E$9)</f>
        <v>19.2776</v>
      </c>
      <c r="I590" s="81">
        <f>19.2812 * CHOOSE(CONTROL!$C$32, $C$9, 100%, $E$9)</f>
        <v>19.281199999999998</v>
      </c>
      <c r="J590" s="81">
        <f>19.2776 * CHOOSE(CONTROL!$C$32, $C$9, 100%, $E$9)</f>
        <v>19.2776</v>
      </c>
      <c r="K590" s="81">
        <f>19.2812 * CHOOSE(CONTROL!$C$32, $C$9, 100%, $E$9)</f>
        <v>19.281199999999998</v>
      </c>
      <c r="L590" s="81">
        <f>9.6705 * CHOOSE(CONTROL!$C$32, $C$9, 100%, $E$9)</f>
        <v>9.6705000000000005</v>
      </c>
      <c r="M590" s="81">
        <f>9.6741 * CHOOSE(CONTROL!$C$32, $C$9, 100%, $E$9)</f>
        <v>9.6740999999999993</v>
      </c>
      <c r="N590" s="81">
        <f>9.6705 * CHOOSE(CONTROL!$C$32, $C$9, 100%, $E$9)</f>
        <v>9.6705000000000005</v>
      </c>
      <c r="O590" s="81">
        <f>9.6741 * CHOOSE(CONTROL!$C$32, $C$9, 100%, $E$9)</f>
        <v>9.6740999999999993</v>
      </c>
    </row>
    <row r="591" spans="1:15" ht="15" x14ac:dyDescent="0.2">
      <c r="A591" s="16">
        <v>59203</v>
      </c>
      <c r="B591" s="80">
        <f>8.6292 * CHOOSE(CONTROL!$C$32, $C$9, 100%, $E$9)</f>
        <v>8.6292000000000009</v>
      </c>
      <c r="C591" s="80">
        <f>8.6292 * CHOOSE(CONTROL!$C$32, $C$9, 100%, $E$9)</f>
        <v>8.6292000000000009</v>
      </c>
      <c r="D591" s="80">
        <f>8.6302 * CHOOSE(CONTROL!$C$32, $C$9, 100%, $E$9)</f>
        <v>8.6302000000000003</v>
      </c>
      <c r="E591" s="81">
        <f>9.4361 * CHOOSE(CONTROL!$C$32, $C$9, 100%, $E$9)</f>
        <v>9.4360999999999997</v>
      </c>
      <c r="F591" s="81">
        <f>9.4361 * CHOOSE(CONTROL!$C$32, $C$9, 100%, $E$9)</f>
        <v>9.4360999999999997</v>
      </c>
      <c r="G591" s="81">
        <f>9.4398 * CHOOSE(CONTROL!$C$32, $C$9, 100%, $E$9)</f>
        <v>9.4398</v>
      </c>
      <c r="H591" s="81">
        <f>19.3178 * CHOOSE(CONTROL!$C$32, $C$9, 100%, $E$9)</f>
        <v>19.317799999999998</v>
      </c>
      <c r="I591" s="81">
        <f>19.3214 * CHOOSE(CONTROL!$C$32, $C$9, 100%, $E$9)</f>
        <v>19.321400000000001</v>
      </c>
      <c r="J591" s="81">
        <f>19.3178 * CHOOSE(CONTROL!$C$32, $C$9, 100%, $E$9)</f>
        <v>19.317799999999998</v>
      </c>
      <c r="K591" s="81">
        <f>19.3214 * CHOOSE(CONTROL!$C$32, $C$9, 100%, $E$9)</f>
        <v>19.321400000000001</v>
      </c>
      <c r="L591" s="81">
        <f>9.4361 * CHOOSE(CONTROL!$C$32, $C$9, 100%, $E$9)</f>
        <v>9.4360999999999997</v>
      </c>
      <c r="M591" s="81">
        <f>9.4398 * CHOOSE(CONTROL!$C$32, $C$9, 100%, $E$9)</f>
        <v>9.4398</v>
      </c>
      <c r="N591" s="81">
        <f>9.4361 * CHOOSE(CONTROL!$C$32, $C$9, 100%, $E$9)</f>
        <v>9.4360999999999997</v>
      </c>
      <c r="O591" s="81">
        <f>9.4398 * CHOOSE(CONTROL!$C$32, $C$9, 100%, $E$9)</f>
        <v>9.4398</v>
      </c>
    </row>
    <row r="592" spans="1:15" ht="15" x14ac:dyDescent="0.2">
      <c r="A592" s="16">
        <v>59231</v>
      </c>
      <c r="B592" s="80">
        <f>8.6261 * CHOOSE(CONTROL!$C$32, $C$9, 100%, $E$9)</f>
        <v>8.6260999999999992</v>
      </c>
      <c r="C592" s="80">
        <f>8.6261 * CHOOSE(CONTROL!$C$32, $C$9, 100%, $E$9)</f>
        <v>8.6260999999999992</v>
      </c>
      <c r="D592" s="80">
        <f>8.6272 * CHOOSE(CONTROL!$C$32, $C$9, 100%, $E$9)</f>
        <v>8.6272000000000002</v>
      </c>
      <c r="E592" s="81">
        <f>9.6171 * CHOOSE(CONTROL!$C$32, $C$9, 100%, $E$9)</f>
        <v>9.6171000000000006</v>
      </c>
      <c r="F592" s="81">
        <f>9.6171 * CHOOSE(CONTROL!$C$32, $C$9, 100%, $E$9)</f>
        <v>9.6171000000000006</v>
      </c>
      <c r="G592" s="81">
        <f>9.6207 * CHOOSE(CONTROL!$C$32, $C$9, 100%, $E$9)</f>
        <v>9.6206999999999994</v>
      </c>
      <c r="H592" s="81">
        <f>19.358 * CHOOSE(CONTROL!$C$32, $C$9, 100%, $E$9)</f>
        <v>19.358000000000001</v>
      </c>
      <c r="I592" s="81">
        <f>19.3616 * CHOOSE(CONTROL!$C$32, $C$9, 100%, $E$9)</f>
        <v>19.361599999999999</v>
      </c>
      <c r="J592" s="81">
        <f>19.358 * CHOOSE(CONTROL!$C$32, $C$9, 100%, $E$9)</f>
        <v>19.358000000000001</v>
      </c>
      <c r="K592" s="81">
        <f>19.3616 * CHOOSE(CONTROL!$C$32, $C$9, 100%, $E$9)</f>
        <v>19.361599999999999</v>
      </c>
      <c r="L592" s="81">
        <f>9.6171 * CHOOSE(CONTROL!$C$32, $C$9, 100%, $E$9)</f>
        <v>9.6171000000000006</v>
      </c>
      <c r="M592" s="81">
        <f>9.6207 * CHOOSE(CONTROL!$C$32, $C$9, 100%, $E$9)</f>
        <v>9.6206999999999994</v>
      </c>
      <c r="N592" s="81">
        <f>9.6171 * CHOOSE(CONTROL!$C$32, $C$9, 100%, $E$9)</f>
        <v>9.6171000000000006</v>
      </c>
      <c r="O592" s="81">
        <f>9.6207 * CHOOSE(CONTROL!$C$32, $C$9, 100%, $E$9)</f>
        <v>9.6206999999999994</v>
      </c>
    </row>
    <row r="593" spans="1:15" ht="15" x14ac:dyDescent="0.2">
      <c r="A593" s="16">
        <v>59262</v>
      </c>
      <c r="B593" s="80">
        <f>8.6283 * CHOOSE(CONTROL!$C$32, $C$9, 100%, $E$9)</f>
        <v>8.6282999999999994</v>
      </c>
      <c r="C593" s="80">
        <f>8.6283 * CHOOSE(CONTROL!$C$32, $C$9, 100%, $E$9)</f>
        <v>8.6282999999999994</v>
      </c>
      <c r="D593" s="80">
        <f>8.6293 * CHOOSE(CONTROL!$C$32, $C$9, 100%, $E$9)</f>
        <v>8.6293000000000006</v>
      </c>
      <c r="E593" s="81">
        <f>9.8095 * CHOOSE(CONTROL!$C$32, $C$9, 100%, $E$9)</f>
        <v>9.8094999999999999</v>
      </c>
      <c r="F593" s="81">
        <f>9.8095 * CHOOSE(CONTROL!$C$32, $C$9, 100%, $E$9)</f>
        <v>9.8094999999999999</v>
      </c>
      <c r="G593" s="81">
        <f>9.8131 * CHOOSE(CONTROL!$C$32, $C$9, 100%, $E$9)</f>
        <v>9.8131000000000004</v>
      </c>
      <c r="H593" s="81">
        <f>19.3983 * CHOOSE(CONTROL!$C$32, $C$9, 100%, $E$9)</f>
        <v>19.398299999999999</v>
      </c>
      <c r="I593" s="81">
        <f>19.402 * CHOOSE(CONTROL!$C$32, $C$9, 100%, $E$9)</f>
        <v>19.402000000000001</v>
      </c>
      <c r="J593" s="81">
        <f>19.3983 * CHOOSE(CONTROL!$C$32, $C$9, 100%, $E$9)</f>
        <v>19.398299999999999</v>
      </c>
      <c r="K593" s="81">
        <f>19.402 * CHOOSE(CONTROL!$C$32, $C$9, 100%, $E$9)</f>
        <v>19.402000000000001</v>
      </c>
      <c r="L593" s="81">
        <f>9.8095 * CHOOSE(CONTROL!$C$32, $C$9, 100%, $E$9)</f>
        <v>9.8094999999999999</v>
      </c>
      <c r="M593" s="81">
        <f>9.8131 * CHOOSE(CONTROL!$C$32, $C$9, 100%, $E$9)</f>
        <v>9.8131000000000004</v>
      </c>
      <c r="N593" s="81">
        <f>9.8095 * CHOOSE(CONTROL!$C$32, $C$9, 100%, $E$9)</f>
        <v>9.8094999999999999</v>
      </c>
      <c r="O593" s="81">
        <f>9.8131 * CHOOSE(CONTROL!$C$32, $C$9, 100%, $E$9)</f>
        <v>9.8131000000000004</v>
      </c>
    </row>
    <row r="594" spans="1:15" ht="15" x14ac:dyDescent="0.2">
      <c r="A594" s="16">
        <v>59292</v>
      </c>
      <c r="B594" s="80">
        <f>8.6283 * CHOOSE(CONTROL!$C$32, $C$9, 100%, $E$9)</f>
        <v>8.6282999999999994</v>
      </c>
      <c r="C594" s="80">
        <f>8.6283 * CHOOSE(CONTROL!$C$32, $C$9, 100%, $E$9)</f>
        <v>8.6282999999999994</v>
      </c>
      <c r="D594" s="80">
        <f>8.6298 * CHOOSE(CONTROL!$C$32, $C$9, 100%, $E$9)</f>
        <v>8.6297999999999995</v>
      </c>
      <c r="E594" s="81">
        <f>9.8832 * CHOOSE(CONTROL!$C$32, $C$9, 100%, $E$9)</f>
        <v>9.8832000000000004</v>
      </c>
      <c r="F594" s="81">
        <f>9.8832 * CHOOSE(CONTROL!$C$32, $C$9, 100%, $E$9)</f>
        <v>9.8832000000000004</v>
      </c>
      <c r="G594" s="81">
        <f>9.8885 * CHOOSE(CONTROL!$C$32, $C$9, 100%, $E$9)</f>
        <v>9.8885000000000005</v>
      </c>
      <c r="H594" s="81">
        <f>19.4388 * CHOOSE(CONTROL!$C$32, $C$9, 100%, $E$9)</f>
        <v>19.438800000000001</v>
      </c>
      <c r="I594" s="81">
        <f>19.444 * CHOOSE(CONTROL!$C$32, $C$9, 100%, $E$9)</f>
        <v>19.443999999999999</v>
      </c>
      <c r="J594" s="81">
        <f>19.4388 * CHOOSE(CONTROL!$C$32, $C$9, 100%, $E$9)</f>
        <v>19.438800000000001</v>
      </c>
      <c r="K594" s="81">
        <f>19.444 * CHOOSE(CONTROL!$C$32, $C$9, 100%, $E$9)</f>
        <v>19.443999999999999</v>
      </c>
      <c r="L594" s="81">
        <f>9.8832 * CHOOSE(CONTROL!$C$32, $C$9, 100%, $E$9)</f>
        <v>9.8832000000000004</v>
      </c>
      <c r="M594" s="81">
        <f>9.8885 * CHOOSE(CONTROL!$C$32, $C$9, 100%, $E$9)</f>
        <v>9.8885000000000005</v>
      </c>
      <c r="N594" s="81">
        <f>9.8832 * CHOOSE(CONTROL!$C$32, $C$9, 100%, $E$9)</f>
        <v>9.8832000000000004</v>
      </c>
      <c r="O594" s="81">
        <f>9.8885 * CHOOSE(CONTROL!$C$32, $C$9, 100%, $E$9)</f>
        <v>9.8885000000000005</v>
      </c>
    </row>
    <row r="595" spans="1:15" ht="15" x14ac:dyDescent="0.2">
      <c r="A595" s="16">
        <v>59323</v>
      </c>
      <c r="B595" s="80">
        <f>8.6343 * CHOOSE(CONTROL!$C$32, $C$9, 100%, $E$9)</f>
        <v>8.6342999999999996</v>
      </c>
      <c r="C595" s="80">
        <f>8.6343 * CHOOSE(CONTROL!$C$32, $C$9, 100%, $E$9)</f>
        <v>8.6342999999999996</v>
      </c>
      <c r="D595" s="80">
        <f>8.6359 * CHOOSE(CONTROL!$C$32, $C$9, 100%, $E$9)</f>
        <v>8.6358999999999995</v>
      </c>
      <c r="E595" s="81">
        <f>9.8137 * CHOOSE(CONTROL!$C$32, $C$9, 100%, $E$9)</f>
        <v>9.8137000000000008</v>
      </c>
      <c r="F595" s="81">
        <f>9.8137 * CHOOSE(CONTROL!$C$32, $C$9, 100%, $E$9)</f>
        <v>9.8137000000000008</v>
      </c>
      <c r="G595" s="81">
        <f>9.819 * CHOOSE(CONTROL!$C$32, $C$9, 100%, $E$9)</f>
        <v>9.8190000000000008</v>
      </c>
      <c r="H595" s="81">
        <f>19.4793 * CHOOSE(CONTROL!$C$32, $C$9, 100%, $E$9)</f>
        <v>19.479299999999999</v>
      </c>
      <c r="I595" s="81">
        <f>19.4845 * CHOOSE(CONTROL!$C$32, $C$9, 100%, $E$9)</f>
        <v>19.484500000000001</v>
      </c>
      <c r="J595" s="81">
        <f>19.4793 * CHOOSE(CONTROL!$C$32, $C$9, 100%, $E$9)</f>
        <v>19.479299999999999</v>
      </c>
      <c r="K595" s="81">
        <f>19.4845 * CHOOSE(CONTROL!$C$32, $C$9, 100%, $E$9)</f>
        <v>19.484500000000001</v>
      </c>
      <c r="L595" s="81">
        <f>9.8137 * CHOOSE(CONTROL!$C$32, $C$9, 100%, $E$9)</f>
        <v>9.8137000000000008</v>
      </c>
      <c r="M595" s="81">
        <f>9.819 * CHOOSE(CONTROL!$C$32, $C$9, 100%, $E$9)</f>
        <v>9.8190000000000008</v>
      </c>
      <c r="N595" s="81">
        <f>9.8137 * CHOOSE(CONTROL!$C$32, $C$9, 100%, $E$9)</f>
        <v>9.8137000000000008</v>
      </c>
      <c r="O595" s="81">
        <f>9.819 * CHOOSE(CONTROL!$C$32, $C$9, 100%, $E$9)</f>
        <v>9.8190000000000008</v>
      </c>
    </row>
    <row r="596" spans="1:15" ht="15" x14ac:dyDescent="0.2">
      <c r="A596" s="16">
        <v>59353</v>
      </c>
      <c r="B596" s="80">
        <f>8.7437 * CHOOSE(CONTROL!$C$32, $C$9, 100%, $E$9)</f>
        <v>8.7437000000000005</v>
      </c>
      <c r="C596" s="80">
        <f>8.7437 * CHOOSE(CONTROL!$C$32, $C$9, 100%, $E$9)</f>
        <v>8.7437000000000005</v>
      </c>
      <c r="D596" s="80">
        <f>8.7453 * CHOOSE(CONTROL!$C$32, $C$9, 100%, $E$9)</f>
        <v>8.7453000000000003</v>
      </c>
      <c r="E596" s="81">
        <f>9.9502 * CHOOSE(CONTROL!$C$32, $C$9, 100%, $E$9)</f>
        <v>9.9502000000000006</v>
      </c>
      <c r="F596" s="81">
        <f>9.9502 * CHOOSE(CONTROL!$C$32, $C$9, 100%, $E$9)</f>
        <v>9.9502000000000006</v>
      </c>
      <c r="G596" s="81">
        <f>9.9555 * CHOOSE(CONTROL!$C$32, $C$9, 100%, $E$9)</f>
        <v>9.9555000000000007</v>
      </c>
      <c r="H596" s="81">
        <f>19.5198 * CHOOSE(CONTROL!$C$32, $C$9, 100%, $E$9)</f>
        <v>19.5198</v>
      </c>
      <c r="I596" s="81">
        <f>19.5251 * CHOOSE(CONTROL!$C$32, $C$9, 100%, $E$9)</f>
        <v>19.525099999999998</v>
      </c>
      <c r="J596" s="81">
        <f>19.5198 * CHOOSE(CONTROL!$C$32, $C$9, 100%, $E$9)</f>
        <v>19.5198</v>
      </c>
      <c r="K596" s="81">
        <f>19.5251 * CHOOSE(CONTROL!$C$32, $C$9, 100%, $E$9)</f>
        <v>19.525099999999998</v>
      </c>
      <c r="L596" s="81">
        <f>9.9502 * CHOOSE(CONTROL!$C$32, $C$9, 100%, $E$9)</f>
        <v>9.9502000000000006</v>
      </c>
      <c r="M596" s="81">
        <f>9.9555 * CHOOSE(CONTROL!$C$32, $C$9, 100%, $E$9)</f>
        <v>9.9555000000000007</v>
      </c>
      <c r="N596" s="81">
        <f>9.9502 * CHOOSE(CONTROL!$C$32, $C$9, 100%, $E$9)</f>
        <v>9.9502000000000006</v>
      </c>
      <c r="O596" s="81">
        <f>9.9555 * CHOOSE(CONTROL!$C$32, $C$9, 100%, $E$9)</f>
        <v>9.9555000000000007</v>
      </c>
    </row>
    <row r="597" spans="1:15" ht="15" x14ac:dyDescent="0.2">
      <c r="A597" s="16">
        <v>59384</v>
      </c>
      <c r="B597" s="80">
        <f>8.7504 * CHOOSE(CONTROL!$C$32, $C$9, 100%, $E$9)</f>
        <v>8.7504000000000008</v>
      </c>
      <c r="C597" s="80">
        <f>8.7504 * CHOOSE(CONTROL!$C$32, $C$9, 100%, $E$9)</f>
        <v>8.7504000000000008</v>
      </c>
      <c r="D597" s="80">
        <f>8.752 * CHOOSE(CONTROL!$C$32, $C$9, 100%, $E$9)</f>
        <v>8.7520000000000007</v>
      </c>
      <c r="E597" s="81">
        <f>9.7337 * CHOOSE(CONTROL!$C$32, $C$9, 100%, $E$9)</f>
        <v>9.7337000000000007</v>
      </c>
      <c r="F597" s="81">
        <f>9.7337 * CHOOSE(CONTROL!$C$32, $C$9, 100%, $E$9)</f>
        <v>9.7337000000000007</v>
      </c>
      <c r="G597" s="81">
        <f>9.739 * CHOOSE(CONTROL!$C$32, $C$9, 100%, $E$9)</f>
        <v>9.7390000000000008</v>
      </c>
      <c r="H597" s="81">
        <f>19.5605 * CHOOSE(CONTROL!$C$32, $C$9, 100%, $E$9)</f>
        <v>19.560500000000001</v>
      </c>
      <c r="I597" s="81">
        <f>19.5658 * CHOOSE(CONTROL!$C$32, $C$9, 100%, $E$9)</f>
        <v>19.565799999999999</v>
      </c>
      <c r="J597" s="81">
        <f>19.5605 * CHOOSE(CONTROL!$C$32, $C$9, 100%, $E$9)</f>
        <v>19.560500000000001</v>
      </c>
      <c r="K597" s="81">
        <f>19.5658 * CHOOSE(CONTROL!$C$32, $C$9, 100%, $E$9)</f>
        <v>19.565799999999999</v>
      </c>
      <c r="L597" s="81">
        <f>9.7337 * CHOOSE(CONTROL!$C$32, $C$9, 100%, $E$9)</f>
        <v>9.7337000000000007</v>
      </c>
      <c r="M597" s="81">
        <f>9.739 * CHOOSE(CONTROL!$C$32, $C$9, 100%, $E$9)</f>
        <v>9.7390000000000008</v>
      </c>
      <c r="N597" s="81">
        <f>9.7337 * CHOOSE(CONTROL!$C$32, $C$9, 100%, $E$9)</f>
        <v>9.7337000000000007</v>
      </c>
      <c r="O597" s="81">
        <f>9.739 * CHOOSE(CONTROL!$C$32, $C$9, 100%, $E$9)</f>
        <v>9.7390000000000008</v>
      </c>
    </row>
    <row r="598" spans="1:15" ht="15" x14ac:dyDescent="0.2">
      <c r="A598" s="16">
        <v>59415</v>
      </c>
      <c r="B598" s="80">
        <f>8.7474 * CHOOSE(CONTROL!$C$32, $C$9, 100%, $E$9)</f>
        <v>8.7474000000000007</v>
      </c>
      <c r="C598" s="80">
        <f>8.7474 * CHOOSE(CONTROL!$C$32, $C$9, 100%, $E$9)</f>
        <v>8.7474000000000007</v>
      </c>
      <c r="D598" s="80">
        <f>8.749 * CHOOSE(CONTROL!$C$32, $C$9, 100%, $E$9)</f>
        <v>8.7490000000000006</v>
      </c>
      <c r="E598" s="81">
        <f>9.707 * CHOOSE(CONTROL!$C$32, $C$9, 100%, $E$9)</f>
        <v>9.7070000000000007</v>
      </c>
      <c r="F598" s="81">
        <f>9.707 * CHOOSE(CONTROL!$C$32, $C$9, 100%, $E$9)</f>
        <v>9.7070000000000007</v>
      </c>
      <c r="G598" s="81">
        <f>9.7123 * CHOOSE(CONTROL!$C$32, $C$9, 100%, $E$9)</f>
        <v>9.7123000000000008</v>
      </c>
      <c r="H598" s="81">
        <f>19.6012 * CHOOSE(CONTROL!$C$32, $C$9, 100%, $E$9)</f>
        <v>19.601199999999999</v>
      </c>
      <c r="I598" s="81">
        <f>19.6065 * CHOOSE(CONTROL!$C$32, $C$9, 100%, $E$9)</f>
        <v>19.6065</v>
      </c>
      <c r="J598" s="81">
        <f>19.6012 * CHOOSE(CONTROL!$C$32, $C$9, 100%, $E$9)</f>
        <v>19.601199999999999</v>
      </c>
      <c r="K598" s="81">
        <f>19.6065 * CHOOSE(CONTROL!$C$32, $C$9, 100%, $E$9)</f>
        <v>19.6065</v>
      </c>
      <c r="L598" s="81">
        <f>9.707 * CHOOSE(CONTROL!$C$32, $C$9, 100%, $E$9)</f>
        <v>9.7070000000000007</v>
      </c>
      <c r="M598" s="81">
        <f>9.7123 * CHOOSE(CONTROL!$C$32, $C$9, 100%, $E$9)</f>
        <v>9.7123000000000008</v>
      </c>
      <c r="N598" s="81">
        <f>9.707 * CHOOSE(CONTROL!$C$32, $C$9, 100%, $E$9)</f>
        <v>9.7070000000000007</v>
      </c>
      <c r="O598" s="81">
        <f>9.7123 * CHOOSE(CONTROL!$C$32, $C$9, 100%, $E$9)</f>
        <v>9.7123000000000008</v>
      </c>
    </row>
    <row r="599" spans="1:15" ht="15" x14ac:dyDescent="0.2">
      <c r="A599" s="16">
        <v>59445</v>
      </c>
      <c r="B599" s="80">
        <f>8.7601 * CHOOSE(CONTROL!$C$32, $C$9, 100%, $E$9)</f>
        <v>8.7600999999999996</v>
      </c>
      <c r="C599" s="80">
        <f>8.7601 * CHOOSE(CONTROL!$C$32, $C$9, 100%, $E$9)</f>
        <v>8.7600999999999996</v>
      </c>
      <c r="D599" s="80">
        <f>8.7612 * CHOOSE(CONTROL!$C$32, $C$9, 100%, $E$9)</f>
        <v>8.7612000000000005</v>
      </c>
      <c r="E599" s="81">
        <f>9.7919 * CHOOSE(CONTROL!$C$32, $C$9, 100%, $E$9)</f>
        <v>9.7919</v>
      </c>
      <c r="F599" s="81">
        <f>9.7919 * CHOOSE(CONTROL!$C$32, $C$9, 100%, $E$9)</f>
        <v>9.7919</v>
      </c>
      <c r="G599" s="81">
        <f>9.7955 * CHOOSE(CONTROL!$C$32, $C$9, 100%, $E$9)</f>
        <v>9.7955000000000005</v>
      </c>
      <c r="H599" s="81">
        <f>19.6421 * CHOOSE(CONTROL!$C$32, $C$9, 100%, $E$9)</f>
        <v>19.642099999999999</v>
      </c>
      <c r="I599" s="81">
        <f>19.6457 * CHOOSE(CONTROL!$C$32, $C$9, 100%, $E$9)</f>
        <v>19.645700000000001</v>
      </c>
      <c r="J599" s="81">
        <f>19.6421 * CHOOSE(CONTROL!$C$32, $C$9, 100%, $E$9)</f>
        <v>19.642099999999999</v>
      </c>
      <c r="K599" s="81">
        <f>19.6457 * CHOOSE(CONTROL!$C$32, $C$9, 100%, $E$9)</f>
        <v>19.645700000000001</v>
      </c>
      <c r="L599" s="81">
        <f>9.7919 * CHOOSE(CONTROL!$C$32, $C$9, 100%, $E$9)</f>
        <v>9.7919</v>
      </c>
      <c r="M599" s="81">
        <f>9.7955 * CHOOSE(CONTROL!$C$32, $C$9, 100%, $E$9)</f>
        <v>9.7955000000000005</v>
      </c>
      <c r="N599" s="81">
        <f>9.7919 * CHOOSE(CONTROL!$C$32, $C$9, 100%, $E$9)</f>
        <v>9.7919</v>
      </c>
      <c r="O599" s="81">
        <f>9.7955 * CHOOSE(CONTROL!$C$32, $C$9, 100%, $E$9)</f>
        <v>9.7955000000000005</v>
      </c>
    </row>
    <row r="600" spans="1:15" ht="15" x14ac:dyDescent="0.2">
      <c r="A600" s="16">
        <v>59476</v>
      </c>
      <c r="B600" s="80">
        <f>8.7632 * CHOOSE(CONTROL!$C$32, $C$9, 100%, $E$9)</f>
        <v>8.7631999999999994</v>
      </c>
      <c r="C600" s="80">
        <f>8.7632 * CHOOSE(CONTROL!$C$32, $C$9, 100%, $E$9)</f>
        <v>8.7631999999999994</v>
      </c>
      <c r="D600" s="80">
        <f>8.7643 * CHOOSE(CONTROL!$C$32, $C$9, 100%, $E$9)</f>
        <v>8.7643000000000004</v>
      </c>
      <c r="E600" s="81">
        <f>9.8432 * CHOOSE(CONTROL!$C$32, $C$9, 100%, $E$9)</f>
        <v>9.8431999999999995</v>
      </c>
      <c r="F600" s="81">
        <f>9.8432 * CHOOSE(CONTROL!$C$32, $C$9, 100%, $E$9)</f>
        <v>9.8431999999999995</v>
      </c>
      <c r="G600" s="81">
        <f>9.8468 * CHOOSE(CONTROL!$C$32, $C$9, 100%, $E$9)</f>
        <v>9.8468</v>
      </c>
      <c r="H600" s="81">
        <f>19.683 * CHOOSE(CONTROL!$C$32, $C$9, 100%, $E$9)</f>
        <v>19.683</v>
      </c>
      <c r="I600" s="81">
        <f>19.6866 * CHOOSE(CONTROL!$C$32, $C$9, 100%, $E$9)</f>
        <v>19.686599999999999</v>
      </c>
      <c r="J600" s="81">
        <f>19.683 * CHOOSE(CONTROL!$C$32, $C$9, 100%, $E$9)</f>
        <v>19.683</v>
      </c>
      <c r="K600" s="81">
        <f>19.6866 * CHOOSE(CONTROL!$C$32, $C$9, 100%, $E$9)</f>
        <v>19.686599999999999</v>
      </c>
      <c r="L600" s="81">
        <f>9.8432 * CHOOSE(CONTROL!$C$32, $C$9, 100%, $E$9)</f>
        <v>9.8431999999999995</v>
      </c>
      <c r="M600" s="81">
        <f>9.8468 * CHOOSE(CONTROL!$C$32, $C$9, 100%, $E$9)</f>
        <v>9.8468</v>
      </c>
      <c r="N600" s="81">
        <f>9.8432 * CHOOSE(CONTROL!$C$32, $C$9, 100%, $E$9)</f>
        <v>9.8431999999999995</v>
      </c>
      <c r="O600" s="81">
        <f>9.8468 * CHOOSE(CONTROL!$C$32, $C$9, 100%, $E$9)</f>
        <v>9.8468</v>
      </c>
    </row>
    <row r="601" spans="1:15" ht="15" x14ac:dyDescent="0.2">
      <c r="A601" s="16">
        <v>59506</v>
      </c>
      <c r="B601" s="80">
        <f>8.7632 * CHOOSE(CONTROL!$C$32, $C$9, 100%, $E$9)</f>
        <v>8.7631999999999994</v>
      </c>
      <c r="C601" s="80">
        <f>8.7632 * CHOOSE(CONTROL!$C$32, $C$9, 100%, $E$9)</f>
        <v>8.7631999999999994</v>
      </c>
      <c r="D601" s="80">
        <f>8.7643 * CHOOSE(CONTROL!$C$32, $C$9, 100%, $E$9)</f>
        <v>8.7643000000000004</v>
      </c>
      <c r="E601" s="81">
        <f>9.7203 * CHOOSE(CONTROL!$C$32, $C$9, 100%, $E$9)</f>
        <v>9.7202999999999999</v>
      </c>
      <c r="F601" s="81">
        <f>9.7203 * CHOOSE(CONTROL!$C$32, $C$9, 100%, $E$9)</f>
        <v>9.7202999999999999</v>
      </c>
      <c r="G601" s="81">
        <f>9.7239 * CHOOSE(CONTROL!$C$32, $C$9, 100%, $E$9)</f>
        <v>9.7239000000000004</v>
      </c>
      <c r="H601" s="81">
        <f>19.724 * CHOOSE(CONTROL!$C$32, $C$9, 100%, $E$9)</f>
        <v>19.724</v>
      </c>
      <c r="I601" s="81">
        <f>19.7276 * CHOOSE(CONTROL!$C$32, $C$9, 100%, $E$9)</f>
        <v>19.727599999999999</v>
      </c>
      <c r="J601" s="81">
        <f>19.724 * CHOOSE(CONTROL!$C$32, $C$9, 100%, $E$9)</f>
        <v>19.724</v>
      </c>
      <c r="K601" s="81">
        <f>19.7276 * CHOOSE(CONTROL!$C$32, $C$9, 100%, $E$9)</f>
        <v>19.727599999999999</v>
      </c>
      <c r="L601" s="81">
        <f>9.7203 * CHOOSE(CONTROL!$C$32, $C$9, 100%, $E$9)</f>
        <v>9.7202999999999999</v>
      </c>
      <c r="M601" s="81">
        <f>9.7239 * CHOOSE(CONTROL!$C$32, $C$9, 100%, $E$9)</f>
        <v>9.7239000000000004</v>
      </c>
      <c r="N601" s="81">
        <f>9.7203 * CHOOSE(CONTROL!$C$32, $C$9, 100%, $E$9)</f>
        <v>9.7202999999999999</v>
      </c>
      <c r="O601" s="81">
        <f>9.7239 * CHOOSE(CONTROL!$C$32, $C$9, 100%, $E$9)</f>
        <v>9.7239000000000004</v>
      </c>
    </row>
    <row r="602" spans="1:15" ht="15" x14ac:dyDescent="0.2">
      <c r="A602" s="16">
        <v>59537</v>
      </c>
      <c r="B602" s="80">
        <f>8.8196 * CHOOSE(CONTROL!$C$32, $C$9, 100%, $E$9)</f>
        <v>8.8195999999999994</v>
      </c>
      <c r="C602" s="80">
        <f>8.8196 * CHOOSE(CONTROL!$C$32, $C$9, 100%, $E$9)</f>
        <v>8.8195999999999994</v>
      </c>
      <c r="D602" s="80">
        <f>8.8206 * CHOOSE(CONTROL!$C$32, $C$9, 100%, $E$9)</f>
        <v>8.8206000000000007</v>
      </c>
      <c r="E602" s="81">
        <f>9.883 * CHOOSE(CONTROL!$C$32, $C$9, 100%, $E$9)</f>
        <v>9.8829999999999991</v>
      </c>
      <c r="F602" s="81">
        <f>9.883 * CHOOSE(CONTROL!$C$32, $C$9, 100%, $E$9)</f>
        <v>9.8829999999999991</v>
      </c>
      <c r="G602" s="81">
        <f>9.8866 * CHOOSE(CONTROL!$C$32, $C$9, 100%, $E$9)</f>
        <v>9.8865999999999996</v>
      </c>
      <c r="H602" s="81">
        <f>19.7416 * CHOOSE(CONTROL!$C$32, $C$9, 100%, $E$9)</f>
        <v>19.741599999999998</v>
      </c>
      <c r="I602" s="81">
        <f>19.7453 * CHOOSE(CONTROL!$C$32, $C$9, 100%, $E$9)</f>
        <v>19.7453</v>
      </c>
      <c r="J602" s="81">
        <f>19.7416 * CHOOSE(CONTROL!$C$32, $C$9, 100%, $E$9)</f>
        <v>19.741599999999998</v>
      </c>
      <c r="K602" s="81">
        <f>19.7453 * CHOOSE(CONTROL!$C$32, $C$9, 100%, $E$9)</f>
        <v>19.7453</v>
      </c>
      <c r="L602" s="81">
        <f>9.883 * CHOOSE(CONTROL!$C$32, $C$9, 100%, $E$9)</f>
        <v>9.8829999999999991</v>
      </c>
      <c r="M602" s="81">
        <f>9.8866 * CHOOSE(CONTROL!$C$32, $C$9, 100%, $E$9)</f>
        <v>9.8865999999999996</v>
      </c>
      <c r="N602" s="81">
        <f>9.883 * CHOOSE(CONTROL!$C$32, $C$9, 100%, $E$9)</f>
        <v>9.8829999999999991</v>
      </c>
      <c r="O602" s="81">
        <f>9.8866 * CHOOSE(CONTROL!$C$32, $C$9, 100%, $E$9)</f>
        <v>9.8865999999999996</v>
      </c>
    </row>
    <row r="603" spans="1:15" ht="15" x14ac:dyDescent="0.2">
      <c r="A603" s="16">
        <v>59568</v>
      </c>
      <c r="B603" s="80">
        <f>8.8165 * CHOOSE(CONTROL!$C$32, $C$9, 100%, $E$9)</f>
        <v>8.8164999999999996</v>
      </c>
      <c r="C603" s="80">
        <f>8.8165 * CHOOSE(CONTROL!$C$32, $C$9, 100%, $E$9)</f>
        <v>8.8164999999999996</v>
      </c>
      <c r="D603" s="80">
        <f>8.8176 * CHOOSE(CONTROL!$C$32, $C$9, 100%, $E$9)</f>
        <v>8.8176000000000005</v>
      </c>
      <c r="E603" s="81">
        <f>9.6416 * CHOOSE(CONTROL!$C$32, $C$9, 100%, $E$9)</f>
        <v>9.6416000000000004</v>
      </c>
      <c r="F603" s="81">
        <f>9.6416 * CHOOSE(CONTROL!$C$32, $C$9, 100%, $E$9)</f>
        <v>9.6416000000000004</v>
      </c>
      <c r="G603" s="81">
        <f>9.6452 * CHOOSE(CONTROL!$C$32, $C$9, 100%, $E$9)</f>
        <v>9.6452000000000009</v>
      </c>
      <c r="H603" s="81">
        <f>19.7828 * CHOOSE(CONTROL!$C$32, $C$9, 100%, $E$9)</f>
        <v>19.782800000000002</v>
      </c>
      <c r="I603" s="81">
        <f>19.7864 * CHOOSE(CONTROL!$C$32, $C$9, 100%, $E$9)</f>
        <v>19.7864</v>
      </c>
      <c r="J603" s="81">
        <f>19.7828 * CHOOSE(CONTROL!$C$32, $C$9, 100%, $E$9)</f>
        <v>19.782800000000002</v>
      </c>
      <c r="K603" s="81">
        <f>19.7864 * CHOOSE(CONTROL!$C$32, $C$9, 100%, $E$9)</f>
        <v>19.7864</v>
      </c>
      <c r="L603" s="81">
        <f>9.6416 * CHOOSE(CONTROL!$C$32, $C$9, 100%, $E$9)</f>
        <v>9.6416000000000004</v>
      </c>
      <c r="M603" s="81">
        <f>9.6452 * CHOOSE(CONTROL!$C$32, $C$9, 100%, $E$9)</f>
        <v>9.6452000000000009</v>
      </c>
      <c r="N603" s="81">
        <f>9.6416 * CHOOSE(CONTROL!$C$32, $C$9, 100%, $E$9)</f>
        <v>9.6416000000000004</v>
      </c>
      <c r="O603" s="81">
        <f>9.6452 * CHOOSE(CONTROL!$C$32, $C$9, 100%, $E$9)</f>
        <v>9.6452000000000009</v>
      </c>
    </row>
    <row r="604" spans="1:15" ht="15" x14ac:dyDescent="0.2">
      <c r="A604" s="16">
        <v>59596</v>
      </c>
      <c r="B604" s="80">
        <f>8.8135 * CHOOSE(CONTROL!$C$32, $C$9, 100%, $E$9)</f>
        <v>8.8134999999999994</v>
      </c>
      <c r="C604" s="80">
        <f>8.8135 * CHOOSE(CONTROL!$C$32, $C$9, 100%, $E$9)</f>
        <v>8.8134999999999994</v>
      </c>
      <c r="D604" s="80">
        <f>8.8146 * CHOOSE(CONTROL!$C$32, $C$9, 100%, $E$9)</f>
        <v>8.8146000000000004</v>
      </c>
      <c r="E604" s="81">
        <f>9.8281 * CHOOSE(CONTROL!$C$32, $C$9, 100%, $E$9)</f>
        <v>9.8280999999999992</v>
      </c>
      <c r="F604" s="81">
        <f>9.8281 * CHOOSE(CONTROL!$C$32, $C$9, 100%, $E$9)</f>
        <v>9.8280999999999992</v>
      </c>
      <c r="G604" s="81">
        <f>9.8317 * CHOOSE(CONTROL!$C$32, $C$9, 100%, $E$9)</f>
        <v>9.8316999999999997</v>
      </c>
      <c r="H604" s="81">
        <f>19.824 * CHOOSE(CONTROL!$C$32, $C$9, 100%, $E$9)</f>
        <v>19.824000000000002</v>
      </c>
      <c r="I604" s="81">
        <f>19.8276 * CHOOSE(CONTROL!$C$32, $C$9, 100%, $E$9)</f>
        <v>19.8276</v>
      </c>
      <c r="J604" s="81">
        <f>19.824 * CHOOSE(CONTROL!$C$32, $C$9, 100%, $E$9)</f>
        <v>19.824000000000002</v>
      </c>
      <c r="K604" s="81">
        <f>19.8276 * CHOOSE(CONTROL!$C$32, $C$9, 100%, $E$9)</f>
        <v>19.8276</v>
      </c>
      <c r="L604" s="81">
        <f>9.8281 * CHOOSE(CONTROL!$C$32, $C$9, 100%, $E$9)</f>
        <v>9.8280999999999992</v>
      </c>
      <c r="M604" s="81">
        <f>9.8317 * CHOOSE(CONTROL!$C$32, $C$9, 100%, $E$9)</f>
        <v>9.8316999999999997</v>
      </c>
      <c r="N604" s="81">
        <f>9.8281 * CHOOSE(CONTROL!$C$32, $C$9, 100%, $E$9)</f>
        <v>9.8280999999999992</v>
      </c>
      <c r="O604" s="81">
        <f>9.8317 * CHOOSE(CONTROL!$C$32, $C$9, 100%, $E$9)</f>
        <v>9.8316999999999997</v>
      </c>
    </row>
    <row r="605" spans="1:15" ht="15" x14ac:dyDescent="0.2">
      <c r="A605" s="16">
        <v>59627</v>
      </c>
      <c r="B605" s="80">
        <f>8.8158 * CHOOSE(CONTROL!$C$32, $C$9, 100%, $E$9)</f>
        <v>8.8157999999999994</v>
      </c>
      <c r="C605" s="80">
        <f>8.8158 * CHOOSE(CONTROL!$C$32, $C$9, 100%, $E$9)</f>
        <v>8.8157999999999994</v>
      </c>
      <c r="D605" s="80">
        <f>8.8169 * CHOOSE(CONTROL!$C$32, $C$9, 100%, $E$9)</f>
        <v>8.8169000000000004</v>
      </c>
      <c r="E605" s="81">
        <f>10.0265 * CHOOSE(CONTROL!$C$32, $C$9, 100%, $E$9)</f>
        <v>10.0265</v>
      </c>
      <c r="F605" s="81">
        <f>10.0265 * CHOOSE(CONTROL!$C$32, $C$9, 100%, $E$9)</f>
        <v>10.0265</v>
      </c>
      <c r="G605" s="81">
        <f>10.0301 * CHOOSE(CONTROL!$C$32, $C$9, 100%, $E$9)</f>
        <v>10.030099999999999</v>
      </c>
      <c r="H605" s="81">
        <f>19.8653 * CHOOSE(CONTROL!$C$32, $C$9, 100%, $E$9)</f>
        <v>19.865300000000001</v>
      </c>
      <c r="I605" s="81">
        <f>19.8689 * CHOOSE(CONTROL!$C$32, $C$9, 100%, $E$9)</f>
        <v>19.8689</v>
      </c>
      <c r="J605" s="81">
        <f>19.8653 * CHOOSE(CONTROL!$C$32, $C$9, 100%, $E$9)</f>
        <v>19.865300000000001</v>
      </c>
      <c r="K605" s="81">
        <f>19.8689 * CHOOSE(CONTROL!$C$32, $C$9, 100%, $E$9)</f>
        <v>19.8689</v>
      </c>
      <c r="L605" s="81">
        <f>10.0265 * CHOOSE(CONTROL!$C$32, $C$9, 100%, $E$9)</f>
        <v>10.0265</v>
      </c>
      <c r="M605" s="81">
        <f>10.0301 * CHOOSE(CONTROL!$C$32, $C$9, 100%, $E$9)</f>
        <v>10.030099999999999</v>
      </c>
      <c r="N605" s="81">
        <f>10.0265 * CHOOSE(CONTROL!$C$32, $C$9, 100%, $E$9)</f>
        <v>10.0265</v>
      </c>
      <c r="O605" s="81">
        <f>10.0301 * CHOOSE(CONTROL!$C$32, $C$9, 100%, $E$9)</f>
        <v>10.030099999999999</v>
      </c>
    </row>
    <row r="606" spans="1:15" ht="15" x14ac:dyDescent="0.2">
      <c r="A606" s="16">
        <v>59657</v>
      </c>
      <c r="B606" s="80">
        <f>8.8158 * CHOOSE(CONTROL!$C$32, $C$9, 100%, $E$9)</f>
        <v>8.8157999999999994</v>
      </c>
      <c r="C606" s="80">
        <f>8.8158 * CHOOSE(CONTROL!$C$32, $C$9, 100%, $E$9)</f>
        <v>8.8157999999999994</v>
      </c>
      <c r="D606" s="80">
        <f>8.8174 * CHOOSE(CONTROL!$C$32, $C$9, 100%, $E$9)</f>
        <v>8.8173999999999992</v>
      </c>
      <c r="E606" s="81">
        <f>10.1024 * CHOOSE(CONTROL!$C$32, $C$9, 100%, $E$9)</f>
        <v>10.102399999999999</v>
      </c>
      <c r="F606" s="81">
        <f>10.1024 * CHOOSE(CONTROL!$C$32, $C$9, 100%, $E$9)</f>
        <v>10.102399999999999</v>
      </c>
      <c r="G606" s="81">
        <f>10.1077 * CHOOSE(CONTROL!$C$32, $C$9, 100%, $E$9)</f>
        <v>10.107699999999999</v>
      </c>
      <c r="H606" s="81">
        <f>19.9067 * CHOOSE(CONTROL!$C$32, $C$9, 100%, $E$9)</f>
        <v>19.906700000000001</v>
      </c>
      <c r="I606" s="81">
        <f>19.912 * CHOOSE(CONTROL!$C$32, $C$9, 100%, $E$9)</f>
        <v>19.911999999999999</v>
      </c>
      <c r="J606" s="81">
        <f>19.9067 * CHOOSE(CONTROL!$C$32, $C$9, 100%, $E$9)</f>
        <v>19.906700000000001</v>
      </c>
      <c r="K606" s="81">
        <f>19.912 * CHOOSE(CONTROL!$C$32, $C$9, 100%, $E$9)</f>
        <v>19.911999999999999</v>
      </c>
      <c r="L606" s="81">
        <f>10.1024 * CHOOSE(CONTROL!$C$32, $C$9, 100%, $E$9)</f>
        <v>10.102399999999999</v>
      </c>
      <c r="M606" s="81">
        <f>10.1077 * CHOOSE(CONTROL!$C$32, $C$9, 100%, $E$9)</f>
        <v>10.107699999999999</v>
      </c>
      <c r="N606" s="81">
        <f>10.1024 * CHOOSE(CONTROL!$C$32, $C$9, 100%, $E$9)</f>
        <v>10.102399999999999</v>
      </c>
      <c r="O606" s="81">
        <f>10.1077 * CHOOSE(CONTROL!$C$32, $C$9, 100%, $E$9)</f>
        <v>10.107699999999999</v>
      </c>
    </row>
    <row r="607" spans="1:15" ht="15" x14ac:dyDescent="0.2">
      <c r="A607" s="16">
        <v>59688</v>
      </c>
      <c r="B607" s="80">
        <f>8.8219 * CHOOSE(CONTROL!$C$32, $C$9, 100%, $E$9)</f>
        <v>8.8218999999999994</v>
      </c>
      <c r="C607" s="80">
        <f>8.8219 * CHOOSE(CONTROL!$C$32, $C$9, 100%, $E$9)</f>
        <v>8.8218999999999994</v>
      </c>
      <c r="D607" s="80">
        <f>8.8235 * CHOOSE(CONTROL!$C$32, $C$9, 100%, $E$9)</f>
        <v>8.8234999999999992</v>
      </c>
      <c r="E607" s="81">
        <f>10.0307 * CHOOSE(CONTROL!$C$32, $C$9, 100%, $E$9)</f>
        <v>10.0307</v>
      </c>
      <c r="F607" s="81">
        <f>10.0307 * CHOOSE(CONTROL!$C$32, $C$9, 100%, $E$9)</f>
        <v>10.0307</v>
      </c>
      <c r="G607" s="81">
        <f>10.036 * CHOOSE(CONTROL!$C$32, $C$9, 100%, $E$9)</f>
        <v>10.036</v>
      </c>
      <c r="H607" s="81">
        <f>19.9481 * CHOOSE(CONTROL!$C$32, $C$9, 100%, $E$9)</f>
        <v>19.9481</v>
      </c>
      <c r="I607" s="81">
        <f>19.9534 * CHOOSE(CONTROL!$C$32, $C$9, 100%, $E$9)</f>
        <v>19.953399999999998</v>
      </c>
      <c r="J607" s="81">
        <f>19.9481 * CHOOSE(CONTROL!$C$32, $C$9, 100%, $E$9)</f>
        <v>19.9481</v>
      </c>
      <c r="K607" s="81">
        <f>19.9534 * CHOOSE(CONTROL!$C$32, $C$9, 100%, $E$9)</f>
        <v>19.953399999999998</v>
      </c>
      <c r="L607" s="81">
        <f>10.0307 * CHOOSE(CONTROL!$C$32, $C$9, 100%, $E$9)</f>
        <v>10.0307</v>
      </c>
      <c r="M607" s="81">
        <f>10.036 * CHOOSE(CONTROL!$C$32, $C$9, 100%, $E$9)</f>
        <v>10.036</v>
      </c>
      <c r="N607" s="81">
        <f>10.0307 * CHOOSE(CONTROL!$C$32, $C$9, 100%, $E$9)</f>
        <v>10.0307</v>
      </c>
      <c r="O607" s="81">
        <f>10.036 * CHOOSE(CONTROL!$C$32, $C$9, 100%, $E$9)</f>
        <v>10.036</v>
      </c>
    </row>
    <row r="608" spans="1:15" ht="15" x14ac:dyDescent="0.2">
      <c r="A608" s="16">
        <v>59718</v>
      </c>
      <c r="B608" s="80">
        <f>8.9333 * CHOOSE(CONTROL!$C$32, $C$9, 100%, $E$9)</f>
        <v>8.9332999999999991</v>
      </c>
      <c r="C608" s="80">
        <f>8.9333 * CHOOSE(CONTROL!$C$32, $C$9, 100%, $E$9)</f>
        <v>8.9332999999999991</v>
      </c>
      <c r="D608" s="80">
        <f>8.9349 * CHOOSE(CONTROL!$C$32, $C$9, 100%, $E$9)</f>
        <v>8.9349000000000007</v>
      </c>
      <c r="E608" s="81">
        <f>10.1704 * CHOOSE(CONTROL!$C$32, $C$9, 100%, $E$9)</f>
        <v>10.170400000000001</v>
      </c>
      <c r="F608" s="81">
        <f>10.1704 * CHOOSE(CONTROL!$C$32, $C$9, 100%, $E$9)</f>
        <v>10.170400000000001</v>
      </c>
      <c r="G608" s="81">
        <f>10.1757 * CHOOSE(CONTROL!$C$32, $C$9, 100%, $E$9)</f>
        <v>10.175700000000001</v>
      </c>
      <c r="H608" s="81">
        <f>19.9897 * CHOOSE(CONTROL!$C$32, $C$9, 100%, $E$9)</f>
        <v>19.989699999999999</v>
      </c>
      <c r="I608" s="81">
        <f>19.995 * CHOOSE(CONTROL!$C$32, $C$9, 100%, $E$9)</f>
        <v>19.995000000000001</v>
      </c>
      <c r="J608" s="81">
        <f>19.9897 * CHOOSE(CONTROL!$C$32, $C$9, 100%, $E$9)</f>
        <v>19.989699999999999</v>
      </c>
      <c r="K608" s="81">
        <f>19.995 * CHOOSE(CONTROL!$C$32, $C$9, 100%, $E$9)</f>
        <v>19.995000000000001</v>
      </c>
      <c r="L608" s="81">
        <f>10.1704 * CHOOSE(CONTROL!$C$32, $C$9, 100%, $E$9)</f>
        <v>10.170400000000001</v>
      </c>
      <c r="M608" s="81">
        <f>10.1757 * CHOOSE(CONTROL!$C$32, $C$9, 100%, $E$9)</f>
        <v>10.175700000000001</v>
      </c>
      <c r="N608" s="81">
        <f>10.1704 * CHOOSE(CONTROL!$C$32, $C$9, 100%, $E$9)</f>
        <v>10.170400000000001</v>
      </c>
      <c r="O608" s="81">
        <f>10.1757 * CHOOSE(CONTROL!$C$32, $C$9, 100%, $E$9)</f>
        <v>10.175700000000001</v>
      </c>
    </row>
    <row r="609" spans="1:15" ht="15" x14ac:dyDescent="0.2">
      <c r="A609" s="16">
        <v>59749</v>
      </c>
      <c r="B609" s="80">
        <f>8.94 * CHOOSE(CONTROL!$C$32, $C$9, 100%, $E$9)</f>
        <v>8.94</v>
      </c>
      <c r="C609" s="80">
        <f>8.94 * CHOOSE(CONTROL!$C$32, $C$9, 100%, $E$9)</f>
        <v>8.94</v>
      </c>
      <c r="D609" s="80">
        <f>8.9416 * CHOOSE(CONTROL!$C$32, $C$9, 100%, $E$9)</f>
        <v>8.9415999999999993</v>
      </c>
      <c r="E609" s="81">
        <f>9.9471 * CHOOSE(CONTROL!$C$32, $C$9, 100%, $E$9)</f>
        <v>9.9471000000000007</v>
      </c>
      <c r="F609" s="81">
        <f>9.9471 * CHOOSE(CONTROL!$C$32, $C$9, 100%, $E$9)</f>
        <v>9.9471000000000007</v>
      </c>
      <c r="G609" s="81">
        <f>9.9524 * CHOOSE(CONTROL!$C$32, $C$9, 100%, $E$9)</f>
        <v>9.9524000000000008</v>
      </c>
      <c r="H609" s="81">
        <f>20.0313 * CHOOSE(CONTROL!$C$32, $C$9, 100%, $E$9)</f>
        <v>20.031300000000002</v>
      </c>
      <c r="I609" s="81">
        <f>20.0366 * CHOOSE(CONTROL!$C$32, $C$9, 100%, $E$9)</f>
        <v>20.0366</v>
      </c>
      <c r="J609" s="81">
        <f>20.0313 * CHOOSE(CONTROL!$C$32, $C$9, 100%, $E$9)</f>
        <v>20.031300000000002</v>
      </c>
      <c r="K609" s="81">
        <f>20.0366 * CHOOSE(CONTROL!$C$32, $C$9, 100%, $E$9)</f>
        <v>20.0366</v>
      </c>
      <c r="L609" s="81">
        <f>9.9471 * CHOOSE(CONTROL!$C$32, $C$9, 100%, $E$9)</f>
        <v>9.9471000000000007</v>
      </c>
      <c r="M609" s="81">
        <f>9.9524 * CHOOSE(CONTROL!$C$32, $C$9, 100%, $E$9)</f>
        <v>9.9524000000000008</v>
      </c>
      <c r="N609" s="81">
        <f>9.9471 * CHOOSE(CONTROL!$C$32, $C$9, 100%, $E$9)</f>
        <v>9.9471000000000007</v>
      </c>
      <c r="O609" s="81">
        <f>9.9524 * CHOOSE(CONTROL!$C$32, $C$9, 100%, $E$9)</f>
        <v>9.9524000000000008</v>
      </c>
    </row>
    <row r="610" spans="1:15" ht="15" x14ac:dyDescent="0.2">
      <c r="A610" s="16">
        <v>59780</v>
      </c>
      <c r="B610" s="80">
        <f>8.937 * CHOOSE(CONTROL!$C$32, $C$9, 100%, $E$9)</f>
        <v>8.9369999999999994</v>
      </c>
      <c r="C610" s="80">
        <f>8.937 * CHOOSE(CONTROL!$C$32, $C$9, 100%, $E$9)</f>
        <v>8.9369999999999994</v>
      </c>
      <c r="D610" s="80">
        <f>8.9386 * CHOOSE(CONTROL!$C$32, $C$9, 100%, $E$9)</f>
        <v>8.9385999999999992</v>
      </c>
      <c r="E610" s="81">
        <f>9.9197 * CHOOSE(CONTROL!$C$32, $C$9, 100%, $E$9)</f>
        <v>9.9197000000000006</v>
      </c>
      <c r="F610" s="81">
        <f>9.9197 * CHOOSE(CONTROL!$C$32, $C$9, 100%, $E$9)</f>
        <v>9.9197000000000006</v>
      </c>
      <c r="G610" s="81">
        <f>9.925 * CHOOSE(CONTROL!$C$32, $C$9, 100%, $E$9)</f>
        <v>9.9250000000000007</v>
      </c>
      <c r="H610" s="81">
        <f>20.0731 * CHOOSE(CONTROL!$C$32, $C$9, 100%, $E$9)</f>
        <v>20.0731</v>
      </c>
      <c r="I610" s="81">
        <f>20.0784 * CHOOSE(CONTROL!$C$32, $C$9, 100%, $E$9)</f>
        <v>20.078399999999998</v>
      </c>
      <c r="J610" s="81">
        <f>20.0731 * CHOOSE(CONTROL!$C$32, $C$9, 100%, $E$9)</f>
        <v>20.0731</v>
      </c>
      <c r="K610" s="81">
        <f>20.0784 * CHOOSE(CONTROL!$C$32, $C$9, 100%, $E$9)</f>
        <v>20.078399999999998</v>
      </c>
      <c r="L610" s="81">
        <f>9.9197 * CHOOSE(CONTROL!$C$32, $C$9, 100%, $E$9)</f>
        <v>9.9197000000000006</v>
      </c>
      <c r="M610" s="81">
        <f>9.925 * CHOOSE(CONTROL!$C$32, $C$9, 100%, $E$9)</f>
        <v>9.9250000000000007</v>
      </c>
      <c r="N610" s="81">
        <f>9.9197 * CHOOSE(CONTROL!$C$32, $C$9, 100%, $E$9)</f>
        <v>9.9197000000000006</v>
      </c>
      <c r="O610" s="81">
        <f>9.925 * CHOOSE(CONTROL!$C$32, $C$9, 100%, $E$9)</f>
        <v>9.9250000000000007</v>
      </c>
    </row>
    <row r="611" spans="1:15" ht="15" x14ac:dyDescent="0.2">
      <c r="A611" s="16">
        <v>59810</v>
      </c>
      <c r="B611" s="80">
        <f>8.9505 * CHOOSE(CONTROL!$C$32, $C$9, 100%, $E$9)</f>
        <v>8.9504999999999999</v>
      </c>
      <c r="C611" s="80">
        <f>8.9505 * CHOOSE(CONTROL!$C$32, $C$9, 100%, $E$9)</f>
        <v>8.9504999999999999</v>
      </c>
      <c r="D611" s="80">
        <f>8.9515 * CHOOSE(CONTROL!$C$32, $C$9, 100%, $E$9)</f>
        <v>8.9514999999999993</v>
      </c>
      <c r="E611" s="81">
        <f>10.0076 * CHOOSE(CONTROL!$C$32, $C$9, 100%, $E$9)</f>
        <v>10.0076</v>
      </c>
      <c r="F611" s="81">
        <f>10.0076 * CHOOSE(CONTROL!$C$32, $C$9, 100%, $E$9)</f>
        <v>10.0076</v>
      </c>
      <c r="G611" s="81">
        <f>10.0112 * CHOOSE(CONTROL!$C$32, $C$9, 100%, $E$9)</f>
        <v>10.011200000000001</v>
      </c>
      <c r="H611" s="81">
        <f>20.1149 * CHOOSE(CONTROL!$C$32, $C$9, 100%, $E$9)</f>
        <v>20.114899999999999</v>
      </c>
      <c r="I611" s="81">
        <f>20.1185 * CHOOSE(CONTROL!$C$32, $C$9, 100%, $E$9)</f>
        <v>20.118500000000001</v>
      </c>
      <c r="J611" s="81">
        <f>20.1149 * CHOOSE(CONTROL!$C$32, $C$9, 100%, $E$9)</f>
        <v>20.114899999999999</v>
      </c>
      <c r="K611" s="81">
        <f>20.1185 * CHOOSE(CONTROL!$C$32, $C$9, 100%, $E$9)</f>
        <v>20.118500000000001</v>
      </c>
      <c r="L611" s="81">
        <f>10.0076 * CHOOSE(CONTROL!$C$32, $C$9, 100%, $E$9)</f>
        <v>10.0076</v>
      </c>
      <c r="M611" s="81">
        <f>10.0112 * CHOOSE(CONTROL!$C$32, $C$9, 100%, $E$9)</f>
        <v>10.011200000000001</v>
      </c>
      <c r="N611" s="81">
        <f>10.0076 * CHOOSE(CONTROL!$C$32, $C$9, 100%, $E$9)</f>
        <v>10.0076</v>
      </c>
      <c r="O611" s="81">
        <f>10.0112 * CHOOSE(CONTROL!$C$32, $C$9, 100%, $E$9)</f>
        <v>10.011200000000001</v>
      </c>
    </row>
    <row r="612" spans="1:15" ht="15" x14ac:dyDescent="0.2">
      <c r="A612" s="16">
        <v>59841</v>
      </c>
      <c r="B612" s="80">
        <f>8.9535 * CHOOSE(CONTROL!$C$32, $C$9, 100%, $E$9)</f>
        <v>8.9535</v>
      </c>
      <c r="C612" s="80">
        <f>8.9535 * CHOOSE(CONTROL!$C$32, $C$9, 100%, $E$9)</f>
        <v>8.9535</v>
      </c>
      <c r="D612" s="80">
        <f>8.9546 * CHOOSE(CONTROL!$C$32, $C$9, 100%, $E$9)</f>
        <v>8.9545999999999992</v>
      </c>
      <c r="E612" s="81">
        <f>10.0603 * CHOOSE(CONTROL!$C$32, $C$9, 100%, $E$9)</f>
        <v>10.0603</v>
      </c>
      <c r="F612" s="81">
        <f>10.0603 * CHOOSE(CONTROL!$C$32, $C$9, 100%, $E$9)</f>
        <v>10.0603</v>
      </c>
      <c r="G612" s="81">
        <f>10.064 * CHOOSE(CONTROL!$C$32, $C$9, 100%, $E$9)</f>
        <v>10.064</v>
      </c>
      <c r="H612" s="81">
        <f>20.1568 * CHOOSE(CONTROL!$C$32, $C$9, 100%, $E$9)</f>
        <v>20.1568</v>
      </c>
      <c r="I612" s="81">
        <f>20.1604 * CHOOSE(CONTROL!$C$32, $C$9, 100%, $E$9)</f>
        <v>20.160399999999999</v>
      </c>
      <c r="J612" s="81">
        <f>20.1568 * CHOOSE(CONTROL!$C$32, $C$9, 100%, $E$9)</f>
        <v>20.1568</v>
      </c>
      <c r="K612" s="81">
        <f>20.1604 * CHOOSE(CONTROL!$C$32, $C$9, 100%, $E$9)</f>
        <v>20.160399999999999</v>
      </c>
      <c r="L612" s="81">
        <f>10.0603 * CHOOSE(CONTROL!$C$32, $C$9, 100%, $E$9)</f>
        <v>10.0603</v>
      </c>
      <c r="M612" s="81">
        <f>10.064 * CHOOSE(CONTROL!$C$32, $C$9, 100%, $E$9)</f>
        <v>10.064</v>
      </c>
      <c r="N612" s="81">
        <f>10.0603 * CHOOSE(CONTROL!$C$32, $C$9, 100%, $E$9)</f>
        <v>10.0603</v>
      </c>
      <c r="O612" s="81">
        <f>10.064 * CHOOSE(CONTROL!$C$32, $C$9, 100%, $E$9)</f>
        <v>10.064</v>
      </c>
    </row>
    <row r="613" spans="1:15" ht="15" x14ac:dyDescent="0.2">
      <c r="A613" s="16">
        <v>59871</v>
      </c>
      <c r="B613" s="80">
        <f>8.9535 * CHOOSE(CONTROL!$C$32, $C$9, 100%, $E$9)</f>
        <v>8.9535</v>
      </c>
      <c r="C613" s="80">
        <f>8.9535 * CHOOSE(CONTROL!$C$32, $C$9, 100%, $E$9)</f>
        <v>8.9535</v>
      </c>
      <c r="D613" s="80">
        <f>8.9546 * CHOOSE(CONTROL!$C$32, $C$9, 100%, $E$9)</f>
        <v>8.9545999999999992</v>
      </c>
      <c r="E613" s="81">
        <f>9.9337 * CHOOSE(CONTROL!$C$32, $C$9, 100%, $E$9)</f>
        <v>9.9337</v>
      </c>
      <c r="F613" s="81">
        <f>9.9337 * CHOOSE(CONTROL!$C$32, $C$9, 100%, $E$9)</f>
        <v>9.9337</v>
      </c>
      <c r="G613" s="81">
        <f>9.9373 * CHOOSE(CONTROL!$C$32, $C$9, 100%, $E$9)</f>
        <v>9.9373000000000005</v>
      </c>
      <c r="H613" s="81">
        <f>20.1988 * CHOOSE(CONTROL!$C$32, $C$9, 100%, $E$9)</f>
        <v>20.198799999999999</v>
      </c>
      <c r="I613" s="81">
        <f>20.2024 * CHOOSE(CONTROL!$C$32, $C$9, 100%, $E$9)</f>
        <v>20.202400000000001</v>
      </c>
      <c r="J613" s="81">
        <f>20.1988 * CHOOSE(CONTROL!$C$32, $C$9, 100%, $E$9)</f>
        <v>20.198799999999999</v>
      </c>
      <c r="K613" s="81">
        <f>20.2024 * CHOOSE(CONTROL!$C$32, $C$9, 100%, $E$9)</f>
        <v>20.202400000000001</v>
      </c>
      <c r="L613" s="81">
        <f>9.9337 * CHOOSE(CONTROL!$C$32, $C$9, 100%, $E$9)</f>
        <v>9.9337</v>
      </c>
      <c r="M613" s="81">
        <f>9.9373 * CHOOSE(CONTROL!$C$32, $C$9, 100%, $E$9)</f>
        <v>9.9373000000000005</v>
      </c>
      <c r="N613" s="81">
        <f>9.9337 * CHOOSE(CONTROL!$C$32, $C$9, 100%, $E$9)</f>
        <v>9.9337</v>
      </c>
      <c r="O613" s="81">
        <f>9.9373 * CHOOSE(CONTROL!$C$32, $C$9, 100%, $E$9)</f>
        <v>9.9373000000000005</v>
      </c>
    </row>
    <row r="614" spans="1:15" ht="15" x14ac:dyDescent="0.2">
      <c r="A614" s="16">
        <v>59902</v>
      </c>
      <c r="B614" s="80">
        <f>9.0069 * CHOOSE(CONTROL!$C$32, $C$9, 100%, $E$9)</f>
        <v>9.0068999999999999</v>
      </c>
      <c r="C614" s="80">
        <f>9.0069 * CHOOSE(CONTROL!$C$32, $C$9, 100%, $E$9)</f>
        <v>9.0068999999999999</v>
      </c>
      <c r="D614" s="80">
        <f>9.008 * CHOOSE(CONTROL!$C$32, $C$9, 100%, $E$9)</f>
        <v>9.0079999999999991</v>
      </c>
      <c r="E614" s="81">
        <f>10.0955 * CHOOSE(CONTROL!$C$32, $C$9, 100%, $E$9)</f>
        <v>10.095499999999999</v>
      </c>
      <c r="F614" s="81">
        <f>10.0955 * CHOOSE(CONTROL!$C$32, $C$9, 100%, $E$9)</f>
        <v>10.095499999999999</v>
      </c>
      <c r="G614" s="81">
        <f>10.0991 * CHOOSE(CONTROL!$C$32, $C$9, 100%, $E$9)</f>
        <v>10.0991</v>
      </c>
      <c r="H614" s="81">
        <f>20.2057 * CHOOSE(CONTROL!$C$32, $C$9, 100%, $E$9)</f>
        <v>20.2057</v>
      </c>
      <c r="I614" s="81">
        <f>20.2093 * CHOOSE(CONTROL!$C$32, $C$9, 100%, $E$9)</f>
        <v>20.209299999999999</v>
      </c>
      <c r="J614" s="81">
        <f>20.2057 * CHOOSE(CONTROL!$C$32, $C$9, 100%, $E$9)</f>
        <v>20.2057</v>
      </c>
      <c r="K614" s="81">
        <f>20.2093 * CHOOSE(CONTROL!$C$32, $C$9, 100%, $E$9)</f>
        <v>20.209299999999999</v>
      </c>
      <c r="L614" s="81">
        <f>10.0955 * CHOOSE(CONTROL!$C$32, $C$9, 100%, $E$9)</f>
        <v>10.095499999999999</v>
      </c>
      <c r="M614" s="81">
        <f>10.0991 * CHOOSE(CONTROL!$C$32, $C$9, 100%, $E$9)</f>
        <v>10.0991</v>
      </c>
      <c r="N614" s="81">
        <f>10.0955 * CHOOSE(CONTROL!$C$32, $C$9, 100%, $E$9)</f>
        <v>10.095499999999999</v>
      </c>
      <c r="O614" s="81">
        <f>10.0991 * CHOOSE(CONTROL!$C$32, $C$9, 100%, $E$9)</f>
        <v>10.0991</v>
      </c>
    </row>
    <row r="615" spans="1:15" ht="15" x14ac:dyDescent="0.2">
      <c r="A615" s="16">
        <v>59933</v>
      </c>
      <c r="B615" s="80">
        <f>9.0039 * CHOOSE(CONTROL!$C$32, $C$9, 100%, $E$9)</f>
        <v>9.0038999999999998</v>
      </c>
      <c r="C615" s="80">
        <f>9.0039 * CHOOSE(CONTROL!$C$32, $C$9, 100%, $E$9)</f>
        <v>9.0038999999999998</v>
      </c>
      <c r="D615" s="80">
        <f>9.005 * CHOOSE(CONTROL!$C$32, $C$9, 100%, $E$9)</f>
        <v>9.0050000000000008</v>
      </c>
      <c r="E615" s="81">
        <f>9.847 * CHOOSE(CONTROL!$C$32, $C$9, 100%, $E$9)</f>
        <v>9.8469999999999995</v>
      </c>
      <c r="F615" s="81">
        <f>9.847 * CHOOSE(CONTROL!$C$32, $C$9, 100%, $E$9)</f>
        <v>9.8469999999999995</v>
      </c>
      <c r="G615" s="81">
        <f>9.8506 * CHOOSE(CONTROL!$C$32, $C$9, 100%, $E$9)</f>
        <v>9.8506</v>
      </c>
      <c r="H615" s="81">
        <f>20.2478 * CHOOSE(CONTROL!$C$32, $C$9, 100%, $E$9)</f>
        <v>20.247800000000002</v>
      </c>
      <c r="I615" s="81">
        <f>20.2514 * CHOOSE(CONTROL!$C$32, $C$9, 100%, $E$9)</f>
        <v>20.2514</v>
      </c>
      <c r="J615" s="81">
        <f>20.2478 * CHOOSE(CONTROL!$C$32, $C$9, 100%, $E$9)</f>
        <v>20.247800000000002</v>
      </c>
      <c r="K615" s="81">
        <f>20.2514 * CHOOSE(CONTROL!$C$32, $C$9, 100%, $E$9)</f>
        <v>20.2514</v>
      </c>
      <c r="L615" s="81">
        <f>9.847 * CHOOSE(CONTROL!$C$32, $C$9, 100%, $E$9)</f>
        <v>9.8469999999999995</v>
      </c>
      <c r="M615" s="81">
        <f>9.8506 * CHOOSE(CONTROL!$C$32, $C$9, 100%, $E$9)</f>
        <v>9.8506</v>
      </c>
      <c r="N615" s="81">
        <f>9.847 * CHOOSE(CONTROL!$C$32, $C$9, 100%, $E$9)</f>
        <v>9.8469999999999995</v>
      </c>
      <c r="O615" s="81">
        <f>9.8506 * CHOOSE(CONTROL!$C$32, $C$9, 100%, $E$9)</f>
        <v>9.8506</v>
      </c>
    </row>
    <row r="616" spans="1:15" ht="15" x14ac:dyDescent="0.2">
      <c r="A616" s="16">
        <v>59962</v>
      </c>
      <c r="B616" s="80">
        <f>9.0008 * CHOOSE(CONTROL!$C$32, $C$9, 100%, $E$9)</f>
        <v>9.0007999999999999</v>
      </c>
      <c r="C616" s="80">
        <f>9.0008 * CHOOSE(CONTROL!$C$32, $C$9, 100%, $E$9)</f>
        <v>9.0007999999999999</v>
      </c>
      <c r="D616" s="80">
        <f>9.0019 * CHOOSE(CONTROL!$C$32, $C$9, 100%, $E$9)</f>
        <v>9.0018999999999991</v>
      </c>
      <c r="E616" s="81">
        <f>10.0391 * CHOOSE(CONTROL!$C$32, $C$9, 100%, $E$9)</f>
        <v>10.039099999999999</v>
      </c>
      <c r="F616" s="81">
        <f>10.0391 * CHOOSE(CONTROL!$C$32, $C$9, 100%, $E$9)</f>
        <v>10.039099999999999</v>
      </c>
      <c r="G616" s="81">
        <f>10.0427 * CHOOSE(CONTROL!$C$32, $C$9, 100%, $E$9)</f>
        <v>10.0427</v>
      </c>
      <c r="H616" s="81">
        <f>20.2899 * CHOOSE(CONTROL!$C$32, $C$9, 100%, $E$9)</f>
        <v>20.289899999999999</v>
      </c>
      <c r="I616" s="81">
        <f>20.2936 * CHOOSE(CONTROL!$C$32, $C$9, 100%, $E$9)</f>
        <v>20.293600000000001</v>
      </c>
      <c r="J616" s="81">
        <f>20.2899 * CHOOSE(CONTROL!$C$32, $C$9, 100%, $E$9)</f>
        <v>20.289899999999999</v>
      </c>
      <c r="K616" s="81">
        <f>20.2936 * CHOOSE(CONTROL!$C$32, $C$9, 100%, $E$9)</f>
        <v>20.293600000000001</v>
      </c>
      <c r="L616" s="81">
        <f>10.0391 * CHOOSE(CONTROL!$C$32, $C$9, 100%, $E$9)</f>
        <v>10.039099999999999</v>
      </c>
      <c r="M616" s="81">
        <f>10.0427 * CHOOSE(CONTROL!$C$32, $C$9, 100%, $E$9)</f>
        <v>10.0427</v>
      </c>
      <c r="N616" s="81">
        <f>10.0391 * CHOOSE(CONTROL!$C$32, $C$9, 100%, $E$9)</f>
        <v>10.039099999999999</v>
      </c>
      <c r="O616" s="81">
        <f>10.0427 * CHOOSE(CONTROL!$C$32, $C$9, 100%, $E$9)</f>
        <v>10.0427</v>
      </c>
    </row>
    <row r="617" spans="1:15" ht="15" x14ac:dyDescent="0.2">
      <c r="A617" s="16">
        <v>59993</v>
      </c>
      <c r="B617" s="80">
        <f>9.0033 * CHOOSE(CONTROL!$C$32, $C$9, 100%, $E$9)</f>
        <v>9.0032999999999994</v>
      </c>
      <c r="C617" s="80">
        <f>9.0033 * CHOOSE(CONTROL!$C$32, $C$9, 100%, $E$9)</f>
        <v>9.0032999999999994</v>
      </c>
      <c r="D617" s="80">
        <f>9.0044 * CHOOSE(CONTROL!$C$32, $C$9, 100%, $E$9)</f>
        <v>9.0044000000000004</v>
      </c>
      <c r="E617" s="81">
        <f>10.2435 * CHOOSE(CONTROL!$C$32, $C$9, 100%, $E$9)</f>
        <v>10.243499999999999</v>
      </c>
      <c r="F617" s="81">
        <f>10.2435 * CHOOSE(CONTROL!$C$32, $C$9, 100%, $E$9)</f>
        <v>10.243499999999999</v>
      </c>
      <c r="G617" s="81">
        <f>10.2471 * CHOOSE(CONTROL!$C$32, $C$9, 100%, $E$9)</f>
        <v>10.2471</v>
      </c>
      <c r="H617" s="81">
        <f>20.3322 * CHOOSE(CONTROL!$C$32, $C$9, 100%, $E$9)</f>
        <v>20.3322</v>
      </c>
      <c r="I617" s="81">
        <f>20.3358 * CHOOSE(CONTROL!$C$32, $C$9, 100%, $E$9)</f>
        <v>20.335799999999999</v>
      </c>
      <c r="J617" s="81">
        <f>20.3322 * CHOOSE(CONTROL!$C$32, $C$9, 100%, $E$9)</f>
        <v>20.3322</v>
      </c>
      <c r="K617" s="81">
        <f>20.3358 * CHOOSE(CONTROL!$C$32, $C$9, 100%, $E$9)</f>
        <v>20.335799999999999</v>
      </c>
      <c r="L617" s="81">
        <f>10.2435 * CHOOSE(CONTROL!$C$32, $C$9, 100%, $E$9)</f>
        <v>10.243499999999999</v>
      </c>
      <c r="M617" s="81">
        <f>10.2471 * CHOOSE(CONTROL!$C$32, $C$9, 100%, $E$9)</f>
        <v>10.2471</v>
      </c>
      <c r="N617" s="81">
        <f>10.2435 * CHOOSE(CONTROL!$C$32, $C$9, 100%, $E$9)</f>
        <v>10.243499999999999</v>
      </c>
      <c r="O617" s="81">
        <f>10.2471 * CHOOSE(CONTROL!$C$32, $C$9, 100%, $E$9)</f>
        <v>10.2471</v>
      </c>
    </row>
    <row r="618" spans="1:15" ht="15" x14ac:dyDescent="0.2">
      <c r="A618" s="16">
        <v>60023</v>
      </c>
      <c r="B618" s="80">
        <f>9.0033 * CHOOSE(CONTROL!$C$32, $C$9, 100%, $E$9)</f>
        <v>9.0032999999999994</v>
      </c>
      <c r="C618" s="80">
        <f>9.0033 * CHOOSE(CONTROL!$C$32, $C$9, 100%, $E$9)</f>
        <v>9.0032999999999994</v>
      </c>
      <c r="D618" s="80">
        <f>9.0049 * CHOOSE(CONTROL!$C$32, $C$9, 100%, $E$9)</f>
        <v>9.0048999999999992</v>
      </c>
      <c r="E618" s="81">
        <f>10.3217 * CHOOSE(CONTROL!$C$32, $C$9, 100%, $E$9)</f>
        <v>10.3217</v>
      </c>
      <c r="F618" s="81">
        <f>10.3217 * CHOOSE(CONTROL!$C$32, $C$9, 100%, $E$9)</f>
        <v>10.3217</v>
      </c>
      <c r="G618" s="81">
        <f>10.327 * CHOOSE(CONTROL!$C$32, $C$9, 100%, $E$9)</f>
        <v>10.327</v>
      </c>
      <c r="H618" s="81">
        <f>20.3746 * CHOOSE(CONTROL!$C$32, $C$9, 100%, $E$9)</f>
        <v>20.374600000000001</v>
      </c>
      <c r="I618" s="81">
        <f>20.3799 * CHOOSE(CONTROL!$C$32, $C$9, 100%, $E$9)</f>
        <v>20.379899999999999</v>
      </c>
      <c r="J618" s="81">
        <f>20.3746 * CHOOSE(CONTROL!$C$32, $C$9, 100%, $E$9)</f>
        <v>20.374600000000001</v>
      </c>
      <c r="K618" s="81">
        <f>20.3799 * CHOOSE(CONTROL!$C$32, $C$9, 100%, $E$9)</f>
        <v>20.379899999999999</v>
      </c>
      <c r="L618" s="81">
        <f>10.3217 * CHOOSE(CONTROL!$C$32, $C$9, 100%, $E$9)</f>
        <v>10.3217</v>
      </c>
      <c r="M618" s="81">
        <f>10.327 * CHOOSE(CONTROL!$C$32, $C$9, 100%, $E$9)</f>
        <v>10.327</v>
      </c>
      <c r="N618" s="81">
        <f>10.3217 * CHOOSE(CONTROL!$C$32, $C$9, 100%, $E$9)</f>
        <v>10.3217</v>
      </c>
      <c r="O618" s="81">
        <f>10.327 * CHOOSE(CONTROL!$C$32, $C$9, 100%, $E$9)</f>
        <v>10.327</v>
      </c>
    </row>
    <row r="619" spans="1:15" ht="15" x14ac:dyDescent="0.2">
      <c r="A619" s="16">
        <v>60054</v>
      </c>
      <c r="B619" s="80">
        <f>9.0094 * CHOOSE(CONTROL!$C$32, $C$9, 100%, $E$9)</f>
        <v>9.0093999999999994</v>
      </c>
      <c r="C619" s="80">
        <f>9.0094 * CHOOSE(CONTROL!$C$32, $C$9, 100%, $E$9)</f>
        <v>9.0093999999999994</v>
      </c>
      <c r="D619" s="80">
        <f>9.011 * CHOOSE(CONTROL!$C$32, $C$9, 100%, $E$9)</f>
        <v>9.0109999999999992</v>
      </c>
      <c r="E619" s="81">
        <f>10.2477 * CHOOSE(CONTROL!$C$32, $C$9, 100%, $E$9)</f>
        <v>10.2477</v>
      </c>
      <c r="F619" s="81">
        <f>10.2477 * CHOOSE(CONTROL!$C$32, $C$9, 100%, $E$9)</f>
        <v>10.2477</v>
      </c>
      <c r="G619" s="81">
        <f>10.253 * CHOOSE(CONTROL!$C$32, $C$9, 100%, $E$9)</f>
        <v>10.253</v>
      </c>
      <c r="H619" s="81">
        <f>20.417 * CHOOSE(CONTROL!$C$32, $C$9, 100%, $E$9)</f>
        <v>20.417000000000002</v>
      </c>
      <c r="I619" s="81">
        <f>20.4223 * CHOOSE(CONTROL!$C$32, $C$9, 100%, $E$9)</f>
        <v>20.4223</v>
      </c>
      <c r="J619" s="81">
        <f>20.417 * CHOOSE(CONTROL!$C$32, $C$9, 100%, $E$9)</f>
        <v>20.417000000000002</v>
      </c>
      <c r="K619" s="81">
        <f>20.4223 * CHOOSE(CONTROL!$C$32, $C$9, 100%, $E$9)</f>
        <v>20.4223</v>
      </c>
      <c r="L619" s="81">
        <f>10.2477 * CHOOSE(CONTROL!$C$32, $C$9, 100%, $E$9)</f>
        <v>10.2477</v>
      </c>
      <c r="M619" s="81">
        <f>10.253 * CHOOSE(CONTROL!$C$32, $C$9, 100%, $E$9)</f>
        <v>10.253</v>
      </c>
      <c r="N619" s="81">
        <f>10.2477 * CHOOSE(CONTROL!$C$32, $C$9, 100%, $E$9)</f>
        <v>10.2477</v>
      </c>
      <c r="O619" s="81">
        <f>10.253 * CHOOSE(CONTROL!$C$32, $C$9, 100%, $E$9)</f>
        <v>10.253</v>
      </c>
    </row>
    <row r="620" spans="1:15" ht="15" x14ac:dyDescent="0.2">
      <c r="A620" s="16">
        <v>60084</v>
      </c>
      <c r="B620" s="80">
        <f>9.1229 * CHOOSE(CONTROL!$C$32, $C$9, 100%, $E$9)</f>
        <v>9.1228999999999996</v>
      </c>
      <c r="C620" s="80">
        <f>9.1229 * CHOOSE(CONTROL!$C$32, $C$9, 100%, $E$9)</f>
        <v>9.1228999999999996</v>
      </c>
      <c r="D620" s="80">
        <f>9.1245 * CHOOSE(CONTROL!$C$32, $C$9, 100%, $E$9)</f>
        <v>9.1244999999999994</v>
      </c>
      <c r="E620" s="81">
        <f>10.3906 * CHOOSE(CONTROL!$C$32, $C$9, 100%, $E$9)</f>
        <v>10.390599999999999</v>
      </c>
      <c r="F620" s="81">
        <f>10.3906 * CHOOSE(CONTROL!$C$32, $C$9, 100%, $E$9)</f>
        <v>10.390599999999999</v>
      </c>
      <c r="G620" s="81">
        <f>10.3959 * CHOOSE(CONTROL!$C$32, $C$9, 100%, $E$9)</f>
        <v>10.395899999999999</v>
      </c>
      <c r="H620" s="81">
        <f>20.4596 * CHOOSE(CONTROL!$C$32, $C$9, 100%, $E$9)</f>
        <v>20.459599999999998</v>
      </c>
      <c r="I620" s="81">
        <f>20.4649 * CHOOSE(CONTROL!$C$32, $C$9, 100%, $E$9)</f>
        <v>20.4649</v>
      </c>
      <c r="J620" s="81">
        <f>20.4596 * CHOOSE(CONTROL!$C$32, $C$9, 100%, $E$9)</f>
        <v>20.459599999999998</v>
      </c>
      <c r="K620" s="81">
        <f>20.4649 * CHOOSE(CONTROL!$C$32, $C$9, 100%, $E$9)</f>
        <v>20.4649</v>
      </c>
      <c r="L620" s="81">
        <f>10.3906 * CHOOSE(CONTROL!$C$32, $C$9, 100%, $E$9)</f>
        <v>10.390599999999999</v>
      </c>
      <c r="M620" s="81">
        <f>10.3959 * CHOOSE(CONTROL!$C$32, $C$9, 100%, $E$9)</f>
        <v>10.395899999999999</v>
      </c>
      <c r="N620" s="81">
        <f>10.3906 * CHOOSE(CONTROL!$C$32, $C$9, 100%, $E$9)</f>
        <v>10.390599999999999</v>
      </c>
      <c r="O620" s="81">
        <f>10.3959 * CHOOSE(CONTROL!$C$32, $C$9, 100%, $E$9)</f>
        <v>10.395899999999999</v>
      </c>
    </row>
    <row r="621" spans="1:15" ht="15" x14ac:dyDescent="0.2">
      <c r="A621" s="16">
        <v>60115</v>
      </c>
      <c r="B621" s="80">
        <f>9.1296 * CHOOSE(CONTROL!$C$32, $C$9, 100%, $E$9)</f>
        <v>9.1295999999999999</v>
      </c>
      <c r="C621" s="80">
        <f>9.1296 * CHOOSE(CONTROL!$C$32, $C$9, 100%, $E$9)</f>
        <v>9.1295999999999999</v>
      </c>
      <c r="D621" s="80">
        <f>9.1312 * CHOOSE(CONTROL!$C$32, $C$9, 100%, $E$9)</f>
        <v>9.1311999999999998</v>
      </c>
      <c r="E621" s="81">
        <f>10.1606 * CHOOSE(CONTROL!$C$32, $C$9, 100%, $E$9)</f>
        <v>10.160600000000001</v>
      </c>
      <c r="F621" s="81">
        <f>10.1606 * CHOOSE(CONTROL!$C$32, $C$9, 100%, $E$9)</f>
        <v>10.160600000000001</v>
      </c>
      <c r="G621" s="81">
        <f>10.1659 * CHOOSE(CONTROL!$C$32, $C$9, 100%, $E$9)</f>
        <v>10.165900000000001</v>
      </c>
      <c r="H621" s="81">
        <f>20.5022 * CHOOSE(CONTROL!$C$32, $C$9, 100%, $E$9)</f>
        <v>20.502199999999998</v>
      </c>
      <c r="I621" s="81">
        <f>20.5075 * CHOOSE(CONTROL!$C$32, $C$9, 100%, $E$9)</f>
        <v>20.5075</v>
      </c>
      <c r="J621" s="81">
        <f>20.5022 * CHOOSE(CONTROL!$C$32, $C$9, 100%, $E$9)</f>
        <v>20.502199999999998</v>
      </c>
      <c r="K621" s="81">
        <f>20.5075 * CHOOSE(CONTROL!$C$32, $C$9, 100%, $E$9)</f>
        <v>20.5075</v>
      </c>
      <c r="L621" s="81">
        <f>10.1606 * CHOOSE(CONTROL!$C$32, $C$9, 100%, $E$9)</f>
        <v>10.160600000000001</v>
      </c>
      <c r="M621" s="81">
        <f>10.1659 * CHOOSE(CONTROL!$C$32, $C$9, 100%, $E$9)</f>
        <v>10.165900000000001</v>
      </c>
      <c r="N621" s="81">
        <f>10.1606 * CHOOSE(CONTROL!$C$32, $C$9, 100%, $E$9)</f>
        <v>10.160600000000001</v>
      </c>
      <c r="O621" s="81">
        <f>10.1659 * CHOOSE(CONTROL!$C$32, $C$9, 100%, $E$9)</f>
        <v>10.165900000000001</v>
      </c>
    </row>
    <row r="622" spans="1:15" ht="15" x14ac:dyDescent="0.2">
      <c r="A622" s="16">
        <v>60146</v>
      </c>
      <c r="B622" s="80">
        <f>9.1266 * CHOOSE(CONTROL!$C$32, $C$9, 100%, $E$9)</f>
        <v>9.1265999999999998</v>
      </c>
      <c r="C622" s="80">
        <f>9.1266 * CHOOSE(CONTROL!$C$32, $C$9, 100%, $E$9)</f>
        <v>9.1265999999999998</v>
      </c>
      <c r="D622" s="80">
        <f>9.1282 * CHOOSE(CONTROL!$C$32, $C$9, 100%, $E$9)</f>
        <v>9.1281999999999996</v>
      </c>
      <c r="E622" s="81">
        <f>10.1324 * CHOOSE(CONTROL!$C$32, $C$9, 100%, $E$9)</f>
        <v>10.132400000000001</v>
      </c>
      <c r="F622" s="81">
        <f>10.1324 * CHOOSE(CONTROL!$C$32, $C$9, 100%, $E$9)</f>
        <v>10.132400000000001</v>
      </c>
      <c r="G622" s="81">
        <f>10.1377 * CHOOSE(CONTROL!$C$32, $C$9, 100%, $E$9)</f>
        <v>10.137700000000001</v>
      </c>
      <c r="H622" s="81">
        <f>20.5449 * CHOOSE(CONTROL!$C$32, $C$9, 100%, $E$9)</f>
        <v>20.544899999999998</v>
      </c>
      <c r="I622" s="81">
        <f>20.5502 * CHOOSE(CONTROL!$C$32, $C$9, 100%, $E$9)</f>
        <v>20.5502</v>
      </c>
      <c r="J622" s="81">
        <f>20.5449 * CHOOSE(CONTROL!$C$32, $C$9, 100%, $E$9)</f>
        <v>20.544899999999998</v>
      </c>
      <c r="K622" s="81">
        <f>20.5502 * CHOOSE(CONTROL!$C$32, $C$9, 100%, $E$9)</f>
        <v>20.5502</v>
      </c>
      <c r="L622" s="81">
        <f>10.1324 * CHOOSE(CONTROL!$C$32, $C$9, 100%, $E$9)</f>
        <v>10.132400000000001</v>
      </c>
      <c r="M622" s="81">
        <f>10.1377 * CHOOSE(CONTROL!$C$32, $C$9, 100%, $E$9)</f>
        <v>10.137700000000001</v>
      </c>
      <c r="N622" s="81">
        <f>10.1324 * CHOOSE(CONTROL!$C$32, $C$9, 100%, $E$9)</f>
        <v>10.132400000000001</v>
      </c>
      <c r="O622" s="81">
        <f>10.1377 * CHOOSE(CONTROL!$C$32, $C$9, 100%, $E$9)</f>
        <v>10.137700000000001</v>
      </c>
    </row>
    <row r="623" spans="1:15" ht="15" x14ac:dyDescent="0.2">
      <c r="A623" s="16">
        <v>60176</v>
      </c>
      <c r="B623" s="80">
        <f>9.1408 * CHOOSE(CONTROL!$C$32, $C$9, 100%, $E$9)</f>
        <v>9.1408000000000005</v>
      </c>
      <c r="C623" s="80">
        <f>9.1408 * CHOOSE(CONTROL!$C$32, $C$9, 100%, $E$9)</f>
        <v>9.1408000000000005</v>
      </c>
      <c r="D623" s="80">
        <f>9.1418 * CHOOSE(CONTROL!$C$32, $C$9, 100%, $E$9)</f>
        <v>9.1417999999999999</v>
      </c>
      <c r="E623" s="81">
        <f>10.2233 * CHOOSE(CONTROL!$C$32, $C$9, 100%, $E$9)</f>
        <v>10.2233</v>
      </c>
      <c r="F623" s="81">
        <f>10.2233 * CHOOSE(CONTROL!$C$32, $C$9, 100%, $E$9)</f>
        <v>10.2233</v>
      </c>
      <c r="G623" s="81">
        <f>10.2269 * CHOOSE(CONTROL!$C$32, $C$9, 100%, $E$9)</f>
        <v>10.226900000000001</v>
      </c>
      <c r="H623" s="81">
        <f>20.5877 * CHOOSE(CONTROL!$C$32, $C$9, 100%, $E$9)</f>
        <v>20.587700000000002</v>
      </c>
      <c r="I623" s="81">
        <f>20.5913 * CHOOSE(CONTROL!$C$32, $C$9, 100%, $E$9)</f>
        <v>20.5913</v>
      </c>
      <c r="J623" s="81">
        <f>20.5877 * CHOOSE(CONTROL!$C$32, $C$9, 100%, $E$9)</f>
        <v>20.587700000000002</v>
      </c>
      <c r="K623" s="81">
        <f>20.5913 * CHOOSE(CONTROL!$C$32, $C$9, 100%, $E$9)</f>
        <v>20.5913</v>
      </c>
      <c r="L623" s="81">
        <f>10.2233 * CHOOSE(CONTROL!$C$32, $C$9, 100%, $E$9)</f>
        <v>10.2233</v>
      </c>
      <c r="M623" s="81">
        <f>10.2269 * CHOOSE(CONTROL!$C$32, $C$9, 100%, $E$9)</f>
        <v>10.226900000000001</v>
      </c>
      <c r="N623" s="81">
        <f>10.2233 * CHOOSE(CONTROL!$C$32, $C$9, 100%, $E$9)</f>
        <v>10.2233</v>
      </c>
      <c r="O623" s="81">
        <f>10.2269 * CHOOSE(CONTROL!$C$32, $C$9, 100%, $E$9)</f>
        <v>10.226900000000001</v>
      </c>
    </row>
    <row r="624" spans="1:15" ht="15" x14ac:dyDescent="0.2">
      <c r="A624" s="16">
        <v>60207</v>
      </c>
      <c r="B624" s="80">
        <f>9.1438 * CHOOSE(CONTROL!$C$32, $C$9, 100%, $E$9)</f>
        <v>9.1438000000000006</v>
      </c>
      <c r="C624" s="80">
        <f>9.1438 * CHOOSE(CONTROL!$C$32, $C$9, 100%, $E$9)</f>
        <v>9.1438000000000006</v>
      </c>
      <c r="D624" s="80">
        <f>9.1449 * CHOOSE(CONTROL!$C$32, $C$9, 100%, $E$9)</f>
        <v>9.1448999999999998</v>
      </c>
      <c r="E624" s="81">
        <f>10.2775 * CHOOSE(CONTROL!$C$32, $C$9, 100%, $E$9)</f>
        <v>10.2775</v>
      </c>
      <c r="F624" s="81">
        <f>10.2775 * CHOOSE(CONTROL!$C$32, $C$9, 100%, $E$9)</f>
        <v>10.2775</v>
      </c>
      <c r="G624" s="81">
        <f>10.2811 * CHOOSE(CONTROL!$C$32, $C$9, 100%, $E$9)</f>
        <v>10.2811</v>
      </c>
      <c r="H624" s="81">
        <f>20.6306 * CHOOSE(CONTROL!$C$32, $C$9, 100%, $E$9)</f>
        <v>20.630600000000001</v>
      </c>
      <c r="I624" s="81">
        <f>20.6342 * CHOOSE(CONTROL!$C$32, $C$9, 100%, $E$9)</f>
        <v>20.6342</v>
      </c>
      <c r="J624" s="81">
        <f>20.6306 * CHOOSE(CONTROL!$C$32, $C$9, 100%, $E$9)</f>
        <v>20.630600000000001</v>
      </c>
      <c r="K624" s="81">
        <f>20.6342 * CHOOSE(CONTROL!$C$32, $C$9, 100%, $E$9)</f>
        <v>20.6342</v>
      </c>
      <c r="L624" s="81">
        <f>10.2775 * CHOOSE(CONTROL!$C$32, $C$9, 100%, $E$9)</f>
        <v>10.2775</v>
      </c>
      <c r="M624" s="81">
        <f>10.2811 * CHOOSE(CONTROL!$C$32, $C$9, 100%, $E$9)</f>
        <v>10.2811</v>
      </c>
      <c r="N624" s="81">
        <f>10.2775 * CHOOSE(CONTROL!$C$32, $C$9, 100%, $E$9)</f>
        <v>10.2775</v>
      </c>
      <c r="O624" s="81">
        <f>10.2811 * CHOOSE(CONTROL!$C$32, $C$9, 100%, $E$9)</f>
        <v>10.2811</v>
      </c>
    </row>
    <row r="625" spans="1:15" ht="15" x14ac:dyDescent="0.2">
      <c r="A625" s="16">
        <v>60237</v>
      </c>
      <c r="B625" s="80">
        <f>9.1438 * CHOOSE(CONTROL!$C$32, $C$9, 100%, $E$9)</f>
        <v>9.1438000000000006</v>
      </c>
      <c r="C625" s="80">
        <f>9.1438 * CHOOSE(CONTROL!$C$32, $C$9, 100%, $E$9)</f>
        <v>9.1438000000000006</v>
      </c>
      <c r="D625" s="80">
        <f>9.1449 * CHOOSE(CONTROL!$C$32, $C$9, 100%, $E$9)</f>
        <v>9.1448999999999998</v>
      </c>
      <c r="E625" s="81">
        <f>10.1471 * CHOOSE(CONTROL!$C$32, $C$9, 100%, $E$9)</f>
        <v>10.1471</v>
      </c>
      <c r="F625" s="81">
        <f>10.1471 * CHOOSE(CONTROL!$C$32, $C$9, 100%, $E$9)</f>
        <v>10.1471</v>
      </c>
      <c r="G625" s="81">
        <f>10.1508 * CHOOSE(CONTROL!$C$32, $C$9, 100%, $E$9)</f>
        <v>10.1508</v>
      </c>
      <c r="H625" s="81">
        <f>20.6736 * CHOOSE(CONTROL!$C$32, $C$9, 100%, $E$9)</f>
        <v>20.6736</v>
      </c>
      <c r="I625" s="81">
        <f>20.6772 * CHOOSE(CONTROL!$C$32, $C$9, 100%, $E$9)</f>
        <v>20.677199999999999</v>
      </c>
      <c r="J625" s="81">
        <f>20.6736 * CHOOSE(CONTROL!$C$32, $C$9, 100%, $E$9)</f>
        <v>20.6736</v>
      </c>
      <c r="K625" s="81">
        <f>20.6772 * CHOOSE(CONTROL!$C$32, $C$9, 100%, $E$9)</f>
        <v>20.677199999999999</v>
      </c>
      <c r="L625" s="81">
        <f>10.1471 * CHOOSE(CONTROL!$C$32, $C$9, 100%, $E$9)</f>
        <v>10.1471</v>
      </c>
      <c r="M625" s="81">
        <f>10.1508 * CHOOSE(CONTROL!$C$32, $C$9, 100%, $E$9)</f>
        <v>10.1508</v>
      </c>
      <c r="N625" s="81">
        <f>10.1471 * CHOOSE(CONTROL!$C$32, $C$9, 100%, $E$9)</f>
        <v>10.1471</v>
      </c>
      <c r="O625" s="81">
        <f>10.1508 * CHOOSE(CONTROL!$C$32, $C$9, 100%, $E$9)</f>
        <v>10.1508</v>
      </c>
    </row>
    <row r="626" spans="1:15" ht="15" x14ac:dyDescent="0.2">
      <c r="A626" s="16">
        <v>60268</v>
      </c>
      <c r="B626" s="80">
        <f>9.1943 * CHOOSE(CONTROL!$C$32, $C$9, 100%, $E$9)</f>
        <v>9.1943000000000001</v>
      </c>
      <c r="C626" s="80">
        <f>9.1943 * CHOOSE(CONTROL!$C$32, $C$9, 100%, $E$9)</f>
        <v>9.1943000000000001</v>
      </c>
      <c r="D626" s="80">
        <f>9.1954 * CHOOSE(CONTROL!$C$32, $C$9, 100%, $E$9)</f>
        <v>9.1953999999999994</v>
      </c>
      <c r="E626" s="81">
        <f>10.308 * CHOOSE(CONTROL!$C$32, $C$9, 100%, $E$9)</f>
        <v>10.308</v>
      </c>
      <c r="F626" s="81">
        <f>10.308 * CHOOSE(CONTROL!$C$32, $C$9, 100%, $E$9)</f>
        <v>10.308</v>
      </c>
      <c r="G626" s="81">
        <f>10.3116 * CHOOSE(CONTROL!$C$32, $C$9, 100%, $E$9)</f>
        <v>10.3116</v>
      </c>
      <c r="H626" s="81">
        <f>20.6697 * CHOOSE(CONTROL!$C$32, $C$9, 100%, $E$9)</f>
        <v>20.669699999999999</v>
      </c>
      <c r="I626" s="81">
        <f>20.6733 * CHOOSE(CONTROL!$C$32, $C$9, 100%, $E$9)</f>
        <v>20.673300000000001</v>
      </c>
      <c r="J626" s="81">
        <f>20.6697 * CHOOSE(CONTROL!$C$32, $C$9, 100%, $E$9)</f>
        <v>20.669699999999999</v>
      </c>
      <c r="K626" s="81">
        <f>20.6733 * CHOOSE(CONTROL!$C$32, $C$9, 100%, $E$9)</f>
        <v>20.673300000000001</v>
      </c>
      <c r="L626" s="81">
        <f>10.308 * CHOOSE(CONTROL!$C$32, $C$9, 100%, $E$9)</f>
        <v>10.308</v>
      </c>
      <c r="M626" s="81">
        <f>10.3116 * CHOOSE(CONTROL!$C$32, $C$9, 100%, $E$9)</f>
        <v>10.3116</v>
      </c>
      <c r="N626" s="81">
        <f>10.308 * CHOOSE(CONTROL!$C$32, $C$9, 100%, $E$9)</f>
        <v>10.308</v>
      </c>
      <c r="O626" s="81">
        <f>10.3116 * CHOOSE(CONTROL!$C$32, $C$9, 100%, $E$9)</f>
        <v>10.3116</v>
      </c>
    </row>
    <row r="627" spans="1:15" ht="15" x14ac:dyDescent="0.2">
      <c r="A627" s="16">
        <v>60299</v>
      </c>
      <c r="B627" s="80">
        <f>9.1912 * CHOOSE(CONTROL!$C$32, $C$9, 100%, $E$9)</f>
        <v>9.1912000000000003</v>
      </c>
      <c r="C627" s="80">
        <f>9.1912 * CHOOSE(CONTROL!$C$32, $C$9, 100%, $E$9)</f>
        <v>9.1912000000000003</v>
      </c>
      <c r="D627" s="80">
        <f>9.1923 * CHOOSE(CONTROL!$C$32, $C$9, 100%, $E$9)</f>
        <v>9.1922999999999995</v>
      </c>
      <c r="E627" s="81">
        <f>10.0524 * CHOOSE(CONTROL!$C$32, $C$9, 100%, $E$9)</f>
        <v>10.0524</v>
      </c>
      <c r="F627" s="81">
        <f>10.0524 * CHOOSE(CONTROL!$C$32, $C$9, 100%, $E$9)</f>
        <v>10.0524</v>
      </c>
      <c r="G627" s="81">
        <f>10.056 * CHOOSE(CONTROL!$C$32, $C$9, 100%, $E$9)</f>
        <v>10.055999999999999</v>
      </c>
      <c r="H627" s="81">
        <f>20.7128 * CHOOSE(CONTROL!$C$32, $C$9, 100%, $E$9)</f>
        <v>20.712800000000001</v>
      </c>
      <c r="I627" s="81">
        <f>20.7164 * CHOOSE(CONTROL!$C$32, $C$9, 100%, $E$9)</f>
        <v>20.7164</v>
      </c>
      <c r="J627" s="81">
        <f>20.7128 * CHOOSE(CONTROL!$C$32, $C$9, 100%, $E$9)</f>
        <v>20.712800000000001</v>
      </c>
      <c r="K627" s="81">
        <f>20.7164 * CHOOSE(CONTROL!$C$32, $C$9, 100%, $E$9)</f>
        <v>20.7164</v>
      </c>
      <c r="L627" s="81">
        <f>10.0524 * CHOOSE(CONTROL!$C$32, $C$9, 100%, $E$9)</f>
        <v>10.0524</v>
      </c>
      <c r="M627" s="81">
        <f>10.056 * CHOOSE(CONTROL!$C$32, $C$9, 100%, $E$9)</f>
        <v>10.055999999999999</v>
      </c>
      <c r="N627" s="81">
        <f>10.0524 * CHOOSE(CONTROL!$C$32, $C$9, 100%, $E$9)</f>
        <v>10.0524</v>
      </c>
      <c r="O627" s="81">
        <f>10.056 * CHOOSE(CONTROL!$C$32, $C$9, 100%, $E$9)</f>
        <v>10.055999999999999</v>
      </c>
    </row>
    <row r="628" spans="1:15" ht="15" x14ac:dyDescent="0.2">
      <c r="A628" s="16">
        <v>60327</v>
      </c>
      <c r="B628" s="80">
        <f>9.1882 * CHOOSE(CONTROL!$C$32, $C$9, 100%, $E$9)</f>
        <v>9.1882000000000001</v>
      </c>
      <c r="C628" s="80">
        <f>9.1882 * CHOOSE(CONTROL!$C$32, $C$9, 100%, $E$9)</f>
        <v>9.1882000000000001</v>
      </c>
      <c r="D628" s="80">
        <f>9.1893 * CHOOSE(CONTROL!$C$32, $C$9, 100%, $E$9)</f>
        <v>9.1892999999999994</v>
      </c>
      <c r="E628" s="81">
        <f>10.2501 * CHOOSE(CONTROL!$C$32, $C$9, 100%, $E$9)</f>
        <v>10.2501</v>
      </c>
      <c r="F628" s="81">
        <f>10.2501 * CHOOSE(CONTROL!$C$32, $C$9, 100%, $E$9)</f>
        <v>10.2501</v>
      </c>
      <c r="G628" s="81">
        <f>10.2537 * CHOOSE(CONTROL!$C$32, $C$9, 100%, $E$9)</f>
        <v>10.2537</v>
      </c>
      <c r="H628" s="81">
        <f>20.7559 * CHOOSE(CONTROL!$C$32, $C$9, 100%, $E$9)</f>
        <v>20.7559</v>
      </c>
      <c r="I628" s="81">
        <f>20.7595 * CHOOSE(CONTROL!$C$32, $C$9, 100%, $E$9)</f>
        <v>20.759499999999999</v>
      </c>
      <c r="J628" s="81">
        <f>20.7559 * CHOOSE(CONTROL!$C$32, $C$9, 100%, $E$9)</f>
        <v>20.7559</v>
      </c>
      <c r="K628" s="81">
        <f>20.7595 * CHOOSE(CONTROL!$C$32, $C$9, 100%, $E$9)</f>
        <v>20.759499999999999</v>
      </c>
      <c r="L628" s="81">
        <f>10.2501 * CHOOSE(CONTROL!$C$32, $C$9, 100%, $E$9)</f>
        <v>10.2501</v>
      </c>
      <c r="M628" s="81">
        <f>10.2537 * CHOOSE(CONTROL!$C$32, $C$9, 100%, $E$9)</f>
        <v>10.2537</v>
      </c>
      <c r="N628" s="81">
        <f>10.2501 * CHOOSE(CONTROL!$C$32, $C$9, 100%, $E$9)</f>
        <v>10.2501</v>
      </c>
      <c r="O628" s="81">
        <f>10.2537 * CHOOSE(CONTROL!$C$32, $C$9, 100%, $E$9)</f>
        <v>10.2537</v>
      </c>
    </row>
    <row r="629" spans="1:15" ht="15" x14ac:dyDescent="0.2">
      <c r="A629" s="16">
        <v>60358</v>
      </c>
      <c r="B629" s="80">
        <f>9.1909 * CHOOSE(CONTROL!$C$32, $C$9, 100%, $E$9)</f>
        <v>9.1908999999999992</v>
      </c>
      <c r="C629" s="80">
        <f>9.1909 * CHOOSE(CONTROL!$C$32, $C$9, 100%, $E$9)</f>
        <v>9.1908999999999992</v>
      </c>
      <c r="D629" s="80">
        <f>9.192 * CHOOSE(CONTROL!$C$32, $C$9, 100%, $E$9)</f>
        <v>9.1920000000000002</v>
      </c>
      <c r="E629" s="81">
        <f>10.4605 * CHOOSE(CONTROL!$C$32, $C$9, 100%, $E$9)</f>
        <v>10.4605</v>
      </c>
      <c r="F629" s="81">
        <f>10.4605 * CHOOSE(CONTROL!$C$32, $C$9, 100%, $E$9)</f>
        <v>10.4605</v>
      </c>
      <c r="G629" s="81">
        <f>10.4641 * CHOOSE(CONTROL!$C$32, $C$9, 100%, $E$9)</f>
        <v>10.4641</v>
      </c>
      <c r="H629" s="81">
        <f>20.7992 * CHOOSE(CONTROL!$C$32, $C$9, 100%, $E$9)</f>
        <v>20.799199999999999</v>
      </c>
      <c r="I629" s="81">
        <f>20.8028 * CHOOSE(CONTROL!$C$32, $C$9, 100%, $E$9)</f>
        <v>20.802800000000001</v>
      </c>
      <c r="J629" s="81">
        <f>20.7992 * CHOOSE(CONTROL!$C$32, $C$9, 100%, $E$9)</f>
        <v>20.799199999999999</v>
      </c>
      <c r="K629" s="81">
        <f>20.8028 * CHOOSE(CONTROL!$C$32, $C$9, 100%, $E$9)</f>
        <v>20.802800000000001</v>
      </c>
      <c r="L629" s="81">
        <f>10.4605 * CHOOSE(CONTROL!$C$32, $C$9, 100%, $E$9)</f>
        <v>10.4605</v>
      </c>
      <c r="M629" s="81">
        <f>10.4641 * CHOOSE(CONTROL!$C$32, $C$9, 100%, $E$9)</f>
        <v>10.4641</v>
      </c>
      <c r="N629" s="81">
        <f>10.4605 * CHOOSE(CONTROL!$C$32, $C$9, 100%, $E$9)</f>
        <v>10.4605</v>
      </c>
      <c r="O629" s="81">
        <f>10.4641 * CHOOSE(CONTROL!$C$32, $C$9, 100%, $E$9)</f>
        <v>10.4641</v>
      </c>
    </row>
    <row r="630" spans="1:15" ht="15" x14ac:dyDescent="0.2">
      <c r="A630" s="16">
        <v>60388</v>
      </c>
      <c r="B630" s="80">
        <f>9.1909 * CHOOSE(CONTROL!$C$32, $C$9, 100%, $E$9)</f>
        <v>9.1908999999999992</v>
      </c>
      <c r="C630" s="80">
        <f>9.1909 * CHOOSE(CONTROL!$C$32, $C$9, 100%, $E$9)</f>
        <v>9.1908999999999992</v>
      </c>
      <c r="D630" s="80">
        <f>9.1925 * CHOOSE(CONTROL!$C$32, $C$9, 100%, $E$9)</f>
        <v>9.1925000000000008</v>
      </c>
      <c r="E630" s="81">
        <f>10.541 * CHOOSE(CONTROL!$C$32, $C$9, 100%, $E$9)</f>
        <v>10.541</v>
      </c>
      <c r="F630" s="81">
        <f>10.541 * CHOOSE(CONTROL!$C$32, $C$9, 100%, $E$9)</f>
        <v>10.541</v>
      </c>
      <c r="G630" s="81">
        <f>10.5462 * CHOOSE(CONTROL!$C$32, $C$9, 100%, $E$9)</f>
        <v>10.546200000000001</v>
      </c>
      <c r="H630" s="81">
        <f>20.8425 * CHOOSE(CONTROL!$C$32, $C$9, 100%, $E$9)</f>
        <v>20.842500000000001</v>
      </c>
      <c r="I630" s="81">
        <f>20.8478 * CHOOSE(CONTROL!$C$32, $C$9, 100%, $E$9)</f>
        <v>20.847799999999999</v>
      </c>
      <c r="J630" s="81">
        <f>20.8425 * CHOOSE(CONTROL!$C$32, $C$9, 100%, $E$9)</f>
        <v>20.842500000000001</v>
      </c>
      <c r="K630" s="81">
        <f>20.8478 * CHOOSE(CONTROL!$C$32, $C$9, 100%, $E$9)</f>
        <v>20.847799999999999</v>
      </c>
      <c r="L630" s="81">
        <f>10.541 * CHOOSE(CONTROL!$C$32, $C$9, 100%, $E$9)</f>
        <v>10.541</v>
      </c>
      <c r="M630" s="81">
        <f>10.5462 * CHOOSE(CONTROL!$C$32, $C$9, 100%, $E$9)</f>
        <v>10.546200000000001</v>
      </c>
      <c r="N630" s="81">
        <f>10.541 * CHOOSE(CONTROL!$C$32, $C$9, 100%, $E$9)</f>
        <v>10.541</v>
      </c>
      <c r="O630" s="81">
        <f>10.5462 * CHOOSE(CONTROL!$C$32, $C$9, 100%, $E$9)</f>
        <v>10.546200000000001</v>
      </c>
    </row>
    <row r="631" spans="1:15" ht="15" x14ac:dyDescent="0.2">
      <c r="A631" s="16">
        <v>60419</v>
      </c>
      <c r="B631" s="80">
        <f>9.197 * CHOOSE(CONTROL!$C$32, $C$9, 100%, $E$9)</f>
        <v>9.1969999999999992</v>
      </c>
      <c r="C631" s="80">
        <f>9.197 * CHOOSE(CONTROL!$C$32, $C$9, 100%, $E$9)</f>
        <v>9.1969999999999992</v>
      </c>
      <c r="D631" s="80">
        <f>9.1985 * CHOOSE(CONTROL!$C$32, $C$9, 100%, $E$9)</f>
        <v>9.1984999999999992</v>
      </c>
      <c r="E631" s="81">
        <f>10.4647 * CHOOSE(CONTROL!$C$32, $C$9, 100%, $E$9)</f>
        <v>10.464700000000001</v>
      </c>
      <c r="F631" s="81">
        <f>10.4647 * CHOOSE(CONTROL!$C$32, $C$9, 100%, $E$9)</f>
        <v>10.464700000000001</v>
      </c>
      <c r="G631" s="81">
        <f>10.47 * CHOOSE(CONTROL!$C$32, $C$9, 100%, $E$9)</f>
        <v>10.47</v>
      </c>
      <c r="H631" s="81">
        <f>20.8859 * CHOOSE(CONTROL!$C$32, $C$9, 100%, $E$9)</f>
        <v>20.885899999999999</v>
      </c>
      <c r="I631" s="81">
        <f>20.8912 * CHOOSE(CONTROL!$C$32, $C$9, 100%, $E$9)</f>
        <v>20.891200000000001</v>
      </c>
      <c r="J631" s="81">
        <f>20.8859 * CHOOSE(CONTROL!$C$32, $C$9, 100%, $E$9)</f>
        <v>20.885899999999999</v>
      </c>
      <c r="K631" s="81">
        <f>20.8912 * CHOOSE(CONTROL!$C$32, $C$9, 100%, $E$9)</f>
        <v>20.891200000000001</v>
      </c>
      <c r="L631" s="81">
        <f>10.4647 * CHOOSE(CONTROL!$C$32, $C$9, 100%, $E$9)</f>
        <v>10.464700000000001</v>
      </c>
      <c r="M631" s="81">
        <f>10.47 * CHOOSE(CONTROL!$C$32, $C$9, 100%, $E$9)</f>
        <v>10.47</v>
      </c>
      <c r="N631" s="81">
        <f>10.4647 * CHOOSE(CONTROL!$C$32, $C$9, 100%, $E$9)</f>
        <v>10.464700000000001</v>
      </c>
      <c r="O631" s="81">
        <f>10.47 * CHOOSE(CONTROL!$C$32, $C$9, 100%, $E$9)</f>
        <v>10.47</v>
      </c>
    </row>
    <row r="632" spans="1:15" ht="15" x14ac:dyDescent="0.2">
      <c r="A632" s="16">
        <v>60449</v>
      </c>
      <c r="B632" s="80">
        <f>9.3125 * CHOOSE(CONTROL!$C$32, $C$9, 100%, $E$9)</f>
        <v>9.3125</v>
      </c>
      <c r="C632" s="80">
        <f>9.3125 * CHOOSE(CONTROL!$C$32, $C$9, 100%, $E$9)</f>
        <v>9.3125</v>
      </c>
      <c r="D632" s="80">
        <f>9.3141 * CHOOSE(CONTROL!$C$32, $C$9, 100%, $E$9)</f>
        <v>9.3140999999999998</v>
      </c>
      <c r="E632" s="81">
        <f>10.6108 * CHOOSE(CONTROL!$C$32, $C$9, 100%, $E$9)</f>
        <v>10.610799999999999</v>
      </c>
      <c r="F632" s="81">
        <f>10.6108 * CHOOSE(CONTROL!$C$32, $C$9, 100%, $E$9)</f>
        <v>10.610799999999999</v>
      </c>
      <c r="G632" s="81">
        <f>10.6161 * CHOOSE(CONTROL!$C$32, $C$9, 100%, $E$9)</f>
        <v>10.616099999999999</v>
      </c>
      <c r="H632" s="81">
        <f>20.9294 * CHOOSE(CONTROL!$C$32, $C$9, 100%, $E$9)</f>
        <v>20.929400000000001</v>
      </c>
      <c r="I632" s="81">
        <f>20.9347 * CHOOSE(CONTROL!$C$32, $C$9, 100%, $E$9)</f>
        <v>20.934699999999999</v>
      </c>
      <c r="J632" s="81">
        <f>20.9294 * CHOOSE(CONTROL!$C$32, $C$9, 100%, $E$9)</f>
        <v>20.929400000000001</v>
      </c>
      <c r="K632" s="81">
        <f>20.9347 * CHOOSE(CONTROL!$C$32, $C$9, 100%, $E$9)</f>
        <v>20.934699999999999</v>
      </c>
      <c r="L632" s="81">
        <f>10.6108 * CHOOSE(CONTROL!$C$32, $C$9, 100%, $E$9)</f>
        <v>10.610799999999999</v>
      </c>
      <c r="M632" s="81">
        <f>10.6161 * CHOOSE(CONTROL!$C$32, $C$9, 100%, $E$9)</f>
        <v>10.616099999999999</v>
      </c>
      <c r="N632" s="81">
        <f>10.6108 * CHOOSE(CONTROL!$C$32, $C$9, 100%, $E$9)</f>
        <v>10.610799999999999</v>
      </c>
      <c r="O632" s="81">
        <f>10.6161 * CHOOSE(CONTROL!$C$32, $C$9, 100%, $E$9)</f>
        <v>10.616099999999999</v>
      </c>
    </row>
    <row r="633" spans="1:15" ht="15" x14ac:dyDescent="0.2">
      <c r="A633" s="16">
        <v>60480</v>
      </c>
      <c r="B633" s="80">
        <f>9.3192 * CHOOSE(CONTROL!$C$32, $C$9, 100%, $E$9)</f>
        <v>9.3192000000000004</v>
      </c>
      <c r="C633" s="80">
        <f>9.3192 * CHOOSE(CONTROL!$C$32, $C$9, 100%, $E$9)</f>
        <v>9.3192000000000004</v>
      </c>
      <c r="D633" s="80">
        <f>9.3208 * CHOOSE(CONTROL!$C$32, $C$9, 100%, $E$9)</f>
        <v>9.3208000000000002</v>
      </c>
      <c r="E633" s="81">
        <f>10.374 * CHOOSE(CONTROL!$C$32, $C$9, 100%, $E$9)</f>
        <v>10.374000000000001</v>
      </c>
      <c r="F633" s="81">
        <f>10.374 * CHOOSE(CONTROL!$C$32, $C$9, 100%, $E$9)</f>
        <v>10.374000000000001</v>
      </c>
      <c r="G633" s="81">
        <f>10.3793 * CHOOSE(CONTROL!$C$32, $C$9, 100%, $E$9)</f>
        <v>10.379300000000001</v>
      </c>
      <c r="H633" s="81">
        <f>20.973 * CHOOSE(CONTROL!$C$32, $C$9, 100%, $E$9)</f>
        <v>20.972999999999999</v>
      </c>
      <c r="I633" s="81">
        <f>20.9783 * CHOOSE(CONTROL!$C$32, $C$9, 100%, $E$9)</f>
        <v>20.978300000000001</v>
      </c>
      <c r="J633" s="81">
        <f>20.973 * CHOOSE(CONTROL!$C$32, $C$9, 100%, $E$9)</f>
        <v>20.972999999999999</v>
      </c>
      <c r="K633" s="81">
        <f>20.9783 * CHOOSE(CONTROL!$C$32, $C$9, 100%, $E$9)</f>
        <v>20.978300000000001</v>
      </c>
      <c r="L633" s="81">
        <f>10.374 * CHOOSE(CONTROL!$C$32, $C$9, 100%, $E$9)</f>
        <v>10.374000000000001</v>
      </c>
      <c r="M633" s="81">
        <f>10.3793 * CHOOSE(CONTROL!$C$32, $C$9, 100%, $E$9)</f>
        <v>10.379300000000001</v>
      </c>
      <c r="N633" s="81">
        <f>10.374 * CHOOSE(CONTROL!$C$32, $C$9, 100%, $E$9)</f>
        <v>10.374000000000001</v>
      </c>
      <c r="O633" s="81">
        <f>10.3793 * CHOOSE(CONTROL!$C$32, $C$9, 100%, $E$9)</f>
        <v>10.379300000000001</v>
      </c>
    </row>
    <row r="634" spans="1:15" ht="15" x14ac:dyDescent="0.2">
      <c r="A634" s="16">
        <v>60511</v>
      </c>
      <c r="B634" s="80">
        <f>9.3162 * CHOOSE(CONTROL!$C$32, $C$9, 100%, $E$9)</f>
        <v>9.3162000000000003</v>
      </c>
      <c r="C634" s="80">
        <f>9.3162 * CHOOSE(CONTROL!$C$32, $C$9, 100%, $E$9)</f>
        <v>9.3162000000000003</v>
      </c>
      <c r="D634" s="80">
        <f>9.3178 * CHOOSE(CONTROL!$C$32, $C$9, 100%, $E$9)</f>
        <v>9.3178000000000001</v>
      </c>
      <c r="E634" s="81">
        <f>10.345 * CHOOSE(CONTROL!$C$32, $C$9, 100%, $E$9)</f>
        <v>10.345000000000001</v>
      </c>
      <c r="F634" s="81">
        <f>10.345 * CHOOSE(CONTROL!$C$32, $C$9, 100%, $E$9)</f>
        <v>10.345000000000001</v>
      </c>
      <c r="G634" s="81">
        <f>10.3503 * CHOOSE(CONTROL!$C$32, $C$9, 100%, $E$9)</f>
        <v>10.350300000000001</v>
      </c>
      <c r="H634" s="81">
        <f>21.0167 * CHOOSE(CONTROL!$C$32, $C$9, 100%, $E$9)</f>
        <v>21.0167</v>
      </c>
      <c r="I634" s="81">
        <f>21.022 * CHOOSE(CONTROL!$C$32, $C$9, 100%, $E$9)</f>
        <v>21.021999999999998</v>
      </c>
      <c r="J634" s="81">
        <f>21.0167 * CHOOSE(CONTROL!$C$32, $C$9, 100%, $E$9)</f>
        <v>21.0167</v>
      </c>
      <c r="K634" s="81">
        <f>21.022 * CHOOSE(CONTROL!$C$32, $C$9, 100%, $E$9)</f>
        <v>21.021999999999998</v>
      </c>
      <c r="L634" s="81">
        <f>10.345 * CHOOSE(CONTROL!$C$32, $C$9, 100%, $E$9)</f>
        <v>10.345000000000001</v>
      </c>
      <c r="M634" s="81">
        <f>10.3503 * CHOOSE(CONTROL!$C$32, $C$9, 100%, $E$9)</f>
        <v>10.350300000000001</v>
      </c>
      <c r="N634" s="81">
        <f>10.345 * CHOOSE(CONTROL!$C$32, $C$9, 100%, $E$9)</f>
        <v>10.345000000000001</v>
      </c>
      <c r="O634" s="81">
        <f>10.3503 * CHOOSE(CONTROL!$C$32, $C$9, 100%, $E$9)</f>
        <v>10.350300000000001</v>
      </c>
    </row>
    <row r="635" spans="1:15" ht="15" x14ac:dyDescent="0.2">
      <c r="A635" s="16">
        <v>60541</v>
      </c>
      <c r="B635" s="80">
        <f>9.3311 * CHOOSE(CONTROL!$C$32, $C$9, 100%, $E$9)</f>
        <v>9.3310999999999993</v>
      </c>
      <c r="C635" s="80">
        <f>9.3311 * CHOOSE(CONTROL!$C$32, $C$9, 100%, $E$9)</f>
        <v>9.3310999999999993</v>
      </c>
      <c r="D635" s="80">
        <f>9.3321 * CHOOSE(CONTROL!$C$32, $C$9, 100%, $E$9)</f>
        <v>9.3321000000000005</v>
      </c>
      <c r="E635" s="81">
        <f>10.4389 * CHOOSE(CONTROL!$C$32, $C$9, 100%, $E$9)</f>
        <v>10.4389</v>
      </c>
      <c r="F635" s="81">
        <f>10.4389 * CHOOSE(CONTROL!$C$32, $C$9, 100%, $E$9)</f>
        <v>10.4389</v>
      </c>
      <c r="G635" s="81">
        <f>10.4426 * CHOOSE(CONTROL!$C$32, $C$9, 100%, $E$9)</f>
        <v>10.442600000000001</v>
      </c>
      <c r="H635" s="81">
        <f>21.0605 * CHOOSE(CONTROL!$C$32, $C$9, 100%, $E$9)</f>
        <v>21.060500000000001</v>
      </c>
      <c r="I635" s="81">
        <f>21.0641 * CHOOSE(CONTROL!$C$32, $C$9, 100%, $E$9)</f>
        <v>21.0641</v>
      </c>
      <c r="J635" s="81">
        <f>21.0605 * CHOOSE(CONTROL!$C$32, $C$9, 100%, $E$9)</f>
        <v>21.060500000000001</v>
      </c>
      <c r="K635" s="81">
        <f>21.0641 * CHOOSE(CONTROL!$C$32, $C$9, 100%, $E$9)</f>
        <v>21.0641</v>
      </c>
      <c r="L635" s="81">
        <f>10.4389 * CHOOSE(CONTROL!$C$32, $C$9, 100%, $E$9)</f>
        <v>10.4389</v>
      </c>
      <c r="M635" s="81">
        <f>10.4426 * CHOOSE(CONTROL!$C$32, $C$9, 100%, $E$9)</f>
        <v>10.442600000000001</v>
      </c>
      <c r="N635" s="81">
        <f>10.4389 * CHOOSE(CONTROL!$C$32, $C$9, 100%, $E$9)</f>
        <v>10.4389</v>
      </c>
      <c r="O635" s="81">
        <f>10.4426 * CHOOSE(CONTROL!$C$32, $C$9, 100%, $E$9)</f>
        <v>10.442600000000001</v>
      </c>
    </row>
    <row r="636" spans="1:15" ht="15" x14ac:dyDescent="0.2">
      <c r="A636" s="16">
        <v>60572</v>
      </c>
      <c r="B636" s="80">
        <f>9.3341 * CHOOSE(CONTROL!$C$32, $C$9, 100%, $E$9)</f>
        <v>9.3340999999999994</v>
      </c>
      <c r="C636" s="80">
        <f>9.3341 * CHOOSE(CONTROL!$C$32, $C$9, 100%, $E$9)</f>
        <v>9.3340999999999994</v>
      </c>
      <c r="D636" s="80">
        <f>9.3352 * CHOOSE(CONTROL!$C$32, $C$9, 100%, $E$9)</f>
        <v>9.3352000000000004</v>
      </c>
      <c r="E636" s="81">
        <f>10.4947 * CHOOSE(CONTROL!$C$32, $C$9, 100%, $E$9)</f>
        <v>10.4947</v>
      </c>
      <c r="F636" s="81">
        <f>10.4947 * CHOOSE(CONTROL!$C$32, $C$9, 100%, $E$9)</f>
        <v>10.4947</v>
      </c>
      <c r="G636" s="81">
        <f>10.4983 * CHOOSE(CONTROL!$C$32, $C$9, 100%, $E$9)</f>
        <v>10.4983</v>
      </c>
      <c r="H636" s="81">
        <f>21.1044 * CHOOSE(CONTROL!$C$32, $C$9, 100%, $E$9)</f>
        <v>21.104399999999998</v>
      </c>
      <c r="I636" s="81">
        <f>21.108 * CHOOSE(CONTROL!$C$32, $C$9, 100%, $E$9)</f>
        <v>21.108000000000001</v>
      </c>
      <c r="J636" s="81">
        <f>21.1044 * CHOOSE(CONTROL!$C$32, $C$9, 100%, $E$9)</f>
        <v>21.104399999999998</v>
      </c>
      <c r="K636" s="81">
        <f>21.108 * CHOOSE(CONTROL!$C$32, $C$9, 100%, $E$9)</f>
        <v>21.108000000000001</v>
      </c>
      <c r="L636" s="81">
        <f>10.4947 * CHOOSE(CONTROL!$C$32, $C$9, 100%, $E$9)</f>
        <v>10.4947</v>
      </c>
      <c r="M636" s="81">
        <f>10.4983 * CHOOSE(CONTROL!$C$32, $C$9, 100%, $E$9)</f>
        <v>10.4983</v>
      </c>
      <c r="N636" s="81">
        <f>10.4947 * CHOOSE(CONTROL!$C$32, $C$9, 100%, $E$9)</f>
        <v>10.4947</v>
      </c>
      <c r="O636" s="81">
        <f>10.4983 * CHOOSE(CONTROL!$C$32, $C$9, 100%, $E$9)</f>
        <v>10.4983</v>
      </c>
    </row>
    <row r="637" spans="1:15" ht="15" x14ac:dyDescent="0.2">
      <c r="A637" s="16">
        <v>60602</v>
      </c>
      <c r="B637" s="80">
        <f>9.3341 * CHOOSE(CONTROL!$C$32, $C$9, 100%, $E$9)</f>
        <v>9.3340999999999994</v>
      </c>
      <c r="C637" s="80">
        <f>9.3341 * CHOOSE(CONTROL!$C$32, $C$9, 100%, $E$9)</f>
        <v>9.3340999999999994</v>
      </c>
      <c r="D637" s="80">
        <f>9.3352 * CHOOSE(CONTROL!$C$32, $C$9, 100%, $E$9)</f>
        <v>9.3352000000000004</v>
      </c>
      <c r="E637" s="81">
        <f>10.3606 * CHOOSE(CONTROL!$C$32, $C$9, 100%, $E$9)</f>
        <v>10.3606</v>
      </c>
      <c r="F637" s="81">
        <f>10.3606 * CHOOSE(CONTROL!$C$32, $C$9, 100%, $E$9)</f>
        <v>10.3606</v>
      </c>
      <c r="G637" s="81">
        <f>10.3642 * CHOOSE(CONTROL!$C$32, $C$9, 100%, $E$9)</f>
        <v>10.3642</v>
      </c>
      <c r="H637" s="81">
        <f>21.1483 * CHOOSE(CONTROL!$C$32, $C$9, 100%, $E$9)</f>
        <v>21.148299999999999</v>
      </c>
      <c r="I637" s="81">
        <f>21.152 * CHOOSE(CONTROL!$C$32, $C$9, 100%, $E$9)</f>
        <v>21.152000000000001</v>
      </c>
      <c r="J637" s="81">
        <f>21.1483 * CHOOSE(CONTROL!$C$32, $C$9, 100%, $E$9)</f>
        <v>21.148299999999999</v>
      </c>
      <c r="K637" s="81">
        <f>21.152 * CHOOSE(CONTROL!$C$32, $C$9, 100%, $E$9)</f>
        <v>21.152000000000001</v>
      </c>
      <c r="L637" s="81">
        <f>10.3606 * CHOOSE(CONTROL!$C$32, $C$9, 100%, $E$9)</f>
        <v>10.3606</v>
      </c>
      <c r="M637" s="81">
        <f>10.3642 * CHOOSE(CONTROL!$C$32, $C$9, 100%, $E$9)</f>
        <v>10.3642</v>
      </c>
      <c r="N637" s="81">
        <f>10.3606 * CHOOSE(CONTROL!$C$32, $C$9, 100%, $E$9)</f>
        <v>10.3606</v>
      </c>
      <c r="O637" s="81">
        <f>10.3642 * CHOOSE(CONTROL!$C$32, $C$9, 100%, $E$9)</f>
        <v>10.3642</v>
      </c>
    </row>
    <row r="638" spans="1:15" ht="15" x14ac:dyDescent="0.2">
      <c r="A638" s="16">
        <v>60633</v>
      </c>
      <c r="B638" s="80">
        <f>9.3816 * CHOOSE(CONTROL!$C$32, $C$9, 100%, $E$9)</f>
        <v>9.3816000000000006</v>
      </c>
      <c r="C638" s="80">
        <f>9.3816 * CHOOSE(CONTROL!$C$32, $C$9, 100%, $E$9)</f>
        <v>9.3816000000000006</v>
      </c>
      <c r="D638" s="80">
        <f>9.3827 * CHOOSE(CONTROL!$C$32, $C$9, 100%, $E$9)</f>
        <v>9.3826999999999998</v>
      </c>
      <c r="E638" s="81">
        <f>10.5205 * CHOOSE(CONTROL!$C$32, $C$9, 100%, $E$9)</f>
        <v>10.5205</v>
      </c>
      <c r="F638" s="81">
        <f>10.5205 * CHOOSE(CONTROL!$C$32, $C$9, 100%, $E$9)</f>
        <v>10.5205</v>
      </c>
      <c r="G638" s="81">
        <f>10.5241 * CHOOSE(CONTROL!$C$32, $C$9, 100%, $E$9)</f>
        <v>10.524100000000001</v>
      </c>
      <c r="H638" s="81">
        <f>21.1337 * CHOOSE(CONTROL!$C$32, $C$9, 100%, $E$9)</f>
        <v>21.133700000000001</v>
      </c>
      <c r="I638" s="81">
        <f>21.1373 * CHOOSE(CONTROL!$C$32, $C$9, 100%, $E$9)</f>
        <v>21.1373</v>
      </c>
      <c r="J638" s="81">
        <f>21.1337 * CHOOSE(CONTROL!$C$32, $C$9, 100%, $E$9)</f>
        <v>21.133700000000001</v>
      </c>
      <c r="K638" s="81">
        <f>21.1373 * CHOOSE(CONTROL!$C$32, $C$9, 100%, $E$9)</f>
        <v>21.1373</v>
      </c>
      <c r="L638" s="81">
        <f>10.5205 * CHOOSE(CONTROL!$C$32, $C$9, 100%, $E$9)</f>
        <v>10.5205</v>
      </c>
      <c r="M638" s="81">
        <f>10.5241 * CHOOSE(CONTROL!$C$32, $C$9, 100%, $E$9)</f>
        <v>10.524100000000001</v>
      </c>
      <c r="N638" s="81">
        <f>10.5205 * CHOOSE(CONTROL!$C$32, $C$9, 100%, $E$9)</f>
        <v>10.5205</v>
      </c>
      <c r="O638" s="81">
        <f>10.5241 * CHOOSE(CONTROL!$C$32, $C$9, 100%, $E$9)</f>
        <v>10.524100000000001</v>
      </c>
    </row>
    <row r="639" spans="1:15" ht="15" x14ac:dyDescent="0.2">
      <c r="A639" s="16">
        <v>60664</v>
      </c>
      <c r="B639" s="80">
        <f>9.3786 * CHOOSE(CONTROL!$C$32, $C$9, 100%, $E$9)</f>
        <v>9.3786000000000005</v>
      </c>
      <c r="C639" s="80">
        <f>9.3786 * CHOOSE(CONTROL!$C$32, $C$9, 100%, $E$9)</f>
        <v>9.3786000000000005</v>
      </c>
      <c r="D639" s="80">
        <f>9.3797 * CHOOSE(CONTROL!$C$32, $C$9, 100%, $E$9)</f>
        <v>9.3796999999999997</v>
      </c>
      <c r="E639" s="81">
        <f>10.2578 * CHOOSE(CONTROL!$C$32, $C$9, 100%, $E$9)</f>
        <v>10.2578</v>
      </c>
      <c r="F639" s="81">
        <f>10.2578 * CHOOSE(CONTROL!$C$32, $C$9, 100%, $E$9)</f>
        <v>10.2578</v>
      </c>
      <c r="G639" s="81">
        <f>10.2614 * CHOOSE(CONTROL!$C$32, $C$9, 100%, $E$9)</f>
        <v>10.2614</v>
      </c>
      <c r="H639" s="81">
        <f>21.1778 * CHOOSE(CONTROL!$C$32, $C$9, 100%, $E$9)</f>
        <v>21.177800000000001</v>
      </c>
      <c r="I639" s="81">
        <f>21.1814 * CHOOSE(CONTROL!$C$32, $C$9, 100%, $E$9)</f>
        <v>21.1814</v>
      </c>
      <c r="J639" s="81">
        <f>21.1778 * CHOOSE(CONTROL!$C$32, $C$9, 100%, $E$9)</f>
        <v>21.177800000000001</v>
      </c>
      <c r="K639" s="81">
        <f>21.1814 * CHOOSE(CONTROL!$C$32, $C$9, 100%, $E$9)</f>
        <v>21.1814</v>
      </c>
      <c r="L639" s="81">
        <f>10.2578 * CHOOSE(CONTROL!$C$32, $C$9, 100%, $E$9)</f>
        <v>10.2578</v>
      </c>
      <c r="M639" s="81">
        <f>10.2614 * CHOOSE(CONTROL!$C$32, $C$9, 100%, $E$9)</f>
        <v>10.2614</v>
      </c>
      <c r="N639" s="81">
        <f>10.2578 * CHOOSE(CONTROL!$C$32, $C$9, 100%, $E$9)</f>
        <v>10.2578</v>
      </c>
      <c r="O639" s="81">
        <f>10.2614 * CHOOSE(CONTROL!$C$32, $C$9, 100%, $E$9)</f>
        <v>10.2614</v>
      </c>
    </row>
    <row r="640" spans="1:15" ht="15" x14ac:dyDescent="0.2">
      <c r="A640" s="16">
        <v>60692</v>
      </c>
      <c r="B640" s="80">
        <f>9.3756 * CHOOSE(CONTROL!$C$32, $C$9, 100%, $E$9)</f>
        <v>9.3756000000000004</v>
      </c>
      <c r="C640" s="80">
        <f>9.3756 * CHOOSE(CONTROL!$C$32, $C$9, 100%, $E$9)</f>
        <v>9.3756000000000004</v>
      </c>
      <c r="D640" s="80">
        <f>9.3766 * CHOOSE(CONTROL!$C$32, $C$9, 100%, $E$9)</f>
        <v>9.3765999999999998</v>
      </c>
      <c r="E640" s="81">
        <f>10.4611 * CHOOSE(CONTROL!$C$32, $C$9, 100%, $E$9)</f>
        <v>10.4611</v>
      </c>
      <c r="F640" s="81">
        <f>10.4611 * CHOOSE(CONTROL!$C$32, $C$9, 100%, $E$9)</f>
        <v>10.4611</v>
      </c>
      <c r="G640" s="81">
        <f>10.4647 * CHOOSE(CONTROL!$C$32, $C$9, 100%, $E$9)</f>
        <v>10.464700000000001</v>
      </c>
      <c r="H640" s="81">
        <f>21.2219 * CHOOSE(CONTROL!$C$32, $C$9, 100%, $E$9)</f>
        <v>21.221900000000002</v>
      </c>
      <c r="I640" s="81">
        <f>21.2255 * CHOOSE(CONTROL!$C$32, $C$9, 100%, $E$9)</f>
        <v>21.2255</v>
      </c>
      <c r="J640" s="81">
        <f>21.2219 * CHOOSE(CONTROL!$C$32, $C$9, 100%, $E$9)</f>
        <v>21.221900000000002</v>
      </c>
      <c r="K640" s="81">
        <f>21.2255 * CHOOSE(CONTROL!$C$32, $C$9, 100%, $E$9)</f>
        <v>21.2255</v>
      </c>
      <c r="L640" s="81">
        <f>10.4611 * CHOOSE(CONTROL!$C$32, $C$9, 100%, $E$9)</f>
        <v>10.4611</v>
      </c>
      <c r="M640" s="81">
        <f>10.4647 * CHOOSE(CONTROL!$C$32, $C$9, 100%, $E$9)</f>
        <v>10.464700000000001</v>
      </c>
      <c r="N640" s="81">
        <f>10.4611 * CHOOSE(CONTROL!$C$32, $C$9, 100%, $E$9)</f>
        <v>10.4611</v>
      </c>
      <c r="O640" s="81">
        <f>10.4647 * CHOOSE(CONTROL!$C$32, $C$9, 100%, $E$9)</f>
        <v>10.464700000000001</v>
      </c>
    </row>
    <row r="641" spans="1:15" ht="15" x14ac:dyDescent="0.2">
      <c r="A641" s="16">
        <v>60723</v>
      </c>
      <c r="B641" s="80">
        <f>9.3784 * CHOOSE(CONTROL!$C$32, $C$9, 100%, $E$9)</f>
        <v>9.3783999999999992</v>
      </c>
      <c r="C641" s="80">
        <f>9.3784 * CHOOSE(CONTROL!$C$32, $C$9, 100%, $E$9)</f>
        <v>9.3783999999999992</v>
      </c>
      <c r="D641" s="80">
        <f>9.3795 * CHOOSE(CONTROL!$C$32, $C$9, 100%, $E$9)</f>
        <v>9.3795000000000002</v>
      </c>
      <c r="E641" s="81">
        <f>10.6775 * CHOOSE(CONTROL!$C$32, $C$9, 100%, $E$9)</f>
        <v>10.6775</v>
      </c>
      <c r="F641" s="81">
        <f>10.6775 * CHOOSE(CONTROL!$C$32, $C$9, 100%, $E$9)</f>
        <v>10.6775</v>
      </c>
      <c r="G641" s="81">
        <f>10.6811 * CHOOSE(CONTROL!$C$32, $C$9, 100%, $E$9)</f>
        <v>10.681100000000001</v>
      </c>
      <c r="H641" s="81">
        <f>21.2661 * CHOOSE(CONTROL!$C$32, $C$9, 100%, $E$9)</f>
        <v>21.266100000000002</v>
      </c>
      <c r="I641" s="81">
        <f>21.2697 * CHOOSE(CONTROL!$C$32, $C$9, 100%, $E$9)</f>
        <v>21.2697</v>
      </c>
      <c r="J641" s="81">
        <f>21.2661 * CHOOSE(CONTROL!$C$32, $C$9, 100%, $E$9)</f>
        <v>21.266100000000002</v>
      </c>
      <c r="K641" s="81">
        <f>21.2697 * CHOOSE(CONTROL!$C$32, $C$9, 100%, $E$9)</f>
        <v>21.2697</v>
      </c>
      <c r="L641" s="81">
        <f>10.6775 * CHOOSE(CONTROL!$C$32, $C$9, 100%, $E$9)</f>
        <v>10.6775</v>
      </c>
      <c r="M641" s="81">
        <f>10.6811 * CHOOSE(CONTROL!$C$32, $C$9, 100%, $E$9)</f>
        <v>10.681100000000001</v>
      </c>
      <c r="N641" s="81">
        <f>10.6775 * CHOOSE(CONTROL!$C$32, $C$9, 100%, $E$9)</f>
        <v>10.6775</v>
      </c>
      <c r="O641" s="81">
        <f>10.6811 * CHOOSE(CONTROL!$C$32, $C$9, 100%, $E$9)</f>
        <v>10.681100000000001</v>
      </c>
    </row>
    <row r="642" spans="1:15" ht="15" x14ac:dyDescent="0.2">
      <c r="A642" s="16">
        <v>60753</v>
      </c>
      <c r="B642" s="80">
        <f>9.3784 * CHOOSE(CONTROL!$C$32, $C$9, 100%, $E$9)</f>
        <v>9.3783999999999992</v>
      </c>
      <c r="C642" s="80">
        <f>9.3784 * CHOOSE(CONTROL!$C$32, $C$9, 100%, $E$9)</f>
        <v>9.3783999999999992</v>
      </c>
      <c r="D642" s="80">
        <f>9.38 * CHOOSE(CONTROL!$C$32, $C$9, 100%, $E$9)</f>
        <v>9.3800000000000008</v>
      </c>
      <c r="E642" s="81">
        <f>10.7602 * CHOOSE(CONTROL!$C$32, $C$9, 100%, $E$9)</f>
        <v>10.760199999999999</v>
      </c>
      <c r="F642" s="81">
        <f>10.7602 * CHOOSE(CONTROL!$C$32, $C$9, 100%, $E$9)</f>
        <v>10.760199999999999</v>
      </c>
      <c r="G642" s="81">
        <f>10.7655 * CHOOSE(CONTROL!$C$32, $C$9, 100%, $E$9)</f>
        <v>10.765499999999999</v>
      </c>
      <c r="H642" s="81">
        <f>21.3104 * CHOOSE(CONTROL!$C$32, $C$9, 100%, $E$9)</f>
        <v>21.310400000000001</v>
      </c>
      <c r="I642" s="81">
        <f>21.3157 * CHOOSE(CONTROL!$C$32, $C$9, 100%, $E$9)</f>
        <v>21.3157</v>
      </c>
      <c r="J642" s="81">
        <f>21.3104 * CHOOSE(CONTROL!$C$32, $C$9, 100%, $E$9)</f>
        <v>21.310400000000001</v>
      </c>
      <c r="K642" s="81">
        <f>21.3157 * CHOOSE(CONTROL!$C$32, $C$9, 100%, $E$9)</f>
        <v>21.3157</v>
      </c>
      <c r="L642" s="81">
        <f>10.7602 * CHOOSE(CONTROL!$C$32, $C$9, 100%, $E$9)</f>
        <v>10.760199999999999</v>
      </c>
      <c r="M642" s="81">
        <f>10.7655 * CHOOSE(CONTROL!$C$32, $C$9, 100%, $E$9)</f>
        <v>10.765499999999999</v>
      </c>
      <c r="N642" s="81">
        <f>10.7602 * CHOOSE(CONTROL!$C$32, $C$9, 100%, $E$9)</f>
        <v>10.760199999999999</v>
      </c>
      <c r="O642" s="81">
        <f>10.7655 * CHOOSE(CONTROL!$C$32, $C$9, 100%, $E$9)</f>
        <v>10.765499999999999</v>
      </c>
    </row>
    <row r="643" spans="1:15" ht="15" x14ac:dyDescent="0.2">
      <c r="A643" s="16">
        <v>60784</v>
      </c>
      <c r="B643" s="80">
        <f>9.3845 * CHOOSE(CONTROL!$C$32, $C$9, 100%, $E$9)</f>
        <v>9.3844999999999992</v>
      </c>
      <c r="C643" s="80">
        <f>9.3845 * CHOOSE(CONTROL!$C$32, $C$9, 100%, $E$9)</f>
        <v>9.3844999999999992</v>
      </c>
      <c r="D643" s="80">
        <f>9.3861 * CHOOSE(CONTROL!$C$32, $C$9, 100%, $E$9)</f>
        <v>9.3861000000000008</v>
      </c>
      <c r="E643" s="81">
        <f>10.6817 * CHOOSE(CONTROL!$C$32, $C$9, 100%, $E$9)</f>
        <v>10.681699999999999</v>
      </c>
      <c r="F643" s="81">
        <f>10.6817 * CHOOSE(CONTROL!$C$32, $C$9, 100%, $E$9)</f>
        <v>10.681699999999999</v>
      </c>
      <c r="G643" s="81">
        <f>10.687 * CHOOSE(CONTROL!$C$32, $C$9, 100%, $E$9)</f>
        <v>10.686999999999999</v>
      </c>
      <c r="H643" s="81">
        <f>21.3548 * CHOOSE(CONTROL!$C$32, $C$9, 100%, $E$9)</f>
        <v>21.354800000000001</v>
      </c>
      <c r="I643" s="81">
        <f>21.3601 * CHOOSE(CONTROL!$C$32, $C$9, 100%, $E$9)</f>
        <v>21.360099999999999</v>
      </c>
      <c r="J643" s="81">
        <f>21.3548 * CHOOSE(CONTROL!$C$32, $C$9, 100%, $E$9)</f>
        <v>21.354800000000001</v>
      </c>
      <c r="K643" s="81">
        <f>21.3601 * CHOOSE(CONTROL!$C$32, $C$9, 100%, $E$9)</f>
        <v>21.360099999999999</v>
      </c>
      <c r="L643" s="81">
        <f>10.6817 * CHOOSE(CONTROL!$C$32, $C$9, 100%, $E$9)</f>
        <v>10.681699999999999</v>
      </c>
      <c r="M643" s="81">
        <f>10.687 * CHOOSE(CONTROL!$C$32, $C$9, 100%, $E$9)</f>
        <v>10.686999999999999</v>
      </c>
      <c r="N643" s="81">
        <f>10.6817 * CHOOSE(CONTROL!$C$32, $C$9, 100%, $E$9)</f>
        <v>10.681699999999999</v>
      </c>
      <c r="O643" s="81">
        <f>10.687 * CHOOSE(CONTROL!$C$32, $C$9, 100%, $E$9)</f>
        <v>10.686999999999999</v>
      </c>
    </row>
    <row r="644" spans="1:15" ht="15" x14ac:dyDescent="0.2">
      <c r="A644" s="16">
        <v>60814</v>
      </c>
      <c r="B644" s="80">
        <f>9.5021 * CHOOSE(CONTROL!$C$32, $C$9, 100%, $E$9)</f>
        <v>9.5021000000000004</v>
      </c>
      <c r="C644" s="80">
        <f>9.5021 * CHOOSE(CONTROL!$C$32, $C$9, 100%, $E$9)</f>
        <v>9.5021000000000004</v>
      </c>
      <c r="D644" s="80">
        <f>9.5037 * CHOOSE(CONTROL!$C$32, $C$9, 100%, $E$9)</f>
        <v>9.5037000000000003</v>
      </c>
      <c r="E644" s="81">
        <f>10.8309 * CHOOSE(CONTROL!$C$32, $C$9, 100%, $E$9)</f>
        <v>10.8309</v>
      </c>
      <c r="F644" s="81">
        <f>10.8309 * CHOOSE(CONTROL!$C$32, $C$9, 100%, $E$9)</f>
        <v>10.8309</v>
      </c>
      <c r="G644" s="81">
        <f>10.8362 * CHOOSE(CONTROL!$C$32, $C$9, 100%, $E$9)</f>
        <v>10.8362</v>
      </c>
      <c r="H644" s="81">
        <f>21.3993 * CHOOSE(CONTROL!$C$32, $C$9, 100%, $E$9)</f>
        <v>21.3993</v>
      </c>
      <c r="I644" s="81">
        <f>21.4046 * CHOOSE(CONTROL!$C$32, $C$9, 100%, $E$9)</f>
        <v>21.404599999999999</v>
      </c>
      <c r="J644" s="81">
        <f>21.3993 * CHOOSE(CONTROL!$C$32, $C$9, 100%, $E$9)</f>
        <v>21.3993</v>
      </c>
      <c r="K644" s="81">
        <f>21.4046 * CHOOSE(CONTROL!$C$32, $C$9, 100%, $E$9)</f>
        <v>21.404599999999999</v>
      </c>
      <c r="L644" s="81">
        <f>10.8309 * CHOOSE(CONTROL!$C$32, $C$9, 100%, $E$9)</f>
        <v>10.8309</v>
      </c>
      <c r="M644" s="81">
        <f>10.8362 * CHOOSE(CONTROL!$C$32, $C$9, 100%, $E$9)</f>
        <v>10.8362</v>
      </c>
      <c r="N644" s="81">
        <f>10.8309 * CHOOSE(CONTROL!$C$32, $C$9, 100%, $E$9)</f>
        <v>10.8309</v>
      </c>
      <c r="O644" s="81">
        <f>10.8362 * CHOOSE(CONTROL!$C$32, $C$9, 100%, $E$9)</f>
        <v>10.8362</v>
      </c>
    </row>
    <row r="645" spans="1:15" ht="15" x14ac:dyDescent="0.2">
      <c r="A645" s="16">
        <v>60845</v>
      </c>
      <c r="B645" s="80">
        <f>9.5088 * CHOOSE(CONTROL!$C$32, $C$9, 100%, $E$9)</f>
        <v>9.5088000000000008</v>
      </c>
      <c r="C645" s="80">
        <f>9.5088 * CHOOSE(CONTROL!$C$32, $C$9, 100%, $E$9)</f>
        <v>9.5088000000000008</v>
      </c>
      <c r="D645" s="80">
        <f>9.5104 * CHOOSE(CONTROL!$C$32, $C$9, 100%, $E$9)</f>
        <v>9.5104000000000006</v>
      </c>
      <c r="E645" s="81">
        <f>10.5874 * CHOOSE(CONTROL!$C$32, $C$9, 100%, $E$9)</f>
        <v>10.587400000000001</v>
      </c>
      <c r="F645" s="81">
        <f>10.5874 * CHOOSE(CONTROL!$C$32, $C$9, 100%, $E$9)</f>
        <v>10.587400000000001</v>
      </c>
      <c r="G645" s="81">
        <f>10.5927 * CHOOSE(CONTROL!$C$32, $C$9, 100%, $E$9)</f>
        <v>10.592700000000001</v>
      </c>
      <c r="H645" s="81">
        <f>21.4439 * CHOOSE(CONTROL!$C$32, $C$9, 100%, $E$9)</f>
        <v>21.443899999999999</v>
      </c>
      <c r="I645" s="81">
        <f>21.4492 * CHOOSE(CONTROL!$C$32, $C$9, 100%, $E$9)</f>
        <v>21.449200000000001</v>
      </c>
      <c r="J645" s="81">
        <f>21.4439 * CHOOSE(CONTROL!$C$32, $C$9, 100%, $E$9)</f>
        <v>21.443899999999999</v>
      </c>
      <c r="K645" s="81">
        <f>21.4492 * CHOOSE(CONTROL!$C$32, $C$9, 100%, $E$9)</f>
        <v>21.449200000000001</v>
      </c>
      <c r="L645" s="81">
        <f>10.5874 * CHOOSE(CONTROL!$C$32, $C$9, 100%, $E$9)</f>
        <v>10.587400000000001</v>
      </c>
      <c r="M645" s="81">
        <f>10.5927 * CHOOSE(CONTROL!$C$32, $C$9, 100%, $E$9)</f>
        <v>10.592700000000001</v>
      </c>
      <c r="N645" s="81">
        <f>10.5874 * CHOOSE(CONTROL!$C$32, $C$9, 100%, $E$9)</f>
        <v>10.587400000000001</v>
      </c>
      <c r="O645" s="81">
        <f>10.5927 * CHOOSE(CONTROL!$C$32, $C$9, 100%, $E$9)</f>
        <v>10.592700000000001</v>
      </c>
    </row>
    <row r="646" spans="1:15" ht="15" x14ac:dyDescent="0.2">
      <c r="A646" s="16">
        <v>60876</v>
      </c>
      <c r="B646" s="80">
        <f>9.5058 * CHOOSE(CONTROL!$C$32, $C$9, 100%, $E$9)</f>
        <v>9.5058000000000007</v>
      </c>
      <c r="C646" s="80">
        <f>9.5058 * CHOOSE(CONTROL!$C$32, $C$9, 100%, $E$9)</f>
        <v>9.5058000000000007</v>
      </c>
      <c r="D646" s="80">
        <f>9.5074 * CHOOSE(CONTROL!$C$32, $C$9, 100%, $E$9)</f>
        <v>9.5074000000000005</v>
      </c>
      <c r="E646" s="81">
        <f>10.5577 * CHOOSE(CONTROL!$C$32, $C$9, 100%, $E$9)</f>
        <v>10.557700000000001</v>
      </c>
      <c r="F646" s="81">
        <f>10.5577 * CHOOSE(CONTROL!$C$32, $C$9, 100%, $E$9)</f>
        <v>10.557700000000001</v>
      </c>
      <c r="G646" s="81">
        <f>10.563 * CHOOSE(CONTROL!$C$32, $C$9, 100%, $E$9)</f>
        <v>10.563000000000001</v>
      </c>
      <c r="H646" s="81">
        <f>21.4885 * CHOOSE(CONTROL!$C$32, $C$9, 100%, $E$9)</f>
        <v>21.488499999999998</v>
      </c>
      <c r="I646" s="81">
        <f>21.4938 * CHOOSE(CONTROL!$C$32, $C$9, 100%, $E$9)</f>
        <v>21.4938</v>
      </c>
      <c r="J646" s="81">
        <f>21.4885 * CHOOSE(CONTROL!$C$32, $C$9, 100%, $E$9)</f>
        <v>21.488499999999998</v>
      </c>
      <c r="K646" s="81">
        <f>21.4938 * CHOOSE(CONTROL!$C$32, $C$9, 100%, $E$9)</f>
        <v>21.4938</v>
      </c>
      <c r="L646" s="81">
        <f>10.5577 * CHOOSE(CONTROL!$C$32, $C$9, 100%, $E$9)</f>
        <v>10.557700000000001</v>
      </c>
      <c r="M646" s="81">
        <f>10.563 * CHOOSE(CONTROL!$C$32, $C$9, 100%, $E$9)</f>
        <v>10.563000000000001</v>
      </c>
      <c r="N646" s="81">
        <f>10.5577 * CHOOSE(CONTROL!$C$32, $C$9, 100%, $E$9)</f>
        <v>10.557700000000001</v>
      </c>
      <c r="O646" s="81">
        <f>10.563 * CHOOSE(CONTROL!$C$32, $C$9, 100%, $E$9)</f>
        <v>10.563000000000001</v>
      </c>
    </row>
    <row r="647" spans="1:15" ht="15" x14ac:dyDescent="0.2">
      <c r="A647" s="16">
        <v>60906</v>
      </c>
      <c r="B647" s="80">
        <f>9.5214 * CHOOSE(CONTROL!$C$32, $C$9, 100%, $E$9)</f>
        <v>9.5213999999999999</v>
      </c>
      <c r="C647" s="80">
        <f>9.5214 * CHOOSE(CONTROL!$C$32, $C$9, 100%, $E$9)</f>
        <v>9.5213999999999999</v>
      </c>
      <c r="D647" s="80">
        <f>9.5225 * CHOOSE(CONTROL!$C$32, $C$9, 100%, $E$9)</f>
        <v>9.5225000000000009</v>
      </c>
      <c r="E647" s="81">
        <f>10.6546 * CHOOSE(CONTROL!$C$32, $C$9, 100%, $E$9)</f>
        <v>10.6546</v>
      </c>
      <c r="F647" s="81">
        <f>10.6546 * CHOOSE(CONTROL!$C$32, $C$9, 100%, $E$9)</f>
        <v>10.6546</v>
      </c>
      <c r="G647" s="81">
        <f>10.6582 * CHOOSE(CONTROL!$C$32, $C$9, 100%, $E$9)</f>
        <v>10.658200000000001</v>
      </c>
      <c r="H647" s="81">
        <f>21.5333 * CHOOSE(CONTROL!$C$32, $C$9, 100%, $E$9)</f>
        <v>21.533300000000001</v>
      </c>
      <c r="I647" s="81">
        <f>21.5369 * CHOOSE(CONTROL!$C$32, $C$9, 100%, $E$9)</f>
        <v>21.536899999999999</v>
      </c>
      <c r="J647" s="81">
        <f>21.5333 * CHOOSE(CONTROL!$C$32, $C$9, 100%, $E$9)</f>
        <v>21.533300000000001</v>
      </c>
      <c r="K647" s="81">
        <f>21.5369 * CHOOSE(CONTROL!$C$32, $C$9, 100%, $E$9)</f>
        <v>21.536899999999999</v>
      </c>
      <c r="L647" s="81">
        <f>10.6546 * CHOOSE(CONTROL!$C$32, $C$9, 100%, $E$9)</f>
        <v>10.6546</v>
      </c>
      <c r="M647" s="81">
        <f>10.6582 * CHOOSE(CONTROL!$C$32, $C$9, 100%, $E$9)</f>
        <v>10.658200000000001</v>
      </c>
      <c r="N647" s="81">
        <f>10.6546 * CHOOSE(CONTROL!$C$32, $C$9, 100%, $E$9)</f>
        <v>10.6546</v>
      </c>
      <c r="O647" s="81">
        <f>10.6582 * CHOOSE(CONTROL!$C$32, $C$9, 100%, $E$9)</f>
        <v>10.658200000000001</v>
      </c>
    </row>
    <row r="648" spans="1:15" ht="15" x14ac:dyDescent="0.2">
      <c r="A648" s="16">
        <v>60937</v>
      </c>
      <c r="B648" s="80">
        <f>9.5244 * CHOOSE(CONTROL!$C$32, $C$9, 100%, $E$9)</f>
        <v>9.5244</v>
      </c>
      <c r="C648" s="80">
        <f>9.5244 * CHOOSE(CONTROL!$C$32, $C$9, 100%, $E$9)</f>
        <v>9.5244</v>
      </c>
      <c r="D648" s="80">
        <f>9.5255 * CHOOSE(CONTROL!$C$32, $C$9, 100%, $E$9)</f>
        <v>9.5254999999999992</v>
      </c>
      <c r="E648" s="81">
        <f>10.7119 * CHOOSE(CONTROL!$C$32, $C$9, 100%, $E$9)</f>
        <v>10.7119</v>
      </c>
      <c r="F648" s="81">
        <f>10.7119 * CHOOSE(CONTROL!$C$32, $C$9, 100%, $E$9)</f>
        <v>10.7119</v>
      </c>
      <c r="G648" s="81">
        <f>10.7155 * CHOOSE(CONTROL!$C$32, $C$9, 100%, $E$9)</f>
        <v>10.7155</v>
      </c>
      <c r="H648" s="81">
        <f>21.5782 * CHOOSE(CONTROL!$C$32, $C$9, 100%, $E$9)</f>
        <v>21.578199999999999</v>
      </c>
      <c r="I648" s="81">
        <f>21.5818 * CHOOSE(CONTROL!$C$32, $C$9, 100%, $E$9)</f>
        <v>21.581800000000001</v>
      </c>
      <c r="J648" s="81">
        <f>21.5782 * CHOOSE(CONTROL!$C$32, $C$9, 100%, $E$9)</f>
        <v>21.578199999999999</v>
      </c>
      <c r="K648" s="81">
        <f>21.5818 * CHOOSE(CONTROL!$C$32, $C$9, 100%, $E$9)</f>
        <v>21.581800000000001</v>
      </c>
      <c r="L648" s="81">
        <f>10.7119 * CHOOSE(CONTROL!$C$32, $C$9, 100%, $E$9)</f>
        <v>10.7119</v>
      </c>
      <c r="M648" s="81">
        <f>10.7155 * CHOOSE(CONTROL!$C$32, $C$9, 100%, $E$9)</f>
        <v>10.7155</v>
      </c>
      <c r="N648" s="81">
        <f>10.7119 * CHOOSE(CONTROL!$C$32, $C$9, 100%, $E$9)</f>
        <v>10.7119</v>
      </c>
      <c r="O648" s="81">
        <f>10.7155 * CHOOSE(CONTROL!$C$32, $C$9, 100%, $E$9)</f>
        <v>10.7155</v>
      </c>
    </row>
    <row r="649" spans="1:15" ht="15" x14ac:dyDescent="0.2">
      <c r="A649" s="16">
        <v>60967</v>
      </c>
      <c r="B649" s="80">
        <f>9.5244 * CHOOSE(CONTROL!$C$32, $C$9, 100%, $E$9)</f>
        <v>9.5244</v>
      </c>
      <c r="C649" s="80">
        <f>9.5244 * CHOOSE(CONTROL!$C$32, $C$9, 100%, $E$9)</f>
        <v>9.5244</v>
      </c>
      <c r="D649" s="80">
        <f>9.5255 * CHOOSE(CONTROL!$C$32, $C$9, 100%, $E$9)</f>
        <v>9.5254999999999992</v>
      </c>
      <c r="E649" s="81">
        <f>10.574 * CHOOSE(CONTROL!$C$32, $C$9, 100%, $E$9)</f>
        <v>10.574</v>
      </c>
      <c r="F649" s="81">
        <f>10.574 * CHOOSE(CONTROL!$C$32, $C$9, 100%, $E$9)</f>
        <v>10.574</v>
      </c>
      <c r="G649" s="81">
        <f>10.5776 * CHOOSE(CONTROL!$C$32, $C$9, 100%, $E$9)</f>
        <v>10.5776</v>
      </c>
      <c r="H649" s="81">
        <f>21.6231 * CHOOSE(CONTROL!$C$32, $C$9, 100%, $E$9)</f>
        <v>21.623100000000001</v>
      </c>
      <c r="I649" s="81">
        <f>21.6267 * CHOOSE(CONTROL!$C$32, $C$9, 100%, $E$9)</f>
        <v>21.6267</v>
      </c>
      <c r="J649" s="81">
        <f>21.6231 * CHOOSE(CONTROL!$C$32, $C$9, 100%, $E$9)</f>
        <v>21.623100000000001</v>
      </c>
      <c r="K649" s="81">
        <f>21.6267 * CHOOSE(CONTROL!$C$32, $C$9, 100%, $E$9)</f>
        <v>21.6267</v>
      </c>
      <c r="L649" s="81">
        <f>10.574 * CHOOSE(CONTROL!$C$32, $C$9, 100%, $E$9)</f>
        <v>10.574</v>
      </c>
      <c r="M649" s="81">
        <f>10.5776 * CHOOSE(CONTROL!$C$32, $C$9, 100%, $E$9)</f>
        <v>10.5776</v>
      </c>
      <c r="N649" s="81">
        <f>10.574 * CHOOSE(CONTROL!$C$32, $C$9, 100%, $E$9)</f>
        <v>10.574</v>
      </c>
      <c r="O649" s="81">
        <f>10.5776 * CHOOSE(CONTROL!$C$32, $C$9, 100%, $E$9)</f>
        <v>10.5776</v>
      </c>
    </row>
    <row r="650" spans="1:15" ht="15" x14ac:dyDescent="0.2">
      <c r="A650" s="16">
        <v>60998</v>
      </c>
      <c r="B650" s="80">
        <f>9.569 * CHOOSE(CONTROL!$C$32, $C$9, 100%, $E$9)</f>
        <v>9.5690000000000008</v>
      </c>
      <c r="C650" s="80">
        <f>9.569 * CHOOSE(CONTROL!$C$32, $C$9, 100%, $E$9)</f>
        <v>9.5690000000000008</v>
      </c>
      <c r="D650" s="80">
        <f>9.5701 * CHOOSE(CONTROL!$C$32, $C$9, 100%, $E$9)</f>
        <v>9.5701000000000001</v>
      </c>
      <c r="E650" s="81">
        <f>10.733 * CHOOSE(CONTROL!$C$32, $C$9, 100%, $E$9)</f>
        <v>10.733000000000001</v>
      </c>
      <c r="F650" s="81">
        <f>10.733 * CHOOSE(CONTROL!$C$32, $C$9, 100%, $E$9)</f>
        <v>10.733000000000001</v>
      </c>
      <c r="G650" s="81">
        <f>10.7366 * CHOOSE(CONTROL!$C$32, $C$9, 100%, $E$9)</f>
        <v>10.736599999999999</v>
      </c>
      <c r="H650" s="81">
        <f>21.5978 * CHOOSE(CONTROL!$C$32, $C$9, 100%, $E$9)</f>
        <v>21.597799999999999</v>
      </c>
      <c r="I650" s="81">
        <f>21.6014 * CHOOSE(CONTROL!$C$32, $C$9, 100%, $E$9)</f>
        <v>21.601400000000002</v>
      </c>
      <c r="J650" s="81">
        <f>21.5978 * CHOOSE(CONTROL!$C$32, $C$9, 100%, $E$9)</f>
        <v>21.597799999999999</v>
      </c>
      <c r="K650" s="81">
        <f>21.6014 * CHOOSE(CONTROL!$C$32, $C$9, 100%, $E$9)</f>
        <v>21.601400000000002</v>
      </c>
      <c r="L650" s="81">
        <f>10.733 * CHOOSE(CONTROL!$C$32, $C$9, 100%, $E$9)</f>
        <v>10.733000000000001</v>
      </c>
      <c r="M650" s="81">
        <f>10.7366 * CHOOSE(CONTROL!$C$32, $C$9, 100%, $E$9)</f>
        <v>10.736599999999999</v>
      </c>
      <c r="N650" s="81">
        <f>10.733 * CHOOSE(CONTROL!$C$32, $C$9, 100%, $E$9)</f>
        <v>10.733000000000001</v>
      </c>
      <c r="O650" s="81">
        <f>10.7366 * CHOOSE(CONTROL!$C$32, $C$9, 100%, $E$9)</f>
        <v>10.736599999999999</v>
      </c>
    </row>
    <row r="651" spans="1:15" ht="15" x14ac:dyDescent="0.2">
      <c r="A651" s="16">
        <v>61029</v>
      </c>
      <c r="B651" s="80">
        <f>9.566 * CHOOSE(CONTROL!$C$32, $C$9, 100%, $E$9)</f>
        <v>9.5660000000000007</v>
      </c>
      <c r="C651" s="80">
        <f>9.566 * CHOOSE(CONTROL!$C$32, $C$9, 100%, $E$9)</f>
        <v>9.5660000000000007</v>
      </c>
      <c r="D651" s="80">
        <f>9.567 * CHOOSE(CONTROL!$C$32, $C$9, 100%, $E$9)</f>
        <v>9.5670000000000002</v>
      </c>
      <c r="E651" s="81">
        <f>10.4632 * CHOOSE(CONTROL!$C$32, $C$9, 100%, $E$9)</f>
        <v>10.463200000000001</v>
      </c>
      <c r="F651" s="81">
        <f>10.4632 * CHOOSE(CONTROL!$C$32, $C$9, 100%, $E$9)</f>
        <v>10.463200000000001</v>
      </c>
      <c r="G651" s="81">
        <f>10.4669 * CHOOSE(CONTROL!$C$32, $C$9, 100%, $E$9)</f>
        <v>10.466900000000001</v>
      </c>
      <c r="H651" s="81">
        <f>21.6428 * CHOOSE(CONTROL!$C$32, $C$9, 100%, $E$9)</f>
        <v>21.642800000000001</v>
      </c>
      <c r="I651" s="81">
        <f>21.6464 * CHOOSE(CONTROL!$C$32, $C$9, 100%, $E$9)</f>
        <v>21.6464</v>
      </c>
      <c r="J651" s="81">
        <f>21.6428 * CHOOSE(CONTROL!$C$32, $C$9, 100%, $E$9)</f>
        <v>21.642800000000001</v>
      </c>
      <c r="K651" s="81">
        <f>21.6464 * CHOOSE(CONTROL!$C$32, $C$9, 100%, $E$9)</f>
        <v>21.6464</v>
      </c>
      <c r="L651" s="81">
        <f>10.4632 * CHOOSE(CONTROL!$C$32, $C$9, 100%, $E$9)</f>
        <v>10.463200000000001</v>
      </c>
      <c r="M651" s="81">
        <f>10.4669 * CHOOSE(CONTROL!$C$32, $C$9, 100%, $E$9)</f>
        <v>10.466900000000001</v>
      </c>
      <c r="N651" s="81">
        <f>10.4632 * CHOOSE(CONTROL!$C$32, $C$9, 100%, $E$9)</f>
        <v>10.463200000000001</v>
      </c>
      <c r="O651" s="81">
        <f>10.4669 * CHOOSE(CONTROL!$C$32, $C$9, 100%, $E$9)</f>
        <v>10.466900000000001</v>
      </c>
    </row>
    <row r="652" spans="1:15" ht="15" x14ac:dyDescent="0.2">
      <c r="A652" s="16">
        <v>61057</v>
      </c>
      <c r="B652" s="80">
        <f>9.5629 * CHOOSE(CONTROL!$C$32, $C$9, 100%, $E$9)</f>
        <v>9.5629000000000008</v>
      </c>
      <c r="C652" s="80">
        <f>9.5629 * CHOOSE(CONTROL!$C$32, $C$9, 100%, $E$9)</f>
        <v>9.5629000000000008</v>
      </c>
      <c r="D652" s="80">
        <f>9.564 * CHOOSE(CONTROL!$C$32, $C$9, 100%, $E$9)</f>
        <v>9.5640000000000001</v>
      </c>
      <c r="E652" s="81">
        <f>10.6721 * CHOOSE(CONTROL!$C$32, $C$9, 100%, $E$9)</f>
        <v>10.6721</v>
      </c>
      <c r="F652" s="81">
        <f>10.6721 * CHOOSE(CONTROL!$C$32, $C$9, 100%, $E$9)</f>
        <v>10.6721</v>
      </c>
      <c r="G652" s="81">
        <f>10.6757 * CHOOSE(CONTROL!$C$32, $C$9, 100%, $E$9)</f>
        <v>10.675700000000001</v>
      </c>
      <c r="H652" s="81">
        <f>21.6878 * CHOOSE(CONTROL!$C$32, $C$9, 100%, $E$9)</f>
        <v>21.687799999999999</v>
      </c>
      <c r="I652" s="81">
        <f>21.6915 * CHOOSE(CONTROL!$C$32, $C$9, 100%, $E$9)</f>
        <v>21.691500000000001</v>
      </c>
      <c r="J652" s="81">
        <f>21.6878 * CHOOSE(CONTROL!$C$32, $C$9, 100%, $E$9)</f>
        <v>21.687799999999999</v>
      </c>
      <c r="K652" s="81">
        <f>21.6915 * CHOOSE(CONTROL!$C$32, $C$9, 100%, $E$9)</f>
        <v>21.691500000000001</v>
      </c>
      <c r="L652" s="81">
        <f>10.6721 * CHOOSE(CONTROL!$C$32, $C$9, 100%, $E$9)</f>
        <v>10.6721</v>
      </c>
      <c r="M652" s="81">
        <f>10.6757 * CHOOSE(CONTROL!$C$32, $C$9, 100%, $E$9)</f>
        <v>10.675700000000001</v>
      </c>
      <c r="N652" s="81">
        <f>10.6721 * CHOOSE(CONTROL!$C$32, $C$9, 100%, $E$9)</f>
        <v>10.6721</v>
      </c>
      <c r="O652" s="81">
        <f>10.6757 * CHOOSE(CONTROL!$C$32, $C$9, 100%, $E$9)</f>
        <v>10.675700000000001</v>
      </c>
    </row>
    <row r="653" spans="1:15" ht="15" x14ac:dyDescent="0.2">
      <c r="A653" s="16">
        <v>61088</v>
      </c>
      <c r="B653" s="80">
        <f>9.566 * CHOOSE(CONTROL!$C$32, $C$9, 100%, $E$9)</f>
        <v>9.5660000000000007</v>
      </c>
      <c r="C653" s="80">
        <f>9.566 * CHOOSE(CONTROL!$C$32, $C$9, 100%, $E$9)</f>
        <v>9.5660000000000007</v>
      </c>
      <c r="D653" s="80">
        <f>9.567 * CHOOSE(CONTROL!$C$32, $C$9, 100%, $E$9)</f>
        <v>9.5670000000000002</v>
      </c>
      <c r="E653" s="81">
        <f>10.8945 * CHOOSE(CONTROL!$C$32, $C$9, 100%, $E$9)</f>
        <v>10.894500000000001</v>
      </c>
      <c r="F653" s="81">
        <f>10.8945 * CHOOSE(CONTROL!$C$32, $C$9, 100%, $E$9)</f>
        <v>10.894500000000001</v>
      </c>
      <c r="G653" s="81">
        <f>10.8981 * CHOOSE(CONTROL!$C$32, $C$9, 100%, $E$9)</f>
        <v>10.898099999999999</v>
      </c>
      <c r="H653" s="81">
        <f>21.733 * CHOOSE(CONTROL!$C$32, $C$9, 100%, $E$9)</f>
        <v>21.733000000000001</v>
      </c>
      <c r="I653" s="81">
        <f>21.7366 * CHOOSE(CONTROL!$C$32, $C$9, 100%, $E$9)</f>
        <v>21.736599999999999</v>
      </c>
      <c r="J653" s="81">
        <f>21.733 * CHOOSE(CONTROL!$C$32, $C$9, 100%, $E$9)</f>
        <v>21.733000000000001</v>
      </c>
      <c r="K653" s="81">
        <f>21.7366 * CHOOSE(CONTROL!$C$32, $C$9, 100%, $E$9)</f>
        <v>21.736599999999999</v>
      </c>
      <c r="L653" s="81">
        <f>10.8945 * CHOOSE(CONTROL!$C$32, $C$9, 100%, $E$9)</f>
        <v>10.894500000000001</v>
      </c>
      <c r="M653" s="81">
        <f>10.8981 * CHOOSE(CONTROL!$C$32, $C$9, 100%, $E$9)</f>
        <v>10.898099999999999</v>
      </c>
      <c r="N653" s="81">
        <f>10.8945 * CHOOSE(CONTROL!$C$32, $C$9, 100%, $E$9)</f>
        <v>10.894500000000001</v>
      </c>
      <c r="O653" s="81">
        <f>10.8981 * CHOOSE(CONTROL!$C$32, $C$9, 100%, $E$9)</f>
        <v>10.898099999999999</v>
      </c>
    </row>
    <row r="654" spans="1:15" ht="15" x14ac:dyDescent="0.2">
      <c r="A654" s="16">
        <v>61118</v>
      </c>
      <c r="B654" s="80">
        <f>9.566 * CHOOSE(CONTROL!$C$32, $C$9, 100%, $E$9)</f>
        <v>9.5660000000000007</v>
      </c>
      <c r="C654" s="80">
        <f>9.566 * CHOOSE(CONTROL!$C$32, $C$9, 100%, $E$9)</f>
        <v>9.5660000000000007</v>
      </c>
      <c r="D654" s="80">
        <f>9.5675 * CHOOSE(CONTROL!$C$32, $C$9, 100%, $E$9)</f>
        <v>9.5675000000000008</v>
      </c>
      <c r="E654" s="81">
        <f>10.9795 * CHOOSE(CONTROL!$C$32, $C$9, 100%, $E$9)</f>
        <v>10.9795</v>
      </c>
      <c r="F654" s="81">
        <f>10.9795 * CHOOSE(CONTROL!$C$32, $C$9, 100%, $E$9)</f>
        <v>10.9795</v>
      </c>
      <c r="G654" s="81">
        <f>10.9848 * CHOOSE(CONTROL!$C$32, $C$9, 100%, $E$9)</f>
        <v>10.9848</v>
      </c>
      <c r="H654" s="81">
        <f>21.7783 * CHOOSE(CONTROL!$C$32, $C$9, 100%, $E$9)</f>
        <v>21.778300000000002</v>
      </c>
      <c r="I654" s="81">
        <f>21.7836 * CHOOSE(CONTROL!$C$32, $C$9, 100%, $E$9)</f>
        <v>21.7836</v>
      </c>
      <c r="J654" s="81">
        <f>21.7783 * CHOOSE(CONTROL!$C$32, $C$9, 100%, $E$9)</f>
        <v>21.778300000000002</v>
      </c>
      <c r="K654" s="81">
        <f>21.7836 * CHOOSE(CONTROL!$C$32, $C$9, 100%, $E$9)</f>
        <v>21.7836</v>
      </c>
      <c r="L654" s="81">
        <f>10.9795 * CHOOSE(CONTROL!$C$32, $C$9, 100%, $E$9)</f>
        <v>10.9795</v>
      </c>
      <c r="M654" s="81">
        <f>10.9848 * CHOOSE(CONTROL!$C$32, $C$9, 100%, $E$9)</f>
        <v>10.9848</v>
      </c>
      <c r="N654" s="81">
        <f>10.9795 * CHOOSE(CONTROL!$C$32, $C$9, 100%, $E$9)</f>
        <v>10.9795</v>
      </c>
      <c r="O654" s="81">
        <f>10.9848 * CHOOSE(CONTROL!$C$32, $C$9, 100%, $E$9)</f>
        <v>10.9848</v>
      </c>
    </row>
    <row r="655" spans="1:15" ht="15" x14ac:dyDescent="0.2">
      <c r="A655" s="16">
        <v>61149</v>
      </c>
      <c r="B655" s="80">
        <f>9.572 * CHOOSE(CONTROL!$C$32, $C$9, 100%, $E$9)</f>
        <v>9.5719999999999992</v>
      </c>
      <c r="C655" s="80">
        <f>9.572 * CHOOSE(CONTROL!$C$32, $C$9, 100%, $E$9)</f>
        <v>9.5719999999999992</v>
      </c>
      <c r="D655" s="80">
        <f>9.5736 * CHOOSE(CONTROL!$C$32, $C$9, 100%, $E$9)</f>
        <v>9.5736000000000008</v>
      </c>
      <c r="E655" s="81">
        <f>10.8987 * CHOOSE(CONTROL!$C$32, $C$9, 100%, $E$9)</f>
        <v>10.8987</v>
      </c>
      <c r="F655" s="81">
        <f>10.8987 * CHOOSE(CONTROL!$C$32, $C$9, 100%, $E$9)</f>
        <v>10.8987</v>
      </c>
      <c r="G655" s="81">
        <f>10.904 * CHOOSE(CONTROL!$C$32, $C$9, 100%, $E$9)</f>
        <v>10.904</v>
      </c>
      <c r="H655" s="81">
        <f>21.8237 * CHOOSE(CONTROL!$C$32, $C$9, 100%, $E$9)</f>
        <v>21.823699999999999</v>
      </c>
      <c r="I655" s="81">
        <f>21.829 * CHOOSE(CONTROL!$C$32, $C$9, 100%, $E$9)</f>
        <v>21.829000000000001</v>
      </c>
      <c r="J655" s="81">
        <f>21.8237 * CHOOSE(CONTROL!$C$32, $C$9, 100%, $E$9)</f>
        <v>21.823699999999999</v>
      </c>
      <c r="K655" s="81">
        <f>21.829 * CHOOSE(CONTROL!$C$32, $C$9, 100%, $E$9)</f>
        <v>21.829000000000001</v>
      </c>
      <c r="L655" s="81">
        <f>10.8987 * CHOOSE(CONTROL!$C$32, $C$9, 100%, $E$9)</f>
        <v>10.8987</v>
      </c>
      <c r="M655" s="81">
        <f>10.904 * CHOOSE(CONTROL!$C$32, $C$9, 100%, $E$9)</f>
        <v>10.904</v>
      </c>
      <c r="N655" s="81">
        <f>10.8987 * CHOOSE(CONTROL!$C$32, $C$9, 100%, $E$9)</f>
        <v>10.8987</v>
      </c>
      <c r="O655" s="81">
        <f>10.904 * CHOOSE(CONTROL!$C$32, $C$9, 100%, $E$9)</f>
        <v>10.904</v>
      </c>
    </row>
    <row r="656" spans="1:15" ht="15" x14ac:dyDescent="0.2">
      <c r="A656" s="16">
        <v>61179</v>
      </c>
      <c r="B656" s="80">
        <f>9.6917 * CHOOSE(CONTROL!$C$32, $C$9, 100%, $E$9)</f>
        <v>9.6917000000000009</v>
      </c>
      <c r="C656" s="80">
        <f>9.6917 * CHOOSE(CONTROL!$C$32, $C$9, 100%, $E$9)</f>
        <v>9.6917000000000009</v>
      </c>
      <c r="D656" s="80">
        <f>9.6933 * CHOOSE(CONTROL!$C$32, $C$9, 100%, $E$9)</f>
        <v>9.6933000000000007</v>
      </c>
      <c r="E656" s="81">
        <f>11.0511 * CHOOSE(CONTROL!$C$32, $C$9, 100%, $E$9)</f>
        <v>11.0511</v>
      </c>
      <c r="F656" s="81">
        <f>11.0511 * CHOOSE(CONTROL!$C$32, $C$9, 100%, $E$9)</f>
        <v>11.0511</v>
      </c>
      <c r="G656" s="81">
        <f>11.0564 * CHOOSE(CONTROL!$C$32, $C$9, 100%, $E$9)</f>
        <v>11.0564</v>
      </c>
      <c r="H656" s="81">
        <f>21.8691 * CHOOSE(CONTROL!$C$32, $C$9, 100%, $E$9)</f>
        <v>21.8691</v>
      </c>
      <c r="I656" s="81">
        <f>21.8744 * CHOOSE(CONTROL!$C$32, $C$9, 100%, $E$9)</f>
        <v>21.874400000000001</v>
      </c>
      <c r="J656" s="81">
        <f>21.8691 * CHOOSE(CONTROL!$C$32, $C$9, 100%, $E$9)</f>
        <v>21.8691</v>
      </c>
      <c r="K656" s="81">
        <f>21.8744 * CHOOSE(CONTROL!$C$32, $C$9, 100%, $E$9)</f>
        <v>21.874400000000001</v>
      </c>
      <c r="L656" s="81">
        <f>11.0511 * CHOOSE(CONTROL!$C$32, $C$9, 100%, $E$9)</f>
        <v>11.0511</v>
      </c>
      <c r="M656" s="81">
        <f>11.0564 * CHOOSE(CONTROL!$C$32, $C$9, 100%, $E$9)</f>
        <v>11.0564</v>
      </c>
      <c r="N656" s="81">
        <f>11.0511 * CHOOSE(CONTROL!$C$32, $C$9, 100%, $E$9)</f>
        <v>11.0511</v>
      </c>
      <c r="O656" s="81">
        <f>11.0564 * CHOOSE(CONTROL!$C$32, $C$9, 100%, $E$9)</f>
        <v>11.0564</v>
      </c>
    </row>
    <row r="657" spans="1:15" ht="15" x14ac:dyDescent="0.2">
      <c r="A657" s="16">
        <v>61210</v>
      </c>
      <c r="B657" s="80">
        <f>9.6984 * CHOOSE(CONTROL!$C$32, $C$9, 100%, $E$9)</f>
        <v>9.6983999999999995</v>
      </c>
      <c r="C657" s="80">
        <f>9.6984 * CHOOSE(CONTROL!$C$32, $C$9, 100%, $E$9)</f>
        <v>9.6983999999999995</v>
      </c>
      <c r="D657" s="80">
        <f>9.7 * CHOOSE(CONTROL!$C$32, $C$9, 100%, $E$9)</f>
        <v>9.6999999999999993</v>
      </c>
      <c r="E657" s="81">
        <f>10.8009 * CHOOSE(CONTROL!$C$32, $C$9, 100%, $E$9)</f>
        <v>10.8009</v>
      </c>
      <c r="F657" s="81">
        <f>10.8009 * CHOOSE(CONTROL!$C$32, $C$9, 100%, $E$9)</f>
        <v>10.8009</v>
      </c>
      <c r="G657" s="81">
        <f>10.8062 * CHOOSE(CONTROL!$C$32, $C$9, 100%, $E$9)</f>
        <v>10.8062</v>
      </c>
      <c r="H657" s="81">
        <f>21.9147 * CHOOSE(CONTROL!$C$32, $C$9, 100%, $E$9)</f>
        <v>21.9147</v>
      </c>
      <c r="I657" s="81">
        <f>21.92 * CHOOSE(CONTROL!$C$32, $C$9, 100%, $E$9)</f>
        <v>21.92</v>
      </c>
      <c r="J657" s="81">
        <f>21.9147 * CHOOSE(CONTROL!$C$32, $C$9, 100%, $E$9)</f>
        <v>21.9147</v>
      </c>
      <c r="K657" s="81">
        <f>21.92 * CHOOSE(CONTROL!$C$32, $C$9, 100%, $E$9)</f>
        <v>21.92</v>
      </c>
      <c r="L657" s="81">
        <f>10.8009 * CHOOSE(CONTROL!$C$32, $C$9, 100%, $E$9)</f>
        <v>10.8009</v>
      </c>
      <c r="M657" s="81">
        <f>10.8062 * CHOOSE(CONTROL!$C$32, $C$9, 100%, $E$9)</f>
        <v>10.8062</v>
      </c>
      <c r="N657" s="81">
        <f>10.8009 * CHOOSE(CONTROL!$C$32, $C$9, 100%, $E$9)</f>
        <v>10.8009</v>
      </c>
      <c r="O657" s="81">
        <f>10.8062 * CHOOSE(CONTROL!$C$32, $C$9, 100%, $E$9)</f>
        <v>10.8062</v>
      </c>
    </row>
    <row r="658" spans="1:15" ht="15" x14ac:dyDescent="0.2">
      <c r="A658" s="16">
        <v>61241</v>
      </c>
      <c r="B658" s="80">
        <f>9.6954 * CHOOSE(CONTROL!$C$32, $C$9, 100%, $E$9)</f>
        <v>9.6953999999999994</v>
      </c>
      <c r="C658" s="80">
        <f>9.6954 * CHOOSE(CONTROL!$C$32, $C$9, 100%, $E$9)</f>
        <v>9.6953999999999994</v>
      </c>
      <c r="D658" s="80">
        <f>9.697 * CHOOSE(CONTROL!$C$32, $C$9, 100%, $E$9)</f>
        <v>9.6969999999999992</v>
      </c>
      <c r="E658" s="81">
        <f>10.7704 * CHOOSE(CONTROL!$C$32, $C$9, 100%, $E$9)</f>
        <v>10.7704</v>
      </c>
      <c r="F658" s="81">
        <f>10.7704 * CHOOSE(CONTROL!$C$32, $C$9, 100%, $E$9)</f>
        <v>10.7704</v>
      </c>
      <c r="G658" s="81">
        <f>10.7757 * CHOOSE(CONTROL!$C$32, $C$9, 100%, $E$9)</f>
        <v>10.775700000000001</v>
      </c>
      <c r="H658" s="81">
        <f>21.9604 * CHOOSE(CONTROL!$C$32, $C$9, 100%, $E$9)</f>
        <v>21.9604</v>
      </c>
      <c r="I658" s="81">
        <f>21.9657 * CHOOSE(CONTROL!$C$32, $C$9, 100%, $E$9)</f>
        <v>21.965699999999998</v>
      </c>
      <c r="J658" s="81">
        <f>21.9604 * CHOOSE(CONTROL!$C$32, $C$9, 100%, $E$9)</f>
        <v>21.9604</v>
      </c>
      <c r="K658" s="81">
        <f>21.9657 * CHOOSE(CONTROL!$C$32, $C$9, 100%, $E$9)</f>
        <v>21.965699999999998</v>
      </c>
      <c r="L658" s="81">
        <f>10.7704 * CHOOSE(CONTROL!$C$32, $C$9, 100%, $E$9)</f>
        <v>10.7704</v>
      </c>
      <c r="M658" s="81">
        <f>10.7757 * CHOOSE(CONTROL!$C$32, $C$9, 100%, $E$9)</f>
        <v>10.775700000000001</v>
      </c>
      <c r="N658" s="81">
        <f>10.7704 * CHOOSE(CONTROL!$C$32, $C$9, 100%, $E$9)</f>
        <v>10.7704</v>
      </c>
      <c r="O658" s="81">
        <f>10.7757 * CHOOSE(CONTROL!$C$32, $C$9, 100%, $E$9)</f>
        <v>10.775700000000001</v>
      </c>
    </row>
    <row r="659" spans="1:15" ht="15" x14ac:dyDescent="0.2">
      <c r="A659" s="16">
        <v>61271</v>
      </c>
      <c r="B659" s="80">
        <f>9.7117 * CHOOSE(CONTROL!$C$32, $C$9, 100%, $E$9)</f>
        <v>9.7117000000000004</v>
      </c>
      <c r="C659" s="80">
        <f>9.7117 * CHOOSE(CONTROL!$C$32, $C$9, 100%, $E$9)</f>
        <v>9.7117000000000004</v>
      </c>
      <c r="D659" s="80">
        <f>9.7128 * CHOOSE(CONTROL!$C$32, $C$9, 100%, $E$9)</f>
        <v>9.7127999999999997</v>
      </c>
      <c r="E659" s="81">
        <f>10.8703 * CHOOSE(CONTROL!$C$32, $C$9, 100%, $E$9)</f>
        <v>10.8703</v>
      </c>
      <c r="F659" s="81">
        <f>10.8703 * CHOOSE(CONTROL!$C$32, $C$9, 100%, $E$9)</f>
        <v>10.8703</v>
      </c>
      <c r="G659" s="81">
        <f>10.8739 * CHOOSE(CONTROL!$C$32, $C$9, 100%, $E$9)</f>
        <v>10.873900000000001</v>
      </c>
      <c r="H659" s="81">
        <f>22.0061 * CHOOSE(CONTROL!$C$32, $C$9, 100%, $E$9)</f>
        <v>22.0061</v>
      </c>
      <c r="I659" s="81">
        <f>22.0097 * CHOOSE(CONTROL!$C$32, $C$9, 100%, $E$9)</f>
        <v>22.009699999999999</v>
      </c>
      <c r="J659" s="81">
        <f>22.0061 * CHOOSE(CONTROL!$C$32, $C$9, 100%, $E$9)</f>
        <v>22.0061</v>
      </c>
      <c r="K659" s="81">
        <f>22.0097 * CHOOSE(CONTROL!$C$32, $C$9, 100%, $E$9)</f>
        <v>22.009699999999999</v>
      </c>
      <c r="L659" s="81">
        <f>10.8703 * CHOOSE(CONTROL!$C$32, $C$9, 100%, $E$9)</f>
        <v>10.8703</v>
      </c>
      <c r="M659" s="81">
        <f>10.8739 * CHOOSE(CONTROL!$C$32, $C$9, 100%, $E$9)</f>
        <v>10.873900000000001</v>
      </c>
      <c r="N659" s="81">
        <f>10.8703 * CHOOSE(CONTROL!$C$32, $C$9, 100%, $E$9)</f>
        <v>10.8703</v>
      </c>
      <c r="O659" s="81">
        <f>10.8739 * CHOOSE(CONTROL!$C$32, $C$9, 100%, $E$9)</f>
        <v>10.873900000000001</v>
      </c>
    </row>
    <row r="660" spans="1:15" ht="15" x14ac:dyDescent="0.2">
      <c r="A660" s="16">
        <v>61302</v>
      </c>
      <c r="B660" s="80">
        <f>9.7147 * CHOOSE(CONTROL!$C$32, $C$9, 100%, $E$9)</f>
        <v>9.7147000000000006</v>
      </c>
      <c r="C660" s="80">
        <f>9.7147 * CHOOSE(CONTROL!$C$32, $C$9, 100%, $E$9)</f>
        <v>9.7147000000000006</v>
      </c>
      <c r="D660" s="80">
        <f>9.7158 * CHOOSE(CONTROL!$C$32, $C$9, 100%, $E$9)</f>
        <v>9.7157999999999998</v>
      </c>
      <c r="E660" s="81">
        <f>10.9291 * CHOOSE(CONTROL!$C$32, $C$9, 100%, $E$9)</f>
        <v>10.9291</v>
      </c>
      <c r="F660" s="81">
        <f>10.9291 * CHOOSE(CONTROL!$C$32, $C$9, 100%, $E$9)</f>
        <v>10.9291</v>
      </c>
      <c r="G660" s="81">
        <f>10.9327 * CHOOSE(CONTROL!$C$32, $C$9, 100%, $E$9)</f>
        <v>10.932700000000001</v>
      </c>
      <c r="H660" s="81">
        <f>22.052 * CHOOSE(CONTROL!$C$32, $C$9, 100%, $E$9)</f>
        <v>22.052</v>
      </c>
      <c r="I660" s="81">
        <f>22.0556 * CHOOSE(CONTROL!$C$32, $C$9, 100%, $E$9)</f>
        <v>22.055599999999998</v>
      </c>
      <c r="J660" s="81">
        <f>22.052 * CHOOSE(CONTROL!$C$32, $C$9, 100%, $E$9)</f>
        <v>22.052</v>
      </c>
      <c r="K660" s="81">
        <f>22.0556 * CHOOSE(CONTROL!$C$32, $C$9, 100%, $E$9)</f>
        <v>22.055599999999998</v>
      </c>
      <c r="L660" s="81">
        <f>10.9291 * CHOOSE(CONTROL!$C$32, $C$9, 100%, $E$9)</f>
        <v>10.9291</v>
      </c>
      <c r="M660" s="81">
        <f>10.9327 * CHOOSE(CONTROL!$C$32, $C$9, 100%, $E$9)</f>
        <v>10.932700000000001</v>
      </c>
      <c r="N660" s="81">
        <f>10.9291 * CHOOSE(CONTROL!$C$32, $C$9, 100%, $E$9)</f>
        <v>10.9291</v>
      </c>
      <c r="O660" s="81">
        <f>10.9327 * CHOOSE(CONTROL!$C$32, $C$9, 100%, $E$9)</f>
        <v>10.932700000000001</v>
      </c>
    </row>
    <row r="661" spans="1:15" ht="15" x14ac:dyDescent="0.2">
      <c r="A661" s="16">
        <v>61332</v>
      </c>
      <c r="B661" s="80">
        <f>9.7147 * CHOOSE(CONTROL!$C$32, $C$9, 100%, $E$9)</f>
        <v>9.7147000000000006</v>
      </c>
      <c r="C661" s="80">
        <f>9.7147 * CHOOSE(CONTROL!$C$32, $C$9, 100%, $E$9)</f>
        <v>9.7147000000000006</v>
      </c>
      <c r="D661" s="80">
        <f>9.7158 * CHOOSE(CONTROL!$C$32, $C$9, 100%, $E$9)</f>
        <v>9.7157999999999998</v>
      </c>
      <c r="E661" s="81">
        <f>10.7874 * CHOOSE(CONTROL!$C$32, $C$9, 100%, $E$9)</f>
        <v>10.7874</v>
      </c>
      <c r="F661" s="81">
        <f>10.7874 * CHOOSE(CONTROL!$C$32, $C$9, 100%, $E$9)</f>
        <v>10.7874</v>
      </c>
      <c r="G661" s="81">
        <f>10.7911 * CHOOSE(CONTROL!$C$32, $C$9, 100%, $E$9)</f>
        <v>10.7911</v>
      </c>
      <c r="H661" s="81">
        <f>22.0979 * CHOOSE(CONTROL!$C$32, $C$9, 100%, $E$9)</f>
        <v>22.097899999999999</v>
      </c>
      <c r="I661" s="81">
        <f>22.1015 * CHOOSE(CONTROL!$C$32, $C$9, 100%, $E$9)</f>
        <v>22.101500000000001</v>
      </c>
      <c r="J661" s="81">
        <f>22.0979 * CHOOSE(CONTROL!$C$32, $C$9, 100%, $E$9)</f>
        <v>22.097899999999999</v>
      </c>
      <c r="K661" s="81">
        <f>22.1015 * CHOOSE(CONTROL!$C$32, $C$9, 100%, $E$9)</f>
        <v>22.101500000000001</v>
      </c>
      <c r="L661" s="81">
        <f>10.7874 * CHOOSE(CONTROL!$C$32, $C$9, 100%, $E$9)</f>
        <v>10.7874</v>
      </c>
      <c r="M661" s="81">
        <f>10.7911 * CHOOSE(CONTROL!$C$32, $C$9, 100%, $E$9)</f>
        <v>10.7911</v>
      </c>
      <c r="N661" s="81">
        <f>10.7874 * CHOOSE(CONTROL!$C$32, $C$9, 100%, $E$9)</f>
        <v>10.7874</v>
      </c>
      <c r="O661" s="81">
        <f>10.7911 * CHOOSE(CONTROL!$C$32, $C$9, 100%, $E$9)</f>
        <v>10.7911</v>
      </c>
    </row>
    <row r="662" spans="1:15" ht="15" x14ac:dyDescent="0.2">
      <c r="A662" s="16">
        <v>61363</v>
      </c>
      <c r="B662" s="80">
        <f>9.7564 * CHOOSE(CONTROL!$C$32, $C$9, 100%, $E$9)</f>
        <v>9.7563999999999993</v>
      </c>
      <c r="C662" s="80">
        <f>9.7564 * CHOOSE(CONTROL!$C$32, $C$9, 100%, $E$9)</f>
        <v>9.7563999999999993</v>
      </c>
      <c r="D662" s="80">
        <f>9.7574 * CHOOSE(CONTROL!$C$32, $C$9, 100%, $E$9)</f>
        <v>9.7574000000000005</v>
      </c>
      <c r="E662" s="81">
        <f>10.9455 * CHOOSE(CONTROL!$C$32, $C$9, 100%, $E$9)</f>
        <v>10.945499999999999</v>
      </c>
      <c r="F662" s="81">
        <f>10.9455 * CHOOSE(CONTROL!$C$32, $C$9, 100%, $E$9)</f>
        <v>10.945499999999999</v>
      </c>
      <c r="G662" s="81">
        <f>10.9491 * CHOOSE(CONTROL!$C$32, $C$9, 100%, $E$9)</f>
        <v>10.9491</v>
      </c>
      <c r="H662" s="81">
        <f>22.0618 * CHOOSE(CONTROL!$C$32, $C$9, 100%, $E$9)</f>
        <v>22.061800000000002</v>
      </c>
      <c r="I662" s="81">
        <f>22.0654 * CHOOSE(CONTROL!$C$32, $C$9, 100%, $E$9)</f>
        <v>22.0654</v>
      </c>
      <c r="J662" s="81">
        <f>22.0618 * CHOOSE(CONTROL!$C$32, $C$9, 100%, $E$9)</f>
        <v>22.061800000000002</v>
      </c>
      <c r="K662" s="81">
        <f>22.0654 * CHOOSE(CONTROL!$C$32, $C$9, 100%, $E$9)</f>
        <v>22.0654</v>
      </c>
      <c r="L662" s="81">
        <f>10.9455 * CHOOSE(CONTROL!$C$32, $C$9, 100%, $E$9)</f>
        <v>10.945499999999999</v>
      </c>
      <c r="M662" s="81">
        <f>10.9491 * CHOOSE(CONTROL!$C$32, $C$9, 100%, $E$9)</f>
        <v>10.9491</v>
      </c>
      <c r="N662" s="81">
        <f>10.9455 * CHOOSE(CONTROL!$C$32, $C$9, 100%, $E$9)</f>
        <v>10.945499999999999</v>
      </c>
      <c r="O662" s="81">
        <f>10.9491 * CHOOSE(CONTROL!$C$32, $C$9, 100%, $E$9)</f>
        <v>10.9491</v>
      </c>
    </row>
    <row r="663" spans="1:15" ht="15" x14ac:dyDescent="0.2">
      <c r="A663" s="16">
        <v>61394</v>
      </c>
      <c r="B663" s="80">
        <f>9.7533 * CHOOSE(CONTROL!$C$32, $C$9, 100%, $E$9)</f>
        <v>9.7532999999999994</v>
      </c>
      <c r="C663" s="80">
        <f>9.7533 * CHOOSE(CONTROL!$C$32, $C$9, 100%, $E$9)</f>
        <v>9.7532999999999994</v>
      </c>
      <c r="D663" s="80">
        <f>9.7544 * CHOOSE(CONTROL!$C$32, $C$9, 100%, $E$9)</f>
        <v>9.7544000000000004</v>
      </c>
      <c r="E663" s="81">
        <f>10.6687 * CHOOSE(CONTROL!$C$32, $C$9, 100%, $E$9)</f>
        <v>10.668699999999999</v>
      </c>
      <c r="F663" s="81">
        <f>10.6687 * CHOOSE(CONTROL!$C$32, $C$9, 100%, $E$9)</f>
        <v>10.668699999999999</v>
      </c>
      <c r="G663" s="81">
        <f>10.6723 * CHOOSE(CONTROL!$C$32, $C$9, 100%, $E$9)</f>
        <v>10.6723</v>
      </c>
      <c r="H663" s="81">
        <f>22.1078 * CHOOSE(CONTROL!$C$32, $C$9, 100%, $E$9)</f>
        <v>22.107800000000001</v>
      </c>
      <c r="I663" s="81">
        <f>22.1114 * CHOOSE(CONTROL!$C$32, $C$9, 100%, $E$9)</f>
        <v>22.1114</v>
      </c>
      <c r="J663" s="81">
        <f>22.1078 * CHOOSE(CONTROL!$C$32, $C$9, 100%, $E$9)</f>
        <v>22.107800000000001</v>
      </c>
      <c r="K663" s="81">
        <f>22.1114 * CHOOSE(CONTROL!$C$32, $C$9, 100%, $E$9)</f>
        <v>22.1114</v>
      </c>
      <c r="L663" s="81">
        <f>10.6687 * CHOOSE(CONTROL!$C$32, $C$9, 100%, $E$9)</f>
        <v>10.668699999999999</v>
      </c>
      <c r="M663" s="81">
        <f>10.6723 * CHOOSE(CONTROL!$C$32, $C$9, 100%, $E$9)</f>
        <v>10.6723</v>
      </c>
      <c r="N663" s="81">
        <f>10.6687 * CHOOSE(CONTROL!$C$32, $C$9, 100%, $E$9)</f>
        <v>10.668699999999999</v>
      </c>
      <c r="O663" s="81">
        <f>10.6723 * CHOOSE(CONTROL!$C$32, $C$9, 100%, $E$9)</f>
        <v>10.6723</v>
      </c>
    </row>
    <row r="664" spans="1:15" ht="15" x14ac:dyDescent="0.2">
      <c r="A664" s="16">
        <v>61423</v>
      </c>
      <c r="B664" s="80">
        <f>9.7503 * CHOOSE(CONTROL!$C$32, $C$9, 100%, $E$9)</f>
        <v>9.7502999999999993</v>
      </c>
      <c r="C664" s="80">
        <f>9.7503 * CHOOSE(CONTROL!$C$32, $C$9, 100%, $E$9)</f>
        <v>9.7502999999999993</v>
      </c>
      <c r="D664" s="80">
        <f>9.7513 * CHOOSE(CONTROL!$C$32, $C$9, 100%, $E$9)</f>
        <v>9.7513000000000005</v>
      </c>
      <c r="E664" s="81">
        <f>10.8831 * CHOOSE(CONTROL!$C$32, $C$9, 100%, $E$9)</f>
        <v>10.883100000000001</v>
      </c>
      <c r="F664" s="81">
        <f>10.8831 * CHOOSE(CONTROL!$C$32, $C$9, 100%, $E$9)</f>
        <v>10.883100000000001</v>
      </c>
      <c r="G664" s="81">
        <f>10.8867 * CHOOSE(CONTROL!$C$32, $C$9, 100%, $E$9)</f>
        <v>10.886699999999999</v>
      </c>
      <c r="H664" s="81">
        <f>22.1538 * CHOOSE(CONTROL!$C$32, $C$9, 100%, $E$9)</f>
        <v>22.1538</v>
      </c>
      <c r="I664" s="81">
        <f>22.1574 * CHOOSE(CONTROL!$C$32, $C$9, 100%, $E$9)</f>
        <v>22.157399999999999</v>
      </c>
      <c r="J664" s="81">
        <f>22.1538 * CHOOSE(CONTROL!$C$32, $C$9, 100%, $E$9)</f>
        <v>22.1538</v>
      </c>
      <c r="K664" s="81">
        <f>22.1574 * CHOOSE(CONTROL!$C$32, $C$9, 100%, $E$9)</f>
        <v>22.157399999999999</v>
      </c>
      <c r="L664" s="81">
        <f>10.8831 * CHOOSE(CONTROL!$C$32, $C$9, 100%, $E$9)</f>
        <v>10.883100000000001</v>
      </c>
      <c r="M664" s="81">
        <f>10.8867 * CHOOSE(CONTROL!$C$32, $C$9, 100%, $E$9)</f>
        <v>10.886699999999999</v>
      </c>
      <c r="N664" s="81">
        <f>10.8831 * CHOOSE(CONTROL!$C$32, $C$9, 100%, $E$9)</f>
        <v>10.883100000000001</v>
      </c>
      <c r="O664" s="81">
        <f>10.8867 * CHOOSE(CONTROL!$C$32, $C$9, 100%, $E$9)</f>
        <v>10.886699999999999</v>
      </c>
    </row>
    <row r="665" spans="1:15" ht="15" x14ac:dyDescent="0.2">
      <c r="A665" s="16">
        <v>61454</v>
      </c>
      <c r="B665" s="80">
        <f>9.7535 * CHOOSE(CONTROL!$C$32, $C$9, 100%, $E$9)</f>
        <v>9.7535000000000007</v>
      </c>
      <c r="C665" s="80">
        <f>9.7535 * CHOOSE(CONTROL!$C$32, $C$9, 100%, $E$9)</f>
        <v>9.7535000000000007</v>
      </c>
      <c r="D665" s="80">
        <f>9.7546 * CHOOSE(CONTROL!$C$32, $C$9, 100%, $E$9)</f>
        <v>9.7545999999999999</v>
      </c>
      <c r="E665" s="81">
        <f>11.1115 * CHOOSE(CONTROL!$C$32, $C$9, 100%, $E$9)</f>
        <v>11.111499999999999</v>
      </c>
      <c r="F665" s="81">
        <f>11.1115 * CHOOSE(CONTROL!$C$32, $C$9, 100%, $E$9)</f>
        <v>11.111499999999999</v>
      </c>
      <c r="G665" s="81">
        <f>11.1151 * CHOOSE(CONTROL!$C$32, $C$9, 100%, $E$9)</f>
        <v>11.1151</v>
      </c>
      <c r="H665" s="81">
        <f>22.2 * CHOOSE(CONTROL!$C$32, $C$9, 100%, $E$9)</f>
        <v>22.2</v>
      </c>
      <c r="I665" s="81">
        <f>22.2036 * CHOOSE(CONTROL!$C$32, $C$9, 100%, $E$9)</f>
        <v>22.203600000000002</v>
      </c>
      <c r="J665" s="81">
        <f>22.2 * CHOOSE(CONTROL!$C$32, $C$9, 100%, $E$9)</f>
        <v>22.2</v>
      </c>
      <c r="K665" s="81">
        <f>22.2036 * CHOOSE(CONTROL!$C$32, $C$9, 100%, $E$9)</f>
        <v>22.203600000000002</v>
      </c>
      <c r="L665" s="81">
        <f>11.1115 * CHOOSE(CONTROL!$C$32, $C$9, 100%, $E$9)</f>
        <v>11.111499999999999</v>
      </c>
      <c r="M665" s="81">
        <f>11.1151 * CHOOSE(CONTROL!$C$32, $C$9, 100%, $E$9)</f>
        <v>11.1151</v>
      </c>
      <c r="N665" s="81">
        <f>11.1115 * CHOOSE(CONTROL!$C$32, $C$9, 100%, $E$9)</f>
        <v>11.111499999999999</v>
      </c>
      <c r="O665" s="81">
        <f>11.1151 * CHOOSE(CONTROL!$C$32, $C$9, 100%, $E$9)</f>
        <v>11.1151</v>
      </c>
    </row>
    <row r="666" spans="1:15" ht="15" x14ac:dyDescent="0.2">
      <c r="A666" s="16">
        <v>61484</v>
      </c>
      <c r="B666" s="80">
        <f>9.7535 * CHOOSE(CONTROL!$C$32, $C$9, 100%, $E$9)</f>
        <v>9.7535000000000007</v>
      </c>
      <c r="C666" s="80">
        <f>9.7535 * CHOOSE(CONTROL!$C$32, $C$9, 100%, $E$9)</f>
        <v>9.7535000000000007</v>
      </c>
      <c r="D666" s="80">
        <f>9.7551 * CHOOSE(CONTROL!$C$32, $C$9, 100%, $E$9)</f>
        <v>9.7551000000000005</v>
      </c>
      <c r="E666" s="81">
        <f>11.1987 * CHOOSE(CONTROL!$C$32, $C$9, 100%, $E$9)</f>
        <v>11.198700000000001</v>
      </c>
      <c r="F666" s="81">
        <f>11.1987 * CHOOSE(CONTROL!$C$32, $C$9, 100%, $E$9)</f>
        <v>11.198700000000001</v>
      </c>
      <c r="G666" s="81">
        <f>11.204 * CHOOSE(CONTROL!$C$32, $C$9, 100%, $E$9)</f>
        <v>11.204000000000001</v>
      </c>
      <c r="H666" s="81">
        <f>22.2462 * CHOOSE(CONTROL!$C$32, $C$9, 100%, $E$9)</f>
        <v>22.246200000000002</v>
      </c>
      <c r="I666" s="81">
        <f>22.2515 * CHOOSE(CONTROL!$C$32, $C$9, 100%, $E$9)</f>
        <v>22.2515</v>
      </c>
      <c r="J666" s="81">
        <f>22.2462 * CHOOSE(CONTROL!$C$32, $C$9, 100%, $E$9)</f>
        <v>22.246200000000002</v>
      </c>
      <c r="K666" s="81">
        <f>22.2515 * CHOOSE(CONTROL!$C$32, $C$9, 100%, $E$9)</f>
        <v>22.2515</v>
      </c>
      <c r="L666" s="81">
        <f>11.1987 * CHOOSE(CONTROL!$C$32, $C$9, 100%, $E$9)</f>
        <v>11.198700000000001</v>
      </c>
      <c r="M666" s="81">
        <f>11.204 * CHOOSE(CONTROL!$C$32, $C$9, 100%, $E$9)</f>
        <v>11.204000000000001</v>
      </c>
      <c r="N666" s="81">
        <f>11.1987 * CHOOSE(CONTROL!$C$32, $C$9, 100%, $E$9)</f>
        <v>11.198700000000001</v>
      </c>
      <c r="O666" s="81">
        <f>11.204 * CHOOSE(CONTROL!$C$32, $C$9, 100%, $E$9)</f>
        <v>11.204000000000001</v>
      </c>
    </row>
    <row r="667" spans="1:15" ht="15" x14ac:dyDescent="0.2">
      <c r="A667" s="16">
        <v>61515</v>
      </c>
      <c r="B667" s="80">
        <f>9.7596 * CHOOSE(CONTROL!$C$32, $C$9, 100%, $E$9)</f>
        <v>9.7596000000000007</v>
      </c>
      <c r="C667" s="80">
        <f>9.7596 * CHOOSE(CONTROL!$C$32, $C$9, 100%, $E$9)</f>
        <v>9.7596000000000007</v>
      </c>
      <c r="D667" s="80">
        <f>9.7612 * CHOOSE(CONTROL!$C$32, $C$9, 100%, $E$9)</f>
        <v>9.7612000000000005</v>
      </c>
      <c r="E667" s="81">
        <f>11.1157 * CHOOSE(CONTROL!$C$32, $C$9, 100%, $E$9)</f>
        <v>11.1157</v>
      </c>
      <c r="F667" s="81">
        <f>11.1157 * CHOOSE(CONTROL!$C$32, $C$9, 100%, $E$9)</f>
        <v>11.1157</v>
      </c>
      <c r="G667" s="81">
        <f>11.121 * CHOOSE(CONTROL!$C$32, $C$9, 100%, $E$9)</f>
        <v>11.121</v>
      </c>
      <c r="H667" s="81">
        <f>22.2926 * CHOOSE(CONTROL!$C$32, $C$9, 100%, $E$9)</f>
        <v>22.2926</v>
      </c>
      <c r="I667" s="81">
        <f>22.2979 * CHOOSE(CONTROL!$C$32, $C$9, 100%, $E$9)</f>
        <v>22.297899999999998</v>
      </c>
      <c r="J667" s="81">
        <f>22.2926 * CHOOSE(CONTROL!$C$32, $C$9, 100%, $E$9)</f>
        <v>22.2926</v>
      </c>
      <c r="K667" s="81">
        <f>22.2979 * CHOOSE(CONTROL!$C$32, $C$9, 100%, $E$9)</f>
        <v>22.297899999999998</v>
      </c>
      <c r="L667" s="81">
        <f>11.1157 * CHOOSE(CONTROL!$C$32, $C$9, 100%, $E$9)</f>
        <v>11.1157</v>
      </c>
      <c r="M667" s="81">
        <f>11.121 * CHOOSE(CONTROL!$C$32, $C$9, 100%, $E$9)</f>
        <v>11.121</v>
      </c>
      <c r="N667" s="81">
        <f>11.1157 * CHOOSE(CONTROL!$C$32, $C$9, 100%, $E$9)</f>
        <v>11.1157</v>
      </c>
      <c r="O667" s="81">
        <f>11.121 * CHOOSE(CONTROL!$C$32, $C$9, 100%, $E$9)</f>
        <v>11.121</v>
      </c>
    </row>
    <row r="668" spans="1:15" ht="15" x14ac:dyDescent="0.2">
      <c r="A668" s="16">
        <v>61545</v>
      </c>
      <c r="B668" s="80">
        <f>9.8813 * CHOOSE(CONTROL!$C$32, $C$9, 100%, $E$9)</f>
        <v>9.8812999999999995</v>
      </c>
      <c r="C668" s="80">
        <f>9.8813 * CHOOSE(CONTROL!$C$32, $C$9, 100%, $E$9)</f>
        <v>9.8812999999999995</v>
      </c>
      <c r="D668" s="80">
        <f>9.8829 * CHOOSE(CONTROL!$C$32, $C$9, 100%, $E$9)</f>
        <v>9.8828999999999994</v>
      </c>
      <c r="E668" s="81">
        <f>11.2713 * CHOOSE(CONTROL!$C$32, $C$9, 100%, $E$9)</f>
        <v>11.2713</v>
      </c>
      <c r="F668" s="81">
        <f>11.2713 * CHOOSE(CONTROL!$C$32, $C$9, 100%, $E$9)</f>
        <v>11.2713</v>
      </c>
      <c r="G668" s="81">
        <f>11.2766 * CHOOSE(CONTROL!$C$32, $C$9, 100%, $E$9)</f>
        <v>11.2766</v>
      </c>
      <c r="H668" s="81">
        <f>22.339 * CHOOSE(CONTROL!$C$32, $C$9, 100%, $E$9)</f>
        <v>22.338999999999999</v>
      </c>
      <c r="I668" s="81">
        <f>22.3443 * CHOOSE(CONTROL!$C$32, $C$9, 100%, $E$9)</f>
        <v>22.3443</v>
      </c>
      <c r="J668" s="81">
        <f>22.339 * CHOOSE(CONTROL!$C$32, $C$9, 100%, $E$9)</f>
        <v>22.338999999999999</v>
      </c>
      <c r="K668" s="81">
        <f>22.3443 * CHOOSE(CONTROL!$C$32, $C$9, 100%, $E$9)</f>
        <v>22.3443</v>
      </c>
      <c r="L668" s="81">
        <f>11.2713 * CHOOSE(CONTROL!$C$32, $C$9, 100%, $E$9)</f>
        <v>11.2713</v>
      </c>
      <c r="M668" s="81">
        <f>11.2766 * CHOOSE(CONTROL!$C$32, $C$9, 100%, $E$9)</f>
        <v>11.2766</v>
      </c>
      <c r="N668" s="81">
        <f>11.2713 * CHOOSE(CONTROL!$C$32, $C$9, 100%, $E$9)</f>
        <v>11.2713</v>
      </c>
      <c r="O668" s="81">
        <f>11.2766 * CHOOSE(CONTROL!$C$32, $C$9, 100%, $E$9)</f>
        <v>11.2766</v>
      </c>
    </row>
    <row r="669" spans="1:15" ht="15" x14ac:dyDescent="0.2">
      <c r="A669" s="16">
        <v>61576</v>
      </c>
      <c r="B669" s="80">
        <f>9.888 * CHOOSE(CONTROL!$C$32, $C$9, 100%, $E$9)</f>
        <v>9.8879999999999999</v>
      </c>
      <c r="C669" s="80">
        <f>9.888 * CHOOSE(CONTROL!$C$32, $C$9, 100%, $E$9)</f>
        <v>9.8879999999999999</v>
      </c>
      <c r="D669" s="80">
        <f>9.8896 * CHOOSE(CONTROL!$C$32, $C$9, 100%, $E$9)</f>
        <v>9.8895999999999997</v>
      </c>
      <c r="E669" s="81">
        <f>11.0143 * CHOOSE(CONTROL!$C$32, $C$9, 100%, $E$9)</f>
        <v>11.0143</v>
      </c>
      <c r="F669" s="81">
        <f>11.0143 * CHOOSE(CONTROL!$C$32, $C$9, 100%, $E$9)</f>
        <v>11.0143</v>
      </c>
      <c r="G669" s="81">
        <f>11.0196 * CHOOSE(CONTROL!$C$32, $C$9, 100%, $E$9)</f>
        <v>11.019600000000001</v>
      </c>
      <c r="H669" s="81">
        <f>22.3855 * CHOOSE(CONTROL!$C$32, $C$9, 100%, $E$9)</f>
        <v>22.3855</v>
      </c>
      <c r="I669" s="81">
        <f>22.3908 * CHOOSE(CONTROL!$C$32, $C$9, 100%, $E$9)</f>
        <v>22.390799999999999</v>
      </c>
      <c r="J669" s="81">
        <f>22.3855 * CHOOSE(CONTROL!$C$32, $C$9, 100%, $E$9)</f>
        <v>22.3855</v>
      </c>
      <c r="K669" s="81">
        <f>22.3908 * CHOOSE(CONTROL!$C$32, $C$9, 100%, $E$9)</f>
        <v>22.390799999999999</v>
      </c>
      <c r="L669" s="81">
        <f>11.0143 * CHOOSE(CONTROL!$C$32, $C$9, 100%, $E$9)</f>
        <v>11.0143</v>
      </c>
      <c r="M669" s="81">
        <f>11.0196 * CHOOSE(CONTROL!$C$32, $C$9, 100%, $E$9)</f>
        <v>11.019600000000001</v>
      </c>
      <c r="N669" s="81">
        <f>11.0143 * CHOOSE(CONTROL!$C$32, $C$9, 100%, $E$9)</f>
        <v>11.0143</v>
      </c>
      <c r="O669" s="81">
        <f>11.0196 * CHOOSE(CONTROL!$C$32, $C$9, 100%, $E$9)</f>
        <v>11.019600000000001</v>
      </c>
    </row>
    <row r="670" spans="1:15" ht="15" x14ac:dyDescent="0.2">
      <c r="A670" s="16">
        <v>61607</v>
      </c>
      <c r="B670" s="80">
        <f>9.885 * CHOOSE(CONTROL!$C$32, $C$9, 100%, $E$9)</f>
        <v>9.8849999999999998</v>
      </c>
      <c r="C670" s="80">
        <f>9.885 * CHOOSE(CONTROL!$C$32, $C$9, 100%, $E$9)</f>
        <v>9.8849999999999998</v>
      </c>
      <c r="D670" s="80">
        <f>9.8865 * CHOOSE(CONTROL!$C$32, $C$9, 100%, $E$9)</f>
        <v>9.8864999999999998</v>
      </c>
      <c r="E670" s="81">
        <f>10.9831 * CHOOSE(CONTROL!$C$32, $C$9, 100%, $E$9)</f>
        <v>10.9831</v>
      </c>
      <c r="F670" s="81">
        <f>10.9831 * CHOOSE(CONTROL!$C$32, $C$9, 100%, $E$9)</f>
        <v>10.9831</v>
      </c>
      <c r="G670" s="81">
        <f>10.9884 * CHOOSE(CONTROL!$C$32, $C$9, 100%, $E$9)</f>
        <v>10.9884</v>
      </c>
      <c r="H670" s="81">
        <f>22.4322 * CHOOSE(CONTROL!$C$32, $C$9, 100%, $E$9)</f>
        <v>22.432200000000002</v>
      </c>
      <c r="I670" s="81">
        <f>22.4375 * CHOOSE(CONTROL!$C$32, $C$9, 100%, $E$9)</f>
        <v>22.4375</v>
      </c>
      <c r="J670" s="81">
        <f>22.4322 * CHOOSE(CONTROL!$C$32, $C$9, 100%, $E$9)</f>
        <v>22.432200000000002</v>
      </c>
      <c r="K670" s="81">
        <f>22.4375 * CHOOSE(CONTROL!$C$32, $C$9, 100%, $E$9)</f>
        <v>22.4375</v>
      </c>
      <c r="L670" s="81">
        <f>10.9831 * CHOOSE(CONTROL!$C$32, $C$9, 100%, $E$9)</f>
        <v>10.9831</v>
      </c>
      <c r="M670" s="81">
        <f>10.9884 * CHOOSE(CONTROL!$C$32, $C$9, 100%, $E$9)</f>
        <v>10.9884</v>
      </c>
      <c r="N670" s="81">
        <f>10.9831 * CHOOSE(CONTROL!$C$32, $C$9, 100%, $E$9)</f>
        <v>10.9831</v>
      </c>
      <c r="O670" s="81">
        <f>10.9884 * CHOOSE(CONTROL!$C$32, $C$9, 100%, $E$9)</f>
        <v>10.9884</v>
      </c>
    </row>
    <row r="671" spans="1:15" ht="15" x14ac:dyDescent="0.2">
      <c r="A671" s="16">
        <v>61637</v>
      </c>
      <c r="B671" s="80">
        <f>9.902 * CHOOSE(CONTROL!$C$32, $C$9, 100%, $E$9)</f>
        <v>9.9019999999999992</v>
      </c>
      <c r="C671" s="80">
        <f>9.902 * CHOOSE(CONTROL!$C$32, $C$9, 100%, $E$9)</f>
        <v>9.9019999999999992</v>
      </c>
      <c r="D671" s="80">
        <f>9.9031 * CHOOSE(CONTROL!$C$32, $C$9, 100%, $E$9)</f>
        <v>9.9031000000000002</v>
      </c>
      <c r="E671" s="81">
        <f>11.086 * CHOOSE(CONTROL!$C$32, $C$9, 100%, $E$9)</f>
        <v>11.086</v>
      </c>
      <c r="F671" s="81">
        <f>11.086 * CHOOSE(CONTROL!$C$32, $C$9, 100%, $E$9)</f>
        <v>11.086</v>
      </c>
      <c r="G671" s="81">
        <f>11.0896 * CHOOSE(CONTROL!$C$32, $C$9, 100%, $E$9)</f>
        <v>11.089600000000001</v>
      </c>
      <c r="H671" s="81">
        <f>22.4789 * CHOOSE(CONTROL!$C$32, $C$9, 100%, $E$9)</f>
        <v>22.478899999999999</v>
      </c>
      <c r="I671" s="81">
        <f>22.4825 * CHOOSE(CONTROL!$C$32, $C$9, 100%, $E$9)</f>
        <v>22.482500000000002</v>
      </c>
      <c r="J671" s="81">
        <f>22.4789 * CHOOSE(CONTROL!$C$32, $C$9, 100%, $E$9)</f>
        <v>22.478899999999999</v>
      </c>
      <c r="K671" s="81">
        <f>22.4825 * CHOOSE(CONTROL!$C$32, $C$9, 100%, $E$9)</f>
        <v>22.482500000000002</v>
      </c>
      <c r="L671" s="81">
        <f>11.086 * CHOOSE(CONTROL!$C$32, $C$9, 100%, $E$9)</f>
        <v>11.086</v>
      </c>
      <c r="M671" s="81">
        <f>11.0896 * CHOOSE(CONTROL!$C$32, $C$9, 100%, $E$9)</f>
        <v>11.089600000000001</v>
      </c>
      <c r="N671" s="81">
        <f>11.086 * CHOOSE(CONTROL!$C$32, $C$9, 100%, $E$9)</f>
        <v>11.086</v>
      </c>
      <c r="O671" s="81">
        <f>11.0896 * CHOOSE(CONTROL!$C$32, $C$9, 100%, $E$9)</f>
        <v>11.089600000000001</v>
      </c>
    </row>
    <row r="672" spans="1:15" ht="15" x14ac:dyDescent="0.2">
      <c r="A672" s="16">
        <v>61668</v>
      </c>
      <c r="B672" s="80">
        <f>9.905 * CHOOSE(CONTROL!$C$32, $C$9, 100%, $E$9)</f>
        <v>9.9049999999999994</v>
      </c>
      <c r="C672" s="80">
        <f>9.905 * CHOOSE(CONTROL!$C$32, $C$9, 100%, $E$9)</f>
        <v>9.9049999999999994</v>
      </c>
      <c r="D672" s="80">
        <f>9.9061 * CHOOSE(CONTROL!$C$32, $C$9, 100%, $E$9)</f>
        <v>9.9061000000000003</v>
      </c>
      <c r="E672" s="81">
        <f>11.1463 * CHOOSE(CONTROL!$C$32, $C$9, 100%, $E$9)</f>
        <v>11.1463</v>
      </c>
      <c r="F672" s="81">
        <f>11.1463 * CHOOSE(CONTROL!$C$32, $C$9, 100%, $E$9)</f>
        <v>11.1463</v>
      </c>
      <c r="G672" s="81">
        <f>11.1499 * CHOOSE(CONTROL!$C$32, $C$9, 100%, $E$9)</f>
        <v>11.149900000000001</v>
      </c>
      <c r="H672" s="81">
        <f>22.5257 * CHOOSE(CONTROL!$C$32, $C$9, 100%, $E$9)</f>
        <v>22.525700000000001</v>
      </c>
      <c r="I672" s="81">
        <f>22.5294 * CHOOSE(CONTROL!$C$32, $C$9, 100%, $E$9)</f>
        <v>22.529399999999999</v>
      </c>
      <c r="J672" s="81">
        <f>22.5257 * CHOOSE(CONTROL!$C$32, $C$9, 100%, $E$9)</f>
        <v>22.525700000000001</v>
      </c>
      <c r="K672" s="81">
        <f>22.5294 * CHOOSE(CONTROL!$C$32, $C$9, 100%, $E$9)</f>
        <v>22.529399999999999</v>
      </c>
      <c r="L672" s="81">
        <f>11.1463 * CHOOSE(CONTROL!$C$32, $C$9, 100%, $E$9)</f>
        <v>11.1463</v>
      </c>
      <c r="M672" s="81">
        <f>11.1499 * CHOOSE(CONTROL!$C$32, $C$9, 100%, $E$9)</f>
        <v>11.149900000000001</v>
      </c>
      <c r="N672" s="81">
        <f>11.1463 * CHOOSE(CONTROL!$C$32, $C$9, 100%, $E$9)</f>
        <v>11.1463</v>
      </c>
      <c r="O672" s="81">
        <f>11.1499 * CHOOSE(CONTROL!$C$32, $C$9, 100%, $E$9)</f>
        <v>11.149900000000001</v>
      </c>
    </row>
    <row r="673" spans="1:15" ht="15" x14ac:dyDescent="0.2">
      <c r="A673" s="16">
        <v>61698</v>
      </c>
      <c r="B673" s="80">
        <f>9.905 * CHOOSE(CONTROL!$C$32, $C$9, 100%, $E$9)</f>
        <v>9.9049999999999994</v>
      </c>
      <c r="C673" s="80">
        <f>9.905 * CHOOSE(CONTROL!$C$32, $C$9, 100%, $E$9)</f>
        <v>9.9049999999999994</v>
      </c>
      <c r="D673" s="80">
        <f>9.9061 * CHOOSE(CONTROL!$C$32, $C$9, 100%, $E$9)</f>
        <v>9.9061000000000003</v>
      </c>
      <c r="E673" s="81">
        <f>11.0009 * CHOOSE(CONTROL!$C$32, $C$9, 100%, $E$9)</f>
        <v>11.0009</v>
      </c>
      <c r="F673" s="81">
        <f>11.0009 * CHOOSE(CONTROL!$C$32, $C$9, 100%, $E$9)</f>
        <v>11.0009</v>
      </c>
      <c r="G673" s="81">
        <f>11.0045 * CHOOSE(CONTROL!$C$32, $C$9, 100%, $E$9)</f>
        <v>11.0045</v>
      </c>
      <c r="H673" s="81">
        <f>22.5727 * CHOOSE(CONTROL!$C$32, $C$9, 100%, $E$9)</f>
        <v>22.572700000000001</v>
      </c>
      <c r="I673" s="81">
        <f>22.5763 * CHOOSE(CONTROL!$C$32, $C$9, 100%, $E$9)</f>
        <v>22.5763</v>
      </c>
      <c r="J673" s="81">
        <f>22.5727 * CHOOSE(CONTROL!$C$32, $C$9, 100%, $E$9)</f>
        <v>22.572700000000001</v>
      </c>
      <c r="K673" s="81">
        <f>22.5763 * CHOOSE(CONTROL!$C$32, $C$9, 100%, $E$9)</f>
        <v>22.5763</v>
      </c>
      <c r="L673" s="81">
        <f>11.0009 * CHOOSE(CONTROL!$C$32, $C$9, 100%, $E$9)</f>
        <v>11.0009</v>
      </c>
      <c r="M673" s="81">
        <f>11.0045 * CHOOSE(CONTROL!$C$32, $C$9, 100%, $E$9)</f>
        <v>11.0045</v>
      </c>
      <c r="N673" s="81">
        <f>11.0009 * CHOOSE(CONTROL!$C$32, $C$9, 100%, $E$9)</f>
        <v>11.0009</v>
      </c>
      <c r="O673" s="81">
        <f>11.0045 * CHOOSE(CONTROL!$C$32, $C$9, 100%, $E$9)</f>
        <v>11.0045</v>
      </c>
    </row>
    <row r="674" spans="1:15" ht="15" x14ac:dyDescent="0.2">
      <c r="A674" s="16">
        <v>61729</v>
      </c>
      <c r="B674" s="80">
        <f>9.9437 * CHOOSE(CONTROL!$C$32, $C$9, 100%, $E$9)</f>
        <v>9.9436999999999998</v>
      </c>
      <c r="C674" s="80">
        <f>9.9437 * CHOOSE(CONTROL!$C$32, $C$9, 100%, $E$9)</f>
        <v>9.9436999999999998</v>
      </c>
      <c r="D674" s="80">
        <f>9.9448 * CHOOSE(CONTROL!$C$32, $C$9, 100%, $E$9)</f>
        <v>9.9448000000000008</v>
      </c>
      <c r="E674" s="81">
        <f>11.158 * CHOOSE(CONTROL!$C$32, $C$9, 100%, $E$9)</f>
        <v>11.157999999999999</v>
      </c>
      <c r="F674" s="81">
        <f>11.158 * CHOOSE(CONTROL!$C$32, $C$9, 100%, $E$9)</f>
        <v>11.157999999999999</v>
      </c>
      <c r="G674" s="81">
        <f>11.1616 * CHOOSE(CONTROL!$C$32, $C$9, 100%, $E$9)</f>
        <v>11.1616</v>
      </c>
      <c r="H674" s="81">
        <f>22.5258 * CHOOSE(CONTROL!$C$32, $C$9, 100%, $E$9)</f>
        <v>22.5258</v>
      </c>
      <c r="I674" s="81">
        <f>22.5294 * CHOOSE(CONTROL!$C$32, $C$9, 100%, $E$9)</f>
        <v>22.529399999999999</v>
      </c>
      <c r="J674" s="81">
        <f>22.5258 * CHOOSE(CONTROL!$C$32, $C$9, 100%, $E$9)</f>
        <v>22.5258</v>
      </c>
      <c r="K674" s="81">
        <f>22.5294 * CHOOSE(CONTROL!$C$32, $C$9, 100%, $E$9)</f>
        <v>22.529399999999999</v>
      </c>
      <c r="L674" s="81">
        <f>11.158 * CHOOSE(CONTROL!$C$32, $C$9, 100%, $E$9)</f>
        <v>11.157999999999999</v>
      </c>
      <c r="M674" s="81">
        <f>11.1616 * CHOOSE(CONTROL!$C$32, $C$9, 100%, $E$9)</f>
        <v>11.1616</v>
      </c>
      <c r="N674" s="81">
        <f>11.158 * CHOOSE(CONTROL!$C$32, $C$9, 100%, $E$9)</f>
        <v>11.157999999999999</v>
      </c>
      <c r="O674" s="81">
        <f>11.1616 * CHOOSE(CONTROL!$C$32, $C$9, 100%, $E$9)</f>
        <v>11.1616</v>
      </c>
    </row>
    <row r="675" spans="1:15" ht="15" x14ac:dyDescent="0.2">
      <c r="A675" s="16">
        <v>61760</v>
      </c>
      <c r="B675" s="80">
        <f>9.9407 * CHOOSE(CONTROL!$C$32, $C$9, 100%, $E$9)</f>
        <v>9.9406999999999996</v>
      </c>
      <c r="C675" s="80">
        <f>9.9407 * CHOOSE(CONTROL!$C$32, $C$9, 100%, $E$9)</f>
        <v>9.9406999999999996</v>
      </c>
      <c r="D675" s="80">
        <f>9.9417 * CHOOSE(CONTROL!$C$32, $C$9, 100%, $E$9)</f>
        <v>9.9417000000000009</v>
      </c>
      <c r="E675" s="81">
        <f>10.8741 * CHOOSE(CONTROL!$C$32, $C$9, 100%, $E$9)</f>
        <v>10.8741</v>
      </c>
      <c r="F675" s="81">
        <f>10.8741 * CHOOSE(CONTROL!$C$32, $C$9, 100%, $E$9)</f>
        <v>10.8741</v>
      </c>
      <c r="G675" s="81">
        <f>10.8777 * CHOOSE(CONTROL!$C$32, $C$9, 100%, $E$9)</f>
        <v>10.877700000000001</v>
      </c>
      <c r="H675" s="81">
        <f>22.5728 * CHOOSE(CONTROL!$C$32, $C$9, 100%, $E$9)</f>
        <v>22.572800000000001</v>
      </c>
      <c r="I675" s="81">
        <f>22.5764 * CHOOSE(CONTROL!$C$32, $C$9, 100%, $E$9)</f>
        <v>22.5764</v>
      </c>
      <c r="J675" s="81">
        <f>22.5728 * CHOOSE(CONTROL!$C$32, $C$9, 100%, $E$9)</f>
        <v>22.572800000000001</v>
      </c>
      <c r="K675" s="81">
        <f>22.5764 * CHOOSE(CONTROL!$C$32, $C$9, 100%, $E$9)</f>
        <v>22.5764</v>
      </c>
      <c r="L675" s="81">
        <f>10.8741 * CHOOSE(CONTROL!$C$32, $C$9, 100%, $E$9)</f>
        <v>10.8741</v>
      </c>
      <c r="M675" s="81">
        <f>10.8777 * CHOOSE(CONTROL!$C$32, $C$9, 100%, $E$9)</f>
        <v>10.877700000000001</v>
      </c>
      <c r="N675" s="81">
        <f>10.8741 * CHOOSE(CONTROL!$C$32, $C$9, 100%, $E$9)</f>
        <v>10.8741</v>
      </c>
      <c r="O675" s="81">
        <f>10.8777 * CHOOSE(CONTROL!$C$32, $C$9, 100%, $E$9)</f>
        <v>10.877700000000001</v>
      </c>
    </row>
    <row r="676" spans="1:15" ht="15" x14ac:dyDescent="0.2">
      <c r="A676" s="16">
        <v>61788</v>
      </c>
      <c r="B676" s="80">
        <f>9.9376 * CHOOSE(CONTROL!$C$32, $C$9, 100%, $E$9)</f>
        <v>9.9375999999999998</v>
      </c>
      <c r="C676" s="80">
        <f>9.9376 * CHOOSE(CONTROL!$C$32, $C$9, 100%, $E$9)</f>
        <v>9.9375999999999998</v>
      </c>
      <c r="D676" s="80">
        <f>9.9387 * CHOOSE(CONTROL!$C$32, $C$9, 100%, $E$9)</f>
        <v>9.9387000000000008</v>
      </c>
      <c r="E676" s="81">
        <f>11.0941 * CHOOSE(CONTROL!$C$32, $C$9, 100%, $E$9)</f>
        <v>11.094099999999999</v>
      </c>
      <c r="F676" s="81">
        <f>11.0941 * CHOOSE(CONTROL!$C$32, $C$9, 100%, $E$9)</f>
        <v>11.094099999999999</v>
      </c>
      <c r="G676" s="81">
        <f>11.0977 * CHOOSE(CONTROL!$C$32, $C$9, 100%, $E$9)</f>
        <v>11.0977</v>
      </c>
      <c r="H676" s="81">
        <f>22.6198 * CHOOSE(CONTROL!$C$32, $C$9, 100%, $E$9)</f>
        <v>22.619800000000001</v>
      </c>
      <c r="I676" s="81">
        <f>22.6234 * CHOOSE(CONTROL!$C$32, $C$9, 100%, $E$9)</f>
        <v>22.6234</v>
      </c>
      <c r="J676" s="81">
        <f>22.6198 * CHOOSE(CONTROL!$C$32, $C$9, 100%, $E$9)</f>
        <v>22.619800000000001</v>
      </c>
      <c r="K676" s="81">
        <f>22.6234 * CHOOSE(CONTROL!$C$32, $C$9, 100%, $E$9)</f>
        <v>22.6234</v>
      </c>
      <c r="L676" s="81">
        <f>11.0941 * CHOOSE(CONTROL!$C$32, $C$9, 100%, $E$9)</f>
        <v>11.094099999999999</v>
      </c>
      <c r="M676" s="81">
        <f>11.0977 * CHOOSE(CONTROL!$C$32, $C$9, 100%, $E$9)</f>
        <v>11.0977</v>
      </c>
      <c r="N676" s="81">
        <f>11.0941 * CHOOSE(CONTROL!$C$32, $C$9, 100%, $E$9)</f>
        <v>11.094099999999999</v>
      </c>
      <c r="O676" s="81">
        <f>11.0977 * CHOOSE(CONTROL!$C$32, $C$9, 100%, $E$9)</f>
        <v>11.0977</v>
      </c>
    </row>
    <row r="677" spans="1:15" ht="15" x14ac:dyDescent="0.2">
      <c r="A677" s="16">
        <v>61819</v>
      </c>
      <c r="B677" s="80">
        <f>9.941 * CHOOSE(CONTROL!$C$32, $C$9, 100%, $E$9)</f>
        <v>9.9410000000000007</v>
      </c>
      <c r="C677" s="80">
        <f>9.941 * CHOOSE(CONTROL!$C$32, $C$9, 100%, $E$9)</f>
        <v>9.9410000000000007</v>
      </c>
      <c r="D677" s="80">
        <f>9.9421 * CHOOSE(CONTROL!$C$32, $C$9, 100%, $E$9)</f>
        <v>9.9420999999999999</v>
      </c>
      <c r="E677" s="81">
        <f>11.3285 * CHOOSE(CONTROL!$C$32, $C$9, 100%, $E$9)</f>
        <v>11.3285</v>
      </c>
      <c r="F677" s="81">
        <f>11.3285 * CHOOSE(CONTROL!$C$32, $C$9, 100%, $E$9)</f>
        <v>11.3285</v>
      </c>
      <c r="G677" s="81">
        <f>11.3321 * CHOOSE(CONTROL!$C$32, $C$9, 100%, $E$9)</f>
        <v>11.332100000000001</v>
      </c>
      <c r="H677" s="81">
        <f>22.6669 * CHOOSE(CONTROL!$C$32, $C$9, 100%, $E$9)</f>
        <v>22.666899999999998</v>
      </c>
      <c r="I677" s="81">
        <f>22.6705 * CHOOSE(CONTROL!$C$32, $C$9, 100%, $E$9)</f>
        <v>22.670500000000001</v>
      </c>
      <c r="J677" s="81">
        <f>22.6669 * CHOOSE(CONTROL!$C$32, $C$9, 100%, $E$9)</f>
        <v>22.666899999999998</v>
      </c>
      <c r="K677" s="81">
        <f>22.6705 * CHOOSE(CONTROL!$C$32, $C$9, 100%, $E$9)</f>
        <v>22.670500000000001</v>
      </c>
      <c r="L677" s="81">
        <f>11.3285 * CHOOSE(CONTROL!$C$32, $C$9, 100%, $E$9)</f>
        <v>11.3285</v>
      </c>
      <c r="M677" s="81">
        <f>11.3321 * CHOOSE(CONTROL!$C$32, $C$9, 100%, $E$9)</f>
        <v>11.332100000000001</v>
      </c>
      <c r="N677" s="81">
        <f>11.3285 * CHOOSE(CONTROL!$C$32, $C$9, 100%, $E$9)</f>
        <v>11.3285</v>
      </c>
      <c r="O677" s="81">
        <f>11.3321 * CHOOSE(CONTROL!$C$32, $C$9, 100%, $E$9)</f>
        <v>11.332100000000001</v>
      </c>
    </row>
    <row r="678" spans="1:15" ht="15" x14ac:dyDescent="0.2">
      <c r="A678" s="16">
        <v>61849</v>
      </c>
      <c r="B678" s="80">
        <f>9.941 * CHOOSE(CONTROL!$C$32, $C$9, 100%, $E$9)</f>
        <v>9.9410000000000007</v>
      </c>
      <c r="C678" s="80">
        <f>9.941 * CHOOSE(CONTROL!$C$32, $C$9, 100%, $E$9)</f>
        <v>9.9410000000000007</v>
      </c>
      <c r="D678" s="80">
        <f>9.9426 * CHOOSE(CONTROL!$C$32, $C$9, 100%, $E$9)</f>
        <v>9.9426000000000005</v>
      </c>
      <c r="E678" s="81">
        <f>11.418 * CHOOSE(CONTROL!$C$32, $C$9, 100%, $E$9)</f>
        <v>11.417999999999999</v>
      </c>
      <c r="F678" s="81">
        <f>11.418 * CHOOSE(CONTROL!$C$32, $C$9, 100%, $E$9)</f>
        <v>11.417999999999999</v>
      </c>
      <c r="G678" s="81">
        <f>11.4233 * CHOOSE(CONTROL!$C$32, $C$9, 100%, $E$9)</f>
        <v>11.423299999999999</v>
      </c>
      <c r="H678" s="81">
        <f>22.7141 * CHOOSE(CONTROL!$C$32, $C$9, 100%, $E$9)</f>
        <v>22.714099999999998</v>
      </c>
      <c r="I678" s="81">
        <f>22.7194 * CHOOSE(CONTROL!$C$32, $C$9, 100%, $E$9)</f>
        <v>22.7194</v>
      </c>
      <c r="J678" s="81">
        <f>22.7141 * CHOOSE(CONTROL!$C$32, $C$9, 100%, $E$9)</f>
        <v>22.714099999999998</v>
      </c>
      <c r="K678" s="81">
        <f>22.7194 * CHOOSE(CONTROL!$C$32, $C$9, 100%, $E$9)</f>
        <v>22.7194</v>
      </c>
      <c r="L678" s="81">
        <f>11.418 * CHOOSE(CONTROL!$C$32, $C$9, 100%, $E$9)</f>
        <v>11.417999999999999</v>
      </c>
      <c r="M678" s="81">
        <f>11.4233 * CHOOSE(CONTROL!$C$32, $C$9, 100%, $E$9)</f>
        <v>11.423299999999999</v>
      </c>
      <c r="N678" s="81">
        <f>11.418 * CHOOSE(CONTROL!$C$32, $C$9, 100%, $E$9)</f>
        <v>11.417999999999999</v>
      </c>
      <c r="O678" s="81">
        <f>11.4233 * CHOOSE(CONTROL!$C$32, $C$9, 100%, $E$9)</f>
        <v>11.423299999999999</v>
      </c>
    </row>
    <row r="679" spans="1:15" ht="15" x14ac:dyDescent="0.2">
      <c r="A679" s="16">
        <v>61880</v>
      </c>
      <c r="B679" s="80">
        <f>9.9471 * CHOOSE(CONTROL!$C$32, $C$9, 100%, $E$9)</f>
        <v>9.9471000000000007</v>
      </c>
      <c r="C679" s="80">
        <f>9.9471 * CHOOSE(CONTROL!$C$32, $C$9, 100%, $E$9)</f>
        <v>9.9471000000000007</v>
      </c>
      <c r="D679" s="80">
        <f>9.9487 * CHOOSE(CONTROL!$C$32, $C$9, 100%, $E$9)</f>
        <v>9.9487000000000005</v>
      </c>
      <c r="E679" s="81">
        <f>11.3327 * CHOOSE(CONTROL!$C$32, $C$9, 100%, $E$9)</f>
        <v>11.332700000000001</v>
      </c>
      <c r="F679" s="81">
        <f>11.3327 * CHOOSE(CONTROL!$C$32, $C$9, 100%, $E$9)</f>
        <v>11.332700000000001</v>
      </c>
      <c r="G679" s="81">
        <f>11.338 * CHOOSE(CONTROL!$C$32, $C$9, 100%, $E$9)</f>
        <v>11.337999999999999</v>
      </c>
      <c r="H679" s="81">
        <f>22.7614 * CHOOSE(CONTROL!$C$32, $C$9, 100%, $E$9)</f>
        <v>22.761399999999998</v>
      </c>
      <c r="I679" s="81">
        <f>22.7667 * CHOOSE(CONTROL!$C$32, $C$9, 100%, $E$9)</f>
        <v>22.7667</v>
      </c>
      <c r="J679" s="81">
        <f>22.7614 * CHOOSE(CONTROL!$C$32, $C$9, 100%, $E$9)</f>
        <v>22.761399999999998</v>
      </c>
      <c r="K679" s="81">
        <f>22.7667 * CHOOSE(CONTROL!$C$32, $C$9, 100%, $E$9)</f>
        <v>22.7667</v>
      </c>
      <c r="L679" s="81">
        <f>11.3327 * CHOOSE(CONTROL!$C$32, $C$9, 100%, $E$9)</f>
        <v>11.332700000000001</v>
      </c>
      <c r="M679" s="81">
        <f>11.338 * CHOOSE(CONTROL!$C$32, $C$9, 100%, $E$9)</f>
        <v>11.337999999999999</v>
      </c>
      <c r="N679" s="81">
        <f>11.3327 * CHOOSE(CONTROL!$C$32, $C$9, 100%, $E$9)</f>
        <v>11.332700000000001</v>
      </c>
      <c r="O679" s="81">
        <f>11.338 * CHOOSE(CONTROL!$C$32, $C$9, 100%, $E$9)</f>
        <v>11.337999999999999</v>
      </c>
    </row>
    <row r="680" spans="1:15" ht="15" x14ac:dyDescent="0.2">
      <c r="A680" s="16">
        <v>61910</v>
      </c>
      <c r="B680" s="80">
        <f>10.0709 * CHOOSE(CONTROL!$C$32, $C$9, 100%, $E$9)</f>
        <v>10.0709</v>
      </c>
      <c r="C680" s="80">
        <f>10.0709 * CHOOSE(CONTROL!$C$32, $C$9, 100%, $E$9)</f>
        <v>10.0709</v>
      </c>
      <c r="D680" s="80">
        <f>10.0725 * CHOOSE(CONTROL!$C$32, $C$9, 100%, $E$9)</f>
        <v>10.0725</v>
      </c>
      <c r="E680" s="81">
        <f>11.4915 * CHOOSE(CONTROL!$C$32, $C$9, 100%, $E$9)</f>
        <v>11.4915</v>
      </c>
      <c r="F680" s="81">
        <f>11.4915 * CHOOSE(CONTROL!$C$32, $C$9, 100%, $E$9)</f>
        <v>11.4915</v>
      </c>
      <c r="G680" s="81">
        <f>11.4968 * CHOOSE(CONTROL!$C$32, $C$9, 100%, $E$9)</f>
        <v>11.4968</v>
      </c>
      <c r="H680" s="81">
        <f>22.8089 * CHOOSE(CONTROL!$C$32, $C$9, 100%, $E$9)</f>
        <v>22.808900000000001</v>
      </c>
      <c r="I680" s="81">
        <f>22.8142 * CHOOSE(CONTROL!$C$32, $C$9, 100%, $E$9)</f>
        <v>22.8142</v>
      </c>
      <c r="J680" s="81">
        <f>22.8089 * CHOOSE(CONTROL!$C$32, $C$9, 100%, $E$9)</f>
        <v>22.808900000000001</v>
      </c>
      <c r="K680" s="81">
        <f>22.8142 * CHOOSE(CONTROL!$C$32, $C$9, 100%, $E$9)</f>
        <v>22.8142</v>
      </c>
      <c r="L680" s="81">
        <f>11.4915 * CHOOSE(CONTROL!$C$32, $C$9, 100%, $E$9)</f>
        <v>11.4915</v>
      </c>
      <c r="M680" s="81">
        <f>11.4968 * CHOOSE(CONTROL!$C$32, $C$9, 100%, $E$9)</f>
        <v>11.4968</v>
      </c>
      <c r="N680" s="81">
        <f>11.4915 * CHOOSE(CONTROL!$C$32, $C$9, 100%, $E$9)</f>
        <v>11.4915</v>
      </c>
      <c r="O680" s="81">
        <f>11.4968 * CHOOSE(CONTROL!$C$32, $C$9, 100%, $E$9)</f>
        <v>11.4968</v>
      </c>
    </row>
    <row r="681" spans="1:15" ht="15" x14ac:dyDescent="0.2">
      <c r="A681" s="16">
        <v>61941</v>
      </c>
      <c r="B681" s="80">
        <f>10.0776 * CHOOSE(CONTROL!$C$32, $C$9, 100%, $E$9)</f>
        <v>10.0776</v>
      </c>
      <c r="C681" s="80">
        <f>10.0776 * CHOOSE(CONTROL!$C$32, $C$9, 100%, $E$9)</f>
        <v>10.0776</v>
      </c>
      <c r="D681" s="80">
        <f>10.0792 * CHOOSE(CONTROL!$C$32, $C$9, 100%, $E$9)</f>
        <v>10.0792</v>
      </c>
      <c r="E681" s="81">
        <f>11.2277 * CHOOSE(CONTROL!$C$32, $C$9, 100%, $E$9)</f>
        <v>11.2277</v>
      </c>
      <c r="F681" s="81">
        <f>11.2277 * CHOOSE(CONTROL!$C$32, $C$9, 100%, $E$9)</f>
        <v>11.2277</v>
      </c>
      <c r="G681" s="81">
        <f>11.233 * CHOOSE(CONTROL!$C$32, $C$9, 100%, $E$9)</f>
        <v>11.233000000000001</v>
      </c>
      <c r="H681" s="81">
        <f>22.8564 * CHOOSE(CONTROL!$C$32, $C$9, 100%, $E$9)</f>
        <v>22.856400000000001</v>
      </c>
      <c r="I681" s="81">
        <f>22.8617 * CHOOSE(CONTROL!$C$32, $C$9, 100%, $E$9)</f>
        <v>22.861699999999999</v>
      </c>
      <c r="J681" s="81">
        <f>22.8564 * CHOOSE(CONTROL!$C$32, $C$9, 100%, $E$9)</f>
        <v>22.856400000000001</v>
      </c>
      <c r="K681" s="81">
        <f>22.8617 * CHOOSE(CONTROL!$C$32, $C$9, 100%, $E$9)</f>
        <v>22.861699999999999</v>
      </c>
      <c r="L681" s="81">
        <f>11.2277 * CHOOSE(CONTROL!$C$32, $C$9, 100%, $E$9)</f>
        <v>11.2277</v>
      </c>
      <c r="M681" s="81">
        <f>11.233 * CHOOSE(CONTROL!$C$32, $C$9, 100%, $E$9)</f>
        <v>11.233000000000001</v>
      </c>
      <c r="N681" s="81">
        <f>11.2277 * CHOOSE(CONTROL!$C$32, $C$9, 100%, $E$9)</f>
        <v>11.2277</v>
      </c>
      <c r="O681" s="81">
        <f>11.233 * CHOOSE(CONTROL!$C$32, $C$9, 100%, $E$9)</f>
        <v>11.233000000000001</v>
      </c>
    </row>
    <row r="682" spans="1:15" ht="15" x14ac:dyDescent="0.2">
      <c r="A682" s="16">
        <v>61972</v>
      </c>
      <c r="B682" s="80">
        <f>10.0746 * CHOOSE(CONTROL!$C$32, $C$9, 100%, $E$9)</f>
        <v>10.0746</v>
      </c>
      <c r="C682" s="80">
        <f>10.0746 * CHOOSE(CONTROL!$C$32, $C$9, 100%, $E$9)</f>
        <v>10.0746</v>
      </c>
      <c r="D682" s="80">
        <f>10.0761 * CHOOSE(CONTROL!$C$32, $C$9, 100%, $E$9)</f>
        <v>10.0761</v>
      </c>
      <c r="E682" s="81">
        <f>11.1958 * CHOOSE(CONTROL!$C$32, $C$9, 100%, $E$9)</f>
        <v>11.1958</v>
      </c>
      <c r="F682" s="81">
        <f>11.1958 * CHOOSE(CONTROL!$C$32, $C$9, 100%, $E$9)</f>
        <v>11.1958</v>
      </c>
      <c r="G682" s="81">
        <f>11.2011 * CHOOSE(CONTROL!$C$32, $C$9, 100%, $E$9)</f>
        <v>11.2011</v>
      </c>
      <c r="H682" s="81">
        <f>22.904 * CHOOSE(CONTROL!$C$32, $C$9, 100%, $E$9)</f>
        <v>22.904</v>
      </c>
      <c r="I682" s="81">
        <f>22.9093 * CHOOSE(CONTROL!$C$32, $C$9, 100%, $E$9)</f>
        <v>22.909300000000002</v>
      </c>
      <c r="J682" s="81">
        <f>22.904 * CHOOSE(CONTROL!$C$32, $C$9, 100%, $E$9)</f>
        <v>22.904</v>
      </c>
      <c r="K682" s="81">
        <f>22.9093 * CHOOSE(CONTROL!$C$32, $C$9, 100%, $E$9)</f>
        <v>22.909300000000002</v>
      </c>
      <c r="L682" s="81">
        <f>11.1958 * CHOOSE(CONTROL!$C$32, $C$9, 100%, $E$9)</f>
        <v>11.1958</v>
      </c>
      <c r="M682" s="81">
        <f>11.2011 * CHOOSE(CONTROL!$C$32, $C$9, 100%, $E$9)</f>
        <v>11.2011</v>
      </c>
      <c r="N682" s="81">
        <f>11.1958 * CHOOSE(CONTROL!$C$32, $C$9, 100%, $E$9)</f>
        <v>11.1958</v>
      </c>
      <c r="O682" s="81">
        <f>11.2011 * CHOOSE(CONTROL!$C$32, $C$9, 100%, $E$9)</f>
        <v>11.2011</v>
      </c>
    </row>
    <row r="683" spans="1:15" ht="15" x14ac:dyDescent="0.2">
      <c r="A683" s="16">
        <v>62002</v>
      </c>
      <c r="B683" s="80">
        <f>10.0923 * CHOOSE(CONTROL!$C$32, $C$9, 100%, $E$9)</f>
        <v>10.0923</v>
      </c>
      <c r="C683" s="80">
        <f>10.0923 * CHOOSE(CONTROL!$C$32, $C$9, 100%, $E$9)</f>
        <v>10.0923</v>
      </c>
      <c r="D683" s="80">
        <f>10.0934 * CHOOSE(CONTROL!$C$32, $C$9, 100%, $E$9)</f>
        <v>10.093400000000001</v>
      </c>
      <c r="E683" s="81">
        <f>11.3017 * CHOOSE(CONTROL!$C$32, $C$9, 100%, $E$9)</f>
        <v>11.3017</v>
      </c>
      <c r="F683" s="81">
        <f>11.3017 * CHOOSE(CONTROL!$C$32, $C$9, 100%, $E$9)</f>
        <v>11.3017</v>
      </c>
      <c r="G683" s="81">
        <f>11.3053 * CHOOSE(CONTROL!$C$32, $C$9, 100%, $E$9)</f>
        <v>11.305300000000001</v>
      </c>
      <c r="H683" s="81">
        <f>22.9517 * CHOOSE(CONTROL!$C$32, $C$9, 100%, $E$9)</f>
        <v>22.951699999999999</v>
      </c>
      <c r="I683" s="81">
        <f>22.9553 * CHOOSE(CONTROL!$C$32, $C$9, 100%, $E$9)</f>
        <v>22.955300000000001</v>
      </c>
      <c r="J683" s="81">
        <f>22.9517 * CHOOSE(CONTROL!$C$32, $C$9, 100%, $E$9)</f>
        <v>22.951699999999999</v>
      </c>
      <c r="K683" s="81">
        <f>22.9553 * CHOOSE(CONTROL!$C$32, $C$9, 100%, $E$9)</f>
        <v>22.955300000000001</v>
      </c>
      <c r="L683" s="81">
        <f>11.3017 * CHOOSE(CONTROL!$C$32, $C$9, 100%, $E$9)</f>
        <v>11.3017</v>
      </c>
      <c r="M683" s="81">
        <f>11.3053 * CHOOSE(CONTROL!$C$32, $C$9, 100%, $E$9)</f>
        <v>11.305300000000001</v>
      </c>
      <c r="N683" s="81">
        <f>11.3017 * CHOOSE(CONTROL!$C$32, $C$9, 100%, $E$9)</f>
        <v>11.3017</v>
      </c>
      <c r="O683" s="81">
        <f>11.3053 * CHOOSE(CONTROL!$C$32, $C$9, 100%, $E$9)</f>
        <v>11.305300000000001</v>
      </c>
    </row>
    <row r="684" spans="1:15" ht="15" x14ac:dyDescent="0.2">
      <c r="A684" s="16">
        <v>62033</v>
      </c>
      <c r="B684" s="80">
        <f>10.0953 * CHOOSE(CONTROL!$C$32, $C$9, 100%, $E$9)</f>
        <v>10.0953</v>
      </c>
      <c r="C684" s="80">
        <f>10.0953 * CHOOSE(CONTROL!$C$32, $C$9, 100%, $E$9)</f>
        <v>10.0953</v>
      </c>
      <c r="D684" s="80">
        <f>10.0964 * CHOOSE(CONTROL!$C$32, $C$9, 100%, $E$9)</f>
        <v>10.096399999999999</v>
      </c>
      <c r="E684" s="81">
        <f>11.3634 * CHOOSE(CONTROL!$C$32, $C$9, 100%, $E$9)</f>
        <v>11.3634</v>
      </c>
      <c r="F684" s="81">
        <f>11.3634 * CHOOSE(CONTROL!$C$32, $C$9, 100%, $E$9)</f>
        <v>11.3634</v>
      </c>
      <c r="G684" s="81">
        <f>11.3671 * CHOOSE(CONTROL!$C$32, $C$9, 100%, $E$9)</f>
        <v>11.367100000000001</v>
      </c>
      <c r="H684" s="81">
        <f>22.9995 * CHOOSE(CONTROL!$C$32, $C$9, 100%, $E$9)</f>
        <v>22.999500000000001</v>
      </c>
      <c r="I684" s="81">
        <f>23.0032 * CHOOSE(CONTROL!$C$32, $C$9, 100%, $E$9)</f>
        <v>23.0032</v>
      </c>
      <c r="J684" s="81">
        <f>22.9995 * CHOOSE(CONTROL!$C$32, $C$9, 100%, $E$9)</f>
        <v>22.999500000000001</v>
      </c>
      <c r="K684" s="81">
        <f>23.0032 * CHOOSE(CONTROL!$C$32, $C$9, 100%, $E$9)</f>
        <v>23.0032</v>
      </c>
      <c r="L684" s="81">
        <f>11.3634 * CHOOSE(CONTROL!$C$32, $C$9, 100%, $E$9)</f>
        <v>11.3634</v>
      </c>
      <c r="M684" s="81">
        <f>11.3671 * CHOOSE(CONTROL!$C$32, $C$9, 100%, $E$9)</f>
        <v>11.367100000000001</v>
      </c>
      <c r="N684" s="81">
        <f>11.3634 * CHOOSE(CONTROL!$C$32, $C$9, 100%, $E$9)</f>
        <v>11.3634</v>
      </c>
      <c r="O684" s="81">
        <f>11.3671 * CHOOSE(CONTROL!$C$32, $C$9, 100%, $E$9)</f>
        <v>11.367100000000001</v>
      </c>
    </row>
    <row r="685" spans="1:15" ht="15" x14ac:dyDescent="0.2">
      <c r="A685" s="16">
        <v>62063</v>
      </c>
      <c r="B685" s="80">
        <f>10.0953 * CHOOSE(CONTROL!$C$32, $C$9, 100%, $E$9)</f>
        <v>10.0953</v>
      </c>
      <c r="C685" s="80">
        <f>10.0953 * CHOOSE(CONTROL!$C$32, $C$9, 100%, $E$9)</f>
        <v>10.0953</v>
      </c>
      <c r="D685" s="80">
        <f>10.0964 * CHOOSE(CONTROL!$C$32, $C$9, 100%, $E$9)</f>
        <v>10.096399999999999</v>
      </c>
      <c r="E685" s="81">
        <f>11.2143 * CHOOSE(CONTROL!$C$32, $C$9, 100%, $E$9)</f>
        <v>11.2143</v>
      </c>
      <c r="F685" s="81">
        <f>11.2143 * CHOOSE(CONTROL!$C$32, $C$9, 100%, $E$9)</f>
        <v>11.2143</v>
      </c>
      <c r="G685" s="81">
        <f>11.2179 * CHOOSE(CONTROL!$C$32, $C$9, 100%, $E$9)</f>
        <v>11.2179</v>
      </c>
      <c r="H685" s="81">
        <f>23.0475 * CHOOSE(CONTROL!$C$32, $C$9, 100%, $E$9)</f>
        <v>23.047499999999999</v>
      </c>
      <c r="I685" s="81">
        <f>23.0511 * CHOOSE(CONTROL!$C$32, $C$9, 100%, $E$9)</f>
        <v>23.051100000000002</v>
      </c>
      <c r="J685" s="81">
        <f>23.0475 * CHOOSE(CONTROL!$C$32, $C$9, 100%, $E$9)</f>
        <v>23.047499999999999</v>
      </c>
      <c r="K685" s="81">
        <f>23.0511 * CHOOSE(CONTROL!$C$32, $C$9, 100%, $E$9)</f>
        <v>23.051100000000002</v>
      </c>
      <c r="L685" s="81">
        <f>11.2143 * CHOOSE(CONTROL!$C$32, $C$9, 100%, $E$9)</f>
        <v>11.2143</v>
      </c>
      <c r="M685" s="81">
        <f>11.2179 * CHOOSE(CONTROL!$C$32, $C$9, 100%, $E$9)</f>
        <v>11.2179</v>
      </c>
      <c r="N685" s="81">
        <f>11.2143 * CHOOSE(CONTROL!$C$32, $C$9, 100%, $E$9)</f>
        <v>11.2143</v>
      </c>
      <c r="O685" s="81">
        <f>11.2179 * CHOOSE(CONTROL!$C$32, $C$9, 100%, $E$9)</f>
        <v>11.2179</v>
      </c>
    </row>
    <row r="686" spans="1:15" ht="15" x14ac:dyDescent="0.2">
      <c r="A686" s="16">
        <v>62094</v>
      </c>
      <c r="B686" s="80">
        <f>10.1311 * CHOOSE(CONTROL!$C$32, $C$9, 100%, $E$9)</f>
        <v>10.1311</v>
      </c>
      <c r="C686" s="80">
        <f>10.1311 * CHOOSE(CONTROL!$C$32, $C$9, 100%, $E$9)</f>
        <v>10.1311</v>
      </c>
      <c r="D686" s="80">
        <f>10.1321 * CHOOSE(CONTROL!$C$32, $C$9, 100%, $E$9)</f>
        <v>10.132099999999999</v>
      </c>
      <c r="E686" s="81">
        <f>11.3705 * CHOOSE(CONTROL!$C$32, $C$9, 100%, $E$9)</f>
        <v>11.3705</v>
      </c>
      <c r="F686" s="81">
        <f>11.3705 * CHOOSE(CONTROL!$C$32, $C$9, 100%, $E$9)</f>
        <v>11.3705</v>
      </c>
      <c r="G686" s="81">
        <f>11.3741 * CHOOSE(CONTROL!$C$32, $C$9, 100%, $E$9)</f>
        <v>11.3741</v>
      </c>
      <c r="H686" s="81">
        <f>22.9899 * CHOOSE(CONTROL!$C$32, $C$9, 100%, $E$9)</f>
        <v>22.989899999999999</v>
      </c>
      <c r="I686" s="81">
        <f>22.9935 * CHOOSE(CONTROL!$C$32, $C$9, 100%, $E$9)</f>
        <v>22.993500000000001</v>
      </c>
      <c r="J686" s="81">
        <f>22.9899 * CHOOSE(CONTROL!$C$32, $C$9, 100%, $E$9)</f>
        <v>22.989899999999999</v>
      </c>
      <c r="K686" s="81">
        <f>22.9935 * CHOOSE(CONTROL!$C$32, $C$9, 100%, $E$9)</f>
        <v>22.993500000000001</v>
      </c>
      <c r="L686" s="81">
        <f>11.3705 * CHOOSE(CONTROL!$C$32, $C$9, 100%, $E$9)</f>
        <v>11.3705</v>
      </c>
      <c r="M686" s="81">
        <f>11.3741 * CHOOSE(CONTROL!$C$32, $C$9, 100%, $E$9)</f>
        <v>11.3741</v>
      </c>
      <c r="N686" s="81">
        <f>11.3705 * CHOOSE(CONTROL!$C$32, $C$9, 100%, $E$9)</f>
        <v>11.3705</v>
      </c>
      <c r="O686" s="81">
        <f>11.3741 * CHOOSE(CONTROL!$C$32, $C$9, 100%, $E$9)</f>
        <v>11.3741</v>
      </c>
    </row>
    <row r="687" spans="1:15" ht="15" x14ac:dyDescent="0.2">
      <c r="A687" s="16">
        <v>62125</v>
      </c>
      <c r="B687" s="80">
        <f>10.128 * CHOOSE(CONTROL!$C$32, $C$9, 100%, $E$9)</f>
        <v>10.128</v>
      </c>
      <c r="C687" s="80">
        <f>10.128 * CHOOSE(CONTROL!$C$32, $C$9, 100%, $E$9)</f>
        <v>10.128</v>
      </c>
      <c r="D687" s="80">
        <f>10.1291 * CHOOSE(CONTROL!$C$32, $C$9, 100%, $E$9)</f>
        <v>10.129099999999999</v>
      </c>
      <c r="E687" s="81">
        <f>11.0795 * CHOOSE(CONTROL!$C$32, $C$9, 100%, $E$9)</f>
        <v>11.079499999999999</v>
      </c>
      <c r="F687" s="81">
        <f>11.0795 * CHOOSE(CONTROL!$C$32, $C$9, 100%, $E$9)</f>
        <v>11.079499999999999</v>
      </c>
      <c r="G687" s="81">
        <f>11.0831 * CHOOSE(CONTROL!$C$32, $C$9, 100%, $E$9)</f>
        <v>11.0831</v>
      </c>
      <c r="H687" s="81">
        <f>23.0378 * CHOOSE(CONTROL!$C$32, $C$9, 100%, $E$9)</f>
        <v>23.037800000000001</v>
      </c>
      <c r="I687" s="81">
        <f>23.0414 * CHOOSE(CONTROL!$C$32, $C$9, 100%, $E$9)</f>
        <v>23.041399999999999</v>
      </c>
      <c r="J687" s="81">
        <f>23.0378 * CHOOSE(CONTROL!$C$32, $C$9, 100%, $E$9)</f>
        <v>23.037800000000001</v>
      </c>
      <c r="K687" s="81">
        <f>23.0414 * CHOOSE(CONTROL!$C$32, $C$9, 100%, $E$9)</f>
        <v>23.041399999999999</v>
      </c>
      <c r="L687" s="81">
        <f>11.0795 * CHOOSE(CONTROL!$C$32, $C$9, 100%, $E$9)</f>
        <v>11.079499999999999</v>
      </c>
      <c r="M687" s="81">
        <f>11.0831 * CHOOSE(CONTROL!$C$32, $C$9, 100%, $E$9)</f>
        <v>11.0831</v>
      </c>
      <c r="N687" s="81">
        <f>11.0795 * CHOOSE(CONTROL!$C$32, $C$9, 100%, $E$9)</f>
        <v>11.079499999999999</v>
      </c>
      <c r="O687" s="81">
        <f>11.0831 * CHOOSE(CONTROL!$C$32, $C$9, 100%, $E$9)</f>
        <v>11.0831</v>
      </c>
    </row>
    <row r="688" spans="1:15" ht="15" x14ac:dyDescent="0.2">
      <c r="A688" s="16">
        <v>62153</v>
      </c>
      <c r="B688" s="80">
        <f>10.125 * CHOOSE(CONTROL!$C$32, $C$9, 100%, $E$9)</f>
        <v>10.125</v>
      </c>
      <c r="C688" s="80">
        <f>10.125 * CHOOSE(CONTROL!$C$32, $C$9, 100%, $E$9)</f>
        <v>10.125</v>
      </c>
      <c r="D688" s="80">
        <f>10.1261 * CHOOSE(CONTROL!$C$32, $C$9, 100%, $E$9)</f>
        <v>10.126099999999999</v>
      </c>
      <c r="E688" s="81">
        <f>11.3051 * CHOOSE(CONTROL!$C$32, $C$9, 100%, $E$9)</f>
        <v>11.305099999999999</v>
      </c>
      <c r="F688" s="81">
        <f>11.3051 * CHOOSE(CONTROL!$C$32, $C$9, 100%, $E$9)</f>
        <v>11.305099999999999</v>
      </c>
      <c r="G688" s="81">
        <f>11.3087 * CHOOSE(CONTROL!$C$32, $C$9, 100%, $E$9)</f>
        <v>11.3087</v>
      </c>
      <c r="H688" s="81">
        <f>23.0857 * CHOOSE(CONTROL!$C$32, $C$9, 100%, $E$9)</f>
        <v>23.085699999999999</v>
      </c>
      <c r="I688" s="81">
        <f>23.0894 * CHOOSE(CONTROL!$C$32, $C$9, 100%, $E$9)</f>
        <v>23.089400000000001</v>
      </c>
      <c r="J688" s="81">
        <f>23.0857 * CHOOSE(CONTROL!$C$32, $C$9, 100%, $E$9)</f>
        <v>23.085699999999999</v>
      </c>
      <c r="K688" s="81">
        <f>23.0894 * CHOOSE(CONTROL!$C$32, $C$9, 100%, $E$9)</f>
        <v>23.089400000000001</v>
      </c>
      <c r="L688" s="81">
        <f>11.3051 * CHOOSE(CONTROL!$C$32, $C$9, 100%, $E$9)</f>
        <v>11.305099999999999</v>
      </c>
      <c r="M688" s="81">
        <f>11.3087 * CHOOSE(CONTROL!$C$32, $C$9, 100%, $E$9)</f>
        <v>11.3087</v>
      </c>
      <c r="N688" s="81">
        <f>11.3051 * CHOOSE(CONTROL!$C$32, $C$9, 100%, $E$9)</f>
        <v>11.305099999999999</v>
      </c>
      <c r="O688" s="81">
        <f>11.3087 * CHOOSE(CONTROL!$C$32, $C$9, 100%, $E$9)</f>
        <v>11.3087</v>
      </c>
    </row>
    <row r="689" spans="1:15" ht="15" x14ac:dyDescent="0.2">
      <c r="A689" s="16">
        <v>62184</v>
      </c>
      <c r="B689" s="80">
        <f>10.1286 * CHOOSE(CONTROL!$C$32, $C$9, 100%, $E$9)</f>
        <v>10.1286</v>
      </c>
      <c r="C689" s="80">
        <f>10.1286 * CHOOSE(CONTROL!$C$32, $C$9, 100%, $E$9)</f>
        <v>10.1286</v>
      </c>
      <c r="D689" s="80">
        <f>10.1297 * CHOOSE(CONTROL!$C$32, $C$9, 100%, $E$9)</f>
        <v>10.1297</v>
      </c>
      <c r="E689" s="81">
        <f>11.5455 * CHOOSE(CONTROL!$C$32, $C$9, 100%, $E$9)</f>
        <v>11.545500000000001</v>
      </c>
      <c r="F689" s="81">
        <f>11.5455 * CHOOSE(CONTROL!$C$32, $C$9, 100%, $E$9)</f>
        <v>11.545500000000001</v>
      </c>
      <c r="G689" s="81">
        <f>11.5491 * CHOOSE(CONTROL!$C$32, $C$9, 100%, $E$9)</f>
        <v>11.549099999999999</v>
      </c>
      <c r="H689" s="81">
        <f>23.1338 * CHOOSE(CONTROL!$C$32, $C$9, 100%, $E$9)</f>
        <v>23.133800000000001</v>
      </c>
      <c r="I689" s="81">
        <f>23.1375 * CHOOSE(CONTROL!$C$32, $C$9, 100%, $E$9)</f>
        <v>23.137499999999999</v>
      </c>
      <c r="J689" s="81">
        <f>23.1338 * CHOOSE(CONTROL!$C$32, $C$9, 100%, $E$9)</f>
        <v>23.133800000000001</v>
      </c>
      <c r="K689" s="81">
        <f>23.1375 * CHOOSE(CONTROL!$C$32, $C$9, 100%, $E$9)</f>
        <v>23.137499999999999</v>
      </c>
      <c r="L689" s="81">
        <f>11.5455 * CHOOSE(CONTROL!$C$32, $C$9, 100%, $E$9)</f>
        <v>11.545500000000001</v>
      </c>
      <c r="M689" s="81">
        <f>11.5491 * CHOOSE(CONTROL!$C$32, $C$9, 100%, $E$9)</f>
        <v>11.549099999999999</v>
      </c>
      <c r="N689" s="81">
        <f>11.5455 * CHOOSE(CONTROL!$C$32, $C$9, 100%, $E$9)</f>
        <v>11.545500000000001</v>
      </c>
      <c r="O689" s="81">
        <f>11.5491 * CHOOSE(CONTROL!$C$32, $C$9, 100%, $E$9)</f>
        <v>11.549099999999999</v>
      </c>
    </row>
    <row r="690" spans="1:15" ht="15" x14ac:dyDescent="0.2">
      <c r="A690" s="16">
        <v>62214</v>
      </c>
      <c r="B690" s="80">
        <f>10.1286 * CHOOSE(CONTROL!$C$32, $C$9, 100%, $E$9)</f>
        <v>10.1286</v>
      </c>
      <c r="C690" s="80">
        <f>10.1286 * CHOOSE(CONTROL!$C$32, $C$9, 100%, $E$9)</f>
        <v>10.1286</v>
      </c>
      <c r="D690" s="80">
        <f>10.1302 * CHOOSE(CONTROL!$C$32, $C$9, 100%, $E$9)</f>
        <v>10.1302</v>
      </c>
      <c r="E690" s="81">
        <f>11.6372 * CHOOSE(CONTROL!$C$32, $C$9, 100%, $E$9)</f>
        <v>11.6372</v>
      </c>
      <c r="F690" s="81">
        <f>11.6372 * CHOOSE(CONTROL!$C$32, $C$9, 100%, $E$9)</f>
        <v>11.6372</v>
      </c>
      <c r="G690" s="81">
        <f>11.6425 * CHOOSE(CONTROL!$C$32, $C$9, 100%, $E$9)</f>
        <v>11.6425</v>
      </c>
      <c r="H690" s="81">
        <f>23.182 * CHOOSE(CONTROL!$C$32, $C$9, 100%, $E$9)</f>
        <v>23.181999999999999</v>
      </c>
      <c r="I690" s="81">
        <f>23.1873 * CHOOSE(CONTROL!$C$32, $C$9, 100%, $E$9)</f>
        <v>23.1873</v>
      </c>
      <c r="J690" s="81">
        <f>23.182 * CHOOSE(CONTROL!$C$32, $C$9, 100%, $E$9)</f>
        <v>23.181999999999999</v>
      </c>
      <c r="K690" s="81">
        <f>23.1873 * CHOOSE(CONTROL!$C$32, $C$9, 100%, $E$9)</f>
        <v>23.1873</v>
      </c>
      <c r="L690" s="81">
        <f>11.6372 * CHOOSE(CONTROL!$C$32, $C$9, 100%, $E$9)</f>
        <v>11.6372</v>
      </c>
      <c r="M690" s="81">
        <f>11.6425 * CHOOSE(CONTROL!$C$32, $C$9, 100%, $E$9)</f>
        <v>11.6425</v>
      </c>
      <c r="N690" s="81">
        <f>11.6372 * CHOOSE(CONTROL!$C$32, $C$9, 100%, $E$9)</f>
        <v>11.6372</v>
      </c>
      <c r="O690" s="81">
        <f>11.6425 * CHOOSE(CONTROL!$C$32, $C$9, 100%, $E$9)</f>
        <v>11.6425</v>
      </c>
    </row>
    <row r="691" spans="1:15" ht="15" x14ac:dyDescent="0.2">
      <c r="A691" s="16">
        <v>62245</v>
      </c>
      <c r="B691" s="80">
        <f>10.1347 * CHOOSE(CONTROL!$C$32, $C$9, 100%, $E$9)</f>
        <v>10.1347</v>
      </c>
      <c r="C691" s="80">
        <f>10.1347 * CHOOSE(CONTROL!$C$32, $C$9, 100%, $E$9)</f>
        <v>10.1347</v>
      </c>
      <c r="D691" s="80">
        <f>10.1362 * CHOOSE(CONTROL!$C$32, $C$9, 100%, $E$9)</f>
        <v>10.136200000000001</v>
      </c>
      <c r="E691" s="81">
        <f>11.5497 * CHOOSE(CONTROL!$C$32, $C$9, 100%, $E$9)</f>
        <v>11.5497</v>
      </c>
      <c r="F691" s="81">
        <f>11.5497 * CHOOSE(CONTROL!$C$32, $C$9, 100%, $E$9)</f>
        <v>11.5497</v>
      </c>
      <c r="G691" s="81">
        <f>11.555 * CHOOSE(CONTROL!$C$32, $C$9, 100%, $E$9)</f>
        <v>11.555</v>
      </c>
      <c r="H691" s="81">
        <f>23.2303 * CHOOSE(CONTROL!$C$32, $C$9, 100%, $E$9)</f>
        <v>23.2303</v>
      </c>
      <c r="I691" s="81">
        <f>23.2356 * CHOOSE(CONTROL!$C$32, $C$9, 100%, $E$9)</f>
        <v>23.235600000000002</v>
      </c>
      <c r="J691" s="81">
        <f>23.2303 * CHOOSE(CONTROL!$C$32, $C$9, 100%, $E$9)</f>
        <v>23.2303</v>
      </c>
      <c r="K691" s="81">
        <f>23.2356 * CHOOSE(CONTROL!$C$32, $C$9, 100%, $E$9)</f>
        <v>23.235600000000002</v>
      </c>
      <c r="L691" s="81">
        <f>11.5497 * CHOOSE(CONTROL!$C$32, $C$9, 100%, $E$9)</f>
        <v>11.5497</v>
      </c>
      <c r="M691" s="81">
        <f>11.555 * CHOOSE(CONTROL!$C$32, $C$9, 100%, $E$9)</f>
        <v>11.555</v>
      </c>
      <c r="N691" s="81">
        <f>11.5497 * CHOOSE(CONTROL!$C$32, $C$9, 100%, $E$9)</f>
        <v>11.5497</v>
      </c>
      <c r="O691" s="81">
        <f>11.555 * CHOOSE(CONTROL!$C$32, $C$9, 100%, $E$9)</f>
        <v>11.555</v>
      </c>
    </row>
    <row r="692" spans="1:15" ht="15" x14ac:dyDescent="0.2">
      <c r="A692" s="16">
        <v>62275</v>
      </c>
      <c r="B692" s="80">
        <f>10.2605 * CHOOSE(CONTROL!$C$32, $C$9, 100%, $E$9)</f>
        <v>10.2605</v>
      </c>
      <c r="C692" s="80">
        <f>10.2605 * CHOOSE(CONTROL!$C$32, $C$9, 100%, $E$9)</f>
        <v>10.2605</v>
      </c>
      <c r="D692" s="80">
        <f>10.2621 * CHOOSE(CONTROL!$C$32, $C$9, 100%, $E$9)</f>
        <v>10.2621</v>
      </c>
      <c r="E692" s="81">
        <f>11.7117 * CHOOSE(CONTROL!$C$32, $C$9, 100%, $E$9)</f>
        <v>11.7117</v>
      </c>
      <c r="F692" s="81">
        <f>11.7117 * CHOOSE(CONTROL!$C$32, $C$9, 100%, $E$9)</f>
        <v>11.7117</v>
      </c>
      <c r="G692" s="81">
        <f>11.717 * CHOOSE(CONTROL!$C$32, $C$9, 100%, $E$9)</f>
        <v>11.717000000000001</v>
      </c>
      <c r="H692" s="81">
        <f>23.2787 * CHOOSE(CONTROL!$C$32, $C$9, 100%, $E$9)</f>
        <v>23.278700000000001</v>
      </c>
      <c r="I692" s="81">
        <f>23.284 * CHOOSE(CONTROL!$C$32, $C$9, 100%, $E$9)</f>
        <v>23.283999999999999</v>
      </c>
      <c r="J692" s="81">
        <f>23.2787 * CHOOSE(CONTROL!$C$32, $C$9, 100%, $E$9)</f>
        <v>23.278700000000001</v>
      </c>
      <c r="K692" s="81">
        <f>23.284 * CHOOSE(CONTROL!$C$32, $C$9, 100%, $E$9)</f>
        <v>23.283999999999999</v>
      </c>
      <c r="L692" s="81">
        <f>11.7117 * CHOOSE(CONTROL!$C$32, $C$9, 100%, $E$9)</f>
        <v>11.7117</v>
      </c>
      <c r="M692" s="81">
        <f>11.717 * CHOOSE(CONTROL!$C$32, $C$9, 100%, $E$9)</f>
        <v>11.717000000000001</v>
      </c>
      <c r="N692" s="81">
        <f>11.7117 * CHOOSE(CONTROL!$C$32, $C$9, 100%, $E$9)</f>
        <v>11.7117</v>
      </c>
      <c r="O692" s="81">
        <f>11.717 * CHOOSE(CONTROL!$C$32, $C$9, 100%, $E$9)</f>
        <v>11.717000000000001</v>
      </c>
    </row>
    <row r="693" spans="1:15" ht="15" x14ac:dyDescent="0.2">
      <c r="A693" s="16">
        <v>62306</v>
      </c>
      <c r="B693" s="80">
        <f>10.2672 * CHOOSE(CONTROL!$C$32, $C$9, 100%, $E$9)</f>
        <v>10.267200000000001</v>
      </c>
      <c r="C693" s="80">
        <f>10.2672 * CHOOSE(CONTROL!$C$32, $C$9, 100%, $E$9)</f>
        <v>10.267200000000001</v>
      </c>
      <c r="D693" s="80">
        <f>10.2688 * CHOOSE(CONTROL!$C$32, $C$9, 100%, $E$9)</f>
        <v>10.268800000000001</v>
      </c>
      <c r="E693" s="81">
        <f>11.4412 * CHOOSE(CONTROL!$C$32, $C$9, 100%, $E$9)</f>
        <v>11.4412</v>
      </c>
      <c r="F693" s="81">
        <f>11.4412 * CHOOSE(CONTROL!$C$32, $C$9, 100%, $E$9)</f>
        <v>11.4412</v>
      </c>
      <c r="G693" s="81">
        <f>11.4465 * CHOOSE(CONTROL!$C$32, $C$9, 100%, $E$9)</f>
        <v>11.4465</v>
      </c>
      <c r="H693" s="81">
        <f>23.3272 * CHOOSE(CONTROL!$C$32, $C$9, 100%, $E$9)</f>
        <v>23.327200000000001</v>
      </c>
      <c r="I693" s="81">
        <f>23.3325 * CHOOSE(CONTROL!$C$32, $C$9, 100%, $E$9)</f>
        <v>23.3325</v>
      </c>
      <c r="J693" s="81">
        <f>23.3272 * CHOOSE(CONTROL!$C$32, $C$9, 100%, $E$9)</f>
        <v>23.327200000000001</v>
      </c>
      <c r="K693" s="81">
        <f>23.3325 * CHOOSE(CONTROL!$C$32, $C$9, 100%, $E$9)</f>
        <v>23.3325</v>
      </c>
      <c r="L693" s="81">
        <f>11.4412 * CHOOSE(CONTROL!$C$32, $C$9, 100%, $E$9)</f>
        <v>11.4412</v>
      </c>
      <c r="M693" s="81">
        <f>11.4465 * CHOOSE(CONTROL!$C$32, $C$9, 100%, $E$9)</f>
        <v>11.4465</v>
      </c>
      <c r="N693" s="81">
        <f>11.4412 * CHOOSE(CONTROL!$C$32, $C$9, 100%, $E$9)</f>
        <v>11.4412</v>
      </c>
      <c r="O693" s="81">
        <f>11.4465 * CHOOSE(CONTROL!$C$32, $C$9, 100%, $E$9)</f>
        <v>11.4465</v>
      </c>
    </row>
    <row r="694" spans="1:15" ht="15" x14ac:dyDescent="0.2">
      <c r="A694" s="16">
        <v>62337</v>
      </c>
      <c r="B694" s="80">
        <f>10.2642 * CHOOSE(CONTROL!$C$32, $C$9, 100%, $E$9)</f>
        <v>10.264200000000001</v>
      </c>
      <c r="C694" s="80">
        <f>10.2642 * CHOOSE(CONTROL!$C$32, $C$9, 100%, $E$9)</f>
        <v>10.264200000000001</v>
      </c>
      <c r="D694" s="80">
        <f>10.2657 * CHOOSE(CONTROL!$C$32, $C$9, 100%, $E$9)</f>
        <v>10.265700000000001</v>
      </c>
      <c r="E694" s="81">
        <f>11.4085 * CHOOSE(CONTROL!$C$32, $C$9, 100%, $E$9)</f>
        <v>11.4085</v>
      </c>
      <c r="F694" s="81">
        <f>11.4085 * CHOOSE(CONTROL!$C$32, $C$9, 100%, $E$9)</f>
        <v>11.4085</v>
      </c>
      <c r="G694" s="81">
        <f>11.4138 * CHOOSE(CONTROL!$C$32, $C$9, 100%, $E$9)</f>
        <v>11.4138</v>
      </c>
      <c r="H694" s="81">
        <f>23.3758 * CHOOSE(CONTROL!$C$32, $C$9, 100%, $E$9)</f>
        <v>23.375800000000002</v>
      </c>
      <c r="I694" s="81">
        <f>23.3811 * CHOOSE(CONTROL!$C$32, $C$9, 100%, $E$9)</f>
        <v>23.3811</v>
      </c>
      <c r="J694" s="81">
        <f>23.3758 * CHOOSE(CONTROL!$C$32, $C$9, 100%, $E$9)</f>
        <v>23.375800000000002</v>
      </c>
      <c r="K694" s="81">
        <f>23.3811 * CHOOSE(CONTROL!$C$32, $C$9, 100%, $E$9)</f>
        <v>23.3811</v>
      </c>
      <c r="L694" s="81">
        <f>11.4085 * CHOOSE(CONTROL!$C$32, $C$9, 100%, $E$9)</f>
        <v>11.4085</v>
      </c>
      <c r="M694" s="81">
        <f>11.4138 * CHOOSE(CONTROL!$C$32, $C$9, 100%, $E$9)</f>
        <v>11.4138</v>
      </c>
      <c r="N694" s="81">
        <f>11.4085 * CHOOSE(CONTROL!$C$32, $C$9, 100%, $E$9)</f>
        <v>11.4085</v>
      </c>
      <c r="O694" s="81">
        <f>11.4138 * CHOOSE(CONTROL!$C$32, $C$9, 100%, $E$9)</f>
        <v>11.4138</v>
      </c>
    </row>
    <row r="695" spans="1:15" ht="15" x14ac:dyDescent="0.2">
      <c r="A695" s="16">
        <v>62367</v>
      </c>
      <c r="B695" s="80">
        <f>10.2826 * CHOOSE(CONTROL!$C$32, $C$9, 100%, $E$9)</f>
        <v>10.2826</v>
      </c>
      <c r="C695" s="80">
        <f>10.2826 * CHOOSE(CONTROL!$C$32, $C$9, 100%, $E$9)</f>
        <v>10.2826</v>
      </c>
      <c r="D695" s="80">
        <f>10.2837 * CHOOSE(CONTROL!$C$32, $C$9, 100%, $E$9)</f>
        <v>10.2837</v>
      </c>
      <c r="E695" s="81">
        <f>11.5173 * CHOOSE(CONTROL!$C$32, $C$9, 100%, $E$9)</f>
        <v>11.517300000000001</v>
      </c>
      <c r="F695" s="81">
        <f>11.5173 * CHOOSE(CONTROL!$C$32, $C$9, 100%, $E$9)</f>
        <v>11.517300000000001</v>
      </c>
      <c r="G695" s="81">
        <f>11.521 * CHOOSE(CONTROL!$C$32, $C$9, 100%, $E$9)</f>
        <v>11.521000000000001</v>
      </c>
      <c r="H695" s="81">
        <f>23.4245 * CHOOSE(CONTROL!$C$32, $C$9, 100%, $E$9)</f>
        <v>23.424499999999998</v>
      </c>
      <c r="I695" s="81">
        <f>23.4281 * CHOOSE(CONTROL!$C$32, $C$9, 100%, $E$9)</f>
        <v>23.428100000000001</v>
      </c>
      <c r="J695" s="81">
        <f>23.4245 * CHOOSE(CONTROL!$C$32, $C$9, 100%, $E$9)</f>
        <v>23.424499999999998</v>
      </c>
      <c r="K695" s="81">
        <f>23.4281 * CHOOSE(CONTROL!$C$32, $C$9, 100%, $E$9)</f>
        <v>23.428100000000001</v>
      </c>
      <c r="L695" s="81">
        <f>11.5173 * CHOOSE(CONTROL!$C$32, $C$9, 100%, $E$9)</f>
        <v>11.517300000000001</v>
      </c>
      <c r="M695" s="81">
        <f>11.521 * CHOOSE(CONTROL!$C$32, $C$9, 100%, $E$9)</f>
        <v>11.521000000000001</v>
      </c>
      <c r="N695" s="81">
        <f>11.5173 * CHOOSE(CONTROL!$C$32, $C$9, 100%, $E$9)</f>
        <v>11.517300000000001</v>
      </c>
      <c r="O695" s="81">
        <f>11.521 * CHOOSE(CONTROL!$C$32, $C$9, 100%, $E$9)</f>
        <v>11.521000000000001</v>
      </c>
    </row>
    <row r="696" spans="1:15" ht="15" x14ac:dyDescent="0.2">
      <c r="A696" s="16">
        <v>62398</v>
      </c>
      <c r="B696" s="80">
        <f>10.2857 * CHOOSE(CONTROL!$C$32, $C$9, 100%, $E$9)</f>
        <v>10.2857</v>
      </c>
      <c r="C696" s="80">
        <f>10.2857 * CHOOSE(CONTROL!$C$32, $C$9, 100%, $E$9)</f>
        <v>10.2857</v>
      </c>
      <c r="D696" s="80">
        <f>10.2867 * CHOOSE(CONTROL!$C$32, $C$9, 100%, $E$9)</f>
        <v>10.2867</v>
      </c>
      <c r="E696" s="81">
        <f>11.5806 * CHOOSE(CONTROL!$C$32, $C$9, 100%, $E$9)</f>
        <v>11.5806</v>
      </c>
      <c r="F696" s="81">
        <f>11.5806 * CHOOSE(CONTROL!$C$32, $C$9, 100%, $E$9)</f>
        <v>11.5806</v>
      </c>
      <c r="G696" s="81">
        <f>11.5842 * CHOOSE(CONTROL!$C$32, $C$9, 100%, $E$9)</f>
        <v>11.584199999999999</v>
      </c>
      <c r="H696" s="81">
        <f>23.4733 * CHOOSE(CONTROL!$C$32, $C$9, 100%, $E$9)</f>
        <v>23.473299999999998</v>
      </c>
      <c r="I696" s="81">
        <f>23.4769 * CHOOSE(CONTROL!$C$32, $C$9, 100%, $E$9)</f>
        <v>23.476900000000001</v>
      </c>
      <c r="J696" s="81">
        <f>23.4733 * CHOOSE(CONTROL!$C$32, $C$9, 100%, $E$9)</f>
        <v>23.473299999999998</v>
      </c>
      <c r="K696" s="81">
        <f>23.4769 * CHOOSE(CONTROL!$C$32, $C$9, 100%, $E$9)</f>
        <v>23.476900000000001</v>
      </c>
      <c r="L696" s="81">
        <f>11.5806 * CHOOSE(CONTROL!$C$32, $C$9, 100%, $E$9)</f>
        <v>11.5806</v>
      </c>
      <c r="M696" s="81">
        <f>11.5842 * CHOOSE(CONTROL!$C$32, $C$9, 100%, $E$9)</f>
        <v>11.584199999999999</v>
      </c>
      <c r="N696" s="81">
        <f>11.5806 * CHOOSE(CONTROL!$C$32, $C$9, 100%, $E$9)</f>
        <v>11.5806</v>
      </c>
      <c r="O696" s="81">
        <f>11.5842 * CHOOSE(CONTROL!$C$32, $C$9, 100%, $E$9)</f>
        <v>11.584199999999999</v>
      </c>
    </row>
    <row r="697" spans="1:15" ht="15" x14ac:dyDescent="0.2">
      <c r="A697" s="16">
        <v>62428</v>
      </c>
      <c r="B697" s="80">
        <f>10.2857 * CHOOSE(CONTROL!$C$32, $C$9, 100%, $E$9)</f>
        <v>10.2857</v>
      </c>
      <c r="C697" s="80">
        <f>10.2857 * CHOOSE(CONTROL!$C$32, $C$9, 100%, $E$9)</f>
        <v>10.2857</v>
      </c>
      <c r="D697" s="80">
        <f>10.2867 * CHOOSE(CONTROL!$C$32, $C$9, 100%, $E$9)</f>
        <v>10.2867</v>
      </c>
      <c r="E697" s="81">
        <f>11.4277 * CHOOSE(CONTROL!$C$32, $C$9, 100%, $E$9)</f>
        <v>11.4277</v>
      </c>
      <c r="F697" s="81">
        <f>11.4277 * CHOOSE(CONTROL!$C$32, $C$9, 100%, $E$9)</f>
        <v>11.4277</v>
      </c>
      <c r="G697" s="81">
        <f>11.4314 * CHOOSE(CONTROL!$C$32, $C$9, 100%, $E$9)</f>
        <v>11.4314</v>
      </c>
      <c r="H697" s="81">
        <f>23.5222 * CHOOSE(CONTROL!$C$32, $C$9, 100%, $E$9)</f>
        <v>23.522200000000002</v>
      </c>
      <c r="I697" s="81">
        <f>23.5258 * CHOOSE(CONTROL!$C$32, $C$9, 100%, $E$9)</f>
        <v>23.5258</v>
      </c>
      <c r="J697" s="81">
        <f>23.5222 * CHOOSE(CONTROL!$C$32, $C$9, 100%, $E$9)</f>
        <v>23.522200000000002</v>
      </c>
      <c r="K697" s="81">
        <f>23.5258 * CHOOSE(CONTROL!$C$32, $C$9, 100%, $E$9)</f>
        <v>23.5258</v>
      </c>
      <c r="L697" s="81">
        <f>11.4277 * CHOOSE(CONTROL!$C$32, $C$9, 100%, $E$9)</f>
        <v>11.4277</v>
      </c>
      <c r="M697" s="81">
        <f>11.4314 * CHOOSE(CONTROL!$C$32, $C$9, 100%, $E$9)</f>
        <v>11.4314</v>
      </c>
      <c r="N697" s="81">
        <f>11.4277 * CHOOSE(CONTROL!$C$32, $C$9, 100%, $E$9)</f>
        <v>11.4277</v>
      </c>
      <c r="O697" s="81">
        <f>11.4314 * CHOOSE(CONTROL!$C$32, $C$9, 100%, $E$9)</f>
        <v>11.4314</v>
      </c>
    </row>
    <row r="698" spans="1:15" ht="15" x14ac:dyDescent="0.2">
      <c r="A698" s="16">
        <v>62459</v>
      </c>
      <c r="B698" s="80">
        <f>10.3184 * CHOOSE(CONTROL!$C$32, $C$9, 100%, $E$9)</f>
        <v>10.3184</v>
      </c>
      <c r="C698" s="80">
        <f>10.3184 * CHOOSE(CONTROL!$C$32, $C$9, 100%, $E$9)</f>
        <v>10.3184</v>
      </c>
      <c r="D698" s="80">
        <f>10.3195 * CHOOSE(CONTROL!$C$32, $C$9, 100%, $E$9)</f>
        <v>10.3195</v>
      </c>
      <c r="E698" s="81">
        <f>11.583 * CHOOSE(CONTROL!$C$32, $C$9, 100%, $E$9)</f>
        <v>11.583</v>
      </c>
      <c r="F698" s="81">
        <f>11.583 * CHOOSE(CONTROL!$C$32, $C$9, 100%, $E$9)</f>
        <v>11.583</v>
      </c>
      <c r="G698" s="81">
        <f>11.5866 * CHOOSE(CONTROL!$C$32, $C$9, 100%, $E$9)</f>
        <v>11.586600000000001</v>
      </c>
      <c r="H698" s="81">
        <f>23.4539 * CHOOSE(CONTROL!$C$32, $C$9, 100%, $E$9)</f>
        <v>23.453900000000001</v>
      </c>
      <c r="I698" s="81">
        <f>23.4575 * CHOOSE(CONTROL!$C$32, $C$9, 100%, $E$9)</f>
        <v>23.4575</v>
      </c>
      <c r="J698" s="81">
        <f>23.4539 * CHOOSE(CONTROL!$C$32, $C$9, 100%, $E$9)</f>
        <v>23.453900000000001</v>
      </c>
      <c r="K698" s="81">
        <f>23.4575 * CHOOSE(CONTROL!$C$32, $C$9, 100%, $E$9)</f>
        <v>23.4575</v>
      </c>
      <c r="L698" s="81">
        <f>11.583 * CHOOSE(CONTROL!$C$32, $C$9, 100%, $E$9)</f>
        <v>11.583</v>
      </c>
      <c r="M698" s="81">
        <f>11.5866 * CHOOSE(CONTROL!$C$32, $C$9, 100%, $E$9)</f>
        <v>11.586600000000001</v>
      </c>
      <c r="N698" s="81">
        <f>11.583 * CHOOSE(CONTROL!$C$32, $C$9, 100%, $E$9)</f>
        <v>11.583</v>
      </c>
      <c r="O698" s="81">
        <f>11.5866 * CHOOSE(CONTROL!$C$32, $C$9, 100%, $E$9)</f>
        <v>11.586600000000001</v>
      </c>
    </row>
    <row r="699" spans="1:15" ht="15" x14ac:dyDescent="0.2">
      <c r="A699" s="16">
        <v>62490</v>
      </c>
      <c r="B699" s="80">
        <f>10.3154 * CHOOSE(CONTROL!$C$32, $C$9, 100%, $E$9)</f>
        <v>10.3154</v>
      </c>
      <c r="C699" s="80">
        <f>10.3154 * CHOOSE(CONTROL!$C$32, $C$9, 100%, $E$9)</f>
        <v>10.3154</v>
      </c>
      <c r="D699" s="80">
        <f>10.3165 * CHOOSE(CONTROL!$C$32, $C$9, 100%, $E$9)</f>
        <v>10.3165</v>
      </c>
      <c r="E699" s="81">
        <f>11.2849 * CHOOSE(CONTROL!$C$32, $C$9, 100%, $E$9)</f>
        <v>11.2849</v>
      </c>
      <c r="F699" s="81">
        <f>11.2849 * CHOOSE(CONTROL!$C$32, $C$9, 100%, $E$9)</f>
        <v>11.2849</v>
      </c>
      <c r="G699" s="81">
        <f>11.2885 * CHOOSE(CONTROL!$C$32, $C$9, 100%, $E$9)</f>
        <v>11.288500000000001</v>
      </c>
      <c r="H699" s="81">
        <f>23.5027 * CHOOSE(CONTROL!$C$32, $C$9, 100%, $E$9)</f>
        <v>23.502700000000001</v>
      </c>
      <c r="I699" s="81">
        <f>23.5064 * CHOOSE(CONTROL!$C$32, $C$9, 100%, $E$9)</f>
        <v>23.506399999999999</v>
      </c>
      <c r="J699" s="81">
        <f>23.5027 * CHOOSE(CONTROL!$C$32, $C$9, 100%, $E$9)</f>
        <v>23.502700000000001</v>
      </c>
      <c r="K699" s="81">
        <f>23.5064 * CHOOSE(CONTROL!$C$32, $C$9, 100%, $E$9)</f>
        <v>23.506399999999999</v>
      </c>
      <c r="L699" s="81">
        <f>11.2849 * CHOOSE(CONTROL!$C$32, $C$9, 100%, $E$9)</f>
        <v>11.2849</v>
      </c>
      <c r="M699" s="81">
        <f>11.2885 * CHOOSE(CONTROL!$C$32, $C$9, 100%, $E$9)</f>
        <v>11.288500000000001</v>
      </c>
      <c r="N699" s="81">
        <f>11.2849 * CHOOSE(CONTROL!$C$32, $C$9, 100%, $E$9)</f>
        <v>11.2849</v>
      </c>
      <c r="O699" s="81">
        <f>11.2885 * CHOOSE(CONTROL!$C$32, $C$9, 100%, $E$9)</f>
        <v>11.288500000000001</v>
      </c>
    </row>
    <row r="700" spans="1:15" ht="15" x14ac:dyDescent="0.2">
      <c r="A700" s="16">
        <v>62518</v>
      </c>
      <c r="B700" s="80">
        <f>10.3123 * CHOOSE(CONTROL!$C$32, $C$9, 100%, $E$9)</f>
        <v>10.3123</v>
      </c>
      <c r="C700" s="80">
        <f>10.3123 * CHOOSE(CONTROL!$C$32, $C$9, 100%, $E$9)</f>
        <v>10.3123</v>
      </c>
      <c r="D700" s="80">
        <f>10.3134 * CHOOSE(CONTROL!$C$32, $C$9, 100%, $E$9)</f>
        <v>10.3134</v>
      </c>
      <c r="E700" s="81">
        <f>11.5161 * CHOOSE(CONTROL!$C$32, $C$9, 100%, $E$9)</f>
        <v>11.5161</v>
      </c>
      <c r="F700" s="81">
        <f>11.5161 * CHOOSE(CONTROL!$C$32, $C$9, 100%, $E$9)</f>
        <v>11.5161</v>
      </c>
      <c r="G700" s="81">
        <f>11.5198 * CHOOSE(CONTROL!$C$32, $C$9, 100%, $E$9)</f>
        <v>11.5198</v>
      </c>
      <c r="H700" s="81">
        <f>23.5517 * CHOOSE(CONTROL!$C$32, $C$9, 100%, $E$9)</f>
        <v>23.5517</v>
      </c>
      <c r="I700" s="81">
        <f>23.5553 * CHOOSE(CONTROL!$C$32, $C$9, 100%, $E$9)</f>
        <v>23.555299999999999</v>
      </c>
      <c r="J700" s="81">
        <f>23.5517 * CHOOSE(CONTROL!$C$32, $C$9, 100%, $E$9)</f>
        <v>23.5517</v>
      </c>
      <c r="K700" s="81">
        <f>23.5553 * CHOOSE(CONTROL!$C$32, $C$9, 100%, $E$9)</f>
        <v>23.555299999999999</v>
      </c>
      <c r="L700" s="81">
        <f>11.5161 * CHOOSE(CONTROL!$C$32, $C$9, 100%, $E$9)</f>
        <v>11.5161</v>
      </c>
      <c r="M700" s="81">
        <f>11.5198 * CHOOSE(CONTROL!$C$32, $C$9, 100%, $E$9)</f>
        <v>11.5198</v>
      </c>
      <c r="N700" s="81">
        <f>11.5161 * CHOOSE(CONTROL!$C$32, $C$9, 100%, $E$9)</f>
        <v>11.5161</v>
      </c>
      <c r="O700" s="81">
        <f>11.5198 * CHOOSE(CONTROL!$C$32, $C$9, 100%, $E$9)</f>
        <v>11.5198</v>
      </c>
    </row>
    <row r="701" spans="1:15" ht="15" x14ac:dyDescent="0.2">
      <c r="A701" s="16">
        <v>62549</v>
      </c>
      <c r="B701" s="80">
        <f>10.3161 * CHOOSE(CONTROL!$C$32, $C$9, 100%, $E$9)</f>
        <v>10.3161</v>
      </c>
      <c r="C701" s="80">
        <f>10.3161 * CHOOSE(CONTROL!$C$32, $C$9, 100%, $E$9)</f>
        <v>10.3161</v>
      </c>
      <c r="D701" s="80">
        <f>10.3172 * CHOOSE(CONTROL!$C$32, $C$9, 100%, $E$9)</f>
        <v>10.3172</v>
      </c>
      <c r="E701" s="81">
        <f>11.7625 * CHOOSE(CONTROL!$C$32, $C$9, 100%, $E$9)</f>
        <v>11.762499999999999</v>
      </c>
      <c r="F701" s="81">
        <f>11.7625 * CHOOSE(CONTROL!$C$32, $C$9, 100%, $E$9)</f>
        <v>11.762499999999999</v>
      </c>
      <c r="G701" s="81">
        <f>11.7661 * CHOOSE(CONTROL!$C$32, $C$9, 100%, $E$9)</f>
        <v>11.7661</v>
      </c>
      <c r="H701" s="81">
        <f>23.6008 * CHOOSE(CONTROL!$C$32, $C$9, 100%, $E$9)</f>
        <v>23.6008</v>
      </c>
      <c r="I701" s="81">
        <f>23.6044 * CHOOSE(CONTROL!$C$32, $C$9, 100%, $E$9)</f>
        <v>23.604399999999998</v>
      </c>
      <c r="J701" s="81">
        <f>23.6008 * CHOOSE(CONTROL!$C$32, $C$9, 100%, $E$9)</f>
        <v>23.6008</v>
      </c>
      <c r="K701" s="81">
        <f>23.6044 * CHOOSE(CONTROL!$C$32, $C$9, 100%, $E$9)</f>
        <v>23.604399999999998</v>
      </c>
      <c r="L701" s="81">
        <f>11.7625 * CHOOSE(CONTROL!$C$32, $C$9, 100%, $E$9)</f>
        <v>11.762499999999999</v>
      </c>
      <c r="M701" s="81">
        <f>11.7661 * CHOOSE(CONTROL!$C$32, $C$9, 100%, $E$9)</f>
        <v>11.7661</v>
      </c>
      <c r="N701" s="81">
        <f>11.7625 * CHOOSE(CONTROL!$C$32, $C$9, 100%, $E$9)</f>
        <v>11.762499999999999</v>
      </c>
      <c r="O701" s="81">
        <f>11.7661 * CHOOSE(CONTROL!$C$32, $C$9, 100%, $E$9)</f>
        <v>11.7661</v>
      </c>
    </row>
    <row r="702" spans="1:15" ht="15" x14ac:dyDescent="0.2">
      <c r="A702" s="16">
        <v>62579</v>
      </c>
      <c r="B702" s="80">
        <f>10.3161 * CHOOSE(CONTROL!$C$32, $C$9, 100%, $E$9)</f>
        <v>10.3161</v>
      </c>
      <c r="C702" s="80">
        <f>10.3161 * CHOOSE(CONTROL!$C$32, $C$9, 100%, $E$9)</f>
        <v>10.3161</v>
      </c>
      <c r="D702" s="80">
        <f>10.3177 * CHOOSE(CONTROL!$C$32, $C$9, 100%, $E$9)</f>
        <v>10.3177</v>
      </c>
      <c r="E702" s="81">
        <f>11.8565 * CHOOSE(CONTROL!$C$32, $C$9, 100%, $E$9)</f>
        <v>11.8565</v>
      </c>
      <c r="F702" s="81">
        <f>11.8565 * CHOOSE(CONTROL!$C$32, $C$9, 100%, $E$9)</f>
        <v>11.8565</v>
      </c>
      <c r="G702" s="81">
        <f>11.8618 * CHOOSE(CONTROL!$C$32, $C$9, 100%, $E$9)</f>
        <v>11.861800000000001</v>
      </c>
      <c r="H702" s="81">
        <f>23.6499 * CHOOSE(CONTROL!$C$32, $C$9, 100%, $E$9)</f>
        <v>23.649899999999999</v>
      </c>
      <c r="I702" s="81">
        <f>23.6552 * CHOOSE(CONTROL!$C$32, $C$9, 100%, $E$9)</f>
        <v>23.655200000000001</v>
      </c>
      <c r="J702" s="81">
        <f>23.6499 * CHOOSE(CONTROL!$C$32, $C$9, 100%, $E$9)</f>
        <v>23.649899999999999</v>
      </c>
      <c r="K702" s="81">
        <f>23.6552 * CHOOSE(CONTROL!$C$32, $C$9, 100%, $E$9)</f>
        <v>23.655200000000001</v>
      </c>
      <c r="L702" s="81">
        <f>11.8565 * CHOOSE(CONTROL!$C$32, $C$9, 100%, $E$9)</f>
        <v>11.8565</v>
      </c>
      <c r="M702" s="81">
        <f>11.8618 * CHOOSE(CONTROL!$C$32, $C$9, 100%, $E$9)</f>
        <v>11.861800000000001</v>
      </c>
      <c r="N702" s="81">
        <f>11.8565 * CHOOSE(CONTROL!$C$32, $C$9, 100%, $E$9)</f>
        <v>11.8565</v>
      </c>
      <c r="O702" s="81">
        <f>11.8618 * CHOOSE(CONTROL!$C$32, $C$9, 100%, $E$9)</f>
        <v>11.861800000000001</v>
      </c>
    </row>
    <row r="703" spans="1:15" ht="15" x14ac:dyDescent="0.2">
      <c r="A703" s="16">
        <v>62610</v>
      </c>
      <c r="B703" s="80">
        <f>10.3222 * CHOOSE(CONTROL!$C$32, $C$9, 100%, $E$9)</f>
        <v>10.3222</v>
      </c>
      <c r="C703" s="80">
        <f>10.3222 * CHOOSE(CONTROL!$C$32, $C$9, 100%, $E$9)</f>
        <v>10.3222</v>
      </c>
      <c r="D703" s="80">
        <f>10.3238 * CHOOSE(CONTROL!$C$32, $C$9, 100%, $E$9)</f>
        <v>10.3238</v>
      </c>
      <c r="E703" s="81">
        <f>11.7667 * CHOOSE(CONTROL!$C$32, $C$9, 100%, $E$9)</f>
        <v>11.7667</v>
      </c>
      <c r="F703" s="81">
        <f>11.7667 * CHOOSE(CONTROL!$C$32, $C$9, 100%, $E$9)</f>
        <v>11.7667</v>
      </c>
      <c r="G703" s="81">
        <f>11.772 * CHOOSE(CONTROL!$C$32, $C$9, 100%, $E$9)</f>
        <v>11.772</v>
      </c>
      <c r="H703" s="81">
        <f>23.6992 * CHOOSE(CONTROL!$C$32, $C$9, 100%, $E$9)</f>
        <v>23.699200000000001</v>
      </c>
      <c r="I703" s="81">
        <f>23.7045 * CHOOSE(CONTROL!$C$32, $C$9, 100%, $E$9)</f>
        <v>23.704499999999999</v>
      </c>
      <c r="J703" s="81">
        <f>23.6992 * CHOOSE(CONTROL!$C$32, $C$9, 100%, $E$9)</f>
        <v>23.699200000000001</v>
      </c>
      <c r="K703" s="81">
        <f>23.7045 * CHOOSE(CONTROL!$C$32, $C$9, 100%, $E$9)</f>
        <v>23.704499999999999</v>
      </c>
      <c r="L703" s="81">
        <f>11.7667 * CHOOSE(CONTROL!$C$32, $C$9, 100%, $E$9)</f>
        <v>11.7667</v>
      </c>
      <c r="M703" s="81">
        <f>11.772 * CHOOSE(CONTROL!$C$32, $C$9, 100%, $E$9)</f>
        <v>11.772</v>
      </c>
      <c r="N703" s="81">
        <f>11.7667 * CHOOSE(CONTROL!$C$32, $C$9, 100%, $E$9)</f>
        <v>11.7667</v>
      </c>
      <c r="O703" s="81">
        <f>11.772 * CHOOSE(CONTROL!$C$32, $C$9, 100%, $E$9)</f>
        <v>11.772</v>
      </c>
    </row>
    <row r="704" spans="1:15" ht="15" x14ac:dyDescent="0.2">
      <c r="A704" s="16">
        <v>62640</v>
      </c>
      <c r="B704" s="80">
        <f>10.4501 * CHOOSE(CONTROL!$C$32, $C$9, 100%, $E$9)</f>
        <v>10.450100000000001</v>
      </c>
      <c r="C704" s="80">
        <f>10.4501 * CHOOSE(CONTROL!$C$32, $C$9, 100%, $E$9)</f>
        <v>10.450100000000001</v>
      </c>
      <c r="D704" s="80">
        <f>10.4517 * CHOOSE(CONTROL!$C$32, $C$9, 100%, $E$9)</f>
        <v>10.451700000000001</v>
      </c>
      <c r="E704" s="81">
        <f>11.9319 * CHOOSE(CONTROL!$C$32, $C$9, 100%, $E$9)</f>
        <v>11.931900000000001</v>
      </c>
      <c r="F704" s="81">
        <f>11.9319 * CHOOSE(CONTROL!$C$32, $C$9, 100%, $E$9)</f>
        <v>11.931900000000001</v>
      </c>
      <c r="G704" s="81">
        <f>11.9371 * CHOOSE(CONTROL!$C$32, $C$9, 100%, $E$9)</f>
        <v>11.937099999999999</v>
      </c>
      <c r="H704" s="81">
        <f>23.7486 * CHOOSE(CONTROL!$C$32, $C$9, 100%, $E$9)</f>
        <v>23.7486</v>
      </c>
      <c r="I704" s="81">
        <f>23.7539 * CHOOSE(CONTROL!$C$32, $C$9, 100%, $E$9)</f>
        <v>23.753900000000002</v>
      </c>
      <c r="J704" s="81">
        <f>23.7486 * CHOOSE(CONTROL!$C$32, $C$9, 100%, $E$9)</f>
        <v>23.7486</v>
      </c>
      <c r="K704" s="81">
        <f>23.7539 * CHOOSE(CONTROL!$C$32, $C$9, 100%, $E$9)</f>
        <v>23.753900000000002</v>
      </c>
      <c r="L704" s="81">
        <f>11.9319 * CHOOSE(CONTROL!$C$32, $C$9, 100%, $E$9)</f>
        <v>11.931900000000001</v>
      </c>
      <c r="M704" s="81">
        <f>11.9371 * CHOOSE(CONTROL!$C$32, $C$9, 100%, $E$9)</f>
        <v>11.937099999999999</v>
      </c>
      <c r="N704" s="81">
        <f>11.9319 * CHOOSE(CONTROL!$C$32, $C$9, 100%, $E$9)</f>
        <v>11.931900000000001</v>
      </c>
      <c r="O704" s="81">
        <f>11.9371 * CHOOSE(CONTROL!$C$32, $C$9, 100%, $E$9)</f>
        <v>11.937099999999999</v>
      </c>
    </row>
    <row r="705" spans="1:15" ht="15" x14ac:dyDescent="0.2">
      <c r="A705" s="16">
        <v>62671</v>
      </c>
      <c r="B705" s="80">
        <f>10.4568 * CHOOSE(CONTROL!$C$32, $C$9, 100%, $E$9)</f>
        <v>10.456799999999999</v>
      </c>
      <c r="C705" s="80">
        <f>10.4568 * CHOOSE(CONTROL!$C$32, $C$9, 100%, $E$9)</f>
        <v>10.456799999999999</v>
      </c>
      <c r="D705" s="80">
        <f>10.4584 * CHOOSE(CONTROL!$C$32, $C$9, 100%, $E$9)</f>
        <v>10.458399999999999</v>
      </c>
      <c r="E705" s="81">
        <f>11.6546 * CHOOSE(CONTROL!$C$32, $C$9, 100%, $E$9)</f>
        <v>11.6546</v>
      </c>
      <c r="F705" s="81">
        <f>11.6546 * CHOOSE(CONTROL!$C$32, $C$9, 100%, $E$9)</f>
        <v>11.6546</v>
      </c>
      <c r="G705" s="81">
        <f>11.6599 * CHOOSE(CONTROL!$C$32, $C$9, 100%, $E$9)</f>
        <v>11.6599</v>
      </c>
      <c r="H705" s="81">
        <f>23.7981 * CHOOSE(CONTROL!$C$32, $C$9, 100%, $E$9)</f>
        <v>23.798100000000002</v>
      </c>
      <c r="I705" s="81">
        <f>23.8034 * CHOOSE(CONTROL!$C$32, $C$9, 100%, $E$9)</f>
        <v>23.8034</v>
      </c>
      <c r="J705" s="81">
        <f>23.7981 * CHOOSE(CONTROL!$C$32, $C$9, 100%, $E$9)</f>
        <v>23.798100000000002</v>
      </c>
      <c r="K705" s="81">
        <f>23.8034 * CHOOSE(CONTROL!$C$32, $C$9, 100%, $E$9)</f>
        <v>23.8034</v>
      </c>
      <c r="L705" s="81">
        <f>11.6546 * CHOOSE(CONTROL!$C$32, $C$9, 100%, $E$9)</f>
        <v>11.6546</v>
      </c>
      <c r="M705" s="81">
        <f>11.6599 * CHOOSE(CONTROL!$C$32, $C$9, 100%, $E$9)</f>
        <v>11.6599</v>
      </c>
      <c r="N705" s="81">
        <f>11.6546 * CHOOSE(CONTROL!$C$32, $C$9, 100%, $E$9)</f>
        <v>11.6546</v>
      </c>
      <c r="O705" s="81">
        <f>11.6599 * CHOOSE(CONTROL!$C$32, $C$9, 100%, $E$9)</f>
        <v>11.6599</v>
      </c>
    </row>
    <row r="706" spans="1:15" ht="15" x14ac:dyDescent="0.2">
      <c r="A706" s="16">
        <v>62702</v>
      </c>
      <c r="B706" s="80">
        <f>10.4538 * CHOOSE(CONTROL!$C$32, $C$9, 100%, $E$9)</f>
        <v>10.453799999999999</v>
      </c>
      <c r="C706" s="80">
        <f>10.4538 * CHOOSE(CONTROL!$C$32, $C$9, 100%, $E$9)</f>
        <v>10.453799999999999</v>
      </c>
      <c r="D706" s="80">
        <f>10.4553 * CHOOSE(CONTROL!$C$32, $C$9, 100%, $E$9)</f>
        <v>10.455299999999999</v>
      </c>
      <c r="E706" s="81">
        <f>11.6211 * CHOOSE(CONTROL!$C$32, $C$9, 100%, $E$9)</f>
        <v>11.6211</v>
      </c>
      <c r="F706" s="81">
        <f>11.6211 * CHOOSE(CONTROL!$C$32, $C$9, 100%, $E$9)</f>
        <v>11.6211</v>
      </c>
      <c r="G706" s="81">
        <f>11.6264 * CHOOSE(CONTROL!$C$32, $C$9, 100%, $E$9)</f>
        <v>11.6264</v>
      </c>
      <c r="H706" s="81">
        <f>23.8476 * CHOOSE(CONTROL!$C$32, $C$9, 100%, $E$9)</f>
        <v>23.8476</v>
      </c>
      <c r="I706" s="81">
        <f>23.8529 * CHOOSE(CONTROL!$C$32, $C$9, 100%, $E$9)</f>
        <v>23.852900000000002</v>
      </c>
      <c r="J706" s="81">
        <f>23.8476 * CHOOSE(CONTROL!$C$32, $C$9, 100%, $E$9)</f>
        <v>23.8476</v>
      </c>
      <c r="K706" s="81">
        <f>23.8529 * CHOOSE(CONTROL!$C$32, $C$9, 100%, $E$9)</f>
        <v>23.852900000000002</v>
      </c>
      <c r="L706" s="81">
        <f>11.6211 * CHOOSE(CONTROL!$C$32, $C$9, 100%, $E$9)</f>
        <v>11.6211</v>
      </c>
      <c r="M706" s="81">
        <f>11.6264 * CHOOSE(CONTROL!$C$32, $C$9, 100%, $E$9)</f>
        <v>11.6264</v>
      </c>
      <c r="N706" s="81">
        <f>11.6211 * CHOOSE(CONTROL!$C$32, $C$9, 100%, $E$9)</f>
        <v>11.6211</v>
      </c>
      <c r="O706" s="81">
        <f>11.6264 * CHOOSE(CONTROL!$C$32, $C$9, 100%, $E$9)</f>
        <v>11.6264</v>
      </c>
    </row>
    <row r="707" spans="1:15" ht="15" x14ac:dyDescent="0.2">
      <c r="A707" s="16">
        <v>62732</v>
      </c>
      <c r="B707" s="80">
        <f>10.4729 * CHOOSE(CONTROL!$C$32, $C$9, 100%, $E$9)</f>
        <v>10.472899999999999</v>
      </c>
      <c r="C707" s="80">
        <f>10.4729 * CHOOSE(CONTROL!$C$32, $C$9, 100%, $E$9)</f>
        <v>10.472899999999999</v>
      </c>
      <c r="D707" s="80">
        <f>10.474 * CHOOSE(CONTROL!$C$32, $C$9, 100%, $E$9)</f>
        <v>10.474</v>
      </c>
      <c r="E707" s="81">
        <f>11.733 * CHOOSE(CONTROL!$C$32, $C$9, 100%, $E$9)</f>
        <v>11.733000000000001</v>
      </c>
      <c r="F707" s="81">
        <f>11.733 * CHOOSE(CONTROL!$C$32, $C$9, 100%, $E$9)</f>
        <v>11.733000000000001</v>
      </c>
      <c r="G707" s="81">
        <f>11.7366 * CHOOSE(CONTROL!$C$32, $C$9, 100%, $E$9)</f>
        <v>11.736599999999999</v>
      </c>
      <c r="H707" s="81">
        <f>23.8973 * CHOOSE(CONTROL!$C$32, $C$9, 100%, $E$9)</f>
        <v>23.897300000000001</v>
      </c>
      <c r="I707" s="81">
        <f>23.9009 * CHOOSE(CONTROL!$C$32, $C$9, 100%, $E$9)</f>
        <v>23.9009</v>
      </c>
      <c r="J707" s="81">
        <f>23.8973 * CHOOSE(CONTROL!$C$32, $C$9, 100%, $E$9)</f>
        <v>23.897300000000001</v>
      </c>
      <c r="K707" s="81">
        <f>23.9009 * CHOOSE(CONTROL!$C$32, $C$9, 100%, $E$9)</f>
        <v>23.9009</v>
      </c>
      <c r="L707" s="81">
        <f>11.733 * CHOOSE(CONTROL!$C$32, $C$9, 100%, $E$9)</f>
        <v>11.733000000000001</v>
      </c>
      <c r="M707" s="81">
        <f>11.7366 * CHOOSE(CONTROL!$C$32, $C$9, 100%, $E$9)</f>
        <v>11.736599999999999</v>
      </c>
      <c r="N707" s="81">
        <f>11.733 * CHOOSE(CONTROL!$C$32, $C$9, 100%, $E$9)</f>
        <v>11.733000000000001</v>
      </c>
      <c r="O707" s="81">
        <f>11.7366 * CHOOSE(CONTROL!$C$32, $C$9, 100%, $E$9)</f>
        <v>11.736599999999999</v>
      </c>
    </row>
    <row r="708" spans="1:15" ht="15" x14ac:dyDescent="0.2">
      <c r="A708" s="16">
        <v>62763</v>
      </c>
      <c r="B708" s="80">
        <f>10.476 * CHOOSE(CONTROL!$C$32, $C$9, 100%, $E$9)</f>
        <v>10.476000000000001</v>
      </c>
      <c r="C708" s="80">
        <f>10.476 * CHOOSE(CONTROL!$C$32, $C$9, 100%, $E$9)</f>
        <v>10.476000000000001</v>
      </c>
      <c r="D708" s="80">
        <f>10.477 * CHOOSE(CONTROL!$C$32, $C$9, 100%, $E$9)</f>
        <v>10.477</v>
      </c>
      <c r="E708" s="81">
        <f>11.7978 * CHOOSE(CONTROL!$C$32, $C$9, 100%, $E$9)</f>
        <v>11.797800000000001</v>
      </c>
      <c r="F708" s="81">
        <f>11.7978 * CHOOSE(CONTROL!$C$32, $C$9, 100%, $E$9)</f>
        <v>11.797800000000001</v>
      </c>
      <c r="G708" s="81">
        <f>11.8014 * CHOOSE(CONTROL!$C$32, $C$9, 100%, $E$9)</f>
        <v>11.801399999999999</v>
      </c>
      <c r="H708" s="81">
        <f>23.9471 * CHOOSE(CONTROL!$C$32, $C$9, 100%, $E$9)</f>
        <v>23.947099999999999</v>
      </c>
      <c r="I708" s="81">
        <f>23.9507 * CHOOSE(CONTROL!$C$32, $C$9, 100%, $E$9)</f>
        <v>23.950700000000001</v>
      </c>
      <c r="J708" s="81">
        <f>23.9471 * CHOOSE(CONTROL!$C$32, $C$9, 100%, $E$9)</f>
        <v>23.947099999999999</v>
      </c>
      <c r="K708" s="81">
        <f>23.9507 * CHOOSE(CONTROL!$C$32, $C$9, 100%, $E$9)</f>
        <v>23.950700000000001</v>
      </c>
      <c r="L708" s="81">
        <f>11.7978 * CHOOSE(CONTROL!$C$32, $C$9, 100%, $E$9)</f>
        <v>11.797800000000001</v>
      </c>
      <c r="M708" s="81">
        <f>11.8014 * CHOOSE(CONTROL!$C$32, $C$9, 100%, $E$9)</f>
        <v>11.801399999999999</v>
      </c>
      <c r="N708" s="81">
        <f>11.7978 * CHOOSE(CONTROL!$C$32, $C$9, 100%, $E$9)</f>
        <v>11.797800000000001</v>
      </c>
      <c r="O708" s="81">
        <f>11.8014 * CHOOSE(CONTROL!$C$32, $C$9, 100%, $E$9)</f>
        <v>11.801399999999999</v>
      </c>
    </row>
    <row r="709" spans="1:15" ht="15" x14ac:dyDescent="0.2">
      <c r="A709" s="16">
        <v>62793</v>
      </c>
      <c r="B709" s="80">
        <f>10.476 * CHOOSE(CONTROL!$C$32, $C$9, 100%, $E$9)</f>
        <v>10.476000000000001</v>
      </c>
      <c r="C709" s="80">
        <f>10.476 * CHOOSE(CONTROL!$C$32, $C$9, 100%, $E$9)</f>
        <v>10.476000000000001</v>
      </c>
      <c r="D709" s="80">
        <f>10.477 * CHOOSE(CONTROL!$C$32, $C$9, 100%, $E$9)</f>
        <v>10.477</v>
      </c>
      <c r="E709" s="81">
        <f>11.6412 * CHOOSE(CONTROL!$C$32, $C$9, 100%, $E$9)</f>
        <v>11.6412</v>
      </c>
      <c r="F709" s="81">
        <f>11.6412 * CHOOSE(CONTROL!$C$32, $C$9, 100%, $E$9)</f>
        <v>11.6412</v>
      </c>
      <c r="G709" s="81">
        <f>11.6448 * CHOOSE(CONTROL!$C$32, $C$9, 100%, $E$9)</f>
        <v>11.6448</v>
      </c>
      <c r="H709" s="81">
        <f>23.997 * CHOOSE(CONTROL!$C$32, $C$9, 100%, $E$9)</f>
        <v>23.997</v>
      </c>
      <c r="I709" s="81">
        <f>24.0006 * CHOOSE(CONTROL!$C$32, $C$9, 100%, $E$9)</f>
        <v>24.000599999999999</v>
      </c>
      <c r="J709" s="81">
        <f>23.997 * CHOOSE(CONTROL!$C$32, $C$9, 100%, $E$9)</f>
        <v>23.997</v>
      </c>
      <c r="K709" s="81">
        <f>24.0006 * CHOOSE(CONTROL!$C$32, $C$9, 100%, $E$9)</f>
        <v>24.000599999999999</v>
      </c>
      <c r="L709" s="81">
        <f>11.6412 * CHOOSE(CONTROL!$C$32, $C$9, 100%, $E$9)</f>
        <v>11.6412</v>
      </c>
      <c r="M709" s="81">
        <f>11.6448 * CHOOSE(CONTROL!$C$32, $C$9, 100%, $E$9)</f>
        <v>11.6448</v>
      </c>
      <c r="N709" s="81">
        <f>11.6412 * CHOOSE(CONTROL!$C$32, $C$9, 100%, $E$9)</f>
        <v>11.6412</v>
      </c>
      <c r="O709" s="81">
        <f>11.6448 * CHOOSE(CONTROL!$C$32, $C$9, 100%, $E$9)</f>
        <v>11.6448</v>
      </c>
    </row>
    <row r="710" spans="1:15" ht="15" x14ac:dyDescent="0.2">
      <c r="A710" s="16">
        <v>62824</v>
      </c>
      <c r="B710" s="80">
        <f>10.5058 * CHOOSE(CONTROL!$C$32, $C$9, 100%, $E$9)</f>
        <v>10.505800000000001</v>
      </c>
      <c r="C710" s="80">
        <f>10.5058 * CHOOSE(CONTROL!$C$32, $C$9, 100%, $E$9)</f>
        <v>10.505800000000001</v>
      </c>
      <c r="D710" s="80">
        <f>10.5069 * CHOOSE(CONTROL!$C$32, $C$9, 100%, $E$9)</f>
        <v>10.5069</v>
      </c>
      <c r="E710" s="81">
        <f>11.7955 * CHOOSE(CONTROL!$C$32, $C$9, 100%, $E$9)</f>
        <v>11.795500000000001</v>
      </c>
      <c r="F710" s="81">
        <f>11.7955 * CHOOSE(CONTROL!$C$32, $C$9, 100%, $E$9)</f>
        <v>11.795500000000001</v>
      </c>
      <c r="G710" s="81">
        <f>11.7991 * CHOOSE(CONTROL!$C$32, $C$9, 100%, $E$9)</f>
        <v>11.799099999999999</v>
      </c>
      <c r="H710" s="81">
        <f>23.9179 * CHOOSE(CONTROL!$C$32, $C$9, 100%, $E$9)</f>
        <v>23.917899999999999</v>
      </c>
      <c r="I710" s="81">
        <f>23.9215 * CHOOSE(CONTROL!$C$32, $C$9, 100%, $E$9)</f>
        <v>23.921500000000002</v>
      </c>
      <c r="J710" s="81">
        <f>23.9179 * CHOOSE(CONTROL!$C$32, $C$9, 100%, $E$9)</f>
        <v>23.917899999999999</v>
      </c>
      <c r="K710" s="81">
        <f>23.9215 * CHOOSE(CONTROL!$C$32, $C$9, 100%, $E$9)</f>
        <v>23.921500000000002</v>
      </c>
      <c r="L710" s="81">
        <f>11.7955 * CHOOSE(CONTROL!$C$32, $C$9, 100%, $E$9)</f>
        <v>11.795500000000001</v>
      </c>
      <c r="M710" s="81">
        <f>11.7991 * CHOOSE(CONTROL!$C$32, $C$9, 100%, $E$9)</f>
        <v>11.799099999999999</v>
      </c>
      <c r="N710" s="81">
        <f>11.7955 * CHOOSE(CONTROL!$C$32, $C$9, 100%, $E$9)</f>
        <v>11.795500000000001</v>
      </c>
      <c r="O710" s="81">
        <f>11.7991 * CHOOSE(CONTROL!$C$32, $C$9, 100%, $E$9)</f>
        <v>11.799099999999999</v>
      </c>
    </row>
    <row r="711" spans="1:15" ht="15" x14ac:dyDescent="0.2">
      <c r="A711" s="16">
        <v>62855</v>
      </c>
      <c r="B711" s="80">
        <f>10.5027 * CHOOSE(CONTROL!$C$32, $C$9, 100%, $E$9)</f>
        <v>10.502700000000001</v>
      </c>
      <c r="C711" s="80">
        <f>10.5027 * CHOOSE(CONTROL!$C$32, $C$9, 100%, $E$9)</f>
        <v>10.502700000000001</v>
      </c>
      <c r="D711" s="80">
        <f>10.5038 * CHOOSE(CONTROL!$C$32, $C$9, 100%, $E$9)</f>
        <v>10.5038</v>
      </c>
      <c r="E711" s="81">
        <f>11.4903 * CHOOSE(CONTROL!$C$32, $C$9, 100%, $E$9)</f>
        <v>11.4903</v>
      </c>
      <c r="F711" s="81">
        <f>11.4903 * CHOOSE(CONTROL!$C$32, $C$9, 100%, $E$9)</f>
        <v>11.4903</v>
      </c>
      <c r="G711" s="81">
        <f>11.4939 * CHOOSE(CONTROL!$C$32, $C$9, 100%, $E$9)</f>
        <v>11.4939</v>
      </c>
      <c r="H711" s="81">
        <f>23.9677 * CHOOSE(CONTROL!$C$32, $C$9, 100%, $E$9)</f>
        <v>23.967700000000001</v>
      </c>
      <c r="I711" s="81">
        <f>23.9714 * CHOOSE(CONTROL!$C$32, $C$9, 100%, $E$9)</f>
        <v>23.971399999999999</v>
      </c>
      <c r="J711" s="81">
        <f>23.9677 * CHOOSE(CONTROL!$C$32, $C$9, 100%, $E$9)</f>
        <v>23.967700000000001</v>
      </c>
      <c r="K711" s="81">
        <f>23.9714 * CHOOSE(CONTROL!$C$32, $C$9, 100%, $E$9)</f>
        <v>23.971399999999999</v>
      </c>
      <c r="L711" s="81">
        <f>11.4903 * CHOOSE(CONTROL!$C$32, $C$9, 100%, $E$9)</f>
        <v>11.4903</v>
      </c>
      <c r="M711" s="81">
        <f>11.4939 * CHOOSE(CONTROL!$C$32, $C$9, 100%, $E$9)</f>
        <v>11.4939</v>
      </c>
      <c r="N711" s="81">
        <f>11.4903 * CHOOSE(CONTROL!$C$32, $C$9, 100%, $E$9)</f>
        <v>11.4903</v>
      </c>
      <c r="O711" s="81">
        <f>11.4939 * CHOOSE(CONTROL!$C$32, $C$9, 100%, $E$9)</f>
        <v>11.4939</v>
      </c>
    </row>
    <row r="712" spans="1:15" ht="15" x14ac:dyDescent="0.2">
      <c r="A712" s="16">
        <v>62884</v>
      </c>
      <c r="B712" s="80">
        <f>10.4997 * CHOOSE(CONTROL!$C$32, $C$9, 100%, $E$9)</f>
        <v>10.499700000000001</v>
      </c>
      <c r="C712" s="80">
        <f>10.4997 * CHOOSE(CONTROL!$C$32, $C$9, 100%, $E$9)</f>
        <v>10.499700000000001</v>
      </c>
      <c r="D712" s="80">
        <f>10.5008 * CHOOSE(CONTROL!$C$32, $C$9, 100%, $E$9)</f>
        <v>10.5008</v>
      </c>
      <c r="E712" s="81">
        <f>11.7271 * CHOOSE(CONTROL!$C$32, $C$9, 100%, $E$9)</f>
        <v>11.7271</v>
      </c>
      <c r="F712" s="81">
        <f>11.7271 * CHOOSE(CONTROL!$C$32, $C$9, 100%, $E$9)</f>
        <v>11.7271</v>
      </c>
      <c r="G712" s="81">
        <f>11.7308 * CHOOSE(CONTROL!$C$32, $C$9, 100%, $E$9)</f>
        <v>11.7308</v>
      </c>
      <c r="H712" s="81">
        <f>24.0177 * CHOOSE(CONTROL!$C$32, $C$9, 100%, $E$9)</f>
        <v>24.017700000000001</v>
      </c>
      <c r="I712" s="81">
        <f>24.0213 * CHOOSE(CONTROL!$C$32, $C$9, 100%, $E$9)</f>
        <v>24.0213</v>
      </c>
      <c r="J712" s="81">
        <f>24.0177 * CHOOSE(CONTROL!$C$32, $C$9, 100%, $E$9)</f>
        <v>24.017700000000001</v>
      </c>
      <c r="K712" s="81">
        <f>24.0213 * CHOOSE(CONTROL!$C$32, $C$9, 100%, $E$9)</f>
        <v>24.0213</v>
      </c>
      <c r="L712" s="81">
        <f>11.7271 * CHOOSE(CONTROL!$C$32, $C$9, 100%, $E$9)</f>
        <v>11.7271</v>
      </c>
      <c r="M712" s="81">
        <f>11.7308 * CHOOSE(CONTROL!$C$32, $C$9, 100%, $E$9)</f>
        <v>11.7308</v>
      </c>
      <c r="N712" s="81">
        <f>11.7271 * CHOOSE(CONTROL!$C$32, $C$9, 100%, $E$9)</f>
        <v>11.7271</v>
      </c>
      <c r="O712" s="81">
        <f>11.7308 * CHOOSE(CONTROL!$C$32, $C$9, 100%, $E$9)</f>
        <v>11.7308</v>
      </c>
    </row>
    <row r="713" spans="1:15" ht="15" x14ac:dyDescent="0.2">
      <c r="A713" s="16">
        <v>62915</v>
      </c>
      <c r="B713" s="80">
        <f>10.5037 * CHOOSE(CONTROL!$C$32, $C$9, 100%, $E$9)</f>
        <v>10.5037</v>
      </c>
      <c r="C713" s="80">
        <f>10.5037 * CHOOSE(CONTROL!$C$32, $C$9, 100%, $E$9)</f>
        <v>10.5037</v>
      </c>
      <c r="D713" s="80">
        <f>10.5047 * CHOOSE(CONTROL!$C$32, $C$9, 100%, $E$9)</f>
        <v>10.5047</v>
      </c>
      <c r="E713" s="81">
        <f>11.9795 * CHOOSE(CONTROL!$C$32, $C$9, 100%, $E$9)</f>
        <v>11.9795</v>
      </c>
      <c r="F713" s="81">
        <f>11.9795 * CHOOSE(CONTROL!$C$32, $C$9, 100%, $E$9)</f>
        <v>11.9795</v>
      </c>
      <c r="G713" s="81">
        <f>11.9831 * CHOOSE(CONTROL!$C$32, $C$9, 100%, $E$9)</f>
        <v>11.9831</v>
      </c>
      <c r="H713" s="81">
        <f>24.0677 * CHOOSE(CONTROL!$C$32, $C$9, 100%, $E$9)</f>
        <v>24.067699999999999</v>
      </c>
      <c r="I713" s="81">
        <f>24.0713 * CHOOSE(CONTROL!$C$32, $C$9, 100%, $E$9)</f>
        <v>24.071300000000001</v>
      </c>
      <c r="J713" s="81">
        <f>24.0677 * CHOOSE(CONTROL!$C$32, $C$9, 100%, $E$9)</f>
        <v>24.067699999999999</v>
      </c>
      <c r="K713" s="81">
        <f>24.0713 * CHOOSE(CONTROL!$C$32, $C$9, 100%, $E$9)</f>
        <v>24.071300000000001</v>
      </c>
      <c r="L713" s="81">
        <f>11.9795 * CHOOSE(CONTROL!$C$32, $C$9, 100%, $E$9)</f>
        <v>11.9795</v>
      </c>
      <c r="M713" s="81">
        <f>11.9831 * CHOOSE(CONTROL!$C$32, $C$9, 100%, $E$9)</f>
        <v>11.9831</v>
      </c>
      <c r="N713" s="81">
        <f>11.9795 * CHOOSE(CONTROL!$C$32, $C$9, 100%, $E$9)</f>
        <v>11.9795</v>
      </c>
      <c r="O713" s="81">
        <f>11.9831 * CHOOSE(CONTROL!$C$32, $C$9, 100%, $E$9)</f>
        <v>11.9831</v>
      </c>
    </row>
    <row r="714" spans="1:15" ht="15" x14ac:dyDescent="0.2">
      <c r="A714" s="16">
        <v>62945</v>
      </c>
      <c r="B714" s="80">
        <f>10.5037 * CHOOSE(CONTROL!$C$32, $C$9, 100%, $E$9)</f>
        <v>10.5037</v>
      </c>
      <c r="C714" s="80">
        <f>10.5037 * CHOOSE(CONTROL!$C$32, $C$9, 100%, $E$9)</f>
        <v>10.5037</v>
      </c>
      <c r="D714" s="80">
        <f>10.5052 * CHOOSE(CONTROL!$C$32, $C$9, 100%, $E$9)</f>
        <v>10.5052</v>
      </c>
      <c r="E714" s="81">
        <f>12.0757 * CHOOSE(CONTROL!$C$32, $C$9, 100%, $E$9)</f>
        <v>12.075699999999999</v>
      </c>
      <c r="F714" s="81">
        <f>12.0757 * CHOOSE(CONTROL!$C$32, $C$9, 100%, $E$9)</f>
        <v>12.075699999999999</v>
      </c>
      <c r="G714" s="81">
        <f>12.081 * CHOOSE(CONTROL!$C$32, $C$9, 100%, $E$9)</f>
        <v>12.081</v>
      </c>
      <c r="H714" s="81">
        <f>24.1179 * CHOOSE(CONTROL!$C$32, $C$9, 100%, $E$9)</f>
        <v>24.117899999999999</v>
      </c>
      <c r="I714" s="81">
        <f>24.1232 * CHOOSE(CONTROL!$C$32, $C$9, 100%, $E$9)</f>
        <v>24.123200000000001</v>
      </c>
      <c r="J714" s="81">
        <f>24.1179 * CHOOSE(CONTROL!$C$32, $C$9, 100%, $E$9)</f>
        <v>24.117899999999999</v>
      </c>
      <c r="K714" s="81">
        <f>24.1232 * CHOOSE(CONTROL!$C$32, $C$9, 100%, $E$9)</f>
        <v>24.123200000000001</v>
      </c>
      <c r="L714" s="81">
        <f>12.0757 * CHOOSE(CONTROL!$C$32, $C$9, 100%, $E$9)</f>
        <v>12.075699999999999</v>
      </c>
      <c r="M714" s="81">
        <f>12.081 * CHOOSE(CONTROL!$C$32, $C$9, 100%, $E$9)</f>
        <v>12.081</v>
      </c>
      <c r="N714" s="81">
        <f>12.0757 * CHOOSE(CONTROL!$C$32, $C$9, 100%, $E$9)</f>
        <v>12.075699999999999</v>
      </c>
      <c r="O714" s="81">
        <f>12.081 * CHOOSE(CONTROL!$C$32, $C$9, 100%, $E$9)</f>
        <v>12.081</v>
      </c>
    </row>
    <row r="715" spans="1:15" ht="15" x14ac:dyDescent="0.2">
      <c r="A715" s="16">
        <v>62976</v>
      </c>
      <c r="B715" s="80">
        <f>10.5097 * CHOOSE(CONTROL!$C$32, $C$9, 100%, $E$9)</f>
        <v>10.5097</v>
      </c>
      <c r="C715" s="80">
        <f>10.5097 * CHOOSE(CONTROL!$C$32, $C$9, 100%, $E$9)</f>
        <v>10.5097</v>
      </c>
      <c r="D715" s="80">
        <f>10.5113 * CHOOSE(CONTROL!$C$32, $C$9, 100%, $E$9)</f>
        <v>10.5113</v>
      </c>
      <c r="E715" s="81">
        <f>11.9837 * CHOOSE(CONTROL!$C$32, $C$9, 100%, $E$9)</f>
        <v>11.983700000000001</v>
      </c>
      <c r="F715" s="81">
        <f>11.9837 * CHOOSE(CONTROL!$C$32, $C$9, 100%, $E$9)</f>
        <v>11.983700000000001</v>
      </c>
      <c r="G715" s="81">
        <f>11.989 * CHOOSE(CONTROL!$C$32, $C$9, 100%, $E$9)</f>
        <v>11.989000000000001</v>
      </c>
      <c r="H715" s="81">
        <f>24.1681 * CHOOSE(CONTROL!$C$32, $C$9, 100%, $E$9)</f>
        <v>24.168099999999999</v>
      </c>
      <c r="I715" s="81">
        <f>24.1734 * CHOOSE(CONTROL!$C$32, $C$9, 100%, $E$9)</f>
        <v>24.173400000000001</v>
      </c>
      <c r="J715" s="81">
        <f>24.1681 * CHOOSE(CONTROL!$C$32, $C$9, 100%, $E$9)</f>
        <v>24.168099999999999</v>
      </c>
      <c r="K715" s="81">
        <f>24.1734 * CHOOSE(CONTROL!$C$32, $C$9, 100%, $E$9)</f>
        <v>24.173400000000001</v>
      </c>
      <c r="L715" s="81">
        <f>11.9837 * CHOOSE(CONTROL!$C$32, $C$9, 100%, $E$9)</f>
        <v>11.983700000000001</v>
      </c>
      <c r="M715" s="81">
        <f>11.989 * CHOOSE(CONTROL!$C$32, $C$9, 100%, $E$9)</f>
        <v>11.989000000000001</v>
      </c>
      <c r="N715" s="81">
        <f>11.9837 * CHOOSE(CONTROL!$C$32, $C$9, 100%, $E$9)</f>
        <v>11.983700000000001</v>
      </c>
      <c r="O715" s="81">
        <f>11.989 * CHOOSE(CONTROL!$C$32, $C$9, 100%, $E$9)</f>
        <v>11.989000000000001</v>
      </c>
    </row>
    <row r="716" spans="1:15" ht="15" x14ac:dyDescent="0.2">
      <c r="A716" s="16">
        <v>63006</v>
      </c>
      <c r="B716" s="80">
        <f>10.6397 * CHOOSE(CONTROL!$C$32, $C$9, 100%, $E$9)</f>
        <v>10.639699999999999</v>
      </c>
      <c r="C716" s="80">
        <f>10.6397 * CHOOSE(CONTROL!$C$32, $C$9, 100%, $E$9)</f>
        <v>10.639699999999999</v>
      </c>
      <c r="D716" s="80">
        <f>10.6413 * CHOOSE(CONTROL!$C$32, $C$9, 100%, $E$9)</f>
        <v>10.641299999999999</v>
      </c>
      <c r="E716" s="81">
        <f>12.152 * CHOOSE(CONTROL!$C$32, $C$9, 100%, $E$9)</f>
        <v>12.151999999999999</v>
      </c>
      <c r="F716" s="81">
        <f>12.152 * CHOOSE(CONTROL!$C$32, $C$9, 100%, $E$9)</f>
        <v>12.151999999999999</v>
      </c>
      <c r="G716" s="81">
        <f>12.1573 * CHOOSE(CONTROL!$C$32, $C$9, 100%, $E$9)</f>
        <v>12.157299999999999</v>
      </c>
      <c r="H716" s="81">
        <f>24.2185 * CHOOSE(CONTROL!$C$32, $C$9, 100%, $E$9)</f>
        <v>24.218499999999999</v>
      </c>
      <c r="I716" s="81">
        <f>24.2237 * CHOOSE(CONTROL!$C$32, $C$9, 100%, $E$9)</f>
        <v>24.223700000000001</v>
      </c>
      <c r="J716" s="81">
        <f>24.2185 * CHOOSE(CONTROL!$C$32, $C$9, 100%, $E$9)</f>
        <v>24.218499999999999</v>
      </c>
      <c r="K716" s="81">
        <f>24.2237 * CHOOSE(CONTROL!$C$32, $C$9, 100%, $E$9)</f>
        <v>24.223700000000001</v>
      </c>
      <c r="L716" s="81">
        <f>12.152 * CHOOSE(CONTROL!$C$32, $C$9, 100%, $E$9)</f>
        <v>12.151999999999999</v>
      </c>
      <c r="M716" s="81">
        <f>12.1573 * CHOOSE(CONTROL!$C$32, $C$9, 100%, $E$9)</f>
        <v>12.157299999999999</v>
      </c>
      <c r="N716" s="81">
        <f>12.152 * CHOOSE(CONTROL!$C$32, $C$9, 100%, $E$9)</f>
        <v>12.151999999999999</v>
      </c>
      <c r="O716" s="81">
        <f>12.1573 * CHOOSE(CONTROL!$C$32, $C$9, 100%, $E$9)</f>
        <v>12.157299999999999</v>
      </c>
    </row>
    <row r="717" spans="1:15" ht="15" x14ac:dyDescent="0.2">
      <c r="A717" s="16">
        <v>63037</v>
      </c>
      <c r="B717" s="80">
        <f>10.6464 * CHOOSE(CONTROL!$C$32, $C$9, 100%, $E$9)</f>
        <v>10.6464</v>
      </c>
      <c r="C717" s="80">
        <f>10.6464 * CHOOSE(CONTROL!$C$32, $C$9, 100%, $E$9)</f>
        <v>10.6464</v>
      </c>
      <c r="D717" s="80">
        <f>10.648 * CHOOSE(CONTROL!$C$32, $C$9, 100%, $E$9)</f>
        <v>10.648</v>
      </c>
      <c r="E717" s="81">
        <f>11.868 * CHOOSE(CONTROL!$C$32, $C$9, 100%, $E$9)</f>
        <v>11.868</v>
      </c>
      <c r="F717" s="81">
        <f>11.868 * CHOOSE(CONTROL!$C$32, $C$9, 100%, $E$9)</f>
        <v>11.868</v>
      </c>
      <c r="G717" s="81">
        <f>11.8733 * CHOOSE(CONTROL!$C$32, $C$9, 100%, $E$9)</f>
        <v>11.8733</v>
      </c>
      <c r="H717" s="81">
        <f>24.2689 * CHOOSE(CONTROL!$C$32, $C$9, 100%, $E$9)</f>
        <v>24.268899999999999</v>
      </c>
      <c r="I717" s="81">
        <f>24.2742 * CHOOSE(CONTROL!$C$32, $C$9, 100%, $E$9)</f>
        <v>24.2742</v>
      </c>
      <c r="J717" s="81">
        <f>24.2689 * CHOOSE(CONTROL!$C$32, $C$9, 100%, $E$9)</f>
        <v>24.268899999999999</v>
      </c>
      <c r="K717" s="81">
        <f>24.2742 * CHOOSE(CONTROL!$C$32, $C$9, 100%, $E$9)</f>
        <v>24.2742</v>
      </c>
      <c r="L717" s="81">
        <f>11.868 * CHOOSE(CONTROL!$C$32, $C$9, 100%, $E$9)</f>
        <v>11.868</v>
      </c>
      <c r="M717" s="81">
        <f>11.8733 * CHOOSE(CONTROL!$C$32, $C$9, 100%, $E$9)</f>
        <v>11.8733</v>
      </c>
      <c r="N717" s="81">
        <f>11.868 * CHOOSE(CONTROL!$C$32, $C$9, 100%, $E$9)</f>
        <v>11.868</v>
      </c>
      <c r="O717" s="81">
        <f>11.8733 * CHOOSE(CONTROL!$C$32, $C$9, 100%, $E$9)</f>
        <v>11.8733</v>
      </c>
    </row>
    <row r="718" spans="1:15" ht="15" x14ac:dyDescent="0.2">
      <c r="A718" s="16">
        <v>63068</v>
      </c>
      <c r="B718" s="80">
        <f>10.6434 * CHOOSE(CONTROL!$C$32, $C$9, 100%, $E$9)</f>
        <v>10.6434</v>
      </c>
      <c r="C718" s="80">
        <f>10.6434 * CHOOSE(CONTROL!$C$32, $C$9, 100%, $E$9)</f>
        <v>10.6434</v>
      </c>
      <c r="D718" s="80">
        <f>10.6449 * CHOOSE(CONTROL!$C$32, $C$9, 100%, $E$9)</f>
        <v>10.6449</v>
      </c>
      <c r="E718" s="81">
        <f>11.8338 * CHOOSE(CONTROL!$C$32, $C$9, 100%, $E$9)</f>
        <v>11.8338</v>
      </c>
      <c r="F718" s="81">
        <f>11.8338 * CHOOSE(CONTROL!$C$32, $C$9, 100%, $E$9)</f>
        <v>11.8338</v>
      </c>
      <c r="G718" s="81">
        <f>11.8391 * CHOOSE(CONTROL!$C$32, $C$9, 100%, $E$9)</f>
        <v>11.8391</v>
      </c>
      <c r="H718" s="81">
        <f>24.3195 * CHOOSE(CONTROL!$C$32, $C$9, 100%, $E$9)</f>
        <v>24.319500000000001</v>
      </c>
      <c r="I718" s="81">
        <f>24.3248 * CHOOSE(CONTROL!$C$32, $C$9, 100%, $E$9)</f>
        <v>24.3248</v>
      </c>
      <c r="J718" s="81">
        <f>24.3195 * CHOOSE(CONTROL!$C$32, $C$9, 100%, $E$9)</f>
        <v>24.319500000000001</v>
      </c>
      <c r="K718" s="81">
        <f>24.3248 * CHOOSE(CONTROL!$C$32, $C$9, 100%, $E$9)</f>
        <v>24.3248</v>
      </c>
      <c r="L718" s="81">
        <f>11.8338 * CHOOSE(CONTROL!$C$32, $C$9, 100%, $E$9)</f>
        <v>11.8338</v>
      </c>
      <c r="M718" s="81">
        <f>11.8391 * CHOOSE(CONTROL!$C$32, $C$9, 100%, $E$9)</f>
        <v>11.8391</v>
      </c>
      <c r="N718" s="81">
        <f>11.8338 * CHOOSE(CONTROL!$C$32, $C$9, 100%, $E$9)</f>
        <v>11.8338</v>
      </c>
      <c r="O718" s="81">
        <f>11.8391 * CHOOSE(CONTROL!$C$32, $C$9, 100%, $E$9)</f>
        <v>11.8391</v>
      </c>
    </row>
    <row r="719" spans="1:15" ht="15" x14ac:dyDescent="0.2">
      <c r="A719" s="16">
        <v>63098</v>
      </c>
      <c r="B719" s="80">
        <f>10.6632 * CHOOSE(CONTROL!$C$32, $C$9, 100%, $E$9)</f>
        <v>10.6632</v>
      </c>
      <c r="C719" s="80">
        <f>10.6632 * CHOOSE(CONTROL!$C$32, $C$9, 100%, $E$9)</f>
        <v>10.6632</v>
      </c>
      <c r="D719" s="80">
        <f>10.6643 * CHOOSE(CONTROL!$C$32, $C$9, 100%, $E$9)</f>
        <v>10.664300000000001</v>
      </c>
      <c r="E719" s="81">
        <f>11.9487 * CHOOSE(CONTROL!$C$32, $C$9, 100%, $E$9)</f>
        <v>11.948700000000001</v>
      </c>
      <c r="F719" s="81">
        <f>11.9487 * CHOOSE(CONTROL!$C$32, $C$9, 100%, $E$9)</f>
        <v>11.948700000000001</v>
      </c>
      <c r="G719" s="81">
        <f>11.9523 * CHOOSE(CONTROL!$C$32, $C$9, 100%, $E$9)</f>
        <v>11.952299999999999</v>
      </c>
      <c r="H719" s="81">
        <f>24.3701 * CHOOSE(CONTROL!$C$32, $C$9, 100%, $E$9)</f>
        <v>24.370100000000001</v>
      </c>
      <c r="I719" s="81">
        <f>24.3738 * CHOOSE(CONTROL!$C$32, $C$9, 100%, $E$9)</f>
        <v>24.373799999999999</v>
      </c>
      <c r="J719" s="81">
        <f>24.3701 * CHOOSE(CONTROL!$C$32, $C$9, 100%, $E$9)</f>
        <v>24.370100000000001</v>
      </c>
      <c r="K719" s="81">
        <f>24.3738 * CHOOSE(CONTROL!$C$32, $C$9, 100%, $E$9)</f>
        <v>24.373799999999999</v>
      </c>
      <c r="L719" s="81">
        <f>11.9487 * CHOOSE(CONTROL!$C$32, $C$9, 100%, $E$9)</f>
        <v>11.948700000000001</v>
      </c>
      <c r="M719" s="81">
        <f>11.9523 * CHOOSE(CONTROL!$C$32, $C$9, 100%, $E$9)</f>
        <v>11.952299999999999</v>
      </c>
      <c r="N719" s="81">
        <f>11.9487 * CHOOSE(CONTROL!$C$32, $C$9, 100%, $E$9)</f>
        <v>11.948700000000001</v>
      </c>
      <c r="O719" s="81">
        <f>11.9523 * CHOOSE(CONTROL!$C$32, $C$9, 100%, $E$9)</f>
        <v>11.952299999999999</v>
      </c>
    </row>
    <row r="720" spans="1:15" ht="15" x14ac:dyDescent="0.2">
      <c r="A720" s="16">
        <v>63129</v>
      </c>
      <c r="B720" s="80">
        <f>10.6663 * CHOOSE(CONTROL!$C$32, $C$9, 100%, $E$9)</f>
        <v>10.6663</v>
      </c>
      <c r="C720" s="80">
        <f>10.6663 * CHOOSE(CONTROL!$C$32, $C$9, 100%, $E$9)</f>
        <v>10.6663</v>
      </c>
      <c r="D720" s="80">
        <f>10.6673 * CHOOSE(CONTROL!$C$32, $C$9, 100%, $E$9)</f>
        <v>10.667299999999999</v>
      </c>
      <c r="E720" s="81">
        <f>12.015 * CHOOSE(CONTROL!$C$32, $C$9, 100%, $E$9)</f>
        <v>12.015000000000001</v>
      </c>
      <c r="F720" s="81">
        <f>12.015 * CHOOSE(CONTROL!$C$32, $C$9, 100%, $E$9)</f>
        <v>12.015000000000001</v>
      </c>
      <c r="G720" s="81">
        <f>12.0186 * CHOOSE(CONTROL!$C$32, $C$9, 100%, $E$9)</f>
        <v>12.018599999999999</v>
      </c>
      <c r="H720" s="81">
        <f>24.4209 * CHOOSE(CONTROL!$C$32, $C$9, 100%, $E$9)</f>
        <v>24.4209</v>
      </c>
      <c r="I720" s="81">
        <f>24.4245 * CHOOSE(CONTROL!$C$32, $C$9, 100%, $E$9)</f>
        <v>24.424499999999998</v>
      </c>
      <c r="J720" s="81">
        <f>24.4209 * CHOOSE(CONTROL!$C$32, $C$9, 100%, $E$9)</f>
        <v>24.4209</v>
      </c>
      <c r="K720" s="81">
        <f>24.4245 * CHOOSE(CONTROL!$C$32, $C$9, 100%, $E$9)</f>
        <v>24.424499999999998</v>
      </c>
      <c r="L720" s="81">
        <f>12.015 * CHOOSE(CONTROL!$C$32, $C$9, 100%, $E$9)</f>
        <v>12.015000000000001</v>
      </c>
      <c r="M720" s="81">
        <f>12.0186 * CHOOSE(CONTROL!$C$32, $C$9, 100%, $E$9)</f>
        <v>12.018599999999999</v>
      </c>
      <c r="N720" s="81">
        <f>12.015 * CHOOSE(CONTROL!$C$32, $C$9, 100%, $E$9)</f>
        <v>12.015000000000001</v>
      </c>
      <c r="O720" s="81">
        <f>12.0186 * CHOOSE(CONTROL!$C$32, $C$9, 100%, $E$9)</f>
        <v>12.018599999999999</v>
      </c>
    </row>
    <row r="721" spans="1:15" ht="15" x14ac:dyDescent="0.2">
      <c r="A721" s="16">
        <v>63159</v>
      </c>
      <c r="B721" s="80">
        <f>10.6663 * CHOOSE(CONTROL!$C$32, $C$9, 100%, $E$9)</f>
        <v>10.6663</v>
      </c>
      <c r="C721" s="80">
        <f>10.6663 * CHOOSE(CONTROL!$C$32, $C$9, 100%, $E$9)</f>
        <v>10.6663</v>
      </c>
      <c r="D721" s="80">
        <f>10.6673 * CHOOSE(CONTROL!$C$32, $C$9, 100%, $E$9)</f>
        <v>10.667299999999999</v>
      </c>
      <c r="E721" s="81">
        <f>11.8546 * CHOOSE(CONTROL!$C$32, $C$9, 100%, $E$9)</f>
        <v>11.8546</v>
      </c>
      <c r="F721" s="81">
        <f>11.8546 * CHOOSE(CONTROL!$C$32, $C$9, 100%, $E$9)</f>
        <v>11.8546</v>
      </c>
      <c r="G721" s="81">
        <f>11.8582 * CHOOSE(CONTROL!$C$32, $C$9, 100%, $E$9)</f>
        <v>11.8582</v>
      </c>
      <c r="H721" s="81">
        <f>24.4718 * CHOOSE(CONTROL!$C$32, $C$9, 100%, $E$9)</f>
        <v>24.471800000000002</v>
      </c>
      <c r="I721" s="81">
        <f>24.4754 * CHOOSE(CONTROL!$C$32, $C$9, 100%, $E$9)</f>
        <v>24.4754</v>
      </c>
      <c r="J721" s="81">
        <f>24.4718 * CHOOSE(CONTROL!$C$32, $C$9, 100%, $E$9)</f>
        <v>24.471800000000002</v>
      </c>
      <c r="K721" s="81">
        <f>24.4754 * CHOOSE(CONTROL!$C$32, $C$9, 100%, $E$9)</f>
        <v>24.4754</v>
      </c>
      <c r="L721" s="81">
        <f>11.8546 * CHOOSE(CONTROL!$C$32, $C$9, 100%, $E$9)</f>
        <v>11.8546</v>
      </c>
      <c r="M721" s="81">
        <f>11.8582 * CHOOSE(CONTROL!$C$32, $C$9, 100%, $E$9)</f>
        <v>11.8582</v>
      </c>
      <c r="N721" s="81">
        <f>11.8546 * CHOOSE(CONTROL!$C$32, $C$9, 100%, $E$9)</f>
        <v>11.8546</v>
      </c>
      <c r="O721" s="81">
        <f>11.8582 * CHOOSE(CONTROL!$C$32, $C$9, 100%, $E$9)</f>
        <v>11.8582</v>
      </c>
    </row>
    <row r="722" spans="1:15" ht="15" x14ac:dyDescent="0.2">
      <c r="A722" s="16">
        <v>63190</v>
      </c>
      <c r="B722" s="80">
        <f>10.6931 * CHOOSE(CONTROL!$C$32, $C$9, 100%, $E$9)</f>
        <v>10.693099999999999</v>
      </c>
      <c r="C722" s="80">
        <f>10.6931 * CHOOSE(CONTROL!$C$32, $C$9, 100%, $E$9)</f>
        <v>10.693099999999999</v>
      </c>
      <c r="D722" s="80">
        <f>10.6942 * CHOOSE(CONTROL!$C$32, $C$9, 100%, $E$9)</f>
        <v>10.6942</v>
      </c>
      <c r="E722" s="81">
        <f>12.008 * CHOOSE(CONTROL!$C$32, $C$9, 100%, $E$9)</f>
        <v>12.007999999999999</v>
      </c>
      <c r="F722" s="81">
        <f>12.008 * CHOOSE(CONTROL!$C$32, $C$9, 100%, $E$9)</f>
        <v>12.007999999999999</v>
      </c>
      <c r="G722" s="81">
        <f>12.0116 * CHOOSE(CONTROL!$C$32, $C$9, 100%, $E$9)</f>
        <v>12.0116</v>
      </c>
      <c r="H722" s="81">
        <f>24.382 * CHOOSE(CONTROL!$C$32, $C$9, 100%, $E$9)</f>
        <v>24.382000000000001</v>
      </c>
      <c r="I722" s="81">
        <f>24.3856 * CHOOSE(CONTROL!$C$32, $C$9, 100%, $E$9)</f>
        <v>24.3856</v>
      </c>
      <c r="J722" s="81">
        <f>24.382 * CHOOSE(CONTROL!$C$32, $C$9, 100%, $E$9)</f>
        <v>24.382000000000001</v>
      </c>
      <c r="K722" s="81">
        <f>24.3856 * CHOOSE(CONTROL!$C$32, $C$9, 100%, $E$9)</f>
        <v>24.3856</v>
      </c>
      <c r="L722" s="81">
        <f>12.008 * CHOOSE(CONTROL!$C$32, $C$9, 100%, $E$9)</f>
        <v>12.007999999999999</v>
      </c>
      <c r="M722" s="81">
        <f>12.0116 * CHOOSE(CONTROL!$C$32, $C$9, 100%, $E$9)</f>
        <v>12.0116</v>
      </c>
      <c r="N722" s="81">
        <f>12.008 * CHOOSE(CONTROL!$C$32, $C$9, 100%, $E$9)</f>
        <v>12.007999999999999</v>
      </c>
      <c r="O722" s="81">
        <f>12.0116 * CHOOSE(CONTROL!$C$32, $C$9, 100%, $E$9)</f>
        <v>12.0116</v>
      </c>
    </row>
    <row r="723" spans="1:15" ht="15" x14ac:dyDescent="0.2">
      <c r="A723" s="16">
        <v>63221</v>
      </c>
      <c r="B723" s="80">
        <f>10.6901 * CHOOSE(CONTROL!$C$32, $C$9, 100%, $E$9)</f>
        <v>10.690099999999999</v>
      </c>
      <c r="C723" s="80">
        <f>10.6901 * CHOOSE(CONTROL!$C$32, $C$9, 100%, $E$9)</f>
        <v>10.690099999999999</v>
      </c>
      <c r="D723" s="80">
        <f>10.6912 * CHOOSE(CONTROL!$C$32, $C$9, 100%, $E$9)</f>
        <v>10.6912</v>
      </c>
      <c r="E723" s="81">
        <f>11.6957 * CHOOSE(CONTROL!$C$32, $C$9, 100%, $E$9)</f>
        <v>11.6957</v>
      </c>
      <c r="F723" s="81">
        <f>11.6957 * CHOOSE(CONTROL!$C$32, $C$9, 100%, $E$9)</f>
        <v>11.6957</v>
      </c>
      <c r="G723" s="81">
        <f>11.6994 * CHOOSE(CONTROL!$C$32, $C$9, 100%, $E$9)</f>
        <v>11.699400000000001</v>
      </c>
      <c r="H723" s="81">
        <f>24.4327 * CHOOSE(CONTROL!$C$32, $C$9, 100%, $E$9)</f>
        <v>24.432700000000001</v>
      </c>
      <c r="I723" s="81">
        <f>24.4364 * CHOOSE(CONTROL!$C$32, $C$9, 100%, $E$9)</f>
        <v>24.436399999999999</v>
      </c>
      <c r="J723" s="81">
        <f>24.4327 * CHOOSE(CONTROL!$C$32, $C$9, 100%, $E$9)</f>
        <v>24.432700000000001</v>
      </c>
      <c r="K723" s="81">
        <f>24.4364 * CHOOSE(CONTROL!$C$32, $C$9, 100%, $E$9)</f>
        <v>24.436399999999999</v>
      </c>
      <c r="L723" s="81">
        <f>11.6957 * CHOOSE(CONTROL!$C$32, $C$9, 100%, $E$9)</f>
        <v>11.6957</v>
      </c>
      <c r="M723" s="81">
        <f>11.6994 * CHOOSE(CONTROL!$C$32, $C$9, 100%, $E$9)</f>
        <v>11.699400000000001</v>
      </c>
      <c r="N723" s="81">
        <f>11.6957 * CHOOSE(CONTROL!$C$32, $C$9, 100%, $E$9)</f>
        <v>11.6957</v>
      </c>
      <c r="O723" s="81">
        <f>11.6994 * CHOOSE(CONTROL!$C$32, $C$9, 100%, $E$9)</f>
        <v>11.699400000000001</v>
      </c>
    </row>
    <row r="724" spans="1:15" ht="15" x14ac:dyDescent="0.2">
      <c r="A724" s="16">
        <v>63249</v>
      </c>
      <c r="B724" s="80">
        <f>10.6871 * CHOOSE(CONTROL!$C$32, $C$9, 100%, $E$9)</f>
        <v>10.687099999999999</v>
      </c>
      <c r="C724" s="80">
        <f>10.6871 * CHOOSE(CONTROL!$C$32, $C$9, 100%, $E$9)</f>
        <v>10.687099999999999</v>
      </c>
      <c r="D724" s="80">
        <f>10.6881 * CHOOSE(CONTROL!$C$32, $C$9, 100%, $E$9)</f>
        <v>10.6881</v>
      </c>
      <c r="E724" s="81">
        <f>11.9381 * CHOOSE(CONTROL!$C$32, $C$9, 100%, $E$9)</f>
        <v>11.9381</v>
      </c>
      <c r="F724" s="81">
        <f>11.9381 * CHOOSE(CONTROL!$C$32, $C$9, 100%, $E$9)</f>
        <v>11.9381</v>
      </c>
      <c r="G724" s="81">
        <f>11.9418 * CHOOSE(CONTROL!$C$32, $C$9, 100%, $E$9)</f>
        <v>11.941800000000001</v>
      </c>
      <c r="H724" s="81">
        <f>24.4836 * CHOOSE(CONTROL!$C$32, $C$9, 100%, $E$9)</f>
        <v>24.483599999999999</v>
      </c>
      <c r="I724" s="81">
        <f>24.4873 * CHOOSE(CONTROL!$C$32, $C$9, 100%, $E$9)</f>
        <v>24.487300000000001</v>
      </c>
      <c r="J724" s="81">
        <f>24.4836 * CHOOSE(CONTROL!$C$32, $C$9, 100%, $E$9)</f>
        <v>24.483599999999999</v>
      </c>
      <c r="K724" s="81">
        <f>24.4873 * CHOOSE(CONTROL!$C$32, $C$9, 100%, $E$9)</f>
        <v>24.487300000000001</v>
      </c>
      <c r="L724" s="81">
        <f>11.9381 * CHOOSE(CONTROL!$C$32, $C$9, 100%, $E$9)</f>
        <v>11.9381</v>
      </c>
      <c r="M724" s="81">
        <f>11.9418 * CHOOSE(CONTROL!$C$32, $C$9, 100%, $E$9)</f>
        <v>11.941800000000001</v>
      </c>
      <c r="N724" s="81">
        <f>11.9381 * CHOOSE(CONTROL!$C$32, $C$9, 100%, $E$9)</f>
        <v>11.9381</v>
      </c>
      <c r="O724" s="81">
        <f>11.9418 * CHOOSE(CONTROL!$C$32, $C$9, 100%, $E$9)</f>
        <v>11.941800000000001</v>
      </c>
    </row>
    <row r="725" spans="1:15" ht="15" x14ac:dyDescent="0.2">
      <c r="A725" s="16">
        <v>63280</v>
      </c>
      <c r="B725" s="80">
        <f>10.6912 * CHOOSE(CONTROL!$C$32, $C$9, 100%, $E$9)</f>
        <v>10.6912</v>
      </c>
      <c r="C725" s="80">
        <f>10.6912 * CHOOSE(CONTROL!$C$32, $C$9, 100%, $E$9)</f>
        <v>10.6912</v>
      </c>
      <c r="D725" s="80">
        <f>10.6923 * CHOOSE(CONTROL!$C$32, $C$9, 100%, $E$9)</f>
        <v>10.692299999999999</v>
      </c>
      <c r="E725" s="81">
        <f>12.1965 * CHOOSE(CONTROL!$C$32, $C$9, 100%, $E$9)</f>
        <v>12.1965</v>
      </c>
      <c r="F725" s="81">
        <f>12.1965 * CHOOSE(CONTROL!$C$32, $C$9, 100%, $E$9)</f>
        <v>12.1965</v>
      </c>
      <c r="G725" s="81">
        <f>12.2001 * CHOOSE(CONTROL!$C$32, $C$9, 100%, $E$9)</f>
        <v>12.200100000000001</v>
      </c>
      <c r="H725" s="81">
        <f>24.5347 * CHOOSE(CONTROL!$C$32, $C$9, 100%, $E$9)</f>
        <v>24.534700000000001</v>
      </c>
      <c r="I725" s="81">
        <f>24.5383 * CHOOSE(CONTROL!$C$32, $C$9, 100%, $E$9)</f>
        <v>24.5383</v>
      </c>
      <c r="J725" s="81">
        <f>24.5347 * CHOOSE(CONTROL!$C$32, $C$9, 100%, $E$9)</f>
        <v>24.534700000000001</v>
      </c>
      <c r="K725" s="81">
        <f>24.5383 * CHOOSE(CONTROL!$C$32, $C$9, 100%, $E$9)</f>
        <v>24.5383</v>
      </c>
      <c r="L725" s="81">
        <f>12.1965 * CHOOSE(CONTROL!$C$32, $C$9, 100%, $E$9)</f>
        <v>12.1965</v>
      </c>
      <c r="M725" s="81">
        <f>12.2001 * CHOOSE(CONTROL!$C$32, $C$9, 100%, $E$9)</f>
        <v>12.200100000000001</v>
      </c>
      <c r="N725" s="81">
        <f>12.1965 * CHOOSE(CONTROL!$C$32, $C$9, 100%, $E$9)</f>
        <v>12.1965</v>
      </c>
      <c r="O725" s="81">
        <f>12.2001 * CHOOSE(CONTROL!$C$32, $C$9, 100%, $E$9)</f>
        <v>12.200100000000001</v>
      </c>
    </row>
    <row r="726" spans="1:15" ht="15" x14ac:dyDescent="0.2">
      <c r="A726" s="16">
        <v>63310</v>
      </c>
      <c r="B726" s="80">
        <f>10.6912 * CHOOSE(CONTROL!$C$32, $C$9, 100%, $E$9)</f>
        <v>10.6912</v>
      </c>
      <c r="C726" s="80">
        <f>10.6912 * CHOOSE(CONTROL!$C$32, $C$9, 100%, $E$9)</f>
        <v>10.6912</v>
      </c>
      <c r="D726" s="80">
        <f>10.6928 * CHOOSE(CONTROL!$C$32, $C$9, 100%, $E$9)</f>
        <v>10.6928</v>
      </c>
      <c r="E726" s="81">
        <f>12.295 * CHOOSE(CONTROL!$C$32, $C$9, 100%, $E$9)</f>
        <v>12.295</v>
      </c>
      <c r="F726" s="81">
        <f>12.295 * CHOOSE(CONTROL!$C$32, $C$9, 100%, $E$9)</f>
        <v>12.295</v>
      </c>
      <c r="G726" s="81">
        <f>12.3003 * CHOOSE(CONTROL!$C$32, $C$9, 100%, $E$9)</f>
        <v>12.3003</v>
      </c>
      <c r="H726" s="81">
        <f>24.5858 * CHOOSE(CONTROL!$C$32, $C$9, 100%, $E$9)</f>
        <v>24.585799999999999</v>
      </c>
      <c r="I726" s="81">
        <f>24.5911 * CHOOSE(CONTROL!$C$32, $C$9, 100%, $E$9)</f>
        <v>24.591100000000001</v>
      </c>
      <c r="J726" s="81">
        <f>24.5858 * CHOOSE(CONTROL!$C$32, $C$9, 100%, $E$9)</f>
        <v>24.585799999999999</v>
      </c>
      <c r="K726" s="81">
        <f>24.5911 * CHOOSE(CONTROL!$C$32, $C$9, 100%, $E$9)</f>
        <v>24.591100000000001</v>
      </c>
      <c r="L726" s="81">
        <f>12.295 * CHOOSE(CONTROL!$C$32, $C$9, 100%, $E$9)</f>
        <v>12.295</v>
      </c>
      <c r="M726" s="81">
        <f>12.3003 * CHOOSE(CONTROL!$C$32, $C$9, 100%, $E$9)</f>
        <v>12.3003</v>
      </c>
      <c r="N726" s="81">
        <f>12.295 * CHOOSE(CONTROL!$C$32, $C$9, 100%, $E$9)</f>
        <v>12.295</v>
      </c>
      <c r="O726" s="81">
        <f>12.3003 * CHOOSE(CONTROL!$C$32, $C$9, 100%, $E$9)</f>
        <v>12.3003</v>
      </c>
    </row>
    <row r="727" spans="1:15" ht="15" x14ac:dyDescent="0.2">
      <c r="A727" s="16">
        <v>63341</v>
      </c>
      <c r="B727" s="80">
        <f>10.6973 * CHOOSE(CONTROL!$C$32, $C$9, 100%, $E$9)</f>
        <v>10.6973</v>
      </c>
      <c r="C727" s="80">
        <f>10.6973 * CHOOSE(CONTROL!$C$32, $C$9, 100%, $E$9)</f>
        <v>10.6973</v>
      </c>
      <c r="D727" s="80">
        <f>10.6989 * CHOOSE(CONTROL!$C$32, $C$9, 100%, $E$9)</f>
        <v>10.6989</v>
      </c>
      <c r="E727" s="81">
        <f>12.2007 * CHOOSE(CONTROL!$C$32, $C$9, 100%, $E$9)</f>
        <v>12.200699999999999</v>
      </c>
      <c r="F727" s="81">
        <f>12.2007 * CHOOSE(CONTROL!$C$32, $C$9, 100%, $E$9)</f>
        <v>12.200699999999999</v>
      </c>
      <c r="G727" s="81">
        <f>12.206 * CHOOSE(CONTROL!$C$32, $C$9, 100%, $E$9)</f>
        <v>12.206</v>
      </c>
      <c r="H727" s="81">
        <f>24.637 * CHOOSE(CONTROL!$C$32, $C$9, 100%, $E$9)</f>
        <v>24.637</v>
      </c>
      <c r="I727" s="81">
        <f>24.6423 * CHOOSE(CONTROL!$C$32, $C$9, 100%, $E$9)</f>
        <v>24.642299999999999</v>
      </c>
      <c r="J727" s="81">
        <f>24.637 * CHOOSE(CONTROL!$C$32, $C$9, 100%, $E$9)</f>
        <v>24.637</v>
      </c>
      <c r="K727" s="81">
        <f>24.6423 * CHOOSE(CONTROL!$C$32, $C$9, 100%, $E$9)</f>
        <v>24.642299999999999</v>
      </c>
      <c r="L727" s="81">
        <f>12.2007 * CHOOSE(CONTROL!$C$32, $C$9, 100%, $E$9)</f>
        <v>12.200699999999999</v>
      </c>
      <c r="M727" s="81">
        <f>12.206 * CHOOSE(CONTROL!$C$32, $C$9, 100%, $E$9)</f>
        <v>12.206</v>
      </c>
      <c r="N727" s="81">
        <f>12.2007 * CHOOSE(CONTROL!$C$32, $C$9, 100%, $E$9)</f>
        <v>12.200699999999999</v>
      </c>
      <c r="O727" s="81">
        <f>12.206 * CHOOSE(CONTROL!$C$32, $C$9, 100%, $E$9)</f>
        <v>12.206</v>
      </c>
    </row>
    <row r="728" spans="1:15" ht="15" x14ac:dyDescent="0.2">
      <c r="A728" s="16">
        <v>63371</v>
      </c>
      <c r="B728" s="80">
        <f>10.8293 * CHOOSE(CONTROL!$C$32, $C$9, 100%, $E$9)</f>
        <v>10.8293</v>
      </c>
      <c r="C728" s="80">
        <f>10.8293 * CHOOSE(CONTROL!$C$32, $C$9, 100%, $E$9)</f>
        <v>10.8293</v>
      </c>
      <c r="D728" s="80">
        <f>10.8309 * CHOOSE(CONTROL!$C$32, $C$9, 100%, $E$9)</f>
        <v>10.8309</v>
      </c>
      <c r="E728" s="81">
        <f>12.3722 * CHOOSE(CONTROL!$C$32, $C$9, 100%, $E$9)</f>
        <v>12.372199999999999</v>
      </c>
      <c r="F728" s="81">
        <f>12.3722 * CHOOSE(CONTROL!$C$32, $C$9, 100%, $E$9)</f>
        <v>12.372199999999999</v>
      </c>
      <c r="G728" s="81">
        <f>12.3775 * CHOOSE(CONTROL!$C$32, $C$9, 100%, $E$9)</f>
        <v>12.3775</v>
      </c>
      <c r="H728" s="81">
        <f>24.6883 * CHOOSE(CONTROL!$C$32, $C$9, 100%, $E$9)</f>
        <v>24.688300000000002</v>
      </c>
      <c r="I728" s="81">
        <f>24.6936 * CHOOSE(CONTROL!$C$32, $C$9, 100%, $E$9)</f>
        <v>24.6936</v>
      </c>
      <c r="J728" s="81">
        <f>24.6883 * CHOOSE(CONTROL!$C$32, $C$9, 100%, $E$9)</f>
        <v>24.688300000000002</v>
      </c>
      <c r="K728" s="81">
        <f>24.6936 * CHOOSE(CONTROL!$C$32, $C$9, 100%, $E$9)</f>
        <v>24.6936</v>
      </c>
      <c r="L728" s="81">
        <f>12.3722 * CHOOSE(CONTROL!$C$32, $C$9, 100%, $E$9)</f>
        <v>12.372199999999999</v>
      </c>
      <c r="M728" s="81">
        <f>12.3775 * CHOOSE(CONTROL!$C$32, $C$9, 100%, $E$9)</f>
        <v>12.3775</v>
      </c>
      <c r="N728" s="81">
        <f>12.3722 * CHOOSE(CONTROL!$C$32, $C$9, 100%, $E$9)</f>
        <v>12.372199999999999</v>
      </c>
      <c r="O728" s="81">
        <f>12.3775 * CHOOSE(CONTROL!$C$32, $C$9, 100%, $E$9)</f>
        <v>12.3775</v>
      </c>
    </row>
    <row r="729" spans="1:15" ht="15" x14ac:dyDescent="0.2">
      <c r="A729" s="16">
        <v>63402</v>
      </c>
      <c r="B729" s="80">
        <f>10.836 * CHOOSE(CONTROL!$C$32, $C$9, 100%, $E$9)</f>
        <v>10.836</v>
      </c>
      <c r="C729" s="80">
        <f>10.836 * CHOOSE(CONTROL!$C$32, $C$9, 100%, $E$9)</f>
        <v>10.836</v>
      </c>
      <c r="D729" s="80">
        <f>10.8376 * CHOOSE(CONTROL!$C$32, $C$9, 100%, $E$9)</f>
        <v>10.8376</v>
      </c>
      <c r="E729" s="81">
        <f>12.0815 * CHOOSE(CONTROL!$C$32, $C$9, 100%, $E$9)</f>
        <v>12.0815</v>
      </c>
      <c r="F729" s="81">
        <f>12.0815 * CHOOSE(CONTROL!$C$32, $C$9, 100%, $E$9)</f>
        <v>12.0815</v>
      </c>
      <c r="G729" s="81">
        <f>12.0868 * CHOOSE(CONTROL!$C$32, $C$9, 100%, $E$9)</f>
        <v>12.0868</v>
      </c>
      <c r="H729" s="81">
        <f>24.7398 * CHOOSE(CONTROL!$C$32, $C$9, 100%, $E$9)</f>
        <v>24.739799999999999</v>
      </c>
      <c r="I729" s="81">
        <f>24.745 * CHOOSE(CONTROL!$C$32, $C$9, 100%, $E$9)</f>
        <v>24.745000000000001</v>
      </c>
      <c r="J729" s="81">
        <f>24.7398 * CHOOSE(CONTROL!$C$32, $C$9, 100%, $E$9)</f>
        <v>24.739799999999999</v>
      </c>
      <c r="K729" s="81">
        <f>24.745 * CHOOSE(CONTROL!$C$32, $C$9, 100%, $E$9)</f>
        <v>24.745000000000001</v>
      </c>
      <c r="L729" s="81">
        <f>12.0815 * CHOOSE(CONTROL!$C$32, $C$9, 100%, $E$9)</f>
        <v>12.0815</v>
      </c>
      <c r="M729" s="81">
        <f>12.0868 * CHOOSE(CONTROL!$C$32, $C$9, 100%, $E$9)</f>
        <v>12.0868</v>
      </c>
      <c r="N729" s="81">
        <f>12.0815 * CHOOSE(CONTROL!$C$32, $C$9, 100%, $E$9)</f>
        <v>12.0815</v>
      </c>
      <c r="O729" s="81">
        <f>12.0868 * CHOOSE(CONTROL!$C$32, $C$9, 100%, $E$9)</f>
        <v>12.0868</v>
      </c>
    </row>
    <row r="730" spans="1:15" ht="15" x14ac:dyDescent="0.2">
      <c r="A730" s="16">
        <v>63433</v>
      </c>
      <c r="B730" s="80">
        <f>10.833 * CHOOSE(CONTROL!$C$32, $C$9, 100%, $E$9)</f>
        <v>10.833</v>
      </c>
      <c r="C730" s="80">
        <f>10.833 * CHOOSE(CONTROL!$C$32, $C$9, 100%, $E$9)</f>
        <v>10.833</v>
      </c>
      <c r="D730" s="80">
        <f>10.8345 * CHOOSE(CONTROL!$C$32, $C$9, 100%, $E$9)</f>
        <v>10.8345</v>
      </c>
      <c r="E730" s="81">
        <f>12.0465 * CHOOSE(CONTROL!$C$32, $C$9, 100%, $E$9)</f>
        <v>12.0465</v>
      </c>
      <c r="F730" s="81">
        <f>12.0465 * CHOOSE(CONTROL!$C$32, $C$9, 100%, $E$9)</f>
        <v>12.0465</v>
      </c>
      <c r="G730" s="81">
        <f>12.0518 * CHOOSE(CONTROL!$C$32, $C$9, 100%, $E$9)</f>
        <v>12.0518</v>
      </c>
      <c r="H730" s="81">
        <f>24.7913 * CHOOSE(CONTROL!$C$32, $C$9, 100%, $E$9)</f>
        <v>24.7913</v>
      </c>
      <c r="I730" s="81">
        <f>24.7966 * CHOOSE(CONTROL!$C$32, $C$9, 100%, $E$9)</f>
        <v>24.796600000000002</v>
      </c>
      <c r="J730" s="81">
        <f>24.7913 * CHOOSE(CONTROL!$C$32, $C$9, 100%, $E$9)</f>
        <v>24.7913</v>
      </c>
      <c r="K730" s="81">
        <f>24.7966 * CHOOSE(CONTROL!$C$32, $C$9, 100%, $E$9)</f>
        <v>24.796600000000002</v>
      </c>
      <c r="L730" s="81">
        <f>12.0465 * CHOOSE(CONTROL!$C$32, $C$9, 100%, $E$9)</f>
        <v>12.0465</v>
      </c>
      <c r="M730" s="81">
        <f>12.0518 * CHOOSE(CONTROL!$C$32, $C$9, 100%, $E$9)</f>
        <v>12.0518</v>
      </c>
      <c r="N730" s="81">
        <f>12.0465 * CHOOSE(CONTROL!$C$32, $C$9, 100%, $E$9)</f>
        <v>12.0465</v>
      </c>
      <c r="O730" s="81">
        <f>12.0518 * CHOOSE(CONTROL!$C$32, $C$9, 100%, $E$9)</f>
        <v>12.0518</v>
      </c>
    </row>
    <row r="731" spans="1:15" ht="15" x14ac:dyDescent="0.2">
      <c r="A731" s="16">
        <v>63463</v>
      </c>
      <c r="B731" s="80">
        <f>10.8535 * CHOOSE(CONTROL!$C$32, $C$9, 100%, $E$9)</f>
        <v>10.8535</v>
      </c>
      <c r="C731" s="80">
        <f>10.8535 * CHOOSE(CONTROL!$C$32, $C$9, 100%, $E$9)</f>
        <v>10.8535</v>
      </c>
      <c r="D731" s="80">
        <f>10.8546 * CHOOSE(CONTROL!$C$32, $C$9, 100%, $E$9)</f>
        <v>10.8546</v>
      </c>
      <c r="E731" s="81">
        <f>12.1644 * CHOOSE(CONTROL!$C$32, $C$9, 100%, $E$9)</f>
        <v>12.164400000000001</v>
      </c>
      <c r="F731" s="81">
        <f>12.1644 * CHOOSE(CONTROL!$C$32, $C$9, 100%, $E$9)</f>
        <v>12.164400000000001</v>
      </c>
      <c r="G731" s="81">
        <f>12.168 * CHOOSE(CONTROL!$C$32, $C$9, 100%, $E$9)</f>
        <v>12.167999999999999</v>
      </c>
      <c r="H731" s="81">
        <f>24.8429 * CHOOSE(CONTROL!$C$32, $C$9, 100%, $E$9)</f>
        <v>24.8429</v>
      </c>
      <c r="I731" s="81">
        <f>24.8466 * CHOOSE(CONTROL!$C$32, $C$9, 100%, $E$9)</f>
        <v>24.846599999999999</v>
      </c>
      <c r="J731" s="81">
        <f>24.8429 * CHOOSE(CONTROL!$C$32, $C$9, 100%, $E$9)</f>
        <v>24.8429</v>
      </c>
      <c r="K731" s="81">
        <f>24.8466 * CHOOSE(CONTROL!$C$32, $C$9, 100%, $E$9)</f>
        <v>24.846599999999999</v>
      </c>
      <c r="L731" s="81">
        <f>12.1644 * CHOOSE(CONTROL!$C$32, $C$9, 100%, $E$9)</f>
        <v>12.164400000000001</v>
      </c>
      <c r="M731" s="81">
        <f>12.168 * CHOOSE(CONTROL!$C$32, $C$9, 100%, $E$9)</f>
        <v>12.167999999999999</v>
      </c>
      <c r="N731" s="81">
        <f>12.1644 * CHOOSE(CONTROL!$C$32, $C$9, 100%, $E$9)</f>
        <v>12.164400000000001</v>
      </c>
      <c r="O731" s="81">
        <f>12.168 * CHOOSE(CONTROL!$C$32, $C$9, 100%, $E$9)</f>
        <v>12.167999999999999</v>
      </c>
    </row>
    <row r="732" spans="1:15" ht="15" x14ac:dyDescent="0.2">
      <c r="A732" s="16">
        <v>63494</v>
      </c>
      <c r="B732" s="80">
        <f>10.8566 * CHOOSE(CONTROL!$C$32, $C$9, 100%, $E$9)</f>
        <v>10.8566</v>
      </c>
      <c r="C732" s="80">
        <f>10.8566 * CHOOSE(CONTROL!$C$32, $C$9, 100%, $E$9)</f>
        <v>10.8566</v>
      </c>
      <c r="D732" s="80">
        <f>10.8576 * CHOOSE(CONTROL!$C$32, $C$9, 100%, $E$9)</f>
        <v>10.8576</v>
      </c>
      <c r="E732" s="81">
        <f>12.2322 * CHOOSE(CONTROL!$C$32, $C$9, 100%, $E$9)</f>
        <v>12.232200000000001</v>
      </c>
      <c r="F732" s="81">
        <f>12.2322 * CHOOSE(CONTROL!$C$32, $C$9, 100%, $E$9)</f>
        <v>12.232200000000001</v>
      </c>
      <c r="G732" s="81">
        <f>12.2358 * CHOOSE(CONTROL!$C$32, $C$9, 100%, $E$9)</f>
        <v>12.235799999999999</v>
      </c>
      <c r="H732" s="81">
        <f>24.8947 * CHOOSE(CONTROL!$C$32, $C$9, 100%, $E$9)</f>
        <v>24.8947</v>
      </c>
      <c r="I732" s="81">
        <f>24.8983 * CHOOSE(CONTROL!$C$32, $C$9, 100%, $E$9)</f>
        <v>24.898299999999999</v>
      </c>
      <c r="J732" s="81">
        <f>24.8947 * CHOOSE(CONTROL!$C$32, $C$9, 100%, $E$9)</f>
        <v>24.8947</v>
      </c>
      <c r="K732" s="81">
        <f>24.8983 * CHOOSE(CONTROL!$C$32, $C$9, 100%, $E$9)</f>
        <v>24.898299999999999</v>
      </c>
      <c r="L732" s="81">
        <f>12.2322 * CHOOSE(CONTROL!$C$32, $C$9, 100%, $E$9)</f>
        <v>12.232200000000001</v>
      </c>
      <c r="M732" s="81">
        <f>12.2358 * CHOOSE(CONTROL!$C$32, $C$9, 100%, $E$9)</f>
        <v>12.235799999999999</v>
      </c>
      <c r="N732" s="81">
        <f>12.2322 * CHOOSE(CONTROL!$C$32, $C$9, 100%, $E$9)</f>
        <v>12.232200000000001</v>
      </c>
      <c r="O732" s="81">
        <f>12.2358 * CHOOSE(CONTROL!$C$32, $C$9, 100%, $E$9)</f>
        <v>12.235799999999999</v>
      </c>
    </row>
    <row r="733" spans="1:15" ht="15" x14ac:dyDescent="0.2">
      <c r="A733" s="16">
        <v>63524</v>
      </c>
      <c r="B733" s="80">
        <f>10.8566 * CHOOSE(CONTROL!$C$32, $C$9, 100%, $E$9)</f>
        <v>10.8566</v>
      </c>
      <c r="C733" s="80">
        <f>10.8566 * CHOOSE(CONTROL!$C$32, $C$9, 100%, $E$9)</f>
        <v>10.8566</v>
      </c>
      <c r="D733" s="80">
        <f>10.8576 * CHOOSE(CONTROL!$C$32, $C$9, 100%, $E$9)</f>
        <v>10.8576</v>
      </c>
      <c r="E733" s="81">
        <f>12.068 * CHOOSE(CONTROL!$C$32, $C$9, 100%, $E$9)</f>
        <v>12.068</v>
      </c>
      <c r="F733" s="81">
        <f>12.068 * CHOOSE(CONTROL!$C$32, $C$9, 100%, $E$9)</f>
        <v>12.068</v>
      </c>
      <c r="G733" s="81">
        <f>12.0717 * CHOOSE(CONTROL!$C$32, $C$9, 100%, $E$9)</f>
        <v>12.0717</v>
      </c>
      <c r="H733" s="81">
        <f>24.9466 * CHOOSE(CONTROL!$C$32, $C$9, 100%, $E$9)</f>
        <v>24.9466</v>
      </c>
      <c r="I733" s="81">
        <f>24.9502 * CHOOSE(CONTROL!$C$32, $C$9, 100%, $E$9)</f>
        <v>24.950199999999999</v>
      </c>
      <c r="J733" s="81">
        <f>24.9466 * CHOOSE(CONTROL!$C$32, $C$9, 100%, $E$9)</f>
        <v>24.9466</v>
      </c>
      <c r="K733" s="81">
        <f>24.9502 * CHOOSE(CONTROL!$C$32, $C$9, 100%, $E$9)</f>
        <v>24.950199999999999</v>
      </c>
      <c r="L733" s="81">
        <f>12.068 * CHOOSE(CONTROL!$C$32, $C$9, 100%, $E$9)</f>
        <v>12.068</v>
      </c>
      <c r="M733" s="81">
        <f>12.0717 * CHOOSE(CONTROL!$C$32, $C$9, 100%, $E$9)</f>
        <v>12.0717</v>
      </c>
      <c r="N733" s="81">
        <f>12.068 * CHOOSE(CONTROL!$C$32, $C$9, 100%, $E$9)</f>
        <v>12.068</v>
      </c>
      <c r="O733" s="81">
        <f>12.0717 * CHOOSE(CONTROL!$C$32, $C$9, 100%, $E$9)</f>
        <v>12.0717</v>
      </c>
    </row>
    <row r="734" spans="1:15" ht="15" x14ac:dyDescent="0.2">
      <c r="A734" s="16">
        <v>63555</v>
      </c>
      <c r="B734" s="80">
        <f>10.8805 * CHOOSE(CONTROL!$C$32, $C$9, 100%, $E$9)</f>
        <v>10.8805</v>
      </c>
      <c r="C734" s="80">
        <f>10.8805 * CHOOSE(CONTROL!$C$32, $C$9, 100%, $E$9)</f>
        <v>10.8805</v>
      </c>
      <c r="D734" s="80">
        <f>10.8816 * CHOOSE(CONTROL!$C$32, $C$9, 100%, $E$9)</f>
        <v>10.881600000000001</v>
      </c>
      <c r="E734" s="81">
        <f>12.2205 * CHOOSE(CONTROL!$C$32, $C$9, 100%, $E$9)</f>
        <v>12.220499999999999</v>
      </c>
      <c r="F734" s="81">
        <f>12.2205 * CHOOSE(CONTROL!$C$32, $C$9, 100%, $E$9)</f>
        <v>12.220499999999999</v>
      </c>
      <c r="G734" s="81">
        <f>12.2242 * CHOOSE(CONTROL!$C$32, $C$9, 100%, $E$9)</f>
        <v>12.2242</v>
      </c>
      <c r="H734" s="81">
        <f>24.846 * CHOOSE(CONTROL!$C$32, $C$9, 100%, $E$9)</f>
        <v>24.846</v>
      </c>
      <c r="I734" s="81">
        <f>24.8496 * CHOOSE(CONTROL!$C$32, $C$9, 100%, $E$9)</f>
        <v>24.849599999999999</v>
      </c>
      <c r="J734" s="81">
        <f>24.846 * CHOOSE(CONTROL!$C$32, $C$9, 100%, $E$9)</f>
        <v>24.846</v>
      </c>
      <c r="K734" s="81">
        <f>24.8496 * CHOOSE(CONTROL!$C$32, $C$9, 100%, $E$9)</f>
        <v>24.849599999999999</v>
      </c>
      <c r="L734" s="81">
        <f>12.2205 * CHOOSE(CONTROL!$C$32, $C$9, 100%, $E$9)</f>
        <v>12.220499999999999</v>
      </c>
      <c r="M734" s="81">
        <f>12.2242 * CHOOSE(CONTROL!$C$32, $C$9, 100%, $E$9)</f>
        <v>12.2242</v>
      </c>
      <c r="N734" s="81">
        <f>12.2205 * CHOOSE(CONTROL!$C$32, $C$9, 100%, $E$9)</f>
        <v>12.220499999999999</v>
      </c>
      <c r="O734" s="81">
        <f>12.2242 * CHOOSE(CONTROL!$C$32, $C$9, 100%, $E$9)</f>
        <v>12.2242</v>
      </c>
    </row>
    <row r="735" spans="1:15" ht="15" x14ac:dyDescent="0.2">
      <c r="A735" s="16">
        <v>63586</v>
      </c>
      <c r="B735" s="80">
        <f>10.8775 * CHOOSE(CONTROL!$C$32, $C$9, 100%, $E$9)</f>
        <v>10.8775</v>
      </c>
      <c r="C735" s="80">
        <f>10.8775 * CHOOSE(CONTROL!$C$32, $C$9, 100%, $E$9)</f>
        <v>10.8775</v>
      </c>
      <c r="D735" s="80">
        <f>10.8785 * CHOOSE(CONTROL!$C$32, $C$9, 100%, $E$9)</f>
        <v>10.878500000000001</v>
      </c>
      <c r="E735" s="81">
        <f>11.9012 * CHOOSE(CONTROL!$C$32, $C$9, 100%, $E$9)</f>
        <v>11.901199999999999</v>
      </c>
      <c r="F735" s="81">
        <f>11.9012 * CHOOSE(CONTROL!$C$32, $C$9, 100%, $E$9)</f>
        <v>11.901199999999999</v>
      </c>
      <c r="G735" s="81">
        <f>11.9048 * CHOOSE(CONTROL!$C$32, $C$9, 100%, $E$9)</f>
        <v>11.9048</v>
      </c>
      <c r="H735" s="81">
        <f>24.8977 * CHOOSE(CONTROL!$C$32, $C$9, 100%, $E$9)</f>
        <v>24.8977</v>
      </c>
      <c r="I735" s="81">
        <f>24.9014 * CHOOSE(CONTROL!$C$32, $C$9, 100%, $E$9)</f>
        <v>24.901399999999999</v>
      </c>
      <c r="J735" s="81">
        <f>24.8977 * CHOOSE(CONTROL!$C$32, $C$9, 100%, $E$9)</f>
        <v>24.8977</v>
      </c>
      <c r="K735" s="81">
        <f>24.9014 * CHOOSE(CONTROL!$C$32, $C$9, 100%, $E$9)</f>
        <v>24.901399999999999</v>
      </c>
      <c r="L735" s="81">
        <f>11.9012 * CHOOSE(CONTROL!$C$32, $C$9, 100%, $E$9)</f>
        <v>11.901199999999999</v>
      </c>
      <c r="M735" s="81">
        <f>11.9048 * CHOOSE(CONTROL!$C$32, $C$9, 100%, $E$9)</f>
        <v>11.9048</v>
      </c>
      <c r="N735" s="81">
        <f>11.9012 * CHOOSE(CONTROL!$C$32, $C$9, 100%, $E$9)</f>
        <v>11.901199999999999</v>
      </c>
      <c r="O735" s="81">
        <f>11.9048 * CHOOSE(CONTROL!$C$32, $C$9, 100%, $E$9)</f>
        <v>11.9048</v>
      </c>
    </row>
    <row r="736" spans="1:15" ht="15" x14ac:dyDescent="0.2">
      <c r="A736" s="16">
        <v>63614</v>
      </c>
      <c r="B736" s="80">
        <f>10.8744 * CHOOSE(CONTROL!$C$32, $C$9, 100%, $E$9)</f>
        <v>10.8744</v>
      </c>
      <c r="C736" s="80">
        <f>10.8744 * CHOOSE(CONTROL!$C$32, $C$9, 100%, $E$9)</f>
        <v>10.8744</v>
      </c>
      <c r="D736" s="80">
        <f>10.8755 * CHOOSE(CONTROL!$C$32, $C$9, 100%, $E$9)</f>
        <v>10.875500000000001</v>
      </c>
      <c r="E736" s="81">
        <f>12.1491 * CHOOSE(CONTROL!$C$32, $C$9, 100%, $E$9)</f>
        <v>12.149100000000001</v>
      </c>
      <c r="F736" s="81">
        <f>12.1491 * CHOOSE(CONTROL!$C$32, $C$9, 100%, $E$9)</f>
        <v>12.149100000000001</v>
      </c>
      <c r="G736" s="81">
        <f>12.1528 * CHOOSE(CONTROL!$C$32, $C$9, 100%, $E$9)</f>
        <v>12.152799999999999</v>
      </c>
      <c r="H736" s="81">
        <f>24.9496 * CHOOSE(CONTROL!$C$32, $C$9, 100%, $E$9)</f>
        <v>24.9496</v>
      </c>
      <c r="I736" s="81">
        <f>24.9532 * CHOOSE(CONTROL!$C$32, $C$9, 100%, $E$9)</f>
        <v>24.953199999999999</v>
      </c>
      <c r="J736" s="81">
        <f>24.9496 * CHOOSE(CONTROL!$C$32, $C$9, 100%, $E$9)</f>
        <v>24.9496</v>
      </c>
      <c r="K736" s="81">
        <f>24.9532 * CHOOSE(CONTROL!$C$32, $C$9, 100%, $E$9)</f>
        <v>24.953199999999999</v>
      </c>
      <c r="L736" s="81">
        <f>12.1491 * CHOOSE(CONTROL!$C$32, $C$9, 100%, $E$9)</f>
        <v>12.149100000000001</v>
      </c>
      <c r="M736" s="81">
        <f>12.1528 * CHOOSE(CONTROL!$C$32, $C$9, 100%, $E$9)</f>
        <v>12.152799999999999</v>
      </c>
      <c r="N736" s="81">
        <f>12.1491 * CHOOSE(CONTROL!$C$32, $C$9, 100%, $E$9)</f>
        <v>12.149100000000001</v>
      </c>
      <c r="O736" s="81">
        <f>12.1528 * CHOOSE(CONTROL!$C$32, $C$9, 100%, $E$9)</f>
        <v>12.152799999999999</v>
      </c>
    </row>
    <row r="737" spans="1:15" ht="15" x14ac:dyDescent="0.2">
      <c r="A737" s="16">
        <v>63645</v>
      </c>
      <c r="B737" s="80">
        <f>10.8787 * CHOOSE(CONTROL!$C$32, $C$9, 100%, $E$9)</f>
        <v>10.8787</v>
      </c>
      <c r="C737" s="80">
        <f>10.8787 * CHOOSE(CONTROL!$C$32, $C$9, 100%, $E$9)</f>
        <v>10.8787</v>
      </c>
      <c r="D737" s="80">
        <f>10.8798 * CHOOSE(CONTROL!$C$32, $C$9, 100%, $E$9)</f>
        <v>10.879799999999999</v>
      </c>
      <c r="E737" s="81">
        <f>12.4135 * CHOOSE(CONTROL!$C$32, $C$9, 100%, $E$9)</f>
        <v>12.413500000000001</v>
      </c>
      <c r="F737" s="81">
        <f>12.4135 * CHOOSE(CONTROL!$C$32, $C$9, 100%, $E$9)</f>
        <v>12.413500000000001</v>
      </c>
      <c r="G737" s="81">
        <f>12.4171 * CHOOSE(CONTROL!$C$32, $C$9, 100%, $E$9)</f>
        <v>12.4171</v>
      </c>
      <c r="H737" s="81">
        <f>25.0016 * CHOOSE(CONTROL!$C$32, $C$9, 100%, $E$9)</f>
        <v>25.0016</v>
      </c>
      <c r="I737" s="81">
        <f>25.0052 * CHOOSE(CONTROL!$C$32, $C$9, 100%, $E$9)</f>
        <v>25.005199999999999</v>
      </c>
      <c r="J737" s="81">
        <f>25.0016 * CHOOSE(CONTROL!$C$32, $C$9, 100%, $E$9)</f>
        <v>25.0016</v>
      </c>
      <c r="K737" s="81">
        <f>25.0052 * CHOOSE(CONTROL!$C$32, $C$9, 100%, $E$9)</f>
        <v>25.005199999999999</v>
      </c>
      <c r="L737" s="81">
        <f>12.4135 * CHOOSE(CONTROL!$C$32, $C$9, 100%, $E$9)</f>
        <v>12.413500000000001</v>
      </c>
      <c r="M737" s="81">
        <f>12.4171 * CHOOSE(CONTROL!$C$32, $C$9, 100%, $E$9)</f>
        <v>12.4171</v>
      </c>
      <c r="N737" s="81">
        <f>12.4135 * CHOOSE(CONTROL!$C$32, $C$9, 100%, $E$9)</f>
        <v>12.413500000000001</v>
      </c>
      <c r="O737" s="81">
        <f>12.4171 * CHOOSE(CONTROL!$C$32, $C$9, 100%, $E$9)</f>
        <v>12.4171</v>
      </c>
    </row>
    <row r="738" spans="1:15" ht="15" x14ac:dyDescent="0.2">
      <c r="A738" s="16">
        <v>63675</v>
      </c>
      <c r="B738" s="80">
        <f>10.8787 * CHOOSE(CONTROL!$C$32, $C$9, 100%, $E$9)</f>
        <v>10.8787</v>
      </c>
      <c r="C738" s="80">
        <f>10.8787 * CHOOSE(CONTROL!$C$32, $C$9, 100%, $E$9)</f>
        <v>10.8787</v>
      </c>
      <c r="D738" s="80">
        <f>10.8803 * CHOOSE(CONTROL!$C$32, $C$9, 100%, $E$9)</f>
        <v>10.8803</v>
      </c>
      <c r="E738" s="81">
        <f>12.5142 * CHOOSE(CONTROL!$C$32, $C$9, 100%, $E$9)</f>
        <v>12.514200000000001</v>
      </c>
      <c r="F738" s="81">
        <f>12.5142 * CHOOSE(CONTROL!$C$32, $C$9, 100%, $E$9)</f>
        <v>12.514200000000001</v>
      </c>
      <c r="G738" s="81">
        <f>12.5195 * CHOOSE(CONTROL!$C$32, $C$9, 100%, $E$9)</f>
        <v>12.519500000000001</v>
      </c>
      <c r="H738" s="81">
        <f>25.0537 * CHOOSE(CONTROL!$C$32, $C$9, 100%, $E$9)</f>
        <v>25.053699999999999</v>
      </c>
      <c r="I738" s="81">
        <f>25.059 * CHOOSE(CONTROL!$C$32, $C$9, 100%, $E$9)</f>
        <v>25.059000000000001</v>
      </c>
      <c r="J738" s="81">
        <f>25.0537 * CHOOSE(CONTROL!$C$32, $C$9, 100%, $E$9)</f>
        <v>25.053699999999999</v>
      </c>
      <c r="K738" s="81">
        <f>25.059 * CHOOSE(CONTROL!$C$32, $C$9, 100%, $E$9)</f>
        <v>25.059000000000001</v>
      </c>
      <c r="L738" s="81">
        <f>12.5142 * CHOOSE(CONTROL!$C$32, $C$9, 100%, $E$9)</f>
        <v>12.514200000000001</v>
      </c>
      <c r="M738" s="81">
        <f>12.5195 * CHOOSE(CONTROL!$C$32, $C$9, 100%, $E$9)</f>
        <v>12.519500000000001</v>
      </c>
      <c r="N738" s="81">
        <f>12.5142 * CHOOSE(CONTROL!$C$32, $C$9, 100%, $E$9)</f>
        <v>12.514200000000001</v>
      </c>
      <c r="O738" s="81">
        <f>12.5195 * CHOOSE(CONTROL!$C$32, $C$9, 100%, $E$9)</f>
        <v>12.519500000000001</v>
      </c>
    </row>
    <row r="739" spans="1:15" ht="15" x14ac:dyDescent="0.2">
      <c r="A739" s="16">
        <v>63706</v>
      </c>
      <c r="B739" s="80">
        <f>10.8848 * CHOOSE(CONTROL!$C$32, $C$9, 100%, $E$9)</f>
        <v>10.8848</v>
      </c>
      <c r="C739" s="80">
        <f>10.8848 * CHOOSE(CONTROL!$C$32, $C$9, 100%, $E$9)</f>
        <v>10.8848</v>
      </c>
      <c r="D739" s="80">
        <f>10.8864 * CHOOSE(CONTROL!$C$32, $C$9, 100%, $E$9)</f>
        <v>10.8864</v>
      </c>
      <c r="E739" s="81">
        <f>12.4177 * CHOOSE(CONTROL!$C$32, $C$9, 100%, $E$9)</f>
        <v>12.4177</v>
      </c>
      <c r="F739" s="81">
        <f>12.4177 * CHOOSE(CONTROL!$C$32, $C$9, 100%, $E$9)</f>
        <v>12.4177</v>
      </c>
      <c r="G739" s="81">
        <f>12.423 * CHOOSE(CONTROL!$C$32, $C$9, 100%, $E$9)</f>
        <v>12.423</v>
      </c>
      <c r="H739" s="81">
        <f>25.1059 * CHOOSE(CONTROL!$C$32, $C$9, 100%, $E$9)</f>
        <v>25.105899999999998</v>
      </c>
      <c r="I739" s="81">
        <f>25.1112 * CHOOSE(CONTROL!$C$32, $C$9, 100%, $E$9)</f>
        <v>25.1112</v>
      </c>
      <c r="J739" s="81">
        <f>25.1059 * CHOOSE(CONTROL!$C$32, $C$9, 100%, $E$9)</f>
        <v>25.105899999999998</v>
      </c>
      <c r="K739" s="81">
        <f>25.1112 * CHOOSE(CONTROL!$C$32, $C$9, 100%, $E$9)</f>
        <v>25.1112</v>
      </c>
      <c r="L739" s="81">
        <f>12.4177 * CHOOSE(CONTROL!$C$32, $C$9, 100%, $E$9)</f>
        <v>12.4177</v>
      </c>
      <c r="M739" s="81">
        <f>12.423 * CHOOSE(CONTROL!$C$32, $C$9, 100%, $E$9)</f>
        <v>12.423</v>
      </c>
      <c r="N739" s="81">
        <f>12.4177 * CHOOSE(CONTROL!$C$32, $C$9, 100%, $E$9)</f>
        <v>12.4177</v>
      </c>
      <c r="O739" s="81">
        <f>12.423 * CHOOSE(CONTROL!$C$32, $C$9, 100%, $E$9)</f>
        <v>12.423</v>
      </c>
    </row>
    <row r="740" spans="1:15" ht="15" x14ac:dyDescent="0.2">
      <c r="A740" s="16">
        <v>63736</v>
      </c>
      <c r="B740" s="80">
        <f>11.0189 * CHOOSE(CONTROL!$C$32, $C$9, 100%, $E$9)</f>
        <v>11.0189</v>
      </c>
      <c r="C740" s="80">
        <f>11.0189 * CHOOSE(CONTROL!$C$32, $C$9, 100%, $E$9)</f>
        <v>11.0189</v>
      </c>
      <c r="D740" s="80">
        <f>11.0205 * CHOOSE(CONTROL!$C$32, $C$9, 100%, $E$9)</f>
        <v>11.0205</v>
      </c>
      <c r="E740" s="81">
        <f>12.5924 * CHOOSE(CONTROL!$C$32, $C$9, 100%, $E$9)</f>
        <v>12.5924</v>
      </c>
      <c r="F740" s="81">
        <f>12.5924 * CHOOSE(CONTROL!$C$32, $C$9, 100%, $E$9)</f>
        <v>12.5924</v>
      </c>
      <c r="G740" s="81">
        <f>12.5977 * CHOOSE(CONTROL!$C$32, $C$9, 100%, $E$9)</f>
        <v>12.5977</v>
      </c>
      <c r="H740" s="81">
        <f>25.1582 * CHOOSE(CONTROL!$C$32, $C$9, 100%, $E$9)</f>
        <v>25.158200000000001</v>
      </c>
      <c r="I740" s="81">
        <f>25.1635 * CHOOSE(CONTROL!$C$32, $C$9, 100%, $E$9)</f>
        <v>25.163499999999999</v>
      </c>
      <c r="J740" s="81">
        <f>25.1582 * CHOOSE(CONTROL!$C$32, $C$9, 100%, $E$9)</f>
        <v>25.158200000000001</v>
      </c>
      <c r="K740" s="81">
        <f>25.1635 * CHOOSE(CONTROL!$C$32, $C$9, 100%, $E$9)</f>
        <v>25.163499999999999</v>
      </c>
      <c r="L740" s="81">
        <f>12.5924 * CHOOSE(CONTROL!$C$32, $C$9, 100%, $E$9)</f>
        <v>12.5924</v>
      </c>
      <c r="M740" s="81">
        <f>12.5977 * CHOOSE(CONTROL!$C$32, $C$9, 100%, $E$9)</f>
        <v>12.5977</v>
      </c>
      <c r="N740" s="81">
        <f>12.5924 * CHOOSE(CONTROL!$C$32, $C$9, 100%, $E$9)</f>
        <v>12.5924</v>
      </c>
      <c r="O740" s="81">
        <f>12.5977 * CHOOSE(CONTROL!$C$32, $C$9, 100%, $E$9)</f>
        <v>12.5977</v>
      </c>
    </row>
    <row r="741" spans="1:15" ht="15" x14ac:dyDescent="0.2">
      <c r="A741" s="16">
        <v>63767</v>
      </c>
      <c r="B741" s="80">
        <f>11.0256 * CHOOSE(CONTROL!$C$32, $C$9, 100%, $E$9)</f>
        <v>11.025600000000001</v>
      </c>
      <c r="C741" s="80">
        <f>11.0256 * CHOOSE(CONTROL!$C$32, $C$9, 100%, $E$9)</f>
        <v>11.025600000000001</v>
      </c>
      <c r="D741" s="80">
        <f>11.0272 * CHOOSE(CONTROL!$C$32, $C$9, 100%, $E$9)</f>
        <v>11.027200000000001</v>
      </c>
      <c r="E741" s="81">
        <f>12.2949 * CHOOSE(CONTROL!$C$32, $C$9, 100%, $E$9)</f>
        <v>12.2949</v>
      </c>
      <c r="F741" s="81">
        <f>12.2949 * CHOOSE(CONTROL!$C$32, $C$9, 100%, $E$9)</f>
        <v>12.2949</v>
      </c>
      <c r="G741" s="81">
        <f>12.3002 * CHOOSE(CONTROL!$C$32, $C$9, 100%, $E$9)</f>
        <v>12.3002</v>
      </c>
      <c r="H741" s="81">
        <f>25.2106 * CHOOSE(CONTROL!$C$32, $C$9, 100%, $E$9)</f>
        <v>25.210599999999999</v>
      </c>
      <c r="I741" s="81">
        <f>25.2159 * CHOOSE(CONTROL!$C$32, $C$9, 100%, $E$9)</f>
        <v>25.215900000000001</v>
      </c>
      <c r="J741" s="81">
        <f>25.2106 * CHOOSE(CONTROL!$C$32, $C$9, 100%, $E$9)</f>
        <v>25.210599999999999</v>
      </c>
      <c r="K741" s="81">
        <f>25.2159 * CHOOSE(CONTROL!$C$32, $C$9, 100%, $E$9)</f>
        <v>25.215900000000001</v>
      </c>
      <c r="L741" s="81">
        <f>12.2949 * CHOOSE(CONTROL!$C$32, $C$9, 100%, $E$9)</f>
        <v>12.2949</v>
      </c>
      <c r="M741" s="81">
        <f>12.3002 * CHOOSE(CONTROL!$C$32, $C$9, 100%, $E$9)</f>
        <v>12.3002</v>
      </c>
      <c r="N741" s="81">
        <f>12.2949 * CHOOSE(CONTROL!$C$32, $C$9, 100%, $E$9)</f>
        <v>12.2949</v>
      </c>
      <c r="O741" s="81">
        <f>12.3002 * CHOOSE(CONTROL!$C$32, $C$9, 100%, $E$9)</f>
        <v>12.3002</v>
      </c>
    </row>
    <row r="742" spans="1:15" ht="15" x14ac:dyDescent="0.2">
      <c r="A742" s="16">
        <v>63798</v>
      </c>
      <c r="B742" s="80">
        <f>11.0226 * CHOOSE(CONTROL!$C$32, $C$9, 100%, $E$9)</f>
        <v>11.022600000000001</v>
      </c>
      <c r="C742" s="80">
        <f>11.0226 * CHOOSE(CONTROL!$C$32, $C$9, 100%, $E$9)</f>
        <v>11.022600000000001</v>
      </c>
      <c r="D742" s="80">
        <f>11.0241 * CHOOSE(CONTROL!$C$32, $C$9, 100%, $E$9)</f>
        <v>11.024100000000001</v>
      </c>
      <c r="E742" s="81">
        <f>12.2592 * CHOOSE(CONTROL!$C$32, $C$9, 100%, $E$9)</f>
        <v>12.2592</v>
      </c>
      <c r="F742" s="81">
        <f>12.2592 * CHOOSE(CONTROL!$C$32, $C$9, 100%, $E$9)</f>
        <v>12.2592</v>
      </c>
      <c r="G742" s="81">
        <f>12.2645 * CHOOSE(CONTROL!$C$32, $C$9, 100%, $E$9)</f>
        <v>12.2645</v>
      </c>
      <c r="H742" s="81">
        <f>25.2631 * CHOOSE(CONTROL!$C$32, $C$9, 100%, $E$9)</f>
        <v>25.263100000000001</v>
      </c>
      <c r="I742" s="81">
        <f>25.2684 * CHOOSE(CONTROL!$C$32, $C$9, 100%, $E$9)</f>
        <v>25.2684</v>
      </c>
      <c r="J742" s="81">
        <f>25.2631 * CHOOSE(CONTROL!$C$32, $C$9, 100%, $E$9)</f>
        <v>25.263100000000001</v>
      </c>
      <c r="K742" s="81">
        <f>25.2684 * CHOOSE(CONTROL!$C$32, $C$9, 100%, $E$9)</f>
        <v>25.2684</v>
      </c>
      <c r="L742" s="81">
        <f>12.2592 * CHOOSE(CONTROL!$C$32, $C$9, 100%, $E$9)</f>
        <v>12.2592</v>
      </c>
      <c r="M742" s="81">
        <f>12.2645 * CHOOSE(CONTROL!$C$32, $C$9, 100%, $E$9)</f>
        <v>12.2645</v>
      </c>
      <c r="N742" s="81">
        <f>12.2592 * CHOOSE(CONTROL!$C$32, $C$9, 100%, $E$9)</f>
        <v>12.2592</v>
      </c>
      <c r="O742" s="81">
        <f>12.2645 * CHOOSE(CONTROL!$C$32, $C$9, 100%, $E$9)</f>
        <v>12.2645</v>
      </c>
    </row>
    <row r="743" spans="1:15" ht="15" x14ac:dyDescent="0.2">
      <c r="A743" s="16">
        <v>63828</v>
      </c>
      <c r="B743" s="80">
        <f>11.0438 * CHOOSE(CONTROL!$C$32, $C$9, 100%, $E$9)</f>
        <v>11.043799999999999</v>
      </c>
      <c r="C743" s="80">
        <f>11.0438 * CHOOSE(CONTROL!$C$32, $C$9, 100%, $E$9)</f>
        <v>11.043799999999999</v>
      </c>
      <c r="D743" s="80">
        <f>11.0449 * CHOOSE(CONTROL!$C$32, $C$9, 100%, $E$9)</f>
        <v>11.0449</v>
      </c>
      <c r="E743" s="81">
        <f>12.3801 * CHOOSE(CONTROL!$C$32, $C$9, 100%, $E$9)</f>
        <v>12.380100000000001</v>
      </c>
      <c r="F743" s="81">
        <f>12.3801 * CHOOSE(CONTROL!$C$32, $C$9, 100%, $E$9)</f>
        <v>12.380100000000001</v>
      </c>
      <c r="G743" s="81">
        <f>12.3837 * CHOOSE(CONTROL!$C$32, $C$9, 100%, $E$9)</f>
        <v>12.383699999999999</v>
      </c>
      <c r="H743" s="81">
        <f>25.3157 * CHOOSE(CONTROL!$C$32, $C$9, 100%, $E$9)</f>
        <v>25.3157</v>
      </c>
      <c r="I743" s="81">
        <f>25.3194 * CHOOSE(CONTROL!$C$32, $C$9, 100%, $E$9)</f>
        <v>25.319400000000002</v>
      </c>
      <c r="J743" s="81">
        <f>25.3157 * CHOOSE(CONTROL!$C$32, $C$9, 100%, $E$9)</f>
        <v>25.3157</v>
      </c>
      <c r="K743" s="81">
        <f>25.3194 * CHOOSE(CONTROL!$C$32, $C$9, 100%, $E$9)</f>
        <v>25.319400000000002</v>
      </c>
      <c r="L743" s="81">
        <f>12.3801 * CHOOSE(CONTROL!$C$32, $C$9, 100%, $E$9)</f>
        <v>12.380100000000001</v>
      </c>
      <c r="M743" s="81">
        <f>12.3837 * CHOOSE(CONTROL!$C$32, $C$9, 100%, $E$9)</f>
        <v>12.383699999999999</v>
      </c>
      <c r="N743" s="81">
        <f>12.3801 * CHOOSE(CONTROL!$C$32, $C$9, 100%, $E$9)</f>
        <v>12.380100000000001</v>
      </c>
      <c r="O743" s="81">
        <f>12.3837 * CHOOSE(CONTROL!$C$32, $C$9, 100%, $E$9)</f>
        <v>12.383699999999999</v>
      </c>
    </row>
    <row r="744" spans="1:15" ht="15" x14ac:dyDescent="0.2">
      <c r="A744" s="16">
        <v>63859</v>
      </c>
      <c r="B744" s="80">
        <f>11.0469 * CHOOSE(CONTROL!$C$32, $C$9, 100%, $E$9)</f>
        <v>11.046900000000001</v>
      </c>
      <c r="C744" s="80">
        <f>11.0469 * CHOOSE(CONTROL!$C$32, $C$9, 100%, $E$9)</f>
        <v>11.046900000000001</v>
      </c>
      <c r="D744" s="80">
        <f>11.048 * CHOOSE(CONTROL!$C$32, $C$9, 100%, $E$9)</f>
        <v>11.048</v>
      </c>
      <c r="E744" s="81">
        <f>12.4493 * CHOOSE(CONTROL!$C$32, $C$9, 100%, $E$9)</f>
        <v>12.449299999999999</v>
      </c>
      <c r="F744" s="81">
        <f>12.4493 * CHOOSE(CONTROL!$C$32, $C$9, 100%, $E$9)</f>
        <v>12.449299999999999</v>
      </c>
      <c r="G744" s="81">
        <f>12.453 * CHOOSE(CONTROL!$C$32, $C$9, 100%, $E$9)</f>
        <v>12.452999999999999</v>
      </c>
      <c r="H744" s="81">
        <f>25.3685 * CHOOSE(CONTROL!$C$32, $C$9, 100%, $E$9)</f>
        <v>25.368500000000001</v>
      </c>
      <c r="I744" s="81">
        <f>25.3721 * CHOOSE(CONTROL!$C$32, $C$9, 100%, $E$9)</f>
        <v>25.3721</v>
      </c>
      <c r="J744" s="81">
        <f>25.3685 * CHOOSE(CONTROL!$C$32, $C$9, 100%, $E$9)</f>
        <v>25.368500000000001</v>
      </c>
      <c r="K744" s="81">
        <f>25.3721 * CHOOSE(CONTROL!$C$32, $C$9, 100%, $E$9)</f>
        <v>25.3721</v>
      </c>
      <c r="L744" s="81">
        <f>12.4493 * CHOOSE(CONTROL!$C$32, $C$9, 100%, $E$9)</f>
        <v>12.449299999999999</v>
      </c>
      <c r="M744" s="81">
        <f>12.453 * CHOOSE(CONTROL!$C$32, $C$9, 100%, $E$9)</f>
        <v>12.452999999999999</v>
      </c>
      <c r="N744" s="81">
        <f>12.4493 * CHOOSE(CONTROL!$C$32, $C$9, 100%, $E$9)</f>
        <v>12.449299999999999</v>
      </c>
      <c r="O744" s="81">
        <f>12.453 * CHOOSE(CONTROL!$C$32, $C$9, 100%, $E$9)</f>
        <v>12.452999999999999</v>
      </c>
    </row>
    <row r="745" spans="1:15" ht="15" x14ac:dyDescent="0.2">
      <c r="A745" s="16">
        <v>63889</v>
      </c>
      <c r="B745" s="80">
        <f>11.0469 * CHOOSE(CONTROL!$C$32, $C$9, 100%, $E$9)</f>
        <v>11.046900000000001</v>
      </c>
      <c r="C745" s="80">
        <f>11.0469 * CHOOSE(CONTROL!$C$32, $C$9, 100%, $E$9)</f>
        <v>11.046900000000001</v>
      </c>
      <c r="D745" s="80">
        <f>11.048 * CHOOSE(CONTROL!$C$32, $C$9, 100%, $E$9)</f>
        <v>11.048</v>
      </c>
      <c r="E745" s="81">
        <f>12.2815 * CHOOSE(CONTROL!$C$32, $C$9, 100%, $E$9)</f>
        <v>12.281499999999999</v>
      </c>
      <c r="F745" s="81">
        <f>12.2815 * CHOOSE(CONTROL!$C$32, $C$9, 100%, $E$9)</f>
        <v>12.281499999999999</v>
      </c>
      <c r="G745" s="81">
        <f>12.2851 * CHOOSE(CONTROL!$C$32, $C$9, 100%, $E$9)</f>
        <v>12.2851</v>
      </c>
      <c r="H745" s="81">
        <f>25.4213 * CHOOSE(CONTROL!$C$32, $C$9, 100%, $E$9)</f>
        <v>25.421299999999999</v>
      </c>
      <c r="I745" s="81">
        <f>25.425 * CHOOSE(CONTROL!$C$32, $C$9, 100%, $E$9)</f>
        <v>25.425000000000001</v>
      </c>
      <c r="J745" s="81">
        <f>25.4213 * CHOOSE(CONTROL!$C$32, $C$9, 100%, $E$9)</f>
        <v>25.421299999999999</v>
      </c>
      <c r="K745" s="81">
        <f>25.425 * CHOOSE(CONTROL!$C$32, $C$9, 100%, $E$9)</f>
        <v>25.425000000000001</v>
      </c>
      <c r="L745" s="81">
        <f>12.2815 * CHOOSE(CONTROL!$C$32, $C$9, 100%, $E$9)</f>
        <v>12.281499999999999</v>
      </c>
      <c r="M745" s="81">
        <f>12.2851 * CHOOSE(CONTROL!$C$32, $C$9, 100%, $E$9)</f>
        <v>12.2851</v>
      </c>
      <c r="N745" s="81">
        <f>12.2815 * CHOOSE(CONTROL!$C$32, $C$9, 100%, $E$9)</f>
        <v>12.281499999999999</v>
      </c>
      <c r="O745" s="81">
        <f>12.2851 * CHOOSE(CONTROL!$C$32, $C$9, 100%, $E$9)</f>
        <v>12.2851</v>
      </c>
    </row>
    <row r="746" spans="1:15" ht="15" x14ac:dyDescent="0.2">
      <c r="A746" s="16">
        <v>63920</v>
      </c>
      <c r="B746" s="80">
        <f>11.0679 * CHOOSE(CONTROL!$C$32, $C$9, 100%, $E$9)</f>
        <v>11.0679</v>
      </c>
      <c r="C746" s="80">
        <f>11.0679 * CHOOSE(CONTROL!$C$32, $C$9, 100%, $E$9)</f>
        <v>11.0679</v>
      </c>
      <c r="D746" s="80">
        <f>11.0689 * CHOOSE(CONTROL!$C$32, $C$9, 100%, $E$9)</f>
        <v>11.068899999999999</v>
      </c>
      <c r="E746" s="81">
        <f>12.433 * CHOOSE(CONTROL!$C$32, $C$9, 100%, $E$9)</f>
        <v>12.433</v>
      </c>
      <c r="F746" s="81">
        <f>12.433 * CHOOSE(CONTROL!$C$32, $C$9, 100%, $E$9)</f>
        <v>12.433</v>
      </c>
      <c r="G746" s="81">
        <f>12.4367 * CHOOSE(CONTROL!$C$32, $C$9, 100%, $E$9)</f>
        <v>12.4367</v>
      </c>
      <c r="H746" s="81">
        <f>25.31 * CHOOSE(CONTROL!$C$32, $C$9, 100%, $E$9)</f>
        <v>25.31</v>
      </c>
      <c r="I746" s="81">
        <f>25.3136 * CHOOSE(CONTROL!$C$32, $C$9, 100%, $E$9)</f>
        <v>25.313600000000001</v>
      </c>
      <c r="J746" s="81">
        <f>25.31 * CHOOSE(CONTROL!$C$32, $C$9, 100%, $E$9)</f>
        <v>25.31</v>
      </c>
      <c r="K746" s="81">
        <f>25.3136 * CHOOSE(CONTROL!$C$32, $C$9, 100%, $E$9)</f>
        <v>25.313600000000001</v>
      </c>
      <c r="L746" s="81">
        <f>12.433 * CHOOSE(CONTROL!$C$32, $C$9, 100%, $E$9)</f>
        <v>12.433</v>
      </c>
      <c r="M746" s="81">
        <f>12.4367 * CHOOSE(CONTROL!$C$32, $C$9, 100%, $E$9)</f>
        <v>12.4367</v>
      </c>
      <c r="N746" s="81">
        <f>12.433 * CHOOSE(CONTROL!$C$32, $C$9, 100%, $E$9)</f>
        <v>12.433</v>
      </c>
      <c r="O746" s="81">
        <f>12.4367 * CHOOSE(CONTROL!$C$32, $C$9, 100%, $E$9)</f>
        <v>12.4367</v>
      </c>
    </row>
    <row r="747" spans="1:15" ht="15" x14ac:dyDescent="0.2">
      <c r="A747" s="16">
        <v>63951</v>
      </c>
      <c r="B747" s="80">
        <f>11.0648 * CHOOSE(CONTROL!$C$32, $C$9, 100%, $E$9)</f>
        <v>11.0648</v>
      </c>
      <c r="C747" s="80">
        <f>11.0648 * CHOOSE(CONTROL!$C$32, $C$9, 100%, $E$9)</f>
        <v>11.0648</v>
      </c>
      <c r="D747" s="80">
        <f>11.0659 * CHOOSE(CONTROL!$C$32, $C$9, 100%, $E$9)</f>
        <v>11.065899999999999</v>
      </c>
      <c r="E747" s="81">
        <f>12.1066 * CHOOSE(CONTROL!$C$32, $C$9, 100%, $E$9)</f>
        <v>12.1066</v>
      </c>
      <c r="F747" s="81">
        <f>12.1066 * CHOOSE(CONTROL!$C$32, $C$9, 100%, $E$9)</f>
        <v>12.1066</v>
      </c>
      <c r="G747" s="81">
        <f>12.1102 * CHOOSE(CONTROL!$C$32, $C$9, 100%, $E$9)</f>
        <v>12.110200000000001</v>
      </c>
      <c r="H747" s="81">
        <f>25.3627 * CHOOSE(CONTROL!$C$32, $C$9, 100%, $E$9)</f>
        <v>25.3627</v>
      </c>
      <c r="I747" s="81">
        <f>25.3664 * CHOOSE(CONTROL!$C$32, $C$9, 100%, $E$9)</f>
        <v>25.366399999999999</v>
      </c>
      <c r="J747" s="81">
        <f>25.3627 * CHOOSE(CONTROL!$C$32, $C$9, 100%, $E$9)</f>
        <v>25.3627</v>
      </c>
      <c r="K747" s="81">
        <f>25.3664 * CHOOSE(CONTROL!$C$32, $C$9, 100%, $E$9)</f>
        <v>25.366399999999999</v>
      </c>
      <c r="L747" s="81">
        <f>12.1066 * CHOOSE(CONTROL!$C$32, $C$9, 100%, $E$9)</f>
        <v>12.1066</v>
      </c>
      <c r="M747" s="81">
        <f>12.1102 * CHOOSE(CONTROL!$C$32, $C$9, 100%, $E$9)</f>
        <v>12.110200000000001</v>
      </c>
      <c r="N747" s="81">
        <f>12.1066 * CHOOSE(CONTROL!$C$32, $C$9, 100%, $E$9)</f>
        <v>12.1066</v>
      </c>
      <c r="O747" s="81">
        <f>12.1102 * CHOOSE(CONTROL!$C$32, $C$9, 100%, $E$9)</f>
        <v>12.110200000000001</v>
      </c>
    </row>
    <row r="748" spans="1:15" ht="15" x14ac:dyDescent="0.2">
      <c r="A748" s="16">
        <v>63979</v>
      </c>
      <c r="B748" s="80">
        <f>11.0618 * CHOOSE(CONTROL!$C$32, $C$9, 100%, $E$9)</f>
        <v>11.0618</v>
      </c>
      <c r="C748" s="80">
        <f>11.0618 * CHOOSE(CONTROL!$C$32, $C$9, 100%, $E$9)</f>
        <v>11.0618</v>
      </c>
      <c r="D748" s="80">
        <f>11.0629 * CHOOSE(CONTROL!$C$32, $C$9, 100%, $E$9)</f>
        <v>11.062900000000001</v>
      </c>
      <c r="E748" s="81">
        <f>12.3602 * CHOOSE(CONTROL!$C$32, $C$9, 100%, $E$9)</f>
        <v>12.360200000000001</v>
      </c>
      <c r="F748" s="81">
        <f>12.3602 * CHOOSE(CONTROL!$C$32, $C$9, 100%, $E$9)</f>
        <v>12.360200000000001</v>
      </c>
      <c r="G748" s="81">
        <f>12.3638 * CHOOSE(CONTROL!$C$32, $C$9, 100%, $E$9)</f>
        <v>12.363799999999999</v>
      </c>
      <c r="H748" s="81">
        <f>25.4156 * CHOOSE(CONTROL!$C$32, $C$9, 100%, $E$9)</f>
        <v>25.415600000000001</v>
      </c>
      <c r="I748" s="81">
        <f>25.4192 * CHOOSE(CONTROL!$C$32, $C$9, 100%, $E$9)</f>
        <v>25.4192</v>
      </c>
      <c r="J748" s="81">
        <f>25.4156 * CHOOSE(CONTROL!$C$32, $C$9, 100%, $E$9)</f>
        <v>25.415600000000001</v>
      </c>
      <c r="K748" s="81">
        <f>25.4192 * CHOOSE(CONTROL!$C$32, $C$9, 100%, $E$9)</f>
        <v>25.4192</v>
      </c>
      <c r="L748" s="81">
        <f>12.3602 * CHOOSE(CONTROL!$C$32, $C$9, 100%, $E$9)</f>
        <v>12.360200000000001</v>
      </c>
      <c r="M748" s="81">
        <f>12.3638 * CHOOSE(CONTROL!$C$32, $C$9, 100%, $E$9)</f>
        <v>12.363799999999999</v>
      </c>
      <c r="N748" s="81">
        <f>12.3602 * CHOOSE(CONTROL!$C$32, $C$9, 100%, $E$9)</f>
        <v>12.360200000000001</v>
      </c>
      <c r="O748" s="81">
        <f>12.3638 * CHOOSE(CONTROL!$C$32, $C$9, 100%, $E$9)</f>
        <v>12.363799999999999</v>
      </c>
    </row>
    <row r="749" spans="1:15" ht="15" x14ac:dyDescent="0.2">
      <c r="A749" s="16">
        <v>64010</v>
      </c>
      <c r="B749" s="80">
        <f>11.0663 * CHOOSE(CONTROL!$C$32, $C$9, 100%, $E$9)</f>
        <v>11.0663</v>
      </c>
      <c r="C749" s="80">
        <f>11.0663 * CHOOSE(CONTROL!$C$32, $C$9, 100%, $E$9)</f>
        <v>11.0663</v>
      </c>
      <c r="D749" s="80">
        <f>11.0674 * CHOOSE(CONTROL!$C$32, $C$9, 100%, $E$9)</f>
        <v>11.067399999999999</v>
      </c>
      <c r="E749" s="81">
        <f>12.6305 * CHOOSE(CONTROL!$C$32, $C$9, 100%, $E$9)</f>
        <v>12.6305</v>
      </c>
      <c r="F749" s="81">
        <f>12.6305 * CHOOSE(CONTROL!$C$32, $C$9, 100%, $E$9)</f>
        <v>12.6305</v>
      </c>
      <c r="G749" s="81">
        <f>12.6341 * CHOOSE(CONTROL!$C$32, $C$9, 100%, $E$9)</f>
        <v>12.6341</v>
      </c>
      <c r="H749" s="81">
        <f>25.4685 * CHOOSE(CONTROL!$C$32, $C$9, 100%, $E$9)</f>
        <v>25.468499999999999</v>
      </c>
      <c r="I749" s="81">
        <f>25.4721 * CHOOSE(CONTROL!$C$32, $C$9, 100%, $E$9)</f>
        <v>25.472100000000001</v>
      </c>
      <c r="J749" s="81">
        <f>25.4685 * CHOOSE(CONTROL!$C$32, $C$9, 100%, $E$9)</f>
        <v>25.468499999999999</v>
      </c>
      <c r="K749" s="81">
        <f>25.4721 * CHOOSE(CONTROL!$C$32, $C$9, 100%, $E$9)</f>
        <v>25.472100000000001</v>
      </c>
      <c r="L749" s="81">
        <f>12.6305 * CHOOSE(CONTROL!$C$32, $C$9, 100%, $E$9)</f>
        <v>12.6305</v>
      </c>
      <c r="M749" s="81">
        <f>12.6341 * CHOOSE(CONTROL!$C$32, $C$9, 100%, $E$9)</f>
        <v>12.6341</v>
      </c>
      <c r="N749" s="81">
        <f>12.6305 * CHOOSE(CONTROL!$C$32, $C$9, 100%, $E$9)</f>
        <v>12.6305</v>
      </c>
      <c r="O749" s="81">
        <f>12.6341 * CHOOSE(CONTROL!$C$32, $C$9, 100%, $E$9)</f>
        <v>12.6341</v>
      </c>
    </row>
    <row r="750" spans="1:15" ht="15" x14ac:dyDescent="0.2">
      <c r="A750" s="16">
        <v>64040</v>
      </c>
      <c r="B750" s="80">
        <f>11.0663 * CHOOSE(CONTROL!$C$32, $C$9, 100%, $E$9)</f>
        <v>11.0663</v>
      </c>
      <c r="C750" s="80">
        <f>11.0663 * CHOOSE(CONTROL!$C$32, $C$9, 100%, $E$9)</f>
        <v>11.0663</v>
      </c>
      <c r="D750" s="80">
        <f>11.0679 * CHOOSE(CONTROL!$C$32, $C$9, 100%, $E$9)</f>
        <v>11.0679</v>
      </c>
      <c r="E750" s="81">
        <f>12.7335 * CHOOSE(CONTROL!$C$32, $C$9, 100%, $E$9)</f>
        <v>12.733499999999999</v>
      </c>
      <c r="F750" s="81">
        <f>12.7335 * CHOOSE(CONTROL!$C$32, $C$9, 100%, $E$9)</f>
        <v>12.733499999999999</v>
      </c>
      <c r="G750" s="81">
        <f>12.7388 * CHOOSE(CONTROL!$C$32, $C$9, 100%, $E$9)</f>
        <v>12.738799999999999</v>
      </c>
      <c r="H750" s="81">
        <f>25.5216 * CHOOSE(CONTROL!$C$32, $C$9, 100%, $E$9)</f>
        <v>25.521599999999999</v>
      </c>
      <c r="I750" s="81">
        <f>25.5269 * CHOOSE(CONTROL!$C$32, $C$9, 100%, $E$9)</f>
        <v>25.526900000000001</v>
      </c>
      <c r="J750" s="81">
        <f>25.5216 * CHOOSE(CONTROL!$C$32, $C$9, 100%, $E$9)</f>
        <v>25.521599999999999</v>
      </c>
      <c r="K750" s="81">
        <f>25.5269 * CHOOSE(CONTROL!$C$32, $C$9, 100%, $E$9)</f>
        <v>25.526900000000001</v>
      </c>
      <c r="L750" s="81">
        <f>12.7335 * CHOOSE(CONTROL!$C$32, $C$9, 100%, $E$9)</f>
        <v>12.733499999999999</v>
      </c>
      <c r="M750" s="81">
        <f>12.7388 * CHOOSE(CONTROL!$C$32, $C$9, 100%, $E$9)</f>
        <v>12.738799999999999</v>
      </c>
      <c r="N750" s="81">
        <f>12.7335 * CHOOSE(CONTROL!$C$32, $C$9, 100%, $E$9)</f>
        <v>12.733499999999999</v>
      </c>
      <c r="O750" s="81">
        <f>12.7388 * CHOOSE(CONTROL!$C$32, $C$9, 100%, $E$9)</f>
        <v>12.738799999999999</v>
      </c>
    </row>
    <row r="751" spans="1:15" ht="15" x14ac:dyDescent="0.2">
      <c r="A751" s="16">
        <v>64071</v>
      </c>
      <c r="B751" s="80">
        <f>11.0724 * CHOOSE(CONTROL!$C$32, $C$9, 100%, $E$9)</f>
        <v>11.0724</v>
      </c>
      <c r="C751" s="80">
        <f>11.0724 * CHOOSE(CONTROL!$C$32, $C$9, 100%, $E$9)</f>
        <v>11.0724</v>
      </c>
      <c r="D751" s="80">
        <f>11.0739 * CHOOSE(CONTROL!$C$32, $C$9, 100%, $E$9)</f>
        <v>11.0739</v>
      </c>
      <c r="E751" s="81">
        <f>12.6347 * CHOOSE(CONTROL!$C$32, $C$9, 100%, $E$9)</f>
        <v>12.6347</v>
      </c>
      <c r="F751" s="81">
        <f>12.6347 * CHOOSE(CONTROL!$C$32, $C$9, 100%, $E$9)</f>
        <v>12.6347</v>
      </c>
      <c r="G751" s="81">
        <f>12.64 * CHOOSE(CONTROL!$C$32, $C$9, 100%, $E$9)</f>
        <v>12.64</v>
      </c>
      <c r="H751" s="81">
        <f>25.5748 * CHOOSE(CONTROL!$C$32, $C$9, 100%, $E$9)</f>
        <v>25.5748</v>
      </c>
      <c r="I751" s="81">
        <f>25.5801 * CHOOSE(CONTROL!$C$32, $C$9, 100%, $E$9)</f>
        <v>25.580100000000002</v>
      </c>
      <c r="J751" s="81">
        <f>25.5748 * CHOOSE(CONTROL!$C$32, $C$9, 100%, $E$9)</f>
        <v>25.5748</v>
      </c>
      <c r="K751" s="81">
        <f>25.5801 * CHOOSE(CONTROL!$C$32, $C$9, 100%, $E$9)</f>
        <v>25.580100000000002</v>
      </c>
      <c r="L751" s="81">
        <f>12.6347 * CHOOSE(CONTROL!$C$32, $C$9, 100%, $E$9)</f>
        <v>12.6347</v>
      </c>
      <c r="M751" s="81">
        <f>12.64 * CHOOSE(CONTROL!$C$32, $C$9, 100%, $E$9)</f>
        <v>12.64</v>
      </c>
      <c r="N751" s="81">
        <f>12.6347 * CHOOSE(CONTROL!$C$32, $C$9, 100%, $E$9)</f>
        <v>12.6347</v>
      </c>
      <c r="O751" s="81">
        <f>12.64 * CHOOSE(CONTROL!$C$32, $C$9, 100%, $E$9)</f>
        <v>12.64</v>
      </c>
    </row>
    <row r="752" spans="1:15" ht="15" x14ac:dyDescent="0.2">
      <c r="A752" s="16">
        <v>64101</v>
      </c>
      <c r="B752" s="80">
        <f>11.2085 * CHOOSE(CONTROL!$C$32, $C$9, 100%, $E$9)</f>
        <v>11.208500000000001</v>
      </c>
      <c r="C752" s="80">
        <f>11.2085 * CHOOSE(CONTROL!$C$32, $C$9, 100%, $E$9)</f>
        <v>11.208500000000001</v>
      </c>
      <c r="D752" s="80">
        <f>11.2101 * CHOOSE(CONTROL!$C$32, $C$9, 100%, $E$9)</f>
        <v>11.210100000000001</v>
      </c>
      <c r="E752" s="81">
        <f>12.8126 * CHOOSE(CONTROL!$C$32, $C$9, 100%, $E$9)</f>
        <v>12.8126</v>
      </c>
      <c r="F752" s="81">
        <f>12.8126 * CHOOSE(CONTROL!$C$32, $C$9, 100%, $E$9)</f>
        <v>12.8126</v>
      </c>
      <c r="G752" s="81">
        <f>12.8179 * CHOOSE(CONTROL!$C$32, $C$9, 100%, $E$9)</f>
        <v>12.8179</v>
      </c>
      <c r="H752" s="81">
        <f>25.628 * CHOOSE(CONTROL!$C$32, $C$9, 100%, $E$9)</f>
        <v>25.628</v>
      </c>
      <c r="I752" s="81">
        <f>25.6333 * CHOOSE(CONTROL!$C$32, $C$9, 100%, $E$9)</f>
        <v>25.633299999999998</v>
      </c>
      <c r="J752" s="81">
        <f>25.628 * CHOOSE(CONTROL!$C$32, $C$9, 100%, $E$9)</f>
        <v>25.628</v>
      </c>
      <c r="K752" s="81">
        <f>25.6333 * CHOOSE(CONTROL!$C$32, $C$9, 100%, $E$9)</f>
        <v>25.633299999999998</v>
      </c>
      <c r="L752" s="81">
        <f>12.8126 * CHOOSE(CONTROL!$C$32, $C$9, 100%, $E$9)</f>
        <v>12.8126</v>
      </c>
      <c r="M752" s="81">
        <f>12.8179 * CHOOSE(CONTROL!$C$32, $C$9, 100%, $E$9)</f>
        <v>12.8179</v>
      </c>
      <c r="N752" s="81">
        <f>12.8126 * CHOOSE(CONTROL!$C$32, $C$9, 100%, $E$9)</f>
        <v>12.8126</v>
      </c>
      <c r="O752" s="81">
        <f>12.8179 * CHOOSE(CONTROL!$C$32, $C$9, 100%, $E$9)</f>
        <v>12.8179</v>
      </c>
    </row>
    <row r="753" spans="1:15" ht="15" x14ac:dyDescent="0.2">
      <c r="A753" s="16">
        <v>64132</v>
      </c>
      <c r="B753" s="80">
        <f>11.2152 * CHOOSE(CONTROL!$C$32, $C$9, 100%, $E$9)</f>
        <v>11.215199999999999</v>
      </c>
      <c r="C753" s="80">
        <f>11.2152 * CHOOSE(CONTROL!$C$32, $C$9, 100%, $E$9)</f>
        <v>11.215199999999999</v>
      </c>
      <c r="D753" s="80">
        <f>11.2168 * CHOOSE(CONTROL!$C$32, $C$9, 100%, $E$9)</f>
        <v>11.216799999999999</v>
      </c>
      <c r="E753" s="81">
        <f>12.5083 * CHOOSE(CONTROL!$C$32, $C$9, 100%, $E$9)</f>
        <v>12.5083</v>
      </c>
      <c r="F753" s="81">
        <f>12.5083 * CHOOSE(CONTROL!$C$32, $C$9, 100%, $E$9)</f>
        <v>12.5083</v>
      </c>
      <c r="G753" s="81">
        <f>12.5136 * CHOOSE(CONTROL!$C$32, $C$9, 100%, $E$9)</f>
        <v>12.5136</v>
      </c>
      <c r="H753" s="81">
        <f>25.6814 * CHOOSE(CONTROL!$C$32, $C$9, 100%, $E$9)</f>
        <v>25.6814</v>
      </c>
      <c r="I753" s="81">
        <f>25.6867 * CHOOSE(CONTROL!$C$32, $C$9, 100%, $E$9)</f>
        <v>25.686699999999998</v>
      </c>
      <c r="J753" s="81">
        <f>25.6814 * CHOOSE(CONTROL!$C$32, $C$9, 100%, $E$9)</f>
        <v>25.6814</v>
      </c>
      <c r="K753" s="81">
        <f>25.6867 * CHOOSE(CONTROL!$C$32, $C$9, 100%, $E$9)</f>
        <v>25.686699999999998</v>
      </c>
      <c r="L753" s="81">
        <f>12.5083 * CHOOSE(CONTROL!$C$32, $C$9, 100%, $E$9)</f>
        <v>12.5083</v>
      </c>
      <c r="M753" s="81">
        <f>12.5136 * CHOOSE(CONTROL!$C$32, $C$9, 100%, $E$9)</f>
        <v>12.5136</v>
      </c>
      <c r="N753" s="81">
        <f>12.5083 * CHOOSE(CONTROL!$C$32, $C$9, 100%, $E$9)</f>
        <v>12.5083</v>
      </c>
      <c r="O753" s="81">
        <f>12.5136 * CHOOSE(CONTROL!$C$32, $C$9, 100%, $E$9)</f>
        <v>12.5136</v>
      </c>
    </row>
    <row r="754" spans="1:15" ht="15" x14ac:dyDescent="0.2">
      <c r="A754" s="16">
        <v>64163</v>
      </c>
      <c r="B754" s="80">
        <f>11.2122 * CHOOSE(CONTROL!$C$32, $C$9, 100%, $E$9)</f>
        <v>11.212199999999999</v>
      </c>
      <c r="C754" s="80">
        <f>11.2122 * CHOOSE(CONTROL!$C$32, $C$9, 100%, $E$9)</f>
        <v>11.212199999999999</v>
      </c>
      <c r="D754" s="80">
        <f>11.2137 * CHOOSE(CONTROL!$C$32, $C$9, 100%, $E$9)</f>
        <v>11.213699999999999</v>
      </c>
      <c r="E754" s="81">
        <f>12.4719 * CHOOSE(CONTROL!$C$32, $C$9, 100%, $E$9)</f>
        <v>12.4719</v>
      </c>
      <c r="F754" s="81">
        <f>12.4719 * CHOOSE(CONTROL!$C$32, $C$9, 100%, $E$9)</f>
        <v>12.4719</v>
      </c>
      <c r="G754" s="81">
        <f>12.4772 * CHOOSE(CONTROL!$C$32, $C$9, 100%, $E$9)</f>
        <v>12.4772</v>
      </c>
      <c r="H754" s="81">
        <f>25.7349 * CHOOSE(CONTROL!$C$32, $C$9, 100%, $E$9)</f>
        <v>25.7349</v>
      </c>
      <c r="I754" s="81">
        <f>25.7402 * CHOOSE(CONTROL!$C$32, $C$9, 100%, $E$9)</f>
        <v>25.740200000000002</v>
      </c>
      <c r="J754" s="81">
        <f>25.7349 * CHOOSE(CONTROL!$C$32, $C$9, 100%, $E$9)</f>
        <v>25.7349</v>
      </c>
      <c r="K754" s="81">
        <f>25.7402 * CHOOSE(CONTROL!$C$32, $C$9, 100%, $E$9)</f>
        <v>25.740200000000002</v>
      </c>
      <c r="L754" s="81">
        <f>12.4719 * CHOOSE(CONTROL!$C$32, $C$9, 100%, $E$9)</f>
        <v>12.4719</v>
      </c>
      <c r="M754" s="81">
        <f>12.4772 * CHOOSE(CONTROL!$C$32, $C$9, 100%, $E$9)</f>
        <v>12.4772</v>
      </c>
      <c r="N754" s="81">
        <f>12.4719 * CHOOSE(CONTROL!$C$32, $C$9, 100%, $E$9)</f>
        <v>12.4719</v>
      </c>
      <c r="O754" s="81">
        <f>12.4772 * CHOOSE(CONTROL!$C$32, $C$9, 100%, $E$9)</f>
        <v>12.4772</v>
      </c>
    </row>
    <row r="755" spans="1:15" ht="15" x14ac:dyDescent="0.2">
      <c r="A755" s="16">
        <v>64193</v>
      </c>
      <c r="B755" s="80">
        <f>11.2342 * CHOOSE(CONTROL!$C$32, $C$9, 100%, $E$9)</f>
        <v>11.2342</v>
      </c>
      <c r="C755" s="80">
        <f>11.2342 * CHOOSE(CONTROL!$C$32, $C$9, 100%, $E$9)</f>
        <v>11.2342</v>
      </c>
      <c r="D755" s="80">
        <f>11.2352 * CHOOSE(CONTROL!$C$32, $C$9, 100%, $E$9)</f>
        <v>11.235200000000001</v>
      </c>
      <c r="E755" s="81">
        <f>12.5958 * CHOOSE(CONTROL!$C$32, $C$9, 100%, $E$9)</f>
        <v>12.595800000000001</v>
      </c>
      <c r="F755" s="81">
        <f>12.5958 * CHOOSE(CONTROL!$C$32, $C$9, 100%, $E$9)</f>
        <v>12.595800000000001</v>
      </c>
      <c r="G755" s="81">
        <f>12.5994 * CHOOSE(CONTROL!$C$32, $C$9, 100%, $E$9)</f>
        <v>12.599399999999999</v>
      </c>
      <c r="H755" s="81">
        <f>25.7886 * CHOOSE(CONTROL!$C$32, $C$9, 100%, $E$9)</f>
        <v>25.788599999999999</v>
      </c>
      <c r="I755" s="81">
        <f>25.7922 * CHOOSE(CONTROL!$C$32, $C$9, 100%, $E$9)</f>
        <v>25.792200000000001</v>
      </c>
      <c r="J755" s="81">
        <f>25.7886 * CHOOSE(CONTROL!$C$32, $C$9, 100%, $E$9)</f>
        <v>25.788599999999999</v>
      </c>
      <c r="K755" s="81">
        <f>25.7922 * CHOOSE(CONTROL!$C$32, $C$9, 100%, $E$9)</f>
        <v>25.792200000000001</v>
      </c>
      <c r="L755" s="81">
        <f>12.5958 * CHOOSE(CONTROL!$C$32, $C$9, 100%, $E$9)</f>
        <v>12.595800000000001</v>
      </c>
      <c r="M755" s="81">
        <f>12.5994 * CHOOSE(CONTROL!$C$32, $C$9, 100%, $E$9)</f>
        <v>12.599399999999999</v>
      </c>
      <c r="N755" s="81">
        <f>12.5958 * CHOOSE(CONTROL!$C$32, $C$9, 100%, $E$9)</f>
        <v>12.595800000000001</v>
      </c>
      <c r="O755" s="81">
        <f>12.5994 * CHOOSE(CONTROL!$C$32, $C$9, 100%, $E$9)</f>
        <v>12.599399999999999</v>
      </c>
    </row>
    <row r="756" spans="1:15" ht="15" x14ac:dyDescent="0.2">
      <c r="A756" s="16">
        <v>64224</v>
      </c>
      <c r="B756" s="80">
        <f>11.2372 * CHOOSE(CONTROL!$C$32, $C$9, 100%, $E$9)</f>
        <v>11.2372</v>
      </c>
      <c r="C756" s="80">
        <f>11.2372 * CHOOSE(CONTROL!$C$32, $C$9, 100%, $E$9)</f>
        <v>11.2372</v>
      </c>
      <c r="D756" s="80">
        <f>11.2383 * CHOOSE(CONTROL!$C$32, $C$9, 100%, $E$9)</f>
        <v>11.238300000000001</v>
      </c>
      <c r="E756" s="81">
        <f>12.6665 * CHOOSE(CONTROL!$C$32, $C$9, 100%, $E$9)</f>
        <v>12.666499999999999</v>
      </c>
      <c r="F756" s="81">
        <f>12.6665 * CHOOSE(CONTROL!$C$32, $C$9, 100%, $E$9)</f>
        <v>12.666499999999999</v>
      </c>
      <c r="G756" s="81">
        <f>12.6701 * CHOOSE(CONTROL!$C$32, $C$9, 100%, $E$9)</f>
        <v>12.6701</v>
      </c>
      <c r="H756" s="81">
        <f>25.8423 * CHOOSE(CONTROL!$C$32, $C$9, 100%, $E$9)</f>
        <v>25.842300000000002</v>
      </c>
      <c r="I756" s="81">
        <f>25.8459 * CHOOSE(CONTROL!$C$32, $C$9, 100%, $E$9)</f>
        <v>25.8459</v>
      </c>
      <c r="J756" s="81">
        <f>25.8423 * CHOOSE(CONTROL!$C$32, $C$9, 100%, $E$9)</f>
        <v>25.842300000000002</v>
      </c>
      <c r="K756" s="81">
        <f>25.8459 * CHOOSE(CONTROL!$C$32, $C$9, 100%, $E$9)</f>
        <v>25.8459</v>
      </c>
      <c r="L756" s="81">
        <f>12.6665 * CHOOSE(CONTROL!$C$32, $C$9, 100%, $E$9)</f>
        <v>12.666499999999999</v>
      </c>
      <c r="M756" s="81">
        <f>12.6701 * CHOOSE(CONTROL!$C$32, $C$9, 100%, $E$9)</f>
        <v>12.6701</v>
      </c>
      <c r="N756" s="81">
        <f>12.6665 * CHOOSE(CONTROL!$C$32, $C$9, 100%, $E$9)</f>
        <v>12.666499999999999</v>
      </c>
      <c r="O756" s="81">
        <f>12.6701 * CHOOSE(CONTROL!$C$32, $C$9, 100%, $E$9)</f>
        <v>12.6701</v>
      </c>
    </row>
    <row r="757" spans="1:15" ht="15" x14ac:dyDescent="0.2">
      <c r="A757" s="16">
        <v>64254</v>
      </c>
      <c r="B757" s="80">
        <f>11.2372 * CHOOSE(CONTROL!$C$32, $C$9, 100%, $E$9)</f>
        <v>11.2372</v>
      </c>
      <c r="C757" s="80">
        <f>11.2372 * CHOOSE(CONTROL!$C$32, $C$9, 100%, $E$9)</f>
        <v>11.2372</v>
      </c>
      <c r="D757" s="80">
        <f>11.2383 * CHOOSE(CONTROL!$C$32, $C$9, 100%, $E$9)</f>
        <v>11.238300000000001</v>
      </c>
      <c r="E757" s="81">
        <f>12.4949 * CHOOSE(CONTROL!$C$32, $C$9, 100%, $E$9)</f>
        <v>12.494899999999999</v>
      </c>
      <c r="F757" s="81">
        <f>12.4949 * CHOOSE(CONTROL!$C$32, $C$9, 100%, $E$9)</f>
        <v>12.494899999999999</v>
      </c>
      <c r="G757" s="81">
        <f>12.4985 * CHOOSE(CONTROL!$C$32, $C$9, 100%, $E$9)</f>
        <v>12.4985</v>
      </c>
      <c r="H757" s="81">
        <f>25.8961 * CHOOSE(CONTROL!$C$32, $C$9, 100%, $E$9)</f>
        <v>25.896100000000001</v>
      </c>
      <c r="I757" s="81">
        <f>25.8997 * CHOOSE(CONTROL!$C$32, $C$9, 100%, $E$9)</f>
        <v>25.899699999999999</v>
      </c>
      <c r="J757" s="81">
        <f>25.8961 * CHOOSE(CONTROL!$C$32, $C$9, 100%, $E$9)</f>
        <v>25.896100000000001</v>
      </c>
      <c r="K757" s="81">
        <f>25.8997 * CHOOSE(CONTROL!$C$32, $C$9, 100%, $E$9)</f>
        <v>25.899699999999999</v>
      </c>
      <c r="L757" s="81">
        <f>12.4949 * CHOOSE(CONTROL!$C$32, $C$9, 100%, $E$9)</f>
        <v>12.494899999999999</v>
      </c>
      <c r="M757" s="81">
        <f>12.4985 * CHOOSE(CONTROL!$C$32, $C$9, 100%, $E$9)</f>
        <v>12.4985</v>
      </c>
      <c r="N757" s="81">
        <f>12.4949 * CHOOSE(CONTROL!$C$32, $C$9, 100%, $E$9)</f>
        <v>12.494899999999999</v>
      </c>
      <c r="O757" s="81">
        <f>12.4985 * CHOOSE(CONTROL!$C$32, $C$9, 100%, $E$9)</f>
        <v>12.4985</v>
      </c>
    </row>
    <row r="758" spans="1:15" ht="15" x14ac:dyDescent="0.2">
      <c r="A758" s="16">
        <v>64285</v>
      </c>
      <c r="B758" s="80">
        <f>11.2552 * CHOOSE(CONTROL!$C$32, $C$9, 100%, $E$9)</f>
        <v>11.2552</v>
      </c>
      <c r="C758" s="80">
        <f>11.2552 * CHOOSE(CONTROL!$C$32, $C$9, 100%, $E$9)</f>
        <v>11.2552</v>
      </c>
      <c r="D758" s="80">
        <f>11.2563 * CHOOSE(CONTROL!$C$32, $C$9, 100%, $E$9)</f>
        <v>11.2563</v>
      </c>
      <c r="E758" s="81">
        <f>12.6455 * CHOOSE(CONTROL!$C$32, $C$9, 100%, $E$9)</f>
        <v>12.6455</v>
      </c>
      <c r="F758" s="81">
        <f>12.6455 * CHOOSE(CONTROL!$C$32, $C$9, 100%, $E$9)</f>
        <v>12.6455</v>
      </c>
      <c r="G758" s="81">
        <f>12.6492 * CHOOSE(CONTROL!$C$32, $C$9, 100%, $E$9)</f>
        <v>12.6492</v>
      </c>
      <c r="H758" s="81">
        <f>25.774 * CHOOSE(CONTROL!$C$32, $C$9, 100%, $E$9)</f>
        <v>25.774000000000001</v>
      </c>
      <c r="I758" s="81">
        <f>25.7777 * CHOOSE(CONTROL!$C$32, $C$9, 100%, $E$9)</f>
        <v>25.777699999999999</v>
      </c>
      <c r="J758" s="81">
        <f>25.774 * CHOOSE(CONTROL!$C$32, $C$9, 100%, $E$9)</f>
        <v>25.774000000000001</v>
      </c>
      <c r="K758" s="81">
        <f>25.7777 * CHOOSE(CONTROL!$C$32, $C$9, 100%, $E$9)</f>
        <v>25.777699999999999</v>
      </c>
      <c r="L758" s="81">
        <f>12.6455 * CHOOSE(CONTROL!$C$32, $C$9, 100%, $E$9)</f>
        <v>12.6455</v>
      </c>
      <c r="M758" s="81">
        <f>12.6492 * CHOOSE(CONTROL!$C$32, $C$9, 100%, $E$9)</f>
        <v>12.6492</v>
      </c>
      <c r="N758" s="81">
        <f>12.6455 * CHOOSE(CONTROL!$C$32, $C$9, 100%, $E$9)</f>
        <v>12.6455</v>
      </c>
      <c r="O758" s="81">
        <f>12.6492 * CHOOSE(CONTROL!$C$32, $C$9, 100%, $E$9)</f>
        <v>12.6492</v>
      </c>
    </row>
    <row r="759" spans="1:15" ht="15" x14ac:dyDescent="0.2">
      <c r="A759" s="16">
        <v>64316</v>
      </c>
      <c r="B759" s="80">
        <f>11.2522 * CHOOSE(CONTROL!$C$32, $C$9, 100%, $E$9)</f>
        <v>11.2522</v>
      </c>
      <c r="C759" s="80">
        <f>11.2522 * CHOOSE(CONTROL!$C$32, $C$9, 100%, $E$9)</f>
        <v>11.2522</v>
      </c>
      <c r="D759" s="80">
        <f>11.2533 * CHOOSE(CONTROL!$C$32, $C$9, 100%, $E$9)</f>
        <v>11.253299999999999</v>
      </c>
      <c r="E759" s="81">
        <f>12.312 * CHOOSE(CONTROL!$C$32, $C$9, 100%, $E$9)</f>
        <v>12.311999999999999</v>
      </c>
      <c r="F759" s="81">
        <f>12.312 * CHOOSE(CONTROL!$C$32, $C$9, 100%, $E$9)</f>
        <v>12.311999999999999</v>
      </c>
      <c r="G759" s="81">
        <f>12.3156 * CHOOSE(CONTROL!$C$32, $C$9, 100%, $E$9)</f>
        <v>12.3156</v>
      </c>
      <c r="H759" s="81">
        <f>25.8277 * CHOOSE(CONTROL!$C$32, $C$9, 100%, $E$9)</f>
        <v>25.8277</v>
      </c>
      <c r="I759" s="81">
        <f>25.8314 * CHOOSE(CONTROL!$C$32, $C$9, 100%, $E$9)</f>
        <v>25.831399999999999</v>
      </c>
      <c r="J759" s="81">
        <f>25.8277 * CHOOSE(CONTROL!$C$32, $C$9, 100%, $E$9)</f>
        <v>25.8277</v>
      </c>
      <c r="K759" s="81">
        <f>25.8314 * CHOOSE(CONTROL!$C$32, $C$9, 100%, $E$9)</f>
        <v>25.831399999999999</v>
      </c>
      <c r="L759" s="81">
        <f>12.312 * CHOOSE(CONTROL!$C$32, $C$9, 100%, $E$9)</f>
        <v>12.311999999999999</v>
      </c>
      <c r="M759" s="81">
        <f>12.3156 * CHOOSE(CONTROL!$C$32, $C$9, 100%, $E$9)</f>
        <v>12.3156</v>
      </c>
      <c r="N759" s="81">
        <f>12.312 * CHOOSE(CONTROL!$C$32, $C$9, 100%, $E$9)</f>
        <v>12.311999999999999</v>
      </c>
      <c r="O759" s="81">
        <f>12.3156 * CHOOSE(CONTROL!$C$32, $C$9, 100%, $E$9)</f>
        <v>12.3156</v>
      </c>
    </row>
    <row r="760" spans="1:15" ht="15" x14ac:dyDescent="0.2">
      <c r="A760" s="16">
        <v>64345</v>
      </c>
      <c r="B760" s="80">
        <f>11.2491 * CHOOSE(CONTROL!$C$32, $C$9, 100%, $E$9)</f>
        <v>11.2491</v>
      </c>
      <c r="C760" s="80">
        <f>11.2491 * CHOOSE(CONTROL!$C$32, $C$9, 100%, $E$9)</f>
        <v>11.2491</v>
      </c>
      <c r="D760" s="80">
        <f>11.2502 * CHOOSE(CONTROL!$C$32, $C$9, 100%, $E$9)</f>
        <v>11.2502</v>
      </c>
      <c r="E760" s="81">
        <f>12.5712 * CHOOSE(CONTROL!$C$32, $C$9, 100%, $E$9)</f>
        <v>12.571199999999999</v>
      </c>
      <c r="F760" s="81">
        <f>12.5712 * CHOOSE(CONTROL!$C$32, $C$9, 100%, $E$9)</f>
        <v>12.571199999999999</v>
      </c>
      <c r="G760" s="81">
        <f>12.5748 * CHOOSE(CONTROL!$C$32, $C$9, 100%, $E$9)</f>
        <v>12.5748</v>
      </c>
      <c r="H760" s="81">
        <f>25.8815 * CHOOSE(CONTROL!$C$32, $C$9, 100%, $E$9)</f>
        <v>25.881499999999999</v>
      </c>
      <c r="I760" s="81">
        <f>25.8852 * CHOOSE(CONTROL!$C$32, $C$9, 100%, $E$9)</f>
        <v>25.885200000000001</v>
      </c>
      <c r="J760" s="81">
        <f>25.8815 * CHOOSE(CONTROL!$C$32, $C$9, 100%, $E$9)</f>
        <v>25.881499999999999</v>
      </c>
      <c r="K760" s="81">
        <f>25.8852 * CHOOSE(CONTROL!$C$32, $C$9, 100%, $E$9)</f>
        <v>25.885200000000001</v>
      </c>
      <c r="L760" s="81">
        <f>12.5712 * CHOOSE(CONTROL!$C$32, $C$9, 100%, $E$9)</f>
        <v>12.571199999999999</v>
      </c>
      <c r="M760" s="81">
        <f>12.5748 * CHOOSE(CONTROL!$C$32, $C$9, 100%, $E$9)</f>
        <v>12.5748</v>
      </c>
      <c r="N760" s="81">
        <f>12.5712 * CHOOSE(CONTROL!$C$32, $C$9, 100%, $E$9)</f>
        <v>12.571199999999999</v>
      </c>
      <c r="O760" s="81">
        <f>12.5748 * CHOOSE(CONTROL!$C$32, $C$9, 100%, $E$9)</f>
        <v>12.5748</v>
      </c>
    </row>
    <row r="761" spans="1:15" ht="15" x14ac:dyDescent="0.2">
      <c r="A761" s="16">
        <v>64376</v>
      </c>
      <c r="B761" s="80">
        <f>11.2538 * CHOOSE(CONTROL!$C$32, $C$9, 100%, $E$9)</f>
        <v>11.2538</v>
      </c>
      <c r="C761" s="80">
        <f>11.2538 * CHOOSE(CONTROL!$C$32, $C$9, 100%, $E$9)</f>
        <v>11.2538</v>
      </c>
      <c r="D761" s="80">
        <f>11.2549 * CHOOSE(CONTROL!$C$32, $C$9, 100%, $E$9)</f>
        <v>11.254899999999999</v>
      </c>
      <c r="E761" s="81">
        <f>12.8475 * CHOOSE(CONTROL!$C$32, $C$9, 100%, $E$9)</f>
        <v>12.8475</v>
      </c>
      <c r="F761" s="81">
        <f>12.8475 * CHOOSE(CONTROL!$C$32, $C$9, 100%, $E$9)</f>
        <v>12.8475</v>
      </c>
      <c r="G761" s="81">
        <f>12.8511 * CHOOSE(CONTROL!$C$32, $C$9, 100%, $E$9)</f>
        <v>12.851100000000001</v>
      </c>
      <c r="H761" s="81">
        <f>25.9355 * CHOOSE(CONTROL!$C$32, $C$9, 100%, $E$9)</f>
        <v>25.935500000000001</v>
      </c>
      <c r="I761" s="81">
        <f>25.9391 * CHOOSE(CONTROL!$C$32, $C$9, 100%, $E$9)</f>
        <v>25.9391</v>
      </c>
      <c r="J761" s="81">
        <f>25.9355 * CHOOSE(CONTROL!$C$32, $C$9, 100%, $E$9)</f>
        <v>25.935500000000001</v>
      </c>
      <c r="K761" s="81">
        <f>25.9391 * CHOOSE(CONTROL!$C$32, $C$9, 100%, $E$9)</f>
        <v>25.9391</v>
      </c>
      <c r="L761" s="81">
        <f>12.8475 * CHOOSE(CONTROL!$C$32, $C$9, 100%, $E$9)</f>
        <v>12.8475</v>
      </c>
      <c r="M761" s="81">
        <f>12.8511 * CHOOSE(CONTROL!$C$32, $C$9, 100%, $E$9)</f>
        <v>12.851100000000001</v>
      </c>
      <c r="N761" s="81">
        <f>12.8475 * CHOOSE(CONTROL!$C$32, $C$9, 100%, $E$9)</f>
        <v>12.8475</v>
      </c>
      <c r="O761" s="81">
        <f>12.8511 * CHOOSE(CONTROL!$C$32, $C$9, 100%, $E$9)</f>
        <v>12.851100000000001</v>
      </c>
    </row>
    <row r="762" spans="1:15" ht="15" x14ac:dyDescent="0.2">
      <c r="A762" s="16">
        <v>64406</v>
      </c>
      <c r="B762" s="80">
        <f>11.2538 * CHOOSE(CONTROL!$C$32, $C$9, 100%, $E$9)</f>
        <v>11.2538</v>
      </c>
      <c r="C762" s="80">
        <f>11.2538 * CHOOSE(CONTROL!$C$32, $C$9, 100%, $E$9)</f>
        <v>11.2538</v>
      </c>
      <c r="D762" s="80">
        <f>11.2554 * CHOOSE(CONTROL!$C$32, $C$9, 100%, $E$9)</f>
        <v>11.2554</v>
      </c>
      <c r="E762" s="81">
        <f>12.9527 * CHOOSE(CONTROL!$C$32, $C$9, 100%, $E$9)</f>
        <v>12.9527</v>
      </c>
      <c r="F762" s="81">
        <f>12.9527 * CHOOSE(CONTROL!$C$32, $C$9, 100%, $E$9)</f>
        <v>12.9527</v>
      </c>
      <c r="G762" s="81">
        <f>12.958 * CHOOSE(CONTROL!$C$32, $C$9, 100%, $E$9)</f>
        <v>12.958</v>
      </c>
      <c r="H762" s="81">
        <f>25.9895 * CHOOSE(CONTROL!$C$32, $C$9, 100%, $E$9)</f>
        <v>25.9895</v>
      </c>
      <c r="I762" s="81">
        <f>25.9948 * CHOOSE(CONTROL!$C$32, $C$9, 100%, $E$9)</f>
        <v>25.994800000000001</v>
      </c>
      <c r="J762" s="81">
        <f>25.9895 * CHOOSE(CONTROL!$C$32, $C$9, 100%, $E$9)</f>
        <v>25.9895</v>
      </c>
      <c r="K762" s="81">
        <f>25.9948 * CHOOSE(CONTROL!$C$32, $C$9, 100%, $E$9)</f>
        <v>25.994800000000001</v>
      </c>
      <c r="L762" s="81">
        <f>12.9527 * CHOOSE(CONTROL!$C$32, $C$9, 100%, $E$9)</f>
        <v>12.9527</v>
      </c>
      <c r="M762" s="81">
        <f>12.958 * CHOOSE(CONTROL!$C$32, $C$9, 100%, $E$9)</f>
        <v>12.958</v>
      </c>
      <c r="N762" s="81">
        <f>12.9527 * CHOOSE(CONTROL!$C$32, $C$9, 100%, $E$9)</f>
        <v>12.9527</v>
      </c>
      <c r="O762" s="81">
        <f>12.958 * CHOOSE(CONTROL!$C$32, $C$9, 100%, $E$9)</f>
        <v>12.958</v>
      </c>
    </row>
    <row r="763" spans="1:15" ht="15" x14ac:dyDescent="0.2">
      <c r="A763" s="16">
        <v>64437</v>
      </c>
      <c r="B763" s="80">
        <f>11.2599 * CHOOSE(CONTROL!$C$32, $C$9, 100%, $E$9)</f>
        <v>11.2599</v>
      </c>
      <c r="C763" s="80">
        <f>11.2599 * CHOOSE(CONTROL!$C$32, $C$9, 100%, $E$9)</f>
        <v>11.2599</v>
      </c>
      <c r="D763" s="80">
        <f>11.2615 * CHOOSE(CONTROL!$C$32, $C$9, 100%, $E$9)</f>
        <v>11.2615</v>
      </c>
      <c r="E763" s="81">
        <f>12.8518 * CHOOSE(CONTROL!$C$32, $C$9, 100%, $E$9)</f>
        <v>12.851800000000001</v>
      </c>
      <c r="F763" s="81">
        <f>12.8518 * CHOOSE(CONTROL!$C$32, $C$9, 100%, $E$9)</f>
        <v>12.851800000000001</v>
      </c>
      <c r="G763" s="81">
        <f>12.857 * CHOOSE(CONTROL!$C$32, $C$9, 100%, $E$9)</f>
        <v>12.856999999999999</v>
      </c>
      <c r="H763" s="81">
        <f>26.0436 * CHOOSE(CONTROL!$C$32, $C$9, 100%, $E$9)</f>
        <v>26.043600000000001</v>
      </c>
      <c r="I763" s="81">
        <f>26.0489 * CHOOSE(CONTROL!$C$32, $C$9, 100%, $E$9)</f>
        <v>26.0489</v>
      </c>
      <c r="J763" s="81">
        <f>26.0436 * CHOOSE(CONTROL!$C$32, $C$9, 100%, $E$9)</f>
        <v>26.043600000000001</v>
      </c>
      <c r="K763" s="81">
        <f>26.0489 * CHOOSE(CONTROL!$C$32, $C$9, 100%, $E$9)</f>
        <v>26.0489</v>
      </c>
      <c r="L763" s="81">
        <f>12.8518 * CHOOSE(CONTROL!$C$32, $C$9, 100%, $E$9)</f>
        <v>12.851800000000001</v>
      </c>
      <c r="M763" s="81">
        <f>12.857 * CHOOSE(CONTROL!$C$32, $C$9, 100%, $E$9)</f>
        <v>12.856999999999999</v>
      </c>
      <c r="N763" s="81">
        <f>12.8518 * CHOOSE(CONTROL!$C$32, $C$9, 100%, $E$9)</f>
        <v>12.851800000000001</v>
      </c>
      <c r="O763" s="81">
        <f>12.857 * CHOOSE(CONTROL!$C$32, $C$9, 100%, $E$9)</f>
        <v>12.856999999999999</v>
      </c>
    </row>
    <row r="764" spans="1:15" ht="15" x14ac:dyDescent="0.2">
      <c r="A764" s="16">
        <v>64467</v>
      </c>
      <c r="B764" s="80">
        <f>11.3981 * CHOOSE(CONTROL!$C$32, $C$9, 100%, $E$9)</f>
        <v>11.398099999999999</v>
      </c>
      <c r="C764" s="80">
        <f>11.3981 * CHOOSE(CONTROL!$C$32, $C$9, 100%, $E$9)</f>
        <v>11.398099999999999</v>
      </c>
      <c r="D764" s="80">
        <f>11.3997 * CHOOSE(CONTROL!$C$32, $C$9, 100%, $E$9)</f>
        <v>11.399699999999999</v>
      </c>
      <c r="E764" s="81">
        <f>13.0328 * CHOOSE(CONTROL!$C$32, $C$9, 100%, $E$9)</f>
        <v>13.0328</v>
      </c>
      <c r="F764" s="81">
        <f>13.0328 * CHOOSE(CONTROL!$C$32, $C$9, 100%, $E$9)</f>
        <v>13.0328</v>
      </c>
      <c r="G764" s="81">
        <f>13.0381 * CHOOSE(CONTROL!$C$32, $C$9, 100%, $E$9)</f>
        <v>13.0381</v>
      </c>
      <c r="H764" s="81">
        <f>26.0979 * CHOOSE(CONTROL!$C$32, $C$9, 100%, $E$9)</f>
        <v>26.097899999999999</v>
      </c>
      <c r="I764" s="81">
        <f>26.1032 * CHOOSE(CONTROL!$C$32, $C$9, 100%, $E$9)</f>
        <v>26.103200000000001</v>
      </c>
      <c r="J764" s="81">
        <f>26.0979 * CHOOSE(CONTROL!$C$32, $C$9, 100%, $E$9)</f>
        <v>26.097899999999999</v>
      </c>
      <c r="K764" s="81">
        <f>26.1032 * CHOOSE(CONTROL!$C$32, $C$9, 100%, $E$9)</f>
        <v>26.103200000000001</v>
      </c>
      <c r="L764" s="81">
        <f>13.0328 * CHOOSE(CONTROL!$C$32, $C$9, 100%, $E$9)</f>
        <v>13.0328</v>
      </c>
      <c r="M764" s="81">
        <f>13.0381 * CHOOSE(CONTROL!$C$32, $C$9, 100%, $E$9)</f>
        <v>13.0381</v>
      </c>
      <c r="N764" s="81">
        <f>13.0328 * CHOOSE(CONTROL!$C$32, $C$9, 100%, $E$9)</f>
        <v>13.0328</v>
      </c>
      <c r="O764" s="81">
        <f>13.0381 * CHOOSE(CONTROL!$C$32, $C$9, 100%, $E$9)</f>
        <v>13.0381</v>
      </c>
    </row>
    <row r="765" spans="1:15" ht="15" x14ac:dyDescent="0.2">
      <c r="A765" s="16">
        <v>64498</v>
      </c>
      <c r="B765" s="80">
        <f>11.4048 * CHOOSE(CONTROL!$C$32, $C$9, 100%, $E$9)</f>
        <v>11.4048</v>
      </c>
      <c r="C765" s="80">
        <f>11.4048 * CHOOSE(CONTROL!$C$32, $C$9, 100%, $E$9)</f>
        <v>11.4048</v>
      </c>
      <c r="D765" s="80">
        <f>11.4064 * CHOOSE(CONTROL!$C$32, $C$9, 100%, $E$9)</f>
        <v>11.4064</v>
      </c>
      <c r="E765" s="81">
        <f>12.7218 * CHOOSE(CONTROL!$C$32, $C$9, 100%, $E$9)</f>
        <v>12.7218</v>
      </c>
      <c r="F765" s="81">
        <f>12.7218 * CHOOSE(CONTROL!$C$32, $C$9, 100%, $E$9)</f>
        <v>12.7218</v>
      </c>
      <c r="G765" s="81">
        <f>12.727 * CHOOSE(CONTROL!$C$32, $C$9, 100%, $E$9)</f>
        <v>12.727</v>
      </c>
      <c r="H765" s="81">
        <f>26.1523 * CHOOSE(CONTROL!$C$32, $C$9, 100%, $E$9)</f>
        <v>26.1523</v>
      </c>
      <c r="I765" s="81">
        <f>26.1576 * CHOOSE(CONTROL!$C$32, $C$9, 100%, $E$9)</f>
        <v>26.157599999999999</v>
      </c>
      <c r="J765" s="81">
        <f>26.1523 * CHOOSE(CONTROL!$C$32, $C$9, 100%, $E$9)</f>
        <v>26.1523</v>
      </c>
      <c r="K765" s="81">
        <f>26.1576 * CHOOSE(CONTROL!$C$32, $C$9, 100%, $E$9)</f>
        <v>26.157599999999999</v>
      </c>
      <c r="L765" s="81">
        <f>12.7218 * CHOOSE(CONTROL!$C$32, $C$9, 100%, $E$9)</f>
        <v>12.7218</v>
      </c>
      <c r="M765" s="81">
        <f>12.727 * CHOOSE(CONTROL!$C$32, $C$9, 100%, $E$9)</f>
        <v>12.727</v>
      </c>
      <c r="N765" s="81">
        <f>12.7218 * CHOOSE(CONTROL!$C$32, $C$9, 100%, $E$9)</f>
        <v>12.7218</v>
      </c>
      <c r="O765" s="81">
        <f>12.727 * CHOOSE(CONTROL!$C$32, $C$9, 100%, $E$9)</f>
        <v>12.727</v>
      </c>
    </row>
    <row r="766" spans="1:15" ht="15" x14ac:dyDescent="0.2">
      <c r="A766" s="16">
        <v>64529</v>
      </c>
      <c r="B766" s="80">
        <f>11.4018 * CHOOSE(CONTROL!$C$32, $C$9, 100%, $E$9)</f>
        <v>11.4018</v>
      </c>
      <c r="C766" s="80">
        <f>11.4018 * CHOOSE(CONTROL!$C$32, $C$9, 100%, $E$9)</f>
        <v>11.4018</v>
      </c>
      <c r="D766" s="80">
        <f>11.4033 * CHOOSE(CONTROL!$C$32, $C$9, 100%, $E$9)</f>
        <v>11.4033</v>
      </c>
      <c r="E766" s="81">
        <f>12.6846 * CHOOSE(CONTROL!$C$32, $C$9, 100%, $E$9)</f>
        <v>12.6846</v>
      </c>
      <c r="F766" s="81">
        <f>12.6846 * CHOOSE(CONTROL!$C$32, $C$9, 100%, $E$9)</f>
        <v>12.6846</v>
      </c>
      <c r="G766" s="81">
        <f>12.6899 * CHOOSE(CONTROL!$C$32, $C$9, 100%, $E$9)</f>
        <v>12.6899</v>
      </c>
      <c r="H766" s="81">
        <f>26.2068 * CHOOSE(CONTROL!$C$32, $C$9, 100%, $E$9)</f>
        <v>26.206800000000001</v>
      </c>
      <c r="I766" s="81">
        <f>26.2121 * CHOOSE(CONTROL!$C$32, $C$9, 100%, $E$9)</f>
        <v>26.2121</v>
      </c>
      <c r="J766" s="81">
        <f>26.2068 * CHOOSE(CONTROL!$C$32, $C$9, 100%, $E$9)</f>
        <v>26.206800000000001</v>
      </c>
      <c r="K766" s="81">
        <f>26.2121 * CHOOSE(CONTROL!$C$32, $C$9, 100%, $E$9)</f>
        <v>26.2121</v>
      </c>
      <c r="L766" s="81">
        <f>12.6846 * CHOOSE(CONTROL!$C$32, $C$9, 100%, $E$9)</f>
        <v>12.6846</v>
      </c>
      <c r="M766" s="81">
        <f>12.6899 * CHOOSE(CONTROL!$C$32, $C$9, 100%, $E$9)</f>
        <v>12.6899</v>
      </c>
      <c r="N766" s="81">
        <f>12.6846 * CHOOSE(CONTROL!$C$32, $C$9, 100%, $E$9)</f>
        <v>12.6846</v>
      </c>
      <c r="O766" s="81">
        <f>12.6899 * CHOOSE(CONTROL!$C$32, $C$9, 100%, $E$9)</f>
        <v>12.6899</v>
      </c>
    </row>
    <row r="767" spans="1:15" ht="15" x14ac:dyDescent="0.2">
      <c r="A767" s="16">
        <v>64559</v>
      </c>
      <c r="B767" s="80">
        <f>11.4245 * CHOOSE(CONTROL!$C$32, $C$9, 100%, $E$9)</f>
        <v>11.4245</v>
      </c>
      <c r="C767" s="80">
        <f>11.4245 * CHOOSE(CONTROL!$C$32, $C$9, 100%, $E$9)</f>
        <v>11.4245</v>
      </c>
      <c r="D767" s="80">
        <f>11.4255 * CHOOSE(CONTROL!$C$32, $C$9, 100%, $E$9)</f>
        <v>11.4255</v>
      </c>
      <c r="E767" s="81">
        <f>12.8114 * CHOOSE(CONTROL!$C$32, $C$9, 100%, $E$9)</f>
        <v>12.811400000000001</v>
      </c>
      <c r="F767" s="81">
        <f>12.8114 * CHOOSE(CONTROL!$C$32, $C$9, 100%, $E$9)</f>
        <v>12.811400000000001</v>
      </c>
      <c r="G767" s="81">
        <f>12.8151 * CHOOSE(CONTROL!$C$32, $C$9, 100%, $E$9)</f>
        <v>12.815099999999999</v>
      </c>
      <c r="H767" s="81">
        <f>26.2614 * CHOOSE(CONTROL!$C$32, $C$9, 100%, $E$9)</f>
        <v>26.261399999999998</v>
      </c>
      <c r="I767" s="81">
        <f>26.265 * CHOOSE(CONTROL!$C$32, $C$9, 100%, $E$9)</f>
        <v>26.265000000000001</v>
      </c>
      <c r="J767" s="81">
        <f>26.2614 * CHOOSE(CONTROL!$C$32, $C$9, 100%, $E$9)</f>
        <v>26.261399999999998</v>
      </c>
      <c r="K767" s="81">
        <f>26.265 * CHOOSE(CONTROL!$C$32, $C$9, 100%, $E$9)</f>
        <v>26.265000000000001</v>
      </c>
      <c r="L767" s="81">
        <f>12.8114 * CHOOSE(CONTROL!$C$32, $C$9, 100%, $E$9)</f>
        <v>12.811400000000001</v>
      </c>
      <c r="M767" s="81">
        <f>12.8151 * CHOOSE(CONTROL!$C$32, $C$9, 100%, $E$9)</f>
        <v>12.815099999999999</v>
      </c>
      <c r="N767" s="81">
        <f>12.8114 * CHOOSE(CONTROL!$C$32, $C$9, 100%, $E$9)</f>
        <v>12.811400000000001</v>
      </c>
      <c r="O767" s="81">
        <f>12.8151 * CHOOSE(CONTROL!$C$32, $C$9, 100%, $E$9)</f>
        <v>12.815099999999999</v>
      </c>
    </row>
    <row r="768" spans="1:15" ht="15" x14ac:dyDescent="0.2">
      <c r="A768" s="16">
        <v>64590</v>
      </c>
      <c r="B768" s="80">
        <f>11.4275 * CHOOSE(CONTROL!$C$32, $C$9, 100%, $E$9)</f>
        <v>11.4275</v>
      </c>
      <c r="C768" s="80">
        <f>11.4275 * CHOOSE(CONTROL!$C$32, $C$9, 100%, $E$9)</f>
        <v>11.4275</v>
      </c>
      <c r="D768" s="80">
        <f>11.4286 * CHOOSE(CONTROL!$C$32, $C$9, 100%, $E$9)</f>
        <v>11.428599999999999</v>
      </c>
      <c r="E768" s="81">
        <f>12.8837 * CHOOSE(CONTROL!$C$32, $C$9, 100%, $E$9)</f>
        <v>12.883699999999999</v>
      </c>
      <c r="F768" s="81">
        <f>12.8837 * CHOOSE(CONTROL!$C$32, $C$9, 100%, $E$9)</f>
        <v>12.883699999999999</v>
      </c>
      <c r="G768" s="81">
        <f>12.8873 * CHOOSE(CONTROL!$C$32, $C$9, 100%, $E$9)</f>
        <v>12.8873</v>
      </c>
      <c r="H768" s="81">
        <f>26.3161 * CHOOSE(CONTROL!$C$32, $C$9, 100%, $E$9)</f>
        <v>26.316099999999999</v>
      </c>
      <c r="I768" s="81">
        <f>26.3197 * CHOOSE(CONTROL!$C$32, $C$9, 100%, $E$9)</f>
        <v>26.319700000000001</v>
      </c>
      <c r="J768" s="81">
        <f>26.3161 * CHOOSE(CONTROL!$C$32, $C$9, 100%, $E$9)</f>
        <v>26.316099999999999</v>
      </c>
      <c r="K768" s="81">
        <f>26.3197 * CHOOSE(CONTROL!$C$32, $C$9, 100%, $E$9)</f>
        <v>26.319700000000001</v>
      </c>
      <c r="L768" s="81">
        <f>12.8837 * CHOOSE(CONTROL!$C$32, $C$9, 100%, $E$9)</f>
        <v>12.883699999999999</v>
      </c>
      <c r="M768" s="81">
        <f>12.8873 * CHOOSE(CONTROL!$C$32, $C$9, 100%, $E$9)</f>
        <v>12.8873</v>
      </c>
      <c r="N768" s="81">
        <f>12.8837 * CHOOSE(CONTROL!$C$32, $C$9, 100%, $E$9)</f>
        <v>12.883699999999999</v>
      </c>
      <c r="O768" s="81">
        <f>12.8873 * CHOOSE(CONTROL!$C$32, $C$9, 100%, $E$9)</f>
        <v>12.8873</v>
      </c>
    </row>
    <row r="769" spans="1:15" ht="15" x14ac:dyDescent="0.2">
      <c r="A769" s="16">
        <v>64620</v>
      </c>
      <c r="B769" s="80">
        <f>11.4275 * CHOOSE(CONTROL!$C$32, $C$9, 100%, $E$9)</f>
        <v>11.4275</v>
      </c>
      <c r="C769" s="80">
        <f>11.4275 * CHOOSE(CONTROL!$C$32, $C$9, 100%, $E$9)</f>
        <v>11.4275</v>
      </c>
      <c r="D769" s="80">
        <f>11.4286 * CHOOSE(CONTROL!$C$32, $C$9, 100%, $E$9)</f>
        <v>11.428599999999999</v>
      </c>
      <c r="E769" s="81">
        <f>12.7083 * CHOOSE(CONTROL!$C$32, $C$9, 100%, $E$9)</f>
        <v>12.708299999999999</v>
      </c>
      <c r="F769" s="81">
        <f>12.7083 * CHOOSE(CONTROL!$C$32, $C$9, 100%, $E$9)</f>
        <v>12.708299999999999</v>
      </c>
      <c r="G769" s="81">
        <f>12.712 * CHOOSE(CONTROL!$C$32, $C$9, 100%, $E$9)</f>
        <v>12.712</v>
      </c>
      <c r="H769" s="81">
        <f>26.3709 * CHOOSE(CONTROL!$C$32, $C$9, 100%, $E$9)</f>
        <v>26.370899999999999</v>
      </c>
      <c r="I769" s="81">
        <f>26.3745 * CHOOSE(CONTROL!$C$32, $C$9, 100%, $E$9)</f>
        <v>26.374500000000001</v>
      </c>
      <c r="J769" s="81">
        <f>26.3709 * CHOOSE(CONTROL!$C$32, $C$9, 100%, $E$9)</f>
        <v>26.370899999999999</v>
      </c>
      <c r="K769" s="81">
        <f>26.3745 * CHOOSE(CONTROL!$C$32, $C$9, 100%, $E$9)</f>
        <v>26.374500000000001</v>
      </c>
      <c r="L769" s="81">
        <f>12.7083 * CHOOSE(CONTROL!$C$32, $C$9, 100%, $E$9)</f>
        <v>12.708299999999999</v>
      </c>
      <c r="M769" s="81">
        <f>12.712 * CHOOSE(CONTROL!$C$32, $C$9, 100%, $E$9)</f>
        <v>12.712</v>
      </c>
      <c r="N769" s="81">
        <f>12.7083 * CHOOSE(CONTROL!$C$32, $C$9, 100%, $E$9)</f>
        <v>12.708299999999999</v>
      </c>
      <c r="O769" s="81">
        <f>12.712 * CHOOSE(CONTROL!$C$32, $C$9, 100%, $E$9)</f>
        <v>12.712</v>
      </c>
    </row>
    <row r="770" spans="1:15" ht="15" x14ac:dyDescent="0.2">
      <c r="A770" s="16">
        <v>64651</v>
      </c>
      <c r="B770" s="80">
        <f>11.4426 * CHOOSE(CONTROL!$C$32, $C$9, 100%, $E$9)</f>
        <v>11.442600000000001</v>
      </c>
      <c r="C770" s="80">
        <f>11.4426 * CHOOSE(CONTROL!$C$32, $C$9, 100%, $E$9)</f>
        <v>11.442600000000001</v>
      </c>
      <c r="D770" s="80">
        <f>11.4436 * CHOOSE(CONTROL!$C$32, $C$9, 100%, $E$9)</f>
        <v>11.4436</v>
      </c>
      <c r="E770" s="81">
        <f>12.858 * CHOOSE(CONTROL!$C$32, $C$9, 100%, $E$9)</f>
        <v>12.858000000000001</v>
      </c>
      <c r="F770" s="81">
        <f>12.858 * CHOOSE(CONTROL!$C$32, $C$9, 100%, $E$9)</f>
        <v>12.858000000000001</v>
      </c>
      <c r="G770" s="81">
        <f>12.8617 * CHOOSE(CONTROL!$C$32, $C$9, 100%, $E$9)</f>
        <v>12.861700000000001</v>
      </c>
      <c r="H770" s="81">
        <f>26.2381 * CHOOSE(CONTROL!$C$32, $C$9, 100%, $E$9)</f>
        <v>26.238099999999999</v>
      </c>
      <c r="I770" s="81">
        <f>26.2417 * CHOOSE(CONTROL!$C$32, $C$9, 100%, $E$9)</f>
        <v>26.241700000000002</v>
      </c>
      <c r="J770" s="81">
        <f>26.2381 * CHOOSE(CONTROL!$C$32, $C$9, 100%, $E$9)</f>
        <v>26.238099999999999</v>
      </c>
      <c r="K770" s="81">
        <f>26.2417 * CHOOSE(CONTROL!$C$32, $C$9, 100%, $E$9)</f>
        <v>26.241700000000002</v>
      </c>
      <c r="L770" s="81">
        <f>12.858 * CHOOSE(CONTROL!$C$32, $C$9, 100%, $E$9)</f>
        <v>12.858000000000001</v>
      </c>
      <c r="M770" s="81">
        <f>12.8617 * CHOOSE(CONTROL!$C$32, $C$9, 100%, $E$9)</f>
        <v>12.861700000000001</v>
      </c>
      <c r="N770" s="81">
        <f>12.858 * CHOOSE(CONTROL!$C$32, $C$9, 100%, $E$9)</f>
        <v>12.858000000000001</v>
      </c>
      <c r="O770" s="81">
        <f>12.8617 * CHOOSE(CONTROL!$C$32, $C$9, 100%, $E$9)</f>
        <v>12.861700000000001</v>
      </c>
    </row>
    <row r="771" spans="1:15" ht="15" x14ac:dyDescent="0.2">
      <c r="A771" s="16">
        <v>64682</v>
      </c>
      <c r="B771" s="80">
        <f>11.4395 * CHOOSE(CONTROL!$C$32, $C$9, 100%, $E$9)</f>
        <v>11.439500000000001</v>
      </c>
      <c r="C771" s="80">
        <f>11.4395 * CHOOSE(CONTROL!$C$32, $C$9, 100%, $E$9)</f>
        <v>11.439500000000001</v>
      </c>
      <c r="D771" s="80">
        <f>11.4406 * CHOOSE(CONTROL!$C$32, $C$9, 100%, $E$9)</f>
        <v>11.4406</v>
      </c>
      <c r="E771" s="81">
        <f>12.5174 * CHOOSE(CONTROL!$C$32, $C$9, 100%, $E$9)</f>
        <v>12.5174</v>
      </c>
      <c r="F771" s="81">
        <f>12.5174 * CHOOSE(CONTROL!$C$32, $C$9, 100%, $E$9)</f>
        <v>12.5174</v>
      </c>
      <c r="G771" s="81">
        <f>12.521 * CHOOSE(CONTROL!$C$32, $C$9, 100%, $E$9)</f>
        <v>12.521000000000001</v>
      </c>
      <c r="H771" s="81">
        <f>26.2927 * CHOOSE(CONTROL!$C$32, $C$9, 100%, $E$9)</f>
        <v>26.2927</v>
      </c>
      <c r="I771" s="81">
        <f>26.2964 * CHOOSE(CONTROL!$C$32, $C$9, 100%, $E$9)</f>
        <v>26.296399999999998</v>
      </c>
      <c r="J771" s="81">
        <f>26.2927 * CHOOSE(CONTROL!$C$32, $C$9, 100%, $E$9)</f>
        <v>26.2927</v>
      </c>
      <c r="K771" s="81">
        <f>26.2964 * CHOOSE(CONTROL!$C$32, $C$9, 100%, $E$9)</f>
        <v>26.296399999999998</v>
      </c>
      <c r="L771" s="81">
        <f>12.5174 * CHOOSE(CONTROL!$C$32, $C$9, 100%, $E$9)</f>
        <v>12.5174</v>
      </c>
      <c r="M771" s="81">
        <f>12.521 * CHOOSE(CONTROL!$C$32, $C$9, 100%, $E$9)</f>
        <v>12.521000000000001</v>
      </c>
      <c r="N771" s="81">
        <f>12.5174 * CHOOSE(CONTROL!$C$32, $C$9, 100%, $E$9)</f>
        <v>12.5174</v>
      </c>
      <c r="O771" s="81">
        <f>12.521 * CHOOSE(CONTROL!$C$32, $C$9, 100%, $E$9)</f>
        <v>12.521000000000001</v>
      </c>
    </row>
    <row r="772" spans="1:15" ht="15" x14ac:dyDescent="0.2">
      <c r="A772" s="16">
        <v>64710</v>
      </c>
      <c r="B772" s="80">
        <f>11.4365 * CHOOSE(CONTROL!$C$32, $C$9, 100%, $E$9)</f>
        <v>11.436500000000001</v>
      </c>
      <c r="C772" s="80">
        <f>11.4365 * CHOOSE(CONTROL!$C$32, $C$9, 100%, $E$9)</f>
        <v>11.436500000000001</v>
      </c>
      <c r="D772" s="80">
        <f>11.4376 * CHOOSE(CONTROL!$C$32, $C$9, 100%, $E$9)</f>
        <v>11.4376</v>
      </c>
      <c r="E772" s="81">
        <f>12.7822 * CHOOSE(CONTROL!$C$32, $C$9, 100%, $E$9)</f>
        <v>12.7822</v>
      </c>
      <c r="F772" s="81">
        <f>12.7822 * CHOOSE(CONTROL!$C$32, $C$9, 100%, $E$9)</f>
        <v>12.7822</v>
      </c>
      <c r="G772" s="81">
        <f>12.7858 * CHOOSE(CONTROL!$C$32, $C$9, 100%, $E$9)</f>
        <v>12.7858</v>
      </c>
      <c r="H772" s="81">
        <f>26.3475 * CHOOSE(CONTROL!$C$32, $C$9, 100%, $E$9)</f>
        <v>26.3475</v>
      </c>
      <c r="I772" s="81">
        <f>26.3511 * CHOOSE(CONTROL!$C$32, $C$9, 100%, $E$9)</f>
        <v>26.351099999999999</v>
      </c>
      <c r="J772" s="81">
        <f>26.3475 * CHOOSE(CONTROL!$C$32, $C$9, 100%, $E$9)</f>
        <v>26.3475</v>
      </c>
      <c r="K772" s="81">
        <f>26.3511 * CHOOSE(CONTROL!$C$32, $C$9, 100%, $E$9)</f>
        <v>26.351099999999999</v>
      </c>
      <c r="L772" s="81">
        <f>12.7822 * CHOOSE(CONTROL!$C$32, $C$9, 100%, $E$9)</f>
        <v>12.7822</v>
      </c>
      <c r="M772" s="81">
        <f>12.7858 * CHOOSE(CONTROL!$C$32, $C$9, 100%, $E$9)</f>
        <v>12.7858</v>
      </c>
      <c r="N772" s="81">
        <f>12.7822 * CHOOSE(CONTROL!$C$32, $C$9, 100%, $E$9)</f>
        <v>12.7822</v>
      </c>
      <c r="O772" s="81">
        <f>12.7858 * CHOOSE(CONTROL!$C$32, $C$9, 100%, $E$9)</f>
        <v>12.7858</v>
      </c>
    </row>
    <row r="773" spans="1:15" ht="15" x14ac:dyDescent="0.2">
      <c r="A773" s="16">
        <v>64741</v>
      </c>
      <c r="B773" s="80">
        <f>11.4414 * CHOOSE(CONTROL!$C$32, $C$9, 100%, $E$9)</f>
        <v>11.4414</v>
      </c>
      <c r="C773" s="80">
        <f>11.4414 * CHOOSE(CONTROL!$C$32, $C$9, 100%, $E$9)</f>
        <v>11.4414</v>
      </c>
      <c r="D773" s="80">
        <f>11.4424 * CHOOSE(CONTROL!$C$32, $C$9, 100%, $E$9)</f>
        <v>11.442399999999999</v>
      </c>
      <c r="E773" s="81">
        <f>13.0645 * CHOOSE(CONTROL!$C$32, $C$9, 100%, $E$9)</f>
        <v>13.064500000000001</v>
      </c>
      <c r="F773" s="81">
        <f>13.0645 * CHOOSE(CONTROL!$C$32, $C$9, 100%, $E$9)</f>
        <v>13.064500000000001</v>
      </c>
      <c r="G773" s="81">
        <f>13.0681 * CHOOSE(CONTROL!$C$32, $C$9, 100%, $E$9)</f>
        <v>13.068099999999999</v>
      </c>
      <c r="H773" s="81">
        <f>26.4024 * CHOOSE(CONTROL!$C$32, $C$9, 100%, $E$9)</f>
        <v>26.4024</v>
      </c>
      <c r="I773" s="81">
        <f>26.406 * CHOOSE(CONTROL!$C$32, $C$9, 100%, $E$9)</f>
        <v>26.405999999999999</v>
      </c>
      <c r="J773" s="81">
        <f>26.4024 * CHOOSE(CONTROL!$C$32, $C$9, 100%, $E$9)</f>
        <v>26.4024</v>
      </c>
      <c r="K773" s="81">
        <f>26.406 * CHOOSE(CONTROL!$C$32, $C$9, 100%, $E$9)</f>
        <v>26.405999999999999</v>
      </c>
      <c r="L773" s="81">
        <f>13.0645 * CHOOSE(CONTROL!$C$32, $C$9, 100%, $E$9)</f>
        <v>13.064500000000001</v>
      </c>
      <c r="M773" s="81">
        <f>13.0681 * CHOOSE(CONTROL!$C$32, $C$9, 100%, $E$9)</f>
        <v>13.068099999999999</v>
      </c>
      <c r="N773" s="81">
        <f>13.0645 * CHOOSE(CONTROL!$C$32, $C$9, 100%, $E$9)</f>
        <v>13.064500000000001</v>
      </c>
      <c r="O773" s="81">
        <f>13.0681 * CHOOSE(CONTROL!$C$32, $C$9, 100%, $E$9)</f>
        <v>13.068099999999999</v>
      </c>
    </row>
    <row r="774" spans="1:15" ht="15" x14ac:dyDescent="0.2">
      <c r="A774" s="16">
        <v>64771</v>
      </c>
      <c r="B774" s="80">
        <f>11.4414 * CHOOSE(CONTROL!$C$32, $C$9, 100%, $E$9)</f>
        <v>11.4414</v>
      </c>
      <c r="C774" s="80">
        <f>11.4414 * CHOOSE(CONTROL!$C$32, $C$9, 100%, $E$9)</f>
        <v>11.4414</v>
      </c>
      <c r="D774" s="80">
        <f>11.4429 * CHOOSE(CONTROL!$C$32, $C$9, 100%, $E$9)</f>
        <v>11.4429</v>
      </c>
      <c r="E774" s="81">
        <f>13.172 * CHOOSE(CONTROL!$C$32, $C$9, 100%, $E$9)</f>
        <v>13.172000000000001</v>
      </c>
      <c r="F774" s="81">
        <f>13.172 * CHOOSE(CONTROL!$C$32, $C$9, 100%, $E$9)</f>
        <v>13.172000000000001</v>
      </c>
      <c r="G774" s="81">
        <f>13.1773 * CHOOSE(CONTROL!$C$32, $C$9, 100%, $E$9)</f>
        <v>13.177300000000001</v>
      </c>
      <c r="H774" s="81">
        <f>26.4574 * CHOOSE(CONTROL!$C$32, $C$9, 100%, $E$9)</f>
        <v>26.4574</v>
      </c>
      <c r="I774" s="81">
        <f>26.4627 * CHOOSE(CONTROL!$C$32, $C$9, 100%, $E$9)</f>
        <v>26.462700000000002</v>
      </c>
      <c r="J774" s="81">
        <f>26.4574 * CHOOSE(CONTROL!$C$32, $C$9, 100%, $E$9)</f>
        <v>26.4574</v>
      </c>
      <c r="K774" s="81">
        <f>26.4627 * CHOOSE(CONTROL!$C$32, $C$9, 100%, $E$9)</f>
        <v>26.462700000000002</v>
      </c>
      <c r="L774" s="81">
        <f>13.172 * CHOOSE(CONTROL!$C$32, $C$9, 100%, $E$9)</f>
        <v>13.172000000000001</v>
      </c>
      <c r="M774" s="81">
        <f>13.1773 * CHOOSE(CONTROL!$C$32, $C$9, 100%, $E$9)</f>
        <v>13.177300000000001</v>
      </c>
      <c r="N774" s="81">
        <f>13.172 * CHOOSE(CONTROL!$C$32, $C$9, 100%, $E$9)</f>
        <v>13.172000000000001</v>
      </c>
      <c r="O774" s="81">
        <f>13.1773 * CHOOSE(CONTROL!$C$32, $C$9, 100%, $E$9)</f>
        <v>13.177300000000001</v>
      </c>
    </row>
    <row r="775" spans="1:15" ht="15" x14ac:dyDescent="0.2">
      <c r="A775" s="16">
        <v>64802</v>
      </c>
      <c r="B775" s="80">
        <f>11.4474 * CHOOSE(CONTROL!$C$32, $C$9, 100%, $E$9)</f>
        <v>11.4474</v>
      </c>
      <c r="C775" s="80">
        <f>11.4474 * CHOOSE(CONTROL!$C$32, $C$9, 100%, $E$9)</f>
        <v>11.4474</v>
      </c>
      <c r="D775" s="80">
        <f>11.449 * CHOOSE(CONTROL!$C$32, $C$9, 100%, $E$9)</f>
        <v>11.449</v>
      </c>
      <c r="E775" s="81">
        <f>13.0688 * CHOOSE(CONTROL!$C$32, $C$9, 100%, $E$9)</f>
        <v>13.0688</v>
      </c>
      <c r="F775" s="81">
        <f>13.0688 * CHOOSE(CONTROL!$C$32, $C$9, 100%, $E$9)</f>
        <v>13.0688</v>
      </c>
      <c r="G775" s="81">
        <f>13.074 * CHOOSE(CONTROL!$C$32, $C$9, 100%, $E$9)</f>
        <v>13.074</v>
      </c>
      <c r="H775" s="81">
        <f>26.5125 * CHOOSE(CONTROL!$C$32, $C$9, 100%, $E$9)</f>
        <v>26.512499999999999</v>
      </c>
      <c r="I775" s="81">
        <f>26.5178 * CHOOSE(CONTROL!$C$32, $C$9, 100%, $E$9)</f>
        <v>26.517800000000001</v>
      </c>
      <c r="J775" s="81">
        <f>26.5125 * CHOOSE(CONTROL!$C$32, $C$9, 100%, $E$9)</f>
        <v>26.512499999999999</v>
      </c>
      <c r="K775" s="81">
        <f>26.5178 * CHOOSE(CONTROL!$C$32, $C$9, 100%, $E$9)</f>
        <v>26.517800000000001</v>
      </c>
      <c r="L775" s="81">
        <f>13.0688 * CHOOSE(CONTROL!$C$32, $C$9, 100%, $E$9)</f>
        <v>13.0688</v>
      </c>
      <c r="M775" s="81">
        <f>13.074 * CHOOSE(CONTROL!$C$32, $C$9, 100%, $E$9)</f>
        <v>13.074</v>
      </c>
      <c r="N775" s="81">
        <f>13.0688 * CHOOSE(CONTROL!$C$32, $C$9, 100%, $E$9)</f>
        <v>13.0688</v>
      </c>
      <c r="O775" s="81">
        <f>13.074 * CHOOSE(CONTROL!$C$32, $C$9, 100%, $E$9)</f>
        <v>13.074</v>
      </c>
    </row>
    <row r="776" spans="1:15" ht="15" x14ac:dyDescent="0.2">
      <c r="A776" s="16">
        <v>64832</v>
      </c>
      <c r="B776" s="80">
        <f>11.5877 * CHOOSE(CONTROL!$C$32, $C$9, 100%, $E$9)</f>
        <v>11.5877</v>
      </c>
      <c r="C776" s="80">
        <f>11.5877 * CHOOSE(CONTROL!$C$32, $C$9, 100%, $E$9)</f>
        <v>11.5877</v>
      </c>
      <c r="D776" s="80">
        <f>11.5893 * CHOOSE(CONTROL!$C$32, $C$9, 100%, $E$9)</f>
        <v>11.5893</v>
      </c>
      <c r="E776" s="81">
        <f>13.2529 * CHOOSE(CONTROL!$C$32, $C$9, 100%, $E$9)</f>
        <v>13.2529</v>
      </c>
      <c r="F776" s="81">
        <f>13.2529 * CHOOSE(CONTROL!$C$32, $C$9, 100%, $E$9)</f>
        <v>13.2529</v>
      </c>
      <c r="G776" s="81">
        <f>13.2582 * CHOOSE(CONTROL!$C$32, $C$9, 100%, $E$9)</f>
        <v>13.2582</v>
      </c>
      <c r="H776" s="81">
        <f>26.5678 * CHOOSE(CONTROL!$C$32, $C$9, 100%, $E$9)</f>
        <v>26.567799999999998</v>
      </c>
      <c r="I776" s="81">
        <f>26.5731 * CHOOSE(CONTROL!$C$32, $C$9, 100%, $E$9)</f>
        <v>26.5731</v>
      </c>
      <c r="J776" s="81">
        <f>26.5678 * CHOOSE(CONTROL!$C$32, $C$9, 100%, $E$9)</f>
        <v>26.567799999999998</v>
      </c>
      <c r="K776" s="81">
        <f>26.5731 * CHOOSE(CONTROL!$C$32, $C$9, 100%, $E$9)</f>
        <v>26.5731</v>
      </c>
      <c r="L776" s="81">
        <f>13.2529 * CHOOSE(CONTROL!$C$32, $C$9, 100%, $E$9)</f>
        <v>13.2529</v>
      </c>
      <c r="M776" s="81">
        <f>13.2582 * CHOOSE(CONTROL!$C$32, $C$9, 100%, $E$9)</f>
        <v>13.2582</v>
      </c>
      <c r="N776" s="81">
        <f>13.2529 * CHOOSE(CONTROL!$C$32, $C$9, 100%, $E$9)</f>
        <v>13.2529</v>
      </c>
      <c r="O776" s="81">
        <f>13.2582 * CHOOSE(CONTROL!$C$32, $C$9, 100%, $E$9)</f>
        <v>13.2582</v>
      </c>
    </row>
    <row r="777" spans="1:15" ht="15" x14ac:dyDescent="0.2">
      <c r="A777" s="16">
        <v>64863</v>
      </c>
      <c r="B777" s="80">
        <f>11.5944 * CHOOSE(CONTROL!$C$32, $C$9, 100%, $E$9)</f>
        <v>11.5944</v>
      </c>
      <c r="C777" s="80">
        <f>11.5944 * CHOOSE(CONTROL!$C$32, $C$9, 100%, $E$9)</f>
        <v>11.5944</v>
      </c>
      <c r="D777" s="80">
        <f>11.596 * CHOOSE(CONTROL!$C$32, $C$9, 100%, $E$9)</f>
        <v>11.596</v>
      </c>
      <c r="E777" s="81">
        <f>12.9352 * CHOOSE(CONTROL!$C$32, $C$9, 100%, $E$9)</f>
        <v>12.9352</v>
      </c>
      <c r="F777" s="81">
        <f>12.9352 * CHOOSE(CONTROL!$C$32, $C$9, 100%, $E$9)</f>
        <v>12.9352</v>
      </c>
      <c r="G777" s="81">
        <f>12.9405 * CHOOSE(CONTROL!$C$32, $C$9, 100%, $E$9)</f>
        <v>12.9405</v>
      </c>
      <c r="H777" s="81">
        <f>26.6231 * CHOOSE(CONTROL!$C$32, $C$9, 100%, $E$9)</f>
        <v>26.623100000000001</v>
      </c>
      <c r="I777" s="81">
        <f>26.6284 * CHOOSE(CONTROL!$C$32, $C$9, 100%, $E$9)</f>
        <v>26.628399999999999</v>
      </c>
      <c r="J777" s="81">
        <f>26.6231 * CHOOSE(CONTROL!$C$32, $C$9, 100%, $E$9)</f>
        <v>26.623100000000001</v>
      </c>
      <c r="K777" s="81">
        <f>26.6284 * CHOOSE(CONTROL!$C$32, $C$9, 100%, $E$9)</f>
        <v>26.628399999999999</v>
      </c>
      <c r="L777" s="81">
        <f>12.9352 * CHOOSE(CONTROL!$C$32, $C$9, 100%, $E$9)</f>
        <v>12.9352</v>
      </c>
      <c r="M777" s="81">
        <f>12.9405 * CHOOSE(CONTROL!$C$32, $C$9, 100%, $E$9)</f>
        <v>12.9405</v>
      </c>
      <c r="N777" s="81">
        <f>12.9352 * CHOOSE(CONTROL!$C$32, $C$9, 100%, $E$9)</f>
        <v>12.9352</v>
      </c>
      <c r="O777" s="81">
        <f>12.9405 * CHOOSE(CONTROL!$C$32, $C$9, 100%, $E$9)</f>
        <v>12.9405</v>
      </c>
    </row>
    <row r="778" spans="1:15" ht="15" x14ac:dyDescent="0.2">
      <c r="A778" s="16">
        <v>64894</v>
      </c>
      <c r="B778" s="80">
        <f>11.5913 * CHOOSE(CONTROL!$C$32, $C$9, 100%, $E$9)</f>
        <v>11.5913</v>
      </c>
      <c r="C778" s="80">
        <f>11.5913 * CHOOSE(CONTROL!$C$32, $C$9, 100%, $E$9)</f>
        <v>11.5913</v>
      </c>
      <c r="D778" s="80">
        <f>11.5929 * CHOOSE(CONTROL!$C$32, $C$9, 100%, $E$9)</f>
        <v>11.5929</v>
      </c>
      <c r="E778" s="81">
        <f>12.8972 * CHOOSE(CONTROL!$C$32, $C$9, 100%, $E$9)</f>
        <v>12.8972</v>
      </c>
      <c r="F778" s="81">
        <f>12.8972 * CHOOSE(CONTROL!$C$32, $C$9, 100%, $E$9)</f>
        <v>12.8972</v>
      </c>
      <c r="G778" s="81">
        <f>12.9025 * CHOOSE(CONTROL!$C$32, $C$9, 100%, $E$9)</f>
        <v>12.9025</v>
      </c>
      <c r="H778" s="81">
        <f>26.6786 * CHOOSE(CONTROL!$C$32, $C$9, 100%, $E$9)</f>
        <v>26.678599999999999</v>
      </c>
      <c r="I778" s="81">
        <f>26.6839 * CHOOSE(CONTROL!$C$32, $C$9, 100%, $E$9)</f>
        <v>26.683900000000001</v>
      </c>
      <c r="J778" s="81">
        <f>26.6786 * CHOOSE(CONTROL!$C$32, $C$9, 100%, $E$9)</f>
        <v>26.678599999999999</v>
      </c>
      <c r="K778" s="81">
        <f>26.6839 * CHOOSE(CONTROL!$C$32, $C$9, 100%, $E$9)</f>
        <v>26.683900000000001</v>
      </c>
      <c r="L778" s="81">
        <f>12.8972 * CHOOSE(CONTROL!$C$32, $C$9, 100%, $E$9)</f>
        <v>12.8972</v>
      </c>
      <c r="M778" s="81">
        <f>12.9025 * CHOOSE(CONTROL!$C$32, $C$9, 100%, $E$9)</f>
        <v>12.9025</v>
      </c>
      <c r="N778" s="81">
        <f>12.8972 * CHOOSE(CONTROL!$C$32, $C$9, 100%, $E$9)</f>
        <v>12.8972</v>
      </c>
      <c r="O778" s="81">
        <f>12.9025 * CHOOSE(CONTROL!$C$32, $C$9, 100%, $E$9)</f>
        <v>12.9025</v>
      </c>
    </row>
    <row r="779" spans="1:15" ht="15" x14ac:dyDescent="0.2">
      <c r="A779" s="16">
        <v>64924</v>
      </c>
      <c r="B779" s="80">
        <f>11.6148 * CHOOSE(CONTROL!$C$32, $C$9, 100%, $E$9)</f>
        <v>11.614800000000001</v>
      </c>
      <c r="C779" s="80">
        <f>11.6148 * CHOOSE(CONTROL!$C$32, $C$9, 100%, $E$9)</f>
        <v>11.614800000000001</v>
      </c>
      <c r="D779" s="80">
        <f>11.6158 * CHOOSE(CONTROL!$C$32, $C$9, 100%, $E$9)</f>
        <v>11.6158</v>
      </c>
      <c r="E779" s="81">
        <f>13.0271 * CHOOSE(CONTROL!$C$32, $C$9, 100%, $E$9)</f>
        <v>13.027100000000001</v>
      </c>
      <c r="F779" s="81">
        <f>13.0271 * CHOOSE(CONTROL!$C$32, $C$9, 100%, $E$9)</f>
        <v>13.027100000000001</v>
      </c>
      <c r="G779" s="81">
        <f>13.0307 * CHOOSE(CONTROL!$C$32, $C$9, 100%, $E$9)</f>
        <v>13.0307</v>
      </c>
      <c r="H779" s="81">
        <f>26.7342 * CHOOSE(CONTROL!$C$32, $C$9, 100%, $E$9)</f>
        <v>26.734200000000001</v>
      </c>
      <c r="I779" s="81">
        <f>26.7378 * CHOOSE(CONTROL!$C$32, $C$9, 100%, $E$9)</f>
        <v>26.7378</v>
      </c>
      <c r="J779" s="81">
        <f>26.7342 * CHOOSE(CONTROL!$C$32, $C$9, 100%, $E$9)</f>
        <v>26.734200000000001</v>
      </c>
      <c r="K779" s="81">
        <f>26.7378 * CHOOSE(CONTROL!$C$32, $C$9, 100%, $E$9)</f>
        <v>26.7378</v>
      </c>
      <c r="L779" s="81">
        <f>13.0271 * CHOOSE(CONTROL!$C$32, $C$9, 100%, $E$9)</f>
        <v>13.027100000000001</v>
      </c>
      <c r="M779" s="81">
        <f>13.0307 * CHOOSE(CONTROL!$C$32, $C$9, 100%, $E$9)</f>
        <v>13.0307</v>
      </c>
      <c r="N779" s="81">
        <f>13.0271 * CHOOSE(CONTROL!$C$32, $C$9, 100%, $E$9)</f>
        <v>13.027100000000001</v>
      </c>
      <c r="O779" s="81">
        <f>13.0307 * CHOOSE(CONTROL!$C$32, $C$9, 100%, $E$9)</f>
        <v>13.0307</v>
      </c>
    </row>
    <row r="780" spans="1:15" ht="15" x14ac:dyDescent="0.2">
      <c r="A780" s="16">
        <v>64955</v>
      </c>
      <c r="B780" s="80">
        <f>11.6178 * CHOOSE(CONTROL!$C$32, $C$9, 100%, $E$9)</f>
        <v>11.617800000000001</v>
      </c>
      <c r="C780" s="80">
        <f>11.6178 * CHOOSE(CONTROL!$C$32, $C$9, 100%, $E$9)</f>
        <v>11.617800000000001</v>
      </c>
      <c r="D780" s="80">
        <f>11.6189 * CHOOSE(CONTROL!$C$32, $C$9, 100%, $E$9)</f>
        <v>11.6189</v>
      </c>
      <c r="E780" s="81">
        <f>13.1009 * CHOOSE(CONTROL!$C$32, $C$9, 100%, $E$9)</f>
        <v>13.100899999999999</v>
      </c>
      <c r="F780" s="81">
        <f>13.1009 * CHOOSE(CONTROL!$C$32, $C$9, 100%, $E$9)</f>
        <v>13.100899999999999</v>
      </c>
      <c r="G780" s="81">
        <f>13.1045 * CHOOSE(CONTROL!$C$32, $C$9, 100%, $E$9)</f>
        <v>13.1045</v>
      </c>
      <c r="H780" s="81">
        <f>26.7899 * CHOOSE(CONTROL!$C$32, $C$9, 100%, $E$9)</f>
        <v>26.789899999999999</v>
      </c>
      <c r="I780" s="81">
        <f>26.7935 * CHOOSE(CONTROL!$C$32, $C$9, 100%, $E$9)</f>
        <v>26.793500000000002</v>
      </c>
      <c r="J780" s="81">
        <f>26.7899 * CHOOSE(CONTROL!$C$32, $C$9, 100%, $E$9)</f>
        <v>26.789899999999999</v>
      </c>
      <c r="K780" s="81">
        <f>26.7935 * CHOOSE(CONTROL!$C$32, $C$9, 100%, $E$9)</f>
        <v>26.793500000000002</v>
      </c>
      <c r="L780" s="81">
        <f>13.1009 * CHOOSE(CONTROL!$C$32, $C$9, 100%, $E$9)</f>
        <v>13.100899999999999</v>
      </c>
      <c r="M780" s="81">
        <f>13.1045 * CHOOSE(CONTROL!$C$32, $C$9, 100%, $E$9)</f>
        <v>13.1045</v>
      </c>
      <c r="N780" s="81">
        <f>13.1009 * CHOOSE(CONTROL!$C$32, $C$9, 100%, $E$9)</f>
        <v>13.100899999999999</v>
      </c>
      <c r="O780" s="81">
        <f>13.1045 * CHOOSE(CONTROL!$C$32, $C$9, 100%, $E$9)</f>
        <v>13.1045</v>
      </c>
    </row>
    <row r="781" spans="1:15" ht="15" x14ac:dyDescent="0.2">
      <c r="A781" s="16">
        <v>64985</v>
      </c>
      <c r="B781" s="80">
        <f>11.6178 * CHOOSE(CONTROL!$C$32, $C$9, 100%, $E$9)</f>
        <v>11.617800000000001</v>
      </c>
      <c r="C781" s="80">
        <f>11.6178 * CHOOSE(CONTROL!$C$32, $C$9, 100%, $E$9)</f>
        <v>11.617800000000001</v>
      </c>
      <c r="D781" s="80">
        <f>11.6189 * CHOOSE(CONTROL!$C$32, $C$9, 100%, $E$9)</f>
        <v>11.6189</v>
      </c>
      <c r="E781" s="81">
        <f>12.9218 * CHOOSE(CONTROL!$C$32, $C$9, 100%, $E$9)</f>
        <v>12.921799999999999</v>
      </c>
      <c r="F781" s="81">
        <f>12.9218 * CHOOSE(CONTROL!$C$32, $C$9, 100%, $E$9)</f>
        <v>12.921799999999999</v>
      </c>
      <c r="G781" s="81">
        <f>12.9254 * CHOOSE(CONTROL!$C$32, $C$9, 100%, $E$9)</f>
        <v>12.9254</v>
      </c>
      <c r="H781" s="81">
        <f>26.8457 * CHOOSE(CONTROL!$C$32, $C$9, 100%, $E$9)</f>
        <v>26.845700000000001</v>
      </c>
      <c r="I781" s="81">
        <f>26.8493 * CHOOSE(CONTROL!$C$32, $C$9, 100%, $E$9)</f>
        <v>26.849299999999999</v>
      </c>
      <c r="J781" s="81">
        <f>26.8457 * CHOOSE(CONTROL!$C$32, $C$9, 100%, $E$9)</f>
        <v>26.845700000000001</v>
      </c>
      <c r="K781" s="81">
        <f>26.8493 * CHOOSE(CONTROL!$C$32, $C$9, 100%, $E$9)</f>
        <v>26.849299999999999</v>
      </c>
      <c r="L781" s="81">
        <f>12.9218 * CHOOSE(CONTROL!$C$32, $C$9, 100%, $E$9)</f>
        <v>12.921799999999999</v>
      </c>
      <c r="M781" s="81">
        <f>12.9254 * CHOOSE(CONTROL!$C$32, $C$9, 100%, $E$9)</f>
        <v>12.9254</v>
      </c>
      <c r="N781" s="81">
        <f>12.9218 * CHOOSE(CONTROL!$C$32, $C$9, 100%, $E$9)</f>
        <v>12.921799999999999</v>
      </c>
      <c r="O781" s="81">
        <f>12.9254 * CHOOSE(CONTROL!$C$32, $C$9, 100%, $E$9)</f>
        <v>12.9254</v>
      </c>
    </row>
    <row r="782" spans="1:15" ht="15" x14ac:dyDescent="0.2">
      <c r="A782" s="16">
        <v>65016</v>
      </c>
      <c r="B782" s="80">
        <f>11.6299 * CHOOSE(CONTROL!$C$32, $C$9, 100%, $E$9)</f>
        <v>11.629899999999999</v>
      </c>
      <c r="C782" s="80">
        <f>11.6299 * CHOOSE(CONTROL!$C$32, $C$9, 100%, $E$9)</f>
        <v>11.629899999999999</v>
      </c>
      <c r="D782" s="80">
        <f>11.631 * CHOOSE(CONTROL!$C$32, $C$9, 100%, $E$9)</f>
        <v>11.631</v>
      </c>
      <c r="E782" s="81">
        <f>13.0706 * CHOOSE(CONTROL!$C$32, $C$9, 100%, $E$9)</f>
        <v>13.070600000000001</v>
      </c>
      <c r="F782" s="81">
        <f>13.0706 * CHOOSE(CONTROL!$C$32, $C$9, 100%, $E$9)</f>
        <v>13.070600000000001</v>
      </c>
      <c r="G782" s="81">
        <f>13.0742 * CHOOSE(CONTROL!$C$32, $C$9, 100%, $E$9)</f>
        <v>13.074199999999999</v>
      </c>
      <c r="H782" s="81">
        <f>26.7021 * CHOOSE(CONTROL!$C$32, $C$9, 100%, $E$9)</f>
        <v>26.702100000000002</v>
      </c>
      <c r="I782" s="81">
        <f>26.7057 * CHOOSE(CONTROL!$C$32, $C$9, 100%, $E$9)</f>
        <v>26.7057</v>
      </c>
      <c r="J782" s="81">
        <f>26.7021 * CHOOSE(CONTROL!$C$32, $C$9, 100%, $E$9)</f>
        <v>26.702100000000002</v>
      </c>
      <c r="K782" s="81">
        <f>26.7057 * CHOOSE(CONTROL!$C$32, $C$9, 100%, $E$9)</f>
        <v>26.7057</v>
      </c>
      <c r="L782" s="81">
        <f>13.0706 * CHOOSE(CONTROL!$C$32, $C$9, 100%, $E$9)</f>
        <v>13.070600000000001</v>
      </c>
      <c r="M782" s="81">
        <f>13.0742 * CHOOSE(CONTROL!$C$32, $C$9, 100%, $E$9)</f>
        <v>13.074199999999999</v>
      </c>
      <c r="N782" s="81">
        <f>13.0706 * CHOOSE(CONTROL!$C$32, $C$9, 100%, $E$9)</f>
        <v>13.070600000000001</v>
      </c>
      <c r="O782" s="81">
        <f>13.0742 * CHOOSE(CONTROL!$C$32, $C$9, 100%, $E$9)</f>
        <v>13.074199999999999</v>
      </c>
    </row>
    <row r="783" spans="1:15" ht="15" x14ac:dyDescent="0.2">
      <c r="A783" s="16">
        <v>65047</v>
      </c>
      <c r="B783" s="80">
        <f>11.6269 * CHOOSE(CONTROL!$C$32, $C$9, 100%, $E$9)</f>
        <v>11.626899999999999</v>
      </c>
      <c r="C783" s="80">
        <f>11.6269 * CHOOSE(CONTROL!$C$32, $C$9, 100%, $E$9)</f>
        <v>11.626899999999999</v>
      </c>
      <c r="D783" s="80">
        <f>11.628 * CHOOSE(CONTROL!$C$32, $C$9, 100%, $E$9)</f>
        <v>11.628</v>
      </c>
      <c r="E783" s="81">
        <f>12.7228 * CHOOSE(CONTROL!$C$32, $C$9, 100%, $E$9)</f>
        <v>12.722799999999999</v>
      </c>
      <c r="F783" s="81">
        <f>12.7228 * CHOOSE(CONTROL!$C$32, $C$9, 100%, $E$9)</f>
        <v>12.722799999999999</v>
      </c>
      <c r="G783" s="81">
        <f>12.7265 * CHOOSE(CONTROL!$C$32, $C$9, 100%, $E$9)</f>
        <v>12.7265</v>
      </c>
      <c r="H783" s="81">
        <f>26.7577 * CHOOSE(CONTROL!$C$32, $C$9, 100%, $E$9)</f>
        <v>26.7577</v>
      </c>
      <c r="I783" s="81">
        <f>26.7614 * CHOOSE(CONTROL!$C$32, $C$9, 100%, $E$9)</f>
        <v>26.761399999999998</v>
      </c>
      <c r="J783" s="81">
        <f>26.7577 * CHOOSE(CONTROL!$C$32, $C$9, 100%, $E$9)</f>
        <v>26.7577</v>
      </c>
      <c r="K783" s="81">
        <f>26.7614 * CHOOSE(CONTROL!$C$32, $C$9, 100%, $E$9)</f>
        <v>26.761399999999998</v>
      </c>
      <c r="L783" s="81">
        <f>12.7228 * CHOOSE(CONTROL!$C$32, $C$9, 100%, $E$9)</f>
        <v>12.722799999999999</v>
      </c>
      <c r="M783" s="81">
        <f>12.7265 * CHOOSE(CONTROL!$C$32, $C$9, 100%, $E$9)</f>
        <v>12.7265</v>
      </c>
      <c r="N783" s="81">
        <f>12.7228 * CHOOSE(CONTROL!$C$32, $C$9, 100%, $E$9)</f>
        <v>12.722799999999999</v>
      </c>
      <c r="O783" s="81">
        <f>12.7265 * CHOOSE(CONTROL!$C$32, $C$9, 100%, $E$9)</f>
        <v>12.7265</v>
      </c>
    </row>
    <row r="784" spans="1:15" ht="15" x14ac:dyDescent="0.2">
      <c r="A784" s="16">
        <v>65075</v>
      </c>
      <c r="B784" s="80">
        <f>11.6239 * CHOOSE(CONTROL!$C$32, $C$9, 100%, $E$9)</f>
        <v>11.623900000000001</v>
      </c>
      <c r="C784" s="80">
        <f>11.6239 * CHOOSE(CONTROL!$C$32, $C$9, 100%, $E$9)</f>
        <v>11.623900000000001</v>
      </c>
      <c r="D784" s="80">
        <f>11.6249 * CHOOSE(CONTROL!$C$32, $C$9, 100%, $E$9)</f>
        <v>11.6249</v>
      </c>
      <c r="E784" s="81">
        <f>12.9932 * CHOOSE(CONTROL!$C$32, $C$9, 100%, $E$9)</f>
        <v>12.9932</v>
      </c>
      <c r="F784" s="81">
        <f>12.9932 * CHOOSE(CONTROL!$C$32, $C$9, 100%, $E$9)</f>
        <v>12.9932</v>
      </c>
      <c r="G784" s="81">
        <f>12.9968 * CHOOSE(CONTROL!$C$32, $C$9, 100%, $E$9)</f>
        <v>12.9968</v>
      </c>
      <c r="H784" s="81">
        <f>26.8135 * CHOOSE(CONTROL!$C$32, $C$9, 100%, $E$9)</f>
        <v>26.813500000000001</v>
      </c>
      <c r="I784" s="81">
        <f>26.8171 * CHOOSE(CONTROL!$C$32, $C$9, 100%, $E$9)</f>
        <v>26.8171</v>
      </c>
      <c r="J784" s="81">
        <f>26.8135 * CHOOSE(CONTROL!$C$32, $C$9, 100%, $E$9)</f>
        <v>26.813500000000001</v>
      </c>
      <c r="K784" s="81">
        <f>26.8171 * CHOOSE(CONTROL!$C$32, $C$9, 100%, $E$9)</f>
        <v>26.8171</v>
      </c>
      <c r="L784" s="81">
        <f>12.9932 * CHOOSE(CONTROL!$C$32, $C$9, 100%, $E$9)</f>
        <v>12.9932</v>
      </c>
      <c r="M784" s="81">
        <f>12.9968 * CHOOSE(CONTROL!$C$32, $C$9, 100%, $E$9)</f>
        <v>12.9968</v>
      </c>
      <c r="N784" s="81">
        <f>12.9932 * CHOOSE(CONTROL!$C$32, $C$9, 100%, $E$9)</f>
        <v>12.9932</v>
      </c>
      <c r="O784" s="81">
        <f>12.9968 * CHOOSE(CONTROL!$C$32, $C$9, 100%, $E$9)</f>
        <v>12.9968</v>
      </c>
    </row>
    <row r="785" spans="1:15" ht="15" x14ac:dyDescent="0.2">
      <c r="A785" s="16">
        <v>65106</v>
      </c>
      <c r="B785" s="80">
        <f>11.6289 * CHOOSE(CONTROL!$C$32, $C$9, 100%, $E$9)</f>
        <v>11.6289</v>
      </c>
      <c r="C785" s="80">
        <f>11.6289 * CHOOSE(CONTROL!$C$32, $C$9, 100%, $E$9)</f>
        <v>11.6289</v>
      </c>
      <c r="D785" s="80">
        <f>11.63 * CHOOSE(CONTROL!$C$32, $C$9, 100%, $E$9)</f>
        <v>11.63</v>
      </c>
      <c r="E785" s="81">
        <f>13.2815 * CHOOSE(CONTROL!$C$32, $C$9, 100%, $E$9)</f>
        <v>13.281499999999999</v>
      </c>
      <c r="F785" s="81">
        <f>13.2815 * CHOOSE(CONTROL!$C$32, $C$9, 100%, $E$9)</f>
        <v>13.281499999999999</v>
      </c>
      <c r="G785" s="81">
        <f>13.2851 * CHOOSE(CONTROL!$C$32, $C$9, 100%, $E$9)</f>
        <v>13.2851</v>
      </c>
      <c r="H785" s="81">
        <f>26.8693 * CHOOSE(CONTROL!$C$32, $C$9, 100%, $E$9)</f>
        <v>26.869299999999999</v>
      </c>
      <c r="I785" s="81">
        <f>26.873 * CHOOSE(CONTROL!$C$32, $C$9, 100%, $E$9)</f>
        <v>26.873000000000001</v>
      </c>
      <c r="J785" s="81">
        <f>26.8693 * CHOOSE(CONTROL!$C$32, $C$9, 100%, $E$9)</f>
        <v>26.869299999999999</v>
      </c>
      <c r="K785" s="81">
        <f>26.873 * CHOOSE(CONTROL!$C$32, $C$9, 100%, $E$9)</f>
        <v>26.873000000000001</v>
      </c>
      <c r="L785" s="81">
        <f>13.2815 * CHOOSE(CONTROL!$C$32, $C$9, 100%, $E$9)</f>
        <v>13.281499999999999</v>
      </c>
      <c r="M785" s="81">
        <f>13.2851 * CHOOSE(CONTROL!$C$32, $C$9, 100%, $E$9)</f>
        <v>13.2851</v>
      </c>
      <c r="N785" s="81">
        <f>13.2815 * CHOOSE(CONTROL!$C$32, $C$9, 100%, $E$9)</f>
        <v>13.281499999999999</v>
      </c>
      <c r="O785" s="81">
        <f>13.2851 * CHOOSE(CONTROL!$C$32, $C$9, 100%, $E$9)</f>
        <v>13.2851</v>
      </c>
    </row>
    <row r="786" spans="1:15" ht="15" x14ac:dyDescent="0.2">
      <c r="A786" s="16">
        <v>65136</v>
      </c>
      <c r="B786" s="80">
        <f>11.6289 * CHOOSE(CONTROL!$C$32, $C$9, 100%, $E$9)</f>
        <v>11.6289</v>
      </c>
      <c r="C786" s="80">
        <f>11.6289 * CHOOSE(CONTROL!$C$32, $C$9, 100%, $E$9)</f>
        <v>11.6289</v>
      </c>
      <c r="D786" s="80">
        <f>11.6305 * CHOOSE(CONTROL!$C$32, $C$9, 100%, $E$9)</f>
        <v>11.6305</v>
      </c>
      <c r="E786" s="81">
        <f>13.3912 * CHOOSE(CONTROL!$C$32, $C$9, 100%, $E$9)</f>
        <v>13.3912</v>
      </c>
      <c r="F786" s="81">
        <f>13.3912 * CHOOSE(CONTROL!$C$32, $C$9, 100%, $E$9)</f>
        <v>13.3912</v>
      </c>
      <c r="G786" s="81">
        <f>13.3965 * CHOOSE(CONTROL!$C$32, $C$9, 100%, $E$9)</f>
        <v>13.3965</v>
      </c>
      <c r="H786" s="81">
        <f>26.9253 * CHOOSE(CONTROL!$C$32, $C$9, 100%, $E$9)</f>
        <v>26.9253</v>
      </c>
      <c r="I786" s="81">
        <f>26.9306 * CHOOSE(CONTROL!$C$32, $C$9, 100%, $E$9)</f>
        <v>26.930599999999998</v>
      </c>
      <c r="J786" s="81">
        <f>26.9253 * CHOOSE(CONTROL!$C$32, $C$9, 100%, $E$9)</f>
        <v>26.9253</v>
      </c>
      <c r="K786" s="81">
        <f>26.9306 * CHOOSE(CONTROL!$C$32, $C$9, 100%, $E$9)</f>
        <v>26.930599999999998</v>
      </c>
      <c r="L786" s="81">
        <f>13.3912 * CHOOSE(CONTROL!$C$32, $C$9, 100%, $E$9)</f>
        <v>13.3912</v>
      </c>
      <c r="M786" s="81">
        <f>13.3965 * CHOOSE(CONTROL!$C$32, $C$9, 100%, $E$9)</f>
        <v>13.3965</v>
      </c>
      <c r="N786" s="81">
        <f>13.3912 * CHOOSE(CONTROL!$C$32, $C$9, 100%, $E$9)</f>
        <v>13.3912</v>
      </c>
      <c r="O786" s="81">
        <f>13.3965 * CHOOSE(CONTROL!$C$32, $C$9, 100%, $E$9)</f>
        <v>13.3965</v>
      </c>
    </row>
    <row r="787" spans="1:15" ht="15" x14ac:dyDescent="0.2">
      <c r="A787" s="16">
        <v>65167</v>
      </c>
      <c r="B787" s="80">
        <f>11.635 * CHOOSE(CONTROL!$C$32, $C$9, 100%, $E$9)</f>
        <v>11.635</v>
      </c>
      <c r="C787" s="80">
        <f>11.635 * CHOOSE(CONTROL!$C$32, $C$9, 100%, $E$9)</f>
        <v>11.635</v>
      </c>
      <c r="D787" s="80">
        <f>11.6366 * CHOOSE(CONTROL!$C$32, $C$9, 100%, $E$9)</f>
        <v>11.6366</v>
      </c>
      <c r="E787" s="81">
        <f>13.2858 * CHOOSE(CONTROL!$C$32, $C$9, 100%, $E$9)</f>
        <v>13.2858</v>
      </c>
      <c r="F787" s="81">
        <f>13.2858 * CHOOSE(CONTROL!$C$32, $C$9, 100%, $E$9)</f>
        <v>13.2858</v>
      </c>
      <c r="G787" s="81">
        <f>13.2911 * CHOOSE(CONTROL!$C$32, $C$9, 100%, $E$9)</f>
        <v>13.2911</v>
      </c>
      <c r="H787" s="81">
        <f>26.9814 * CHOOSE(CONTROL!$C$32, $C$9, 100%, $E$9)</f>
        <v>26.981400000000001</v>
      </c>
      <c r="I787" s="81">
        <f>26.9867 * CHOOSE(CONTROL!$C$32, $C$9, 100%, $E$9)</f>
        <v>26.986699999999999</v>
      </c>
      <c r="J787" s="81">
        <f>26.9814 * CHOOSE(CONTROL!$C$32, $C$9, 100%, $E$9)</f>
        <v>26.981400000000001</v>
      </c>
      <c r="K787" s="81">
        <f>26.9867 * CHOOSE(CONTROL!$C$32, $C$9, 100%, $E$9)</f>
        <v>26.986699999999999</v>
      </c>
      <c r="L787" s="81">
        <f>13.2858 * CHOOSE(CONTROL!$C$32, $C$9, 100%, $E$9)</f>
        <v>13.2858</v>
      </c>
      <c r="M787" s="81">
        <f>13.2911 * CHOOSE(CONTROL!$C$32, $C$9, 100%, $E$9)</f>
        <v>13.2911</v>
      </c>
      <c r="N787" s="81">
        <f>13.2858 * CHOOSE(CONTROL!$C$32, $C$9, 100%, $E$9)</f>
        <v>13.2858</v>
      </c>
      <c r="O787" s="81">
        <f>13.2911 * CHOOSE(CONTROL!$C$32, $C$9, 100%, $E$9)</f>
        <v>13.2911</v>
      </c>
    </row>
    <row r="788" spans="1:15" ht="15" x14ac:dyDescent="0.2">
      <c r="A788" s="16">
        <v>65197</v>
      </c>
      <c r="B788" s="80">
        <f>11.7773 * CHOOSE(CONTROL!$C$32, $C$9, 100%, $E$9)</f>
        <v>11.7773</v>
      </c>
      <c r="C788" s="80">
        <f>11.7773 * CHOOSE(CONTROL!$C$32, $C$9, 100%, $E$9)</f>
        <v>11.7773</v>
      </c>
      <c r="D788" s="80">
        <f>11.7789 * CHOOSE(CONTROL!$C$32, $C$9, 100%, $E$9)</f>
        <v>11.7789</v>
      </c>
      <c r="E788" s="81">
        <f>13.4731 * CHOOSE(CONTROL!$C$32, $C$9, 100%, $E$9)</f>
        <v>13.473100000000001</v>
      </c>
      <c r="F788" s="81">
        <f>13.4731 * CHOOSE(CONTROL!$C$32, $C$9, 100%, $E$9)</f>
        <v>13.473100000000001</v>
      </c>
      <c r="G788" s="81">
        <f>13.4784 * CHOOSE(CONTROL!$C$32, $C$9, 100%, $E$9)</f>
        <v>13.478400000000001</v>
      </c>
      <c r="H788" s="81">
        <f>27.0376 * CHOOSE(CONTROL!$C$32, $C$9, 100%, $E$9)</f>
        <v>27.037600000000001</v>
      </c>
      <c r="I788" s="81">
        <f>27.0429 * CHOOSE(CONTROL!$C$32, $C$9, 100%, $E$9)</f>
        <v>27.042899999999999</v>
      </c>
      <c r="J788" s="81">
        <f>27.0376 * CHOOSE(CONTROL!$C$32, $C$9, 100%, $E$9)</f>
        <v>27.037600000000001</v>
      </c>
      <c r="K788" s="81">
        <f>27.0429 * CHOOSE(CONTROL!$C$32, $C$9, 100%, $E$9)</f>
        <v>27.042899999999999</v>
      </c>
      <c r="L788" s="81">
        <f>13.4731 * CHOOSE(CONTROL!$C$32, $C$9, 100%, $E$9)</f>
        <v>13.473100000000001</v>
      </c>
      <c r="M788" s="81">
        <f>13.4784 * CHOOSE(CONTROL!$C$32, $C$9, 100%, $E$9)</f>
        <v>13.478400000000001</v>
      </c>
      <c r="N788" s="81">
        <f>13.4731 * CHOOSE(CONTROL!$C$32, $C$9, 100%, $E$9)</f>
        <v>13.473100000000001</v>
      </c>
      <c r="O788" s="81">
        <f>13.4784 * CHOOSE(CONTROL!$C$32, $C$9, 100%, $E$9)</f>
        <v>13.478400000000001</v>
      </c>
    </row>
    <row r="789" spans="1:15" ht="15" x14ac:dyDescent="0.2">
      <c r="A789" s="16">
        <v>65228</v>
      </c>
      <c r="B789" s="80">
        <f>11.784 * CHOOSE(CONTROL!$C$32, $C$9, 100%, $E$9)</f>
        <v>11.784000000000001</v>
      </c>
      <c r="C789" s="80">
        <f>11.784 * CHOOSE(CONTROL!$C$32, $C$9, 100%, $E$9)</f>
        <v>11.784000000000001</v>
      </c>
      <c r="D789" s="80">
        <f>11.7856 * CHOOSE(CONTROL!$C$32, $C$9, 100%, $E$9)</f>
        <v>11.785600000000001</v>
      </c>
      <c r="E789" s="81">
        <f>13.1486 * CHOOSE(CONTROL!$C$32, $C$9, 100%, $E$9)</f>
        <v>13.1486</v>
      </c>
      <c r="F789" s="81">
        <f>13.1486 * CHOOSE(CONTROL!$C$32, $C$9, 100%, $E$9)</f>
        <v>13.1486</v>
      </c>
      <c r="G789" s="81">
        <f>13.1539 * CHOOSE(CONTROL!$C$32, $C$9, 100%, $E$9)</f>
        <v>13.1539</v>
      </c>
      <c r="H789" s="81">
        <f>27.094 * CHOOSE(CONTROL!$C$32, $C$9, 100%, $E$9)</f>
        <v>27.094000000000001</v>
      </c>
      <c r="I789" s="81">
        <f>27.0993 * CHOOSE(CONTROL!$C$32, $C$9, 100%, $E$9)</f>
        <v>27.099299999999999</v>
      </c>
      <c r="J789" s="81">
        <f>27.094 * CHOOSE(CONTROL!$C$32, $C$9, 100%, $E$9)</f>
        <v>27.094000000000001</v>
      </c>
      <c r="K789" s="81">
        <f>27.0993 * CHOOSE(CONTROL!$C$32, $C$9, 100%, $E$9)</f>
        <v>27.099299999999999</v>
      </c>
      <c r="L789" s="81">
        <f>13.1486 * CHOOSE(CONTROL!$C$32, $C$9, 100%, $E$9)</f>
        <v>13.1486</v>
      </c>
      <c r="M789" s="81">
        <f>13.1539 * CHOOSE(CONTROL!$C$32, $C$9, 100%, $E$9)</f>
        <v>13.1539</v>
      </c>
      <c r="N789" s="81">
        <f>13.1486 * CHOOSE(CONTROL!$C$32, $C$9, 100%, $E$9)</f>
        <v>13.1486</v>
      </c>
      <c r="O789" s="81">
        <f>13.1539 * CHOOSE(CONTROL!$C$32, $C$9, 100%, $E$9)</f>
        <v>13.1539</v>
      </c>
    </row>
    <row r="790" spans="1:15" ht="15" x14ac:dyDescent="0.2">
      <c r="A790" s="16">
        <v>65259</v>
      </c>
      <c r="B790" s="80">
        <f>11.7809 * CHOOSE(CONTROL!$C$32, $C$9, 100%, $E$9)</f>
        <v>11.780900000000001</v>
      </c>
      <c r="C790" s="80">
        <f>11.7809 * CHOOSE(CONTROL!$C$32, $C$9, 100%, $E$9)</f>
        <v>11.780900000000001</v>
      </c>
      <c r="D790" s="80">
        <f>11.7825 * CHOOSE(CONTROL!$C$32, $C$9, 100%, $E$9)</f>
        <v>11.782500000000001</v>
      </c>
      <c r="E790" s="81">
        <f>13.1099 * CHOOSE(CONTROL!$C$32, $C$9, 100%, $E$9)</f>
        <v>13.1099</v>
      </c>
      <c r="F790" s="81">
        <f>13.1099 * CHOOSE(CONTROL!$C$32, $C$9, 100%, $E$9)</f>
        <v>13.1099</v>
      </c>
      <c r="G790" s="81">
        <f>13.1152 * CHOOSE(CONTROL!$C$32, $C$9, 100%, $E$9)</f>
        <v>13.1152</v>
      </c>
      <c r="H790" s="81">
        <f>27.1504 * CHOOSE(CONTROL!$C$32, $C$9, 100%, $E$9)</f>
        <v>27.150400000000001</v>
      </c>
      <c r="I790" s="81">
        <f>27.1557 * CHOOSE(CONTROL!$C$32, $C$9, 100%, $E$9)</f>
        <v>27.1557</v>
      </c>
      <c r="J790" s="81">
        <f>27.1504 * CHOOSE(CONTROL!$C$32, $C$9, 100%, $E$9)</f>
        <v>27.150400000000001</v>
      </c>
      <c r="K790" s="81">
        <f>27.1557 * CHOOSE(CONTROL!$C$32, $C$9, 100%, $E$9)</f>
        <v>27.1557</v>
      </c>
      <c r="L790" s="81">
        <f>13.1099 * CHOOSE(CONTROL!$C$32, $C$9, 100%, $E$9)</f>
        <v>13.1099</v>
      </c>
      <c r="M790" s="81">
        <f>13.1152 * CHOOSE(CONTROL!$C$32, $C$9, 100%, $E$9)</f>
        <v>13.1152</v>
      </c>
      <c r="N790" s="81">
        <f>13.1099 * CHOOSE(CONTROL!$C$32, $C$9, 100%, $E$9)</f>
        <v>13.1099</v>
      </c>
      <c r="O790" s="81">
        <f>13.1152 * CHOOSE(CONTROL!$C$32, $C$9, 100%, $E$9)</f>
        <v>13.1152</v>
      </c>
    </row>
    <row r="791" spans="1:15" ht="15" x14ac:dyDescent="0.2">
      <c r="A791" s="16">
        <v>65289</v>
      </c>
      <c r="B791" s="80">
        <f>11.8051 * CHOOSE(CONTROL!$C$32, $C$9, 100%, $E$9)</f>
        <v>11.805099999999999</v>
      </c>
      <c r="C791" s="80">
        <f>11.8051 * CHOOSE(CONTROL!$C$32, $C$9, 100%, $E$9)</f>
        <v>11.805099999999999</v>
      </c>
      <c r="D791" s="80">
        <f>11.8062 * CHOOSE(CONTROL!$C$32, $C$9, 100%, $E$9)</f>
        <v>11.8062</v>
      </c>
      <c r="E791" s="81">
        <f>13.2428 * CHOOSE(CONTROL!$C$32, $C$9, 100%, $E$9)</f>
        <v>13.242800000000001</v>
      </c>
      <c r="F791" s="81">
        <f>13.2428 * CHOOSE(CONTROL!$C$32, $C$9, 100%, $E$9)</f>
        <v>13.242800000000001</v>
      </c>
      <c r="G791" s="81">
        <f>13.2464 * CHOOSE(CONTROL!$C$32, $C$9, 100%, $E$9)</f>
        <v>13.2464</v>
      </c>
      <c r="H791" s="81">
        <f>27.207 * CHOOSE(CONTROL!$C$32, $C$9, 100%, $E$9)</f>
        <v>27.207000000000001</v>
      </c>
      <c r="I791" s="81">
        <f>27.2106 * CHOOSE(CONTROL!$C$32, $C$9, 100%, $E$9)</f>
        <v>27.210599999999999</v>
      </c>
      <c r="J791" s="81">
        <f>27.207 * CHOOSE(CONTROL!$C$32, $C$9, 100%, $E$9)</f>
        <v>27.207000000000001</v>
      </c>
      <c r="K791" s="81">
        <f>27.2106 * CHOOSE(CONTROL!$C$32, $C$9, 100%, $E$9)</f>
        <v>27.210599999999999</v>
      </c>
      <c r="L791" s="81">
        <f>13.2428 * CHOOSE(CONTROL!$C$32, $C$9, 100%, $E$9)</f>
        <v>13.242800000000001</v>
      </c>
      <c r="M791" s="81">
        <f>13.2464 * CHOOSE(CONTROL!$C$32, $C$9, 100%, $E$9)</f>
        <v>13.2464</v>
      </c>
      <c r="N791" s="81">
        <f>13.2428 * CHOOSE(CONTROL!$C$32, $C$9, 100%, $E$9)</f>
        <v>13.242800000000001</v>
      </c>
      <c r="O791" s="81">
        <f>13.2464 * CHOOSE(CONTROL!$C$32, $C$9, 100%, $E$9)</f>
        <v>13.2464</v>
      </c>
    </row>
    <row r="792" spans="1:15" ht="15" x14ac:dyDescent="0.2">
      <c r="A792" s="16">
        <v>65320</v>
      </c>
      <c r="B792" s="80">
        <f>11.8081 * CHOOSE(CONTROL!$C$32, $C$9, 100%, $E$9)</f>
        <v>11.8081</v>
      </c>
      <c r="C792" s="80">
        <f>11.8081 * CHOOSE(CONTROL!$C$32, $C$9, 100%, $E$9)</f>
        <v>11.8081</v>
      </c>
      <c r="D792" s="80">
        <f>11.8092 * CHOOSE(CONTROL!$C$32, $C$9, 100%, $E$9)</f>
        <v>11.809200000000001</v>
      </c>
      <c r="E792" s="81">
        <f>13.3181 * CHOOSE(CONTROL!$C$32, $C$9, 100%, $E$9)</f>
        <v>13.318099999999999</v>
      </c>
      <c r="F792" s="81">
        <f>13.3181 * CHOOSE(CONTROL!$C$32, $C$9, 100%, $E$9)</f>
        <v>13.318099999999999</v>
      </c>
      <c r="G792" s="81">
        <f>13.3217 * CHOOSE(CONTROL!$C$32, $C$9, 100%, $E$9)</f>
        <v>13.3217</v>
      </c>
      <c r="H792" s="81">
        <f>27.2636 * CHOOSE(CONTROL!$C$32, $C$9, 100%, $E$9)</f>
        <v>27.2636</v>
      </c>
      <c r="I792" s="81">
        <f>27.2673 * CHOOSE(CONTROL!$C$32, $C$9, 100%, $E$9)</f>
        <v>27.267299999999999</v>
      </c>
      <c r="J792" s="81">
        <f>27.2636 * CHOOSE(CONTROL!$C$32, $C$9, 100%, $E$9)</f>
        <v>27.2636</v>
      </c>
      <c r="K792" s="81">
        <f>27.2673 * CHOOSE(CONTROL!$C$32, $C$9, 100%, $E$9)</f>
        <v>27.267299999999999</v>
      </c>
      <c r="L792" s="81">
        <f>13.3181 * CHOOSE(CONTROL!$C$32, $C$9, 100%, $E$9)</f>
        <v>13.318099999999999</v>
      </c>
      <c r="M792" s="81">
        <f>13.3217 * CHOOSE(CONTROL!$C$32, $C$9, 100%, $E$9)</f>
        <v>13.3217</v>
      </c>
      <c r="N792" s="81">
        <f>13.3181 * CHOOSE(CONTROL!$C$32, $C$9, 100%, $E$9)</f>
        <v>13.318099999999999</v>
      </c>
      <c r="O792" s="81">
        <f>13.3217 * CHOOSE(CONTROL!$C$32, $C$9, 100%, $E$9)</f>
        <v>13.3217</v>
      </c>
    </row>
    <row r="793" spans="1:15" ht="15" x14ac:dyDescent="0.2">
      <c r="A793" s="16">
        <v>65350</v>
      </c>
      <c r="B793" s="80">
        <f>11.8081 * CHOOSE(CONTROL!$C$32, $C$9, 100%, $E$9)</f>
        <v>11.8081</v>
      </c>
      <c r="C793" s="80">
        <f>11.8081 * CHOOSE(CONTROL!$C$32, $C$9, 100%, $E$9)</f>
        <v>11.8081</v>
      </c>
      <c r="D793" s="80">
        <f>11.8092 * CHOOSE(CONTROL!$C$32, $C$9, 100%, $E$9)</f>
        <v>11.809200000000001</v>
      </c>
      <c r="E793" s="81">
        <f>13.1352 * CHOOSE(CONTROL!$C$32, $C$9, 100%, $E$9)</f>
        <v>13.135199999999999</v>
      </c>
      <c r="F793" s="81">
        <f>13.1352 * CHOOSE(CONTROL!$C$32, $C$9, 100%, $E$9)</f>
        <v>13.135199999999999</v>
      </c>
      <c r="G793" s="81">
        <f>13.1388 * CHOOSE(CONTROL!$C$32, $C$9, 100%, $E$9)</f>
        <v>13.1388</v>
      </c>
      <c r="H793" s="81">
        <f>27.3204 * CHOOSE(CONTROL!$C$32, $C$9, 100%, $E$9)</f>
        <v>27.320399999999999</v>
      </c>
      <c r="I793" s="81">
        <f>27.3241 * CHOOSE(CONTROL!$C$32, $C$9, 100%, $E$9)</f>
        <v>27.324100000000001</v>
      </c>
      <c r="J793" s="81">
        <f>27.3204 * CHOOSE(CONTROL!$C$32, $C$9, 100%, $E$9)</f>
        <v>27.320399999999999</v>
      </c>
      <c r="K793" s="81">
        <f>27.3241 * CHOOSE(CONTROL!$C$32, $C$9, 100%, $E$9)</f>
        <v>27.324100000000001</v>
      </c>
      <c r="L793" s="81">
        <f>13.1352 * CHOOSE(CONTROL!$C$32, $C$9, 100%, $E$9)</f>
        <v>13.135199999999999</v>
      </c>
      <c r="M793" s="81">
        <f>13.1388 * CHOOSE(CONTROL!$C$32, $C$9, 100%, $E$9)</f>
        <v>13.1388</v>
      </c>
      <c r="N793" s="81">
        <f>13.1352 * CHOOSE(CONTROL!$C$32, $C$9, 100%, $E$9)</f>
        <v>13.135199999999999</v>
      </c>
      <c r="O793" s="81">
        <f>13.1388 * CHOOSE(CONTROL!$C$32, $C$9, 100%, $E$9)</f>
        <v>13.1388</v>
      </c>
    </row>
    <row r="794" spans="1:15" ht="15" x14ac:dyDescent="0.2">
      <c r="A794" s="16">
        <v>65381</v>
      </c>
      <c r="B794" s="80">
        <f>11.8173 * CHOOSE(CONTROL!$C$32, $C$9, 100%, $E$9)</f>
        <v>11.817299999999999</v>
      </c>
      <c r="C794" s="80">
        <f>11.8173 * CHOOSE(CONTROL!$C$32, $C$9, 100%, $E$9)</f>
        <v>11.817299999999999</v>
      </c>
      <c r="D794" s="80">
        <f>11.8184 * CHOOSE(CONTROL!$C$32, $C$9, 100%, $E$9)</f>
        <v>11.8184</v>
      </c>
      <c r="E794" s="81">
        <f>13.2831 * CHOOSE(CONTROL!$C$32, $C$9, 100%, $E$9)</f>
        <v>13.283099999999999</v>
      </c>
      <c r="F794" s="81">
        <f>13.2831 * CHOOSE(CONTROL!$C$32, $C$9, 100%, $E$9)</f>
        <v>13.283099999999999</v>
      </c>
      <c r="G794" s="81">
        <f>13.2867 * CHOOSE(CONTROL!$C$32, $C$9, 100%, $E$9)</f>
        <v>13.2867</v>
      </c>
      <c r="H794" s="81">
        <f>27.1661 * CHOOSE(CONTROL!$C$32, $C$9, 100%, $E$9)</f>
        <v>27.1661</v>
      </c>
      <c r="I794" s="81">
        <f>27.1698 * CHOOSE(CONTROL!$C$32, $C$9, 100%, $E$9)</f>
        <v>27.169799999999999</v>
      </c>
      <c r="J794" s="81">
        <f>27.1661 * CHOOSE(CONTROL!$C$32, $C$9, 100%, $E$9)</f>
        <v>27.1661</v>
      </c>
      <c r="K794" s="81">
        <f>27.1698 * CHOOSE(CONTROL!$C$32, $C$9, 100%, $E$9)</f>
        <v>27.169799999999999</v>
      </c>
      <c r="L794" s="81">
        <f>13.2831 * CHOOSE(CONTROL!$C$32, $C$9, 100%, $E$9)</f>
        <v>13.283099999999999</v>
      </c>
      <c r="M794" s="81">
        <f>13.2867 * CHOOSE(CONTROL!$C$32, $C$9, 100%, $E$9)</f>
        <v>13.2867</v>
      </c>
      <c r="N794" s="81">
        <f>13.2831 * CHOOSE(CONTROL!$C$32, $C$9, 100%, $E$9)</f>
        <v>13.283099999999999</v>
      </c>
      <c r="O794" s="81">
        <f>13.2867 * CHOOSE(CONTROL!$C$32, $C$9, 100%, $E$9)</f>
        <v>13.2867</v>
      </c>
    </row>
    <row r="795" spans="1:15" ht="15" x14ac:dyDescent="0.2">
      <c r="A795" s="16">
        <v>65412</v>
      </c>
      <c r="B795" s="80">
        <f>11.8143 * CHOOSE(CONTROL!$C$32, $C$9, 100%, $E$9)</f>
        <v>11.814299999999999</v>
      </c>
      <c r="C795" s="80">
        <f>11.8143 * CHOOSE(CONTROL!$C$32, $C$9, 100%, $E$9)</f>
        <v>11.814299999999999</v>
      </c>
      <c r="D795" s="80">
        <f>11.8153 * CHOOSE(CONTROL!$C$32, $C$9, 100%, $E$9)</f>
        <v>11.815300000000001</v>
      </c>
      <c r="E795" s="81">
        <f>12.9283 * CHOOSE(CONTROL!$C$32, $C$9, 100%, $E$9)</f>
        <v>12.9283</v>
      </c>
      <c r="F795" s="81">
        <f>12.9283 * CHOOSE(CONTROL!$C$32, $C$9, 100%, $E$9)</f>
        <v>12.9283</v>
      </c>
      <c r="G795" s="81">
        <f>12.9319 * CHOOSE(CONTROL!$C$32, $C$9, 100%, $E$9)</f>
        <v>12.931900000000001</v>
      </c>
      <c r="H795" s="81">
        <f>27.2227 * CHOOSE(CONTROL!$C$32, $C$9, 100%, $E$9)</f>
        <v>27.2227</v>
      </c>
      <c r="I795" s="81">
        <f>27.2264 * CHOOSE(CONTROL!$C$32, $C$9, 100%, $E$9)</f>
        <v>27.226400000000002</v>
      </c>
      <c r="J795" s="81">
        <f>27.2227 * CHOOSE(CONTROL!$C$32, $C$9, 100%, $E$9)</f>
        <v>27.2227</v>
      </c>
      <c r="K795" s="81">
        <f>27.2264 * CHOOSE(CONTROL!$C$32, $C$9, 100%, $E$9)</f>
        <v>27.226400000000002</v>
      </c>
      <c r="L795" s="81">
        <f>12.9283 * CHOOSE(CONTROL!$C$32, $C$9, 100%, $E$9)</f>
        <v>12.9283</v>
      </c>
      <c r="M795" s="81">
        <f>12.9319 * CHOOSE(CONTROL!$C$32, $C$9, 100%, $E$9)</f>
        <v>12.931900000000001</v>
      </c>
      <c r="N795" s="81">
        <f>12.9283 * CHOOSE(CONTROL!$C$32, $C$9, 100%, $E$9)</f>
        <v>12.9283</v>
      </c>
      <c r="O795" s="81">
        <f>12.9319 * CHOOSE(CONTROL!$C$32, $C$9, 100%, $E$9)</f>
        <v>12.931900000000001</v>
      </c>
    </row>
    <row r="796" spans="1:15" ht="15" x14ac:dyDescent="0.2">
      <c r="A796" s="16">
        <v>65440</v>
      </c>
      <c r="B796" s="80">
        <f>11.8112 * CHOOSE(CONTROL!$C$32, $C$9, 100%, $E$9)</f>
        <v>11.811199999999999</v>
      </c>
      <c r="C796" s="80">
        <f>11.8112 * CHOOSE(CONTROL!$C$32, $C$9, 100%, $E$9)</f>
        <v>11.811199999999999</v>
      </c>
      <c r="D796" s="80">
        <f>11.8123 * CHOOSE(CONTROL!$C$32, $C$9, 100%, $E$9)</f>
        <v>11.8123</v>
      </c>
      <c r="E796" s="81">
        <f>13.2042 * CHOOSE(CONTROL!$C$32, $C$9, 100%, $E$9)</f>
        <v>13.2042</v>
      </c>
      <c r="F796" s="81">
        <f>13.2042 * CHOOSE(CONTROL!$C$32, $C$9, 100%, $E$9)</f>
        <v>13.2042</v>
      </c>
      <c r="G796" s="81">
        <f>13.2078 * CHOOSE(CONTROL!$C$32, $C$9, 100%, $E$9)</f>
        <v>13.207800000000001</v>
      </c>
      <c r="H796" s="81">
        <f>27.2795 * CHOOSE(CONTROL!$C$32, $C$9, 100%, $E$9)</f>
        <v>27.279499999999999</v>
      </c>
      <c r="I796" s="81">
        <f>27.2831 * CHOOSE(CONTROL!$C$32, $C$9, 100%, $E$9)</f>
        <v>27.283100000000001</v>
      </c>
      <c r="J796" s="81">
        <f>27.2795 * CHOOSE(CONTROL!$C$32, $C$9, 100%, $E$9)</f>
        <v>27.279499999999999</v>
      </c>
      <c r="K796" s="81">
        <f>27.2831 * CHOOSE(CONTROL!$C$32, $C$9, 100%, $E$9)</f>
        <v>27.283100000000001</v>
      </c>
      <c r="L796" s="81">
        <f>13.2042 * CHOOSE(CONTROL!$C$32, $C$9, 100%, $E$9)</f>
        <v>13.2042</v>
      </c>
      <c r="M796" s="81">
        <f>13.2078 * CHOOSE(CONTROL!$C$32, $C$9, 100%, $E$9)</f>
        <v>13.207800000000001</v>
      </c>
      <c r="N796" s="81">
        <f>13.2042 * CHOOSE(CONTROL!$C$32, $C$9, 100%, $E$9)</f>
        <v>13.2042</v>
      </c>
      <c r="O796" s="81">
        <f>13.2078 * CHOOSE(CONTROL!$C$32, $C$9, 100%, $E$9)</f>
        <v>13.207800000000001</v>
      </c>
    </row>
    <row r="797" spans="1:15" ht="15" x14ac:dyDescent="0.2">
      <c r="A797" s="16">
        <v>65471</v>
      </c>
      <c r="B797" s="80">
        <f>11.8164 * CHOOSE(CONTROL!$C$32, $C$9, 100%, $E$9)</f>
        <v>11.8164</v>
      </c>
      <c r="C797" s="80">
        <f>11.8164 * CHOOSE(CONTROL!$C$32, $C$9, 100%, $E$9)</f>
        <v>11.8164</v>
      </c>
      <c r="D797" s="80">
        <f>11.8175 * CHOOSE(CONTROL!$C$32, $C$9, 100%, $E$9)</f>
        <v>11.817500000000001</v>
      </c>
      <c r="E797" s="81">
        <f>13.4985 * CHOOSE(CONTROL!$C$32, $C$9, 100%, $E$9)</f>
        <v>13.4985</v>
      </c>
      <c r="F797" s="81">
        <f>13.4985 * CHOOSE(CONTROL!$C$32, $C$9, 100%, $E$9)</f>
        <v>13.4985</v>
      </c>
      <c r="G797" s="81">
        <f>13.5021 * CHOOSE(CONTROL!$C$32, $C$9, 100%, $E$9)</f>
        <v>13.5021</v>
      </c>
      <c r="H797" s="81">
        <f>27.3363 * CHOOSE(CONTROL!$C$32, $C$9, 100%, $E$9)</f>
        <v>27.336300000000001</v>
      </c>
      <c r="I797" s="81">
        <f>27.3399 * CHOOSE(CONTROL!$C$32, $C$9, 100%, $E$9)</f>
        <v>27.3399</v>
      </c>
      <c r="J797" s="81">
        <f>27.3363 * CHOOSE(CONTROL!$C$32, $C$9, 100%, $E$9)</f>
        <v>27.336300000000001</v>
      </c>
      <c r="K797" s="81">
        <f>27.3399 * CHOOSE(CONTROL!$C$32, $C$9, 100%, $E$9)</f>
        <v>27.3399</v>
      </c>
      <c r="L797" s="81">
        <f>13.4985 * CHOOSE(CONTROL!$C$32, $C$9, 100%, $E$9)</f>
        <v>13.4985</v>
      </c>
      <c r="M797" s="81">
        <f>13.5021 * CHOOSE(CONTROL!$C$32, $C$9, 100%, $E$9)</f>
        <v>13.5021</v>
      </c>
      <c r="N797" s="81">
        <f>13.4985 * CHOOSE(CONTROL!$C$32, $C$9, 100%, $E$9)</f>
        <v>13.4985</v>
      </c>
      <c r="O797" s="81">
        <f>13.5021 * CHOOSE(CONTROL!$C$32, $C$9, 100%, $E$9)</f>
        <v>13.5021</v>
      </c>
    </row>
    <row r="798" spans="1:15" ht="15" x14ac:dyDescent="0.2">
      <c r="A798" s="16">
        <v>65501</v>
      </c>
      <c r="B798" s="80">
        <f>11.8164 * CHOOSE(CONTROL!$C$32, $C$9, 100%, $E$9)</f>
        <v>11.8164</v>
      </c>
      <c r="C798" s="80">
        <f>11.8164 * CHOOSE(CONTROL!$C$32, $C$9, 100%, $E$9)</f>
        <v>11.8164</v>
      </c>
      <c r="D798" s="80">
        <f>11.818 * CHOOSE(CONTROL!$C$32, $C$9, 100%, $E$9)</f>
        <v>11.818</v>
      </c>
      <c r="E798" s="81">
        <f>13.6105 * CHOOSE(CONTROL!$C$32, $C$9, 100%, $E$9)</f>
        <v>13.6105</v>
      </c>
      <c r="F798" s="81">
        <f>13.6105 * CHOOSE(CONTROL!$C$32, $C$9, 100%, $E$9)</f>
        <v>13.6105</v>
      </c>
      <c r="G798" s="81">
        <f>13.6158 * CHOOSE(CONTROL!$C$32, $C$9, 100%, $E$9)</f>
        <v>13.6158</v>
      </c>
      <c r="H798" s="81">
        <f>27.3932 * CHOOSE(CONTROL!$C$32, $C$9, 100%, $E$9)</f>
        <v>27.3932</v>
      </c>
      <c r="I798" s="81">
        <f>27.3985 * CHOOSE(CONTROL!$C$32, $C$9, 100%, $E$9)</f>
        <v>27.398499999999999</v>
      </c>
      <c r="J798" s="81">
        <f>27.3932 * CHOOSE(CONTROL!$C$32, $C$9, 100%, $E$9)</f>
        <v>27.3932</v>
      </c>
      <c r="K798" s="81">
        <f>27.3985 * CHOOSE(CONTROL!$C$32, $C$9, 100%, $E$9)</f>
        <v>27.398499999999999</v>
      </c>
      <c r="L798" s="81">
        <f>13.6105 * CHOOSE(CONTROL!$C$32, $C$9, 100%, $E$9)</f>
        <v>13.6105</v>
      </c>
      <c r="M798" s="81">
        <f>13.6158 * CHOOSE(CONTROL!$C$32, $C$9, 100%, $E$9)</f>
        <v>13.6158</v>
      </c>
      <c r="N798" s="81">
        <f>13.6105 * CHOOSE(CONTROL!$C$32, $C$9, 100%, $E$9)</f>
        <v>13.6105</v>
      </c>
      <c r="O798" s="81">
        <f>13.6158 * CHOOSE(CONTROL!$C$32, $C$9, 100%, $E$9)</f>
        <v>13.6158</v>
      </c>
    </row>
    <row r="799" spans="1:15" ht="15" x14ac:dyDescent="0.2">
      <c r="A799" s="16">
        <v>65532</v>
      </c>
      <c r="B799" s="80">
        <f>11.8225 * CHOOSE(CONTROL!$C$32, $C$9, 100%, $E$9)</f>
        <v>11.8225</v>
      </c>
      <c r="C799" s="80">
        <f>11.8225 * CHOOSE(CONTROL!$C$32, $C$9, 100%, $E$9)</f>
        <v>11.8225</v>
      </c>
      <c r="D799" s="80">
        <f>11.8241 * CHOOSE(CONTROL!$C$32, $C$9, 100%, $E$9)</f>
        <v>11.8241</v>
      </c>
      <c r="E799" s="81">
        <f>13.5028 * CHOOSE(CONTROL!$C$32, $C$9, 100%, $E$9)</f>
        <v>13.502800000000001</v>
      </c>
      <c r="F799" s="81">
        <f>13.5028 * CHOOSE(CONTROL!$C$32, $C$9, 100%, $E$9)</f>
        <v>13.502800000000001</v>
      </c>
      <c r="G799" s="81">
        <f>13.5081 * CHOOSE(CONTROL!$C$32, $C$9, 100%, $E$9)</f>
        <v>13.508100000000001</v>
      </c>
      <c r="H799" s="81">
        <f>27.4503 * CHOOSE(CONTROL!$C$32, $C$9, 100%, $E$9)</f>
        <v>27.450299999999999</v>
      </c>
      <c r="I799" s="81">
        <f>27.4556 * CHOOSE(CONTROL!$C$32, $C$9, 100%, $E$9)</f>
        <v>27.4556</v>
      </c>
      <c r="J799" s="81">
        <f>27.4503 * CHOOSE(CONTROL!$C$32, $C$9, 100%, $E$9)</f>
        <v>27.450299999999999</v>
      </c>
      <c r="K799" s="81">
        <f>27.4556 * CHOOSE(CONTROL!$C$32, $C$9, 100%, $E$9)</f>
        <v>27.4556</v>
      </c>
      <c r="L799" s="81">
        <f>13.5028 * CHOOSE(CONTROL!$C$32, $C$9, 100%, $E$9)</f>
        <v>13.502800000000001</v>
      </c>
      <c r="M799" s="81">
        <f>13.5081 * CHOOSE(CONTROL!$C$32, $C$9, 100%, $E$9)</f>
        <v>13.508100000000001</v>
      </c>
      <c r="N799" s="81">
        <f>13.5028 * CHOOSE(CONTROL!$C$32, $C$9, 100%, $E$9)</f>
        <v>13.502800000000001</v>
      </c>
      <c r="O799" s="81">
        <f>13.5081 * CHOOSE(CONTROL!$C$32, $C$9, 100%, $E$9)</f>
        <v>13.508100000000001</v>
      </c>
    </row>
    <row r="800" spans="1:15" ht="15" x14ac:dyDescent="0.2">
      <c r="A800" s="16">
        <v>65562</v>
      </c>
      <c r="B800" s="80">
        <f>11.9669 * CHOOSE(CONTROL!$C$32, $C$9, 100%, $E$9)</f>
        <v>11.966900000000001</v>
      </c>
      <c r="C800" s="80">
        <f>11.9669 * CHOOSE(CONTROL!$C$32, $C$9, 100%, $E$9)</f>
        <v>11.966900000000001</v>
      </c>
      <c r="D800" s="80">
        <f>11.9685 * CHOOSE(CONTROL!$C$32, $C$9, 100%, $E$9)</f>
        <v>11.968500000000001</v>
      </c>
      <c r="E800" s="81">
        <f>13.6933 * CHOOSE(CONTROL!$C$32, $C$9, 100%, $E$9)</f>
        <v>13.693300000000001</v>
      </c>
      <c r="F800" s="81">
        <f>13.6933 * CHOOSE(CONTROL!$C$32, $C$9, 100%, $E$9)</f>
        <v>13.693300000000001</v>
      </c>
      <c r="G800" s="81">
        <f>13.6986 * CHOOSE(CONTROL!$C$32, $C$9, 100%, $E$9)</f>
        <v>13.698600000000001</v>
      </c>
      <c r="H800" s="81">
        <f>27.5075 * CHOOSE(CONTROL!$C$32, $C$9, 100%, $E$9)</f>
        <v>27.5075</v>
      </c>
      <c r="I800" s="81">
        <f>27.5128 * CHOOSE(CONTROL!$C$32, $C$9, 100%, $E$9)</f>
        <v>27.512799999999999</v>
      </c>
      <c r="J800" s="81">
        <f>27.5075 * CHOOSE(CONTROL!$C$32, $C$9, 100%, $E$9)</f>
        <v>27.5075</v>
      </c>
      <c r="K800" s="81">
        <f>27.5128 * CHOOSE(CONTROL!$C$32, $C$9, 100%, $E$9)</f>
        <v>27.512799999999999</v>
      </c>
      <c r="L800" s="81">
        <f>13.6933 * CHOOSE(CONTROL!$C$32, $C$9, 100%, $E$9)</f>
        <v>13.693300000000001</v>
      </c>
      <c r="M800" s="81">
        <f>13.6986 * CHOOSE(CONTROL!$C$32, $C$9, 100%, $E$9)</f>
        <v>13.698600000000001</v>
      </c>
      <c r="N800" s="81">
        <f>13.6933 * CHOOSE(CONTROL!$C$32, $C$9, 100%, $E$9)</f>
        <v>13.693300000000001</v>
      </c>
      <c r="O800" s="81">
        <f>13.6986 * CHOOSE(CONTROL!$C$32, $C$9, 100%, $E$9)</f>
        <v>13.698600000000001</v>
      </c>
    </row>
    <row r="801" spans="1:15" ht="15" x14ac:dyDescent="0.2">
      <c r="A801" s="16">
        <v>65593</v>
      </c>
      <c r="B801" s="80">
        <f>11.9736 * CHOOSE(CONTROL!$C$32, $C$9, 100%, $E$9)</f>
        <v>11.973599999999999</v>
      </c>
      <c r="C801" s="80">
        <f>11.9736 * CHOOSE(CONTROL!$C$32, $C$9, 100%, $E$9)</f>
        <v>11.973599999999999</v>
      </c>
      <c r="D801" s="80">
        <f>11.9752 * CHOOSE(CONTROL!$C$32, $C$9, 100%, $E$9)</f>
        <v>11.975199999999999</v>
      </c>
      <c r="E801" s="81">
        <f>13.3621 * CHOOSE(CONTROL!$C$32, $C$9, 100%, $E$9)</f>
        <v>13.3621</v>
      </c>
      <c r="F801" s="81">
        <f>13.3621 * CHOOSE(CONTROL!$C$32, $C$9, 100%, $E$9)</f>
        <v>13.3621</v>
      </c>
      <c r="G801" s="81">
        <f>13.3673 * CHOOSE(CONTROL!$C$32, $C$9, 100%, $E$9)</f>
        <v>13.3673</v>
      </c>
      <c r="H801" s="81">
        <f>27.5648 * CHOOSE(CONTROL!$C$32, $C$9, 100%, $E$9)</f>
        <v>27.564800000000002</v>
      </c>
      <c r="I801" s="81">
        <f>27.5701 * CHOOSE(CONTROL!$C$32, $C$9, 100%, $E$9)</f>
        <v>27.5701</v>
      </c>
      <c r="J801" s="81">
        <f>27.5648 * CHOOSE(CONTROL!$C$32, $C$9, 100%, $E$9)</f>
        <v>27.564800000000002</v>
      </c>
      <c r="K801" s="81">
        <f>27.5701 * CHOOSE(CONTROL!$C$32, $C$9, 100%, $E$9)</f>
        <v>27.5701</v>
      </c>
      <c r="L801" s="81">
        <f>13.3621 * CHOOSE(CONTROL!$C$32, $C$9, 100%, $E$9)</f>
        <v>13.3621</v>
      </c>
      <c r="M801" s="81">
        <f>13.3673 * CHOOSE(CONTROL!$C$32, $C$9, 100%, $E$9)</f>
        <v>13.3673</v>
      </c>
      <c r="N801" s="81">
        <f>13.3621 * CHOOSE(CONTROL!$C$32, $C$9, 100%, $E$9)</f>
        <v>13.3621</v>
      </c>
      <c r="O801" s="81">
        <f>13.3673 * CHOOSE(CONTROL!$C$32, $C$9, 100%, $E$9)</f>
        <v>13.3673</v>
      </c>
    </row>
    <row r="802" spans="1:15" ht="15" x14ac:dyDescent="0.2">
      <c r="A802" s="16">
        <v>65624</v>
      </c>
      <c r="B802" s="80">
        <f>11.9705 * CHOOSE(CONTROL!$C$32, $C$9, 100%, $E$9)</f>
        <v>11.970499999999999</v>
      </c>
      <c r="C802" s="80">
        <f>11.9705 * CHOOSE(CONTROL!$C$32, $C$9, 100%, $E$9)</f>
        <v>11.970499999999999</v>
      </c>
      <c r="D802" s="80">
        <f>11.9721 * CHOOSE(CONTROL!$C$32, $C$9, 100%, $E$9)</f>
        <v>11.972099999999999</v>
      </c>
      <c r="E802" s="81">
        <f>13.3226 * CHOOSE(CONTROL!$C$32, $C$9, 100%, $E$9)</f>
        <v>13.3226</v>
      </c>
      <c r="F802" s="81">
        <f>13.3226 * CHOOSE(CONTROL!$C$32, $C$9, 100%, $E$9)</f>
        <v>13.3226</v>
      </c>
      <c r="G802" s="81">
        <f>13.3279 * CHOOSE(CONTROL!$C$32, $C$9, 100%, $E$9)</f>
        <v>13.3279</v>
      </c>
      <c r="H802" s="81">
        <f>27.6222 * CHOOSE(CONTROL!$C$32, $C$9, 100%, $E$9)</f>
        <v>27.622199999999999</v>
      </c>
      <c r="I802" s="81">
        <f>27.6275 * CHOOSE(CONTROL!$C$32, $C$9, 100%, $E$9)</f>
        <v>27.627500000000001</v>
      </c>
      <c r="J802" s="81">
        <f>27.6222 * CHOOSE(CONTROL!$C$32, $C$9, 100%, $E$9)</f>
        <v>27.622199999999999</v>
      </c>
      <c r="K802" s="81">
        <f>27.6275 * CHOOSE(CONTROL!$C$32, $C$9, 100%, $E$9)</f>
        <v>27.627500000000001</v>
      </c>
      <c r="L802" s="81">
        <f>13.3226 * CHOOSE(CONTROL!$C$32, $C$9, 100%, $E$9)</f>
        <v>13.3226</v>
      </c>
      <c r="M802" s="81">
        <f>13.3279 * CHOOSE(CONTROL!$C$32, $C$9, 100%, $E$9)</f>
        <v>13.3279</v>
      </c>
      <c r="N802" s="81">
        <f>13.3226 * CHOOSE(CONTROL!$C$32, $C$9, 100%, $E$9)</f>
        <v>13.3226</v>
      </c>
      <c r="O802" s="81">
        <f>13.3279 * CHOOSE(CONTROL!$C$32, $C$9, 100%, $E$9)</f>
        <v>13.3279</v>
      </c>
    </row>
    <row r="803" spans="1:15" ht="15" x14ac:dyDescent="0.2">
      <c r="A803" s="16">
        <v>65654</v>
      </c>
      <c r="B803" s="80">
        <f>11.9954 * CHOOSE(CONTROL!$C$32, $C$9, 100%, $E$9)</f>
        <v>11.9954</v>
      </c>
      <c r="C803" s="80">
        <f>11.9954 * CHOOSE(CONTROL!$C$32, $C$9, 100%, $E$9)</f>
        <v>11.9954</v>
      </c>
      <c r="D803" s="80">
        <f>11.9965 * CHOOSE(CONTROL!$C$32, $C$9, 100%, $E$9)</f>
        <v>11.996499999999999</v>
      </c>
      <c r="E803" s="81">
        <f>13.4585 * CHOOSE(CONTROL!$C$32, $C$9, 100%, $E$9)</f>
        <v>13.458500000000001</v>
      </c>
      <c r="F803" s="81">
        <f>13.4585 * CHOOSE(CONTROL!$C$32, $C$9, 100%, $E$9)</f>
        <v>13.458500000000001</v>
      </c>
      <c r="G803" s="81">
        <f>13.4621 * CHOOSE(CONTROL!$C$32, $C$9, 100%, $E$9)</f>
        <v>13.4621</v>
      </c>
      <c r="H803" s="81">
        <f>27.6798 * CHOOSE(CONTROL!$C$32, $C$9, 100%, $E$9)</f>
        <v>27.6798</v>
      </c>
      <c r="I803" s="81">
        <f>27.6834 * CHOOSE(CONTROL!$C$32, $C$9, 100%, $E$9)</f>
        <v>27.683399999999999</v>
      </c>
      <c r="J803" s="81">
        <f>27.6798 * CHOOSE(CONTROL!$C$32, $C$9, 100%, $E$9)</f>
        <v>27.6798</v>
      </c>
      <c r="K803" s="81">
        <f>27.6834 * CHOOSE(CONTROL!$C$32, $C$9, 100%, $E$9)</f>
        <v>27.683399999999999</v>
      </c>
      <c r="L803" s="81">
        <f>13.4585 * CHOOSE(CONTROL!$C$32, $C$9, 100%, $E$9)</f>
        <v>13.458500000000001</v>
      </c>
      <c r="M803" s="81">
        <f>13.4621 * CHOOSE(CONTROL!$C$32, $C$9, 100%, $E$9)</f>
        <v>13.4621</v>
      </c>
      <c r="N803" s="81">
        <f>13.4585 * CHOOSE(CONTROL!$C$32, $C$9, 100%, $E$9)</f>
        <v>13.458500000000001</v>
      </c>
      <c r="O803" s="81">
        <f>13.4621 * CHOOSE(CONTROL!$C$32, $C$9, 100%, $E$9)</f>
        <v>13.4621</v>
      </c>
    </row>
    <row r="804" spans="1:15" ht="15" x14ac:dyDescent="0.2">
      <c r="A804" s="16">
        <v>65685</v>
      </c>
      <c r="B804" s="80">
        <f>11.9984 * CHOOSE(CONTROL!$C$32, $C$9, 100%, $E$9)</f>
        <v>11.9984</v>
      </c>
      <c r="C804" s="80">
        <f>11.9984 * CHOOSE(CONTROL!$C$32, $C$9, 100%, $E$9)</f>
        <v>11.9984</v>
      </c>
      <c r="D804" s="80">
        <f>11.9995 * CHOOSE(CONTROL!$C$32, $C$9, 100%, $E$9)</f>
        <v>11.999499999999999</v>
      </c>
      <c r="E804" s="81">
        <f>13.5353 * CHOOSE(CONTROL!$C$32, $C$9, 100%, $E$9)</f>
        <v>13.535299999999999</v>
      </c>
      <c r="F804" s="81">
        <f>13.5353 * CHOOSE(CONTROL!$C$32, $C$9, 100%, $E$9)</f>
        <v>13.535299999999999</v>
      </c>
      <c r="G804" s="81">
        <f>13.5389 * CHOOSE(CONTROL!$C$32, $C$9, 100%, $E$9)</f>
        <v>13.5389</v>
      </c>
      <c r="H804" s="81">
        <f>27.7374 * CHOOSE(CONTROL!$C$32, $C$9, 100%, $E$9)</f>
        <v>27.737400000000001</v>
      </c>
      <c r="I804" s="81">
        <f>27.7411 * CHOOSE(CONTROL!$C$32, $C$9, 100%, $E$9)</f>
        <v>27.741099999999999</v>
      </c>
      <c r="J804" s="81">
        <f>27.7374 * CHOOSE(CONTROL!$C$32, $C$9, 100%, $E$9)</f>
        <v>27.737400000000001</v>
      </c>
      <c r="K804" s="81">
        <f>27.7411 * CHOOSE(CONTROL!$C$32, $C$9, 100%, $E$9)</f>
        <v>27.741099999999999</v>
      </c>
      <c r="L804" s="81">
        <f>13.5353 * CHOOSE(CONTROL!$C$32, $C$9, 100%, $E$9)</f>
        <v>13.535299999999999</v>
      </c>
      <c r="M804" s="81">
        <f>13.5389 * CHOOSE(CONTROL!$C$32, $C$9, 100%, $E$9)</f>
        <v>13.5389</v>
      </c>
      <c r="N804" s="81">
        <f>13.5353 * CHOOSE(CONTROL!$C$32, $C$9, 100%, $E$9)</f>
        <v>13.535299999999999</v>
      </c>
      <c r="O804" s="81">
        <f>13.5389 * CHOOSE(CONTROL!$C$32, $C$9, 100%, $E$9)</f>
        <v>13.5389</v>
      </c>
    </row>
    <row r="805" spans="1:15" ht="15" x14ac:dyDescent="0.2">
      <c r="A805" s="16">
        <v>65715</v>
      </c>
      <c r="B805" s="80">
        <f>11.9984 * CHOOSE(CONTROL!$C$32, $C$9, 100%, $E$9)</f>
        <v>11.9984</v>
      </c>
      <c r="C805" s="80">
        <f>11.9984 * CHOOSE(CONTROL!$C$32, $C$9, 100%, $E$9)</f>
        <v>11.9984</v>
      </c>
      <c r="D805" s="80">
        <f>11.9995 * CHOOSE(CONTROL!$C$32, $C$9, 100%, $E$9)</f>
        <v>11.999499999999999</v>
      </c>
      <c r="E805" s="81">
        <f>13.3486 * CHOOSE(CONTROL!$C$32, $C$9, 100%, $E$9)</f>
        <v>13.348599999999999</v>
      </c>
      <c r="F805" s="81">
        <f>13.3486 * CHOOSE(CONTROL!$C$32, $C$9, 100%, $E$9)</f>
        <v>13.348599999999999</v>
      </c>
      <c r="G805" s="81">
        <f>13.3523 * CHOOSE(CONTROL!$C$32, $C$9, 100%, $E$9)</f>
        <v>13.3523</v>
      </c>
      <c r="H805" s="81">
        <f>27.7952 * CHOOSE(CONTROL!$C$32, $C$9, 100%, $E$9)</f>
        <v>27.795200000000001</v>
      </c>
      <c r="I805" s="81">
        <f>27.7988 * CHOOSE(CONTROL!$C$32, $C$9, 100%, $E$9)</f>
        <v>27.7988</v>
      </c>
      <c r="J805" s="81">
        <f>27.7952 * CHOOSE(CONTROL!$C$32, $C$9, 100%, $E$9)</f>
        <v>27.795200000000001</v>
      </c>
      <c r="K805" s="81">
        <f>27.7988 * CHOOSE(CONTROL!$C$32, $C$9, 100%, $E$9)</f>
        <v>27.7988</v>
      </c>
      <c r="L805" s="81">
        <f>13.3486 * CHOOSE(CONTROL!$C$32, $C$9, 100%, $E$9)</f>
        <v>13.348599999999999</v>
      </c>
      <c r="M805" s="81">
        <f>13.3523 * CHOOSE(CONTROL!$C$32, $C$9, 100%, $E$9)</f>
        <v>13.3523</v>
      </c>
      <c r="N805" s="81">
        <f>13.3486 * CHOOSE(CONTROL!$C$32, $C$9, 100%, $E$9)</f>
        <v>13.348599999999999</v>
      </c>
      <c r="O805" s="81">
        <f>13.3523 * CHOOSE(CONTROL!$C$32, $C$9, 100%, $E$9)</f>
        <v>13.3523</v>
      </c>
    </row>
    <row r="806" spans="1:15" ht="15" x14ac:dyDescent="0.2">
      <c r="A806" s="16">
        <v>65746</v>
      </c>
      <c r="B806" s="80">
        <f>12.0047 * CHOOSE(CONTROL!$C$32, $C$9, 100%, $E$9)</f>
        <v>12.0047</v>
      </c>
      <c r="C806" s="80">
        <f>12.0047 * CHOOSE(CONTROL!$C$32, $C$9, 100%, $E$9)</f>
        <v>12.0047</v>
      </c>
      <c r="D806" s="80">
        <f>12.0057 * CHOOSE(CONTROL!$C$32, $C$9, 100%, $E$9)</f>
        <v>12.005699999999999</v>
      </c>
      <c r="E806" s="81">
        <f>13.4956 * CHOOSE(CONTROL!$C$32, $C$9, 100%, $E$9)</f>
        <v>13.4956</v>
      </c>
      <c r="F806" s="81">
        <f>13.4956 * CHOOSE(CONTROL!$C$32, $C$9, 100%, $E$9)</f>
        <v>13.4956</v>
      </c>
      <c r="G806" s="81">
        <f>13.4992 * CHOOSE(CONTROL!$C$32, $C$9, 100%, $E$9)</f>
        <v>13.4992</v>
      </c>
      <c r="H806" s="81">
        <f>27.6302 * CHOOSE(CONTROL!$C$32, $C$9, 100%, $E$9)</f>
        <v>27.630199999999999</v>
      </c>
      <c r="I806" s="81">
        <f>27.6338 * CHOOSE(CONTROL!$C$32, $C$9, 100%, $E$9)</f>
        <v>27.633800000000001</v>
      </c>
      <c r="J806" s="81">
        <f>27.6302 * CHOOSE(CONTROL!$C$32, $C$9, 100%, $E$9)</f>
        <v>27.630199999999999</v>
      </c>
      <c r="K806" s="81">
        <f>27.6338 * CHOOSE(CONTROL!$C$32, $C$9, 100%, $E$9)</f>
        <v>27.633800000000001</v>
      </c>
      <c r="L806" s="81">
        <f>13.4956 * CHOOSE(CONTROL!$C$32, $C$9, 100%, $E$9)</f>
        <v>13.4956</v>
      </c>
      <c r="M806" s="81">
        <f>13.4992 * CHOOSE(CONTROL!$C$32, $C$9, 100%, $E$9)</f>
        <v>13.4992</v>
      </c>
      <c r="N806" s="81">
        <f>13.4956 * CHOOSE(CONTROL!$C$32, $C$9, 100%, $E$9)</f>
        <v>13.4956</v>
      </c>
      <c r="O806" s="81">
        <f>13.4992 * CHOOSE(CONTROL!$C$32, $C$9, 100%, $E$9)</f>
        <v>13.4992</v>
      </c>
    </row>
    <row r="807" spans="1:15" ht="15" x14ac:dyDescent="0.2">
      <c r="A807" s="16">
        <v>65777</v>
      </c>
      <c r="B807" s="80">
        <f>12.0016 * CHOOSE(CONTROL!$C$32, $C$9, 100%, $E$9)</f>
        <v>12.0016</v>
      </c>
      <c r="C807" s="80">
        <f>12.0016 * CHOOSE(CONTROL!$C$32, $C$9, 100%, $E$9)</f>
        <v>12.0016</v>
      </c>
      <c r="D807" s="80">
        <f>12.0027 * CHOOSE(CONTROL!$C$32, $C$9, 100%, $E$9)</f>
        <v>12.002700000000001</v>
      </c>
      <c r="E807" s="81">
        <f>13.1337 * CHOOSE(CONTROL!$C$32, $C$9, 100%, $E$9)</f>
        <v>13.133699999999999</v>
      </c>
      <c r="F807" s="81">
        <f>13.1337 * CHOOSE(CONTROL!$C$32, $C$9, 100%, $E$9)</f>
        <v>13.133699999999999</v>
      </c>
      <c r="G807" s="81">
        <f>13.1373 * CHOOSE(CONTROL!$C$32, $C$9, 100%, $E$9)</f>
        <v>13.1373</v>
      </c>
      <c r="H807" s="81">
        <f>27.6877 * CHOOSE(CONTROL!$C$32, $C$9, 100%, $E$9)</f>
        <v>27.6877</v>
      </c>
      <c r="I807" s="81">
        <f>27.6914 * CHOOSE(CONTROL!$C$32, $C$9, 100%, $E$9)</f>
        <v>27.691400000000002</v>
      </c>
      <c r="J807" s="81">
        <f>27.6877 * CHOOSE(CONTROL!$C$32, $C$9, 100%, $E$9)</f>
        <v>27.6877</v>
      </c>
      <c r="K807" s="81">
        <f>27.6914 * CHOOSE(CONTROL!$C$32, $C$9, 100%, $E$9)</f>
        <v>27.691400000000002</v>
      </c>
      <c r="L807" s="81">
        <f>13.1337 * CHOOSE(CONTROL!$C$32, $C$9, 100%, $E$9)</f>
        <v>13.133699999999999</v>
      </c>
      <c r="M807" s="81">
        <f>13.1373 * CHOOSE(CONTROL!$C$32, $C$9, 100%, $E$9)</f>
        <v>13.1373</v>
      </c>
      <c r="N807" s="81">
        <f>13.1337 * CHOOSE(CONTROL!$C$32, $C$9, 100%, $E$9)</f>
        <v>13.133699999999999</v>
      </c>
      <c r="O807" s="81">
        <f>13.1373 * CHOOSE(CONTROL!$C$32, $C$9, 100%, $E$9)</f>
        <v>13.1373</v>
      </c>
    </row>
    <row r="808" spans="1:15" ht="15" x14ac:dyDescent="0.2">
      <c r="A808" s="16">
        <v>65806</v>
      </c>
      <c r="B808" s="80">
        <f>11.9986 * CHOOSE(CONTROL!$C$32, $C$9, 100%, $E$9)</f>
        <v>11.9986</v>
      </c>
      <c r="C808" s="80">
        <f>11.9986 * CHOOSE(CONTROL!$C$32, $C$9, 100%, $E$9)</f>
        <v>11.9986</v>
      </c>
      <c r="D808" s="80">
        <f>11.9996 * CHOOSE(CONTROL!$C$32, $C$9, 100%, $E$9)</f>
        <v>11.999599999999999</v>
      </c>
      <c r="E808" s="81">
        <f>13.4152 * CHOOSE(CONTROL!$C$32, $C$9, 100%, $E$9)</f>
        <v>13.4152</v>
      </c>
      <c r="F808" s="81">
        <f>13.4152 * CHOOSE(CONTROL!$C$32, $C$9, 100%, $E$9)</f>
        <v>13.4152</v>
      </c>
      <c r="G808" s="81">
        <f>13.4188 * CHOOSE(CONTROL!$C$32, $C$9, 100%, $E$9)</f>
        <v>13.418799999999999</v>
      </c>
      <c r="H808" s="81">
        <f>27.7454 * CHOOSE(CONTROL!$C$32, $C$9, 100%, $E$9)</f>
        <v>27.7454</v>
      </c>
      <c r="I808" s="81">
        <f>27.749 * CHOOSE(CONTROL!$C$32, $C$9, 100%, $E$9)</f>
        <v>27.748999999999999</v>
      </c>
      <c r="J808" s="81">
        <f>27.7454 * CHOOSE(CONTROL!$C$32, $C$9, 100%, $E$9)</f>
        <v>27.7454</v>
      </c>
      <c r="K808" s="81">
        <f>27.749 * CHOOSE(CONTROL!$C$32, $C$9, 100%, $E$9)</f>
        <v>27.748999999999999</v>
      </c>
      <c r="L808" s="81">
        <f>13.4152 * CHOOSE(CONTROL!$C$32, $C$9, 100%, $E$9)</f>
        <v>13.4152</v>
      </c>
      <c r="M808" s="81">
        <f>13.4188 * CHOOSE(CONTROL!$C$32, $C$9, 100%, $E$9)</f>
        <v>13.418799999999999</v>
      </c>
      <c r="N808" s="81">
        <f>13.4152 * CHOOSE(CONTROL!$C$32, $C$9, 100%, $E$9)</f>
        <v>13.4152</v>
      </c>
      <c r="O808" s="81">
        <f>13.4188 * CHOOSE(CONTROL!$C$32, $C$9, 100%, $E$9)</f>
        <v>13.418799999999999</v>
      </c>
    </row>
    <row r="809" spans="1:15" ht="15" x14ac:dyDescent="0.2">
      <c r="A809" s="16">
        <v>65837</v>
      </c>
      <c r="B809" s="80">
        <f>12.004 * CHOOSE(CONTROL!$C$32, $C$9, 100%, $E$9)</f>
        <v>12.004</v>
      </c>
      <c r="C809" s="80">
        <f>12.004 * CHOOSE(CONTROL!$C$32, $C$9, 100%, $E$9)</f>
        <v>12.004</v>
      </c>
      <c r="D809" s="80">
        <f>12.0051 * CHOOSE(CONTROL!$C$32, $C$9, 100%, $E$9)</f>
        <v>12.005100000000001</v>
      </c>
      <c r="E809" s="81">
        <f>13.7155 * CHOOSE(CONTROL!$C$32, $C$9, 100%, $E$9)</f>
        <v>13.7155</v>
      </c>
      <c r="F809" s="81">
        <f>13.7155 * CHOOSE(CONTROL!$C$32, $C$9, 100%, $E$9)</f>
        <v>13.7155</v>
      </c>
      <c r="G809" s="81">
        <f>13.7191 * CHOOSE(CONTROL!$C$32, $C$9, 100%, $E$9)</f>
        <v>13.719099999999999</v>
      </c>
      <c r="H809" s="81">
        <f>27.8032 * CHOOSE(CONTROL!$C$32, $C$9, 100%, $E$9)</f>
        <v>27.8032</v>
      </c>
      <c r="I809" s="81">
        <f>27.8068 * CHOOSE(CONTROL!$C$32, $C$9, 100%, $E$9)</f>
        <v>27.806799999999999</v>
      </c>
      <c r="J809" s="81">
        <f>27.8032 * CHOOSE(CONTROL!$C$32, $C$9, 100%, $E$9)</f>
        <v>27.8032</v>
      </c>
      <c r="K809" s="81">
        <f>27.8068 * CHOOSE(CONTROL!$C$32, $C$9, 100%, $E$9)</f>
        <v>27.806799999999999</v>
      </c>
      <c r="L809" s="81">
        <f>13.7155 * CHOOSE(CONTROL!$C$32, $C$9, 100%, $E$9)</f>
        <v>13.7155</v>
      </c>
      <c r="M809" s="81">
        <f>13.7191 * CHOOSE(CONTROL!$C$32, $C$9, 100%, $E$9)</f>
        <v>13.719099999999999</v>
      </c>
      <c r="N809" s="81">
        <f>13.7155 * CHOOSE(CONTROL!$C$32, $C$9, 100%, $E$9)</f>
        <v>13.7155</v>
      </c>
      <c r="O809" s="81">
        <f>13.7191 * CHOOSE(CONTROL!$C$32, $C$9, 100%, $E$9)</f>
        <v>13.719099999999999</v>
      </c>
    </row>
    <row r="810" spans="1:15" ht="15" x14ac:dyDescent="0.2">
      <c r="A810" s="16">
        <v>65867</v>
      </c>
      <c r="B810" s="80">
        <f>12.004 * CHOOSE(CONTROL!$C$32, $C$9, 100%, $E$9)</f>
        <v>12.004</v>
      </c>
      <c r="C810" s="80">
        <f>12.004 * CHOOSE(CONTROL!$C$32, $C$9, 100%, $E$9)</f>
        <v>12.004</v>
      </c>
      <c r="D810" s="80">
        <f>12.0056 * CHOOSE(CONTROL!$C$32, $C$9, 100%, $E$9)</f>
        <v>12.005599999999999</v>
      </c>
      <c r="E810" s="81">
        <f>13.8298 * CHOOSE(CONTROL!$C$32, $C$9, 100%, $E$9)</f>
        <v>13.829800000000001</v>
      </c>
      <c r="F810" s="81">
        <f>13.8298 * CHOOSE(CONTROL!$C$32, $C$9, 100%, $E$9)</f>
        <v>13.829800000000001</v>
      </c>
      <c r="G810" s="81">
        <f>13.835 * CHOOSE(CONTROL!$C$32, $C$9, 100%, $E$9)</f>
        <v>13.835000000000001</v>
      </c>
      <c r="H810" s="81">
        <f>27.8611 * CHOOSE(CONTROL!$C$32, $C$9, 100%, $E$9)</f>
        <v>27.8611</v>
      </c>
      <c r="I810" s="81">
        <f>27.8664 * CHOOSE(CONTROL!$C$32, $C$9, 100%, $E$9)</f>
        <v>27.866399999999999</v>
      </c>
      <c r="J810" s="81">
        <f>27.8611 * CHOOSE(CONTROL!$C$32, $C$9, 100%, $E$9)</f>
        <v>27.8611</v>
      </c>
      <c r="K810" s="81">
        <f>27.8664 * CHOOSE(CONTROL!$C$32, $C$9, 100%, $E$9)</f>
        <v>27.866399999999999</v>
      </c>
      <c r="L810" s="81">
        <f>13.8298 * CHOOSE(CONTROL!$C$32, $C$9, 100%, $E$9)</f>
        <v>13.829800000000001</v>
      </c>
      <c r="M810" s="81">
        <f>13.835 * CHOOSE(CONTROL!$C$32, $C$9, 100%, $E$9)</f>
        <v>13.835000000000001</v>
      </c>
      <c r="N810" s="81">
        <f>13.8298 * CHOOSE(CONTROL!$C$32, $C$9, 100%, $E$9)</f>
        <v>13.829800000000001</v>
      </c>
      <c r="O810" s="81">
        <f>13.835 * CHOOSE(CONTROL!$C$32, $C$9, 100%, $E$9)</f>
        <v>13.835000000000001</v>
      </c>
    </row>
    <row r="811" spans="1:15" ht="15" x14ac:dyDescent="0.2">
      <c r="A811" s="16">
        <v>65898</v>
      </c>
      <c r="B811" s="80">
        <f>12.0101 * CHOOSE(CONTROL!$C$32, $C$9, 100%, $E$9)</f>
        <v>12.0101</v>
      </c>
      <c r="C811" s="80">
        <f>12.0101 * CHOOSE(CONTROL!$C$32, $C$9, 100%, $E$9)</f>
        <v>12.0101</v>
      </c>
      <c r="D811" s="80">
        <f>12.0116 * CHOOSE(CONTROL!$C$32, $C$9, 100%, $E$9)</f>
        <v>12.0116</v>
      </c>
      <c r="E811" s="81">
        <f>13.7198 * CHOOSE(CONTROL!$C$32, $C$9, 100%, $E$9)</f>
        <v>13.719799999999999</v>
      </c>
      <c r="F811" s="81">
        <f>13.7198 * CHOOSE(CONTROL!$C$32, $C$9, 100%, $E$9)</f>
        <v>13.719799999999999</v>
      </c>
      <c r="G811" s="81">
        <f>13.7251 * CHOOSE(CONTROL!$C$32, $C$9, 100%, $E$9)</f>
        <v>13.725099999999999</v>
      </c>
      <c r="H811" s="81">
        <f>27.9192 * CHOOSE(CONTROL!$C$32, $C$9, 100%, $E$9)</f>
        <v>27.9192</v>
      </c>
      <c r="I811" s="81">
        <f>27.9245 * CHOOSE(CONTROL!$C$32, $C$9, 100%, $E$9)</f>
        <v>27.924499999999998</v>
      </c>
      <c r="J811" s="81">
        <f>27.9192 * CHOOSE(CONTROL!$C$32, $C$9, 100%, $E$9)</f>
        <v>27.9192</v>
      </c>
      <c r="K811" s="81">
        <f>27.9245 * CHOOSE(CONTROL!$C$32, $C$9, 100%, $E$9)</f>
        <v>27.924499999999998</v>
      </c>
      <c r="L811" s="81">
        <f>13.7198 * CHOOSE(CONTROL!$C$32, $C$9, 100%, $E$9)</f>
        <v>13.719799999999999</v>
      </c>
      <c r="M811" s="81">
        <f>13.7251 * CHOOSE(CONTROL!$C$32, $C$9, 100%, $E$9)</f>
        <v>13.725099999999999</v>
      </c>
      <c r="N811" s="81">
        <f>13.7198 * CHOOSE(CONTROL!$C$32, $C$9, 100%, $E$9)</f>
        <v>13.719799999999999</v>
      </c>
      <c r="O811" s="81">
        <f>13.7251 * CHOOSE(CONTROL!$C$32, $C$9, 100%, $E$9)</f>
        <v>13.725099999999999</v>
      </c>
    </row>
    <row r="812" spans="1:15" ht="15" x14ac:dyDescent="0.2">
      <c r="A812" s="16">
        <v>65928</v>
      </c>
      <c r="B812" s="80">
        <f>12.1565 * CHOOSE(CONTROL!$C$32, $C$9, 100%, $E$9)</f>
        <v>12.156499999999999</v>
      </c>
      <c r="C812" s="80">
        <f>12.1565 * CHOOSE(CONTROL!$C$32, $C$9, 100%, $E$9)</f>
        <v>12.156499999999999</v>
      </c>
      <c r="D812" s="80">
        <f>12.1581 * CHOOSE(CONTROL!$C$32, $C$9, 100%, $E$9)</f>
        <v>12.158099999999999</v>
      </c>
      <c r="E812" s="81">
        <f>13.9135 * CHOOSE(CONTROL!$C$32, $C$9, 100%, $E$9)</f>
        <v>13.913500000000001</v>
      </c>
      <c r="F812" s="81">
        <f>13.9135 * CHOOSE(CONTROL!$C$32, $C$9, 100%, $E$9)</f>
        <v>13.913500000000001</v>
      </c>
      <c r="G812" s="81">
        <f>13.9188 * CHOOSE(CONTROL!$C$32, $C$9, 100%, $E$9)</f>
        <v>13.918799999999999</v>
      </c>
      <c r="H812" s="81">
        <f>27.9774 * CHOOSE(CONTROL!$C$32, $C$9, 100%, $E$9)</f>
        <v>27.977399999999999</v>
      </c>
      <c r="I812" s="81">
        <f>27.9826 * CHOOSE(CONTROL!$C$32, $C$9, 100%, $E$9)</f>
        <v>27.982600000000001</v>
      </c>
      <c r="J812" s="81">
        <f>27.9774 * CHOOSE(CONTROL!$C$32, $C$9, 100%, $E$9)</f>
        <v>27.977399999999999</v>
      </c>
      <c r="K812" s="81">
        <f>27.9826 * CHOOSE(CONTROL!$C$32, $C$9, 100%, $E$9)</f>
        <v>27.982600000000001</v>
      </c>
      <c r="L812" s="81">
        <f>13.9135 * CHOOSE(CONTROL!$C$32, $C$9, 100%, $E$9)</f>
        <v>13.913500000000001</v>
      </c>
      <c r="M812" s="81">
        <f>13.9188 * CHOOSE(CONTROL!$C$32, $C$9, 100%, $E$9)</f>
        <v>13.918799999999999</v>
      </c>
      <c r="N812" s="81">
        <f>13.9135 * CHOOSE(CONTROL!$C$32, $C$9, 100%, $E$9)</f>
        <v>13.913500000000001</v>
      </c>
      <c r="O812" s="81">
        <f>13.9188 * CHOOSE(CONTROL!$C$32, $C$9, 100%, $E$9)</f>
        <v>13.918799999999999</v>
      </c>
    </row>
    <row r="813" spans="1:15" ht="15" x14ac:dyDescent="0.2">
      <c r="A813" s="16">
        <v>65959</v>
      </c>
      <c r="B813" s="80">
        <f>12.1632 * CHOOSE(CONTROL!$C$32, $C$9, 100%, $E$9)</f>
        <v>12.1632</v>
      </c>
      <c r="C813" s="80">
        <f>12.1632 * CHOOSE(CONTROL!$C$32, $C$9, 100%, $E$9)</f>
        <v>12.1632</v>
      </c>
      <c r="D813" s="80">
        <f>12.1648 * CHOOSE(CONTROL!$C$32, $C$9, 100%, $E$9)</f>
        <v>12.1648</v>
      </c>
      <c r="E813" s="81">
        <f>13.5755 * CHOOSE(CONTROL!$C$32, $C$9, 100%, $E$9)</f>
        <v>13.5755</v>
      </c>
      <c r="F813" s="81">
        <f>13.5755 * CHOOSE(CONTROL!$C$32, $C$9, 100%, $E$9)</f>
        <v>13.5755</v>
      </c>
      <c r="G813" s="81">
        <f>13.5808 * CHOOSE(CONTROL!$C$32, $C$9, 100%, $E$9)</f>
        <v>13.5808</v>
      </c>
      <c r="H813" s="81">
        <f>28.0356 * CHOOSE(CONTROL!$C$32, $C$9, 100%, $E$9)</f>
        <v>28.035599999999999</v>
      </c>
      <c r="I813" s="81">
        <f>28.0409 * CHOOSE(CONTROL!$C$32, $C$9, 100%, $E$9)</f>
        <v>28.040900000000001</v>
      </c>
      <c r="J813" s="81">
        <f>28.0356 * CHOOSE(CONTROL!$C$32, $C$9, 100%, $E$9)</f>
        <v>28.035599999999999</v>
      </c>
      <c r="K813" s="81">
        <f>28.0409 * CHOOSE(CONTROL!$C$32, $C$9, 100%, $E$9)</f>
        <v>28.040900000000001</v>
      </c>
      <c r="L813" s="81">
        <f>13.5755 * CHOOSE(CONTROL!$C$32, $C$9, 100%, $E$9)</f>
        <v>13.5755</v>
      </c>
      <c r="M813" s="81">
        <f>13.5808 * CHOOSE(CONTROL!$C$32, $C$9, 100%, $E$9)</f>
        <v>13.5808</v>
      </c>
      <c r="N813" s="81">
        <f>13.5755 * CHOOSE(CONTROL!$C$32, $C$9, 100%, $E$9)</f>
        <v>13.5755</v>
      </c>
      <c r="O813" s="81">
        <f>13.5808 * CHOOSE(CONTROL!$C$32, $C$9, 100%, $E$9)</f>
        <v>13.5808</v>
      </c>
    </row>
    <row r="814" spans="1:15" ht="15" x14ac:dyDescent="0.2">
      <c r="A814" s="16">
        <v>65990</v>
      </c>
      <c r="B814" s="80">
        <f>12.1601 * CHOOSE(CONTROL!$C$32, $C$9, 100%, $E$9)</f>
        <v>12.1601</v>
      </c>
      <c r="C814" s="80">
        <f>12.1601 * CHOOSE(CONTROL!$C$32, $C$9, 100%, $E$9)</f>
        <v>12.1601</v>
      </c>
      <c r="D814" s="80">
        <f>12.1617 * CHOOSE(CONTROL!$C$32, $C$9, 100%, $E$9)</f>
        <v>12.1617</v>
      </c>
      <c r="E814" s="81">
        <f>13.5353 * CHOOSE(CONTROL!$C$32, $C$9, 100%, $E$9)</f>
        <v>13.535299999999999</v>
      </c>
      <c r="F814" s="81">
        <f>13.5353 * CHOOSE(CONTROL!$C$32, $C$9, 100%, $E$9)</f>
        <v>13.535299999999999</v>
      </c>
      <c r="G814" s="81">
        <f>13.5406 * CHOOSE(CONTROL!$C$32, $C$9, 100%, $E$9)</f>
        <v>13.5406</v>
      </c>
      <c r="H814" s="81">
        <f>28.094 * CHOOSE(CONTROL!$C$32, $C$9, 100%, $E$9)</f>
        <v>28.094000000000001</v>
      </c>
      <c r="I814" s="81">
        <f>28.0993 * CHOOSE(CONTROL!$C$32, $C$9, 100%, $E$9)</f>
        <v>28.099299999999999</v>
      </c>
      <c r="J814" s="81">
        <f>28.094 * CHOOSE(CONTROL!$C$32, $C$9, 100%, $E$9)</f>
        <v>28.094000000000001</v>
      </c>
      <c r="K814" s="81">
        <f>28.0993 * CHOOSE(CONTROL!$C$32, $C$9, 100%, $E$9)</f>
        <v>28.099299999999999</v>
      </c>
      <c r="L814" s="81">
        <f>13.5353 * CHOOSE(CONTROL!$C$32, $C$9, 100%, $E$9)</f>
        <v>13.535299999999999</v>
      </c>
      <c r="M814" s="81">
        <f>13.5406 * CHOOSE(CONTROL!$C$32, $C$9, 100%, $E$9)</f>
        <v>13.5406</v>
      </c>
      <c r="N814" s="81">
        <f>13.5353 * CHOOSE(CONTROL!$C$32, $C$9, 100%, $E$9)</f>
        <v>13.535299999999999</v>
      </c>
      <c r="O814" s="81">
        <f>13.5406 * CHOOSE(CONTROL!$C$32, $C$9, 100%, $E$9)</f>
        <v>13.5406</v>
      </c>
    </row>
    <row r="815" spans="1:15" ht="15" x14ac:dyDescent="0.2">
      <c r="A815" s="16">
        <v>66020</v>
      </c>
      <c r="B815" s="80">
        <f>12.1857 * CHOOSE(CONTROL!$C$32, $C$9, 100%, $E$9)</f>
        <v>12.185700000000001</v>
      </c>
      <c r="C815" s="80">
        <f>12.1857 * CHOOSE(CONTROL!$C$32, $C$9, 100%, $E$9)</f>
        <v>12.185700000000001</v>
      </c>
      <c r="D815" s="80">
        <f>12.1868 * CHOOSE(CONTROL!$C$32, $C$9, 100%, $E$9)</f>
        <v>12.1868</v>
      </c>
      <c r="E815" s="81">
        <f>13.6742 * CHOOSE(CONTROL!$C$32, $C$9, 100%, $E$9)</f>
        <v>13.674200000000001</v>
      </c>
      <c r="F815" s="81">
        <f>13.6742 * CHOOSE(CONTROL!$C$32, $C$9, 100%, $E$9)</f>
        <v>13.674200000000001</v>
      </c>
      <c r="G815" s="81">
        <f>13.6778 * CHOOSE(CONTROL!$C$32, $C$9, 100%, $E$9)</f>
        <v>13.6778</v>
      </c>
      <c r="H815" s="81">
        <f>28.1526 * CHOOSE(CONTROL!$C$32, $C$9, 100%, $E$9)</f>
        <v>28.1526</v>
      </c>
      <c r="I815" s="81">
        <f>28.1562 * CHOOSE(CONTROL!$C$32, $C$9, 100%, $E$9)</f>
        <v>28.156199999999998</v>
      </c>
      <c r="J815" s="81">
        <f>28.1526 * CHOOSE(CONTROL!$C$32, $C$9, 100%, $E$9)</f>
        <v>28.1526</v>
      </c>
      <c r="K815" s="81">
        <f>28.1562 * CHOOSE(CONTROL!$C$32, $C$9, 100%, $E$9)</f>
        <v>28.156199999999998</v>
      </c>
      <c r="L815" s="81">
        <f>13.6742 * CHOOSE(CONTROL!$C$32, $C$9, 100%, $E$9)</f>
        <v>13.674200000000001</v>
      </c>
      <c r="M815" s="81">
        <f>13.6778 * CHOOSE(CONTROL!$C$32, $C$9, 100%, $E$9)</f>
        <v>13.6778</v>
      </c>
      <c r="N815" s="81">
        <f>13.6742 * CHOOSE(CONTROL!$C$32, $C$9, 100%, $E$9)</f>
        <v>13.674200000000001</v>
      </c>
      <c r="O815" s="81">
        <f>13.6778 * CHOOSE(CONTROL!$C$32, $C$9, 100%, $E$9)</f>
        <v>13.6778</v>
      </c>
    </row>
    <row r="816" spans="1:15" ht="15" x14ac:dyDescent="0.2">
      <c r="A816" s="16">
        <v>66051</v>
      </c>
      <c r="B816" s="80">
        <f>12.1887 * CHOOSE(CONTROL!$C$32, $C$9, 100%, $E$9)</f>
        <v>12.188700000000001</v>
      </c>
      <c r="C816" s="80">
        <f>12.1887 * CHOOSE(CONTROL!$C$32, $C$9, 100%, $E$9)</f>
        <v>12.188700000000001</v>
      </c>
      <c r="D816" s="80">
        <f>12.1898 * CHOOSE(CONTROL!$C$32, $C$9, 100%, $E$9)</f>
        <v>12.1898</v>
      </c>
      <c r="E816" s="81">
        <f>13.7524 * CHOOSE(CONTROL!$C$32, $C$9, 100%, $E$9)</f>
        <v>13.7524</v>
      </c>
      <c r="F816" s="81">
        <f>13.7524 * CHOOSE(CONTROL!$C$32, $C$9, 100%, $E$9)</f>
        <v>13.7524</v>
      </c>
      <c r="G816" s="81">
        <f>13.7561 * CHOOSE(CONTROL!$C$32, $C$9, 100%, $E$9)</f>
        <v>13.7561</v>
      </c>
      <c r="H816" s="81">
        <f>28.2112 * CHOOSE(CONTROL!$C$32, $C$9, 100%, $E$9)</f>
        <v>28.211200000000002</v>
      </c>
      <c r="I816" s="81">
        <f>28.2148 * CHOOSE(CONTROL!$C$32, $C$9, 100%, $E$9)</f>
        <v>28.2148</v>
      </c>
      <c r="J816" s="81">
        <f>28.2112 * CHOOSE(CONTROL!$C$32, $C$9, 100%, $E$9)</f>
        <v>28.211200000000002</v>
      </c>
      <c r="K816" s="81">
        <f>28.2148 * CHOOSE(CONTROL!$C$32, $C$9, 100%, $E$9)</f>
        <v>28.2148</v>
      </c>
      <c r="L816" s="81">
        <f>13.7524 * CHOOSE(CONTROL!$C$32, $C$9, 100%, $E$9)</f>
        <v>13.7524</v>
      </c>
      <c r="M816" s="81">
        <f>13.7561 * CHOOSE(CONTROL!$C$32, $C$9, 100%, $E$9)</f>
        <v>13.7561</v>
      </c>
      <c r="N816" s="81">
        <f>13.7524 * CHOOSE(CONTROL!$C$32, $C$9, 100%, $E$9)</f>
        <v>13.7524</v>
      </c>
      <c r="O816" s="81">
        <f>13.7561 * CHOOSE(CONTROL!$C$32, $C$9, 100%, $E$9)</f>
        <v>13.7561</v>
      </c>
    </row>
    <row r="817" spans="1:15" ht="15" x14ac:dyDescent="0.2">
      <c r="A817" s="16">
        <v>66081</v>
      </c>
      <c r="B817" s="80">
        <f>12.1887 * CHOOSE(CONTROL!$C$32, $C$9, 100%, $E$9)</f>
        <v>12.188700000000001</v>
      </c>
      <c r="C817" s="80">
        <f>12.1887 * CHOOSE(CONTROL!$C$32, $C$9, 100%, $E$9)</f>
        <v>12.188700000000001</v>
      </c>
      <c r="D817" s="80">
        <f>12.1898 * CHOOSE(CONTROL!$C$32, $C$9, 100%, $E$9)</f>
        <v>12.1898</v>
      </c>
      <c r="E817" s="81">
        <f>13.5621 * CHOOSE(CONTROL!$C$32, $C$9, 100%, $E$9)</f>
        <v>13.562099999999999</v>
      </c>
      <c r="F817" s="81">
        <f>13.5621 * CHOOSE(CONTROL!$C$32, $C$9, 100%, $E$9)</f>
        <v>13.562099999999999</v>
      </c>
      <c r="G817" s="81">
        <f>13.5657 * CHOOSE(CONTROL!$C$32, $C$9, 100%, $E$9)</f>
        <v>13.5657</v>
      </c>
      <c r="H817" s="81">
        <f>28.27 * CHOOSE(CONTROL!$C$32, $C$9, 100%, $E$9)</f>
        <v>28.27</v>
      </c>
      <c r="I817" s="81">
        <f>28.2736 * CHOOSE(CONTROL!$C$32, $C$9, 100%, $E$9)</f>
        <v>28.273599999999998</v>
      </c>
      <c r="J817" s="81">
        <f>28.27 * CHOOSE(CONTROL!$C$32, $C$9, 100%, $E$9)</f>
        <v>28.27</v>
      </c>
      <c r="K817" s="81">
        <f>28.2736 * CHOOSE(CONTROL!$C$32, $C$9, 100%, $E$9)</f>
        <v>28.273599999999998</v>
      </c>
      <c r="L817" s="81">
        <f>13.5621 * CHOOSE(CONTROL!$C$32, $C$9, 100%, $E$9)</f>
        <v>13.562099999999999</v>
      </c>
      <c r="M817" s="81">
        <f>13.5657 * CHOOSE(CONTROL!$C$32, $C$9, 100%, $E$9)</f>
        <v>13.5657</v>
      </c>
      <c r="N817" s="81">
        <f>13.5621 * CHOOSE(CONTROL!$C$32, $C$9, 100%, $E$9)</f>
        <v>13.562099999999999</v>
      </c>
      <c r="O817" s="81">
        <f>13.5657 * CHOOSE(CONTROL!$C$32, $C$9, 100%, $E$9)</f>
        <v>13.5657</v>
      </c>
    </row>
    <row r="818" spans="1:15" ht="15" x14ac:dyDescent="0.2">
      <c r="A818" s="16">
        <v>66112</v>
      </c>
      <c r="B818" s="80">
        <f>12.192 * CHOOSE(CONTROL!$C$32, $C$9, 100%, $E$9)</f>
        <v>12.192</v>
      </c>
      <c r="C818" s="80">
        <f>12.192 * CHOOSE(CONTROL!$C$32, $C$9, 100%, $E$9)</f>
        <v>12.192</v>
      </c>
      <c r="D818" s="80">
        <f>12.1931 * CHOOSE(CONTROL!$C$32, $C$9, 100%, $E$9)</f>
        <v>12.193099999999999</v>
      </c>
      <c r="E818" s="81">
        <f>13.7081 * CHOOSE(CONTROL!$C$32, $C$9, 100%, $E$9)</f>
        <v>13.7081</v>
      </c>
      <c r="F818" s="81">
        <f>13.7081 * CHOOSE(CONTROL!$C$32, $C$9, 100%, $E$9)</f>
        <v>13.7081</v>
      </c>
      <c r="G818" s="81">
        <f>13.7117 * CHOOSE(CONTROL!$C$32, $C$9, 100%, $E$9)</f>
        <v>13.7117</v>
      </c>
      <c r="H818" s="81">
        <f>28.0942 * CHOOSE(CONTROL!$C$32, $C$9, 100%, $E$9)</f>
        <v>28.094200000000001</v>
      </c>
      <c r="I818" s="81">
        <f>28.0978 * CHOOSE(CONTROL!$C$32, $C$9, 100%, $E$9)</f>
        <v>28.097799999999999</v>
      </c>
      <c r="J818" s="81">
        <f>28.0942 * CHOOSE(CONTROL!$C$32, $C$9, 100%, $E$9)</f>
        <v>28.094200000000001</v>
      </c>
      <c r="K818" s="81">
        <f>28.0978 * CHOOSE(CONTROL!$C$32, $C$9, 100%, $E$9)</f>
        <v>28.097799999999999</v>
      </c>
      <c r="L818" s="81">
        <f>13.7081 * CHOOSE(CONTROL!$C$32, $C$9, 100%, $E$9)</f>
        <v>13.7081</v>
      </c>
      <c r="M818" s="81">
        <f>13.7117 * CHOOSE(CONTROL!$C$32, $C$9, 100%, $E$9)</f>
        <v>13.7117</v>
      </c>
      <c r="N818" s="81">
        <f>13.7081 * CHOOSE(CONTROL!$C$32, $C$9, 100%, $E$9)</f>
        <v>13.7081</v>
      </c>
      <c r="O818" s="81">
        <f>13.7117 * CHOOSE(CONTROL!$C$32, $C$9, 100%, $E$9)</f>
        <v>13.7117</v>
      </c>
    </row>
    <row r="819" spans="1:15" ht="15" x14ac:dyDescent="0.2">
      <c r="A819" s="16">
        <v>66143</v>
      </c>
      <c r="B819" s="80">
        <f>12.189 * CHOOSE(CONTROL!$C$32, $C$9, 100%, $E$9)</f>
        <v>12.189</v>
      </c>
      <c r="C819" s="80">
        <f>12.189 * CHOOSE(CONTROL!$C$32, $C$9, 100%, $E$9)</f>
        <v>12.189</v>
      </c>
      <c r="D819" s="80">
        <f>12.19 * CHOOSE(CONTROL!$C$32, $C$9, 100%, $E$9)</f>
        <v>12.19</v>
      </c>
      <c r="E819" s="81">
        <f>13.3391 * CHOOSE(CONTROL!$C$32, $C$9, 100%, $E$9)</f>
        <v>13.3391</v>
      </c>
      <c r="F819" s="81">
        <f>13.3391 * CHOOSE(CONTROL!$C$32, $C$9, 100%, $E$9)</f>
        <v>13.3391</v>
      </c>
      <c r="G819" s="81">
        <f>13.3427 * CHOOSE(CONTROL!$C$32, $C$9, 100%, $E$9)</f>
        <v>13.342700000000001</v>
      </c>
      <c r="H819" s="81">
        <f>28.1527 * CHOOSE(CONTROL!$C$32, $C$9, 100%, $E$9)</f>
        <v>28.152699999999999</v>
      </c>
      <c r="I819" s="81">
        <f>28.1563 * CHOOSE(CONTROL!$C$32, $C$9, 100%, $E$9)</f>
        <v>28.156300000000002</v>
      </c>
      <c r="J819" s="81">
        <f>28.1527 * CHOOSE(CONTROL!$C$32, $C$9, 100%, $E$9)</f>
        <v>28.152699999999999</v>
      </c>
      <c r="K819" s="81">
        <f>28.1563 * CHOOSE(CONTROL!$C$32, $C$9, 100%, $E$9)</f>
        <v>28.156300000000002</v>
      </c>
      <c r="L819" s="81">
        <f>13.3391 * CHOOSE(CONTROL!$C$32, $C$9, 100%, $E$9)</f>
        <v>13.3391</v>
      </c>
      <c r="M819" s="81">
        <f>13.3427 * CHOOSE(CONTROL!$C$32, $C$9, 100%, $E$9)</f>
        <v>13.342700000000001</v>
      </c>
      <c r="N819" s="81">
        <f>13.3391 * CHOOSE(CONTROL!$C$32, $C$9, 100%, $E$9)</f>
        <v>13.3391</v>
      </c>
      <c r="O819" s="81">
        <f>13.3427 * CHOOSE(CONTROL!$C$32, $C$9, 100%, $E$9)</f>
        <v>13.342700000000001</v>
      </c>
    </row>
    <row r="820" spans="1:15" ht="15" x14ac:dyDescent="0.2">
      <c r="A820" s="16">
        <v>66171</v>
      </c>
      <c r="B820" s="80">
        <f>12.1859 * CHOOSE(CONTROL!$C$32, $C$9, 100%, $E$9)</f>
        <v>12.1859</v>
      </c>
      <c r="C820" s="80">
        <f>12.1859 * CHOOSE(CONTROL!$C$32, $C$9, 100%, $E$9)</f>
        <v>12.1859</v>
      </c>
      <c r="D820" s="80">
        <f>12.187 * CHOOSE(CONTROL!$C$32, $C$9, 100%, $E$9)</f>
        <v>12.186999999999999</v>
      </c>
      <c r="E820" s="81">
        <f>13.6262 * CHOOSE(CONTROL!$C$32, $C$9, 100%, $E$9)</f>
        <v>13.626200000000001</v>
      </c>
      <c r="F820" s="81">
        <f>13.6262 * CHOOSE(CONTROL!$C$32, $C$9, 100%, $E$9)</f>
        <v>13.626200000000001</v>
      </c>
      <c r="G820" s="81">
        <f>13.6298 * CHOOSE(CONTROL!$C$32, $C$9, 100%, $E$9)</f>
        <v>13.629799999999999</v>
      </c>
      <c r="H820" s="81">
        <f>28.2114 * CHOOSE(CONTROL!$C$32, $C$9, 100%, $E$9)</f>
        <v>28.211400000000001</v>
      </c>
      <c r="I820" s="81">
        <f>28.215 * CHOOSE(CONTROL!$C$32, $C$9, 100%, $E$9)</f>
        <v>28.215</v>
      </c>
      <c r="J820" s="81">
        <f>28.2114 * CHOOSE(CONTROL!$C$32, $C$9, 100%, $E$9)</f>
        <v>28.211400000000001</v>
      </c>
      <c r="K820" s="81">
        <f>28.215 * CHOOSE(CONTROL!$C$32, $C$9, 100%, $E$9)</f>
        <v>28.215</v>
      </c>
      <c r="L820" s="81">
        <f>13.6262 * CHOOSE(CONTROL!$C$32, $C$9, 100%, $E$9)</f>
        <v>13.626200000000001</v>
      </c>
      <c r="M820" s="81">
        <f>13.6298 * CHOOSE(CONTROL!$C$32, $C$9, 100%, $E$9)</f>
        <v>13.629799999999999</v>
      </c>
      <c r="N820" s="81">
        <f>13.6262 * CHOOSE(CONTROL!$C$32, $C$9, 100%, $E$9)</f>
        <v>13.626200000000001</v>
      </c>
      <c r="O820" s="81">
        <f>13.6298 * CHOOSE(CONTROL!$C$32, $C$9, 100%, $E$9)</f>
        <v>13.629799999999999</v>
      </c>
    </row>
    <row r="821" spans="1:15" ht="15" x14ac:dyDescent="0.2">
      <c r="A821" s="16">
        <v>66202</v>
      </c>
      <c r="B821" s="80">
        <f>12.1915 * CHOOSE(CONTROL!$C$32, $C$9, 100%, $E$9)</f>
        <v>12.1915</v>
      </c>
      <c r="C821" s="80">
        <f>12.1915 * CHOOSE(CONTROL!$C$32, $C$9, 100%, $E$9)</f>
        <v>12.1915</v>
      </c>
      <c r="D821" s="80">
        <f>12.1926 * CHOOSE(CONTROL!$C$32, $C$9, 100%, $E$9)</f>
        <v>12.192600000000001</v>
      </c>
      <c r="E821" s="81">
        <f>13.9325 * CHOOSE(CONTROL!$C$32, $C$9, 100%, $E$9)</f>
        <v>13.932499999999999</v>
      </c>
      <c r="F821" s="81">
        <f>13.9325 * CHOOSE(CONTROL!$C$32, $C$9, 100%, $E$9)</f>
        <v>13.932499999999999</v>
      </c>
      <c r="G821" s="81">
        <f>13.9361 * CHOOSE(CONTROL!$C$32, $C$9, 100%, $E$9)</f>
        <v>13.9361</v>
      </c>
      <c r="H821" s="81">
        <f>28.2702 * CHOOSE(CONTROL!$C$32, $C$9, 100%, $E$9)</f>
        <v>28.270199999999999</v>
      </c>
      <c r="I821" s="81">
        <f>28.2738 * CHOOSE(CONTROL!$C$32, $C$9, 100%, $E$9)</f>
        <v>28.273800000000001</v>
      </c>
      <c r="J821" s="81">
        <f>28.2702 * CHOOSE(CONTROL!$C$32, $C$9, 100%, $E$9)</f>
        <v>28.270199999999999</v>
      </c>
      <c r="K821" s="81">
        <f>28.2738 * CHOOSE(CONTROL!$C$32, $C$9, 100%, $E$9)</f>
        <v>28.273800000000001</v>
      </c>
      <c r="L821" s="81">
        <f>13.9325 * CHOOSE(CONTROL!$C$32, $C$9, 100%, $E$9)</f>
        <v>13.932499999999999</v>
      </c>
      <c r="M821" s="81">
        <f>13.9361 * CHOOSE(CONTROL!$C$32, $C$9, 100%, $E$9)</f>
        <v>13.9361</v>
      </c>
      <c r="N821" s="81">
        <f>13.9325 * CHOOSE(CONTROL!$C$32, $C$9, 100%, $E$9)</f>
        <v>13.932499999999999</v>
      </c>
      <c r="O821" s="81">
        <f>13.9361 * CHOOSE(CONTROL!$C$32, $C$9, 100%, $E$9)</f>
        <v>13.9361</v>
      </c>
    </row>
    <row r="822" spans="1:15" ht="15" x14ac:dyDescent="0.2">
      <c r="A822" s="16">
        <v>66232</v>
      </c>
      <c r="B822" s="80">
        <f>12.1915 * CHOOSE(CONTROL!$C$32, $C$9, 100%, $E$9)</f>
        <v>12.1915</v>
      </c>
      <c r="C822" s="80">
        <f>12.1915 * CHOOSE(CONTROL!$C$32, $C$9, 100%, $E$9)</f>
        <v>12.1915</v>
      </c>
      <c r="D822" s="80">
        <f>12.1931 * CHOOSE(CONTROL!$C$32, $C$9, 100%, $E$9)</f>
        <v>12.193099999999999</v>
      </c>
      <c r="E822" s="81">
        <f>14.049 * CHOOSE(CONTROL!$C$32, $C$9, 100%, $E$9)</f>
        <v>14.048999999999999</v>
      </c>
      <c r="F822" s="81">
        <f>14.049 * CHOOSE(CONTROL!$C$32, $C$9, 100%, $E$9)</f>
        <v>14.048999999999999</v>
      </c>
      <c r="G822" s="81">
        <f>14.0543 * CHOOSE(CONTROL!$C$32, $C$9, 100%, $E$9)</f>
        <v>14.0543</v>
      </c>
      <c r="H822" s="81">
        <f>28.3291 * CHOOSE(CONTROL!$C$32, $C$9, 100%, $E$9)</f>
        <v>28.3291</v>
      </c>
      <c r="I822" s="81">
        <f>28.3343 * CHOOSE(CONTROL!$C$32, $C$9, 100%, $E$9)</f>
        <v>28.334299999999999</v>
      </c>
      <c r="J822" s="81">
        <f>28.3291 * CHOOSE(CONTROL!$C$32, $C$9, 100%, $E$9)</f>
        <v>28.3291</v>
      </c>
      <c r="K822" s="81">
        <f>28.3343 * CHOOSE(CONTROL!$C$32, $C$9, 100%, $E$9)</f>
        <v>28.334299999999999</v>
      </c>
      <c r="L822" s="81">
        <f>14.049 * CHOOSE(CONTROL!$C$32, $C$9, 100%, $E$9)</f>
        <v>14.048999999999999</v>
      </c>
      <c r="M822" s="81">
        <f>14.0543 * CHOOSE(CONTROL!$C$32, $C$9, 100%, $E$9)</f>
        <v>14.0543</v>
      </c>
      <c r="N822" s="81">
        <f>14.049 * CHOOSE(CONTROL!$C$32, $C$9, 100%, $E$9)</f>
        <v>14.048999999999999</v>
      </c>
      <c r="O822" s="81">
        <f>14.0543 * CHOOSE(CONTROL!$C$32, $C$9, 100%, $E$9)</f>
        <v>14.0543</v>
      </c>
    </row>
    <row r="823" spans="1:15" ht="15" x14ac:dyDescent="0.2">
      <c r="A823" s="16">
        <v>66263</v>
      </c>
      <c r="B823" s="80">
        <f>12.1976 * CHOOSE(CONTROL!$C$32, $C$9, 100%, $E$9)</f>
        <v>12.1976</v>
      </c>
      <c r="C823" s="80">
        <f>12.1976 * CHOOSE(CONTROL!$C$32, $C$9, 100%, $E$9)</f>
        <v>12.1976</v>
      </c>
      <c r="D823" s="80">
        <f>12.1992 * CHOOSE(CONTROL!$C$32, $C$9, 100%, $E$9)</f>
        <v>12.199199999999999</v>
      </c>
      <c r="E823" s="81">
        <f>13.9368 * CHOOSE(CONTROL!$C$32, $C$9, 100%, $E$9)</f>
        <v>13.9368</v>
      </c>
      <c r="F823" s="81">
        <f>13.9368 * CHOOSE(CONTROL!$C$32, $C$9, 100%, $E$9)</f>
        <v>13.9368</v>
      </c>
      <c r="G823" s="81">
        <f>13.9421 * CHOOSE(CONTROL!$C$32, $C$9, 100%, $E$9)</f>
        <v>13.9421</v>
      </c>
      <c r="H823" s="81">
        <f>28.3881 * CHOOSE(CONTROL!$C$32, $C$9, 100%, $E$9)</f>
        <v>28.388100000000001</v>
      </c>
      <c r="I823" s="81">
        <f>28.3934 * CHOOSE(CONTROL!$C$32, $C$9, 100%, $E$9)</f>
        <v>28.3934</v>
      </c>
      <c r="J823" s="81">
        <f>28.3881 * CHOOSE(CONTROL!$C$32, $C$9, 100%, $E$9)</f>
        <v>28.388100000000001</v>
      </c>
      <c r="K823" s="81">
        <f>28.3934 * CHOOSE(CONTROL!$C$32, $C$9, 100%, $E$9)</f>
        <v>28.3934</v>
      </c>
      <c r="L823" s="81">
        <f>13.9368 * CHOOSE(CONTROL!$C$32, $C$9, 100%, $E$9)</f>
        <v>13.9368</v>
      </c>
      <c r="M823" s="81">
        <f>13.9421 * CHOOSE(CONTROL!$C$32, $C$9, 100%, $E$9)</f>
        <v>13.9421</v>
      </c>
      <c r="N823" s="81">
        <f>13.9368 * CHOOSE(CONTROL!$C$32, $C$9, 100%, $E$9)</f>
        <v>13.9368</v>
      </c>
      <c r="O823" s="81">
        <f>13.9421 * CHOOSE(CONTROL!$C$32, $C$9, 100%, $E$9)</f>
        <v>13.9421</v>
      </c>
    </row>
    <row r="824" spans="1:15" ht="15" x14ac:dyDescent="0.2">
      <c r="A824" s="16">
        <v>66293</v>
      </c>
      <c r="B824" s="80">
        <f>12.3461 * CHOOSE(CONTROL!$C$32, $C$9, 100%, $E$9)</f>
        <v>12.3461</v>
      </c>
      <c r="C824" s="80">
        <f>12.3461 * CHOOSE(CONTROL!$C$32, $C$9, 100%, $E$9)</f>
        <v>12.3461</v>
      </c>
      <c r="D824" s="80">
        <f>12.3477 * CHOOSE(CONTROL!$C$32, $C$9, 100%, $E$9)</f>
        <v>12.3477</v>
      </c>
      <c r="E824" s="81">
        <f>14.1337 * CHOOSE(CONTROL!$C$32, $C$9, 100%, $E$9)</f>
        <v>14.133699999999999</v>
      </c>
      <c r="F824" s="81">
        <f>14.1337 * CHOOSE(CONTROL!$C$32, $C$9, 100%, $E$9)</f>
        <v>14.133699999999999</v>
      </c>
      <c r="G824" s="81">
        <f>14.139 * CHOOSE(CONTROL!$C$32, $C$9, 100%, $E$9)</f>
        <v>14.138999999999999</v>
      </c>
      <c r="H824" s="81">
        <f>28.4472 * CHOOSE(CONTROL!$C$32, $C$9, 100%, $E$9)</f>
        <v>28.447199999999999</v>
      </c>
      <c r="I824" s="81">
        <f>28.4525 * CHOOSE(CONTROL!$C$32, $C$9, 100%, $E$9)</f>
        <v>28.452500000000001</v>
      </c>
      <c r="J824" s="81">
        <f>28.4472 * CHOOSE(CONTROL!$C$32, $C$9, 100%, $E$9)</f>
        <v>28.447199999999999</v>
      </c>
      <c r="K824" s="81">
        <f>28.4525 * CHOOSE(CONTROL!$C$32, $C$9, 100%, $E$9)</f>
        <v>28.452500000000001</v>
      </c>
      <c r="L824" s="81">
        <f>14.1337 * CHOOSE(CONTROL!$C$32, $C$9, 100%, $E$9)</f>
        <v>14.133699999999999</v>
      </c>
      <c r="M824" s="81">
        <f>14.139 * CHOOSE(CONTROL!$C$32, $C$9, 100%, $E$9)</f>
        <v>14.138999999999999</v>
      </c>
      <c r="N824" s="81">
        <f>14.1337 * CHOOSE(CONTROL!$C$32, $C$9, 100%, $E$9)</f>
        <v>14.133699999999999</v>
      </c>
      <c r="O824" s="81">
        <f>14.139 * CHOOSE(CONTROL!$C$32, $C$9, 100%, $E$9)</f>
        <v>14.138999999999999</v>
      </c>
    </row>
    <row r="825" spans="1:15" ht="15" x14ac:dyDescent="0.2">
      <c r="A825" s="16">
        <v>66324</v>
      </c>
      <c r="B825" s="80">
        <f>12.3528 * CHOOSE(CONTROL!$C$32, $C$9, 100%, $E$9)</f>
        <v>12.3528</v>
      </c>
      <c r="C825" s="80">
        <f>12.3528 * CHOOSE(CONTROL!$C$32, $C$9, 100%, $E$9)</f>
        <v>12.3528</v>
      </c>
      <c r="D825" s="80">
        <f>12.3544 * CHOOSE(CONTROL!$C$32, $C$9, 100%, $E$9)</f>
        <v>12.3544</v>
      </c>
      <c r="E825" s="81">
        <f>13.7889 * CHOOSE(CONTROL!$C$32, $C$9, 100%, $E$9)</f>
        <v>13.7889</v>
      </c>
      <c r="F825" s="81">
        <f>13.7889 * CHOOSE(CONTROL!$C$32, $C$9, 100%, $E$9)</f>
        <v>13.7889</v>
      </c>
      <c r="G825" s="81">
        <f>13.7942 * CHOOSE(CONTROL!$C$32, $C$9, 100%, $E$9)</f>
        <v>13.7942</v>
      </c>
      <c r="H825" s="81">
        <f>28.5065 * CHOOSE(CONTROL!$C$32, $C$9, 100%, $E$9)</f>
        <v>28.506499999999999</v>
      </c>
      <c r="I825" s="81">
        <f>28.5118 * CHOOSE(CONTROL!$C$32, $C$9, 100%, $E$9)</f>
        <v>28.511800000000001</v>
      </c>
      <c r="J825" s="81">
        <f>28.5065 * CHOOSE(CONTROL!$C$32, $C$9, 100%, $E$9)</f>
        <v>28.506499999999999</v>
      </c>
      <c r="K825" s="81">
        <f>28.5118 * CHOOSE(CONTROL!$C$32, $C$9, 100%, $E$9)</f>
        <v>28.511800000000001</v>
      </c>
      <c r="L825" s="81">
        <f>13.7889 * CHOOSE(CONTROL!$C$32, $C$9, 100%, $E$9)</f>
        <v>13.7889</v>
      </c>
      <c r="M825" s="81">
        <f>13.7942 * CHOOSE(CONTROL!$C$32, $C$9, 100%, $E$9)</f>
        <v>13.7942</v>
      </c>
      <c r="N825" s="81">
        <f>13.7889 * CHOOSE(CONTROL!$C$32, $C$9, 100%, $E$9)</f>
        <v>13.7889</v>
      </c>
      <c r="O825" s="81">
        <f>13.7942 * CHOOSE(CONTROL!$C$32, $C$9, 100%, $E$9)</f>
        <v>13.7942</v>
      </c>
    </row>
    <row r="826" spans="1:15" ht="15" x14ac:dyDescent="0.2">
      <c r="A826" s="16">
        <v>66355</v>
      </c>
      <c r="B826" s="80">
        <f>12.3497 * CHOOSE(CONTROL!$C$32, $C$9, 100%, $E$9)</f>
        <v>12.3497</v>
      </c>
      <c r="C826" s="80">
        <f>12.3497 * CHOOSE(CONTROL!$C$32, $C$9, 100%, $E$9)</f>
        <v>12.3497</v>
      </c>
      <c r="D826" s="80">
        <f>12.3513 * CHOOSE(CONTROL!$C$32, $C$9, 100%, $E$9)</f>
        <v>12.3513</v>
      </c>
      <c r="E826" s="81">
        <f>13.748 * CHOOSE(CONTROL!$C$32, $C$9, 100%, $E$9)</f>
        <v>13.747999999999999</v>
      </c>
      <c r="F826" s="81">
        <f>13.748 * CHOOSE(CONTROL!$C$32, $C$9, 100%, $E$9)</f>
        <v>13.747999999999999</v>
      </c>
      <c r="G826" s="81">
        <f>13.7533 * CHOOSE(CONTROL!$C$32, $C$9, 100%, $E$9)</f>
        <v>13.753299999999999</v>
      </c>
      <c r="H826" s="81">
        <f>28.5659 * CHOOSE(CONTROL!$C$32, $C$9, 100%, $E$9)</f>
        <v>28.565899999999999</v>
      </c>
      <c r="I826" s="81">
        <f>28.5712 * CHOOSE(CONTROL!$C$32, $C$9, 100%, $E$9)</f>
        <v>28.571200000000001</v>
      </c>
      <c r="J826" s="81">
        <f>28.5659 * CHOOSE(CONTROL!$C$32, $C$9, 100%, $E$9)</f>
        <v>28.565899999999999</v>
      </c>
      <c r="K826" s="81">
        <f>28.5712 * CHOOSE(CONTROL!$C$32, $C$9, 100%, $E$9)</f>
        <v>28.571200000000001</v>
      </c>
      <c r="L826" s="81">
        <f>13.748 * CHOOSE(CONTROL!$C$32, $C$9, 100%, $E$9)</f>
        <v>13.747999999999999</v>
      </c>
      <c r="M826" s="81">
        <f>13.7533 * CHOOSE(CONTROL!$C$32, $C$9, 100%, $E$9)</f>
        <v>13.753299999999999</v>
      </c>
      <c r="N826" s="81">
        <f>13.748 * CHOOSE(CONTROL!$C$32, $C$9, 100%, $E$9)</f>
        <v>13.747999999999999</v>
      </c>
      <c r="O826" s="81">
        <f>13.7533 * CHOOSE(CONTROL!$C$32, $C$9, 100%, $E$9)</f>
        <v>13.753299999999999</v>
      </c>
    </row>
    <row r="827" spans="1:15" ht="15" x14ac:dyDescent="0.2">
      <c r="A827" s="16">
        <v>66385</v>
      </c>
      <c r="B827" s="80">
        <f>12.376 * CHOOSE(CONTROL!$C$32, $C$9, 100%, $E$9)</f>
        <v>12.375999999999999</v>
      </c>
      <c r="C827" s="80">
        <f>12.376 * CHOOSE(CONTROL!$C$32, $C$9, 100%, $E$9)</f>
        <v>12.375999999999999</v>
      </c>
      <c r="D827" s="80">
        <f>12.3771 * CHOOSE(CONTROL!$C$32, $C$9, 100%, $E$9)</f>
        <v>12.3771</v>
      </c>
      <c r="E827" s="81">
        <f>13.8899 * CHOOSE(CONTROL!$C$32, $C$9, 100%, $E$9)</f>
        <v>13.889900000000001</v>
      </c>
      <c r="F827" s="81">
        <f>13.8899 * CHOOSE(CONTROL!$C$32, $C$9, 100%, $E$9)</f>
        <v>13.889900000000001</v>
      </c>
      <c r="G827" s="81">
        <f>13.8935 * CHOOSE(CONTROL!$C$32, $C$9, 100%, $E$9)</f>
        <v>13.8935</v>
      </c>
      <c r="H827" s="81">
        <f>28.6254 * CHOOSE(CONTROL!$C$32, $C$9, 100%, $E$9)</f>
        <v>28.625399999999999</v>
      </c>
      <c r="I827" s="81">
        <f>28.629 * CHOOSE(CONTROL!$C$32, $C$9, 100%, $E$9)</f>
        <v>28.629000000000001</v>
      </c>
      <c r="J827" s="81">
        <f>28.6254 * CHOOSE(CONTROL!$C$32, $C$9, 100%, $E$9)</f>
        <v>28.625399999999999</v>
      </c>
      <c r="K827" s="81">
        <f>28.629 * CHOOSE(CONTROL!$C$32, $C$9, 100%, $E$9)</f>
        <v>28.629000000000001</v>
      </c>
      <c r="L827" s="81">
        <f>13.8899 * CHOOSE(CONTROL!$C$32, $C$9, 100%, $E$9)</f>
        <v>13.889900000000001</v>
      </c>
      <c r="M827" s="81">
        <f>13.8935 * CHOOSE(CONTROL!$C$32, $C$9, 100%, $E$9)</f>
        <v>13.8935</v>
      </c>
      <c r="N827" s="81">
        <f>13.8899 * CHOOSE(CONTROL!$C$32, $C$9, 100%, $E$9)</f>
        <v>13.889900000000001</v>
      </c>
      <c r="O827" s="81">
        <f>13.8935 * CHOOSE(CONTROL!$C$32, $C$9, 100%, $E$9)</f>
        <v>13.8935</v>
      </c>
    </row>
    <row r="828" spans="1:15" ht="15" x14ac:dyDescent="0.2">
      <c r="A828" s="16">
        <v>66416</v>
      </c>
      <c r="B828" s="80">
        <f>12.379 * CHOOSE(CONTROL!$C$32, $C$9, 100%, $E$9)</f>
        <v>12.379</v>
      </c>
      <c r="C828" s="80">
        <f>12.379 * CHOOSE(CONTROL!$C$32, $C$9, 100%, $E$9)</f>
        <v>12.379</v>
      </c>
      <c r="D828" s="80">
        <f>12.3801 * CHOOSE(CONTROL!$C$32, $C$9, 100%, $E$9)</f>
        <v>12.380100000000001</v>
      </c>
      <c r="E828" s="81">
        <f>13.9696 * CHOOSE(CONTROL!$C$32, $C$9, 100%, $E$9)</f>
        <v>13.9696</v>
      </c>
      <c r="F828" s="81">
        <f>13.9696 * CHOOSE(CONTROL!$C$32, $C$9, 100%, $E$9)</f>
        <v>13.9696</v>
      </c>
      <c r="G828" s="81">
        <f>13.9732 * CHOOSE(CONTROL!$C$32, $C$9, 100%, $E$9)</f>
        <v>13.9732</v>
      </c>
      <c r="H828" s="81">
        <f>28.685 * CHOOSE(CONTROL!$C$32, $C$9, 100%, $E$9)</f>
        <v>28.684999999999999</v>
      </c>
      <c r="I828" s="81">
        <f>28.6886 * CHOOSE(CONTROL!$C$32, $C$9, 100%, $E$9)</f>
        <v>28.688600000000001</v>
      </c>
      <c r="J828" s="81">
        <f>28.685 * CHOOSE(CONTROL!$C$32, $C$9, 100%, $E$9)</f>
        <v>28.684999999999999</v>
      </c>
      <c r="K828" s="81">
        <f>28.6886 * CHOOSE(CONTROL!$C$32, $C$9, 100%, $E$9)</f>
        <v>28.688600000000001</v>
      </c>
      <c r="L828" s="81">
        <f>13.9696 * CHOOSE(CONTROL!$C$32, $C$9, 100%, $E$9)</f>
        <v>13.9696</v>
      </c>
      <c r="M828" s="81">
        <f>13.9732 * CHOOSE(CONTROL!$C$32, $C$9, 100%, $E$9)</f>
        <v>13.9732</v>
      </c>
      <c r="N828" s="81">
        <f>13.9696 * CHOOSE(CONTROL!$C$32, $C$9, 100%, $E$9)</f>
        <v>13.9696</v>
      </c>
      <c r="O828" s="81">
        <f>13.9732 * CHOOSE(CONTROL!$C$32, $C$9, 100%, $E$9)</f>
        <v>13.9732</v>
      </c>
    </row>
    <row r="829" spans="1:15" ht="15" x14ac:dyDescent="0.2">
      <c r="A829" s="16">
        <v>66446</v>
      </c>
      <c r="B829" s="80">
        <f>12.379 * CHOOSE(CONTROL!$C$32, $C$9, 100%, $E$9)</f>
        <v>12.379</v>
      </c>
      <c r="C829" s="80">
        <f>12.379 * CHOOSE(CONTROL!$C$32, $C$9, 100%, $E$9)</f>
        <v>12.379</v>
      </c>
      <c r="D829" s="80">
        <f>12.3801 * CHOOSE(CONTROL!$C$32, $C$9, 100%, $E$9)</f>
        <v>12.380100000000001</v>
      </c>
      <c r="E829" s="81">
        <f>13.7755 * CHOOSE(CONTROL!$C$32, $C$9, 100%, $E$9)</f>
        <v>13.775499999999999</v>
      </c>
      <c r="F829" s="81">
        <f>13.7755 * CHOOSE(CONTROL!$C$32, $C$9, 100%, $E$9)</f>
        <v>13.775499999999999</v>
      </c>
      <c r="G829" s="81">
        <f>13.7791 * CHOOSE(CONTROL!$C$32, $C$9, 100%, $E$9)</f>
        <v>13.7791</v>
      </c>
      <c r="H829" s="81">
        <f>28.7448 * CHOOSE(CONTROL!$C$32, $C$9, 100%, $E$9)</f>
        <v>28.744800000000001</v>
      </c>
      <c r="I829" s="81">
        <f>28.7484 * CHOOSE(CONTROL!$C$32, $C$9, 100%, $E$9)</f>
        <v>28.7484</v>
      </c>
      <c r="J829" s="81">
        <f>28.7448 * CHOOSE(CONTROL!$C$32, $C$9, 100%, $E$9)</f>
        <v>28.744800000000001</v>
      </c>
      <c r="K829" s="81">
        <f>28.7484 * CHOOSE(CONTROL!$C$32, $C$9, 100%, $E$9)</f>
        <v>28.7484</v>
      </c>
      <c r="L829" s="81">
        <f>13.7755 * CHOOSE(CONTROL!$C$32, $C$9, 100%, $E$9)</f>
        <v>13.775499999999999</v>
      </c>
      <c r="M829" s="81">
        <f>13.7791 * CHOOSE(CONTROL!$C$32, $C$9, 100%, $E$9)</f>
        <v>13.7791</v>
      </c>
      <c r="N829" s="81">
        <f>13.7755 * CHOOSE(CONTROL!$C$32, $C$9, 100%, $E$9)</f>
        <v>13.775499999999999</v>
      </c>
      <c r="O829" s="81">
        <f>13.7791 * CHOOSE(CONTROL!$C$32, $C$9, 100%, $E$9)</f>
        <v>13.7791</v>
      </c>
    </row>
    <row r="830" spans="1:15" ht="15" x14ac:dyDescent="0.2">
      <c r="A830" s="16">
        <v>66477</v>
      </c>
      <c r="B830" s="80">
        <f>12.3794 * CHOOSE(CONTROL!$C$32, $C$9, 100%, $E$9)</f>
        <v>12.3794</v>
      </c>
      <c r="C830" s="80">
        <f>12.3794 * CHOOSE(CONTROL!$C$32, $C$9, 100%, $E$9)</f>
        <v>12.3794</v>
      </c>
      <c r="D830" s="80">
        <f>12.3804 * CHOOSE(CONTROL!$C$32, $C$9, 100%, $E$9)</f>
        <v>12.3804</v>
      </c>
      <c r="E830" s="81">
        <f>13.9206 * CHOOSE(CONTROL!$C$32, $C$9, 100%, $E$9)</f>
        <v>13.9206</v>
      </c>
      <c r="F830" s="81">
        <f>13.9206 * CHOOSE(CONTROL!$C$32, $C$9, 100%, $E$9)</f>
        <v>13.9206</v>
      </c>
      <c r="G830" s="81">
        <f>13.9242 * CHOOSE(CONTROL!$C$32, $C$9, 100%, $E$9)</f>
        <v>13.924200000000001</v>
      </c>
      <c r="H830" s="81">
        <f>28.5582 * CHOOSE(CONTROL!$C$32, $C$9, 100%, $E$9)</f>
        <v>28.558199999999999</v>
      </c>
      <c r="I830" s="81">
        <f>28.5619 * CHOOSE(CONTROL!$C$32, $C$9, 100%, $E$9)</f>
        <v>28.561900000000001</v>
      </c>
      <c r="J830" s="81">
        <f>28.5582 * CHOOSE(CONTROL!$C$32, $C$9, 100%, $E$9)</f>
        <v>28.558199999999999</v>
      </c>
      <c r="K830" s="81">
        <f>28.5619 * CHOOSE(CONTROL!$C$32, $C$9, 100%, $E$9)</f>
        <v>28.561900000000001</v>
      </c>
      <c r="L830" s="81">
        <f>13.9206 * CHOOSE(CONTROL!$C$32, $C$9, 100%, $E$9)</f>
        <v>13.9206</v>
      </c>
      <c r="M830" s="81">
        <f>13.9242 * CHOOSE(CONTROL!$C$32, $C$9, 100%, $E$9)</f>
        <v>13.924200000000001</v>
      </c>
      <c r="N830" s="81">
        <f>13.9206 * CHOOSE(CONTROL!$C$32, $C$9, 100%, $E$9)</f>
        <v>13.9206</v>
      </c>
      <c r="O830" s="81">
        <f>13.9242 * CHOOSE(CONTROL!$C$32, $C$9, 100%, $E$9)</f>
        <v>13.924200000000001</v>
      </c>
    </row>
    <row r="831" spans="1:15" ht="15" x14ac:dyDescent="0.2">
      <c r="A831" s="16">
        <v>66508</v>
      </c>
      <c r="B831" s="80">
        <f>12.3763 * CHOOSE(CONTROL!$C$32, $C$9, 100%, $E$9)</f>
        <v>12.376300000000001</v>
      </c>
      <c r="C831" s="80">
        <f>12.3763 * CHOOSE(CONTROL!$C$32, $C$9, 100%, $E$9)</f>
        <v>12.376300000000001</v>
      </c>
      <c r="D831" s="80">
        <f>12.3774 * CHOOSE(CONTROL!$C$32, $C$9, 100%, $E$9)</f>
        <v>12.3774</v>
      </c>
      <c r="E831" s="81">
        <f>13.5445 * CHOOSE(CONTROL!$C$32, $C$9, 100%, $E$9)</f>
        <v>13.544499999999999</v>
      </c>
      <c r="F831" s="81">
        <f>13.5445 * CHOOSE(CONTROL!$C$32, $C$9, 100%, $E$9)</f>
        <v>13.544499999999999</v>
      </c>
      <c r="G831" s="81">
        <f>13.5481 * CHOOSE(CONTROL!$C$32, $C$9, 100%, $E$9)</f>
        <v>13.5481</v>
      </c>
      <c r="H831" s="81">
        <f>28.6177 * CHOOSE(CONTROL!$C$32, $C$9, 100%, $E$9)</f>
        <v>28.617699999999999</v>
      </c>
      <c r="I831" s="81">
        <f>28.6213 * CHOOSE(CONTROL!$C$32, $C$9, 100%, $E$9)</f>
        <v>28.621300000000002</v>
      </c>
      <c r="J831" s="81">
        <f>28.6177 * CHOOSE(CONTROL!$C$32, $C$9, 100%, $E$9)</f>
        <v>28.617699999999999</v>
      </c>
      <c r="K831" s="81">
        <f>28.6213 * CHOOSE(CONTROL!$C$32, $C$9, 100%, $E$9)</f>
        <v>28.621300000000002</v>
      </c>
      <c r="L831" s="81">
        <f>13.5445 * CHOOSE(CONTROL!$C$32, $C$9, 100%, $E$9)</f>
        <v>13.544499999999999</v>
      </c>
      <c r="M831" s="81">
        <f>13.5481 * CHOOSE(CONTROL!$C$32, $C$9, 100%, $E$9)</f>
        <v>13.5481</v>
      </c>
      <c r="N831" s="81">
        <f>13.5445 * CHOOSE(CONTROL!$C$32, $C$9, 100%, $E$9)</f>
        <v>13.544499999999999</v>
      </c>
      <c r="O831" s="81">
        <f>13.5481 * CHOOSE(CONTROL!$C$32, $C$9, 100%, $E$9)</f>
        <v>13.5481</v>
      </c>
    </row>
    <row r="832" spans="1:15" ht="15" x14ac:dyDescent="0.2">
      <c r="A832" s="16">
        <v>66536</v>
      </c>
      <c r="B832" s="80">
        <f>12.3733 * CHOOSE(CONTROL!$C$32, $C$9, 100%, $E$9)</f>
        <v>12.3733</v>
      </c>
      <c r="C832" s="80">
        <f>12.3733 * CHOOSE(CONTROL!$C$32, $C$9, 100%, $E$9)</f>
        <v>12.3733</v>
      </c>
      <c r="D832" s="80">
        <f>12.3744 * CHOOSE(CONTROL!$C$32, $C$9, 100%, $E$9)</f>
        <v>12.3744</v>
      </c>
      <c r="E832" s="81">
        <f>13.8372 * CHOOSE(CONTROL!$C$32, $C$9, 100%, $E$9)</f>
        <v>13.837199999999999</v>
      </c>
      <c r="F832" s="81">
        <f>13.8372 * CHOOSE(CONTROL!$C$32, $C$9, 100%, $E$9)</f>
        <v>13.837199999999999</v>
      </c>
      <c r="G832" s="81">
        <f>13.8408 * CHOOSE(CONTROL!$C$32, $C$9, 100%, $E$9)</f>
        <v>13.8408</v>
      </c>
      <c r="H832" s="81">
        <f>28.6774 * CHOOSE(CONTROL!$C$32, $C$9, 100%, $E$9)</f>
        <v>28.677399999999999</v>
      </c>
      <c r="I832" s="81">
        <f>28.681 * CHOOSE(CONTROL!$C$32, $C$9, 100%, $E$9)</f>
        <v>28.681000000000001</v>
      </c>
      <c r="J832" s="81">
        <f>28.6774 * CHOOSE(CONTROL!$C$32, $C$9, 100%, $E$9)</f>
        <v>28.677399999999999</v>
      </c>
      <c r="K832" s="81">
        <f>28.681 * CHOOSE(CONTROL!$C$32, $C$9, 100%, $E$9)</f>
        <v>28.681000000000001</v>
      </c>
      <c r="L832" s="81">
        <f>13.8372 * CHOOSE(CONTROL!$C$32, $C$9, 100%, $E$9)</f>
        <v>13.837199999999999</v>
      </c>
      <c r="M832" s="81">
        <f>13.8408 * CHOOSE(CONTROL!$C$32, $C$9, 100%, $E$9)</f>
        <v>13.8408</v>
      </c>
      <c r="N832" s="81">
        <f>13.8372 * CHOOSE(CONTROL!$C$32, $C$9, 100%, $E$9)</f>
        <v>13.837199999999999</v>
      </c>
      <c r="O832" s="81">
        <f>13.8408 * CHOOSE(CONTROL!$C$32, $C$9, 100%, $E$9)</f>
        <v>13.8408</v>
      </c>
    </row>
    <row r="833" spans="1:15" ht="15" x14ac:dyDescent="0.2">
      <c r="A833" s="16">
        <v>66567</v>
      </c>
      <c r="B833" s="80">
        <f>12.3791 * CHOOSE(CONTROL!$C$32, $C$9, 100%, $E$9)</f>
        <v>12.379099999999999</v>
      </c>
      <c r="C833" s="80">
        <f>12.3791 * CHOOSE(CONTROL!$C$32, $C$9, 100%, $E$9)</f>
        <v>12.379099999999999</v>
      </c>
      <c r="D833" s="80">
        <f>12.3801 * CHOOSE(CONTROL!$C$32, $C$9, 100%, $E$9)</f>
        <v>12.380100000000001</v>
      </c>
      <c r="E833" s="81">
        <f>14.1495 * CHOOSE(CONTROL!$C$32, $C$9, 100%, $E$9)</f>
        <v>14.1495</v>
      </c>
      <c r="F833" s="81">
        <f>14.1495 * CHOOSE(CONTROL!$C$32, $C$9, 100%, $E$9)</f>
        <v>14.1495</v>
      </c>
      <c r="G833" s="81">
        <f>14.1532 * CHOOSE(CONTROL!$C$32, $C$9, 100%, $E$9)</f>
        <v>14.1532</v>
      </c>
      <c r="H833" s="81">
        <f>28.7371 * CHOOSE(CONTROL!$C$32, $C$9, 100%, $E$9)</f>
        <v>28.737100000000002</v>
      </c>
      <c r="I833" s="81">
        <f>28.7407 * CHOOSE(CONTROL!$C$32, $C$9, 100%, $E$9)</f>
        <v>28.7407</v>
      </c>
      <c r="J833" s="81">
        <f>28.7371 * CHOOSE(CONTROL!$C$32, $C$9, 100%, $E$9)</f>
        <v>28.737100000000002</v>
      </c>
      <c r="K833" s="81">
        <f>28.7407 * CHOOSE(CONTROL!$C$32, $C$9, 100%, $E$9)</f>
        <v>28.7407</v>
      </c>
      <c r="L833" s="81">
        <f>14.1495 * CHOOSE(CONTROL!$C$32, $C$9, 100%, $E$9)</f>
        <v>14.1495</v>
      </c>
      <c r="M833" s="81">
        <f>14.1532 * CHOOSE(CONTROL!$C$32, $C$9, 100%, $E$9)</f>
        <v>14.1532</v>
      </c>
      <c r="N833" s="81">
        <f>14.1495 * CHOOSE(CONTROL!$C$32, $C$9, 100%, $E$9)</f>
        <v>14.1495</v>
      </c>
      <c r="O833" s="81">
        <f>14.1532 * CHOOSE(CONTROL!$C$32, $C$9, 100%, $E$9)</f>
        <v>14.1532</v>
      </c>
    </row>
    <row r="834" spans="1:15" ht="15" x14ac:dyDescent="0.2">
      <c r="A834" s="16">
        <v>66597</v>
      </c>
      <c r="B834" s="80">
        <f>12.3791 * CHOOSE(CONTROL!$C$32, $C$9, 100%, $E$9)</f>
        <v>12.379099999999999</v>
      </c>
      <c r="C834" s="80">
        <f>12.3791 * CHOOSE(CONTROL!$C$32, $C$9, 100%, $E$9)</f>
        <v>12.379099999999999</v>
      </c>
      <c r="D834" s="80">
        <f>12.3806 * CHOOSE(CONTROL!$C$32, $C$9, 100%, $E$9)</f>
        <v>12.380599999999999</v>
      </c>
      <c r="E834" s="81">
        <f>14.2683 * CHOOSE(CONTROL!$C$32, $C$9, 100%, $E$9)</f>
        <v>14.2683</v>
      </c>
      <c r="F834" s="81">
        <f>14.2683 * CHOOSE(CONTROL!$C$32, $C$9, 100%, $E$9)</f>
        <v>14.2683</v>
      </c>
      <c r="G834" s="81">
        <f>14.2736 * CHOOSE(CONTROL!$C$32, $C$9, 100%, $E$9)</f>
        <v>14.2736</v>
      </c>
      <c r="H834" s="81">
        <f>28.797 * CHOOSE(CONTROL!$C$32, $C$9, 100%, $E$9)</f>
        <v>28.797000000000001</v>
      </c>
      <c r="I834" s="81">
        <f>28.8023 * CHOOSE(CONTROL!$C$32, $C$9, 100%, $E$9)</f>
        <v>28.802299999999999</v>
      </c>
      <c r="J834" s="81">
        <f>28.797 * CHOOSE(CONTROL!$C$32, $C$9, 100%, $E$9)</f>
        <v>28.797000000000001</v>
      </c>
      <c r="K834" s="81">
        <f>28.8023 * CHOOSE(CONTROL!$C$32, $C$9, 100%, $E$9)</f>
        <v>28.802299999999999</v>
      </c>
      <c r="L834" s="81">
        <f>14.2683 * CHOOSE(CONTROL!$C$32, $C$9, 100%, $E$9)</f>
        <v>14.2683</v>
      </c>
      <c r="M834" s="81">
        <f>14.2736 * CHOOSE(CONTROL!$C$32, $C$9, 100%, $E$9)</f>
        <v>14.2736</v>
      </c>
      <c r="N834" s="81">
        <f>14.2683 * CHOOSE(CONTROL!$C$32, $C$9, 100%, $E$9)</f>
        <v>14.2683</v>
      </c>
      <c r="O834" s="81">
        <f>14.2736 * CHOOSE(CONTROL!$C$32, $C$9, 100%, $E$9)</f>
        <v>14.2736</v>
      </c>
    </row>
    <row r="835" spans="1:15" ht="15" x14ac:dyDescent="0.2">
      <c r="A835" s="16">
        <v>66628</v>
      </c>
      <c r="B835" s="80">
        <f>12.3851 * CHOOSE(CONTROL!$C$32, $C$9, 100%, $E$9)</f>
        <v>12.3851</v>
      </c>
      <c r="C835" s="80">
        <f>12.3851 * CHOOSE(CONTROL!$C$32, $C$9, 100%, $E$9)</f>
        <v>12.3851</v>
      </c>
      <c r="D835" s="80">
        <f>12.3867 * CHOOSE(CONTROL!$C$32, $C$9, 100%, $E$9)</f>
        <v>12.386699999999999</v>
      </c>
      <c r="E835" s="81">
        <f>14.1538 * CHOOSE(CONTROL!$C$32, $C$9, 100%, $E$9)</f>
        <v>14.1538</v>
      </c>
      <c r="F835" s="81">
        <f>14.1538 * CHOOSE(CONTROL!$C$32, $C$9, 100%, $E$9)</f>
        <v>14.1538</v>
      </c>
      <c r="G835" s="81">
        <f>14.1591 * CHOOSE(CONTROL!$C$32, $C$9, 100%, $E$9)</f>
        <v>14.1591</v>
      </c>
      <c r="H835" s="81">
        <f>28.857 * CHOOSE(CONTROL!$C$32, $C$9, 100%, $E$9)</f>
        <v>28.856999999999999</v>
      </c>
      <c r="I835" s="81">
        <f>28.8623 * CHOOSE(CONTROL!$C$32, $C$9, 100%, $E$9)</f>
        <v>28.862300000000001</v>
      </c>
      <c r="J835" s="81">
        <f>28.857 * CHOOSE(CONTROL!$C$32, $C$9, 100%, $E$9)</f>
        <v>28.856999999999999</v>
      </c>
      <c r="K835" s="81">
        <f>28.8623 * CHOOSE(CONTROL!$C$32, $C$9, 100%, $E$9)</f>
        <v>28.862300000000001</v>
      </c>
      <c r="L835" s="81">
        <f>14.1538 * CHOOSE(CONTROL!$C$32, $C$9, 100%, $E$9)</f>
        <v>14.1538</v>
      </c>
      <c r="M835" s="81">
        <f>14.1591 * CHOOSE(CONTROL!$C$32, $C$9, 100%, $E$9)</f>
        <v>14.1591</v>
      </c>
      <c r="N835" s="81">
        <f>14.1538 * CHOOSE(CONTROL!$C$32, $C$9, 100%, $E$9)</f>
        <v>14.1538</v>
      </c>
      <c r="O835" s="81">
        <f>14.1591 * CHOOSE(CONTROL!$C$32, $C$9, 100%, $E$9)</f>
        <v>14.1591</v>
      </c>
    </row>
    <row r="836" spans="1:15" ht="15" x14ac:dyDescent="0.2">
      <c r="A836" s="16">
        <v>66658</v>
      </c>
      <c r="B836" s="80">
        <f>12.5357 * CHOOSE(CONTROL!$C$32, $C$9, 100%, $E$9)</f>
        <v>12.5357</v>
      </c>
      <c r="C836" s="80">
        <f>12.5357 * CHOOSE(CONTROL!$C$32, $C$9, 100%, $E$9)</f>
        <v>12.5357</v>
      </c>
      <c r="D836" s="80">
        <f>12.5373 * CHOOSE(CONTROL!$C$32, $C$9, 100%, $E$9)</f>
        <v>12.5373</v>
      </c>
      <c r="E836" s="81">
        <f>14.3539 * CHOOSE(CONTROL!$C$32, $C$9, 100%, $E$9)</f>
        <v>14.353899999999999</v>
      </c>
      <c r="F836" s="81">
        <f>14.3539 * CHOOSE(CONTROL!$C$32, $C$9, 100%, $E$9)</f>
        <v>14.353899999999999</v>
      </c>
      <c r="G836" s="81">
        <f>14.3591 * CHOOSE(CONTROL!$C$32, $C$9, 100%, $E$9)</f>
        <v>14.3591</v>
      </c>
      <c r="H836" s="81">
        <f>28.9171 * CHOOSE(CONTROL!$C$32, $C$9, 100%, $E$9)</f>
        <v>28.917100000000001</v>
      </c>
      <c r="I836" s="81">
        <f>28.9224 * CHOOSE(CONTROL!$C$32, $C$9, 100%, $E$9)</f>
        <v>28.9224</v>
      </c>
      <c r="J836" s="81">
        <f>28.9171 * CHOOSE(CONTROL!$C$32, $C$9, 100%, $E$9)</f>
        <v>28.917100000000001</v>
      </c>
      <c r="K836" s="81">
        <f>28.9224 * CHOOSE(CONTROL!$C$32, $C$9, 100%, $E$9)</f>
        <v>28.9224</v>
      </c>
      <c r="L836" s="81">
        <f>14.3539 * CHOOSE(CONTROL!$C$32, $C$9, 100%, $E$9)</f>
        <v>14.353899999999999</v>
      </c>
      <c r="M836" s="81">
        <f>14.3591 * CHOOSE(CONTROL!$C$32, $C$9, 100%, $E$9)</f>
        <v>14.3591</v>
      </c>
      <c r="N836" s="81">
        <f>14.3539 * CHOOSE(CONTROL!$C$32, $C$9, 100%, $E$9)</f>
        <v>14.353899999999999</v>
      </c>
      <c r="O836" s="81">
        <f>14.3591 * CHOOSE(CONTROL!$C$32, $C$9, 100%, $E$9)</f>
        <v>14.3591</v>
      </c>
    </row>
    <row r="837" spans="1:15" ht="15" x14ac:dyDescent="0.2">
      <c r="A837" s="16">
        <v>66689</v>
      </c>
      <c r="B837" s="80">
        <f>12.5424 * CHOOSE(CONTROL!$C$32, $C$9, 100%, $E$9)</f>
        <v>12.542400000000001</v>
      </c>
      <c r="C837" s="80">
        <f>12.5424 * CHOOSE(CONTROL!$C$32, $C$9, 100%, $E$9)</f>
        <v>12.542400000000001</v>
      </c>
      <c r="D837" s="80">
        <f>12.544 * CHOOSE(CONTROL!$C$32, $C$9, 100%, $E$9)</f>
        <v>12.544</v>
      </c>
      <c r="E837" s="81">
        <f>14.0024 * CHOOSE(CONTROL!$C$32, $C$9, 100%, $E$9)</f>
        <v>14.0024</v>
      </c>
      <c r="F837" s="81">
        <f>14.0024 * CHOOSE(CONTROL!$C$32, $C$9, 100%, $E$9)</f>
        <v>14.0024</v>
      </c>
      <c r="G837" s="81">
        <f>14.0076 * CHOOSE(CONTROL!$C$32, $C$9, 100%, $E$9)</f>
        <v>14.0076</v>
      </c>
      <c r="H837" s="81">
        <f>28.9773 * CHOOSE(CONTROL!$C$32, $C$9, 100%, $E$9)</f>
        <v>28.9773</v>
      </c>
      <c r="I837" s="81">
        <f>28.9826 * CHOOSE(CONTROL!$C$32, $C$9, 100%, $E$9)</f>
        <v>28.982600000000001</v>
      </c>
      <c r="J837" s="81">
        <f>28.9773 * CHOOSE(CONTROL!$C$32, $C$9, 100%, $E$9)</f>
        <v>28.9773</v>
      </c>
      <c r="K837" s="81">
        <f>28.9826 * CHOOSE(CONTROL!$C$32, $C$9, 100%, $E$9)</f>
        <v>28.982600000000001</v>
      </c>
      <c r="L837" s="81">
        <f>14.0024 * CHOOSE(CONTROL!$C$32, $C$9, 100%, $E$9)</f>
        <v>14.0024</v>
      </c>
      <c r="M837" s="81">
        <f>14.0076 * CHOOSE(CONTROL!$C$32, $C$9, 100%, $E$9)</f>
        <v>14.0076</v>
      </c>
      <c r="N837" s="81">
        <f>14.0024 * CHOOSE(CONTROL!$C$32, $C$9, 100%, $E$9)</f>
        <v>14.0024</v>
      </c>
      <c r="O837" s="81">
        <f>14.0076 * CHOOSE(CONTROL!$C$32, $C$9, 100%, $E$9)</f>
        <v>14.0076</v>
      </c>
    </row>
    <row r="838" spans="1:15" ht="15" x14ac:dyDescent="0.2">
      <c r="A838" s="16">
        <v>66720</v>
      </c>
      <c r="B838" s="80">
        <f>12.5393 * CHOOSE(CONTROL!$C$32, $C$9, 100%, $E$9)</f>
        <v>12.539300000000001</v>
      </c>
      <c r="C838" s="80">
        <f>12.5393 * CHOOSE(CONTROL!$C$32, $C$9, 100%, $E$9)</f>
        <v>12.539300000000001</v>
      </c>
      <c r="D838" s="80">
        <f>12.5409 * CHOOSE(CONTROL!$C$32, $C$9, 100%, $E$9)</f>
        <v>12.540900000000001</v>
      </c>
      <c r="E838" s="81">
        <f>13.9607 * CHOOSE(CONTROL!$C$32, $C$9, 100%, $E$9)</f>
        <v>13.960699999999999</v>
      </c>
      <c r="F838" s="81">
        <f>13.9607 * CHOOSE(CONTROL!$C$32, $C$9, 100%, $E$9)</f>
        <v>13.960699999999999</v>
      </c>
      <c r="G838" s="81">
        <f>13.966 * CHOOSE(CONTROL!$C$32, $C$9, 100%, $E$9)</f>
        <v>13.965999999999999</v>
      </c>
      <c r="H838" s="81">
        <f>29.0377 * CHOOSE(CONTROL!$C$32, $C$9, 100%, $E$9)</f>
        <v>29.037700000000001</v>
      </c>
      <c r="I838" s="81">
        <f>29.043 * CHOOSE(CONTROL!$C$32, $C$9, 100%, $E$9)</f>
        <v>29.042999999999999</v>
      </c>
      <c r="J838" s="81">
        <f>29.0377 * CHOOSE(CONTROL!$C$32, $C$9, 100%, $E$9)</f>
        <v>29.037700000000001</v>
      </c>
      <c r="K838" s="81">
        <f>29.043 * CHOOSE(CONTROL!$C$32, $C$9, 100%, $E$9)</f>
        <v>29.042999999999999</v>
      </c>
      <c r="L838" s="81">
        <f>13.9607 * CHOOSE(CONTROL!$C$32, $C$9, 100%, $E$9)</f>
        <v>13.960699999999999</v>
      </c>
      <c r="M838" s="81">
        <f>13.966 * CHOOSE(CONTROL!$C$32, $C$9, 100%, $E$9)</f>
        <v>13.965999999999999</v>
      </c>
      <c r="N838" s="81">
        <f>13.9607 * CHOOSE(CONTROL!$C$32, $C$9, 100%, $E$9)</f>
        <v>13.960699999999999</v>
      </c>
      <c r="O838" s="81">
        <f>13.966 * CHOOSE(CONTROL!$C$32, $C$9, 100%, $E$9)</f>
        <v>13.965999999999999</v>
      </c>
    </row>
    <row r="839" spans="1:15" ht="15" x14ac:dyDescent="0.2">
      <c r="A839" s="16">
        <v>66750</v>
      </c>
      <c r="B839" s="80">
        <f>12.5663 * CHOOSE(CONTROL!$C$32, $C$9, 100%, $E$9)</f>
        <v>12.5663</v>
      </c>
      <c r="C839" s="80">
        <f>12.5663 * CHOOSE(CONTROL!$C$32, $C$9, 100%, $E$9)</f>
        <v>12.5663</v>
      </c>
      <c r="D839" s="80">
        <f>12.5674 * CHOOSE(CONTROL!$C$32, $C$9, 100%, $E$9)</f>
        <v>12.567399999999999</v>
      </c>
      <c r="E839" s="81">
        <f>14.1055 * CHOOSE(CONTROL!$C$32, $C$9, 100%, $E$9)</f>
        <v>14.105499999999999</v>
      </c>
      <c r="F839" s="81">
        <f>14.1055 * CHOOSE(CONTROL!$C$32, $C$9, 100%, $E$9)</f>
        <v>14.105499999999999</v>
      </c>
      <c r="G839" s="81">
        <f>14.1092 * CHOOSE(CONTROL!$C$32, $C$9, 100%, $E$9)</f>
        <v>14.1092</v>
      </c>
      <c r="H839" s="81">
        <f>29.0982 * CHOOSE(CONTROL!$C$32, $C$9, 100%, $E$9)</f>
        <v>29.098199999999999</v>
      </c>
      <c r="I839" s="81">
        <f>29.1018 * CHOOSE(CONTROL!$C$32, $C$9, 100%, $E$9)</f>
        <v>29.101800000000001</v>
      </c>
      <c r="J839" s="81">
        <f>29.0982 * CHOOSE(CONTROL!$C$32, $C$9, 100%, $E$9)</f>
        <v>29.098199999999999</v>
      </c>
      <c r="K839" s="81">
        <f>29.1018 * CHOOSE(CONTROL!$C$32, $C$9, 100%, $E$9)</f>
        <v>29.101800000000001</v>
      </c>
      <c r="L839" s="81">
        <f>14.1055 * CHOOSE(CONTROL!$C$32, $C$9, 100%, $E$9)</f>
        <v>14.105499999999999</v>
      </c>
      <c r="M839" s="81">
        <f>14.1092 * CHOOSE(CONTROL!$C$32, $C$9, 100%, $E$9)</f>
        <v>14.1092</v>
      </c>
      <c r="N839" s="81">
        <f>14.1055 * CHOOSE(CONTROL!$C$32, $C$9, 100%, $E$9)</f>
        <v>14.105499999999999</v>
      </c>
      <c r="O839" s="81">
        <f>14.1092 * CHOOSE(CONTROL!$C$32, $C$9, 100%, $E$9)</f>
        <v>14.1092</v>
      </c>
    </row>
    <row r="840" spans="1:15" ht="15" x14ac:dyDescent="0.2">
      <c r="A840" s="16">
        <v>66781</v>
      </c>
      <c r="B840" s="80">
        <f>12.5694 * CHOOSE(CONTROL!$C$32, $C$9, 100%, $E$9)</f>
        <v>12.5694</v>
      </c>
      <c r="C840" s="80">
        <f>12.5694 * CHOOSE(CONTROL!$C$32, $C$9, 100%, $E$9)</f>
        <v>12.5694</v>
      </c>
      <c r="D840" s="80">
        <f>12.5704 * CHOOSE(CONTROL!$C$32, $C$9, 100%, $E$9)</f>
        <v>12.570399999999999</v>
      </c>
      <c r="E840" s="81">
        <f>14.1868 * CHOOSE(CONTROL!$C$32, $C$9, 100%, $E$9)</f>
        <v>14.1868</v>
      </c>
      <c r="F840" s="81">
        <f>14.1868 * CHOOSE(CONTROL!$C$32, $C$9, 100%, $E$9)</f>
        <v>14.1868</v>
      </c>
      <c r="G840" s="81">
        <f>14.1904 * CHOOSE(CONTROL!$C$32, $C$9, 100%, $E$9)</f>
        <v>14.1904</v>
      </c>
      <c r="H840" s="81">
        <f>29.1588 * CHOOSE(CONTROL!$C$32, $C$9, 100%, $E$9)</f>
        <v>29.158799999999999</v>
      </c>
      <c r="I840" s="81">
        <f>29.1624 * CHOOSE(CONTROL!$C$32, $C$9, 100%, $E$9)</f>
        <v>29.162400000000002</v>
      </c>
      <c r="J840" s="81">
        <f>29.1588 * CHOOSE(CONTROL!$C$32, $C$9, 100%, $E$9)</f>
        <v>29.158799999999999</v>
      </c>
      <c r="K840" s="81">
        <f>29.1624 * CHOOSE(CONTROL!$C$32, $C$9, 100%, $E$9)</f>
        <v>29.162400000000002</v>
      </c>
      <c r="L840" s="81">
        <f>14.1868 * CHOOSE(CONTROL!$C$32, $C$9, 100%, $E$9)</f>
        <v>14.1868</v>
      </c>
      <c r="M840" s="81">
        <f>14.1904 * CHOOSE(CONTROL!$C$32, $C$9, 100%, $E$9)</f>
        <v>14.1904</v>
      </c>
      <c r="N840" s="81">
        <f>14.1868 * CHOOSE(CONTROL!$C$32, $C$9, 100%, $E$9)</f>
        <v>14.1868</v>
      </c>
      <c r="O840" s="81">
        <f>14.1904 * CHOOSE(CONTROL!$C$32, $C$9, 100%, $E$9)</f>
        <v>14.1904</v>
      </c>
    </row>
    <row r="841" spans="1:15" ht="15" x14ac:dyDescent="0.2">
      <c r="A841" s="16">
        <v>66811</v>
      </c>
      <c r="B841" s="80">
        <f>12.5694 * CHOOSE(CONTROL!$C$32, $C$9, 100%, $E$9)</f>
        <v>12.5694</v>
      </c>
      <c r="C841" s="80">
        <f>12.5694 * CHOOSE(CONTROL!$C$32, $C$9, 100%, $E$9)</f>
        <v>12.5694</v>
      </c>
      <c r="D841" s="80">
        <f>12.5704 * CHOOSE(CONTROL!$C$32, $C$9, 100%, $E$9)</f>
        <v>12.570399999999999</v>
      </c>
      <c r="E841" s="81">
        <f>13.9889 * CHOOSE(CONTROL!$C$32, $C$9, 100%, $E$9)</f>
        <v>13.988899999999999</v>
      </c>
      <c r="F841" s="81">
        <f>13.9889 * CHOOSE(CONTROL!$C$32, $C$9, 100%, $E$9)</f>
        <v>13.988899999999999</v>
      </c>
      <c r="G841" s="81">
        <f>13.9926 * CHOOSE(CONTROL!$C$32, $C$9, 100%, $E$9)</f>
        <v>13.992599999999999</v>
      </c>
      <c r="H841" s="81">
        <f>29.2196 * CHOOSE(CONTROL!$C$32, $C$9, 100%, $E$9)</f>
        <v>29.2196</v>
      </c>
      <c r="I841" s="81">
        <f>29.2232 * CHOOSE(CONTROL!$C$32, $C$9, 100%, $E$9)</f>
        <v>29.223199999999999</v>
      </c>
      <c r="J841" s="81">
        <f>29.2196 * CHOOSE(CONTROL!$C$32, $C$9, 100%, $E$9)</f>
        <v>29.2196</v>
      </c>
      <c r="K841" s="81">
        <f>29.2232 * CHOOSE(CONTROL!$C$32, $C$9, 100%, $E$9)</f>
        <v>29.223199999999999</v>
      </c>
      <c r="L841" s="81">
        <f>13.9889 * CHOOSE(CONTROL!$C$32, $C$9, 100%, $E$9)</f>
        <v>13.988899999999999</v>
      </c>
      <c r="M841" s="81">
        <f>13.9926 * CHOOSE(CONTROL!$C$32, $C$9, 100%, $E$9)</f>
        <v>13.992599999999999</v>
      </c>
      <c r="N841" s="81">
        <f>13.9889 * CHOOSE(CONTROL!$C$32, $C$9, 100%, $E$9)</f>
        <v>13.988899999999999</v>
      </c>
      <c r="O841" s="81">
        <f>13.9926 * CHOOSE(CONTROL!$C$32, $C$9, 100%, $E$9)</f>
        <v>13.992599999999999</v>
      </c>
    </row>
    <row r="842" spans="1:15" ht="15" x14ac:dyDescent="0.2">
      <c r="A842" s="16">
        <v>66842</v>
      </c>
      <c r="B842" s="80">
        <f>12.5667 * CHOOSE(CONTROL!$C$32, $C$9, 100%, $E$9)</f>
        <v>12.566700000000001</v>
      </c>
      <c r="C842" s="80">
        <f>12.5667 * CHOOSE(CONTROL!$C$32, $C$9, 100%, $E$9)</f>
        <v>12.566700000000001</v>
      </c>
      <c r="D842" s="80">
        <f>12.5678 * CHOOSE(CONTROL!$C$32, $C$9, 100%, $E$9)</f>
        <v>12.5678</v>
      </c>
      <c r="E842" s="81">
        <f>14.1331 * CHOOSE(CONTROL!$C$32, $C$9, 100%, $E$9)</f>
        <v>14.133100000000001</v>
      </c>
      <c r="F842" s="81">
        <f>14.1331 * CHOOSE(CONTROL!$C$32, $C$9, 100%, $E$9)</f>
        <v>14.133100000000001</v>
      </c>
      <c r="G842" s="81">
        <f>14.1367 * CHOOSE(CONTROL!$C$32, $C$9, 100%, $E$9)</f>
        <v>14.136699999999999</v>
      </c>
      <c r="H842" s="81">
        <f>29.0223 * CHOOSE(CONTROL!$C$32, $C$9, 100%, $E$9)</f>
        <v>29.022300000000001</v>
      </c>
      <c r="I842" s="81">
        <f>29.0259 * CHOOSE(CONTROL!$C$32, $C$9, 100%, $E$9)</f>
        <v>29.0259</v>
      </c>
      <c r="J842" s="81">
        <f>29.0223 * CHOOSE(CONTROL!$C$32, $C$9, 100%, $E$9)</f>
        <v>29.022300000000001</v>
      </c>
      <c r="K842" s="81">
        <f>29.0259 * CHOOSE(CONTROL!$C$32, $C$9, 100%, $E$9)</f>
        <v>29.0259</v>
      </c>
      <c r="L842" s="81">
        <f>14.1331 * CHOOSE(CONTROL!$C$32, $C$9, 100%, $E$9)</f>
        <v>14.133100000000001</v>
      </c>
      <c r="M842" s="81">
        <f>14.1367 * CHOOSE(CONTROL!$C$32, $C$9, 100%, $E$9)</f>
        <v>14.136699999999999</v>
      </c>
      <c r="N842" s="81">
        <f>14.1331 * CHOOSE(CONTROL!$C$32, $C$9, 100%, $E$9)</f>
        <v>14.133100000000001</v>
      </c>
      <c r="O842" s="81">
        <f>14.1367 * CHOOSE(CONTROL!$C$32, $C$9, 100%, $E$9)</f>
        <v>14.136699999999999</v>
      </c>
    </row>
    <row r="843" spans="1:15" ht="15" x14ac:dyDescent="0.2">
      <c r="A843" s="16">
        <v>66873</v>
      </c>
      <c r="B843" s="80">
        <f>12.5637 * CHOOSE(CONTROL!$C$32, $C$9, 100%, $E$9)</f>
        <v>12.563700000000001</v>
      </c>
      <c r="C843" s="80">
        <f>12.5637 * CHOOSE(CONTROL!$C$32, $C$9, 100%, $E$9)</f>
        <v>12.563700000000001</v>
      </c>
      <c r="D843" s="80">
        <f>12.5648 * CHOOSE(CONTROL!$C$32, $C$9, 100%, $E$9)</f>
        <v>12.5648</v>
      </c>
      <c r="E843" s="81">
        <f>13.7499 * CHOOSE(CONTROL!$C$32, $C$9, 100%, $E$9)</f>
        <v>13.7499</v>
      </c>
      <c r="F843" s="81">
        <f>13.7499 * CHOOSE(CONTROL!$C$32, $C$9, 100%, $E$9)</f>
        <v>13.7499</v>
      </c>
      <c r="G843" s="81">
        <f>13.7535 * CHOOSE(CONTROL!$C$32, $C$9, 100%, $E$9)</f>
        <v>13.753500000000001</v>
      </c>
      <c r="H843" s="81">
        <f>29.0827 * CHOOSE(CONTROL!$C$32, $C$9, 100%, $E$9)</f>
        <v>29.082699999999999</v>
      </c>
      <c r="I843" s="81">
        <f>29.0863 * CHOOSE(CONTROL!$C$32, $C$9, 100%, $E$9)</f>
        <v>29.086300000000001</v>
      </c>
      <c r="J843" s="81">
        <f>29.0827 * CHOOSE(CONTROL!$C$32, $C$9, 100%, $E$9)</f>
        <v>29.082699999999999</v>
      </c>
      <c r="K843" s="81">
        <f>29.0863 * CHOOSE(CONTROL!$C$32, $C$9, 100%, $E$9)</f>
        <v>29.086300000000001</v>
      </c>
      <c r="L843" s="81">
        <f>13.7499 * CHOOSE(CONTROL!$C$32, $C$9, 100%, $E$9)</f>
        <v>13.7499</v>
      </c>
      <c r="M843" s="81">
        <f>13.7535 * CHOOSE(CONTROL!$C$32, $C$9, 100%, $E$9)</f>
        <v>13.753500000000001</v>
      </c>
      <c r="N843" s="81">
        <f>13.7499 * CHOOSE(CONTROL!$C$32, $C$9, 100%, $E$9)</f>
        <v>13.7499</v>
      </c>
      <c r="O843" s="81">
        <f>13.7535 * CHOOSE(CONTROL!$C$32, $C$9, 100%, $E$9)</f>
        <v>13.753500000000001</v>
      </c>
    </row>
    <row r="844" spans="1:15" ht="15" x14ac:dyDescent="0.2">
      <c r="A844" s="16">
        <v>66901</v>
      </c>
      <c r="B844" s="80">
        <f>12.5606 * CHOOSE(CONTROL!$C$32, $C$9, 100%, $E$9)</f>
        <v>12.560600000000001</v>
      </c>
      <c r="C844" s="80">
        <f>12.5606 * CHOOSE(CONTROL!$C$32, $C$9, 100%, $E$9)</f>
        <v>12.560600000000001</v>
      </c>
      <c r="D844" s="80">
        <f>12.5617 * CHOOSE(CONTROL!$C$32, $C$9, 100%, $E$9)</f>
        <v>12.5617</v>
      </c>
      <c r="E844" s="81">
        <f>14.0482 * CHOOSE(CONTROL!$C$32, $C$9, 100%, $E$9)</f>
        <v>14.0482</v>
      </c>
      <c r="F844" s="81">
        <f>14.0482 * CHOOSE(CONTROL!$C$32, $C$9, 100%, $E$9)</f>
        <v>14.0482</v>
      </c>
      <c r="G844" s="81">
        <f>14.0518 * CHOOSE(CONTROL!$C$32, $C$9, 100%, $E$9)</f>
        <v>14.0518</v>
      </c>
      <c r="H844" s="81">
        <f>29.1433 * CHOOSE(CONTROL!$C$32, $C$9, 100%, $E$9)</f>
        <v>29.1433</v>
      </c>
      <c r="I844" s="81">
        <f>29.1469 * CHOOSE(CONTROL!$C$32, $C$9, 100%, $E$9)</f>
        <v>29.146899999999999</v>
      </c>
      <c r="J844" s="81">
        <f>29.1433 * CHOOSE(CONTROL!$C$32, $C$9, 100%, $E$9)</f>
        <v>29.1433</v>
      </c>
      <c r="K844" s="81">
        <f>29.1469 * CHOOSE(CONTROL!$C$32, $C$9, 100%, $E$9)</f>
        <v>29.146899999999999</v>
      </c>
      <c r="L844" s="81">
        <f>14.0482 * CHOOSE(CONTROL!$C$32, $C$9, 100%, $E$9)</f>
        <v>14.0482</v>
      </c>
      <c r="M844" s="81">
        <f>14.0518 * CHOOSE(CONTROL!$C$32, $C$9, 100%, $E$9)</f>
        <v>14.0518</v>
      </c>
      <c r="N844" s="81">
        <f>14.0482 * CHOOSE(CONTROL!$C$32, $C$9, 100%, $E$9)</f>
        <v>14.0482</v>
      </c>
      <c r="O844" s="81">
        <f>14.0518 * CHOOSE(CONTROL!$C$32, $C$9, 100%, $E$9)</f>
        <v>14.0518</v>
      </c>
    </row>
    <row r="845" spans="1:15" ht="15" x14ac:dyDescent="0.2">
      <c r="A845" s="16">
        <v>66932</v>
      </c>
      <c r="B845" s="80">
        <f>12.5666 * CHOOSE(CONTROL!$C$32, $C$9, 100%, $E$9)</f>
        <v>12.566599999999999</v>
      </c>
      <c r="C845" s="80">
        <f>12.5666 * CHOOSE(CONTROL!$C$32, $C$9, 100%, $E$9)</f>
        <v>12.566599999999999</v>
      </c>
      <c r="D845" s="80">
        <f>12.5677 * CHOOSE(CONTROL!$C$32, $C$9, 100%, $E$9)</f>
        <v>12.5677</v>
      </c>
      <c r="E845" s="81">
        <f>14.3665 * CHOOSE(CONTROL!$C$32, $C$9, 100%, $E$9)</f>
        <v>14.3665</v>
      </c>
      <c r="F845" s="81">
        <f>14.3665 * CHOOSE(CONTROL!$C$32, $C$9, 100%, $E$9)</f>
        <v>14.3665</v>
      </c>
      <c r="G845" s="81">
        <f>14.3702 * CHOOSE(CONTROL!$C$32, $C$9, 100%, $E$9)</f>
        <v>14.370200000000001</v>
      </c>
      <c r="H845" s="81">
        <f>29.204 * CHOOSE(CONTROL!$C$32, $C$9, 100%, $E$9)</f>
        <v>29.204000000000001</v>
      </c>
      <c r="I845" s="81">
        <f>29.2077 * CHOOSE(CONTROL!$C$32, $C$9, 100%, $E$9)</f>
        <v>29.207699999999999</v>
      </c>
      <c r="J845" s="81">
        <f>29.204 * CHOOSE(CONTROL!$C$32, $C$9, 100%, $E$9)</f>
        <v>29.204000000000001</v>
      </c>
      <c r="K845" s="81">
        <f>29.2077 * CHOOSE(CONTROL!$C$32, $C$9, 100%, $E$9)</f>
        <v>29.207699999999999</v>
      </c>
      <c r="L845" s="81">
        <f>14.3665 * CHOOSE(CONTROL!$C$32, $C$9, 100%, $E$9)</f>
        <v>14.3665</v>
      </c>
      <c r="M845" s="81">
        <f>14.3702 * CHOOSE(CONTROL!$C$32, $C$9, 100%, $E$9)</f>
        <v>14.370200000000001</v>
      </c>
      <c r="N845" s="81">
        <f>14.3665 * CHOOSE(CONTROL!$C$32, $C$9, 100%, $E$9)</f>
        <v>14.3665</v>
      </c>
      <c r="O845" s="81">
        <f>14.3702 * CHOOSE(CONTROL!$C$32, $C$9, 100%, $E$9)</f>
        <v>14.370200000000001</v>
      </c>
    </row>
    <row r="846" spans="1:15" ht="15" x14ac:dyDescent="0.2">
      <c r="A846" s="16">
        <v>66962</v>
      </c>
      <c r="B846" s="80">
        <f>12.5666 * CHOOSE(CONTROL!$C$32, $C$9, 100%, $E$9)</f>
        <v>12.566599999999999</v>
      </c>
      <c r="C846" s="80">
        <f>12.5666 * CHOOSE(CONTROL!$C$32, $C$9, 100%, $E$9)</f>
        <v>12.566599999999999</v>
      </c>
      <c r="D846" s="80">
        <f>12.5682 * CHOOSE(CONTROL!$C$32, $C$9, 100%, $E$9)</f>
        <v>12.568199999999999</v>
      </c>
      <c r="E846" s="81">
        <f>14.4875 * CHOOSE(CONTROL!$C$32, $C$9, 100%, $E$9)</f>
        <v>14.487500000000001</v>
      </c>
      <c r="F846" s="81">
        <f>14.4875 * CHOOSE(CONTROL!$C$32, $C$9, 100%, $E$9)</f>
        <v>14.487500000000001</v>
      </c>
      <c r="G846" s="81">
        <f>14.4928 * CHOOSE(CONTROL!$C$32, $C$9, 100%, $E$9)</f>
        <v>14.492800000000001</v>
      </c>
      <c r="H846" s="81">
        <f>29.2649 * CHOOSE(CONTROL!$C$32, $C$9, 100%, $E$9)</f>
        <v>29.264900000000001</v>
      </c>
      <c r="I846" s="81">
        <f>29.2702 * CHOOSE(CONTROL!$C$32, $C$9, 100%, $E$9)</f>
        <v>29.270199999999999</v>
      </c>
      <c r="J846" s="81">
        <f>29.2649 * CHOOSE(CONTROL!$C$32, $C$9, 100%, $E$9)</f>
        <v>29.264900000000001</v>
      </c>
      <c r="K846" s="81">
        <f>29.2702 * CHOOSE(CONTROL!$C$32, $C$9, 100%, $E$9)</f>
        <v>29.270199999999999</v>
      </c>
      <c r="L846" s="81">
        <f>14.4875 * CHOOSE(CONTROL!$C$32, $C$9, 100%, $E$9)</f>
        <v>14.487500000000001</v>
      </c>
      <c r="M846" s="81">
        <f>14.4928 * CHOOSE(CONTROL!$C$32, $C$9, 100%, $E$9)</f>
        <v>14.492800000000001</v>
      </c>
      <c r="N846" s="81">
        <f>14.4875 * CHOOSE(CONTROL!$C$32, $C$9, 100%, $E$9)</f>
        <v>14.487500000000001</v>
      </c>
      <c r="O846" s="81">
        <f>14.4928 * CHOOSE(CONTROL!$C$32, $C$9, 100%, $E$9)</f>
        <v>14.492800000000001</v>
      </c>
    </row>
    <row r="847" spans="1:15" ht="15" x14ac:dyDescent="0.2">
      <c r="A847" s="16">
        <v>66993</v>
      </c>
      <c r="B847" s="80">
        <f>12.5727 * CHOOSE(CONTROL!$C$32, $C$9, 100%, $E$9)</f>
        <v>12.572699999999999</v>
      </c>
      <c r="C847" s="80">
        <f>12.5727 * CHOOSE(CONTROL!$C$32, $C$9, 100%, $E$9)</f>
        <v>12.572699999999999</v>
      </c>
      <c r="D847" s="80">
        <f>12.5743 * CHOOSE(CONTROL!$C$32, $C$9, 100%, $E$9)</f>
        <v>12.574299999999999</v>
      </c>
      <c r="E847" s="81">
        <f>14.3708 * CHOOSE(CONTROL!$C$32, $C$9, 100%, $E$9)</f>
        <v>14.370799999999999</v>
      </c>
      <c r="F847" s="81">
        <f>14.3708 * CHOOSE(CONTROL!$C$32, $C$9, 100%, $E$9)</f>
        <v>14.370799999999999</v>
      </c>
      <c r="G847" s="81">
        <f>14.3761 * CHOOSE(CONTROL!$C$32, $C$9, 100%, $E$9)</f>
        <v>14.376099999999999</v>
      </c>
      <c r="H847" s="81">
        <f>29.3258 * CHOOSE(CONTROL!$C$32, $C$9, 100%, $E$9)</f>
        <v>29.325800000000001</v>
      </c>
      <c r="I847" s="81">
        <f>29.3311 * CHOOSE(CONTROL!$C$32, $C$9, 100%, $E$9)</f>
        <v>29.331099999999999</v>
      </c>
      <c r="J847" s="81">
        <f>29.3258 * CHOOSE(CONTROL!$C$32, $C$9, 100%, $E$9)</f>
        <v>29.325800000000001</v>
      </c>
      <c r="K847" s="81">
        <f>29.3311 * CHOOSE(CONTROL!$C$32, $C$9, 100%, $E$9)</f>
        <v>29.331099999999999</v>
      </c>
      <c r="L847" s="81">
        <f>14.3708 * CHOOSE(CONTROL!$C$32, $C$9, 100%, $E$9)</f>
        <v>14.370799999999999</v>
      </c>
      <c r="M847" s="81">
        <f>14.3761 * CHOOSE(CONTROL!$C$32, $C$9, 100%, $E$9)</f>
        <v>14.376099999999999</v>
      </c>
      <c r="N847" s="81">
        <f>14.3708 * CHOOSE(CONTROL!$C$32, $C$9, 100%, $E$9)</f>
        <v>14.370799999999999</v>
      </c>
      <c r="O847" s="81">
        <f>14.3761 * CHOOSE(CONTROL!$C$32, $C$9, 100%, $E$9)</f>
        <v>14.376099999999999</v>
      </c>
    </row>
    <row r="848" spans="1:15" ht="15" x14ac:dyDescent="0.2">
      <c r="A848" s="16">
        <v>67023</v>
      </c>
      <c r="B848" s="80">
        <f>12.7253 * CHOOSE(CONTROL!$C$32, $C$9, 100%, $E$9)</f>
        <v>12.725300000000001</v>
      </c>
      <c r="C848" s="80">
        <f>12.7253 * CHOOSE(CONTROL!$C$32, $C$9, 100%, $E$9)</f>
        <v>12.725300000000001</v>
      </c>
      <c r="D848" s="80">
        <f>12.7269 * CHOOSE(CONTROL!$C$32, $C$9, 100%, $E$9)</f>
        <v>12.726900000000001</v>
      </c>
      <c r="E848" s="81">
        <f>14.574 * CHOOSE(CONTROL!$C$32, $C$9, 100%, $E$9)</f>
        <v>14.574</v>
      </c>
      <c r="F848" s="81">
        <f>14.574 * CHOOSE(CONTROL!$C$32, $C$9, 100%, $E$9)</f>
        <v>14.574</v>
      </c>
      <c r="G848" s="81">
        <f>14.5793 * CHOOSE(CONTROL!$C$32, $C$9, 100%, $E$9)</f>
        <v>14.5793</v>
      </c>
      <c r="H848" s="81">
        <f>29.3869 * CHOOSE(CONTROL!$C$32, $C$9, 100%, $E$9)</f>
        <v>29.386900000000001</v>
      </c>
      <c r="I848" s="81">
        <f>29.3922 * CHOOSE(CONTROL!$C$32, $C$9, 100%, $E$9)</f>
        <v>29.392199999999999</v>
      </c>
      <c r="J848" s="81">
        <f>29.3869 * CHOOSE(CONTROL!$C$32, $C$9, 100%, $E$9)</f>
        <v>29.386900000000001</v>
      </c>
      <c r="K848" s="81">
        <f>29.3922 * CHOOSE(CONTROL!$C$32, $C$9, 100%, $E$9)</f>
        <v>29.392199999999999</v>
      </c>
      <c r="L848" s="81">
        <f>14.574 * CHOOSE(CONTROL!$C$32, $C$9, 100%, $E$9)</f>
        <v>14.574</v>
      </c>
      <c r="M848" s="81">
        <f>14.5793 * CHOOSE(CONTROL!$C$32, $C$9, 100%, $E$9)</f>
        <v>14.5793</v>
      </c>
      <c r="N848" s="81">
        <f>14.574 * CHOOSE(CONTROL!$C$32, $C$9, 100%, $E$9)</f>
        <v>14.574</v>
      </c>
      <c r="O848" s="81">
        <f>14.5793 * CHOOSE(CONTROL!$C$32, $C$9, 100%, $E$9)</f>
        <v>14.5793</v>
      </c>
    </row>
    <row r="849" spans="1:15" ht="15" x14ac:dyDescent="0.2">
      <c r="A849" s="16">
        <v>67054</v>
      </c>
      <c r="B849" s="80">
        <f>12.732 * CHOOSE(CONTROL!$C$32, $C$9, 100%, $E$9)</f>
        <v>12.731999999999999</v>
      </c>
      <c r="C849" s="80">
        <f>12.732 * CHOOSE(CONTROL!$C$32, $C$9, 100%, $E$9)</f>
        <v>12.731999999999999</v>
      </c>
      <c r="D849" s="80">
        <f>12.7336 * CHOOSE(CONTROL!$C$32, $C$9, 100%, $E$9)</f>
        <v>12.733599999999999</v>
      </c>
      <c r="E849" s="81">
        <f>14.2158 * CHOOSE(CONTROL!$C$32, $C$9, 100%, $E$9)</f>
        <v>14.2158</v>
      </c>
      <c r="F849" s="81">
        <f>14.2158 * CHOOSE(CONTROL!$C$32, $C$9, 100%, $E$9)</f>
        <v>14.2158</v>
      </c>
      <c r="G849" s="81">
        <f>14.2211 * CHOOSE(CONTROL!$C$32, $C$9, 100%, $E$9)</f>
        <v>14.2211</v>
      </c>
      <c r="H849" s="81">
        <f>29.4482 * CHOOSE(CONTROL!$C$32, $C$9, 100%, $E$9)</f>
        <v>29.4482</v>
      </c>
      <c r="I849" s="81">
        <f>29.4535 * CHOOSE(CONTROL!$C$32, $C$9, 100%, $E$9)</f>
        <v>29.453499999999998</v>
      </c>
      <c r="J849" s="81">
        <f>29.4482 * CHOOSE(CONTROL!$C$32, $C$9, 100%, $E$9)</f>
        <v>29.4482</v>
      </c>
      <c r="K849" s="81">
        <f>29.4535 * CHOOSE(CONTROL!$C$32, $C$9, 100%, $E$9)</f>
        <v>29.453499999999998</v>
      </c>
      <c r="L849" s="81">
        <f>14.2158 * CHOOSE(CONTROL!$C$32, $C$9, 100%, $E$9)</f>
        <v>14.2158</v>
      </c>
      <c r="M849" s="81">
        <f>14.2211 * CHOOSE(CONTROL!$C$32, $C$9, 100%, $E$9)</f>
        <v>14.2211</v>
      </c>
      <c r="N849" s="81">
        <f>14.2158 * CHOOSE(CONTROL!$C$32, $C$9, 100%, $E$9)</f>
        <v>14.2158</v>
      </c>
      <c r="O849" s="81">
        <f>14.2211 * CHOOSE(CONTROL!$C$32, $C$9, 100%, $E$9)</f>
        <v>14.2211</v>
      </c>
    </row>
    <row r="850" spans="1:15" ht="15" x14ac:dyDescent="0.2">
      <c r="A850" s="16">
        <v>67085</v>
      </c>
      <c r="B850" s="80">
        <f>12.7289 * CHOOSE(CONTROL!$C$32, $C$9, 100%, $E$9)</f>
        <v>12.728899999999999</v>
      </c>
      <c r="C850" s="80">
        <f>12.7289 * CHOOSE(CONTROL!$C$32, $C$9, 100%, $E$9)</f>
        <v>12.728899999999999</v>
      </c>
      <c r="D850" s="80">
        <f>12.7305 * CHOOSE(CONTROL!$C$32, $C$9, 100%, $E$9)</f>
        <v>12.730499999999999</v>
      </c>
      <c r="E850" s="81">
        <f>14.1733 * CHOOSE(CONTROL!$C$32, $C$9, 100%, $E$9)</f>
        <v>14.173299999999999</v>
      </c>
      <c r="F850" s="81">
        <f>14.1733 * CHOOSE(CONTROL!$C$32, $C$9, 100%, $E$9)</f>
        <v>14.173299999999999</v>
      </c>
      <c r="G850" s="81">
        <f>14.1786 * CHOOSE(CONTROL!$C$32, $C$9, 100%, $E$9)</f>
        <v>14.178599999999999</v>
      </c>
      <c r="H850" s="81">
        <f>29.5095 * CHOOSE(CONTROL!$C$32, $C$9, 100%, $E$9)</f>
        <v>29.509499999999999</v>
      </c>
      <c r="I850" s="81">
        <f>29.5148 * CHOOSE(CONTROL!$C$32, $C$9, 100%, $E$9)</f>
        <v>29.514800000000001</v>
      </c>
      <c r="J850" s="81">
        <f>29.5095 * CHOOSE(CONTROL!$C$32, $C$9, 100%, $E$9)</f>
        <v>29.509499999999999</v>
      </c>
      <c r="K850" s="81">
        <f>29.5148 * CHOOSE(CONTROL!$C$32, $C$9, 100%, $E$9)</f>
        <v>29.514800000000001</v>
      </c>
      <c r="L850" s="81">
        <f>14.1733 * CHOOSE(CONTROL!$C$32, $C$9, 100%, $E$9)</f>
        <v>14.173299999999999</v>
      </c>
      <c r="M850" s="81">
        <f>14.1786 * CHOOSE(CONTROL!$C$32, $C$9, 100%, $E$9)</f>
        <v>14.178599999999999</v>
      </c>
      <c r="N850" s="81">
        <f>14.1733 * CHOOSE(CONTROL!$C$32, $C$9, 100%, $E$9)</f>
        <v>14.173299999999999</v>
      </c>
      <c r="O850" s="81">
        <f>14.1786 * CHOOSE(CONTROL!$C$32, $C$9, 100%, $E$9)</f>
        <v>14.178599999999999</v>
      </c>
    </row>
    <row r="851" spans="1:15" ht="15" x14ac:dyDescent="0.2">
      <c r="A851" s="16">
        <v>67115</v>
      </c>
      <c r="B851" s="80">
        <f>12.7566 * CHOOSE(CONTROL!$C$32, $C$9, 100%, $E$9)</f>
        <v>12.756600000000001</v>
      </c>
      <c r="C851" s="80">
        <f>12.7566 * CHOOSE(CONTROL!$C$32, $C$9, 100%, $E$9)</f>
        <v>12.756600000000001</v>
      </c>
      <c r="D851" s="80">
        <f>12.7577 * CHOOSE(CONTROL!$C$32, $C$9, 100%, $E$9)</f>
        <v>12.7577</v>
      </c>
      <c r="E851" s="81">
        <f>14.3212 * CHOOSE(CONTROL!$C$32, $C$9, 100%, $E$9)</f>
        <v>14.321199999999999</v>
      </c>
      <c r="F851" s="81">
        <f>14.3212 * CHOOSE(CONTROL!$C$32, $C$9, 100%, $E$9)</f>
        <v>14.321199999999999</v>
      </c>
      <c r="G851" s="81">
        <f>14.3248 * CHOOSE(CONTROL!$C$32, $C$9, 100%, $E$9)</f>
        <v>14.3248</v>
      </c>
      <c r="H851" s="81">
        <f>29.571 * CHOOSE(CONTROL!$C$32, $C$9, 100%, $E$9)</f>
        <v>29.571000000000002</v>
      </c>
      <c r="I851" s="81">
        <f>29.5746 * CHOOSE(CONTROL!$C$32, $C$9, 100%, $E$9)</f>
        <v>29.5746</v>
      </c>
      <c r="J851" s="81">
        <f>29.571 * CHOOSE(CONTROL!$C$32, $C$9, 100%, $E$9)</f>
        <v>29.571000000000002</v>
      </c>
      <c r="K851" s="81">
        <f>29.5746 * CHOOSE(CONTROL!$C$32, $C$9, 100%, $E$9)</f>
        <v>29.5746</v>
      </c>
      <c r="L851" s="81">
        <f>14.3212 * CHOOSE(CONTROL!$C$32, $C$9, 100%, $E$9)</f>
        <v>14.321199999999999</v>
      </c>
      <c r="M851" s="81">
        <f>14.3248 * CHOOSE(CONTROL!$C$32, $C$9, 100%, $E$9)</f>
        <v>14.3248</v>
      </c>
      <c r="N851" s="81">
        <f>14.3212 * CHOOSE(CONTROL!$C$32, $C$9, 100%, $E$9)</f>
        <v>14.321199999999999</v>
      </c>
      <c r="O851" s="81">
        <f>14.3248 * CHOOSE(CONTROL!$C$32, $C$9, 100%, $E$9)</f>
        <v>14.3248</v>
      </c>
    </row>
    <row r="852" spans="1:15" ht="15" x14ac:dyDescent="0.2">
      <c r="A852" s="16">
        <v>67146</v>
      </c>
      <c r="B852" s="80">
        <f>12.7597 * CHOOSE(CONTROL!$C$32, $C$9, 100%, $E$9)</f>
        <v>12.7597</v>
      </c>
      <c r="C852" s="80">
        <f>12.7597 * CHOOSE(CONTROL!$C$32, $C$9, 100%, $E$9)</f>
        <v>12.7597</v>
      </c>
      <c r="D852" s="80">
        <f>12.7607 * CHOOSE(CONTROL!$C$32, $C$9, 100%, $E$9)</f>
        <v>12.7607</v>
      </c>
      <c r="E852" s="81">
        <f>14.404 * CHOOSE(CONTROL!$C$32, $C$9, 100%, $E$9)</f>
        <v>14.404</v>
      </c>
      <c r="F852" s="81">
        <f>14.404 * CHOOSE(CONTROL!$C$32, $C$9, 100%, $E$9)</f>
        <v>14.404</v>
      </c>
      <c r="G852" s="81">
        <f>14.4076 * CHOOSE(CONTROL!$C$32, $C$9, 100%, $E$9)</f>
        <v>14.4076</v>
      </c>
      <c r="H852" s="81">
        <f>29.6326 * CHOOSE(CONTROL!$C$32, $C$9, 100%, $E$9)</f>
        <v>29.6326</v>
      </c>
      <c r="I852" s="81">
        <f>29.6362 * CHOOSE(CONTROL!$C$32, $C$9, 100%, $E$9)</f>
        <v>29.636199999999999</v>
      </c>
      <c r="J852" s="81">
        <f>29.6326 * CHOOSE(CONTROL!$C$32, $C$9, 100%, $E$9)</f>
        <v>29.6326</v>
      </c>
      <c r="K852" s="81">
        <f>29.6362 * CHOOSE(CONTROL!$C$32, $C$9, 100%, $E$9)</f>
        <v>29.636199999999999</v>
      </c>
      <c r="L852" s="81">
        <f>14.404 * CHOOSE(CONTROL!$C$32, $C$9, 100%, $E$9)</f>
        <v>14.404</v>
      </c>
      <c r="M852" s="81">
        <f>14.4076 * CHOOSE(CONTROL!$C$32, $C$9, 100%, $E$9)</f>
        <v>14.4076</v>
      </c>
      <c r="N852" s="81">
        <f>14.404 * CHOOSE(CONTROL!$C$32, $C$9, 100%, $E$9)</f>
        <v>14.404</v>
      </c>
      <c r="O852" s="81">
        <f>14.4076 * CHOOSE(CONTROL!$C$32, $C$9, 100%, $E$9)</f>
        <v>14.4076</v>
      </c>
    </row>
    <row r="853" spans="1:15" ht="15" x14ac:dyDescent="0.2">
      <c r="A853" s="16">
        <v>67176</v>
      </c>
      <c r="B853" s="80">
        <f>12.7597 * CHOOSE(CONTROL!$C$32, $C$9, 100%, $E$9)</f>
        <v>12.7597</v>
      </c>
      <c r="C853" s="80">
        <f>12.7597 * CHOOSE(CONTROL!$C$32, $C$9, 100%, $E$9)</f>
        <v>12.7597</v>
      </c>
      <c r="D853" s="80">
        <f>12.7607 * CHOOSE(CONTROL!$C$32, $C$9, 100%, $E$9)</f>
        <v>12.7607</v>
      </c>
      <c r="E853" s="81">
        <f>14.2024 * CHOOSE(CONTROL!$C$32, $C$9, 100%, $E$9)</f>
        <v>14.202400000000001</v>
      </c>
      <c r="F853" s="81">
        <f>14.2024 * CHOOSE(CONTROL!$C$32, $C$9, 100%, $E$9)</f>
        <v>14.202400000000001</v>
      </c>
      <c r="G853" s="81">
        <f>14.206 * CHOOSE(CONTROL!$C$32, $C$9, 100%, $E$9)</f>
        <v>14.206</v>
      </c>
      <c r="H853" s="81">
        <f>29.6943 * CHOOSE(CONTROL!$C$32, $C$9, 100%, $E$9)</f>
        <v>29.694299999999998</v>
      </c>
      <c r="I853" s="81">
        <f>29.6979 * CHOOSE(CONTROL!$C$32, $C$9, 100%, $E$9)</f>
        <v>29.697900000000001</v>
      </c>
      <c r="J853" s="81">
        <f>29.6943 * CHOOSE(CONTROL!$C$32, $C$9, 100%, $E$9)</f>
        <v>29.694299999999998</v>
      </c>
      <c r="K853" s="81">
        <f>29.6979 * CHOOSE(CONTROL!$C$32, $C$9, 100%, $E$9)</f>
        <v>29.697900000000001</v>
      </c>
      <c r="L853" s="81">
        <f>14.2024 * CHOOSE(CONTROL!$C$32, $C$9, 100%, $E$9)</f>
        <v>14.202400000000001</v>
      </c>
      <c r="M853" s="81">
        <f>14.206 * CHOOSE(CONTROL!$C$32, $C$9, 100%, $E$9)</f>
        <v>14.206</v>
      </c>
      <c r="N853" s="81">
        <f>14.2024 * CHOOSE(CONTROL!$C$32, $C$9, 100%, $E$9)</f>
        <v>14.202400000000001</v>
      </c>
      <c r="O853" s="81">
        <f>14.206 * CHOOSE(CONTROL!$C$32, $C$9, 100%, $E$9)</f>
        <v>14.206</v>
      </c>
    </row>
    <row r="854" spans="1:15" ht="15" x14ac:dyDescent="0.2">
      <c r="A854" s="16">
        <v>67207</v>
      </c>
      <c r="B854" s="80">
        <f>12.7541 * CHOOSE(CONTROL!$C$32, $C$9, 100%, $E$9)</f>
        <v>12.754099999999999</v>
      </c>
      <c r="C854" s="80">
        <f>12.7541 * CHOOSE(CONTROL!$C$32, $C$9, 100%, $E$9)</f>
        <v>12.754099999999999</v>
      </c>
      <c r="D854" s="80">
        <f>12.7552 * CHOOSE(CONTROL!$C$32, $C$9, 100%, $E$9)</f>
        <v>12.7552</v>
      </c>
      <c r="E854" s="81">
        <f>14.3456 * CHOOSE(CONTROL!$C$32, $C$9, 100%, $E$9)</f>
        <v>14.345599999999999</v>
      </c>
      <c r="F854" s="81">
        <f>14.3456 * CHOOSE(CONTROL!$C$32, $C$9, 100%, $E$9)</f>
        <v>14.345599999999999</v>
      </c>
      <c r="G854" s="81">
        <f>14.3492 * CHOOSE(CONTROL!$C$32, $C$9, 100%, $E$9)</f>
        <v>14.3492</v>
      </c>
      <c r="H854" s="81">
        <f>29.4863 * CHOOSE(CONTROL!$C$32, $C$9, 100%, $E$9)</f>
        <v>29.4863</v>
      </c>
      <c r="I854" s="81">
        <f>29.4899 * CHOOSE(CONTROL!$C$32, $C$9, 100%, $E$9)</f>
        <v>29.489899999999999</v>
      </c>
      <c r="J854" s="81">
        <f>29.4863 * CHOOSE(CONTROL!$C$32, $C$9, 100%, $E$9)</f>
        <v>29.4863</v>
      </c>
      <c r="K854" s="81">
        <f>29.4899 * CHOOSE(CONTROL!$C$32, $C$9, 100%, $E$9)</f>
        <v>29.489899999999999</v>
      </c>
      <c r="L854" s="81">
        <f>14.3456 * CHOOSE(CONTROL!$C$32, $C$9, 100%, $E$9)</f>
        <v>14.345599999999999</v>
      </c>
      <c r="M854" s="81">
        <f>14.3492 * CHOOSE(CONTROL!$C$32, $C$9, 100%, $E$9)</f>
        <v>14.3492</v>
      </c>
      <c r="N854" s="81">
        <f>14.3456 * CHOOSE(CONTROL!$C$32, $C$9, 100%, $E$9)</f>
        <v>14.345599999999999</v>
      </c>
      <c r="O854" s="81">
        <f>14.3492 * CHOOSE(CONTROL!$C$32, $C$9, 100%, $E$9)</f>
        <v>14.3492</v>
      </c>
    </row>
    <row r="855" spans="1:15" ht="15" x14ac:dyDescent="0.2">
      <c r="A855" s="16">
        <v>67238</v>
      </c>
      <c r="B855" s="80">
        <f>12.751 * CHOOSE(CONTROL!$C$32, $C$9, 100%, $E$9)</f>
        <v>12.750999999999999</v>
      </c>
      <c r="C855" s="80">
        <f>12.751 * CHOOSE(CONTROL!$C$32, $C$9, 100%, $E$9)</f>
        <v>12.750999999999999</v>
      </c>
      <c r="D855" s="80">
        <f>12.7521 * CHOOSE(CONTROL!$C$32, $C$9, 100%, $E$9)</f>
        <v>12.7521</v>
      </c>
      <c r="E855" s="81">
        <f>13.9553 * CHOOSE(CONTROL!$C$32, $C$9, 100%, $E$9)</f>
        <v>13.955299999999999</v>
      </c>
      <c r="F855" s="81">
        <f>13.9553 * CHOOSE(CONTROL!$C$32, $C$9, 100%, $E$9)</f>
        <v>13.955299999999999</v>
      </c>
      <c r="G855" s="81">
        <f>13.959 * CHOOSE(CONTROL!$C$32, $C$9, 100%, $E$9)</f>
        <v>13.959</v>
      </c>
      <c r="H855" s="81">
        <f>29.5477 * CHOOSE(CONTROL!$C$32, $C$9, 100%, $E$9)</f>
        <v>29.547699999999999</v>
      </c>
      <c r="I855" s="81">
        <f>29.5513 * CHOOSE(CONTROL!$C$32, $C$9, 100%, $E$9)</f>
        <v>29.551300000000001</v>
      </c>
      <c r="J855" s="81">
        <f>29.5477 * CHOOSE(CONTROL!$C$32, $C$9, 100%, $E$9)</f>
        <v>29.547699999999999</v>
      </c>
      <c r="K855" s="81">
        <f>29.5513 * CHOOSE(CONTROL!$C$32, $C$9, 100%, $E$9)</f>
        <v>29.551300000000001</v>
      </c>
      <c r="L855" s="81">
        <f>13.9553 * CHOOSE(CONTROL!$C$32, $C$9, 100%, $E$9)</f>
        <v>13.955299999999999</v>
      </c>
      <c r="M855" s="81">
        <f>13.959 * CHOOSE(CONTROL!$C$32, $C$9, 100%, $E$9)</f>
        <v>13.959</v>
      </c>
      <c r="N855" s="81">
        <f>13.9553 * CHOOSE(CONTROL!$C$32, $C$9, 100%, $E$9)</f>
        <v>13.955299999999999</v>
      </c>
      <c r="O855" s="81">
        <f>13.959 * CHOOSE(CONTROL!$C$32, $C$9, 100%, $E$9)</f>
        <v>13.959</v>
      </c>
    </row>
    <row r="856" spans="1:15" ht="15" x14ac:dyDescent="0.2">
      <c r="A856" s="16">
        <v>67267</v>
      </c>
      <c r="B856" s="80">
        <f>12.748 * CHOOSE(CONTROL!$C$32, $C$9, 100%, $E$9)</f>
        <v>12.747999999999999</v>
      </c>
      <c r="C856" s="80">
        <f>12.748 * CHOOSE(CONTROL!$C$32, $C$9, 100%, $E$9)</f>
        <v>12.747999999999999</v>
      </c>
      <c r="D856" s="80">
        <f>12.7491 * CHOOSE(CONTROL!$C$32, $C$9, 100%, $E$9)</f>
        <v>12.7491</v>
      </c>
      <c r="E856" s="81">
        <f>14.2592 * CHOOSE(CONTROL!$C$32, $C$9, 100%, $E$9)</f>
        <v>14.2592</v>
      </c>
      <c r="F856" s="81">
        <f>14.2592 * CHOOSE(CONTROL!$C$32, $C$9, 100%, $E$9)</f>
        <v>14.2592</v>
      </c>
      <c r="G856" s="81">
        <f>14.2628 * CHOOSE(CONTROL!$C$32, $C$9, 100%, $E$9)</f>
        <v>14.2628</v>
      </c>
      <c r="H856" s="81">
        <f>29.6093 * CHOOSE(CONTROL!$C$32, $C$9, 100%, $E$9)</f>
        <v>29.609300000000001</v>
      </c>
      <c r="I856" s="81">
        <f>29.6129 * CHOOSE(CONTROL!$C$32, $C$9, 100%, $E$9)</f>
        <v>29.6129</v>
      </c>
      <c r="J856" s="81">
        <f>29.6093 * CHOOSE(CONTROL!$C$32, $C$9, 100%, $E$9)</f>
        <v>29.609300000000001</v>
      </c>
      <c r="K856" s="81">
        <f>29.6129 * CHOOSE(CONTROL!$C$32, $C$9, 100%, $E$9)</f>
        <v>29.6129</v>
      </c>
      <c r="L856" s="81">
        <f>14.2592 * CHOOSE(CONTROL!$C$32, $C$9, 100%, $E$9)</f>
        <v>14.2592</v>
      </c>
      <c r="M856" s="81">
        <f>14.2628 * CHOOSE(CONTROL!$C$32, $C$9, 100%, $E$9)</f>
        <v>14.2628</v>
      </c>
      <c r="N856" s="81">
        <f>14.2592 * CHOOSE(CONTROL!$C$32, $C$9, 100%, $E$9)</f>
        <v>14.2592</v>
      </c>
      <c r="O856" s="81">
        <f>14.2628 * CHOOSE(CONTROL!$C$32, $C$9, 100%, $E$9)</f>
        <v>14.2628</v>
      </c>
    </row>
    <row r="857" spans="1:15" ht="15" x14ac:dyDescent="0.2">
      <c r="A857" s="16">
        <v>67298</v>
      </c>
      <c r="B857" s="80">
        <f>12.7541 * CHOOSE(CONTROL!$C$32, $C$9, 100%, $E$9)</f>
        <v>12.754099999999999</v>
      </c>
      <c r="C857" s="80">
        <f>12.7541 * CHOOSE(CONTROL!$C$32, $C$9, 100%, $E$9)</f>
        <v>12.754099999999999</v>
      </c>
      <c r="D857" s="80">
        <f>12.7552 * CHOOSE(CONTROL!$C$32, $C$9, 100%, $E$9)</f>
        <v>12.7552</v>
      </c>
      <c r="E857" s="81">
        <f>14.5835 * CHOOSE(CONTROL!$C$32, $C$9, 100%, $E$9)</f>
        <v>14.583500000000001</v>
      </c>
      <c r="F857" s="81">
        <f>14.5835 * CHOOSE(CONTROL!$C$32, $C$9, 100%, $E$9)</f>
        <v>14.583500000000001</v>
      </c>
      <c r="G857" s="81">
        <f>14.5872 * CHOOSE(CONTROL!$C$32, $C$9, 100%, $E$9)</f>
        <v>14.587199999999999</v>
      </c>
      <c r="H857" s="81">
        <f>29.671 * CHOOSE(CONTROL!$C$32, $C$9, 100%, $E$9)</f>
        <v>29.670999999999999</v>
      </c>
      <c r="I857" s="81">
        <f>29.6746 * CHOOSE(CONTROL!$C$32, $C$9, 100%, $E$9)</f>
        <v>29.674600000000002</v>
      </c>
      <c r="J857" s="81">
        <f>29.671 * CHOOSE(CONTROL!$C$32, $C$9, 100%, $E$9)</f>
        <v>29.670999999999999</v>
      </c>
      <c r="K857" s="81">
        <f>29.6746 * CHOOSE(CONTROL!$C$32, $C$9, 100%, $E$9)</f>
        <v>29.674600000000002</v>
      </c>
      <c r="L857" s="81">
        <f>14.5835 * CHOOSE(CONTROL!$C$32, $C$9, 100%, $E$9)</f>
        <v>14.583500000000001</v>
      </c>
      <c r="M857" s="81">
        <f>14.5872 * CHOOSE(CONTROL!$C$32, $C$9, 100%, $E$9)</f>
        <v>14.587199999999999</v>
      </c>
      <c r="N857" s="81">
        <f>14.5835 * CHOOSE(CONTROL!$C$32, $C$9, 100%, $E$9)</f>
        <v>14.583500000000001</v>
      </c>
      <c r="O857" s="81">
        <f>14.5872 * CHOOSE(CONTROL!$C$32, $C$9, 100%, $E$9)</f>
        <v>14.587199999999999</v>
      </c>
    </row>
    <row r="858" spans="1:15" ht="15" x14ac:dyDescent="0.2">
      <c r="A858" s="16">
        <v>67328</v>
      </c>
      <c r="B858" s="80">
        <f>12.7541 * CHOOSE(CONTROL!$C$32, $C$9, 100%, $E$9)</f>
        <v>12.754099999999999</v>
      </c>
      <c r="C858" s="80">
        <f>12.7541 * CHOOSE(CONTROL!$C$32, $C$9, 100%, $E$9)</f>
        <v>12.754099999999999</v>
      </c>
      <c r="D858" s="80">
        <f>12.7557 * CHOOSE(CONTROL!$C$32, $C$9, 100%, $E$9)</f>
        <v>12.755699999999999</v>
      </c>
      <c r="E858" s="81">
        <f>14.7068 * CHOOSE(CONTROL!$C$32, $C$9, 100%, $E$9)</f>
        <v>14.706799999999999</v>
      </c>
      <c r="F858" s="81">
        <f>14.7068 * CHOOSE(CONTROL!$C$32, $C$9, 100%, $E$9)</f>
        <v>14.706799999999999</v>
      </c>
      <c r="G858" s="81">
        <f>14.7121 * CHOOSE(CONTROL!$C$32, $C$9, 100%, $E$9)</f>
        <v>14.7121</v>
      </c>
      <c r="H858" s="81">
        <f>29.7328 * CHOOSE(CONTROL!$C$32, $C$9, 100%, $E$9)</f>
        <v>29.732800000000001</v>
      </c>
      <c r="I858" s="81">
        <f>29.7381 * CHOOSE(CONTROL!$C$32, $C$9, 100%, $E$9)</f>
        <v>29.738099999999999</v>
      </c>
      <c r="J858" s="81">
        <f>29.7328 * CHOOSE(CONTROL!$C$32, $C$9, 100%, $E$9)</f>
        <v>29.732800000000001</v>
      </c>
      <c r="K858" s="81">
        <f>29.7381 * CHOOSE(CONTROL!$C$32, $C$9, 100%, $E$9)</f>
        <v>29.738099999999999</v>
      </c>
      <c r="L858" s="81">
        <f>14.7068 * CHOOSE(CONTROL!$C$32, $C$9, 100%, $E$9)</f>
        <v>14.706799999999999</v>
      </c>
      <c r="M858" s="81">
        <f>14.7121 * CHOOSE(CONTROL!$C$32, $C$9, 100%, $E$9)</f>
        <v>14.7121</v>
      </c>
      <c r="N858" s="81">
        <f>14.7068 * CHOOSE(CONTROL!$C$32, $C$9, 100%, $E$9)</f>
        <v>14.706799999999999</v>
      </c>
      <c r="O858" s="81">
        <f>14.7121 * CHOOSE(CONTROL!$C$32, $C$9, 100%, $E$9)</f>
        <v>14.7121</v>
      </c>
    </row>
    <row r="859" spans="1:15" ht="15" x14ac:dyDescent="0.2">
      <c r="A859" s="16">
        <v>67359</v>
      </c>
      <c r="B859" s="80">
        <f>12.7602 * CHOOSE(CONTROL!$C$32, $C$9, 100%, $E$9)</f>
        <v>12.760199999999999</v>
      </c>
      <c r="C859" s="80">
        <f>12.7602 * CHOOSE(CONTROL!$C$32, $C$9, 100%, $E$9)</f>
        <v>12.760199999999999</v>
      </c>
      <c r="D859" s="80">
        <f>12.7618 * CHOOSE(CONTROL!$C$32, $C$9, 100%, $E$9)</f>
        <v>12.761799999999999</v>
      </c>
      <c r="E859" s="81">
        <f>14.5878 * CHOOSE(CONTROL!$C$32, $C$9, 100%, $E$9)</f>
        <v>14.5878</v>
      </c>
      <c r="F859" s="81">
        <f>14.5878 * CHOOSE(CONTROL!$C$32, $C$9, 100%, $E$9)</f>
        <v>14.5878</v>
      </c>
      <c r="G859" s="81">
        <f>14.5931 * CHOOSE(CONTROL!$C$32, $C$9, 100%, $E$9)</f>
        <v>14.5931</v>
      </c>
      <c r="H859" s="81">
        <f>29.7947 * CHOOSE(CONTROL!$C$32, $C$9, 100%, $E$9)</f>
        <v>29.794699999999999</v>
      </c>
      <c r="I859" s="81">
        <f>29.8 * CHOOSE(CONTROL!$C$32, $C$9, 100%, $E$9)</f>
        <v>29.8</v>
      </c>
      <c r="J859" s="81">
        <f>29.7947 * CHOOSE(CONTROL!$C$32, $C$9, 100%, $E$9)</f>
        <v>29.794699999999999</v>
      </c>
      <c r="K859" s="81">
        <f>29.8 * CHOOSE(CONTROL!$C$32, $C$9, 100%, $E$9)</f>
        <v>29.8</v>
      </c>
      <c r="L859" s="81">
        <f>14.5878 * CHOOSE(CONTROL!$C$32, $C$9, 100%, $E$9)</f>
        <v>14.5878</v>
      </c>
      <c r="M859" s="81">
        <f>14.5931 * CHOOSE(CONTROL!$C$32, $C$9, 100%, $E$9)</f>
        <v>14.5931</v>
      </c>
      <c r="N859" s="81">
        <f>14.5878 * CHOOSE(CONTROL!$C$32, $C$9, 100%, $E$9)</f>
        <v>14.5878</v>
      </c>
      <c r="O859" s="81">
        <f>14.5931 * CHOOSE(CONTROL!$C$32, $C$9, 100%, $E$9)</f>
        <v>14.5931</v>
      </c>
    </row>
    <row r="860" spans="1:15" ht="15" x14ac:dyDescent="0.2">
      <c r="A860" s="16">
        <v>67389</v>
      </c>
      <c r="B860" s="80">
        <f>12.9149 * CHOOSE(CONTROL!$C$32, $C$9, 100%, $E$9)</f>
        <v>12.914899999999999</v>
      </c>
      <c r="C860" s="80">
        <f>12.9149 * CHOOSE(CONTROL!$C$32, $C$9, 100%, $E$9)</f>
        <v>12.914899999999999</v>
      </c>
      <c r="D860" s="80">
        <f>12.9165 * CHOOSE(CONTROL!$C$32, $C$9, 100%, $E$9)</f>
        <v>12.916499999999999</v>
      </c>
      <c r="E860" s="81">
        <f>14.7942 * CHOOSE(CONTROL!$C$32, $C$9, 100%, $E$9)</f>
        <v>14.7942</v>
      </c>
      <c r="F860" s="81">
        <f>14.7942 * CHOOSE(CONTROL!$C$32, $C$9, 100%, $E$9)</f>
        <v>14.7942</v>
      </c>
      <c r="G860" s="81">
        <f>14.7995 * CHOOSE(CONTROL!$C$32, $C$9, 100%, $E$9)</f>
        <v>14.7995</v>
      </c>
      <c r="H860" s="81">
        <f>29.8568 * CHOOSE(CONTROL!$C$32, $C$9, 100%, $E$9)</f>
        <v>29.8568</v>
      </c>
      <c r="I860" s="81">
        <f>29.8621 * CHOOSE(CONTROL!$C$32, $C$9, 100%, $E$9)</f>
        <v>29.862100000000002</v>
      </c>
      <c r="J860" s="81">
        <f>29.8568 * CHOOSE(CONTROL!$C$32, $C$9, 100%, $E$9)</f>
        <v>29.8568</v>
      </c>
      <c r="K860" s="81">
        <f>29.8621 * CHOOSE(CONTROL!$C$32, $C$9, 100%, $E$9)</f>
        <v>29.862100000000002</v>
      </c>
      <c r="L860" s="81">
        <f>14.7942 * CHOOSE(CONTROL!$C$32, $C$9, 100%, $E$9)</f>
        <v>14.7942</v>
      </c>
      <c r="M860" s="81">
        <f>14.7995 * CHOOSE(CONTROL!$C$32, $C$9, 100%, $E$9)</f>
        <v>14.7995</v>
      </c>
      <c r="N860" s="81">
        <f>14.7942 * CHOOSE(CONTROL!$C$32, $C$9, 100%, $E$9)</f>
        <v>14.7942</v>
      </c>
      <c r="O860" s="81">
        <f>14.7995 * CHOOSE(CONTROL!$C$32, $C$9, 100%, $E$9)</f>
        <v>14.7995</v>
      </c>
    </row>
    <row r="861" spans="1:15" ht="15" x14ac:dyDescent="0.2">
      <c r="A861" s="16">
        <v>67420</v>
      </c>
      <c r="B861" s="80">
        <f>12.9216 * CHOOSE(CONTROL!$C$32, $C$9, 100%, $E$9)</f>
        <v>12.9216</v>
      </c>
      <c r="C861" s="80">
        <f>12.9216 * CHOOSE(CONTROL!$C$32, $C$9, 100%, $E$9)</f>
        <v>12.9216</v>
      </c>
      <c r="D861" s="80">
        <f>12.9231 * CHOOSE(CONTROL!$C$32, $C$9, 100%, $E$9)</f>
        <v>12.9231</v>
      </c>
      <c r="E861" s="81">
        <f>14.4292 * CHOOSE(CONTROL!$C$32, $C$9, 100%, $E$9)</f>
        <v>14.4292</v>
      </c>
      <c r="F861" s="81">
        <f>14.4292 * CHOOSE(CONTROL!$C$32, $C$9, 100%, $E$9)</f>
        <v>14.4292</v>
      </c>
      <c r="G861" s="81">
        <f>14.4345 * CHOOSE(CONTROL!$C$32, $C$9, 100%, $E$9)</f>
        <v>14.4345</v>
      </c>
      <c r="H861" s="81">
        <f>29.919 * CHOOSE(CONTROL!$C$32, $C$9, 100%, $E$9)</f>
        <v>29.919</v>
      </c>
      <c r="I861" s="81">
        <f>29.9243 * CHOOSE(CONTROL!$C$32, $C$9, 100%, $E$9)</f>
        <v>29.924299999999999</v>
      </c>
      <c r="J861" s="81">
        <f>29.919 * CHOOSE(CONTROL!$C$32, $C$9, 100%, $E$9)</f>
        <v>29.919</v>
      </c>
      <c r="K861" s="81">
        <f>29.9243 * CHOOSE(CONTROL!$C$32, $C$9, 100%, $E$9)</f>
        <v>29.924299999999999</v>
      </c>
      <c r="L861" s="81">
        <f>14.4292 * CHOOSE(CONTROL!$C$32, $C$9, 100%, $E$9)</f>
        <v>14.4292</v>
      </c>
      <c r="M861" s="81">
        <f>14.4345 * CHOOSE(CONTROL!$C$32, $C$9, 100%, $E$9)</f>
        <v>14.4345</v>
      </c>
      <c r="N861" s="81">
        <f>14.4292 * CHOOSE(CONTROL!$C$32, $C$9, 100%, $E$9)</f>
        <v>14.4292</v>
      </c>
      <c r="O861" s="81">
        <f>14.4345 * CHOOSE(CONTROL!$C$32, $C$9, 100%, $E$9)</f>
        <v>14.4345</v>
      </c>
    </row>
    <row r="862" spans="1:15" ht="15" x14ac:dyDescent="0.2">
      <c r="A862" s="16">
        <v>67451</v>
      </c>
      <c r="B862" s="80">
        <f>12.9185 * CHOOSE(CONTROL!$C$32, $C$9, 100%, $E$9)</f>
        <v>12.9185</v>
      </c>
      <c r="C862" s="80">
        <f>12.9185 * CHOOSE(CONTROL!$C$32, $C$9, 100%, $E$9)</f>
        <v>12.9185</v>
      </c>
      <c r="D862" s="80">
        <f>12.9201 * CHOOSE(CONTROL!$C$32, $C$9, 100%, $E$9)</f>
        <v>12.9201</v>
      </c>
      <c r="E862" s="81">
        <f>14.386 * CHOOSE(CONTROL!$C$32, $C$9, 100%, $E$9)</f>
        <v>14.385999999999999</v>
      </c>
      <c r="F862" s="81">
        <f>14.386 * CHOOSE(CONTROL!$C$32, $C$9, 100%, $E$9)</f>
        <v>14.385999999999999</v>
      </c>
      <c r="G862" s="81">
        <f>14.3913 * CHOOSE(CONTROL!$C$32, $C$9, 100%, $E$9)</f>
        <v>14.391299999999999</v>
      </c>
      <c r="H862" s="81">
        <f>29.9813 * CHOOSE(CONTROL!$C$32, $C$9, 100%, $E$9)</f>
        <v>29.981300000000001</v>
      </c>
      <c r="I862" s="81">
        <f>29.9866 * CHOOSE(CONTROL!$C$32, $C$9, 100%, $E$9)</f>
        <v>29.986599999999999</v>
      </c>
      <c r="J862" s="81">
        <f>29.9813 * CHOOSE(CONTROL!$C$32, $C$9, 100%, $E$9)</f>
        <v>29.981300000000001</v>
      </c>
      <c r="K862" s="81">
        <f>29.9866 * CHOOSE(CONTROL!$C$32, $C$9, 100%, $E$9)</f>
        <v>29.986599999999999</v>
      </c>
      <c r="L862" s="81">
        <f>14.386 * CHOOSE(CONTROL!$C$32, $C$9, 100%, $E$9)</f>
        <v>14.385999999999999</v>
      </c>
      <c r="M862" s="81">
        <f>14.3913 * CHOOSE(CONTROL!$C$32, $C$9, 100%, $E$9)</f>
        <v>14.391299999999999</v>
      </c>
      <c r="N862" s="81">
        <f>14.386 * CHOOSE(CONTROL!$C$32, $C$9, 100%, $E$9)</f>
        <v>14.385999999999999</v>
      </c>
      <c r="O862" s="81">
        <f>14.3913 * CHOOSE(CONTROL!$C$32, $C$9, 100%, $E$9)</f>
        <v>14.391299999999999</v>
      </c>
    </row>
    <row r="863" spans="1:15" ht="15" x14ac:dyDescent="0.2">
      <c r="A863" s="16">
        <v>67481</v>
      </c>
      <c r="B863" s="80">
        <f>12.9469 * CHOOSE(CONTROL!$C$32, $C$9, 100%, $E$9)</f>
        <v>12.946899999999999</v>
      </c>
      <c r="C863" s="80">
        <f>12.9469 * CHOOSE(CONTROL!$C$32, $C$9, 100%, $E$9)</f>
        <v>12.946899999999999</v>
      </c>
      <c r="D863" s="80">
        <f>12.948 * CHOOSE(CONTROL!$C$32, $C$9, 100%, $E$9)</f>
        <v>12.948</v>
      </c>
      <c r="E863" s="81">
        <f>14.5369 * CHOOSE(CONTROL!$C$32, $C$9, 100%, $E$9)</f>
        <v>14.536899999999999</v>
      </c>
      <c r="F863" s="81">
        <f>14.5369 * CHOOSE(CONTROL!$C$32, $C$9, 100%, $E$9)</f>
        <v>14.536899999999999</v>
      </c>
      <c r="G863" s="81">
        <f>14.5405 * CHOOSE(CONTROL!$C$32, $C$9, 100%, $E$9)</f>
        <v>14.5405</v>
      </c>
      <c r="H863" s="81">
        <f>30.0438 * CHOOSE(CONTROL!$C$32, $C$9, 100%, $E$9)</f>
        <v>30.043800000000001</v>
      </c>
      <c r="I863" s="81">
        <f>30.0474 * CHOOSE(CONTROL!$C$32, $C$9, 100%, $E$9)</f>
        <v>30.0474</v>
      </c>
      <c r="J863" s="81">
        <f>30.0438 * CHOOSE(CONTROL!$C$32, $C$9, 100%, $E$9)</f>
        <v>30.043800000000001</v>
      </c>
      <c r="K863" s="81">
        <f>30.0474 * CHOOSE(CONTROL!$C$32, $C$9, 100%, $E$9)</f>
        <v>30.0474</v>
      </c>
      <c r="L863" s="81">
        <f>14.5369 * CHOOSE(CONTROL!$C$32, $C$9, 100%, $E$9)</f>
        <v>14.536899999999999</v>
      </c>
      <c r="M863" s="81">
        <f>14.5405 * CHOOSE(CONTROL!$C$32, $C$9, 100%, $E$9)</f>
        <v>14.5405</v>
      </c>
      <c r="N863" s="81">
        <f>14.5369 * CHOOSE(CONTROL!$C$32, $C$9, 100%, $E$9)</f>
        <v>14.536899999999999</v>
      </c>
      <c r="O863" s="81">
        <f>14.5405 * CHOOSE(CONTROL!$C$32, $C$9, 100%, $E$9)</f>
        <v>14.5405</v>
      </c>
    </row>
    <row r="864" spans="1:15" ht="15" x14ac:dyDescent="0.2">
      <c r="A864" s="16">
        <v>67512</v>
      </c>
      <c r="B864" s="80">
        <f>12.95 * CHOOSE(CONTROL!$C$32, $C$9, 100%, $E$9)</f>
        <v>12.95</v>
      </c>
      <c r="C864" s="80">
        <f>12.95 * CHOOSE(CONTROL!$C$32, $C$9, 100%, $E$9)</f>
        <v>12.95</v>
      </c>
      <c r="D864" s="80">
        <f>12.951 * CHOOSE(CONTROL!$C$32, $C$9, 100%, $E$9)</f>
        <v>12.951000000000001</v>
      </c>
      <c r="E864" s="81">
        <f>14.6212 * CHOOSE(CONTROL!$C$32, $C$9, 100%, $E$9)</f>
        <v>14.6212</v>
      </c>
      <c r="F864" s="81">
        <f>14.6212 * CHOOSE(CONTROL!$C$32, $C$9, 100%, $E$9)</f>
        <v>14.6212</v>
      </c>
      <c r="G864" s="81">
        <f>14.6248 * CHOOSE(CONTROL!$C$32, $C$9, 100%, $E$9)</f>
        <v>14.6248</v>
      </c>
      <c r="H864" s="81">
        <f>30.1064 * CHOOSE(CONTROL!$C$32, $C$9, 100%, $E$9)</f>
        <v>30.106400000000001</v>
      </c>
      <c r="I864" s="81">
        <f>30.11 * CHOOSE(CONTROL!$C$32, $C$9, 100%, $E$9)</f>
        <v>30.11</v>
      </c>
      <c r="J864" s="81">
        <f>30.1064 * CHOOSE(CONTROL!$C$32, $C$9, 100%, $E$9)</f>
        <v>30.106400000000001</v>
      </c>
      <c r="K864" s="81">
        <f>30.11 * CHOOSE(CONTROL!$C$32, $C$9, 100%, $E$9)</f>
        <v>30.11</v>
      </c>
      <c r="L864" s="81">
        <f>14.6212 * CHOOSE(CONTROL!$C$32, $C$9, 100%, $E$9)</f>
        <v>14.6212</v>
      </c>
      <c r="M864" s="81">
        <f>14.6248 * CHOOSE(CONTROL!$C$32, $C$9, 100%, $E$9)</f>
        <v>14.6248</v>
      </c>
      <c r="N864" s="81">
        <f>14.6212 * CHOOSE(CONTROL!$C$32, $C$9, 100%, $E$9)</f>
        <v>14.6212</v>
      </c>
      <c r="O864" s="81">
        <f>14.6248 * CHOOSE(CONTROL!$C$32, $C$9, 100%, $E$9)</f>
        <v>14.6248</v>
      </c>
    </row>
    <row r="865" spans="1:15" ht="15" x14ac:dyDescent="0.2">
      <c r="A865" s="16">
        <v>67542</v>
      </c>
      <c r="B865" s="80">
        <f>12.95 * CHOOSE(CONTROL!$C$32, $C$9, 100%, $E$9)</f>
        <v>12.95</v>
      </c>
      <c r="C865" s="80">
        <f>12.95 * CHOOSE(CONTROL!$C$32, $C$9, 100%, $E$9)</f>
        <v>12.95</v>
      </c>
      <c r="D865" s="80">
        <f>12.951 * CHOOSE(CONTROL!$C$32, $C$9, 100%, $E$9)</f>
        <v>12.951000000000001</v>
      </c>
      <c r="E865" s="81">
        <f>14.4158 * CHOOSE(CONTROL!$C$32, $C$9, 100%, $E$9)</f>
        <v>14.415800000000001</v>
      </c>
      <c r="F865" s="81">
        <f>14.4158 * CHOOSE(CONTROL!$C$32, $C$9, 100%, $E$9)</f>
        <v>14.415800000000001</v>
      </c>
      <c r="G865" s="81">
        <f>14.4194 * CHOOSE(CONTROL!$C$32, $C$9, 100%, $E$9)</f>
        <v>14.4194</v>
      </c>
      <c r="H865" s="81">
        <f>30.1691 * CHOOSE(CONTROL!$C$32, $C$9, 100%, $E$9)</f>
        <v>30.1691</v>
      </c>
      <c r="I865" s="81">
        <f>30.1727 * CHOOSE(CONTROL!$C$32, $C$9, 100%, $E$9)</f>
        <v>30.172699999999999</v>
      </c>
      <c r="J865" s="81">
        <f>30.1691 * CHOOSE(CONTROL!$C$32, $C$9, 100%, $E$9)</f>
        <v>30.1691</v>
      </c>
      <c r="K865" s="81">
        <f>30.1727 * CHOOSE(CONTROL!$C$32, $C$9, 100%, $E$9)</f>
        <v>30.172699999999999</v>
      </c>
      <c r="L865" s="81">
        <f>14.4158 * CHOOSE(CONTROL!$C$32, $C$9, 100%, $E$9)</f>
        <v>14.415800000000001</v>
      </c>
      <c r="M865" s="81">
        <f>14.4194 * CHOOSE(CONTROL!$C$32, $C$9, 100%, $E$9)</f>
        <v>14.4194</v>
      </c>
      <c r="N865" s="81">
        <f>14.4158 * CHOOSE(CONTROL!$C$32, $C$9, 100%, $E$9)</f>
        <v>14.415800000000001</v>
      </c>
      <c r="O865" s="81">
        <f>14.4194 * CHOOSE(CONTROL!$C$32, $C$9, 100%, $E$9)</f>
        <v>14.4194</v>
      </c>
    </row>
    <row r="866" spans="1:15" ht="15" x14ac:dyDescent="0.2">
      <c r="A866" s="16">
        <v>67573</v>
      </c>
      <c r="B866" s="80">
        <f>12.9414 * CHOOSE(CONTROL!$C$32, $C$9, 100%, $E$9)</f>
        <v>12.9414</v>
      </c>
      <c r="C866" s="80">
        <f>12.9414 * CHOOSE(CONTROL!$C$32, $C$9, 100%, $E$9)</f>
        <v>12.9414</v>
      </c>
      <c r="D866" s="80">
        <f>12.9425 * CHOOSE(CONTROL!$C$32, $C$9, 100%, $E$9)</f>
        <v>12.942500000000001</v>
      </c>
      <c r="E866" s="81">
        <f>14.5581 * CHOOSE(CONTROL!$C$32, $C$9, 100%, $E$9)</f>
        <v>14.5581</v>
      </c>
      <c r="F866" s="81">
        <f>14.5581 * CHOOSE(CONTROL!$C$32, $C$9, 100%, $E$9)</f>
        <v>14.5581</v>
      </c>
      <c r="G866" s="81">
        <f>14.5617 * CHOOSE(CONTROL!$C$32, $C$9, 100%, $E$9)</f>
        <v>14.5617</v>
      </c>
      <c r="H866" s="81">
        <f>29.9503 * CHOOSE(CONTROL!$C$32, $C$9, 100%, $E$9)</f>
        <v>29.950299999999999</v>
      </c>
      <c r="I866" s="81">
        <f>29.9539 * CHOOSE(CONTROL!$C$32, $C$9, 100%, $E$9)</f>
        <v>29.953900000000001</v>
      </c>
      <c r="J866" s="81">
        <f>29.9503 * CHOOSE(CONTROL!$C$32, $C$9, 100%, $E$9)</f>
        <v>29.950299999999999</v>
      </c>
      <c r="K866" s="81">
        <f>29.9539 * CHOOSE(CONTROL!$C$32, $C$9, 100%, $E$9)</f>
        <v>29.953900000000001</v>
      </c>
      <c r="L866" s="81">
        <f>14.5581 * CHOOSE(CONTROL!$C$32, $C$9, 100%, $E$9)</f>
        <v>14.5581</v>
      </c>
      <c r="M866" s="81">
        <f>14.5617 * CHOOSE(CONTROL!$C$32, $C$9, 100%, $E$9)</f>
        <v>14.5617</v>
      </c>
      <c r="N866" s="81">
        <f>14.5581 * CHOOSE(CONTROL!$C$32, $C$9, 100%, $E$9)</f>
        <v>14.5581</v>
      </c>
      <c r="O866" s="81">
        <f>14.5617 * CHOOSE(CONTROL!$C$32, $C$9, 100%, $E$9)</f>
        <v>14.5617</v>
      </c>
    </row>
    <row r="867" spans="1:15" ht="15" x14ac:dyDescent="0.2">
      <c r="A867" s="16">
        <v>67604</v>
      </c>
      <c r="B867" s="80">
        <f>12.9384 * CHOOSE(CONTROL!$C$32, $C$9, 100%, $E$9)</f>
        <v>12.9384</v>
      </c>
      <c r="C867" s="80">
        <f>12.9384 * CHOOSE(CONTROL!$C$32, $C$9, 100%, $E$9)</f>
        <v>12.9384</v>
      </c>
      <c r="D867" s="80">
        <f>12.9395 * CHOOSE(CONTROL!$C$32, $C$9, 100%, $E$9)</f>
        <v>12.939500000000001</v>
      </c>
      <c r="E867" s="81">
        <f>14.1608 * CHOOSE(CONTROL!$C$32, $C$9, 100%, $E$9)</f>
        <v>14.1608</v>
      </c>
      <c r="F867" s="81">
        <f>14.1608 * CHOOSE(CONTROL!$C$32, $C$9, 100%, $E$9)</f>
        <v>14.1608</v>
      </c>
      <c r="G867" s="81">
        <f>14.1644 * CHOOSE(CONTROL!$C$32, $C$9, 100%, $E$9)</f>
        <v>14.164400000000001</v>
      </c>
      <c r="H867" s="81">
        <f>30.0127 * CHOOSE(CONTROL!$C$32, $C$9, 100%, $E$9)</f>
        <v>30.012699999999999</v>
      </c>
      <c r="I867" s="81">
        <f>30.0163 * CHOOSE(CONTROL!$C$32, $C$9, 100%, $E$9)</f>
        <v>30.016300000000001</v>
      </c>
      <c r="J867" s="81">
        <f>30.0127 * CHOOSE(CONTROL!$C$32, $C$9, 100%, $E$9)</f>
        <v>30.012699999999999</v>
      </c>
      <c r="K867" s="81">
        <f>30.0163 * CHOOSE(CONTROL!$C$32, $C$9, 100%, $E$9)</f>
        <v>30.016300000000001</v>
      </c>
      <c r="L867" s="81">
        <f>14.1608 * CHOOSE(CONTROL!$C$32, $C$9, 100%, $E$9)</f>
        <v>14.1608</v>
      </c>
      <c r="M867" s="81">
        <f>14.1644 * CHOOSE(CONTROL!$C$32, $C$9, 100%, $E$9)</f>
        <v>14.164400000000001</v>
      </c>
      <c r="N867" s="81">
        <f>14.1608 * CHOOSE(CONTROL!$C$32, $C$9, 100%, $E$9)</f>
        <v>14.1608</v>
      </c>
      <c r="O867" s="81">
        <f>14.1644 * CHOOSE(CONTROL!$C$32, $C$9, 100%, $E$9)</f>
        <v>14.164400000000001</v>
      </c>
    </row>
    <row r="868" spans="1:15" ht="15" x14ac:dyDescent="0.2">
      <c r="A868" s="16">
        <v>67632</v>
      </c>
      <c r="B868" s="80">
        <f>12.9354 * CHOOSE(CONTROL!$C$32, $C$9, 100%, $E$9)</f>
        <v>12.9354</v>
      </c>
      <c r="C868" s="80">
        <f>12.9354 * CHOOSE(CONTROL!$C$32, $C$9, 100%, $E$9)</f>
        <v>12.9354</v>
      </c>
      <c r="D868" s="80">
        <f>12.9364 * CHOOSE(CONTROL!$C$32, $C$9, 100%, $E$9)</f>
        <v>12.936400000000001</v>
      </c>
      <c r="E868" s="81">
        <f>14.4702 * CHOOSE(CONTROL!$C$32, $C$9, 100%, $E$9)</f>
        <v>14.4702</v>
      </c>
      <c r="F868" s="81">
        <f>14.4702 * CHOOSE(CONTROL!$C$32, $C$9, 100%, $E$9)</f>
        <v>14.4702</v>
      </c>
      <c r="G868" s="81">
        <f>14.4738 * CHOOSE(CONTROL!$C$32, $C$9, 100%, $E$9)</f>
        <v>14.473800000000001</v>
      </c>
      <c r="H868" s="81">
        <f>30.0753 * CHOOSE(CONTROL!$C$32, $C$9, 100%, $E$9)</f>
        <v>30.075299999999999</v>
      </c>
      <c r="I868" s="81">
        <f>30.0789 * CHOOSE(CONTROL!$C$32, $C$9, 100%, $E$9)</f>
        <v>30.078900000000001</v>
      </c>
      <c r="J868" s="81">
        <f>30.0753 * CHOOSE(CONTROL!$C$32, $C$9, 100%, $E$9)</f>
        <v>30.075299999999999</v>
      </c>
      <c r="K868" s="81">
        <f>30.0789 * CHOOSE(CONTROL!$C$32, $C$9, 100%, $E$9)</f>
        <v>30.078900000000001</v>
      </c>
      <c r="L868" s="81">
        <f>14.4702 * CHOOSE(CONTROL!$C$32, $C$9, 100%, $E$9)</f>
        <v>14.4702</v>
      </c>
      <c r="M868" s="81">
        <f>14.4738 * CHOOSE(CONTROL!$C$32, $C$9, 100%, $E$9)</f>
        <v>14.473800000000001</v>
      </c>
      <c r="N868" s="81">
        <f>14.4702 * CHOOSE(CONTROL!$C$32, $C$9, 100%, $E$9)</f>
        <v>14.4702</v>
      </c>
      <c r="O868" s="81">
        <f>14.4738 * CHOOSE(CONTROL!$C$32, $C$9, 100%, $E$9)</f>
        <v>14.473800000000001</v>
      </c>
    </row>
    <row r="869" spans="1:15" ht="15" x14ac:dyDescent="0.2">
      <c r="A869" s="16">
        <v>67663</v>
      </c>
      <c r="B869" s="80">
        <f>12.9417 * CHOOSE(CONTROL!$C$32, $C$9, 100%, $E$9)</f>
        <v>12.941700000000001</v>
      </c>
      <c r="C869" s="80">
        <f>12.9417 * CHOOSE(CONTROL!$C$32, $C$9, 100%, $E$9)</f>
        <v>12.941700000000001</v>
      </c>
      <c r="D869" s="80">
        <f>12.9428 * CHOOSE(CONTROL!$C$32, $C$9, 100%, $E$9)</f>
        <v>12.9428</v>
      </c>
      <c r="E869" s="81">
        <f>14.8005 * CHOOSE(CONTROL!$C$32, $C$9, 100%, $E$9)</f>
        <v>14.8005</v>
      </c>
      <c r="F869" s="81">
        <f>14.8005 * CHOOSE(CONTROL!$C$32, $C$9, 100%, $E$9)</f>
        <v>14.8005</v>
      </c>
      <c r="G869" s="81">
        <f>14.8042 * CHOOSE(CONTROL!$C$32, $C$9, 100%, $E$9)</f>
        <v>14.8042</v>
      </c>
      <c r="H869" s="81">
        <f>30.1379 * CHOOSE(CONTROL!$C$32, $C$9, 100%, $E$9)</f>
        <v>30.137899999999998</v>
      </c>
      <c r="I869" s="81">
        <f>30.1415 * CHOOSE(CONTROL!$C$32, $C$9, 100%, $E$9)</f>
        <v>30.141500000000001</v>
      </c>
      <c r="J869" s="81">
        <f>30.1379 * CHOOSE(CONTROL!$C$32, $C$9, 100%, $E$9)</f>
        <v>30.137899999999998</v>
      </c>
      <c r="K869" s="81">
        <f>30.1415 * CHOOSE(CONTROL!$C$32, $C$9, 100%, $E$9)</f>
        <v>30.141500000000001</v>
      </c>
      <c r="L869" s="81">
        <f>14.8005 * CHOOSE(CONTROL!$C$32, $C$9, 100%, $E$9)</f>
        <v>14.8005</v>
      </c>
      <c r="M869" s="81">
        <f>14.8042 * CHOOSE(CONTROL!$C$32, $C$9, 100%, $E$9)</f>
        <v>14.8042</v>
      </c>
      <c r="N869" s="81">
        <f>14.8005 * CHOOSE(CONTROL!$C$32, $C$9, 100%, $E$9)</f>
        <v>14.8005</v>
      </c>
      <c r="O869" s="81">
        <f>14.8042 * CHOOSE(CONTROL!$C$32, $C$9, 100%, $E$9)</f>
        <v>14.8042</v>
      </c>
    </row>
    <row r="870" spans="1:15" ht="15" x14ac:dyDescent="0.2">
      <c r="A870" s="16">
        <v>67693</v>
      </c>
      <c r="B870" s="80">
        <f>12.9417 * CHOOSE(CONTROL!$C$32, $C$9, 100%, $E$9)</f>
        <v>12.941700000000001</v>
      </c>
      <c r="C870" s="80">
        <f>12.9417 * CHOOSE(CONTROL!$C$32, $C$9, 100%, $E$9)</f>
        <v>12.941700000000001</v>
      </c>
      <c r="D870" s="80">
        <f>12.9433 * CHOOSE(CONTROL!$C$32, $C$9, 100%, $E$9)</f>
        <v>12.943300000000001</v>
      </c>
      <c r="E870" s="81">
        <f>14.926 * CHOOSE(CONTROL!$C$32, $C$9, 100%, $E$9)</f>
        <v>14.926</v>
      </c>
      <c r="F870" s="81">
        <f>14.926 * CHOOSE(CONTROL!$C$32, $C$9, 100%, $E$9)</f>
        <v>14.926</v>
      </c>
      <c r="G870" s="81">
        <f>14.9313 * CHOOSE(CONTROL!$C$32, $C$9, 100%, $E$9)</f>
        <v>14.9313</v>
      </c>
      <c r="H870" s="81">
        <f>30.2007 * CHOOSE(CONTROL!$C$32, $C$9, 100%, $E$9)</f>
        <v>30.200700000000001</v>
      </c>
      <c r="I870" s="81">
        <f>30.206 * CHOOSE(CONTROL!$C$32, $C$9, 100%, $E$9)</f>
        <v>30.206</v>
      </c>
      <c r="J870" s="81">
        <f>30.2007 * CHOOSE(CONTROL!$C$32, $C$9, 100%, $E$9)</f>
        <v>30.200700000000001</v>
      </c>
      <c r="K870" s="81">
        <f>30.206 * CHOOSE(CONTROL!$C$32, $C$9, 100%, $E$9)</f>
        <v>30.206</v>
      </c>
      <c r="L870" s="81">
        <f>14.926 * CHOOSE(CONTROL!$C$32, $C$9, 100%, $E$9)</f>
        <v>14.926</v>
      </c>
      <c r="M870" s="81">
        <f>14.9313 * CHOOSE(CONTROL!$C$32, $C$9, 100%, $E$9)</f>
        <v>14.9313</v>
      </c>
      <c r="N870" s="81">
        <f>14.926 * CHOOSE(CONTROL!$C$32, $C$9, 100%, $E$9)</f>
        <v>14.926</v>
      </c>
      <c r="O870" s="81">
        <f>14.9313 * CHOOSE(CONTROL!$C$32, $C$9, 100%, $E$9)</f>
        <v>14.9313</v>
      </c>
    </row>
    <row r="871" spans="1:15" ht="15" x14ac:dyDescent="0.2">
      <c r="A871" s="16">
        <v>67724</v>
      </c>
      <c r="B871" s="80">
        <f>12.9478 * CHOOSE(CONTROL!$C$32, $C$9, 100%, $E$9)</f>
        <v>12.947800000000001</v>
      </c>
      <c r="C871" s="80">
        <f>12.9478 * CHOOSE(CONTROL!$C$32, $C$9, 100%, $E$9)</f>
        <v>12.947800000000001</v>
      </c>
      <c r="D871" s="80">
        <f>12.9493 * CHOOSE(CONTROL!$C$32, $C$9, 100%, $E$9)</f>
        <v>12.949299999999999</v>
      </c>
      <c r="E871" s="81">
        <f>14.8048 * CHOOSE(CONTROL!$C$32, $C$9, 100%, $E$9)</f>
        <v>14.8048</v>
      </c>
      <c r="F871" s="81">
        <f>14.8048 * CHOOSE(CONTROL!$C$32, $C$9, 100%, $E$9)</f>
        <v>14.8048</v>
      </c>
      <c r="G871" s="81">
        <f>14.8101 * CHOOSE(CONTROL!$C$32, $C$9, 100%, $E$9)</f>
        <v>14.8101</v>
      </c>
      <c r="H871" s="81">
        <f>30.2636 * CHOOSE(CONTROL!$C$32, $C$9, 100%, $E$9)</f>
        <v>30.2636</v>
      </c>
      <c r="I871" s="81">
        <f>30.2689 * CHOOSE(CONTROL!$C$32, $C$9, 100%, $E$9)</f>
        <v>30.268899999999999</v>
      </c>
      <c r="J871" s="81">
        <f>30.2636 * CHOOSE(CONTROL!$C$32, $C$9, 100%, $E$9)</f>
        <v>30.2636</v>
      </c>
      <c r="K871" s="81">
        <f>30.2689 * CHOOSE(CONTROL!$C$32, $C$9, 100%, $E$9)</f>
        <v>30.268899999999999</v>
      </c>
      <c r="L871" s="81">
        <f>14.8048 * CHOOSE(CONTROL!$C$32, $C$9, 100%, $E$9)</f>
        <v>14.8048</v>
      </c>
      <c r="M871" s="81">
        <f>14.8101 * CHOOSE(CONTROL!$C$32, $C$9, 100%, $E$9)</f>
        <v>14.8101</v>
      </c>
      <c r="N871" s="81">
        <f>14.8048 * CHOOSE(CONTROL!$C$32, $C$9, 100%, $E$9)</f>
        <v>14.8048</v>
      </c>
      <c r="O871" s="81">
        <f>14.8101 * CHOOSE(CONTROL!$C$32, $C$9, 100%, $E$9)</f>
        <v>14.8101</v>
      </c>
    </row>
    <row r="872" spans="1:15" ht="15" x14ac:dyDescent="0.2">
      <c r="A872" s="16">
        <v>67754</v>
      </c>
      <c r="B872" s="80">
        <f>13.1045 * CHOOSE(CONTROL!$C$32, $C$9, 100%, $E$9)</f>
        <v>13.1045</v>
      </c>
      <c r="C872" s="80">
        <f>13.1045 * CHOOSE(CONTROL!$C$32, $C$9, 100%, $E$9)</f>
        <v>13.1045</v>
      </c>
      <c r="D872" s="80">
        <f>13.1061 * CHOOSE(CONTROL!$C$32, $C$9, 100%, $E$9)</f>
        <v>13.1061</v>
      </c>
      <c r="E872" s="81">
        <f>15.0144 * CHOOSE(CONTROL!$C$32, $C$9, 100%, $E$9)</f>
        <v>15.0144</v>
      </c>
      <c r="F872" s="81">
        <f>15.0144 * CHOOSE(CONTROL!$C$32, $C$9, 100%, $E$9)</f>
        <v>15.0144</v>
      </c>
      <c r="G872" s="81">
        <f>15.0197 * CHOOSE(CONTROL!$C$32, $C$9, 100%, $E$9)</f>
        <v>15.0197</v>
      </c>
      <c r="H872" s="81">
        <f>30.3267 * CHOOSE(CONTROL!$C$32, $C$9, 100%, $E$9)</f>
        <v>30.326699999999999</v>
      </c>
      <c r="I872" s="81">
        <f>30.332 * CHOOSE(CONTROL!$C$32, $C$9, 100%, $E$9)</f>
        <v>30.332000000000001</v>
      </c>
      <c r="J872" s="81">
        <f>30.3267 * CHOOSE(CONTROL!$C$32, $C$9, 100%, $E$9)</f>
        <v>30.326699999999999</v>
      </c>
      <c r="K872" s="81">
        <f>30.332 * CHOOSE(CONTROL!$C$32, $C$9, 100%, $E$9)</f>
        <v>30.332000000000001</v>
      </c>
      <c r="L872" s="81">
        <f>15.0144 * CHOOSE(CONTROL!$C$32, $C$9, 100%, $E$9)</f>
        <v>15.0144</v>
      </c>
      <c r="M872" s="81">
        <f>15.0197 * CHOOSE(CONTROL!$C$32, $C$9, 100%, $E$9)</f>
        <v>15.0197</v>
      </c>
      <c r="N872" s="81">
        <f>15.0144 * CHOOSE(CONTROL!$C$32, $C$9, 100%, $E$9)</f>
        <v>15.0144</v>
      </c>
      <c r="O872" s="81">
        <f>15.0197 * CHOOSE(CONTROL!$C$32, $C$9, 100%, $E$9)</f>
        <v>15.0197</v>
      </c>
    </row>
    <row r="873" spans="1:15" ht="15" x14ac:dyDescent="0.2">
      <c r="A873" s="16">
        <v>67785</v>
      </c>
      <c r="B873" s="80">
        <f>13.1112 * CHOOSE(CONTROL!$C$32, $C$9, 100%, $E$9)</f>
        <v>13.1112</v>
      </c>
      <c r="C873" s="80">
        <f>13.1112 * CHOOSE(CONTROL!$C$32, $C$9, 100%, $E$9)</f>
        <v>13.1112</v>
      </c>
      <c r="D873" s="80">
        <f>13.1127 * CHOOSE(CONTROL!$C$32, $C$9, 100%, $E$9)</f>
        <v>13.1127</v>
      </c>
      <c r="E873" s="81">
        <f>14.6427 * CHOOSE(CONTROL!$C$32, $C$9, 100%, $E$9)</f>
        <v>14.6427</v>
      </c>
      <c r="F873" s="81">
        <f>14.6427 * CHOOSE(CONTROL!$C$32, $C$9, 100%, $E$9)</f>
        <v>14.6427</v>
      </c>
      <c r="G873" s="81">
        <f>14.6479 * CHOOSE(CONTROL!$C$32, $C$9, 100%, $E$9)</f>
        <v>14.6479</v>
      </c>
      <c r="H873" s="81">
        <f>30.3898 * CHOOSE(CONTROL!$C$32, $C$9, 100%, $E$9)</f>
        <v>30.389800000000001</v>
      </c>
      <c r="I873" s="81">
        <f>30.3951 * CHOOSE(CONTROL!$C$32, $C$9, 100%, $E$9)</f>
        <v>30.395099999999999</v>
      </c>
      <c r="J873" s="81">
        <f>30.3898 * CHOOSE(CONTROL!$C$32, $C$9, 100%, $E$9)</f>
        <v>30.389800000000001</v>
      </c>
      <c r="K873" s="81">
        <f>30.3951 * CHOOSE(CONTROL!$C$32, $C$9, 100%, $E$9)</f>
        <v>30.395099999999999</v>
      </c>
      <c r="L873" s="81">
        <f>14.6427 * CHOOSE(CONTROL!$C$32, $C$9, 100%, $E$9)</f>
        <v>14.6427</v>
      </c>
      <c r="M873" s="81">
        <f>14.6479 * CHOOSE(CONTROL!$C$32, $C$9, 100%, $E$9)</f>
        <v>14.6479</v>
      </c>
      <c r="N873" s="81">
        <f>14.6427 * CHOOSE(CONTROL!$C$32, $C$9, 100%, $E$9)</f>
        <v>14.6427</v>
      </c>
      <c r="O873" s="81">
        <f>14.6479 * CHOOSE(CONTROL!$C$32, $C$9, 100%, $E$9)</f>
        <v>14.6479</v>
      </c>
    </row>
    <row r="874" spans="1:15" ht="15" x14ac:dyDescent="0.2">
      <c r="A874" s="16">
        <v>67816</v>
      </c>
      <c r="B874" s="80">
        <f>13.1081 * CHOOSE(CONTROL!$C$32, $C$9, 100%, $E$9)</f>
        <v>13.1081</v>
      </c>
      <c r="C874" s="80">
        <f>13.1081 * CHOOSE(CONTROL!$C$32, $C$9, 100%, $E$9)</f>
        <v>13.1081</v>
      </c>
      <c r="D874" s="80">
        <f>13.1097 * CHOOSE(CONTROL!$C$32, $C$9, 100%, $E$9)</f>
        <v>13.1097</v>
      </c>
      <c r="E874" s="81">
        <f>14.5987 * CHOOSE(CONTROL!$C$32, $C$9, 100%, $E$9)</f>
        <v>14.598699999999999</v>
      </c>
      <c r="F874" s="81">
        <f>14.5987 * CHOOSE(CONTROL!$C$32, $C$9, 100%, $E$9)</f>
        <v>14.598699999999999</v>
      </c>
      <c r="G874" s="81">
        <f>14.604 * CHOOSE(CONTROL!$C$32, $C$9, 100%, $E$9)</f>
        <v>14.603999999999999</v>
      </c>
      <c r="H874" s="81">
        <f>30.4532 * CHOOSE(CONTROL!$C$32, $C$9, 100%, $E$9)</f>
        <v>30.453199999999999</v>
      </c>
      <c r="I874" s="81">
        <f>30.4585 * CHOOSE(CONTROL!$C$32, $C$9, 100%, $E$9)</f>
        <v>30.458500000000001</v>
      </c>
      <c r="J874" s="81">
        <f>30.4532 * CHOOSE(CONTROL!$C$32, $C$9, 100%, $E$9)</f>
        <v>30.453199999999999</v>
      </c>
      <c r="K874" s="81">
        <f>30.4585 * CHOOSE(CONTROL!$C$32, $C$9, 100%, $E$9)</f>
        <v>30.458500000000001</v>
      </c>
      <c r="L874" s="81">
        <f>14.5987 * CHOOSE(CONTROL!$C$32, $C$9, 100%, $E$9)</f>
        <v>14.598699999999999</v>
      </c>
      <c r="M874" s="81">
        <f>14.604 * CHOOSE(CONTROL!$C$32, $C$9, 100%, $E$9)</f>
        <v>14.603999999999999</v>
      </c>
      <c r="N874" s="81">
        <f>14.5987 * CHOOSE(CONTROL!$C$32, $C$9, 100%, $E$9)</f>
        <v>14.598699999999999</v>
      </c>
      <c r="O874" s="81">
        <f>14.604 * CHOOSE(CONTROL!$C$32, $C$9, 100%, $E$9)</f>
        <v>14.603999999999999</v>
      </c>
    </row>
    <row r="875" spans="1:15" ht="15" x14ac:dyDescent="0.2">
      <c r="A875" s="16">
        <v>67846</v>
      </c>
      <c r="B875" s="80">
        <f>13.1372 * CHOOSE(CONTROL!$C$32, $C$9, 100%, $E$9)</f>
        <v>13.1372</v>
      </c>
      <c r="C875" s="80">
        <f>13.1372 * CHOOSE(CONTROL!$C$32, $C$9, 100%, $E$9)</f>
        <v>13.1372</v>
      </c>
      <c r="D875" s="80">
        <f>13.1383 * CHOOSE(CONTROL!$C$32, $C$9, 100%, $E$9)</f>
        <v>13.138299999999999</v>
      </c>
      <c r="E875" s="81">
        <f>14.7526 * CHOOSE(CONTROL!$C$32, $C$9, 100%, $E$9)</f>
        <v>14.752599999999999</v>
      </c>
      <c r="F875" s="81">
        <f>14.7526 * CHOOSE(CONTROL!$C$32, $C$9, 100%, $E$9)</f>
        <v>14.752599999999999</v>
      </c>
      <c r="G875" s="81">
        <f>14.7562 * CHOOSE(CONTROL!$C$32, $C$9, 100%, $E$9)</f>
        <v>14.7562</v>
      </c>
      <c r="H875" s="81">
        <f>30.5166 * CHOOSE(CONTROL!$C$32, $C$9, 100%, $E$9)</f>
        <v>30.5166</v>
      </c>
      <c r="I875" s="81">
        <f>30.5202 * CHOOSE(CONTROL!$C$32, $C$9, 100%, $E$9)</f>
        <v>30.520199999999999</v>
      </c>
      <c r="J875" s="81">
        <f>30.5166 * CHOOSE(CONTROL!$C$32, $C$9, 100%, $E$9)</f>
        <v>30.5166</v>
      </c>
      <c r="K875" s="81">
        <f>30.5202 * CHOOSE(CONTROL!$C$32, $C$9, 100%, $E$9)</f>
        <v>30.520199999999999</v>
      </c>
      <c r="L875" s="81">
        <f>14.7526 * CHOOSE(CONTROL!$C$32, $C$9, 100%, $E$9)</f>
        <v>14.752599999999999</v>
      </c>
      <c r="M875" s="81">
        <f>14.7562 * CHOOSE(CONTROL!$C$32, $C$9, 100%, $E$9)</f>
        <v>14.7562</v>
      </c>
      <c r="N875" s="81">
        <f>14.7526 * CHOOSE(CONTROL!$C$32, $C$9, 100%, $E$9)</f>
        <v>14.752599999999999</v>
      </c>
      <c r="O875" s="81">
        <f>14.7562 * CHOOSE(CONTROL!$C$32, $C$9, 100%, $E$9)</f>
        <v>14.7562</v>
      </c>
    </row>
    <row r="876" spans="1:15" ht="15" x14ac:dyDescent="0.2">
      <c r="A876" s="16">
        <v>67877</v>
      </c>
      <c r="B876" s="80">
        <f>13.1403 * CHOOSE(CONTROL!$C$32, $C$9, 100%, $E$9)</f>
        <v>13.1403</v>
      </c>
      <c r="C876" s="80">
        <f>13.1403 * CHOOSE(CONTROL!$C$32, $C$9, 100%, $E$9)</f>
        <v>13.1403</v>
      </c>
      <c r="D876" s="80">
        <f>13.1413 * CHOOSE(CONTROL!$C$32, $C$9, 100%, $E$9)</f>
        <v>13.141299999999999</v>
      </c>
      <c r="E876" s="81">
        <f>14.8383 * CHOOSE(CONTROL!$C$32, $C$9, 100%, $E$9)</f>
        <v>14.8383</v>
      </c>
      <c r="F876" s="81">
        <f>14.8383 * CHOOSE(CONTROL!$C$32, $C$9, 100%, $E$9)</f>
        <v>14.8383</v>
      </c>
      <c r="G876" s="81">
        <f>14.842 * CHOOSE(CONTROL!$C$32, $C$9, 100%, $E$9)</f>
        <v>14.842000000000001</v>
      </c>
      <c r="H876" s="81">
        <f>30.5802 * CHOOSE(CONTROL!$C$32, $C$9, 100%, $E$9)</f>
        <v>30.580200000000001</v>
      </c>
      <c r="I876" s="81">
        <f>30.5838 * CHOOSE(CONTROL!$C$32, $C$9, 100%, $E$9)</f>
        <v>30.5838</v>
      </c>
      <c r="J876" s="81">
        <f>30.5802 * CHOOSE(CONTROL!$C$32, $C$9, 100%, $E$9)</f>
        <v>30.580200000000001</v>
      </c>
      <c r="K876" s="81">
        <f>30.5838 * CHOOSE(CONTROL!$C$32, $C$9, 100%, $E$9)</f>
        <v>30.5838</v>
      </c>
      <c r="L876" s="81">
        <f>14.8383 * CHOOSE(CONTROL!$C$32, $C$9, 100%, $E$9)</f>
        <v>14.8383</v>
      </c>
      <c r="M876" s="81">
        <f>14.842 * CHOOSE(CONTROL!$C$32, $C$9, 100%, $E$9)</f>
        <v>14.842000000000001</v>
      </c>
      <c r="N876" s="81">
        <f>14.8383 * CHOOSE(CONTROL!$C$32, $C$9, 100%, $E$9)</f>
        <v>14.8383</v>
      </c>
      <c r="O876" s="81">
        <f>14.842 * CHOOSE(CONTROL!$C$32, $C$9, 100%, $E$9)</f>
        <v>14.842000000000001</v>
      </c>
    </row>
    <row r="877" spans="1:15" ht="15" x14ac:dyDescent="0.2">
      <c r="A877" s="16">
        <v>67907</v>
      </c>
      <c r="B877" s="80">
        <f>13.1403 * CHOOSE(CONTROL!$C$32, $C$9, 100%, $E$9)</f>
        <v>13.1403</v>
      </c>
      <c r="C877" s="80">
        <f>13.1403 * CHOOSE(CONTROL!$C$32, $C$9, 100%, $E$9)</f>
        <v>13.1403</v>
      </c>
      <c r="D877" s="80">
        <f>13.1413 * CHOOSE(CONTROL!$C$32, $C$9, 100%, $E$9)</f>
        <v>13.141299999999999</v>
      </c>
      <c r="E877" s="81">
        <f>14.6292 * CHOOSE(CONTROL!$C$32, $C$9, 100%, $E$9)</f>
        <v>14.629200000000001</v>
      </c>
      <c r="F877" s="81">
        <f>14.6292 * CHOOSE(CONTROL!$C$32, $C$9, 100%, $E$9)</f>
        <v>14.629200000000001</v>
      </c>
      <c r="G877" s="81">
        <f>14.6328 * CHOOSE(CONTROL!$C$32, $C$9, 100%, $E$9)</f>
        <v>14.6328</v>
      </c>
      <c r="H877" s="81">
        <f>30.6439 * CHOOSE(CONTROL!$C$32, $C$9, 100%, $E$9)</f>
        <v>30.643899999999999</v>
      </c>
      <c r="I877" s="81">
        <f>30.6475 * CHOOSE(CONTROL!$C$32, $C$9, 100%, $E$9)</f>
        <v>30.647500000000001</v>
      </c>
      <c r="J877" s="81">
        <f>30.6439 * CHOOSE(CONTROL!$C$32, $C$9, 100%, $E$9)</f>
        <v>30.643899999999999</v>
      </c>
      <c r="K877" s="81">
        <f>30.6475 * CHOOSE(CONTROL!$C$32, $C$9, 100%, $E$9)</f>
        <v>30.647500000000001</v>
      </c>
      <c r="L877" s="81">
        <f>14.6292 * CHOOSE(CONTROL!$C$32, $C$9, 100%, $E$9)</f>
        <v>14.629200000000001</v>
      </c>
      <c r="M877" s="81">
        <f>14.6328 * CHOOSE(CONTROL!$C$32, $C$9, 100%, $E$9)</f>
        <v>14.6328</v>
      </c>
      <c r="N877" s="81">
        <f>14.6292 * CHOOSE(CONTROL!$C$32, $C$9, 100%, $E$9)</f>
        <v>14.629200000000001</v>
      </c>
      <c r="O877" s="81">
        <f>14.6328 * CHOOSE(CONTROL!$C$32, $C$9, 100%, $E$9)</f>
        <v>14.6328</v>
      </c>
    </row>
    <row r="878" spans="1:15" ht="15" x14ac:dyDescent="0.2">
      <c r="A878" s="16">
        <v>67938</v>
      </c>
      <c r="B878" s="80">
        <f>13.1288 * CHOOSE(CONTROL!$C$32, $C$9, 100%, $E$9)</f>
        <v>13.1288</v>
      </c>
      <c r="C878" s="80">
        <f>13.1288 * CHOOSE(CONTROL!$C$32, $C$9, 100%, $E$9)</f>
        <v>13.1288</v>
      </c>
      <c r="D878" s="80">
        <f>13.1299 * CHOOSE(CONTROL!$C$32, $C$9, 100%, $E$9)</f>
        <v>13.129899999999999</v>
      </c>
      <c r="E878" s="81">
        <f>14.7706 * CHOOSE(CONTROL!$C$32, $C$9, 100%, $E$9)</f>
        <v>14.7706</v>
      </c>
      <c r="F878" s="81">
        <f>14.7706 * CHOOSE(CONTROL!$C$32, $C$9, 100%, $E$9)</f>
        <v>14.7706</v>
      </c>
      <c r="G878" s="81">
        <f>14.7742 * CHOOSE(CONTROL!$C$32, $C$9, 100%, $E$9)</f>
        <v>14.7742</v>
      </c>
      <c r="H878" s="81">
        <f>30.4144 * CHOOSE(CONTROL!$C$32, $C$9, 100%, $E$9)</f>
        <v>30.414400000000001</v>
      </c>
      <c r="I878" s="81">
        <f>30.418 * CHOOSE(CONTROL!$C$32, $C$9, 100%, $E$9)</f>
        <v>30.417999999999999</v>
      </c>
      <c r="J878" s="81">
        <f>30.4144 * CHOOSE(CONTROL!$C$32, $C$9, 100%, $E$9)</f>
        <v>30.414400000000001</v>
      </c>
      <c r="K878" s="81">
        <f>30.418 * CHOOSE(CONTROL!$C$32, $C$9, 100%, $E$9)</f>
        <v>30.417999999999999</v>
      </c>
      <c r="L878" s="81">
        <f>14.7706 * CHOOSE(CONTROL!$C$32, $C$9, 100%, $E$9)</f>
        <v>14.7706</v>
      </c>
      <c r="M878" s="81">
        <f>14.7742 * CHOOSE(CONTROL!$C$32, $C$9, 100%, $E$9)</f>
        <v>14.7742</v>
      </c>
      <c r="N878" s="81">
        <f>14.7706 * CHOOSE(CONTROL!$C$32, $C$9, 100%, $E$9)</f>
        <v>14.7706</v>
      </c>
      <c r="O878" s="81">
        <f>14.7742 * CHOOSE(CONTROL!$C$32, $C$9, 100%, $E$9)</f>
        <v>14.7742</v>
      </c>
    </row>
    <row r="879" spans="1:15" ht="15" x14ac:dyDescent="0.2">
      <c r="A879" s="16">
        <v>67969</v>
      </c>
      <c r="B879" s="80">
        <f>13.1258 * CHOOSE(CONTROL!$C$32, $C$9, 100%, $E$9)</f>
        <v>13.1258</v>
      </c>
      <c r="C879" s="80">
        <f>13.1258 * CHOOSE(CONTROL!$C$32, $C$9, 100%, $E$9)</f>
        <v>13.1258</v>
      </c>
      <c r="D879" s="80">
        <f>13.1268 * CHOOSE(CONTROL!$C$32, $C$9, 100%, $E$9)</f>
        <v>13.126799999999999</v>
      </c>
      <c r="E879" s="81">
        <f>14.3662 * CHOOSE(CONTROL!$C$32, $C$9, 100%, $E$9)</f>
        <v>14.366199999999999</v>
      </c>
      <c r="F879" s="81">
        <f>14.3662 * CHOOSE(CONTROL!$C$32, $C$9, 100%, $E$9)</f>
        <v>14.366199999999999</v>
      </c>
      <c r="G879" s="81">
        <f>14.3698 * CHOOSE(CONTROL!$C$32, $C$9, 100%, $E$9)</f>
        <v>14.3698</v>
      </c>
      <c r="H879" s="81">
        <f>30.4777 * CHOOSE(CONTROL!$C$32, $C$9, 100%, $E$9)</f>
        <v>30.477699999999999</v>
      </c>
      <c r="I879" s="81">
        <f>30.4813 * CHOOSE(CONTROL!$C$32, $C$9, 100%, $E$9)</f>
        <v>30.481300000000001</v>
      </c>
      <c r="J879" s="81">
        <f>30.4777 * CHOOSE(CONTROL!$C$32, $C$9, 100%, $E$9)</f>
        <v>30.477699999999999</v>
      </c>
      <c r="K879" s="81">
        <f>30.4813 * CHOOSE(CONTROL!$C$32, $C$9, 100%, $E$9)</f>
        <v>30.481300000000001</v>
      </c>
      <c r="L879" s="81">
        <f>14.3662 * CHOOSE(CONTROL!$C$32, $C$9, 100%, $E$9)</f>
        <v>14.366199999999999</v>
      </c>
      <c r="M879" s="81">
        <f>14.3698 * CHOOSE(CONTROL!$C$32, $C$9, 100%, $E$9)</f>
        <v>14.3698</v>
      </c>
      <c r="N879" s="81">
        <f>14.3662 * CHOOSE(CONTROL!$C$32, $C$9, 100%, $E$9)</f>
        <v>14.366199999999999</v>
      </c>
      <c r="O879" s="81">
        <f>14.3698 * CHOOSE(CONTROL!$C$32, $C$9, 100%, $E$9)</f>
        <v>14.3698</v>
      </c>
    </row>
    <row r="880" spans="1:15" ht="15" x14ac:dyDescent="0.2">
      <c r="A880" s="16">
        <v>67997</v>
      </c>
      <c r="B880" s="80">
        <f>13.1227 * CHOOSE(CONTROL!$C$32, $C$9, 100%, $E$9)</f>
        <v>13.1227</v>
      </c>
      <c r="C880" s="80">
        <f>13.1227 * CHOOSE(CONTROL!$C$32, $C$9, 100%, $E$9)</f>
        <v>13.1227</v>
      </c>
      <c r="D880" s="80">
        <f>13.1238 * CHOOSE(CONTROL!$C$32, $C$9, 100%, $E$9)</f>
        <v>13.123799999999999</v>
      </c>
      <c r="E880" s="81">
        <f>14.6812 * CHOOSE(CONTROL!$C$32, $C$9, 100%, $E$9)</f>
        <v>14.6812</v>
      </c>
      <c r="F880" s="81">
        <f>14.6812 * CHOOSE(CONTROL!$C$32, $C$9, 100%, $E$9)</f>
        <v>14.6812</v>
      </c>
      <c r="G880" s="81">
        <f>14.6848 * CHOOSE(CONTROL!$C$32, $C$9, 100%, $E$9)</f>
        <v>14.684799999999999</v>
      </c>
      <c r="H880" s="81">
        <f>30.5412 * CHOOSE(CONTROL!$C$32, $C$9, 100%, $E$9)</f>
        <v>30.5412</v>
      </c>
      <c r="I880" s="81">
        <f>30.5448 * CHOOSE(CONTROL!$C$32, $C$9, 100%, $E$9)</f>
        <v>30.544799999999999</v>
      </c>
      <c r="J880" s="81">
        <f>30.5412 * CHOOSE(CONTROL!$C$32, $C$9, 100%, $E$9)</f>
        <v>30.5412</v>
      </c>
      <c r="K880" s="81">
        <f>30.5448 * CHOOSE(CONTROL!$C$32, $C$9, 100%, $E$9)</f>
        <v>30.544799999999999</v>
      </c>
      <c r="L880" s="81">
        <f>14.6812 * CHOOSE(CONTROL!$C$32, $C$9, 100%, $E$9)</f>
        <v>14.6812</v>
      </c>
      <c r="M880" s="81">
        <f>14.6848 * CHOOSE(CONTROL!$C$32, $C$9, 100%, $E$9)</f>
        <v>14.684799999999999</v>
      </c>
      <c r="N880" s="81">
        <f>14.6812 * CHOOSE(CONTROL!$C$32, $C$9, 100%, $E$9)</f>
        <v>14.6812</v>
      </c>
      <c r="O880" s="81">
        <f>14.6848 * CHOOSE(CONTROL!$C$32, $C$9, 100%, $E$9)</f>
        <v>14.684799999999999</v>
      </c>
    </row>
    <row r="881" spans="1:15" ht="15" x14ac:dyDescent="0.2">
      <c r="A881" s="16">
        <v>68028</v>
      </c>
      <c r="B881" s="80">
        <f>13.1292 * CHOOSE(CONTROL!$C$32, $C$9, 100%, $E$9)</f>
        <v>13.129200000000001</v>
      </c>
      <c r="C881" s="80">
        <f>13.1292 * CHOOSE(CONTROL!$C$32, $C$9, 100%, $E$9)</f>
        <v>13.129200000000001</v>
      </c>
      <c r="D881" s="80">
        <f>13.1303 * CHOOSE(CONTROL!$C$32, $C$9, 100%, $E$9)</f>
        <v>13.1303</v>
      </c>
      <c r="E881" s="81">
        <f>15.0175 * CHOOSE(CONTROL!$C$32, $C$9, 100%, $E$9)</f>
        <v>15.0175</v>
      </c>
      <c r="F881" s="81">
        <f>15.0175 * CHOOSE(CONTROL!$C$32, $C$9, 100%, $E$9)</f>
        <v>15.0175</v>
      </c>
      <c r="G881" s="81">
        <f>15.0212 * CHOOSE(CONTROL!$C$32, $C$9, 100%, $E$9)</f>
        <v>15.0212</v>
      </c>
      <c r="H881" s="81">
        <f>30.6048 * CHOOSE(CONTROL!$C$32, $C$9, 100%, $E$9)</f>
        <v>30.604800000000001</v>
      </c>
      <c r="I881" s="81">
        <f>30.6085 * CHOOSE(CONTROL!$C$32, $C$9, 100%, $E$9)</f>
        <v>30.608499999999999</v>
      </c>
      <c r="J881" s="81">
        <f>30.6048 * CHOOSE(CONTROL!$C$32, $C$9, 100%, $E$9)</f>
        <v>30.604800000000001</v>
      </c>
      <c r="K881" s="81">
        <f>30.6085 * CHOOSE(CONTROL!$C$32, $C$9, 100%, $E$9)</f>
        <v>30.608499999999999</v>
      </c>
      <c r="L881" s="81">
        <f>15.0175 * CHOOSE(CONTROL!$C$32, $C$9, 100%, $E$9)</f>
        <v>15.0175</v>
      </c>
      <c r="M881" s="81">
        <f>15.0212 * CHOOSE(CONTROL!$C$32, $C$9, 100%, $E$9)</f>
        <v>15.0212</v>
      </c>
      <c r="N881" s="81">
        <f>15.0175 * CHOOSE(CONTROL!$C$32, $C$9, 100%, $E$9)</f>
        <v>15.0175</v>
      </c>
      <c r="O881" s="81">
        <f>15.0212 * CHOOSE(CONTROL!$C$32, $C$9, 100%, $E$9)</f>
        <v>15.0212</v>
      </c>
    </row>
    <row r="882" spans="1:15" ht="15" x14ac:dyDescent="0.2">
      <c r="A882" s="16">
        <v>68058</v>
      </c>
      <c r="B882" s="80">
        <f>13.1292 * CHOOSE(CONTROL!$C$32, $C$9, 100%, $E$9)</f>
        <v>13.129200000000001</v>
      </c>
      <c r="C882" s="80">
        <f>13.1292 * CHOOSE(CONTROL!$C$32, $C$9, 100%, $E$9)</f>
        <v>13.129200000000001</v>
      </c>
      <c r="D882" s="80">
        <f>13.1308 * CHOOSE(CONTROL!$C$32, $C$9, 100%, $E$9)</f>
        <v>13.130800000000001</v>
      </c>
      <c r="E882" s="81">
        <f>15.1453 * CHOOSE(CONTROL!$C$32, $C$9, 100%, $E$9)</f>
        <v>15.145300000000001</v>
      </c>
      <c r="F882" s="81">
        <f>15.1453 * CHOOSE(CONTROL!$C$32, $C$9, 100%, $E$9)</f>
        <v>15.145300000000001</v>
      </c>
      <c r="G882" s="81">
        <f>15.1506 * CHOOSE(CONTROL!$C$32, $C$9, 100%, $E$9)</f>
        <v>15.150600000000001</v>
      </c>
      <c r="H882" s="81">
        <f>30.6686 * CHOOSE(CONTROL!$C$32, $C$9, 100%, $E$9)</f>
        <v>30.668600000000001</v>
      </c>
      <c r="I882" s="81">
        <f>30.6739 * CHOOSE(CONTROL!$C$32, $C$9, 100%, $E$9)</f>
        <v>30.6739</v>
      </c>
      <c r="J882" s="81">
        <f>30.6686 * CHOOSE(CONTROL!$C$32, $C$9, 100%, $E$9)</f>
        <v>30.668600000000001</v>
      </c>
      <c r="K882" s="81">
        <f>30.6739 * CHOOSE(CONTROL!$C$32, $C$9, 100%, $E$9)</f>
        <v>30.6739</v>
      </c>
      <c r="L882" s="81">
        <f>15.1453 * CHOOSE(CONTROL!$C$32, $C$9, 100%, $E$9)</f>
        <v>15.145300000000001</v>
      </c>
      <c r="M882" s="81">
        <f>15.1506 * CHOOSE(CONTROL!$C$32, $C$9, 100%, $E$9)</f>
        <v>15.150600000000001</v>
      </c>
      <c r="N882" s="81">
        <f>15.1453 * CHOOSE(CONTROL!$C$32, $C$9, 100%, $E$9)</f>
        <v>15.145300000000001</v>
      </c>
      <c r="O882" s="81">
        <f>15.1506 * CHOOSE(CONTROL!$C$32, $C$9, 100%, $E$9)</f>
        <v>15.150600000000001</v>
      </c>
    </row>
    <row r="883" spans="1:15" ht="15" x14ac:dyDescent="0.2">
      <c r="A883" s="16">
        <v>68089</v>
      </c>
      <c r="B883" s="80">
        <f>13.1353 * CHOOSE(CONTROL!$C$32, $C$9, 100%, $E$9)</f>
        <v>13.135300000000001</v>
      </c>
      <c r="C883" s="80">
        <f>13.1353 * CHOOSE(CONTROL!$C$32, $C$9, 100%, $E$9)</f>
        <v>13.135300000000001</v>
      </c>
      <c r="D883" s="80">
        <f>13.1369 * CHOOSE(CONTROL!$C$32, $C$9, 100%, $E$9)</f>
        <v>13.136900000000001</v>
      </c>
      <c r="E883" s="81">
        <f>15.0218 * CHOOSE(CONTROL!$C$32, $C$9, 100%, $E$9)</f>
        <v>15.021800000000001</v>
      </c>
      <c r="F883" s="81">
        <f>15.0218 * CHOOSE(CONTROL!$C$32, $C$9, 100%, $E$9)</f>
        <v>15.021800000000001</v>
      </c>
      <c r="G883" s="81">
        <f>15.0271 * CHOOSE(CONTROL!$C$32, $C$9, 100%, $E$9)</f>
        <v>15.027100000000001</v>
      </c>
      <c r="H883" s="81">
        <f>30.7325 * CHOOSE(CONTROL!$C$32, $C$9, 100%, $E$9)</f>
        <v>30.732500000000002</v>
      </c>
      <c r="I883" s="81">
        <f>30.7378 * CHOOSE(CONTROL!$C$32, $C$9, 100%, $E$9)</f>
        <v>30.7378</v>
      </c>
      <c r="J883" s="81">
        <f>30.7325 * CHOOSE(CONTROL!$C$32, $C$9, 100%, $E$9)</f>
        <v>30.732500000000002</v>
      </c>
      <c r="K883" s="81">
        <f>30.7378 * CHOOSE(CONTROL!$C$32, $C$9, 100%, $E$9)</f>
        <v>30.7378</v>
      </c>
      <c r="L883" s="81">
        <f>15.0218 * CHOOSE(CONTROL!$C$32, $C$9, 100%, $E$9)</f>
        <v>15.021800000000001</v>
      </c>
      <c r="M883" s="81">
        <f>15.0271 * CHOOSE(CONTROL!$C$32, $C$9, 100%, $E$9)</f>
        <v>15.027100000000001</v>
      </c>
      <c r="N883" s="81">
        <f>15.0218 * CHOOSE(CONTROL!$C$32, $C$9, 100%, $E$9)</f>
        <v>15.021800000000001</v>
      </c>
      <c r="O883" s="81">
        <f>15.0271 * CHOOSE(CONTROL!$C$32, $C$9, 100%, $E$9)</f>
        <v>15.027100000000001</v>
      </c>
    </row>
    <row r="884" spans="1:15" ht="15" x14ac:dyDescent="0.2">
      <c r="A884" s="16">
        <v>68119</v>
      </c>
      <c r="B884" s="80">
        <f>13.2941 * CHOOSE(CONTROL!$C$32, $C$9, 100%, $E$9)</f>
        <v>13.2941</v>
      </c>
      <c r="C884" s="80">
        <f>13.2941 * CHOOSE(CONTROL!$C$32, $C$9, 100%, $E$9)</f>
        <v>13.2941</v>
      </c>
      <c r="D884" s="80">
        <f>13.2957 * CHOOSE(CONTROL!$C$32, $C$9, 100%, $E$9)</f>
        <v>13.2957</v>
      </c>
      <c r="E884" s="81">
        <f>15.2346 * CHOOSE(CONTROL!$C$32, $C$9, 100%, $E$9)</f>
        <v>15.2346</v>
      </c>
      <c r="F884" s="81">
        <f>15.2346 * CHOOSE(CONTROL!$C$32, $C$9, 100%, $E$9)</f>
        <v>15.2346</v>
      </c>
      <c r="G884" s="81">
        <f>15.2399 * CHOOSE(CONTROL!$C$32, $C$9, 100%, $E$9)</f>
        <v>15.2399</v>
      </c>
      <c r="H884" s="81">
        <f>30.7965 * CHOOSE(CONTROL!$C$32, $C$9, 100%, $E$9)</f>
        <v>30.796500000000002</v>
      </c>
      <c r="I884" s="81">
        <f>30.8018 * CHOOSE(CONTROL!$C$32, $C$9, 100%, $E$9)</f>
        <v>30.8018</v>
      </c>
      <c r="J884" s="81">
        <f>30.7965 * CHOOSE(CONTROL!$C$32, $C$9, 100%, $E$9)</f>
        <v>30.796500000000002</v>
      </c>
      <c r="K884" s="81">
        <f>30.8018 * CHOOSE(CONTROL!$C$32, $C$9, 100%, $E$9)</f>
        <v>30.8018</v>
      </c>
      <c r="L884" s="81">
        <f>15.2346 * CHOOSE(CONTROL!$C$32, $C$9, 100%, $E$9)</f>
        <v>15.2346</v>
      </c>
      <c r="M884" s="81">
        <f>15.2399 * CHOOSE(CONTROL!$C$32, $C$9, 100%, $E$9)</f>
        <v>15.2399</v>
      </c>
      <c r="N884" s="81">
        <f>15.2346 * CHOOSE(CONTROL!$C$32, $C$9, 100%, $E$9)</f>
        <v>15.2346</v>
      </c>
      <c r="O884" s="81">
        <f>15.2399 * CHOOSE(CONTROL!$C$32, $C$9, 100%, $E$9)</f>
        <v>15.2399</v>
      </c>
    </row>
    <row r="885" spans="1:15" ht="15" x14ac:dyDescent="0.2">
      <c r="A885" s="16">
        <v>68150</v>
      </c>
      <c r="B885" s="80">
        <f>13.3008 * CHOOSE(CONTROL!$C$32, $C$9, 100%, $E$9)</f>
        <v>13.300800000000001</v>
      </c>
      <c r="C885" s="80">
        <f>13.3008 * CHOOSE(CONTROL!$C$32, $C$9, 100%, $E$9)</f>
        <v>13.300800000000001</v>
      </c>
      <c r="D885" s="80">
        <f>13.3023 * CHOOSE(CONTROL!$C$32, $C$9, 100%, $E$9)</f>
        <v>13.302300000000001</v>
      </c>
      <c r="E885" s="81">
        <f>14.8561 * CHOOSE(CONTROL!$C$32, $C$9, 100%, $E$9)</f>
        <v>14.8561</v>
      </c>
      <c r="F885" s="81">
        <f>14.8561 * CHOOSE(CONTROL!$C$32, $C$9, 100%, $E$9)</f>
        <v>14.8561</v>
      </c>
      <c r="G885" s="81">
        <f>14.8614 * CHOOSE(CONTROL!$C$32, $C$9, 100%, $E$9)</f>
        <v>14.8614</v>
      </c>
      <c r="H885" s="81">
        <f>30.8607 * CHOOSE(CONTROL!$C$32, $C$9, 100%, $E$9)</f>
        <v>30.860700000000001</v>
      </c>
      <c r="I885" s="81">
        <f>30.866 * CHOOSE(CONTROL!$C$32, $C$9, 100%, $E$9)</f>
        <v>30.866</v>
      </c>
      <c r="J885" s="81">
        <f>30.8607 * CHOOSE(CONTROL!$C$32, $C$9, 100%, $E$9)</f>
        <v>30.860700000000001</v>
      </c>
      <c r="K885" s="81">
        <f>30.866 * CHOOSE(CONTROL!$C$32, $C$9, 100%, $E$9)</f>
        <v>30.866</v>
      </c>
      <c r="L885" s="81">
        <f>14.8561 * CHOOSE(CONTROL!$C$32, $C$9, 100%, $E$9)</f>
        <v>14.8561</v>
      </c>
      <c r="M885" s="81">
        <f>14.8614 * CHOOSE(CONTROL!$C$32, $C$9, 100%, $E$9)</f>
        <v>14.8614</v>
      </c>
      <c r="N885" s="81">
        <f>14.8561 * CHOOSE(CONTROL!$C$32, $C$9, 100%, $E$9)</f>
        <v>14.8561</v>
      </c>
      <c r="O885" s="81">
        <f>14.8614 * CHOOSE(CONTROL!$C$32, $C$9, 100%, $E$9)</f>
        <v>14.8614</v>
      </c>
    </row>
    <row r="886" spans="1:15" ht="15" x14ac:dyDescent="0.2">
      <c r="A886" s="16">
        <v>68181</v>
      </c>
      <c r="B886" s="80">
        <f>13.2977 * CHOOSE(CONTROL!$C$32, $C$9, 100%, $E$9)</f>
        <v>13.297700000000001</v>
      </c>
      <c r="C886" s="80">
        <f>13.2977 * CHOOSE(CONTROL!$C$32, $C$9, 100%, $E$9)</f>
        <v>13.297700000000001</v>
      </c>
      <c r="D886" s="80">
        <f>13.2993 * CHOOSE(CONTROL!$C$32, $C$9, 100%, $E$9)</f>
        <v>13.299300000000001</v>
      </c>
      <c r="E886" s="81">
        <f>14.8114 * CHOOSE(CONTROL!$C$32, $C$9, 100%, $E$9)</f>
        <v>14.811400000000001</v>
      </c>
      <c r="F886" s="81">
        <f>14.8114 * CHOOSE(CONTROL!$C$32, $C$9, 100%, $E$9)</f>
        <v>14.811400000000001</v>
      </c>
      <c r="G886" s="81">
        <f>14.8167 * CHOOSE(CONTROL!$C$32, $C$9, 100%, $E$9)</f>
        <v>14.816700000000001</v>
      </c>
      <c r="H886" s="81">
        <f>30.925 * CHOOSE(CONTROL!$C$32, $C$9, 100%, $E$9)</f>
        <v>30.925000000000001</v>
      </c>
      <c r="I886" s="81">
        <f>30.9303 * CHOOSE(CONTROL!$C$32, $C$9, 100%, $E$9)</f>
        <v>30.930299999999999</v>
      </c>
      <c r="J886" s="81">
        <f>30.925 * CHOOSE(CONTROL!$C$32, $C$9, 100%, $E$9)</f>
        <v>30.925000000000001</v>
      </c>
      <c r="K886" s="81">
        <f>30.9303 * CHOOSE(CONTROL!$C$32, $C$9, 100%, $E$9)</f>
        <v>30.930299999999999</v>
      </c>
      <c r="L886" s="81">
        <f>14.8114 * CHOOSE(CONTROL!$C$32, $C$9, 100%, $E$9)</f>
        <v>14.811400000000001</v>
      </c>
      <c r="M886" s="81">
        <f>14.8167 * CHOOSE(CONTROL!$C$32, $C$9, 100%, $E$9)</f>
        <v>14.816700000000001</v>
      </c>
      <c r="N886" s="81">
        <f>14.8114 * CHOOSE(CONTROL!$C$32, $C$9, 100%, $E$9)</f>
        <v>14.811400000000001</v>
      </c>
      <c r="O886" s="81">
        <f>14.8167 * CHOOSE(CONTROL!$C$32, $C$9, 100%, $E$9)</f>
        <v>14.816700000000001</v>
      </c>
    </row>
    <row r="887" spans="1:15" ht="15" x14ac:dyDescent="0.2">
      <c r="A887" s="16">
        <v>68211</v>
      </c>
      <c r="B887" s="80">
        <f>13.3275 * CHOOSE(CONTROL!$C$32, $C$9, 100%, $E$9)</f>
        <v>13.327500000000001</v>
      </c>
      <c r="C887" s="80">
        <f>13.3275 * CHOOSE(CONTROL!$C$32, $C$9, 100%, $E$9)</f>
        <v>13.327500000000001</v>
      </c>
      <c r="D887" s="80">
        <f>13.3286 * CHOOSE(CONTROL!$C$32, $C$9, 100%, $E$9)</f>
        <v>13.3286</v>
      </c>
      <c r="E887" s="81">
        <f>14.9683 * CHOOSE(CONTROL!$C$32, $C$9, 100%, $E$9)</f>
        <v>14.968299999999999</v>
      </c>
      <c r="F887" s="81">
        <f>14.9683 * CHOOSE(CONTROL!$C$32, $C$9, 100%, $E$9)</f>
        <v>14.968299999999999</v>
      </c>
      <c r="G887" s="81">
        <f>14.9719 * CHOOSE(CONTROL!$C$32, $C$9, 100%, $E$9)</f>
        <v>14.9719</v>
      </c>
      <c r="H887" s="81">
        <f>30.9894 * CHOOSE(CONTROL!$C$32, $C$9, 100%, $E$9)</f>
        <v>30.9894</v>
      </c>
      <c r="I887" s="81">
        <f>30.993 * CHOOSE(CONTROL!$C$32, $C$9, 100%, $E$9)</f>
        <v>30.992999999999999</v>
      </c>
      <c r="J887" s="81">
        <f>30.9894 * CHOOSE(CONTROL!$C$32, $C$9, 100%, $E$9)</f>
        <v>30.9894</v>
      </c>
      <c r="K887" s="81">
        <f>30.993 * CHOOSE(CONTROL!$C$32, $C$9, 100%, $E$9)</f>
        <v>30.992999999999999</v>
      </c>
      <c r="L887" s="81">
        <f>14.9683 * CHOOSE(CONTROL!$C$32, $C$9, 100%, $E$9)</f>
        <v>14.968299999999999</v>
      </c>
      <c r="M887" s="81">
        <f>14.9719 * CHOOSE(CONTROL!$C$32, $C$9, 100%, $E$9)</f>
        <v>14.9719</v>
      </c>
      <c r="N887" s="81">
        <f>14.9683 * CHOOSE(CONTROL!$C$32, $C$9, 100%, $E$9)</f>
        <v>14.968299999999999</v>
      </c>
      <c r="O887" s="81">
        <f>14.9719 * CHOOSE(CONTROL!$C$32, $C$9, 100%, $E$9)</f>
        <v>14.9719</v>
      </c>
    </row>
    <row r="888" spans="1:15" ht="15" x14ac:dyDescent="0.2">
      <c r="A888" s="16">
        <v>68242</v>
      </c>
      <c r="B888" s="80">
        <f>13.3306 * CHOOSE(CONTROL!$C$32, $C$9, 100%, $E$9)</f>
        <v>13.3306</v>
      </c>
      <c r="C888" s="80">
        <f>13.3306 * CHOOSE(CONTROL!$C$32, $C$9, 100%, $E$9)</f>
        <v>13.3306</v>
      </c>
      <c r="D888" s="80">
        <f>13.3317 * CHOOSE(CONTROL!$C$32, $C$9, 100%, $E$9)</f>
        <v>13.3317</v>
      </c>
      <c r="E888" s="81">
        <f>15.0555 * CHOOSE(CONTROL!$C$32, $C$9, 100%, $E$9)</f>
        <v>15.0555</v>
      </c>
      <c r="F888" s="81">
        <f>15.0555 * CHOOSE(CONTROL!$C$32, $C$9, 100%, $E$9)</f>
        <v>15.0555</v>
      </c>
      <c r="G888" s="81">
        <f>15.0591 * CHOOSE(CONTROL!$C$32, $C$9, 100%, $E$9)</f>
        <v>15.059100000000001</v>
      </c>
      <c r="H888" s="81">
        <f>31.054 * CHOOSE(CONTROL!$C$32, $C$9, 100%, $E$9)</f>
        <v>31.053999999999998</v>
      </c>
      <c r="I888" s="81">
        <f>31.0576 * CHOOSE(CONTROL!$C$32, $C$9, 100%, $E$9)</f>
        <v>31.057600000000001</v>
      </c>
      <c r="J888" s="81">
        <f>31.054 * CHOOSE(CONTROL!$C$32, $C$9, 100%, $E$9)</f>
        <v>31.053999999999998</v>
      </c>
      <c r="K888" s="81">
        <f>31.0576 * CHOOSE(CONTROL!$C$32, $C$9, 100%, $E$9)</f>
        <v>31.057600000000001</v>
      </c>
      <c r="L888" s="81">
        <f>15.0555 * CHOOSE(CONTROL!$C$32, $C$9, 100%, $E$9)</f>
        <v>15.0555</v>
      </c>
      <c r="M888" s="81">
        <f>15.0591 * CHOOSE(CONTROL!$C$32, $C$9, 100%, $E$9)</f>
        <v>15.059100000000001</v>
      </c>
      <c r="N888" s="81">
        <f>15.0555 * CHOOSE(CONTROL!$C$32, $C$9, 100%, $E$9)</f>
        <v>15.0555</v>
      </c>
      <c r="O888" s="81">
        <f>15.0591 * CHOOSE(CONTROL!$C$32, $C$9, 100%, $E$9)</f>
        <v>15.059100000000001</v>
      </c>
    </row>
    <row r="889" spans="1:15" ht="15" x14ac:dyDescent="0.2">
      <c r="A889" s="16">
        <v>68272</v>
      </c>
      <c r="B889" s="80">
        <f>13.3306 * CHOOSE(CONTROL!$C$32, $C$9, 100%, $E$9)</f>
        <v>13.3306</v>
      </c>
      <c r="C889" s="80">
        <f>13.3306 * CHOOSE(CONTROL!$C$32, $C$9, 100%, $E$9)</f>
        <v>13.3306</v>
      </c>
      <c r="D889" s="80">
        <f>13.3317 * CHOOSE(CONTROL!$C$32, $C$9, 100%, $E$9)</f>
        <v>13.3317</v>
      </c>
      <c r="E889" s="81">
        <f>14.8427 * CHOOSE(CONTROL!$C$32, $C$9, 100%, $E$9)</f>
        <v>14.842700000000001</v>
      </c>
      <c r="F889" s="81">
        <f>14.8427 * CHOOSE(CONTROL!$C$32, $C$9, 100%, $E$9)</f>
        <v>14.842700000000001</v>
      </c>
      <c r="G889" s="81">
        <f>14.8463 * CHOOSE(CONTROL!$C$32, $C$9, 100%, $E$9)</f>
        <v>14.846299999999999</v>
      </c>
      <c r="H889" s="81">
        <f>31.1187 * CHOOSE(CONTROL!$C$32, $C$9, 100%, $E$9)</f>
        <v>31.1187</v>
      </c>
      <c r="I889" s="81">
        <f>31.1223 * CHOOSE(CONTROL!$C$32, $C$9, 100%, $E$9)</f>
        <v>31.122299999999999</v>
      </c>
      <c r="J889" s="81">
        <f>31.1187 * CHOOSE(CONTROL!$C$32, $C$9, 100%, $E$9)</f>
        <v>31.1187</v>
      </c>
      <c r="K889" s="81">
        <f>31.1223 * CHOOSE(CONTROL!$C$32, $C$9, 100%, $E$9)</f>
        <v>31.122299999999999</v>
      </c>
      <c r="L889" s="81">
        <f>14.8427 * CHOOSE(CONTROL!$C$32, $C$9, 100%, $E$9)</f>
        <v>14.842700000000001</v>
      </c>
      <c r="M889" s="81">
        <f>14.8463 * CHOOSE(CONTROL!$C$32, $C$9, 100%, $E$9)</f>
        <v>14.846299999999999</v>
      </c>
      <c r="N889" s="81">
        <f>14.8427 * CHOOSE(CONTROL!$C$32, $C$9, 100%, $E$9)</f>
        <v>14.842700000000001</v>
      </c>
      <c r="O889" s="81">
        <f>14.8463 * CHOOSE(CONTROL!$C$32, $C$9, 100%, $E$9)</f>
        <v>14.846299999999999</v>
      </c>
    </row>
    <row r="890" spans="1:15" ht="15" x14ac:dyDescent="0.2">
      <c r="A890" s="16">
        <v>68303</v>
      </c>
      <c r="B890" s="80">
        <f>13.3162 * CHOOSE(CONTROL!$C$32, $C$9, 100%, $E$9)</f>
        <v>13.3162</v>
      </c>
      <c r="C890" s="80">
        <f>13.3162 * CHOOSE(CONTROL!$C$32, $C$9, 100%, $E$9)</f>
        <v>13.3162</v>
      </c>
      <c r="D890" s="80">
        <f>13.3172 * CHOOSE(CONTROL!$C$32, $C$9, 100%, $E$9)</f>
        <v>13.3172</v>
      </c>
      <c r="E890" s="81">
        <f>14.9831 * CHOOSE(CONTROL!$C$32, $C$9, 100%, $E$9)</f>
        <v>14.9831</v>
      </c>
      <c r="F890" s="81">
        <f>14.9831 * CHOOSE(CONTROL!$C$32, $C$9, 100%, $E$9)</f>
        <v>14.9831</v>
      </c>
      <c r="G890" s="81">
        <f>14.9867 * CHOOSE(CONTROL!$C$32, $C$9, 100%, $E$9)</f>
        <v>14.986700000000001</v>
      </c>
      <c r="H890" s="81">
        <f>30.8784 * CHOOSE(CONTROL!$C$32, $C$9, 100%, $E$9)</f>
        <v>30.878399999999999</v>
      </c>
      <c r="I890" s="81">
        <f>30.882 * CHOOSE(CONTROL!$C$32, $C$9, 100%, $E$9)</f>
        <v>30.882000000000001</v>
      </c>
      <c r="J890" s="81">
        <f>30.8784 * CHOOSE(CONTROL!$C$32, $C$9, 100%, $E$9)</f>
        <v>30.878399999999999</v>
      </c>
      <c r="K890" s="81">
        <f>30.882 * CHOOSE(CONTROL!$C$32, $C$9, 100%, $E$9)</f>
        <v>30.882000000000001</v>
      </c>
      <c r="L890" s="81">
        <f>14.9831 * CHOOSE(CONTROL!$C$32, $C$9, 100%, $E$9)</f>
        <v>14.9831</v>
      </c>
      <c r="M890" s="81">
        <f>14.9867 * CHOOSE(CONTROL!$C$32, $C$9, 100%, $E$9)</f>
        <v>14.986700000000001</v>
      </c>
      <c r="N890" s="81">
        <f>14.9831 * CHOOSE(CONTROL!$C$32, $C$9, 100%, $E$9)</f>
        <v>14.9831</v>
      </c>
      <c r="O890" s="81">
        <f>14.9867 * CHOOSE(CONTROL!$C$32, $C$9, 100%, $E$9)</f>
        <v>14.986700000000001</v>
      </c>
    </row>
    <row r="891" spans="1:15" ht="15" x14ac:dyDescent="0.2">
      <c r="A891" s="16">
        <v>68334</v>
      </c>
      <c r="B891" s="80">
        <f>13.3131 * CHOOSE(CONTROL!$C$32, $C$9, 100%, $E$9)</f>
        <v>13.3131</v>
      </c>
      <c r="C891" s="80">
        <f>13.3131 * CHOOSE(CONTROL!$C$32, $C$9, 100%, $E$9)</f>
        <v>13.3131</v>
      </c>
      <c r="D891" s="80">
        <f>13.3142 * CHOOSE(CONTROL!$C$32, $C$9, 100%, $E$9)</f>
        <v>13.3142</v>
      </c>
      <c r="E891" s="81">
        <f>14.5716 * CHOOSE(CONTROL!$C$32, $C$9, 100%, $E$9)</f>
        <v>14.5716</v>
      </c>
      <c r="F891" s="81">
        <f>14.5716 * CHOOSE(CONTROL!$C$32, $C$9, 100%, $E$9)</f>
        <v>14.5716</v>
      </c>
      <c r="G891" s="81">
        <f>14.5752 * CHOOSE(CONTROL!$C$32, $C$9, 100%, $E$9)</f>
        <v>14.575200000000001</v>
      </c>
      <c r="H891" s="81">
        <f>30.9427 * CHOOSE(CONTROL!$C$32, $C$9, 100%, $E$9)</f>
        <v>30.942699999999999</v>
      </c>
      <c r="I891" s="81">
        <f>30.9463 * CHOOSE(CONTROL!$C$32, $C$9, 100%, $E$9)</f>
        <v>30.946300000000001</v>
      </c>
      <c r="J891" s="81">
        <f>30.9427 * CHOOSE(CONTROL!$C$32, $C$9, 100%, $E$9)</f>
        <v>30.942699999999999</v>
      </c>
      <c r="K891" s="81">
        <f>30.9463 * CHOOSE(CONTROL!$C$32, $C$9, 100%, $E$9)</f>
        <v>30.946300000000001</v>
      </c>
      <c r="L891" s="81">
        <f>14.5716 * CHOOSE(CONTROL!$C$32, $C$9, 100%, $E$9)</f>
        <v>14.5716</v>
      </c>
      <c r="M891" s="81">
        <f>14.5752 * CHOOSE(CONTROL!$C$32, $C$9, 100%, $E$9)</f>
        <v>14.575200000000001</v>
      </c>
      <c r="N891" s="81">
        <f>14.5716 * CHOOSE(CONTROL!$C$32, $C$9, 100%, $E$9)</f>
        <v>14.5716</v>
      </c>
      <c r="O891" s="81">
        <f>14.5752 * CHOOSE(CONTROL!$C$32, $C$9, 100%, $E$9)</f>
        <v>14.575200000000001</v>
      </c>
    </row>
    <row r="892" spans="1:15" ht="15" x14ac:dyDescent="0.2">
      <c r="A892" s="16">
        <v>68362</v>
      </c>
      <c r="B892" s="80">
        <f>13.3101 * CHOOSE(CONTROL!$C$32, $C$9, 100%, $E$9)</f>
        <v>13.3101</v>
      </c>
      <c r="C892" s="80">
        <f>13.3101 * CHOOSE(CONTROL!$C$32, $C$9, 100%, $E$9)</f>
        <v>13.3101</v>
      </c>
      <c r="D892" s="80">
        <f>13.3112 * CHOOSE(CONTROL!$C$32, $C$9, 100%, $E$9)</f>
        <v>13.311199999999999</v>
      </c>
      <c r="E892" s="81">
        <f>14.8922 * CHOOSE(CONTROL!$C$32, $C$9, 100%, $E$9)</f>
        <v>14.892200000000001</v>
      </c>
      <c r="F892" s="81">
        <f>14.8922 * CHOOSE(CONTROL!$C$32, $C$9, 100%, $E$9)</f>
        <v>14.892200000000001</v>
      </c>
      <c r="G892" s="81">
        <f>14.8958 * CHOOSE(CONTROL!$C$32, $C$9, 100%, $E$9)</f>
        <v>14.895799999999999</v>
      </c>
      <c r="H892" s="81">
        <f>31.0072 * CHOOSE(CONTROL!$C$32, $C$9, 100%, $E$9)</f>
        <v>31.007200000000001</v>
      </c>
      <c r="I892" s="81">
        <f>31.0108 * CHOOSE(CONTROL!$C$32, $C$9, 100%, $E$9)</f>
        <v>31.0108</v>
      </c>
      <c r="J892" s="81">
        <f>31.0072 * CHOOSE(CONTROL!$C$32, $C$9, 100%, $E$9)</f>
        <v>31.007200000000001</v>
      </c>
      <c r="K892" s="81">
        <f>31.0108 * CHOOSE(CONTROL!$C$32, $C$9, 100%, $E$9)</f>
        <v>31.0108</v>
      </c>
      <c r="L892" s="81">
        <f>14.8922 * CHOOSE(CONTROL!$C$32, $C$9, 100%, $E$9)</f>
        <v>14.892200000000001</v>
      </c>
      <c r="M892" s="81">
        <f>14.8958 * CHOOSE(CONTROL!$C$32, $C$9, 100%, $E$9)</f>
        <v>14.895799999999999</v>
      </c>
      <c r="N892" s="81">
        <f>14.8922 * CHOOSE(CONTROL!$C$32, $C$9, 100%, $E$9)</f>
        <v>14.892200000000001</v>
      </c>
      <c r="O892" s="81">
        <f>14.8958 * CHOOSE(CONTROL!$C$32, $C$9, 100%, $E$9)</f>
        <v>14.895799999999999</v>
      </c>
    </row>
    <row r="893" spans="1:15" ht="15" x14ac:dyDescent="0.2">
      <c r="A893" s="16">
        <v>68393</v>
      </c>
      <c r="B893" s="80">
        <f>13.3168 * CHOOSE(CONTROL!$C$32, $C$9, 100%, $E$9)</f>
        <v>13.316800000000001</v>
      </c>
      <c r="C893" s="80">
        <f>13.3168 * CHOOSE(CONTROL!$C$32, $C$9, 100%, $E$9)</f>
        <v>13.316800000000001</v>
      </c>
      <c r="D893" s="80">
        <f>13.3178 * CHOOSE(CONTROL!$C$32, $C$9, 100%, $E$9)</f>
        <v>13.3178</v>
      </c>
      <c r="E893" s="81">
        <f>15.2346 * CHOOSE(CONTROL!$C$32, $C$9, 100%, $E$9)</f>
        <v>15.2346</v>
      </c>
      <c r="F893" s="81">
        <f>15.2346 * CHOOSE(CONTROL!$C$32, $C$9, 100%, $E$9)</f>
        <v>15.2346</v>
      </c>
      <c r="G893" s="81">
        <f>15.2382 * CHOOSE(CONTROL!$C$32, $C$9, 100%, $E$9)</f>
        <v>15.238200000000001</v>
      </c>
      <c r="H893" s="81">
        <f>31.0718 * CHOOSE(CONTROL!$C$32, $C$9, 100%, $E$9)</f>
        <v>31.0718</v>
      </c>
      <c r="I893" s="81">
        <f>31.0754 * CHOOSE(CONTROL!$C$32, $C$9, 100%, $E$9)</f>
        <v>31.075399999999998</v>
      </c>
      <c r="J893" s="81">
        <f>31.0718 * CHOOSE(CONTROL!$C$32, $C$9, 100%, $E$9)</f>
        <v>31.0718</v>
      </c>
      <c r="K893" s="81">
        <f>31.0754 * CHOOSE(CONTROL!$C$32, $C$9, 100%, $E$9)</f>
        <v>31.075399999999998</v>
      </c>
      <c r="L893" s="81">
        <f>15.2346 * CHOOSE(CONTROL!$C$32, $C$9, 100%, $E$9)</f>
        <v>15.2346</v>
      </c>
      <c r="M893" s="81">
        <f>15.2382 * CHOOSE(CONTROL!$C$32, $C$9, 100%, $E$9)</f>
        <v>15.238200000000001</v>
      </c>
      <c r="N893" s="81">
        <f>15.2346 * CHOOSE(CONTROL!$C$32, $C$9, 100%, $E$9)</f>
        <v>15.2346</v>
      </c>
      <c r="O893" s="81">
        <f>15.2382 * CHOOSE(CONTROL!$C$32, $C$9, 100%, $E$9)</f>
        <v>15.238200000000001</v>
      </c>
    </row>
    <row r="894" spans="1:15" ht="15" x14ac:dyDescent="0.2">
      <c r="A894" s="16">
        <v>68423</v>
      </c>
      <c r="B894" s="80">
        <f>13.3168 * CHOOSE(CONTROL!$C$32, $C$9, 100%, $E$9)</f>
        <v>13.316800000000001</v>
      </c>
      <c r="C894" s="80">
        <f>13.3168 * CHOOSE(CONTROL!$C$32, $C$9, 100%, $E$9)</f>
        <v>13.316800000000001</v>
      </c>
      <c r="D894" s="80">
        <f>13.3183 * CHOOSE(CONTROL!$C$32, $C$9, 100%, $E$9)</f>
        <v>13.318300000000001</v>
      </c>
      <c r="E894" s="81">
        <f>15.3645 * CHOOSE(CONTROL!$C$32, $C$9, 100%, $E$9)</f>
        <v>15.3645</v>
      </c>
      <c r="F894" s="81">
        <f>15.3645 * CHOOSE(CONTROL!$C$32, $C$9, 100%, $E$9)</f>
        <v>15.3645</v>
      </c>
      <c r="G894" s="81">
        <f>15.3698 * CHOOSE(CONTROL!$C$32, $C$9, 100%, $E$9)</f>
        <v>15.3698</v>
      </c>
      <c r="H894" s="81">
        <f>31.1365 * CHOOSE(CONTROL!$C$32, $C$9, 100%, $E$9)</f>
        <v>31.136500000000002</v>
      </c>
      <c r="I894" s="81">
        <f>31.1418 * CHOOSE(CONTROL!$C$32, $C$9, 100%, $E$9)</f>
        <v>31.1418</v>
      </c>
      <c r="J894" s="81">
        <f>31.1365 * CHOOSE(CONTROL!$C$32, $C$9, 100%, $E$9)</f>
        <v>31.136500000000002</v>
      </c>
      <c r="K894" s="81">
        <f>31.1418 * CHOOSE(CONTROL!$C$32, $C$9, 100%, $E$9)</f>
        <v>31.1418</v>
      </c>
      <c r="L894" s="81">
        <f>15.3645 * CHOOSE(CONTROL!$C$32, $C$9, 100%, $E$9)</f>
        <v>15.3645</v>
      </c>
      <c r="M894" s="81">
        <f>15.3698 * CHOOSE(CONTROL!$C$32, $C$9, 100%, $E$9)</f>
        <v>15.3698</v>
      </c>
      <c r="N894" s="81">
        <f>15.3645 * CHOOSE(CONTROL!$C$32, $C$9, 100%, $E$9)</f>
        <v>15.3645</v>
      </c>
      <c r="O894" s="81">
        <f>15.3698 * CHOOSE(CONTROL!$C$32, $C$9, 100%, $E$9)</f>
        <v>15.3698</v>
      </c>
    </row>
    <row r="895" spans="1:15" ht="15" x14ac:dyDescent="0.2">
      <c r="A895" s="16">
        <v>68454</v>
      </c>
      <c r="B895" s="80">
        <f>13.3229 * CHOOSE(CONTROL!$C$32, $C$9, 100%, $E$9)</f>
        <v>13.322900000000001</v>
      </c>
      <c r="C895" s="80">
        <f>13.3229 * CHOOSE(CONTROL!$C$32, $C$9, 100%, $E$9)</f>
        <v>13.322900000000001</v>
      </c>
      <c r="D895" s="80">
        <f>13.3244 * CHOOSE(CONTROL!$C$32, $C$9, 100%, $E$9)</f>
        <v>13.324400000000001</v>
      </c>
      <c r="E895" s="81">
        <f>15.2388 * CHOOSE(CONTROL!$C$32, $C$9, 100%, $E$9)</f>
        <v>15.238799999999999</v>
      </c>
      <c r="F895" s="81">
        <f>15.2388 * CHOOSE(CONTROL!$C$32, $C$9, 100%, $E$9)</f>
        <v>15.238799999999999</v>
      </c>
      <c r="G895" s="81">
        <f>15.2441 * CHOOSE(CONTROL!$C$32, $C$9, 100%, $E$9)</f>
        <v>15.2441</v>
      </c>
      <c r="H895" s="81">
        <f>31.2014 * CHOOSE(CONTROL!$C$32, $C$9, 100%, $E$9)</f>
        <v>31.2014</v>
      </c>
      <c r="I895" s="81">
        <f>31.2067 * CHOOSE(CONTROL!$C$32, $C$9, 100%, $E$9)</f>
        <v>31.206700000000001</v>
      </c>
      <c r="J895" s="81">
        <f>31.2014 * CHOOSE(CONTROL!$C$32, $C$9, 100%, $E$9)</f>
        <v>31.2014</v>
      </c>
      <c r="K895" s="81">
        <f>31.2067 * CHOOSE(CONTROL!$C$32, $C$9, 100%, $E$9)</f>
        <v>31.206700000000001</v>
      </c>
      <c r="L895" s="81">
        <f>15.2388 * CHOOSE(CONTROL!$C$32, $C$9, 100%, $E$9)</f>
        <v>15.238799999999999</v>
      </c>
      <c r="M895" s="81">
        <f>15.2441 * CHOOSE(CONTROL!$C$32, $C$9, 100%, $E$9)</f>
        <v>15.2441</v>
      </c>
      <c r="N895" s="81">
        <f>15.2388 * CHOOSE(CONTROL!$C$32, $C$9, 100%, $E$9)</f>
        <v>15.238799999999999</v>
      </c>
      <c r="O895" s="81">
        <f>15.2441 * CHOOSE(CONTROL!$C$32, $C$9, 100%, $E$9)</f>
        <v>15.2441</v>
      </c>
    </row>
    <row r="896" spans="1:15" ht="15" x14ac:dyDescent="0.2">
      <c r="A896" s="16">
        <v>68484</v>
      </c>
      <c r="B896" s="80">
        <f>13.4837 * CHOOSE(CONTROL!$C$32, $C$9, 100%, $E$9)</f>
        <v>13.483700000000001</v>
      </c>
      <c r="C896" s="80">
        <f>13.4837 * CHOOSE(CONTROL!$C$32, $C$9, 100%, $E$9)</f>
        <v>13.483700000000001</v>
      </c>
      <c r="D896" s="80">
        <f>13.4853 * CHOOSE(CONTROL!$C$32, $C$9, 100%, $E$9)</f>
        <v>13.485300000000001</v>
      </c>
      <c r="E896" s="81">
        <f>15.4548 * CHOOSE(CONTROL!$C$32, $C$9, 100%, $E$9)</f>
        <v>15.454800000000001</v>
      </c>
      <c r="F896" s="81">
        <f>15.4548 * CHOOSE(CONTROL!$C$32, $C$9, 100%, $E$9)</f>
        <v>15.454800000000001</v>
      </c>
      <c r="G896" s="81">
        <f>15.4601 * CHOOSE(CONTROL!$C$32, $C$9, 100%, $E$9)</f>
        <v>15.460100000000001</v>
      </c>
      <c r="H896" s="81">
        <f>31.2664 * CHOOSE(CONTROL!$C$32, $C$9, 100%, $E$9)</f>
        <v>31.266400000000001</v>
      </c>
      <c r="I896" s="81">
        <f>31.2717 * CHOOSE(CONTROL!$C$32, $C$9, 100%, $E$9)</f>
        <v>31.271699999999999</v>
      </c>
      <c r="J896" s="81">
        <f>31.2664 * CHOOSE(CONTROL!$C$32, $C$9, 100%, $E$9)</f>
        <v>31.266400000000001</v>
      </c>
      <c r="K896" s="81">
        <f>31.2717 * CHOOSE(CONTROL!$C$32, $C$9, 100%, $E$9)</f>
        <v>31.271699999999999</v>
      </c>
      <c r="L896" s="81">
        <f>15.4548 * CHOOSE(CONTROL!$C$32, $C$9, 100%, $E$9)</f>
        <v>15.454800000000001</v>
      </c>
      <c r="M896" s="81">
        <f>15.4601 * CHOOSE(CONTROL!$C$32, $C$9, 100%, $E$9)</f>
        <v>15.460100000000001</v>
      </c>
      <c r="N896" s="81">
        <f>15.4548 * CHOOSE(CONTROL!$C$32, $C$9, 100%, $E$9)</f>
        <v>15.454800000000001</v>
      </c>
      <c r="O896" s="81">
        <f>15.4601 * CHOOSE(CONTROL!$C$32, $C$9, 100%, $E$9)</f>
        <v>15.460100000000001</v>
      </c>
    </row>
    <row r="897" spans="1:15" ht="15" x14ac:dyDescent="0.2">
      <c r="A897" s="16">
        <v>68515</v>
      </c>
      <c r="B897" s="80">
        <f>13.4904 * CHOOSE(CONTROL!$C$32, $C$9, 100%, $E$9)</f>
        <v>13.490399999999999</v>
      </c>
      <c r="C897" s="80">
        <f>13.4904 * CHOOSE(CONTROL!$C$32, $C$9, 100%, $E$9)</f>
        <v>13.490399999999999</v>
      </c>
      <c r="D897" s="80">
        <f>13.4919 * CHOOSE(CONTROL!$C$32, $C$9, 100%, $E$9)</f>
        <v>13.491899999999999</v>
      </c>
      <c r="E897" s="81">
        <f>15.0695 * CHOOSE(CONTROL!$C$32, $C$9, 100%, $E$9)</f>
        <v>15.0695</v>
      </c>
      <c r="F897" s="81">
        <f>15.0695 * CHOOSE(CONTROL!$C$32, $C$9, 100%, $E$9)</f>
        <v>15.0695</v>
      </c>
      <c r="G897" s="81">
        <f>15.0748 * CHOOSE(CONTROL!$C$32, $C$9, 100%, $E$9)</f>
        <v>15.0748</v>
      </c>
      <c r="H897" s="81">
        <f>31.3315 * CHOOSE(CONTROL!$C$32, $C$9, 100%, $E$9)</f>
        <v>31.331499999999998</v>
      </c>
      <c r="I897" s="81">
        <f>31.3368 * CHOOSE(CONTROL!$C$32, $C$9, 100%, $E$9)</f>
        <v>31.3368</v>
      </c>
      <c r="J897" s="81">
        <f>31.3315 * CHOOSE(CONTROL!$C$32, $C$9, 100%, $E$9)</f>
        <v>31.331499999999998</v>
      </c>
      <c r="K897" s="81">
        <f>31.3368 * CHOOSE(CONTROL!$C$32, $C$9, 100%, $E$9)</f>
        <v>31.3368</v>
      </c>
      <c r="L897" s="81">
        <f>15.0695 * CHOOSE(CONTROL!$C$32, $C$9, 100%, $E$9)</f>
        <v>15.0695</v>
      </c>
      <c r="M897" s="81">
        <f>15.0748 * CHOOSE(CONTROL!$C$32, $C$9, 100%, $E$9)</f>
        <v>15.0748</v>
      </c>
      <c r="N897" s="81">
        <f>15.0695 * CHOOSE(CONTROL!$C$32, $C$9, 100%, $E$9)</f>
        <v>15.0695</v>
      </c>
      <c r="O897" s="81">
        <f>15.0748 * CHOOSE(CONTROL!$C$32, $C$9, 100%, $E$9)</f>
        <v>15.0748</v>
      </c>
    </row>
    <row r="898" spans="1:15" ht="15" x14ac:dyDescent="0.2">
      <c r="A898" s="16">
        <v>68546</v>
      </c>
      <c r="B898" s="80">
        <f>13.4873 * CHOOSE(CONTROL!$C$32, $C$9, 100%, $E$9)</f>
        <v>13.487299999999999</v>
      </c>
      <c r="C898" s="80">
        <f>13.4873 * CHOOSE(CONTROL!$C$32, $C$9, 100%, $E$9)</f>
        <v>13.487299999999999</v>
      </c>
      <c r="D898" s="80">
        <f>13.4889 * CHOOSE(CONTROL!$C$32, $C$9, 100%, $E$9)</f>
        <v>13.488899999999999</v>
      </c>
      <c r="E898" s="81">
        <f>15.0241 * CHOOSE(CONTROL!$C$32, $C$9, 100%, $E$9)</f>
        <v>15.024100000000001</v>
      </c>
      <c r="F898" s="81">
        <f>15.0241 * CHOOSE(CONTROL!$C$32, $C$9, 100%, $E$9)</f>
        <v>15.024100000000001</v>
      </c>
      <c r="G898" s="81">
        <f>15.0294 * CHOOSE(CONTROL!$C$32, $C$9, 100%, $E$9)</f>
        <v>15.029400000000001</v>
      </c>
      <c r="H898" s="81">
        <f>31.3968 * CHOOSE(CONTROL!$C$32, $C$9, 100%, $E$9)</f>
        <v>31.396799999999999</v>
      </c>
      <c r="I898" s="81">
        <f>31.4021 * CHOOSE(CONTROL!$C$32, $C$9, 100%, $E$9)</f>
        <v>31.402100000000001</v>
      </c>
      <c r="J898" s="81">
        <f>31.3968 * CHOOSE(CONTROL!$C$32, $C$9, 100%, $E$9)</f>
        <v>31.396799999999999</v>
      </c>
      <c r="K898" s="81">
        <f>31.4021 * CHOOSE(CONTROL!$C$32, $C$9, 100%, $E$9)</f>
        <v>31.402100000000001</v>
      </c>
      <c r="L898" s="81">
        <f>15.0241 * CHOOSE(CONTROL!$C$32, $C$9, 100%, $E$9)</f>
        <v>15.024100000000001</v>
      </c>
      <c r="M898" s="81">
        <f>15.0294 * CHOOSE(CONTROL!$C$32, $C$9, 100%, $E$9)</f>
        <v>15.029400000000001</v>
      </c>
      <c r="N898" s="81">
        <f>15.0241 * CHOOSE(CONTROL!$C$32, $C$9, 100%, $E$9)</f>
        <v>15.024100000000001</v>
      </c>
      <c r="O898" s="81">
        <f>15.0294 * CHOOSE(CONTROL!$C$32, $C$9, 100%, $E$9)</f>
        <v>15.029400000000001</v>
      </c>
    </row>
    <row r="899" spans="1:15" ht="15" x14ac:dyDescent="0.2">
      <c r="A899" s="16">
        <v>68576</v>
      </c>
      <c r="B899" s="80">
        <f>13.5179 * CHOOSE(CONTROL!$C$32, $C$9, 100%, $E$9)</f>
        <v>13.517899999999999</v>
      </c>
      <c r="C899" s="80">
        <f>13.5179 * CHOOSE(CONTROL!$C$32, $C$9, 100%, $E$9)</f>
        <v>13.517899999999999</v>
      </c>
      <c r="D899" s="80">
        <f>13.5189 * CHOOSE(CONTROL!$C$32, $C$9, 100%, $E$9)</f>
        <v>13.5189</v>
      </c>
      <c r="E899" s="81">
        <f>15.1839 * CHOOSE(CONTROL!$C$32, $C$9, 100%, $E$9)</f>
        <v>15.1839</v>
      </c>
      <c r="F899" s="81">
        <f>15.1839 * CHOOSE(CONTROL!$C$32, $C$9, 100%, $E$9)</f>
        <v>15.1839</v>
      </c>
      <c r="G899" s="81">
        <f>15.1876 * CHOOSE(CONTROL!$C$32, $C$9, 100%, $E$9)</f>
        <v>15.1876</v>
      </c>
      <c r="H899" s="81">
        <f>31.4622 * CHOOSE(CONTROL!$C$32, $C$9, 100%, $E$9)</f>
        <v>31.462199999999999</v>
      </c>
      <c r="I899" s="81">
        <f>31.4658 * CHOOSE(CONTROL!$C$32, $C$9, 100%, $E$9)</f>
        <v>31.465800000000002</v>
      </c>
      <c r="J899" s="81">
        <f>31.4622 * CHOOSE(CONTROL!$C$32, $C$9, 100%, $E$9)</f>
        <v>31.462199999999999</v>
      </c>
      <c r="K899" s="81">
        <f>31.4658 * CHOOSE(CONTROL!$C$32, $C$9, 100%, $E$9)</f>
        <v>31.465800000000002</v>
      </c>
      <c r="L899" s="81">
        <f>15.1839 * CHOOSE(CONTROL!$C$32, $C$9, 100%, $E$9)</f>
        <v>15.1839</v>
      </c>
      <c r="M899" s="81">
        <f>15.1876 * CHOOSE(CONTROL!$C$32, $C$9, 100%, $E$9)</f>
        <v>15.1876</v>
      </c>
      <c r="N899" s="81">
        <f>15.1839 * CHOOSE(CONTROL!$C$32, $C$9, 100%, $E$9)</f>
        <v>15.1839</v>
      </c>
      <c r="O899" s="81">
        <f>15.1876 * CHOOSE(CONTROL!$C$32, $C$9, 100%, $E$9)</f>
        <v>15.1876</v>
      </c>
    </row>
    <row r="900" spans="1:15" ht="15" x14ac:dyDescent="0.2">
      <c r="A900" s="16">
        <v>68607</v>
      </c>
      <c r="B900" s="80">
        <f>13.5209 * CHOOSE(CONTROL!$C$32, $C$9, 100%, $E$9)</f>
        <v>13.520899999999999</v>
      </c>
      <c r="C900" s="80">
        <f>13.5209 * CHOOSE(CONTROL!$C$32, $C$9, 100%, $E$9)</f>
        <v>13.520899999999999</v>
      </c>
      <c r="D900" s="80">
        <f>13.522 * CHOOSE(CONTROL!$C$32, $C$9, 100%, $E$9)</f>
        <v>13.522</v>
      </c>
      <c r="E900" s="81">
        <f>15.2727 * CHOOSE(CONTROL!$C$32, $C$9, 100%, $E$9)</f>
        <v>15.2727</v>
      </c>
      <c r="F900" s="81">
        <f>15.2727 * CHOOSE(CONTROL!$C$32, $C$9, 100%, $E$9)</f>
        <v>15.2727</v>
      </c>
      <c r="G900" s="81">
        <f>15.2763 * CHOOSE(CONTROL!$C$32, $C$9, 100%, $E$9)</f>
        <v>15.276300000000001</v>
      </c>
      <c r="H900" s="81">
        <f>31.5278 * CHOOSE(CONTROL!$C$32, $C$9, 100%, $E$9)</f>
        <v>31.527799999999999</v>
      </c>
      <c r="I900" s="81">
        <f>31.5314 * CHOOSE(CONTROL!$C$32, $C$9, 100%, $E$9)</f>
        <v>31.531400000000001</v>
      </c>
      <c r="J900" s="81">
        <f>31.5278 * CHOOSE(CONTROL!$C$32, $C$9, 100%, $E$9)</f>
        <v>31.527799999999999</v>
      </c>
      <c r="K900" s="81">
        <f>31.5314 * CHOOSE(CONTROL!$C$32, $C$9, 100%, $E$9)</f>
        <v>31.531400000000001</v>
      </c>
      <c r="L900" s="81">
        <f>15.2727 * CHOOSE(CONTROL!$C$32, $C$9, 100%, $E$9)</f>
        <v>15.2727</v>
      </c>
      <c r="M900" s="81">
        <f>15.2763 * CHOOSE(CONTROL!$C$32, $C$9, 100%, $E$9)</f>
        <v>15.276300000000001</v>
      </c>
      <c r="N900" s="81">
        <f>15.2727 * CHOOSE(CONTROL!$C$32, $C$9, 100%, $E$9)</f>
        <v>15.2727</v>
      </c>
      <c r="O900" s="81">
        <f>15.2763 * CHOOSE(CONTROL!$C$32, $C$9, 100%, $E$9)</f>
        <v>15.276300000000001</v>
      </c>
    </row>
    <row r="901" spans="1:15" ht="15" x14ac:dyDescent="0.2">
      <c r="A901" s="16">
        <v>68637</v>
      </c>
      <c r="B901" s="80">
        <f>13.5209 * CHOOSE(CONTROL!$C$32, $C$9, 100%, $E$9)</f>
        <v>13.520899999999999</v>
      </c>
      <c r="C901" s="80">
        <f>13.5209 * CHOOSE(CONTROL!$C$32, $C$9, 100%, $E$9)</f>
        <v>13.520899999999999</v>
      </c>
      <c r="D901" s="80">
        <f>13.522 * CHOOSE(CONTROL!$C$32, $C$9, 100%, $E$9)</f>
        <v>13.522</v>
      </c>
      <c r="E901" s="81">
        <f>15.0561 * CHOOSE(CONTROL!$C$32, $C$9, 100%, $E$9)</f>
        <v>15.056100000000001</v>
      </c>
      <c r="F901" s="81">
        <f>15.0561 * CHOOSE(CONTROL!$C$32, $C$9, 100%, $E$9)</f>
        <v>15.056100000000001</v>
      </c>
      <c r="G901" s="81">
        <f>15.0597 * CHOOSE(CONTROL!$C$32, $C$9, 100%, $E$9)</f>
        <v>15.059699999999999</v>
      </c>
      <c r="H901" s="81">
        <f>31.5934 * CHOOSE(CONTROL!$C$32, $C$9, 100%, $E$9)</f>
        <v>31.593399999999999</v>
      </c>
      <c r="I901" s="81">
        <f>31.5971 * CHOOSE(CONTROL!$C$32, $C$9, 100%, $E$9)</f>
        <v>31.597100000000001</v>
      </c>
      <c r="J901" s="81">
        <f>31.5934 * CHOOSE(CONTROL!$C$32, $C$9, 100%, $E$9)</f>
        <v>31.593399999999999</v>
      </c>
      <c r="K901" s="81">
        <f>31.5971 * CHOOSE(CONTROL!$C$32, $C$9, 100%, $E$9)</f>
        <v>31.597100000000001</v>
      </c>
      <c r="L901" s="81">
        <f>15.0561 * CHOOSE(CONTROL!$C$32, $C$9, 100%, $E$9)</f>
        <v>15.056100000000001</v>
      </c>
      <c r="M901" s="81">
        <f>15.0597 * CHOOSE(CONTROL!$C$32, $C$9, 100%, $E$9)</f>
        <v>15.059699999999999</v>
      </c>
      <c r="N901" s="81">
        <f>15.0561 * CHOOSE(CONTROL!$C$32, $C$9, 100%, $E$9)</f>
        <v>15.056100000000001</v>
      </c>
      <c r="O901" s="81">
        <f>15.0597 * CHOOSE(CONTROL!$C$32, $C$9, 100%, $E$9)</f>
        <v>15.059699999999999</v>
      </c>
    </row>
    <row r="902" spans="1:15" ht="15" x14ac:dyDescent="0.2">
      <c r="A902" s="16">
        <v>68668</v>
      </c>
      <c r="B902" s="80">
        <f>13.5035 * CHOOSE(CONTROL!$C$32, $C$9, 100%, $E$9)</f>
        <v>13.503500000000001</v>
      </c>
      <c r="C902" s="80">
        <f>13.5035 * CHOOSE(CONTROL!$C$32, $C$9, 100%, $E$9)</f>
        <v>13.503500000000001</v>
      </c>
      <c r="D902" s="80">
        <f>13.5046 * CHOOSE(CONTROL!$C$32, $C$9, 100%, $E$9)</f>
        <v>13.5046</v>
      </c>
      <c r="E902" s="81">
        <f>15.1956 * CHOOSE(CONTROL!$C$32, $C$9, 100%, $E$9)</f>
        <v>15.195600000000001</v>
      </c>
      <c r="F902" s="81">
        <f>15.1956 * CHOOSE(CONTROL!$C$32, $C$9, 100%, $E$9)</f>
        <v>15.195600000000001</v>
      </c>
      <c r="G902" s="81">
        <f>15.1992 * CHOOSE(CONTROL!$C$32, $C$9, 100%, $E$9)</f>
        <v>15.199199999999999</v>
      </c>
      <c r="H902" s="81">
        <f>31.3424 * CHOOSE(CONTROL!$C$32, $C$9, 100%, $E$9)</f>
        <v>31.342400000000001</v>
      </c>
      <c r="I902" s="81">
        <f>31.346 * CHOOSE(CONTROL!$C$32, $C$9, 100%, $E$9)</f>
        <v>31.346</v>
      </c>
      <c r="J902" s="81">
        <f>31.3424 * CHOOSE(CONTROL!$C$32, $C$9, 100%, $E$9)</f>
        <v>31.342400000000001</v>
      </c>
      <c r="K902" s="81">
        <f>31.346 * CHOOSE(CONTROL!$C$32, $C$9, 100%, $E$9)</f>
        <v>31.346</v>
      </c>
      <c r="L902" s="81">
        <f>15.1956 * CHOOSE(CONTROL!$C$32, $C$9, 100%, $E$9)</f>
        <v>15.195600000000001</v>
      </c>
      <c r="M902" s="81">
        <f>15.1992 * CHOOSE(CONTROL!$C$32, $C$9, 100%, $E$9)</f>
        <v>15.199199999999999</v>
      </c>
      <c r="N902" s="81">
        <f>15.1956 * CHOOSE(CONTROL!$C$32, $C$9, 100%, $E$9)</f>
        <v>15.195600000000001</v>
      </c>
      <c r="O902" s="81">
        <f>15.1992 * CHOOSE(CONTROL!$C$32, $C$9, 100%, $E$9)</f>
        <v>15.199199999999999</v>
      </c>
    </row>
    <row r="903" spans="1:15" ht="15" x14ac:dyDescent="0.2">
      <c r="A903" s="16">
        <v>68699</v>
      </c>
      <c r="B903" s="80">
        <f>13.5005 * CHOOSE(CONTROL!$C$32, $C$9, 100%, $E$9)</f>
        <v>13.500500000000001</v>
      </c>
      <c r="C903" s="80">
        <f>13.5005 * CHOOSE(CONTROL!$C$32, $C$9, 100%, $E$9)</f>
        <v>13.500500000000001</v>
      </c>
      <c r="D903" s="80">
        <f>13.5016 * CHOOSE(CONTROL!$C$32, $C$9, 100%, $E$9)</f>
        <v>13.5016</v>
      </c>
      <c r="E903" s="81">
        <f>14.777 * CHOOSE(CONTROL!$C$32, $C$9, 100%, $E$9)</f>
        <v>14.776999999999999</v>
      </c>
      <c r="F903" s="81">
        <f>14.777 * CHOOSE(CONTROL!$C$32, $C$9, 100%, $E$9)</f>
        <v>14.776999999999999</v>
      </c>
      <c r="G903" s="81">
        <f>14.7806 * CHOOSE(CONTROL!$C$32, $C$9, 100%, $E$9)</f>
        <v>14.7806</v>
      </c>
      <c r="H903" s="81">
        <f>31.4077 * CHOOSE(CONTROL!$C$32, $C$9, 100%, $E$9)</f>
        <v>31.407699999999998</v>
      </c>
      <c r="I903" s="81">
        <f>31.4113 * CHOOSE(CONTROL!$C$32, $C$9, 100%, $E$9)</f>
        <v>31.411300000000001</v>
      </c>
      <c r="J903" s="81">
        <f>31.4077 * CHOOSE(CONTROL!$C$32, $C$9, 100%, $E$9)</f>
        <v>31.407699999999998</v>
      </c>
      <c r="K903" s="81">
        <f>31.4113 * CHOOSE(CONTROL!$C$32, $C$9, 100%, $E$9)</f>
        <v>31.411300000000001</v>
      </c>
      <c r="L903" s="81">
        <f>14.777 * CHOOSE(CONTROL!$C$32, $C$9, 100%, $E$9)</f>
        <v>14.776999999999999</v>
      </c>
      <c r="M903" s="81">
        <f>14.7806 * CHOOSE(CONTROL!$C$32, $C$9, 100%, $E$9)</f>
        <v>14.7806</v>
      </c>
      <c r="N903" s="81">
        <f>14.777 * CHOOSE(CONTROL!$C$32, $C$9, 100%, $E$9)</f>
        <v>14.776999999999999</v>
      </c>
      <c r="O903" s="81">
        <f>14.7806 * CHOOSE(CONTROL!$C$32, $C$9, 100%, $E$9)</f>
        <v>14.7806</v>
      </c>
    </row>
    <row r="904" spans="1:15" ht="15" x14ac:dyDescent="0.2">
      <c r="A904" s="16">
        <v>68728</v>
      </c>
      <c r="B904" s="80">
        <f>13.4974 * CHOOSE(CONTROL!$C$32, $C$9, 100%, $E$9)</f>
        <v>13.497400000000001</v>
      </c>
      <c r="C904" s="80">
        <f>13.4974 * CHOOSE(CONTROL!$C$32, $C$9, 100%, $E$9)</f>
        <v>13.497400000000001</v>
      </c>
      <c r="D904" s="80">
        <f>13.4985 * CHOOSE(CONTROL!$C$32, $C$9, 100%, $E$9)</f>
        <v>13.4985</v>
      </c>
      <c r="E904" s="81">
        <f>15.1032 * CHOOSE(CONTROL!$C$32, $C$9, 100%, $E$9)</f>
        <v>15.103199999999999</v>
      </c>
      <c r="F904" s="81">
        <f>15.1032 * CHOOSE(CONTROL!$C$32, $C$9, 100%, $E$9)</f>
        <v>15.103199999999999</v>
      </c>
      <c r="G904" s="81">
        <f>15.1068 * CHOOSE(CONTROL!$C$32, $C$9, 100%, $E$9)</f>
        <v>15.1068</v>
      </c>
      <c r="H904" s="81">
        <f>31.4732 * CHOOSE(CONTROL!$C$32, $C$9, 100%, $E$9)</f>
        <v>31.473199999999999</v>
      </c>
      <c r="I904" s="81">
        <f>31.4768 * CHOOSE(CONTROL!$C$32, $C$9, 100%, $E$9)</f>
        <v>31.476800000000001</v>
      </c>
      <c r="J904" s="81">
        <f>31.4732 * CHOOSE(CONTROL!$C$32, $C$9, 100%, $E$9)</f>
        <v>31.473199999999999</v>
      </c>
      <c r="K904" s="81">
        <f>31.4768 * CHOOSE(CONTROL!$C$32, $C$9, 100%, $E$9)</f>
        <v>31.476800000000001</v>
      </c>
      <c r="L904" s="81">
        <f>15.1032 * CHOOSE(CONTROL!$C$32, $C$9, 100%, $E$9)</f>
        <v>15.103199999999999</v>
      </c>
      <c r="M904" s="81">
        <f>15.1068 * CHOOSE(CONTROL!$C$32, $C$9, 100%, $E$9)</f>
        <v>15.1068</v>
      </c>
      <c r="N904" s="81">
        <f>15.1032 * CHOOSE(CONTROL!$C$32, $C$9, 100%, $E$9)</f>
        <v>15.103199999999999</v>
      </c>
      <c r="O904" s="81">
        <f>15.1068 * CHOOSE(CONTROL!$C$32, $C$9, 100%, $E$9)</f>
        <v>15.1068</v>
      </c>
    </row>
    <row r="905" spans="1:15" ht="15" x14ac:dyDescent="0.2">
      <c r="A905" s="16">
        <v>68759</v>
      </c>
      <c r="B905" s="80">
        <f>13.5043 * CHOOSE(CONTROL!$C$32, $C$9, 100%, $E$9)</f>
        <v>13.504300000000001</v>
      </c>
      <c r="C905" s="80">
        <f>13.5043 * CHOOSE(CONTROL!$C$32, $C$9, 100%, $E$9)</f>
        <v>13.504300000000001</v>
      </c>
      <c r="D905" s="80">
        <f>13.5054 * CHOOSE(CONTROL!$C$32, $C$9, 100%, $E$9)</f>
        <v>13.5054</v>
      </c>
      <c r="E905" s="81">
        <f>15.4516 * CHOOSE(CONTROL!$C$32, $C$9, 100%, $E$9)</f>
        <v>15.451599999999999</v>
      </c>
      <c r="F905" s="81">
        <f>15.4516 * CHOOSE(CONTROL!$C$32, $C$9, 100%, $E$9)</f>
        <v>15.451599999999999</v>
      </c>
      <c r="G905" s="81">
        <f>15.4552 * CHOOSE(CONTROL!$C$32, $C$9, 100%, $E$9)</f>
        <v>15.4552</v>
      </c>
      <c r="H905" s="81">
        <f>31.5387 * CHOOSE(CONTROL!$C$32, $C$9, 100%, $E$9)</f>
        <v>31.538699999999999</v>
      </c>
      <c r="I905" s="81">
        <f>31.5423 * CHOOSE(CONTROL!$C$32, $C$9, 100%, $E$9)</f>
        <v>31.542300000000001</v>
      </c>
      <c r="J905" s="81">
        <f>31.5387 * CHOOSE(CONTROL!$C$32, $C$9, 100%, $E$9)</f>
        <v>31.538699999999999</v>
      </c>
      <c r="K905" s="81">
        <f>31.5423 * CHOOSE(CONTROL!$C$32, $C$9, 100%, $E$9)</f>
        <v>31.542300000000001</v>
      </c>
      <c r="L905" s="81">
        <f>15.4516 * CHOOSE(CONTROL!$C$32, $C$9, 100%, $E$9)</f>
        <v>15.451599999999999</v>
      </c>
      <c r="M905" s="81">
        <f>15.4552 * CHOOSE(CONTROL!$C$32, $C$9, 100%, $E$9)</f>
        <v>15.4552</v>
      </c>
      <c r="N905" s="81">
        <f>15.4516 * CHOOSE(CONTROL!$C$32, $C$9, 100%, $E$9)</f>
        <v>15.451599999999999</v>
      </c>
      <c r="O905" s="81">
        <f>15.4552 * CHOOSE(CONTROL!$C$32, $C$9, 100%, $E$9)</f>
        <v>15.4552</v>
      </c>
    </row>
    <row r="906" spans="1:15" ht="15" x14ac:dyDescent="0.2">
      <c r="A906" s="16">
        <v>68789</v>
      </c>
      <c r="B906" s="80">
        <f>13.5043 * CHOOSE(CONTROL!$C$32, $C$9, 100%, $E$9)</f>
        <v>13.504300000000001</v>
      </c>
      <c r="C906" s="80">
        <f>13.5043 * CHOOSE(CONTROL!$C$32, $C$9, 100%, $E$9)</f>
        <v>13.504300000000001</v>
      </c>
      <c r="D906" s="80">
        <f>13.5059 * CHOOSE(CONTROL!$C$32, $C$9, 100%, $E$9)</f>
        <v>13.5059</v>
      </c>
      <c r="E906" s="81">
        <f>15.5838 * CHOOSE(CONTROL!$C$32, $C$9, 100%, $E$9)</f>
        <v>15.5838</v>
      </c>
      <c r="F906" s="81">
        <f>15.5838 * CHOOSE(CONTROL!$C$32, $C$9, 100%, $E$9)</f>
        <v>15.5838</v>
      </c>
      <c r="G906" s="81">
        <f>15.5891 * CHOOSE(CONTROL!$C$32, $C$9, 100%, $E$9)</f>
        <v>15.5891</v>
      </c>
      <c r="H906" s="81">
        <f>31.6044 * CHOOSE(CONTROL!$C$32, $C$9, 100%, $E$9)</f>
        <v>31.604399999999998</v>
      </c>
      <c r="I906" s="81">
        <f>31.6097 * CHOOSE(CONTROL!$C$32, $C$9, 100%, $E$9)</f>
        <v>31.6097</v>
      </c>
      <c r="J906" s="81">
        <f>31.6044 * CHOOSE(CONTROL!$C$32, $C$9, 100%, $E$9)</f>
        <v>31.604399999999998</v>
      </c>
      <c r="K906" s="81">
        <f>31.6097 * CHOOSE(CONTROL!$C$32, $C$9, 100%, $E$9)</f>
        <v>31.6097</v>
      </c>
      <c r="L906" s="81">
        <f>15.5838 * CHOOSE(CONTROL!$C$32, $C$9, 100%, $E$9)</f>
        <v>15.5838</v>
      </c>
      <c r="M906" s="81">
        <f>15.5891 * CHOOSE(CONTROL!$C$32, $C$9, 100%, $E$9)</f>
        <v>15.5891</v>
      </c>
      <c r="N906" s="81">
        <f>15.5838 * CHOOSE(CONTROL!$C$32, $C$9, 100%, $E$9)</f>
        <v>15.5838</v>
      </c>
      <c r="O906" s="81">
        <f>15.5891 * CHOOSE(CONTROL!$C$32, $C$9, 100%, $E$9)</f>
        <v>15.5891</v>
      </c>
    </row>
    <row r="907" spans="1:15" ht="15" x14ac:dyDescent="0.2">
      <c r="A907" s="16">
        <v>68820</v>
      </c>
      <c r="B907" s="80">
        <f>13.5104 * CHOOSE(CONTROL!$C$32, $C$9, 100%, $E$9)</f>
        <v>13.510400000000001</v>
      </c>
      <c r="C907" s="80">
        <f>13.5104 * CHOOSE(CONTROL!$C$32, $C$9, 100%, $E$9)</f>
        <v>13.510400000000001</v>
      </c>
      <c r="D907" s="80">
        <f>13.512 * CHOOSE(CONTROL!$C$32, $C$9, 100%, $E$9)</f>
        <v>13.512</v>
      </c>
      <c r="E907" s="81">
        <f>15.4558 * CHOOSE(CONTROL!$C$32, $C$9, 100%, $E$9)</f>
        <v>15.4558</v>
      </c>
      <c r="F907" s="81">
        <f>15.4558 * CHOOSE(CONTROL!$C$32, $C$9, 100%, $E$9)</f>
        <v>15.4558</v>
      </c>
      <c r="G907" s="81">
        <f>15.4611 * CHOOSE(CONTROL!$C$32, $C$9, 100%, $E$9)</f>
        <v>15.4611</v>
      </c>
      <c r="H907" s="81">
        <f>31.6703 * CHOOSE(CONTROL!$C$32, $C$9, 100%, $E$9)</f>
        <v>31.670300000000001</v>
      </c>
      <c r="I907" s="81">
        <f>31.6756 * CHOOSE(CONTROL!$C$32, $C$9, 100%, $E$9)</f>
        <v>31.675599999999999</v>
      </c>
      <c r="J907" s="81">
        <f>31.6703 * CHOOSE(CONTROL!$C$32, $C$9, 100%, $E$9)</f>
        <v>31.670300000000001</v>
      </c>
      <c r="K907" s="81">
        <f>31.6756 * CHOOSE(CONTROL!$C$32, $C$9, 100%, $E$9)</f>
        <v>31.675599999999999</v>
      </c>
      <c r="L907" s="81">
        <f>15.4558 * CHOOSE(CONTROL!$C$32, $C$9, 100%, $E$9)</f>
        <v>15.4558</v>
      </c>
      <c r="M907" s="81">
        <f>15.4611 * CHOOSE(CONTROL!$C$32, $C$9, 100%, $E$9)</f>
        <v>15.4611</v>
      </c>
      <c r="N907" s="81">
        <f>15.4558 * CHOOSE(CONTROL!$C$32, $C$9, 100%, $E$9)</f>
        <v>15.4558</v>
      </c>
      <c r="O907" s="81">
        <f>15.4611 * CHOOSE(CONTROL!$C$32, $C$9, 100%, $E$9)</f>
        <v>15.4611</v>
      </c>
    </row>
    <row r="908" spans="1:15" ht="15" x14ac:dyDescent="0.2">
      <c r="A908" s="16">
        <v>68850</v>
      </c>
      <c r="B908" s="80">
        <f>13.6733 * CHOOSE(CONTROL!$C$32, $C$9, 100%, $E$9)</f>
        <v>13.673299999999999</v>
      </c>
      <c r="C908" s="80">
        <f>13.6733 * CHOOSE(CONTROL!$C$32, $C$9, 100%, $E$9)</f>
        <v>13.673299999999999</v>
      </c>
      <c r="D908" s="80">
        <f>13.6749 * CHOOSE(CONTROL!$C$32, $C$9, 100%, $E$9)</f>
        <v>13.674899999999999</v>
      </c>
      <c r="E908" s="81">
        <f>15.6749 * CHOOSE(CONTROL!$C$32, $C$9, 100%, $E$9)</f>
        <v>15.674899999999999</v>
      </c>
      <c r="F908" s="81">
        <f>15.6749 * CHOOSE(CONTROL!$C$32, $C$9, 100%, $E$9)</f>
        <v>15.674899999999999</v>
      </c>
      <c r="G908" s="81">
        <f>15.6802 * CHOOSE(CONTROL!$C$32, $C$9, 100%, $E$9)</f>
        <v>15.680199999999999</v>
      </c>
      <c r="H908" s="81">
        <f>31.7363 * CHOOSE(CONTROL!$C$32, $C$9, 100%, $E$9)</f>
        <v>31.7363</v>
      </c>
      <c r="I908" s="81">
        <f>31.7415 * CHOOSE(CONTROL!$C$32, $C$9, 100%, $E$9)</f>
        <v>31.741499999999998</v>
      </c>
      <c r="J908" s="81">
        <f>31.7363 * CHOOSE(CONTROL!$C$32, $C$9, 100%, $E$9)</f>
        <v>31.7363</v>
      </c>
      <c r="K908" s="81">
        <f>31.7415 * CHOOSE(CONTROL!$C$32, $C$9, 100%, $E$9)</f>
        <v>31.741499999999998</v>
      </c>
      <c r="L908" s="81">
        <f>15.6749 * CHOOSE(CONTROL!$C$32, $C$9, 100%, $E$9)</f>
        <v>15.674899999999999</v>
      </c>
      <c r="M908" s="81">
        <f>15.6802 * CHOOSE(CONTROL!$C$32, $C$9, 100%, $E$9)</f>
        <v>15.680199999999999</v>
      </c>
      <c r="N908" s="81">
        <f>15.6749 * CHOOSE(CONTROL!$C$32, $C$9, 100%, $E$9)</f>
        <v>15.674899999999999</v>
      </c>
      <c r="O908" s="81">
        <f>15.6802 * CHOOSE(CONTROL!$C$32, $C$9, 100%, $E$9)</f>
        <v>15.680199999999999</v>
      </c>
    </row>
    <row r="909" spans="1:15" ht="15" x14ac:dyDescent="0.2">
      <c r="A909" s="16">
        <v>68881</v>
      </c>
      <c r="B909" s="80">
        <f>13.68 * CHOOSE(CONTROL!$C$32, $C$9, 100%, $E$9)</f>
        <v>13.68</v>
      </c>
      <c r="C909" s="80">
        <f>13.68 * CHOOSE(CONTROL!$C$32, $C$9, 100%, $E$9)</f>
        <v>13.68</v>
      </c>
      <c r="D909" s="80">
        <f>13.6815 * CHOOSE(CONTROL!$C$32, $C$9, 100%, $E$9)</f>
        <v>13.6815</v>
      </c>
      <c r="E909" s="81">
        <f>15.2829 * CHOOSE(CONTROL!$C$32, $C$9, 100%, $E$9)</f>
        <v>15.2829</v>
      </c>
      <c r="F909" s="81">
        <f>15.2829 * CHOOSE(CONTROL!$C$32, $C$9, 100%, $E$9)</f>
        <v>15.2829</v>
      </c>
      <c r="G909" s="81">
        <f>15.2882 * CHOOSE(CONTROL!$C$32, $C$9, 100%, $E$9)</f>
        <v>15.2882</v>
      </c>
      <c r="H909" s="81">
        <f>31.8024 * CHOOSE(CONTROL!$C$32, $C$9, 100%, $E$9)</f>
        <v>31.802399999999999</v>
      </c>
      <c r="I909" s="81">
        <f>31.8077 * CHOOSE(CONTROL!$C$32, $C$9, 100%, $E$9)</f>
        <v>31.807700000000001</v>
      </c>
      <c r="J909" s="81">
        <f>31.8024 * CHOOSE(CONTROL!$C$32, $C$9, 100%, $E$9)</f>
        <v>31.802399999999999</v>
      </c>
      <c r="K909" s="81">
        <f>31.8077 * CHOOSE(CONTROL!$C$32, $C$9, 100%, $E$9)</f>
        <v>31.807700000000001</v>
      </c>
      <c r="L909" s="81">
        <f>15.2829 * CHOOSE(CONTROL!$C$32, $C$9, 100%, $E$9)</f>
        <v>15.2829</v>
      </c>
      <c r="M909" s="81">
        <f>15.2882 * CHOOSE(CONTROL!$C$32, $C$9, 100%, $E$9)</f>
        <v>15.2882</v>
      </c>
      <c r="N909" s="81">
        <f>15.2829 * CHOOSE(CONTROL!$C$32, $C$9, 100%, $E$9)</f>
        <v>15.2829</v>
      </c>
      <c r="O909" s="81">
        <f>15.2882 * CHOOSE(CONTROL!$C$32, $C$9, 100%, $E$9)</f>
        <v>15.2882</v>
      </c>
    </row>
    <row r="910" spans="1:15" ht="15" x14ac:dyDescent="0.2">
      <c r="A910" s="16">
        <v>68912</v>
      </c>
      <c r="B910" s="80">
        <f>13.6769 * CHOOSE(CONTROL!$C$32, $C$9, 100%, $E$9)</f>
        <v>13.6769</v>
      </c>
      <c r="C910" s="80">
        <f>13.6769 * CHOOSE(CONTROL!$C$32, $C$9, 100%, $E$9)</f>
        <v>13.6769</v>
      </c>
      <c r="D910" s="80">
        <f>13.6785 * CHOOSE(CONTROL!$C$32, $C$9, 100%, $E$9)</f>
        <v>13.6785</v>
      </c>
      <c r="E910" s="81">
        <f>15.2368 * CHOOSE(CONTROL!$C$32, $C$9, 100%, $E$9)</f>
        <v>15.236800000000001</v>
      </c>
      <c r="F910" s="81">
        <f>15.2368 * CHOOSE(CONTROL!$C$32, $C$9, 100%, $E$9)</f>
        <v>15.236800000000001</v>
      </c>
      <c r="G910" s="81">
        <f>15.2421 * CHOOSE(CONTROL!$C$32, $C$9, 100%, $E$9)</f>
        <v>15.242100000000001</v>
      </c>
      <c r="H910" s="81">
        <f>31.8686 * CHOOSE(CONTROL!$C$32, $C$9, 100%, $E$9)</f>
        <v>31.868600000000001</v>
      </c>
      <c r="I910" s="81">
        <f>31.8739 * CHOOSE(CONTROL!$C$32, $C$9, 100%, $E$9)</f>
        <v>31.873899999999999</v>
      </c>
      <c r="J910" s="81">
        <f>31.8686 * CHOOSE(CONTROL!$C$32, $C$9, 100%, $E$9)</f>
        <v>31.868600000000001</v>
      </c>
      <c r="K910" s="81">
        <f>31.8739 * CHOOSE(CONTROL!$C$32, $C$9, 100%, $E$9)</f>
        <v>31.873899999999999</v>
      </c>
      <c r="L910" s="81">
        <f>15.2368 * CHOOSE(CONTROL!$C$32, $C$9, 100%, $E$9)</f>
        <v>15.236800000000001</v>
      </c>
      <c r="M910" s="81">
        <f>15.2421 * CHOOSE(CONTROL!$C$32, $C$9, 100%, $E$9)</f>
        <v>15.242100000000001</v>
      </c>
      <c r="N910" s="81">
        <f>15.2368 * CHOOSE(CONTROL!$C$32, $C$9, 100%, $E$9)</f>
        <v>15.236800000000001</v>
      </c>
      <c r="O910" s="81">
        <f>15.2421 * CHOOSE(CONTROL!$C$32, $C$9, 100%, $E$9)</f>
        <v>15.242100000000001</v>
      </c>
    </row>
    <row r="911" spans="1:15" ht="15" x14ac:dyDescent="0.2">
      <c r="A911" s="16">
        <v>68942</v>
      </c>
      <c r="B911" s="80">
        <f>13.7082 * CHOOSE(CONTROL!$C$32, $C$9, 100%, $E$9)</f>
        <v>13.7082</v>
      </c>
      <c r="C911" s="80">
        <f>13.7082 * CHOOSE(CONTROL!$C$32, $C$9, 100%, $E$9)</f>
        <v>13.7082</v>
      </c>
      <c r="D911" s="80">
        <f>13.7092 * CHOOSE(CONTROL!$C$32, $C$9, 100%, $E$9)</f>
        <v>13.709199999999999</v>
      </c>
      <c r="E911" s="81">
        <f>15.3996 * CHOOSE(CONTROL!$C$32, $C$9, 100%, $E$9)</f>
        <v>15.3996</v>
      </c>
      <c r="F911" s="81">
        <f>15.3996 * CHOOSE(CONTROL!$C$32, $C$9, 100%, $E$9)</f>
        <v>15.3996</v>
      </c>
      <c r="G911" s="81">
        <f>15.4032 * CHOOSE(CONTROL!$C$32, $C$9, 100%, $E$9)</f>
        <v>15.4032</v>
      </c>
      <c r="H911" s="81">
        <f>31.935 * CHOOSE(CONTROL!$C$32, $C$9, 100%, $E$9)</f>
        <v>31.934999999999999</v>
      </c>
      <c r="I911" s="81">
        <f>31.9386 * CHOOSE(CONTROL!$C$32, $C$9, 100%, $E$9)</f>
        <v>31.938600000000001</v>
      </c>
      <c r="J911" s="81">
        <f>31.935 * CHOOSE(CONTROL!$C$32, $C$9, 100%, $E$9)</f>
        <v>31.934999999999999</v>
      </c>
      <c r="K911" s="81">
        <f>31.9386 * CHOOSE(CONTROL!$C$32, $C$9, 100%, $E$9)</f>
        <v>31.938600000000001</v>
      </c>
      <c r="L911" s="81">
        <f>15.3996 * CHOOSE(CONTROL!$C$32, $C$9, 100%, $E$9)</f>
        <v>15.3996</v>
      </c>
      <c r="M911" s="81">
        <f>15.4032 * CHOOSE(CONTROL!$C$32, $C$9, 100%, $E$9)</f>
        <v>15.4032</v>
      </c>
      <c r="N911" s="81">
        <f>15.3996 * CHOOSE(CONTROL!$C$32, $C$9, 100%, $E$9)</f>
        <v>15.3996</v>
      </c>
      <c r="O911" s="81">
        <f>15.4032 * CHOOSE(CONTROL!$C$32, $C$9, 100%, $E$9)</f>
        <v>15.4032</v>
      </c>
    </row>
    <row r="912" spans="1:15" ht="15" x14ac:dyDescent="0.2">
      <c r="A912" s="16">
        <v>68973</v>
      </c>
      <c r="B912" s="80">
        <f>13.7112 * CHOOSE(CONTROL!$C$32, $C$9, 100%, $E$9)</f>
        <v>13.7112</v>
      </c>
      <c r="C912" s="80">
        <f>13.7112 * CHOOSE(CONTROL!$C$32, $C$9, 100%, $E$9)</f>
        <v>13.7112</v>
      </c>
      <c r="D912" s="80">
        <f>13.7123 * CHOOSE(CONTROL!$C$32, $C$9, 100%, $E$9)</f>
        <v>13.712300000000001</v>
      </c>
      <c r="E912" s="81">
        <f>15.4899 * CHOOSE(CONTROL!$C$32, $C$9, 100%, $E$9)</f>
        <v>15.4899</v>
      </c>
      <c r="F912" s="81">
        <f>15.4899 * CHOOSE(CONTROL!$C$32, $C$9, 100%, $E$9)</f>
        <v>15.4899</v>
      </c>
      <c r="G912" s="81">
        <f>15.4935 * CHOOSE(CONTROL!$C$32, $C$9, 100%, $E$9)</f>
        <v>15.493499999999999</v>
      </c>
      <c r="H912" s="81">
        <f>32.0015 * CHOOSE(CONTROL!$C$32, $C$9, 100%, $E$9)</f>
        <v>32.0015</v>
      </c>
      <c r="I912" s="81">
        <f>32.0052 * CHOOSE(CONTROL!$C$32, $C$9, 100%, $E$9)</f>
        <v>32.005200000000002</v>
      </c>
      <c r="J912" s="81">
        <f>32.0015 * CHOOSE(CONTROL!$C$32, $C$9, 100%, $E$9)</f>
        <v>32.0015</v>
      </c>
      <c r="K912" s="81">
        <f>32.0052 * CHOOSE(CONTROL!$C$32, $C$9, 100%, $E$9)</f>
        <v>32.005200000000002</v>
      </c>
      <c r="L912" s="81">
        <f>15.4899 * CHOOSE(CONTROL!$C$32, $C$9, 100%, $E$9)</f>
        <v>15.4899</v>
      </c>
      <c r="M912" s="81">
        <f>15.4935 * CHOOSE(CONTROL!$C$32, $C$9, 100%, $E$9)</f>
        <v>15.493499999999999</v>
      </c>
      <c r="N912" s="81">
        <f>15.4899 * CHOOSE(CONTROL!$C$32, $C$9, 100%, $E$9)</f>
        <v>15.4899</v>
      </c>
      <c r="O912" s="81">
        <f>15.4935 * CHOOSE(CONTROL!$C$32, $C$9, 100%, $E$9)</f>
        <v>15.493499999999999</v>
      </c>
    </row>
    <row r="913" spans="1:15" ht="15" x14ac:dyDescent="0.2">
      <c r="A913" s="16">
        <v>69003</v>
      </c>
      <c r="B913" s="80">
        <f>13.7112 * CHOOSE(CONTROL!$C$32, $C$9, 100%, $E$9)</f>
        <v>13.7112</v>
      </c>
      <c r="C913" s="80">
        <f>13.7112 * CHOOSE(CONTROL!$C$32, $C$9, 100%, $E$9)</f>
        <v>13.7112</v>
      </c>
      <c r="D913" s="80">
        <f>13.7123 * CHOOSE(CONTROL!$C$32, $C$9, 100%, $E$9)</f>
        <v>13.712300000000001</v>
      </c>
      <c r="E913" s="81">
        <f>15.2695 * CHOOSE(CONTROL!$C$32, $C$9, 100%, $E$9)</f>
        <v>15.269500000000001</v>
      </c>
      <c r="F913" s="81">
        <f>15.2695 * CHOOSE(CONTROL!$C$32, $C$9, 100%, $E$9)</f>
        <v>15.269500000000001</v>
      </c>
      <c r="G913" s="81">
        <f>15.2731 * CHOOSE(CONTROL!$C$32, $C$9, 100%, $E$9)</f>
        <v>15.273099999999999</v>
      </c>
      <c r="H913" s="81">
        <f>32.0682 * CHOOSE(CONTROL!$C$32, $C$9, 100%, $E$9)</f>
        <v>32.068199999999997</v>
      </c>
      <c r="I913" s="81">
        <f>32.0718 * CHOOSE(CONTROL!$C$32, $C$9, 100%, $E$9)</f>
        <v>32.071800000000003</v>
      </c>
      <c r="J913" s="81">
        <f>32.0682 * CHOOSE(CONTROL!$C$32, $C$9, 100%, $E$9)</f>
        <v>32.068199999999997</v>
      </c>
      <c r="K913" s="81">
        <f>32.0718 * CHOOSE(CONTROL!$C$32, $C$9, 100%, $E$9)</f>
        <v>32.071800000000003</v>
      </c>
      <c r="L913" s="81">
        <f>15.2695 * CHOOSE(CONTROL!$C$32, $C$9, 100%, $E$9)</f>
        <v>15.269500000000001</v>
      </c>
      <c r="M913" s="81">
        <f>15.2731 * CHOOSE(CONTROL!$C$32, $C$9, 100%, $E$9)</f>
        <v>15.273099999999999</v>
      </c>
      <c r="N913" s="81">
        <f>15.2695 * CHOOSE(CONTROL!$C$32, $C$9, 100%, $E$9)</f>
        <v>15.269500000000001</v>
      </c>
      <c r="O913" s="81">
        <f>15.2731 * CHOOSE(CONTROL!$C$32, $C$9, 100%, $E$9)</f>
        <v>15.273099999999999</v>
      </c>
    </row>
    <row r="914" spans="1:15" ht="15" x14ac:dyDescent="0.2">
      <c r="A914" s="16">
        <v>69034</v>
      </c>
      <c r="B914" s="80">
        <f>13.6909 * CHOOSE(CONTROL!$C$32, $C$9, 100%, $E$9)</f>
        <v>13.690899999999999</v>
      </c>
      <c r="C914" s="80">
        <f>13.6909 * CHOOSE(CONTROL!$C$32, $C$9, 100%, $E$9)</f>
        <v>13.690899999999999</v>
      </c>
      <c r="D914" s="80">
        <f>13.6919 * CHOOSE(CONTROL!$C$32, $C$9, 100%, $E$9)</f>
        <v>13.6919</v>
      </c>
      <c r="E914" s="81">
        <f>15.4081 * CHOOSE(CONTROL!$C$32, $C$9, 100%, $E$9)</f>
        <v>15.408099999999999</v>
      </c>
      <c r="F914" s="81">
        <f>15.4081 * CHOOSE(CONTROL!$C$32, $C$9, 100%, $E$9)</f>
        <v>15.408099999999999</v>
      </c>
      <c r="G914" s="81">
        <f>15.4117 * CHOOSE(CONTROL!$C$32, $C$9, 100%, $E$9)</f>
        <v>15.4117</v>
      </c>
      <c r="H914" s="81">
        <f>31.8065 * CHOOSE(CONTROL!$C$32, $C$9, 100%, $E$9)</f>
        <v>31.8065</v>
      </c>
      <c r="I914" s="81">
        <f>31.8101 * CHOOSE(CONTROL!$C$32, $C$9, 100%, $E$9)</f>
        <v>31.810099999999998</v>
      </c>
      <c r="J914" s="81">
        <f>31.8065 * CHOOSE(CONTROL!$C$32, $C$9, 100%, $E$9)</f>
        <v>31.8065</v>
      </c>
      <c r="K914" s="81">
        <f>31.8101 * CHOOSE(CONTROL!$C$32, $C$9, 100%, $E$9)</f>
        <v>31.810099999999998</v>
      </c>
      <c r="L914" s="81">
        <f>15.4081 * CHOOSE(CONTROL!$C$32, $C$9, 100%, $E$9)</f>
        <v>15.408099999999999</v>
      </c>
      <c r="M914" s="81">
        <f>15.4117 * CHOOSE(CONTROL!$C$32, $C$9, 100%, $E$9)</f>
        <v>15.4117</v>
      </c>
      <c r="N914" s="81">
        <f>15.4081 * CHOOSE(CONTROL!$C$32, $C$9, 100%, $E$9)</f>
        <v>15.408099999999999</v>
      </c>
      <c r="O914" s="81">
        <f>15.4117 * CHOOSE(CONTROL!$C$32, $C$9, 100%, $E$9)</f>
        <v>15.4117</v>
      </c>
    </row>
    <row r="915" spans="1:15" ht="15" x14ac:dyDescent="0.2">
      <c r="A915" s="16">
        <v>69065</v>
      </c>
      <c r="B915" s="80">
        <f>13.6878 * CHOOSE(CONTROL!$C$32, $C$9, 100%, $E$9)</f>
        <v>13.687799999999999</v>
      </c>
      <c r="C915" s="80">
        <f>13.6878 * CHOOSE(CONTROL!$C$32, $C$9, 100%, $E$9)</f>
        <v>13.687799999999999</v>
      </c>
      <c r="D915" s="80">
        <f>13.6889 * CHOOSE(CONTROL!$C$32, $C$9, 100%, $E$9)</f>
        <v>13.6889</v>
      </c>
      <c r="E915" s="81">
        <f>14.9824 * CHOOSE(CONTROL!$C$32, $C$9, 100%, $E$9)</f>
        <v>14.9824</v>
      </c>
      <c r="F915" s="81">
        <f>14.9824 * CHOOSE(CONTROL!$C$32, $C$9, 100%, $E$9)</f>
        <v>14.9824</v>
      </c>
      <c r="G915" s="81">
        <f>14.9861 * CHOOSE(CONTROL!$C$32, $C$9, 100%, $E$9)</f>
        <v>14.9861</v>
      </c>
      <c r="H915" s="81">
        <f>31.8727 * CHOOSE(CONTROL!$C$32, $C$9, 100%, $E$9)</f>
        <v>31.872699999999998</v>
      </c>
      <c r="I915" s="81">
        <f>31.8763 * CHOOSE(CONTROL!$C$32, $C$9, 100%, $E$9)</f>
        <v>31.876300000000001</v>
      </c>
      <c r="J915" s="81">
        <f>31.8727 * CHOOSE(CONTROL!$C$32, $C$9, 100%, $E$9)</f>
        <v>31.872699999999998</v>
      </c>
      <c r="K915" s="81">
        <f>31.8763 * CHOOSE(CONTROL!$C$32, $C$9, 100%, $E$9)</f>
        <v>31.876300000000001</v>
      </c>
      <c r="L915" s="81">
        <f>14.9824 * CHOOSE(CONTROL!$C$32, $C$9, 100%, $E$9)</f>
        <v>14.9824</v>
      </c>
      <c r="M915" s="81">
        <f>14.9861 * CHOOSE(CONTROL!$C$32, $C$9, 100%, $E$9)</f>
        <v>14.9861</v>
      </c>
      <c r="N915" s="81">
        <f>14.9824 * CHOOSE(CONTROL!$C$32, $C$9, 100%, $E$9)</f>
        <v>14.9824</v>
      </c>
      <c r="O915" s="81">
        <f>14.9861 * CHOOSE(CONTROL!$C$32, $C$9, 100%, $E$9)</f>
        <v>14.9861</v>
      </c>
    </row>
    <row r="916" spans="1:15" ht="15" x14ac:dyDescent="0.2">
      <c r="A916" s="16">
        <v>69093</v>
      </c>
      <c r="B916" s="80">
        <f>13.6848 * CHOOSE(CONTROL!$C$32, $C$9, 100%, $E$9)</f>
        <v>13.684799999999999</v>
      </c>
      <c r="C916" s="80">
        <f>13.6848 * CHOOSE(CONTROL!$C$32, $C$9, 100%, $E$9)</f>
        <v>13.684799999999999</v>
      </c>
      <c r="D916" s="80">
        <f>13.6859 * CHOOSE(CONTROL!$C$32, $C$9, 100%, $E$9)</f>
        <v>13.6859</v>
      </c>
      <c r="E916" s="81">
        <f>15.3142 * CHOOSE(CONTROL!$C$32, $C$9, 100%, $E$9)</f>
        <v>15.3142</v>
      </c>
      <c r="F916" s="81">
        <f>15.3142 * CHOOSE(CONTROL!$C$32, $C$9, 100%, $E$9)</f>
        <v>15.3142</v>
      </c>
      <c r="G916" s="81">
        <f>15.3178 * CHOOSE(CONTROL!$C$32, $C$9, 100%, $E$9)</f>
        <v>15.3178</v>
      </c>
      <c r="H916" s="81">
        <f>31.9391 * CHOOSE(CONTROL!$C$32, $C$9, 100%, $E$9)</f>
        <v>31.9391</v>
      </c>
      <c r="I916" s="81">
        <f>31.9427 * CHOOSE(CONTROL!$C$32, $C$9, 100%, $E$9)</f>
        <v>31.942699999999999</v>
      </c>
      <c r="J916" s="81">
        <f>31.9391 * CHOOSE(CONTROL!$C$32, $C$9, 100%, $E$9)</f>
        <v>31.9391</v>
      </c>
      <c r="K916" s="81">
        <f>31.9427 * CHOOSE(CONTROL!$C$32, $C$9, 100%, $E$9)</f>
        <v>31.942699999999999</v>
      </c>
      <c r="L916" s="81">
        <f>15.3142 * CHOOSE(CONTROL!$C$32, $C$9, 100%, $E$9)</f>
        <v>15.3142</v>
      </c>
      <c r="M916" s="81">
        <f>15.3178 * CHOOSE(CONTROL!$C$32, $C$9, 100%, $E$9)</f>
        <v>15.3178</v>
      </c>
      <c r="N916" s="81">
        <f>15.3142 * CHOOSE(CONTROL!$C$32, $C$9, 100%, $E$9)</f>
        <v>15.3142</v>
      </c>
      <c r="O916" s="81">
        <f>15.3178 * CHOOSE(CONTROL!$C$32, $C$9, 100%, $E$9)</f>
        <v>15.3178</v>
      </c>
    </row>
    <row r="917" spans="1:15" ht="15" x14ac:dyDescent="0.2">
      <c r="A917" s="16">
        <v>69124</v>
      </c>
      <c r="B917" s="80">
        <f>13.6919 * CHOOSE(CONTROL!$C$32, $C$9, 100%, $E$9)</f>
        <v>13.6919</v>
      </c>
      <c r="C917" s="80">
        <f>13.6919 * CHOOSE(CONTROL!$C$32, $C$9, 100%, $E$9)</f>
        <v>13.6919</v>
      </c>
      <c r="D917" s="80">
        <f>13.6929 * CHOOSE(CONTROL!$C$32, $C$9, 100%, $E$9)</f>
        <v>13.6929</v>
      </c>
      <c r="E917" s="81">
        <f>15.6686 * CHOOSE(CONTROL!$C$32, $C$9, 100%, $E$9)</f>
        <v>15.6686</v>
      </c>
      <c r="F917" s="81">
        <f>15.6686 * CHOOSE(CONTROL!$C$32, $C$9, 100%, $E$9)</f>
        <v>15.6686</v>
      </c>
      <c r="G917" s="81">
        <f>15.6722 * CHOOSE(CONTROL!$C$32, $C$9, 100%, $E$9)</f>
        <v>15.6722</v>
      </c>
      <c r="H917" s="81">
        <f>32.0057 * CHOOSE(CONTROL!$C$32, $C$9, 100%, $E$9)</f>
        <v>32.005699999999997</v>
      </c>
      <c r="I917" s="81">
        <f>32.0093 * CHOOSE(CONTROL!$C$32, $C$9, 100%, $E$9)</f>
        <v>32.009300000000003</v>
      </c>
      <c r="J917" s="81">
        <f>32.0057 * CHOOSE(CONTROL!$C$32, $C$9, 100%, $E$9)</f>
        <v>32.005699999999997</v>
      </c>
      <c r="K917" s="81">
        <f>32.0093 * CHOOSE(CONTROL!$C$32, $C$9, 100%, $E$9)</f>
        <v>32.009300000000003</v>
      </c>
      <c r="L917" s="81">
        <f>15.6686 * CHOOSE(CONTROL!$C$32, $C$9, 100%, $E$9)</f>
        <v>15.6686</v>
      </c>
      <c r="M917" s="81">
        <f>15.6722 * CHOOSE(CONTROL!$C$32, $C$9, 100%, $E$9)</f>
        <v>15.6722</v>
      </c>
      <c r="N917" s="81">
        <f>15.6686 * CHOOSE(CONTROL!$C$32, $C$9, 100%, $E$9)</f>
        <v>15.6686</v>
      </c>
      <c r="O917" s="81">
        <f>15.6722 * CHOOSE(CONTROL!$C$32, $C$9, 100%, $E$9)</f>
        <v>15.6722</v>
      </c>
    </row>
    <row r="918" spans="1:15" ht="15" x14ac:dyDescent="0.2">
      <c r="A918" s="16">
        <v>69154</v>
      </c>
      <c r="B918" s="80">
        <f>13.6919 * CHOOSE(CONTROL!$C$32, $C$9, 100%, $E$9)</f>
        <v>13.6919</v>
      </c>
      <c r="C918" s="80">
        <f>13.6919 * CHOOSE(CONTROL!$C$32, $C$9, 100%, $E$9)</f>
        <v>13.6919</v>
      </c>
      <c r="D918" s="80">
        <f>13.6934 * CHOOSE(CONTROL!$C$32, $C$9, 100%, $E$9)</f>
        <v>13.6934</v>
      </c>
      <c r="E918" s="81">
        <f>15.803 * CHOOSE(CONTROL!$C$32, $C$9, 100%, $E$9)</f>
        <v>15.803000000000001</v>
      </c>
      <c r="F918" s="81">
        <f>15.803 * CHOOSE(CONTROL!$C$32, $C$9, 100%, $E$9)</f>
        <v>15.803000000000001</v>
      </c>
      <c r="G918" s="81">
        <f>15.8083 * CHOOSE(CONTROL!$C$32, $C$9, 100%, $E$9)</f>
        <v>15.808299999999999</v>
      </c>
      <c r="H918" s="81">
        <f>32.0723 * CHOOSE(CONTROL!$C$32, $C$9, 100%, $E$9)</f>
        <v>32.072299999999998</v>
      </c>
      <c r="I918" s="81">
        <f>32.0776 * CHOOSE(CONTROL!$C$32, $C$9, 100%, $E$9)</f>
        <v>32.077599999999997</v>
      </c>
      <c r="J918" s="81">
        <f>32.0723 * CHOOSE(CONTROL!$C$32, $C$9, 100%, $E$9)</f>
        <v>32.072299999999998</v>
      </c>
      <c r="K918" s="81">
        <f>32.0776 * CHOOSE(CONTROL!$C$32, $C$9, 100%, $E$9)</f>
        <v>32.077599999999997</v>
      </c>
      <c r="L918" s="81">
        <f>15.803 * CHOOSE(CONTROL!$C$32, $C$9, 100%, $E$9)</f>
        <v>15.803000000000001</v>
      </c>
      <c r="M918" s="81">
        <f>15.8083 * CHOOSE(CONTROL!$C$32, $C$9, 100%, $E$9)</f>
        <v>15.808299999999999</v>
      </c>
      <c r="N918" s="81">
        <f>15.803 * CHOOSE(CONTROL!$C$32, $C$9, 100%, $E$9)</f>
        <v>15.803000000000001</v>
      </c>
      <c r="O918" s="81">
        <f>15.8083 * CHOOSE(CONTROL!$C$32, $C$9, 100%, $E$9)</f>
        <v>15.808299999999999</v>
      </c>
    </row>
    <row r="919" spans="1:15" ht="15" x14ac:dyDescent="0.2">
      <c r="A919" s="16">
        <v>69185</v>
      </c>
      <c r="B919" s="80">
        <f>13.6979 * CHOOSE(CONTROL!$C$32, $C$9, 100%, $E$9)</f>
        <v>13.697900000000001</v>
      </c>
      <c r="C919" s="80">
        <f>13.6979 * CHOOSE(CONTROL!$C$32, $C$9, 100%, $E$9)</f>
        <v>13.697900000000001</v>
      </c>
      <c r="D919" s="80">
        <f>13.6995 * CHOOSE(CONTROL!$C$32, $C$9, 100%, $E$9)</f>
        <v>13.6995</v>
      </c>
      <c r="E919" s="81">
        <f>15.6728 * CHOOSE(CONTROL!$C$32, $C$9, 100%, $E$9)</f>
        <v>15.672800000000001</v>
      </c>
      <c r="F919" s="81">
        <f>15.6728 * CHOOSE(CONTROL!$C$32, $C$9, 100%, $E$9)</f>
        <v>15.672800000000001</v>
      </c>
      <c r="G919" s="81">
        <f>15.6781 * CHOOSE(CONTROL!$C$32, $C$9, 100%, $E$9)</f>
        <v>15.678100000000001</v>
      </c>
      <c r="H919" s="81">
        <f>32.1392 * CHOOSE(CONTROL!$C$32, $C$9, 100%, $E$9)</f>
        <v>32.139200000000002</v>
      </c>
      <c r="I919" s="81">
        <f>32.1445 * CHOOSE(CONTROL!$C$32, $C$9, 100%, $E$9)</f>
        <v>32.144500000000001</v>
      </c>
      <c r="J919" s="81">
        <f>32.1392 * CHOOSE(CONTROL!$C$32, $C$9, 100%, $E$9)</f>
        <v>32.139200000000002</v>
      </c>
      <c r="K919" s="81">
        <f>32.1445 * CHOOSE(CONTROL!$C$32, $C$9, 100%, $E$9)</f>
        <v>32.144500000000001</v>
      </c>
      <c r="L919" s="81">
        <f>15.6728 * CHOOSE(CONTROL!$C$32, $C$9, 100%, $E$9)</f>
        <v>15.672800000000001</v>
      </c>
      <c r="M919" s="81">
        <f>15.6781 * CHOOSE(CONTROL!$C$32, $C$9, 100%, $E$9)</f>
        <v>15.678100000000001</v>
      </c>
      <c r="N919" s="81">
        <f>15.6728 * CHOOSE(CONTROL!$C$32, $C$9, 100%, $E$9)</f>
        <v>15.672800000000001</v>
      </c>
      <c r="O919" s="81">
        <f>15.6781 * CHOOSE(CONTROL!$C$32, $C$9, 100%, $E$9)</f>
        <v>15.678100000000001</v>
      </c>
    </row>
    <row r="920" spans="1:15" ht="15" x14ac:dyDescent="0.2">
      <c r="A920" s="16">
        <v>69215</v>
      </c>
      <c r="B920" s="80">
        <f>13.8629 * CHOOSE(CONTROL!$C$32, $C$9, 100%, $E$9)</f>
        <v>13.8629</v>
      </c>
      <c r="C920" s="80">
        <f>13.8629 * CHOOSE(CONTROL!$C$32, $C$9, 100%, $E$9)</f>
        <v>13.8629</v>
      </c>
      <c r="D920" s="80">
        <f>13.8644 * CHOOSE(CONTROL!$C$32, $C$9, 100%, $E$9)</f>
        <v>13.8644</v>
      </c>
      <c r="E920" s="81">
        <f>15.8951 * CHOOSE(CONTROL!$C$32, $C$9, 100%, $E$9)</f>
        <v>15.895099999999999</v>
      </c>
      <c r="F920" s="81">
        <f>15.8951 * CHOOSE(CONTROL!$C$32, $C$9, 100%, $E$9)</f>
        <v>15.895099999999999</v>
      </c>
      <c r="G920" s="81">
        <f>15.9004 * CHOOSE(CONTROL!$C$32, $C$9, 100%, $E$9)</f>
        <v>15.900399999999999</v>
      </c>
      <c r="H920" s="81">
        <f>32.2061 * CHOOSE(CONTROL!$C$32, $C$9, 100%, $E$9)</f>
        <v>32.206099999999999</v>
      </c>
      <c r="I920" s="81">
        <f>32.2114 * CHOOSE(CONTROL!$C$32, $C$9, 100%, $E$9)</f>
        <v>32.211399999999998</v>
      </c>
      <c r="J920" s="81">
        <f>32.2061 * CHOOSE(CONTROL!$C$32, $C$9, 100%, $E$9)</f>
        <v>32.206099999999999</v>
      </c>
      <c r="K920" s="81">
        <f>32.2114 * CHOOSE(CONTROL!$C$32, $C$9, 100%, $E$9)</f>
        <v>32.211399999999998</v>
      </c>
      <c r="L920" s="81">
        <f>15.8951 * CHOOSE(CONTROL!$C$32, $C$9, 100%, $E$9)</f>
        <v>15.895099999999999</v>
      </c>
      <c r="M920" s="81">
        <f>15.9004 * CHOOSE(CONTROL!$C$32, $C$9, 100%, $E$9)</f>
        <v>15.900399999999999</v>
      </c>
      <c r="N920" s="81">
        <f>15.8951 * CHOOSE(CONTROL!$C$32, $C$9, 100%, $E$9)</f>
        <v>15.895099999999999</v>
      </c>
      <c r="O920" s="81">
        <f>15.9004 * CHOOSE(CONTROL!$C$32, $C$9, 100%, $E$9)</f>
        <v>15.900399999999999</v>
      </c>
    </row>
    <row r="921" spans="1:15" ht="15" x14ac:dyDescent="0.2">
      <c r="A921" s="16">
        <v>69246</v>
      </c>
      <c r="B921" s="80">
        <f>13.8696 * CHOOSE(CONTROL!$C$32, $C$9, 100%, $E$9)</f>
        <v>13.8696</v>
      </c>
      <c r="C921" s="80">
        <f>13.8696 * CHOOSE(CONTROL!$C$32, $C$9, 100%, $E$9)</f>
        <v>13.8696</v>
      </c>
      <c r="D921" s="80">
        <f>13.8711 * CHOOSE(CONTROL!$C$32, $C$9, 100%, $E$9)</f>
        <v>13.8711</v>
      </c>
      <c r="E921" s="81">
        <f>15.4964 * CHOOSE(CONTROL!$C$32, $C$9, 100%, $E$9)</f>
        <v>15.4964</v>
      </c>
      <c r="F921" s="81">
        <f>15.4964 * CHOOSE(CONTROL!$C$32, $C$9, 100%, $E$9)</f>
        <v>15.4964</v>
      </c>
      <c r="G921" s="81">
        <f>15.5017 * CHOOSE(CONTROL!$C$32, $C$9, 100%, $E$9)</f>
        <v>15.5017</v>
      </c>
      <c r="H921" s="81">
        <f>32.2732 * CHOOSE(CONTROL!$C$32, $C$9, 100%, $E$9)</f>
        <v>32.273200000000003</v>
      </c>
      <c r="I921" s="81">
        <f>32.2785 * CHOOSE(CONTROL!$C$32, $C$9, 100%, $E$9)</f>
        <v>32.278500000000001</v>
      </c>
      <c r="J921" s="81">
        <f>32.2732 * CHOOSE(CONTROL!$C$32, $C$9, 100%, $E$9)</f>
        <v>32.273200000000003</v>
      </c>
      <c r="K921" s="81">
        <f>32.2785 * CHOOSE(CONTROL!$C$32, $C$9, 100%, $E$9)</f>
        <v>32.278500000000001</v>
      </c>
      <c r="L921" s="81">
        <f>15.4964 * CHOOSE(CONTROL!$C$32, $C$9, 100%, $E$9)</f>
        <v>15.4964</v>
      </c>
      <c r="M921" s="81">
        <f>15.5017 * CHOOSE(CONTROL!$C$32, $C$9, 100%, $E$9)</f>
        <v>15.5017</v>
      </c>
      <c r="N921" s="81">
        <f>15.4964 * CHOOSE(CONTROL!$C$32, $C$9, 100%, $E$9)</f>
        <v>15.4964</v>
      </c>
      <c r="O921" s="81">
        <f>15.5017 * CHOOSE(CONTROL!$C$32, $C$9, 100%, $E$9)</f>
        <v>15.5017</v>
      </c>
    </row>
    <row r="922" spans="1:15" ht="15" x14ac:dyDescent="0.2">
      <c r="A922" s="16">
        <v>69277</v>
      </c>
      <c r="B922" s="80">
        <f>13.8665 * CHOOSE(CONTROL!$C$32, $C$9, 100%, $E$9)</f>
        <v>13.8665</v>
      </c>
      <c r="C922" s="80">
        <f>13.8665 * CHOOSE(CONTROL!$C$32, $C$9, 100%, $E$9)</f>
        <v>13.8665</v>
      </c>
      <c r="D922" s="80">
        <f>13.8681 * CHOOSE(CONTROL!$C$32, $C$9, 100%, $E$9)</f>
        <v>13.8681</v>
      </c>
      <c r="E922" s="81">
        <f>15.4494 * CHOOSE(CONTROL!$C$32, $C$9, 100%, $E$9)</f>
        <v>15.449400000000001</v>
      </c>
      <c r="F922" s="81">
        <f>15.4494 * CHOOSE(CONTROL!$C$32, $C$9, 100%, $E$9)</f>
        <v>15.449400000000001</v>
      </c>
      <c r="G922" s="81">
        <f>15.4547 * CHOOSE(CONTROL!$C$32, $C$9, 100%, $E$9)</f>
        <v>15.454700000000001</v>
      </c>
      <c r="H922" s="81">
        <f>32.3404 * CHOOSE(CONTROL!$C$32, $C$9, 100%, $E$9)</f>
        <v>32.340400000000002</v>
      </c>
      <c r="I922" s="81">
        <f>32.3457 * CHOOSE(CONTROL!$C$32, $C$9, 100%, $E$9)</f>
        <v>32.345700000000001</v>
      </c>
      <c r="J922" s="81">
        <f>32.3404 * CHOOSE(CONTROL!$C$32, $C$9, 100%, $E$9)</f>
        <v>32.340400000000002</v>
      </c>
      <c r="K922" s="81">
        <f>32.3457 * CHOOSE(CONTROL!$C$32, $C$9, 100%, $E$9)</f>
        <v>32.345700000000001</v>
      </c>
      <c r="L922" s="81">
        <f>15.4494 * CHOOSE(CONTROL!$C$32, $C$9, 100%, $E$9)</f>
        <v>15.449400000000001</v>
      </c>
      <c r="M922" s="81">
        <f>15.4547 * CHOOSE(CONTROL!$C$32, $C$9, 100%, $E$9)</f>
        <v>15.454700000000001</v>
      </c>
      <c r="N922" s="81">
        <f>15.4494 * CHOOSE(CONTROL!$C$32, $C$9, 100%, $E$9)</f>
        <v>15.449400000000001</v>
      </c>
      <c r="O922" s="81">
        <f>15.4547 * CHOOSE(CONTROL!$C$32, $C$9, 100%, $E$9)</f>
        <v>15.454700000000001</v>
      </c>
    </row>
    <row r="923" spans="1:15" ht="15" x14ac:dyDescent="0.2">
      <c r="A923" s="16">
        <v>69307</v>
      </c>
      <c r="B923" s="80">
        <f>13.8985 * CHOOSE(CONTROL!$C$32, $C$9, 100%, $E$9)</f>
        <v>13.8985</v>
      </c>
      <c r="C923" s="80">
        <f>13.8985 * CHOOSE(CONTROL!$C$32, $C$9, 100%, $E$9)</f>
        <v>13.8985</v>
      </c>
      <c r="D923" s="80">
        <f>13.8995 * CHOOSE(CONTROL!$C$32, $C$9, 100%, $E$9)</f>
        <v>13.8995</v>
      </c>
      <c r="E923" s="81">
        <f>15.6153 * CHOOSE(CONTROL!$C$32, $C$9, 100%, $E$9)</f>
        <v>15.6153</v>
      </c>
      <c r="F923" s="81">
        <f>15.6153 * CHOOSE(CONTROL!$C$32, $C$9, 100%, $E$9)</f>
        <v>15.6153</v>
      </c>
      <c r="G923" s="81">
        <f>15.6189 * CHOOSE(CONTROL!$C$32, $C$9, 100%, $E$9)</f>
        <v>15.6189</v>
      </c>
      <c r="H923" s="81">
        <f>32.4078 * CHOOSE(CONTROL!$C$32, $C$9, 100%, $E$9)</f>
        <v>32.407800000000002</v>
      </c>
      <c r="I923" s="81">
        <f>32.4114 * CHOOSE(CONTROL!$C$32, $C$9, 100%, $E$9)</f>
        <v>32.4114</v>
      </c>
      <c r="J923" s="81">
        <f>32.4078 * CHOOSE(CONTROL!$C$32, $C$9, 100%, $E$9)</f>
        <v>32.407800000000002</v>
      </c>
      <c r="K923" s="81">
        <f>32.4114 * CHOOSE(CONTROL!$C$32, $C$9, 100%, $E$9)</f>
        <v>32.4114</v>
      </c>
      <c r="L923" s="81">
        <f>15.6153 * CHOOSE(CONTROL!$C$32, $C$9, 100%, $E$9)</f>
        <v>15.6153</v>
      </c>
      <c r="M923" s="81">
        <f>15.6189 * CHOOSE(CONTROL!$C$32, $C$9, 100%, $E$9)</f>
        <v>15.6189</v>
      </c>
      <c r="N923" s="81">
        <f>15.6153 * CHOOSE(CONTROL!$C$32, $C$9, 100%, $E$9)</f>
        <v>15.6153</v>
      </c>
      <c r="O923" s="81">
        <f>15.6189 * CHOOSE(CONTROL!$C$32, $C$9, 100%, $E$9)</f>
        <v>15.6189</v>
      </c>
    </row>
    <row r="924" spans="1:15" ht="15" x14ac:dyDescent="0.2">
      <c r="A924" s="16">
        <v>69338</v>
      </c>
      <c r="B924" s="80">
        <f>13.9015 * CHOOSE(CONTROL!$C$32, $C$9, 100%, $E$9)</f>
        <v>13.9015</v>
      </c>
      <c r="C924" s="80">
        <f>13.9015 * CHOOSE(CONTROL!$C$32, $C$9, 100%, $E$9)</f>
        <v>13.9015</v>
      </c>
      <c r="D924" s="80">
        <f>13.9026 * CHOOSE(CONTROL!$C$32, $C$9, 100%, $E$9)</f>
        <v>13.9026</v>
      </c>
      <c r="E924" s="81">
        <f>15.7071 * CHOOSE(CONTROL!$C$32, $C$9, 100%, $E$9)</f>
        <v>15.707100000000001</v>
      </c>
      <c r="F924" s="81">
        <f>15.7071 * CHOOSE(CONTROL!$C$32, $C$9, 100%, $E$9)</f>
        <v>15.707100000000001</v>
      </c>
      <c r="G924" s="81">
        <f>15.7107 * CHOOSE(CONTROL!$C$32, $C$9, 100%, $E$9)</f>
        <v>15.710699999999999</v>
      </c>
      <c r="H924" s="81">
        <f>32.4753 * CHOOSE(CONTROL!$C$32, $C$9, 100%, $E$9)</f>
        <v>32.475299999999997</v>
      </c>
      <c r="I924" s="81">
        <f>32.479 * CHOOSE(CONTROL!$C$32, $C$9, 100%, $E$9)</f>
        <v>32.478999999999999</v>
      </c>
      <c r="J924" s="81">
        <f>32.4753 * CHOOSE(CONTROL!$C$32, $C$9, 100%, $E$9)</f>
        <v>32.475299999999997</v>
      </c>
      <c r="K924" s="81">
        <f>32.479 * CHOOSE(CONTROL!$C$32, $C$9, 100%, $E$9)</f>
        <v>32.478999999999999</v>
      </c>
      <c r="L924" s="81">
        <f>15.7071 * CHOOSE(CONTROL!$C$32, $C$9, 100%, $E$9)</f>
        <v>15.707100000000001</v>
      </c>
      <c r="M924" s="81">
        <f>15.7107 * CHOOSE(CONTROL!$C$32, $C$9, 100%, $E$9)</f>
        <v>15.710699999999999</v>
      </c>
      <c r="N924" s="81">
        <f>15.7071 * CHOOSE(CONTROL!$C$32, $C$9, 100%, $E$9)</f>
        <v>15.707100000000001</v>
      </c>
      <c r="O924" s="81">
        <f>15.7107 * CHOOSE(CONTROL!$C$32, $C$9, 100%, $E$9)</f>
        <v>15.710699999999999</v>
      </c>
    </row>
    <row r="925" spans="1:15" ht="15" x14ac:dyDescent="0.2">
      <c r="A925" s="16">
        <v>69368</v>
      </c>
      <c r="B925" s="80">
        <f>13.9015 * CHOOSE(CONTROL!$C$32, $C$9, 100%, $E$9)</f>
        <v>13.9015</v>
      </c>
      <c r="C925" s="80">
        <f>13.9015 * CHOOSE(CONTROL!$C$32, $C$9, 100%, $E$9)</f>
        <v>13.9015</v>
      </c>
      <c r="D925" s="80">
        <f>13.9026 * CHOOSE(CONTROL!$C$32, $C$9, 100%, $E$9)</f>
        <v>13.9026</v>
      </c>
      <c r="E925" s="81">
        <f>15.483 * CHOOSE(CONTROL!$C$32, $C$9, 100%, $E$9)</f>
        <v>15.483000000000001</v>
      </c>
      <c r="F925" s="81">
        <f>15.483 * CHOOSE(CONTROL!$C$32, $C$9, 100%, $E$9)</f>
        <v>15.483000000000001</v>
      </c>
      <c r="G925" s="81">
        <f>15.4866 * CHOOSE(CONTROL!$C$32, $C$9, 100%, $E$9)</f>
        <v>15.486599999999999</v>
      </c>
      <c r="H925" s="81">
        <f>32.543 * CHOOSE(CONTROL!$C$32, $C$9, 100%, $E$9)</f>
        <v>32.542999999999999</v>
      </c>
      <c r="I925" s="81">
        <f>32.5466 * CHOOSE(CONTROL!$C$32, $C$9, 100%, $E$9)</f>
        <v>32.546599999999998</v>
      </c>
      <c r="J925" s="81">
        <f>32.543 * CHOOSE(CONTROL!$C$32, $C$9, 100%, $E$9)</f>
        <v>32.542999999999999</v>
      </c>
      <c r="K925" s="81">
        <f>32.5466 * CHOOSE(CONTROL!$C$32, $C$9, 100%, $E$9)</f>
        <v>32.546599999999998</v>
      </c>
      <c r="L925" s="81">
        <f>15.483 * CHOOSE(CONTROL!$C$32, $C$9, 100%, $E$9)</f>
        <v>15.483000000000001</v>
      </c>
      <c r="M925" s="81">
        <f>15.4866 * CHOOSE(CONTROL!$C$32, $C$9, 100%, $E$9)</f>
        <v>15.486599999999999</v>
      </c>
      <c r="N925" s="81">
        <f>15.483 * CHOOSE(CONTROL!$C$32, $C$9, 100%, $E$9)</f>
        <v>15.483000000000001</v>
      </c>
      <c r="O925" s="81">
        <f>15.4866 * CHOOSE(CONTROL!$C$32, $C$9, 100%, $E$9)</f>
        <v>15.486599999999999</v>
      </c>
    </row>
    <row r="926" spans="1:15" ht="15" x14ac:dyDescent="0.2">
      <c r="A926" s="16">
        <v>69399</v>
      </c>
      <c r="B926" s="80">
        <f>13.8782 * CHOOSE(CONTROL!$C$32, $C$9, 100%, $E$9)</f>
        <v>13.8782</v>
      </c>
      <c r="C926" s="80">
        <f>13.8782 * CHOOSE(CONTROL!$C$32, $C$9, 100%, $E$9)</f>
        <v>13.8782</v>
      </c>
      <c r="D926" s="80">
        <f>13.8793 * CHOOSE(CONTROL!$C$32, $C$9, 100%, $E$9)</f>
        <v>13.879300000000001</v>
      </c>
      <c r="E926" s="81">
        <f>15.6206 * CHOOSE(CONTROL!$C$32, $C$9, 100%, $E$9)</f>
        <v>15.6206</v>
      </c>
      <c r="F926" s="81">
        <f>15.6206 * CHOOSE(CONTROL!$C$32, $C$9, 100%, $E$9)</f>
        <v>15.6206</v>
      </c>
      <c r="G926" s="81">
        <f>15.6242 * CHOOSE(CONTROL!$C$32, $C$9, 100%, $E$9)</f>
        <v>15.6242</v>
      </c>
      <c r="H926" s="81">
        <f>32.2705 * CHOOSE(CONTROL!$C$32, $C$9, 100%, $E$9)</f>
        <v>32.270499999999998</v>
      </c>
      <c r="I926" s="81">
        <f>32.2741 * CHOOSE(CONTROL!$C$32, $C$9, 100%, $E$9)</f>
        <v>32.274099999999997</v>
      </c>
      <c r="J926" s="81">
        <f>32.2705 * CHOOSE(CONTROL!$C$32, $C$9, 100%, $E$9)</f>
        <v>32.270499999999998</v>
      </c>
      <c r="K926" s="81">
        <f>32.2741 * CHOOSE(CONTROL!$C$32, $C$9, 100%, $E$9)</f>
        <v>32.274099999999997</v>
      </c>
      <c r="L926" s="81">
        <f>15.6206 * CHOOSE(CONTROL!$C$32, $C$9, 100%, $E$9)</f>
        <v>15.6206</v>
      </c>
      <c r="M926" s="81">
        <f>15.6242 * CHOOSE(CONTROL!$C$32, $C$9, 100%, $E$9)</f>
        <v>15.6242</v>
      </c>
      <c r="N926" s="81">
        <f>15.6206 * CHOOSE(CONTROL!$C$32, $C$9, 100%, $E$9)</f>
        <v>15.6206</v>
      </c>
      <c r="O926" s="81">
        <f>15.6242 * CHOOSE(CONTROL!$C$32, $C$9, 100%, $E$9)</f>
        <v>15.6242</v>
      </c>
    </row>
    <row r="927" spans="1:15" ht="15" x14ac:dyDescent="0.2">
      <c r="A927" s="16">
        <v>69430</v>
      </c>
      <c r="B927" s="80">
        <f>13.8752 * CHOOSE(CONTROL!$C$32, $C$9, 100%, $E$9)</f>
        <v>13.8752</v>
      </c>
      <c r="C927" s="80">
        <f>13.8752 * CHOOSE(CONTROL!$C$32, $C$9, 100%, $E$9)</f>
        <v>13.8752</v>
      </c>
      <c r="D927" s="80">
        <f>13.8763 * CHOOSE(CONTROL!$C$32, $C$9, 100%, $E$9)</f>
        <v>13.876300000000001</v>
      </c>
      <c r="E927" s="81">
        <f>15.1879 * CHOOSE(CONTROL!$C$32, $C$9, 100%, $E$9)</f>
        <v>15.187900000000001</v>
      </c>
      <c r="F927" s="81">
        <f>15.1879 * CHOOSE(CONTROL!$C$32, $C$9, 100%, $E$9)</f>
        <v>15.187900000000001</v>
      </c>
      <c r="G927" s="81">
        <f>15.1915 * CHOOSE(CONTROL!$C$32, $C$9, 100%, $E$9)</f>
        <v>15.1915</v>
      </c>
      <c r="H927" s="81">
        <f>32.3377 * CHOOSE(CONTROL!$C$32, $C$9, 100%, $E$9)</f>
        <v>32.337699999999998</v>
      </c>
      <c r="I927" s="81">
        <f>32.3413 * CHOOSE(CONTROL!$C$32, $C$9, 100%, $E$9)</f>
        <v>32.341299999999997</v>
      </c>
      <c r="J927" s="81">
        <f>32.3377 * CHOOSE(CONTROL!$C$32, $C$9, 100%, $E$9)</f>
        <v>32.337699999999998</v>
      </c>
      <c r="K927" s="81">
        <f>32.3413 * CHOOSE(CONTROL!$C$32, $C$9, 100%, $E$9)</f>
        <v>32.341299999999997</v>
      </c>
      <c r="L927" s="81">
        <f>15.1879 * CHOOSE(CONTROL!$C$32, $C$9, 100%, $E$9)</f>
        <v>15.187900000000001</v>
      </c>
      <c r="M927" s="81">
        <f>15.1915 * CHOOSE(CONTROL!$C$32, $C$9, 100%, $E$9)</f>
        <v>15.1915</v>
      </c>
      <c r="N927" s="81">
        <f>15.1879 * CHOOSE(CONTROL!$C$32, $C$9, 100%, $E$9)</f>
        <v>15.187900000000001</v>
      </c>
      <c r="O927" s="81">
        <f>15.1915 * CHOOSE(CONTROL!$C$32, $C$9, 100%, $E$9)</f>
        <v>15.1915</v>
      </c>
    </row>
    <row r="928" spans="1:15" ht="15" x14ac:dyDescent="0.2">
      <c r="A928" s="16">
        <v>69458</v>
      </c>
      <c r="B928" s="80">
        <f>13.8722 * CHOOSE(CONTROL!$C$32, $C$9, 100%, $E$9)</f>
        <v>13.872199999999999</v>
      </c>
      <c r="C928" s="80">
        <f>13.8722 * CHOOSE(CONTROL!$C$32, $C$9, 100%, $E$9)</f>
        <v>13.872199999999999</v>
      </c>
      <c r="D928" s="80">
        <f>13.8732 * CHOOSE(CONTROL!$C$32, $C$9, 100%, $E$9)</f>
        <v>13.873200000000001</v>
      </c>
      <c r="E928" s="81">
        <f>15.5252 * CHOOSE(CONTROL!$C$32, $C$9, 100%, $E$9)</f>
        <v>15.5252</v>
      </c>
      <c r="F928" s="81">
        <f>15.5252 * CHOOSE(CONTROL!$C$32, $C$9, 100%, $E$9)</f>
        <v>15.5252</v>
      </c>
      <c r="G928" s="81">
        <f>15.5288 * CHOOSE(CONTROL!$C$32, $C$9, 100%, $E$9)</f>
        <v>15.5288</v>
      </c>
      <c r="H928" s="81">
        <f>32.4051 * CHOOSE(CONTROL!$C$32, $C$9, 100%, $E$9)</f>
        <v>32.405099999999997</v>
      </c>
      <c r="I928" s="81">
        <f>32.4087 * CHOOSE(CONTROL!$C$32, $C$9, 100%, $E$9)</f>
        <v>32.408700000000003</v>
      </c>
      <c r="J928" s="81">
        <f>32.4051 * CHOOSE(CONTROL!$C$32, $C$9, 100%, $E$9)</f>
        <v>32.405099999999997</v>
      </c>
      <c r="K928" s="81">
        <f>32.4087 * CHOOSE(CONTROL!$C$32, $C$9, 100%, $E$9)</f>
        <v>32.408700000000003</v>
      </c>
      <c r="L928" s="81">
        <f>15.5252 * CHOOSE(CONTROL!$C$32, $C$9, 100%, $E$9)</f>
        <v>15.5252</v>
      </c>
      <c r="M928" s="81">
        <f>15.5288 * CHOOSE(CONTROL!$C$32, $C$9, 100%, $E$9)</f>
        <v>15.5288</v>
      </c>
      <c r="N928" s="81">
        <f>15.5252 * CHOOSE(CONTROL!$C$32, $C$9, 100%, $E$9)</f>
        <v>15.5252</v>
      </c>
      <c r="O928" s="81">
        <f>15.5288 * CHOOSE(CONTROL!$C$32, $C$9, 100%, $E$9)</f>
        <v>15.5288</v>
      </c>
    </row>
    <row r="929" spans="1:15" ht="15" x14ac:dyDescent="0.2">
      <c r="A929" s="16">
        <v>69489</v>
      </c>
      <c r="B929" s="80">
        <f>13.8794 * CHOOSE(CONTROL!$C$32, $C$9, 100%, $E$9)</f>
        <v>13.8794</v>
      </c>
      <c r="C929" s="80">
        <f>13.8794 * CHOOSE(CONTROL!$C$32, $C$9, 100%, $E$9)</f>
        <v>13.8794</v>
      </c>
      <c r="D929" s="80">
        <f>13.8805 * CHOOSE(CONTROL!$C$32, $C$9, 100%, $E$9)</f>
        <v>13.8805</v>
      </c>
      <c r="E929" s="81">
        <f>15.8856 * CHOOSE(CONTROL!$C$32, $C$9, 100%, $E$9)</f>
        <v>15.8856</v>
      </c>
      <c r="F929" s="81">
        <f>15.8856 * CHOOSE(CONTROL!$C$32, $C$9, 100%, $E$9)</f>
        <v>15.8856</v>
      </c>
      <c r="G929" s="81">
        <f>15.8892 * CHOOSE(CONTROL!$C$32, $C$9, 100%, $E$9)</f>
        <v>15.889200000000001</v>
      </c>
      <c r="H929" s="81">
        <f>32.4726 * CHOOSE(CONTROL!$C$32, $C$9, 100%, $E$9)</f>
        <v>32.4726</v>
      </c>
      <c r="I929" s="81">
        <f>32.4762 * CHOOSE(CONTROL!$C$32, $C$9, 100%, $E$9)</f>
        <v>32.476199999999999</v>
      </c>
      <c r="J929" s="81">
        <f>32.4726 * CHOOSE(CONTROL!$C$32, $C$9, 100%, $E$9)</f>
        <v>32.4726</v>
      </c>
      <c r="K929" s="81">
        <f>32.4762 * CHOOSE(CONTROL!$C$32, $C$9, 100%, $E$9)</f>
        <v>32.476199999999999</v>
      </c>
      <c r="L929" s="81">
        <f>15.8856 * CHOOSE(CONTROL!$C$32, $C$9, 100%, $E$9)</f>
        <v>15.8856</v>
      </c>
      <c r="M929" s="81">
        <f>15.8892 * CHOOSE(CONTROL!$C$32, $C$9, 100%, $E$9)</f>
        <v>15.889200000000001</v>
      </c>
      <c r="N929" s="81">
        <f>15.8856 * CHOOSE(CONTROL!$C$32, $C$9, 100%, $E$9)</f>
        <v>15.8856</v>
      </c>
      <c r="O929" s="81">
        <f>15.8892 * CHOOSE(CONTROL!$C$32, $C$9, 100%, $E$9)</f>
        <v>15.889200000000001</v>
      </c>
    </row>
    <row r="930" spans="1:15" ht="15" x14ac:dyDescent="0.2">
      <c r="A930" s="16">
        <v>69519</v>
      </c>
      <c r="B930" s="80">
        <f>13.8794 * CHOOSE(CONTROL!$C$32, $C$9, 100%, $E$9)</f>
        <v>13.8794</v>
      </c>
      <c r="C930" s="80">
        <f>13.8794 * CHOOSE(CONTROL!$C$32, $C$9, 100%, $E$9)</f>
        <v>13.8794</v>
      </c>
      <c r="D930" s="80">
        <f>13.881 * CHOOSE(CONTROL!$C$32, $C$9, 100%, $E$9)</f>
        <v>13.881</v>
      </c>
      <c r="E930" s="81">
        <f>16.0223 * CHOOSE(CONTROL!$C$32, $C$9, 100%, $E$9)</f>
        <v>16.022300000000001</v>
      </c>
      <c r="F930" s="81">
        <f>16.0223 * CHOOSE(CONTROL!$C$32, $C$9, 100%, $E$9)</f>
        <v>16.022300000000001</v>
      </c>
      <c r="G930" s="81">
        <f>16.0276 * CHOOSE(CONTROL!$C$32, $C$9, 100%, $E$9)</f>
        <v>16.0276</v>
      </c>
      <c r="H930" s="81">
        <f>32.5402 * CHOOSE(CONTROL!$C$32, $C$9, 100%, $E$9)</f>
        <v>32.540199999999999</v>
      </c>
      <c r="I930" s="81">
        <f>32.5455 * CHOOSE(CONTROL!$C$32, $C$9, 100%, $E$9)</f>
        <v>32.545499999999997</v>
      </c>
      <c r="J930" s="81">
        <f>32.5402 * CHOOSE(CONTROL!$C$32, $C$9, 100%, $E$9)</f>
        <v>32.540199999999999</v>
      </c>
      <c r="K930" s="81">
        <f>32.5455 * CHOOSE(CONTROL!$C$32, $C$9, 100%, $E$9)</f>
        <v>32.545499999999997</v>
      </c>
      <c r="L930" s="81">
        <f>16.0223 * CHOOSE(CONTROL!$C$32, $C$9, 100%, $E$9)</f>
        <v>16.022300000000001</v>
      </c>
      <c r="M930" s="81">
        <f>16.0276 * CHOOSE(CONTROL!$C$32, $C$9, 100%, $E$9)</f>
        <v>16.0276</v>
      </c>
      <c r="N930" s="81">
        <f>16.0223 * CHOOSE(CONTROL!$C$32, $C$9, 100%, $E$9)</f>
        <v>16.022300000000001</v>
      </c>
      <c r="O930" s="81">
        <f>16.0276 * CHOOSE(CONTROL!$C$32, $C$9, 100%, $E$9)</f>
        <v>16.0276</v>
      </c>
    </row>
    <row r="931" spans="1:15" ht="15" x14ac:dyDescent="0.2">
      <c r="A931" s="16">
        <v>69550</v>
      </c>
      <c r="B931" s="80">
        <f>13.8855 * CHOOSE(CONTROL!$C$32, $C$9, 100%, $E$9)</f>
        <v>13.8855</v>
      </c>
      <c r="C931" s="80">
        <f>13.8855 * CHOOSE(CONTROL!$C$32, $C$9, 100%, $E$9)</f>
        <v>13.8855</v>
      </c>
      <c r="D931" s="80">
        <f>13.8871 * CHOOSE(CONTROL!$C$32, $C$9, 100%, $E$9)</f>
        <v>13.8871</v>
      </c>
      <c r="E931" s="81">
        <f>15.8898 * CHOOSE(CONTROL!$C$32, $C$9, 100%, $E$9)</f>
        <v>15.889799999999999</v>
      </c>
      <c r="F931" s="81">
        <f>15.8898 * CHOOSE(CONTROL!$C$32, $C$9, 100%, $E$9)</f>
        <v>15.889799999999999</v>
      </c>
      <c r="G931" s="81">
        <f>15.8951 * CHOOSE(CONTROL!$C$32, $C$9, 100%, $E$9)</f>
        <v>15.895099999999999</v>
      </c>
      <c r="H931" s="81">
        <f>32.608 * CHOOSE(CONTROL!$C$32, $C$9, 100%, $E$9)</f>
        <v>32.607999999999997</v>
      </c>
      <c r="I931" s="81">
        <f>32.6133 * CHOOSE(CONTROL!$C$32, $C$9, 100%, $E$9)</f>
        <v>32.613300000000002</v>
      </c>
      <c r="J931" s="81">
        <f>32.608 * CHOOSE(CONTROL!$C$32, $C$9, 100%, $E$9)</f>
        <v>32.607999999999997</v>
      </c>
      <c r="K931" s="81">
        <f>32.6133 * CHOOSE(CONTROL!$C$32, $C$9, 100%, $E$9)</f>
        <v>32.613300000000002</v>
      </c>
      <c r="L931" s="81">
        <f>15.8898 * CHOOSE(CONTROL!$C$32, $C$9, 100%, $E$9)</f>
        <v>15.889799999999999</v>
      </c>
      <c r="M931" s="81">
        <f>15.8951 * CHOOSE(CONTROL!$C$32, $C$9, 100%, $E$9)</f>
        <v>15.895099999999999</v>
      </c>
      <c r="N931" s="81">
        <f>15.8898 * CHOOSE(CONTROL!$C$32, $C$9, 100%, $E$9)</f>
        <v>15.889799999999999</v>
      </c>
      <c r="O931" s="81">
        <f>15.8951 * CHOOSE(CONTROL!$C$32, $C$9, 100%, $E$9)</f>
        <v>15.895099999999999</v>
      </c>
    </row>
    <row r="932" spans="1:15" ht="15" x14ac:dyDescent="0.2">
      <c r="A932" s="16">
        <v>69580</v>
      </c>
      <c r="B932" s="80">
        <f>14.0525 * CHOOSE(CONTROL!$C$32, $C$9, 100%, $E$9)</f>
        <v>14.0525</v>
      </c>
      <c r="C932" s="80">
        <f>14.0525 * CHOOSE(CONTROL!$C$32, $C$9, 100%, $E$9)</f>
        <v>14.0525</v>
      </c>
      <c r="D932" s="80">
        <f>14.054 * CHOOSE(CONTROL!$C$32, $C$9, 100%, $E$9)</f>
        <v>14.054</v>
      </c>
      <c r="E932" s="81">
        <f>16.1153 * CHOOSE(CONTROL!$C$32, $C$9, 100%, $E$9)</f>
        <v>16.115300000000001</v>
      </c>
      <c r="F932" s="81">
        <f>16.1153 * CHOOSE(CONTROL!$C$32, $C$9, 100%, $E$9)</f>
        <v>16.115300000000001</v>
      </c>
      <c r="G932" s="81">
        <f>16.1206 * CHOOSE(CONTROL!$C$32, $C$9, 100%, $E$9)</f>
        <v>16.1206</v>
      </c>
      <c r="H932" s="81">
        <f>32.676 * CHOOSE(CONTROL!$C$32, $C$9, 100%, $E$9)</f>
        <v>32.676000000000002</v>
      </c>
      <c r="I932" s="81">
        <f>32.6813 * CHOOSE(CONTROL!$C$32, $C$9, 100%, $E$9)</f>
        <v>32.6813</v>
      </c>
      <c r="J932" s="81">
        <f>32.676 * CHOOSE(CONTROL!$C$32, $C$9, 100%, $E$9)</f>
        <v>32.676000000000002</v>
      </c>
      <c r="K932" s="81">
        <f>32.6813 * CHOOSE(CONTROL!$C$32, $C$9, 100%, $E$9)</f>
        <v>32.6813</v>
      </c>
      <c r="L932" s="81">
        <f>16.1153 * CHOOSE(CONTROL!$C$32, $C$9, 100%, $E$9)</f>
        <v>16.115300000000001</v>
      </c>
      <c r="M932" s="81">
        <f>16.1206 * CHOOSE(CONTROL!$C$32, $C$9, 100%, $E$9)</f>
        <v>16.1206</v>
      </c>
      <c r="N932" s="81">
        <f>16.1153 * CHOOSE(CONTROL!$C$32, $C$9, 100%, $E$9)</f>
        <v>16.115300000000001</v>
      </c>
      <c r="O932" s="81">
        <f>16.1206 * CHOOSE(CONTROL!$C$32, $C$9, 100%, $E$9)</f>
        <v>16.1206</v>
      </c>
    </row>
    <row r="933" spans="1:15" ht="15" x14ac:dyDescent="0.2">
      <c r="A933" s="16">
        <v>69611</v>
      </c>
      <c r="B933" s="80">
        <f>14.0592 * CHOOSE(CONTROL!$C$32, $C$9, 100%, $E$9)</f>
        <v>14.059200000000001</v>
      </c>
      <c r="C933" s="80">
        <f>14.0592 * CHOOSE(CONTROL!$C$32, $C$9, 100%, $E$9)</f>
        <v>14.059200000000001</v>
      </c>
      <c r="D933" s="80">
        <f>14.0607 * CHOOSE(CONTROL!$C$32, $C$9, 100%, $E$9)</f>
        <v>14.060700000000001</v>
      </c>
      <c r="E933" s="81">
        <f>15.7098 * CHOOSE(CONTROL!$C$32, $C$9, 100%, $E$9)</f>
        <v>15.7098</v>
      </c>
      <c r="F933" s="81">
        <f>15.7098 * CHOOSE(CONTROL!$C$32, $C$9, 100%, $E$9)</f>
        <v>15.7098</v>
      </c>
      <c r="G933" s="81">
        <f>15.7151 * CHOOSE(CONTROL!$C$32, $C$9, 100%, $E$9)</f>
        <v>15.7151</v>
      </c>
      <c r="H933" s="81">
        <f>32.7441 * CHOOSE(CONTROL!$C$32, $C$9, 100%, $E$9)</f>
        <v>32.744100000000003</v>
      </c>
      <c r="I933" s="81">
        <f>32.7493 * CHOOSE(CONTROL!$C$32, $C$9, 100%, $E$9)</f>
        <v>32.749299999999998</v>
      </c>
      <c r="J933" s="81">
        <f>32.7441 * CHOOSE(CONTROL!$C$32, $C$9, 100%, $E$9)</f>
        <v>32.744100000000003</v>
      </c>
      <c r="K933" s="81">
        <f>32.7493 * CHOOSE(CONTROL!$C$32, $C$9, 100%, $E$9)</f>
        <v>32.749299999999998</v>
      </c>
      <c r="L933" s="81">
        <f>15.7098 * CHOOSE(CONTROL!$C$32, $C$9, 100%, $E$9)</f>
        <v>15.7098</v>
      </c>
      <c r="M933" s="81">
        <f>15.7151 * CHOOSE(CONTROL!$C$32, $C$9, 100%, $E$9)</f>
        <v>15.7151</v>
      </c>
      <c r="N933" s="81">
        <f>15.7098 * CHOOSE(CONTROL!$C$32, $C$9, 100%, $E$9)</f>
        <v>15.7098</v>
      </c>
      <c r="O933" s="81">
        <f>15.7151 * CHOOSE(CONTROL!$C$32, $C$9, 100%, $E$9)</f>
        <v>15.7151</v>
      </c>
    </row>
    <row r="934" spans="1:15" ht="15" x14ac:dyDescent="0.2">
      <c r="A934" s="16">
        <v>69642</v>
      </c>
      <c r="B934" s="80">
        <f>14.0561 * CHOOSE(CONTROL!$C$32, $C$9, 100%, $E$9)</f>
        <v>14.056100000000001</v>
      </c>
      <c r="C934" s="80">
        <f>14.0561 * CHOOSE(CONTROL!$C$32, $C$9, 100%, $E$9)</f>
        <v>14.056100000000001</v>
      </c>
      <c r="D934" s="80">
        <f>14.0577 * CHOOSE(CONTROL!$C$32, $C$9, 100%, $E$9)</f>
        <v>14.057700000000001</v>
      </c>
      <c r="E934" s="81">
        <f>15.6621 * CHOOSE(CONTROL!$C$32, $C$9, 100%, $E$9)</f>
        <v>15.662100000000001</v>
      </c>
      <c r="F934" s="81">
        <f>15.6621 * CHOOSE(CONTROL!$C$32, $C$9, 100%, $E$9)</f>
        <v>15.662100000000001</v>
      </c>
      <c r="G934" s="81">
        <f>15.6674 * CHOOSE(CONTROL!$C$32, $C$9, 100%, $E$9)</f>
        <v>15.667400000000001</v>
      </c>
      <c r="H934" s="81">
        <f>32.8123 * CHOOSE(CONTROL!$C$32, $C$9, 100%, $E$9)</f>
        <v>32.8123</v>
      </c>
      <c r="I934" s="81">
        <f>32.8176 * CHOOSE(CONTROL!$C$32, $C$9, 100%, $E$9)</f>
        <v>32.817599999999999</v>
      </c>
      <c r="J934" s="81">
        <f>32.8123 * CHOOSE(CONTROL!$C$32, $C$9, 100%, $E$9)</f>
        <v>32.8123</v>
      </c>
      <c r="K934" s="81">
        <f>32.8176 * CHOOSE(CONTROL!$C$32, $C$9, 100%, $E$9)</f>
        <v>32.817599999999999</v>
      </c>
      <c r="L934" s="81">
        <f>15.6621 * CHOOSE(CONTROL!$C$32, $C$9, 100%, $E$9)</f>
        <v>15.662100000000001</v>
      </c>
      <c r="M934" s="81">
        <f>15.6674 * CHOOSE(CONTROL!$C$32, $C$9, 100%, $E$9)</f>
        <v>15.667400000000001</v>
      </c>
      <c r="N934" s="81">
        <f>15.6621 * CHOOSE(CONTROL!$C$32, $C$9, 100%, $E$9)</f>
        <v>15.662100000000001</v>
      </c>
      <c r="O934" s="81">
        <f>15.6674 * CHOOSE(CONTROL!$C$32, $C$9, 100%, $E$9)</f>
        <v>15.667400000000001</v>
      </c>
    </row>
    <row r="935" spans="1:15" ht="15" x14ac:dyDescent="0.2">
      <c r="A935" s="16">
        <v>69672</v>
      </c>
      <c r="B935" s="80">
        <f>14.0888 * CHOOSE(CONTROL!$C$32, $C$9, 100%, $E$9)</f>
        <v>14.088800000000001</v>
      </c>
      <c r="C935" s="80">
        <f>14.0888 * CHOOSE(CONTROL!$C$32, $C$9, 100%, $E$9)</f>
        <v>14.088800000000001</v>
      </c>
      <c r="D935" s="80">
        <f>14.0899 * CHOOSE(CONTROL!$C$32, $C$9, 100%, $E$9)</f>
        <v>14.0899</v>
      </c>
      <c r="E935" s="81">
        <f>15.831 * CHOOSE(CONTROL!$C$32, $C$9, 100%, $E$9)</f>
        <v>15.831</v>
      </c>
      <c r="F935" s="81">
        <f>15.831 * CHOOSE(CONTROL!$C$32, $C$9, 100%, $E$9)</f>
        <v>15.831</v>
      </c>
      <c r="G935" s="81">
        <f>15.8346 * CHOOSE(CONTROL!$C$32, $C$9, 100%, $E$9)</f>
        <v>15.8346</v>
      </c>
      <c r="H935" s="81">
        <f>32.8806 * CHOOSE(CONTROL!$C$32, $C$9, 100%, $E$9)</f>
        <v>32.880600000000001</v>
      </c>
      <c r="I935" s="81">
        <f>32.8842 * CHOOSE(CONTROL!$C$32, $C$9, 100%, $E$9)</f>
        <v>32.8842</v>
      </c>
      <c r="J935" s="81">
        <f>32.8806 * CHOOSE(CONTROL!$C$32, $C$9, 100%, $E$9)</f>
        <v>32.880600000000001</v>
      </c>
      <c r="K935" s="81">
        <f>32.8842 * CHOOSE(CONTROL!$C$32, $C$9, 100%, $E$9)</f>
        <v>32.8842</v>
      </c>
      <c r="L935" s="81">
        <f>15.831 * CHOOSE(CONTROL!$C$32, $C$9, 100%, $E$9)</f>
        <v>15.831</v>
      </c>
      <c r="M935" s="81">
        <f>15.8346 * CHOOSE(CONTROL!$C$32, $C$9, 100%, $E$9)</f>
        <v>15.8346</v>
      </c>
      <c r="N935" s="81">
        <f>15.831 * CHOOSE(CONTROL!$C$32, $C$9, 100%, $E$9)</f>
        <v>15.831</v>
      </c>
      <c r="O935" s="81">
        <f>15.8346 * CHOOSE(CONTROL!$C$32, $C$9, 100%, $E$9)</f>
        <v>15.8346</v>
      </c>
    </row>
    <row r="936" spans="1:15" ht="15" x14ac:dyDescent="0.2">
      <c r="A936" s="16">
        <v>69703</v>
      </c>
      <c r="B936" s="80">
        <f>14.0918 * CHOOSE(CONTROL!$C$32, $C$9, 100%, $E$9)</f>
        <v>14.091799999999999</v>
      </c>
      <c r="C936" s="80">
        <f>14.0918 * CHOOSE(CONTROL!$C$32, $C$9, 100%, $E$9)</f>
        <v>14.091799999999999</v>
      </c>
      <c r="D936" s="80">
        <f>14.0929 * CHOOSE(CONTROL!$C$32, $C$9, 100%, $E$9)</f>
        <v>14.0929</v>
      </c>
      <c r="E936" s="81">
        <f>15.9243 * CHOOSE(CONTROL!$C$32, $C$9, 100%, $E$9)</f>
        <v>15.924300000000001</v>
      </c>
      <c r="F936" s="81">
        <f>15.9243 * CHOOSE(CONTROL!$C$32, $C$9, 100%, $E$9)</f>
        <v>15.924300000000001</v>
      </c>
      <c r="G936" s="81">
        <f>15.9279 * CHOOSE(CONTROL!$C$32, $C$9, 100%, $E$9)</f>
        <v>15.927899999999999</v>
      </c>
      <c r="H936" s="81">
        <f>32.9491 * CHOOSE(CONTROL!$C$32, $C$9, 100%, $E$9)</f>
        <v>32.949100000000001</v>
      </c>
      <c r="I936" s="81">
        <f>32.9527 * CHOOSE(CONTROL!$C$32, $C$9, 100%, $E$9)</f>
        <v>32.9527</v>
      </c>
      <c r="J936" s="81">
        <f>32.9491 * CHOOSE(CONTROL!$C$32, $C$9, 100%, $E$9)</f>
        <v>32.949100000000001</v>
      </c>
      <c r="K936" s="81">
        <f>32.9527 * CHOOSE(CONTROL!$C$32, $C$9, 100%, $E$9)</f>
        <v>32.9527</v>
      </c>
      <c r="L936" s="81">
        <f>15.9243 * CHOOSE(CONTROL!$C$32, $C$9, 100%, $E$9)</f>
        <v>15.924300000000001</v>
      </c>
      <c r="M936" s="81">
        <f>15.9279 * CHOOSE(CONTROL!$C$32, $C$9, 100%, $E$9)</f>
        <v>15.927899999999999</v>
      </c>
      <c r="N936" s="81">
        <f>15.9243 * CHOOSE(CONTROL!$C$32, $C$9, 100%, $E$9)</f>
        <v>15.924300000000001</v>
      </c>
      <c r="O936" s="81">
        <f>15.9279 * CHOOSE(CONTROL!$C$32, $C$9, 100%, $E$9)</f>
        <v>15.927899999999999</v>
      </c>
    </row>
    <row r="937" spans="1:15" ht="15" x14ac:dyDescent="0.2">
      <c r="A937" s="16">
        <v>69733</v>
      </c>
      <c r="B937" s="80">
        <f>14.0918 * CHOOSE(CONTROL!$C$32, $C$9, 100%, $E$9)</f>
        <v>14.091799999999999</v>
      </c>
      <c r="C937" s="80">
        <f>14.0918 * CHOOSE(CONTROL!$C$32, $C$9, 100%, $E$9)</f>
        <v>14.091799999999999</v>
      </c>
      <c r="D937" s="80">
        <f>14.0929 * CHOOSE(CONTROL!$C$32, $C$9, 100%, $E$9)</f>
        <v>14.0929</v>
      </c>
      <c r="E937" s="81">
        <f>15.6964 * CHOOSE(CONTROL!$C$32, $C$9, 100%, $E$9)</f>
        <v>15.696400000000001</v>
      </c>
      <c r="F937" s="81">
        <f>15.6964 * CHOOSE(CONTROL!$C$32, $C$9, 100%, $E$9)</f>
        <v>15.696400000000001</v>
      </c>
      <c r="G937" s="81">
        <f>15.7 * CHOOSE(CONTROL!$C$32, $C$9, 100%, $E$9)</f>
        <v>15.7</v>
      </c>
      <c r="H937" s="81">
        <f>33.0178 * CHOOSE(CONTROL!$C$32, $C$9, 100%, $E$9)</f>
        <v>33.017800000000001</v>
      </c>
      <c r="I937" s="81">
        <f>33.0214 * CHOOSE(CONTROL!$C$32, $C$9, 100%, $E$9)</f>
        <v>33.0214</v>
      </c>
      <c r="J937" s="81">
        <f>33.0178 * CHOOSE(CONTROL!$C$32, $C$9, 100%, $E$9)</f>
        <v>33.017800000000001</v>
      </c>
      <c r="K937" s="81">
        <f>33.0214 * CHOOSE(CONTROL!$C$32, $C$9, 100%, $E$9)</f>
        <v>33.0214</v>
      </c>
      <c r="L937" s="81">
        <f>15.6964 * CHOOSE(CONTROL!$C$32, $C$9, 100%, $E$9)</f>
        <v>15.696400000000001</v>
      </c>
      <c r="M937" s="81">
        <f>15.7 * CHOOSE(CONTROL!$C$32, $C$9, 100%, $E$9)</f>
        <v>15.7</v>
      </c>
      <c r="N937" s="81">
        <f>15.6964 * CHOOSE(CONTROL!$C$32, $C$9, 100%, $E$9)</f>
        <v>15.696400000000001</v>
      </c>
      <c r="O937" s="81">
        <f>15.7 * CHOOSE(CONTROL!$C$32, $C$9, 100%, $E$9)</f>
        <v>15.7</v>
      </c>
    </row>
    <row r="938" spans="1:15" ht="15" x14ac:dyDescent="0.2">
      <c r="A938" s="16">
        <v>69764</v>
      </c>
      <c r="B938" s="80">
        <f>14.0656 * CHOOSE(CONTROL!$C$32, $C$9, 100%, $E$9)</f>
        <v>14.0656</v>
      </c>
      <c r="C938" s="80">
        <f>14.0656 * CHOOSE(CONTROL!$C$32, $C$9, 100%, $E$9)</f>
        <v>14.0656</v>
      </c>
      <c r="D938" s="80">
        <f>14.0667 * CHOOSE(CONTROL!$C$32, $C$9, 100%, $E$9)</f>
        <v>14.066700000000001</v>
      </c>
      <c r="E938" s="81">
        <f>15.8331 * CHOOSE(CONTROL!$C$32, $C$9, 100%, $E$9)</f>
        <v>15.8331</v>
      </c>
      <c r="F938" s="81">
        <f>15.8331 * CHOOSE(CONTROL!$C$32, $C$9, 100%, $E$9)</f>
        <v>15.8331</v>
      </c>
      <c r="G938" s="81">
        <f>15.8367 * CHOOSE(CONTROL!$C$32, $C$9, 100%, $E$9)</f>
        <v>15.8367</v>
      </c>
      <c r="H938" s="81">
        <f>32.7345 * CHOOSE(CONTROL!$C$32, $C$9, 100%, $E$9)</f>
        <v>32.734499999999997</v>
      </c>
      <c r="I938" s="81">
        <f>32.7381 * CHOOSE(CONTROL!$C$32, $C$9, 100%, $E$9)</f>
        <v>32.738100000000003</v>
      </c>
      <c r="J938" s="81">
        <f>32.7345 * CHOOSE(CONTROL!$C$32, $C$9, 100%, $E$9)</f>
        <v>32.734499999999997</v>
      </c>
      <c r="K938" s="81">
        <f>32.7381 * CHOOSE(CONTROL!$C$32, $C$9, 100%, $E$9)</f>
        <v>32.738100000000003</v>
      </c>
      <c r="L938" s="81">
        <f>15.8331 * CHOOSE(CONTROL!$C$32, $C$9, 100%, $E$9)</f>
        <v>15.8331</v>
      </c>
      <c r="M938" s="81">
        <f>15.8367 * CHOOSE(CONTROL!$C$32, $C$9, 100%, $E$9)</f>
        <v>15.8367</v>
      </c>
      <c r="N938" s="81">
        <f>15.8331 * CHOOSE(CONTROL!$C$32, $C$9, 100%, $E$9)</f>
        <v>15.8331</v>
      </c>
      <c r="O938" s="81">
        <f>15.8367 * CHOOSE(CONTROL!$C$32, $C$9, 100%, $E$9)</f>
        <v>15.8367</v>
      </c>
    </row>
    <row r="939" spans="1:15" ht="15" x14ac:dyDescent="0.2">
      <c r="A939" s="16">
        <v>69795</v>
      </c>
      <c r="B939" s="80">
        <f>14.0626 * CHOOSE(CONTROL!$C$32, $C$9, 100%, $E$9)</f>
        <v>14.0626</v>
      </c>
      <c r="C939" s="80">
        <f>14.0626 * CHOOSE(CONTROL!$C$32, $C$9, 100%, $E$9)</f>
        <v>14.0626</v>
      </c>
      <c r="D939" s="80">
        <f>14.0636 * CHOOSE(CONTROL!$C$32, $C$9, 100%, $E$9)</f>
        <v>14.063599999999999</v>
      </c>
      <c r="E939" s="81">
        <f>15.3933 * CHOOSE(CONTROL!$C$32, $C$9, 100%, $E$9)</f>
        <v>15.3933</v>
      </c>
      <c r="F939" s="81">
        <f>15.3933 * CHOOSE(CONTROL!$C$32, $C$9, 100%, $E$9)</f>
        <v>15.3933</v>
      </c>
      <c r="G939" s="81">
        <f>15.3969 * CHOOSE(CONTROL!$C$32, $C$9, 100%, $E$9)</f>
        <v>15.3969</v>
      </c>
      <c r="H939" s="81">
        <f>32.8027 * CHOOSE(CONTROL!$C$32, $C$9, 100%, $E$9)</f>
        <v>32.802700000000002</v>
      </c>
      <c r="I939" s="81">
        <f>32.8063 * CHOOSE(CONTROL!$C$32, $C$9, 100%, $E$9)</f>
        <v>32.8063</v>
      </c>
      <c r="J939" s="81">
        <f>32.8027 * CHOOSE(CONTROL!$C$32, $C$9, 100%, $E$9)</f>
        <v>32.802700000000002</v>
      </c>
      <c r="K939" s="81">
        <f>32.8063 * CHOOSE(CONTROL!$C$32, $C$9, 100%, $E$9)</f>
        <v>32.8063</v>
      </c>
      <c r="L939" s="81">
        <f>15.3933 * CHOOSE(CONTROL!$C$32, $C$9, 100%, $E$9)</f>
        <v>15.3933</v>
      </c>
      <c r="M939" s="81">
        <f>15.3969 * CHOOSE(CONTROL!$C$32, $C$9, 100%, $E$9)</f>
        <v>15.3969</v>
      </c>
      <c r="N939" s="81">
        <f>15.3933 * CHOOSE(CONTROL!$C$32, $C$9, 100%, $E$9)</f>
        <v>15.3933</v>
      </c>
      <c r="O939" s="81">
        <f>15.3969 * CHOOSE(CONTROL!$C$32, $C$9, 100%, $E$9)</f>
        <v>15.3969</v>
      </c>
    </row>
    <row r="940" spans="1:15" ht="15" x14ac:dyDescent="0.2">
      <c r="A940" s="16">
        <v>69823</v>
      </c>
      <c r="B940" s="80">
        <f>14.0595 * CHOOSE(CONTROL!$C$32, $C$9, 100%, $E$9)</f>
        <v>14.0595</v>
      </c>
      <c r="C940" s="80">
        <f>14.0595 * CHOOSE(CONTROL!$C$32, $C$9, 100%, $E$9)</f>
        <v>14.0595</v>
      </c>
      <c r="D940" s="80">
        <f>14.0606 * CHOOSE(CONTROL!$C$32, $C$9, 100%, $E$9)</f>
        <v>14.060600000000001</v>
      </c>
      <c r="E940" s="81">
        <f>15.7362 * CHOOSE(CONTROL!$C$32, $C$9, 100%, $E$9)</f>
        <v>15.7362</v>
      </c>
      <c r="F940" s="81">
        <f>15.7362 * CHOOSE(CONTROL!$C$32, $C$9, 100%, $E$9)</f>
        <v>15.7362</v>
      </c>
      <c r="G940" s="81">
        <f>15.7398 * CHOOSE(CONTROL!$C$32, $C$9, 100%, $E$9)</f>
        <v>15.739800000000001</v>
      </c>
      <c r="H940" s="81">
        <f>32.8711 * CHOOSE(CONTROL!$C$32, $C$9, 100%, $E$9)</f>
        <v>32.871099999999998</v>
      </c>
      <c r="I940" s="81">
        <f>32.8747 * CHOOSE(CONTROL!$C$32, $C$9, 100%, $E$9)</f>
        <v>32.874699999999997</v>
      </c>
      <c r="J940" s="81">
        <f>32.8711 * CHOOSE(CONTROL!$C$32, $C$9, 100%, $E$9)</f>
        <v>32.871099999999998</v>
      </c>
      <c r="K940" s="81">
        <f>32.8747 * CHOOSE(CONTROL!$C$32, $C$9, 100%, $E$9)</f>
        <v>32.874699999999997</v>
      </c>
      <c r="L940" s="81">
        <f>15.7362 * CHOOSE(CONTROL!$C$32, $C$9, 100%, $E$9)</f>
        <v>15.7362</v>
      </c>
      <c r="M940" s="81">
        <f>15.7398 * CHOOSE(CONTROL!$C$32, $C$9, 100%, $E$9)</f>
        <v>15.739800000000001</v>
      </c>
      <c r="N940" s="81">
        <f>15.7362 * CHOOSE(CONTROL!$C$32, $C$9, 100%, $E$9)</f>
        <v>15.7362</v>
      </c>
      <c r="O940" s="81">
        <f>15.7398 * CHOOSE(CONTROL!$C$32, $C$9, 100%, $E$9)</f>
        <v>15.739800000000001</v>
      </c>
    </row>
    <row r="941" spans="1:15" ht="15" x14ac:dyDescent="0.2">
      <c r="A941" s="16">
        <v>69854</v>
      </c>
      <c r="B941" s="80">
        <f>14.0669 * CHOOSE(CONTROL!$C$32, $C$9, 100%, $E$9)</f>
        <v>14.0669</v>
      </c>
      <c r="C941" s="80">
        <f>14.0669 * CHOOSE(CONTROL!$C$32, $C$9, 100%, $E$9)</f>
        <v>14.0669</v>
      </c>
      <c r="D941" s="80">
        <f>14.068 * CHOOSE(CONTROL!$C$32, $C$9, 100%, $E$9)</f>
        <v>14.068</v>
      </c>
      <c r="E941" s="81">
        <f>16.1026 * CHOOSE(CONTROL!$C$32, $C$9, 100%, $E$9)</f>
        <v>16.102599999999999</v>
      </c>
      <c r="F941" s="81">
        <f>16.1026 * CHOOSE(CONTROL!$C$32, $C$9, 100%, $E$9)</f>
        <v>16.102599999999999</v>
      </c>
      <c r="G941" s="81">
        <f>16.1062 * CHOOSE(CONTROL!$C$32, $C$9, 100%, $E$9)</f>
        <v>16.106200000000001</v>
      </c>
      <c r="H941" s="81">
        <f>32.9395 * CHOOSE(CONTROL!$C$32, $C$9, 100%, $E$9)</f>
        <v>32.939500000000002</v>
      </c>
      <c r="I941" s="81">
        <f>32.9432 * CHOOSE(CONTROL!$C$32, $C$9, 100%, $E$9)</f>
        <v>32.943199999999997</v>
      </c>
      <c r="J941" s="81">
        <f>32.9395 * CHOOSE(CONTROL!$C$32, $C$9, 100%, $E$9)</f>
        <v>32.939500000000002</v>
      </c>
      <c r="K941" s="81">
        <f>32.9432 * CHOOSE(CONTROL!$C$32, $C$9, 100%, $E$9)</f>
        <v>32.943199999999997</v>
      </c>
      <c r="L941" s="81">
        <f>16.1026 * CHOOSE(CONTROL!$C$32, $C$9, 100%, $E$9)</f>
        <v>16.102599999999999</v>
      </c>
      <c r="M941" s="81">
        <f>16.1062 * CHOOSE(CONTROL!$C$32, $C$9, 100%, $E$9)</f>
        <v>16.106200000000001</v>
      </c>
      <c r="N941" s="81">
        <f>16.1026 * CHOOSE(CONTROL!$C$32, $C$9, 100%, $E$9)</f>
        <v>16.102599999999999</v>
      </c>
      <c r="O941" s="81">
        <f>16.1062 * CHOOSE(CONTROL!$C$32, $C$9, 100%, $E$9)</f>
        <v>16.106200000000001</v>
      </c>
    </row>
    <row r="942" spans="1:15" ht="15" x14ac:dyDescent="0.2">
      <c r="A942" s="16">
        <v>69884</v>
      </c>
      <c r="B942" s="80">
        <f>14.0669 * CHOOSE(CONTROL!$C$32, $C$9, 100%, $E$9)</f>
        <v>14.0669</v>
      </c>
      <c r="C942" s="80">
        <f>14.0669 * CHOOSE(CONTROL!$C$32, $C$9, 100%, $E$9)</f>
        <v>14.0669</v>
      </c>
      <c r="D942" s="80">
        <f>14.0685 * CHOOSE(CONTROL!$C$32, $C$9, 100%, $E$9)</f>
        <v>14.0685</v>
      </c>
      <c r="E942" s="81">
        <f>16.2415 * CHOOSE(CONTROL!$C$32, $C$9, 100%, $E$9)</f>
        <v>16.241499999999998</v>
      </c>
      <c r="F942" s="81">
        <f>16.2415 * CHOOSE(CONTROL!$C$32, $C$9, 100%, $E$9)</f>
        <v>16.241499999999998</v>
      </c>
      <c r="G942" s="81">
        <f>16.2468 * CHOOSE(CONTROL!$C$32, $C$9, 100%, $E$9)</f>
        <v>16.2468</v>
      </c>
      <c r="H942" s="81">
        <f>33.0082 * CHOOSE(CONTROL!$C$32, $C$9, 100%, $E$9)</f>
        <v>33.008200000000002</v>
      </c>
      <c r="I942" s="81">
        <f>33.0135 * CHOOSE(CONTROL!$C$32, $C$9, 100%, $E$9)</f>
        <v>33.013500000000001</v>
      </c>
      <c r="J942" s="81">
        <f>33.0082 * CHOOSE(CONTROL!$C$32, $C$9, 100%, $E$9)</f>
        <v>33.008200000000002</v>
      </c>
      <c r="K942" s="81">
        <f>33.0135 * CHOOSE(CONTROL!$C$32, $C$9, 100%, $E$9)</f>
        <v>33.013500000000001</v>
      </c>
      <c r="L942" s="81">
        <f>16.2415 * CHOOSE(CONTROL!$C$32, $C$9, 100%, $E$9)</f>
        <v>16.241499999999998</v>
      </c>
      <c r="M942" s="81">
        <f>16.2468 * CHOOSE(CONTROL!$C$32, $C$9, 100%, $E$9)</f>
        <v>16.2468</v>
      </c>
      <c r="N942" s="81">
        <f>16.2415 * CHOOSE(CONTROL!$C$32, $C$9, 100%, $E$9)</f>
        <v>16.241499999999998</v>
      </c>
      <c r="O942" s="81">
        <f>16.2468 * CHOOSE(CONTROL!$C$32, $C$9, 100%, $E$9)</f>
        <v>16.2468</v>
      </c>
    </row>
    <row r="943" spans="1:15" ht="15" x14ac:dyDescent="0.2">
      <c r="A943" s="16">
        <v>69915</v>
      </c>
      <c r="B943" s="80">
        <f>14.073 * CHOOSE(CONTROL!$C$32, $C$9, 100%, $E$9)</f>
        <v>14.073</v>
      </c>
      <c r="C943" s="80">
        <f>14.073 * CHOOSE(CONTROL!$C$32, $C$9, 100%, $E$9)</f>
        <v>14.073</v>
      </c>
      <c r="D943" s="80">
        <f>14.0746 * CHOOSE(CONTROL!$C$32, $C$9, 100%, $E$9)</f>
        <v>14.0746</v>
      </c>
      <c r="E943" s="81">
        <f>16.1068 * CHOOSE(CONTROL!$C$32, $C$9, 100%, $E$9)</f>
        <v>16.1068</v>
      </c>
      <c r="F943" s="81">
        <f>16.1068 * CHOOSE(CONTROL!$C$32, $C$9, 100%, $E$9)</f>
        <v>16.1068</v>
      </c>
      <c r="G943" s="81">
        <f>16.1121 * CHOOSE(CONTROL!$C$32, $C$9, 100%, $E$9)</f>
        <v>16.112100000000002</v>
      </c>
      <c r="H943" s="81">
        <f>33.0769 * CHOOSE(CONTROL!$C$32, $C$9, 100%, $E$9)</f>
        <v>33.076900000000002</v>
      </c>
      <c r="I943" s="81">
        <f>33.0822 * CHOOSE(CONTROL!$C$32, $C$9, 100%, $E$9)</f>
        <v>33.0822</v>
      </c>
      <c r="J943" s="81">
        <f>33.0769 * CHOOSE(CONTROL!$C$32, $C$9, 100%, $E$9)</f>
        <v>33.076900000000002</v>
      </c>
      <c r="K943" s="81">
        <f>33.0822 * CHOOSE(CONTROL!$C$32, $C$9, 100%, $E$9)</f>
        <v>33.0822</v>
      </c>
      <c r="L943" s="81">
        <f>16.1068 * CHOOSE(CONTROL!$C$32, $C$9, 100%, $E$9)</f>
        <v>16.1068</v>
      </c>
      <c r="M943" s="81">
        <f>16.1121 * CHOOSE(CONTROL!$C$32, $C$9, 100%, $E$9)</f>
        <v>16.112100000000002</v>
      </c>
      <c r="N943" s="81">
        <f>16.1068 * CHOOSE(CONTROL!$C$32, $C$9, 100%, $E$9)</f>
        <v>16.1068</v>
      </c>
      <c r="O943" s="81">
        <f>16.1121 * CHOOSE(CONTROL!$C$32, $C$9, 100%, $E$9)</f>
        <v>16.112100000000002</v>
      </c>
    </row>
    <row r="944" spans="1:15" ht="15" x14ac:dyDescent="0.2">
      <c r="A944" s="16">
        <v>69945</v>
      </c>
      <c r="B944" s="80">
        <f>14.2421 * CHOOSE(CONTROL!$C$32, $C$9, 100%, $E$9)</f>
        <v>14.242100000000001</v>
      </c>
      <c r="C944" s="80">
        <f>14.2421 * CHOOSE(CONTROL!$C$32, $C$9, 100%, $E$9)</f>
        <v>14.242100000000001</v>
      </c>
      <c r="D944" s="80">
        <f>14.2436 * CHOOSE(CONTROL!$C$32, $C$9, 100%, $E$9)</f>
        <v>14.243600000000001</v>
      </c>
      <c r="E944" s="81">
        <f>16.3355 * CHOOSE(CONTROL!$C$32, $C$9, 100%, $E$9)</f>
        <v>16.3355</v>
      </c>
      <c r="F944" s="81">
        <f>16.3355 * CHOOSE(CONTROL!$C$32, $C$9, 100%, $E$9)</f>
        <v>16.3355</v>
      </c>
      <c r="G944" s="81">
        <f>16.3408 * CHOOSE(CONTROL!$C$32, $C$9, 100%, $E$9)</f>
        <v>16.340800000000002</v>
      </c>
      <c r="H944" s="81">
        <f>33.1458 * CHOOSE(CONTROL!$C$32, $C$9, 100%, $E$9)</f>
        <v>33.145800000000001</v>
      </c>
      <c r="I944" s="81">
        <f>33.1511 * CHOOSE(CONTROL!$C$32, $C$9, 100%, $E$9)</f>
        <v>33.1511</v>
      </c>
      <c r="J944" s="81">
        <f>33.1458 * CHOOSE(CONTROL!$C$32, $C$9, 100%, $E$9)</f>
        <v>33.145800000000001</v>
      </c>
      <c r="K944" s="81">
        <f>33.1511 * CHOOSE(CONTROL!$C$32, $C$9, 100%, $E$9)</f>
        <v>33.1511</v>
      </c>
      <c r="L944" s="81">
        <f>16.3355 * CHOOSE(CONTROL!$C$32, $C$9, 100%, $E$9)</f>
        <v>16.3355</v>
      </c>
      <c r="M944" s="81">
        <f>16.3408 * CHOOSE(CONTROL!$C$32, $C$9, 100%, $E$9)</f>
        <v>16.340800000000002</v>
      </c>
      <c r="N944" s="81">
        <f>16.3355 * CHOOSE(CONTROL!$C$32, $C$9, 100%, $E$9)</f>
        <v>16.3355</v>
      </c>
      <c r="O944" s="81">
        <f>16.3408 * CHOOSE(CONTROL!$C$32, $C$9, 100%, $E$9)</f>
        <v>16.340800000000002</v>
      </c>
    </row>
    <row r="945" spans="1:15" ht="15" x14ac:dyDescent="0.2">
      <c r="A945" s="16">
        <v>69976</v>
      </c>
      <c r="B945" s="80">
        <f>14.2488 * CHOOSE(CONTROL!$C$32, $C$9, 100%, $E$9)</f>
        <v>14.248799999999999</v>
      </c>
      <c r="C945" s="80">
        <f>14.2488 * CHOOSE(CONTROL!$C$32, $C$9, 100%, $E$9)</f>
        <v>14.248799999999999</v>
      </c>
      <c r="D945" s="80">
        <f>14.2503 * CHOOSE(CONTROL!$C$32, $C$9, 100%, $E$9)</f>
        <v>14.250299999999999</v>
      </c>
      <c r="E945" s="81">
        <f>15.9232 * CHOOSE(CONTROL!$C$32, $C$9, 100%, $E$9)</f>
        <v>15.9232</v>
      </c>
      <c r="F945" s="81">
        <f>15.9232 * CHOOSE(CONTROL!$C$32, $C$9, 100%, $E$9)</f>
        <v>15.9232</v>
      </c>
      <c r="G945" s="81">
        <f>15.9285 * CHOOSE(CONTROL!$C$32, $C$9, 100%, $E$9)</f>
        <v>15.9285</v>
      </c>
      <c r="H945" s="81">
        <f>33.2149 * CHOOSE(CONTROL!$C$32, $C$9, 100%, $E$9)</f>
        <v>33.2149</v>
      </c>
      <c r="I945" s="81">
        <f>33.2202 * CHOOSE(CONTROL!$C$32, $C$9, 100%, $E$9)</f>
        <v>33.220199999999998</v>
      </c>
      <c r="J945" s="81">
        <f>33.2149 * CHOOSE(CONTROL!$C$32, $C$9, 100%, $E$9)</f>
        <v>33.2149</v>
      </c>
      <c r="K945" s="81">
        <f>33.2202 * CHOOSE(CONTROL!$C$32, $C$9, 100%, $E$9)</f>
        <v>33.220199999999998</v>
      </c>
      <c r="L945" s="81">
        <f>15.9232 * CHOOSE(CONTROL!$C$32, $C$9, 100%, $E$9)</f>
        <v>15.9232</v>
      </c>
      <c r="M945" s="81">
        <f>15.9285 * CHOOSE(CONTROL!$C$32, $C$9, 100%, $E$9)</f>
        <v>15.9285</v>
      </c>
      <c r="N945" s="81">
        <f>15.9232 * CHOOSE(CONTROL!$C$32, $C$9, 100%, $E$9)</f>
        <v>15.9232</v>
      </c>
      <c r="O945" s="81">
        <f>15.9285 * CHOOSE(CONTROL!$C$32, $C$9, 100%, $E$9)</f>
        <v>15.9285</v>
      </c>
    </row>
    <row r="946" spans="1:15" ht="15" x14ac:dyDescent="0.2">
      <c r="A946" s="16">
        <v>70007</v>
      </c>
      <c r="B946" s="80">
        <f>14.2457 * CHOOSE(CONTROL!$C$32, $C$9, 100%, $E$9)</f>
        <v>14.245699999999999</v>
      </c>
      <c r="C946" s="80">
        <f>14.2457 * CHOOSE(CONTROL!$C$32, $C$9, 100%, $E$9)</f>
        <v>14.245699999999999</v>
      </c>
      <c r="D946" s="80">
        <f>14.2473 * CHOOSE(CONTROL!$C$32, $C$9, 100%, $E$9)</f>
        <v>14.247299999999999</v>
      </c>
      <c r="E946" s="81">
        <f>15.8748 * CHOOSE(CONTROL!$C$32, $C$9, 100%, $E$9)</f>
        <v>15.8748</v>
      </c>
      <c r="F946" s="81">
        <f>15.8748 * CHOOSE(CONTROL!$C$32, $C$9, 100%, $E$9)</f>
        <v>15.8748</v>
      </c>
      <c r="G946" s="81">
        <f>15.8801 * CHOOSE(CONTROL!$C$32, $C$9, 100%, $E$9)</f>
        <v>15.880100000000001</v>
      </c>
      <c r="H946" s="81">
        <f>33.2841 * CHOOSE(CONTROL!$C$32, $C$9, 100%, $E$9)</f>
        <v>33.284100000000002</v>
      </c>
      <c r="I946" s="81">
        <f>33.2894 * CHOOSE(CONTROL!$C$32, $C$9, 100%, $E$9)</f>
        <v>33.289400000000001</v>
      </c>
      <c r="J946" s="81">
        <f>33.2841 * CHOOSE(CONTROL!$C$32, $C$9, 100%, $E$9)</f>
        <v>33.284100000000002</v>
      </c>
      <c r="K946" s="81">
        <f>33.2894 * CHOOSE(CONTROL!$C$32, $C$9, 100%, $E$9)</f>
        <v>33.289400000000001</v>
      </c>
      <c r="L946" s="81">
        <f>15.8748 * CHOOSE(CONTROL!$C$32, $C$9, 100%, $E$9)</f>
        <v>15.8748</v>
      </c>
      <c r="M946" s="81">
        <f>15.8801 * CHOOSE(CONTROL!$C$32, $C$9, 100%, $E$9)</f>
        <v>15.880100000000001</v>
      </c>
      <c r="N946" s="81">
        <f>15.8748 * CHOOSE(CONTROL!$C$32, $C$9, 100%, $E$9)</f>
        <v>15.8748</v>
      </c>
      <c r="O946" s="81">
        <f>15.8801 * CHOOSE(CONTROL!$C$32, $C$9, 100%, $E$9)</f>
        <v>15.880100000000001</v>
      </c>
    </row>
    <row r="947" spans="1:15" ht="15" x14ac:dyDescent="0.2">
      <c r="A947" s="16">
        <v>70037</v>
      </c>
      <c r="B947" s="80">
        <f>14.2791 * CHOOSE(CONTROL!$C$32, $C$9, 100%, $E$9)</f>
        <v>14.2791</v>
      </c>
      <c r="C947" s="80">
        <f>14.2791 * CHOOSE(CONTROL!$C$32, $C$9, 100%, $E$9)</f>
        <v>14.2791</v>
      </c>
      <c r="D947" s="80">
        <f>14.2802 * CHOOSE(CONTROL!$C$32, $C$9, 100%, $E$9)</f>
        <v>14.280200000000001</v>
      </c>
      <c r="E947" s="81">
        <f>16.0467 * CHOOSE(CONTROL!$C$32, $C$9, 100%, $E$9)</f>
        <v>16.046700000000001</v>
      </c>
      <c r="F947" s="81">
        <f>16.0467 * CHOOSE(CONTROL!$C$32, $C$9, 100%, $E$9)</f>
        <v>16.046700000000001</v>
      </c>
      <c r="G947" s="81">
        <f>16.0503 * CHOOSE(CONTROL!$C$32, $C$9, 100%, $E$9)</f>
        <v>16.0503</v>
      </c>
      <c r="H947" s="81">
        <f>33.3534 * CHOOSE(CONTROL!$C$32, $C$9, 100%, $E$9)</f>
        <v>33.353400000000001</v>
      </c>
      <c r="I947" s="81">
        <f>33.357 * CHOOSE(CONTROL!$C$32, $C$9, 100%, $E$9)</f>
        <v>33.356999999999999</v>
      </c>
      <c r="J947" s="81">
        <f>33.3534 * CHOOSE(CONTROL!$C$32, $C$9, 100%, $E$9)</f>
        <v>33.353400000000001</v>
      </c>
      <c r="K947" s="81">
        <f>33.357 * CHOOSE(CONTROL!$C$32, $C$9, 100%, $E$9)</f>
        <v>33.356999999999999</v>
      </c>
      <c r="L947" s="81">
        <f>16.0467 * CHOOSE(CONTROL!$C$32, $C$9, 100%, $E$9)</f>
        <v>16.046700000000001</v>
      </c>
      <c r="M947" s="81">
        <f>16.0503 * CHOOSE(CONTROL!$C$32, $C$9, 100%, $E$9)</f>
        <v>16.0503</v>
      </c>
      <c r="N947" s="81">
        <f>16.0467 * CHOOSE(CONTROL!$C$32, $C$9, 100%, $E$9)</f>
        <v>16.046700000000001</v>
      </c>
      <c r="O947" s="81">
        <f>16.0503 * CHOOSE(CONTROL!$C$32, $C$9, 100%, $E$9)</f>
        <v>16.0503</v>
      </c>
    </row>
    <row r="948" spans="1:15" ht="15" x14ac:dyDescent="0.2">
      <c r="A948" s="16">
        <v>70068</v>
      </c>
      <c r="B948" s="80">
        <f>14.2821 * CHOOSE(CONTROL!$C$32, $C$9, 100%, $E$9)</f>
        <v>14.2821</v>
      </c>
      <c r="C948" s="80">
        <f>14.2821 * CHOOSE(CONTROL!$C$32, $C$9, 100%, $E$9)</f>
        <v>14.2821</v>
      </c>
      <c r="D948" s="80">
        <f>14.2832 * CHOOSE(CONTROL!$C$32, $C$9, 100%, $E$9)</f>
        <v>14.283200000000001</v>
      </c>
      <c r="E948" s="81">
        <f>16.1414 * CHOOSE(CONTROL!$C$32, $C$9, 100%, $E$9)</f>
        <v>16.141400000000001</v>
      </c>
      <c r="F948" s="81">
        <f>16.1414 * CHOOSE(CONTROL!$C$32, $C$9, 100%, $E$9)</f>
        <v>16.141400000000001</v>
      </c>
      <c r="G948" s="81">
        <f>16.1451 * CHOOSE(CONTROL!$C$32, $C$9, 100%, $E$9)</f>
        <v>16.145099999999999</v>
      </c>
      <c r="H948" s="81">
        <f>33.4229 * CHOOSE(CONTROL!$C$32, $C$9, 100%, $E$9)</f>
        <v>33.422899999999998</v>
      </c>
      <c r="I948" s="81">
        <f>33.4265 * CHOOSE(CONTROL!$C$32, $C$9, 100%, $E$9)</f>
        <v>33.426499999999997</v>
      </c>
      <c r="J948" s="81">
        <f>33.4229 * CHOOSE(CONTROL!$C$32, $C$9, 100%, $E$9)</f>
        <v>33.422899999999998</v>
      </c>
      <c r="K948" s="81">
        <f>33.4265 * CHOOSE(CONTROL!$C$32, $C$9, 100%, $E$9)</f>
        <v>33.426499999999997</v>
      </c>
      <c r="L948" s="81">
        <f>16.1414 * CHOOSE(CONTROL!$C$32, $C$9, 100%, $E$9)</f>
        <v>16.141400000000001</v>
      </c>
      <c r="M948" s="81">
        <f>16.1451 * CHOOSE(CONTROL!$C$32, $C$9, 100%, $E$9)</f>
        <v>16.145099999999999</v>
      </c>
      <c r="N948" s="81">
        <f>16.1414 * CHOOSE(CONTROL!$C$32, $C$9, 100%, $E$9)</f>
        <v>16.141400000000001</v>
      </c>
      <c r="O948" s="81">
        <f>16.1451 * CHOOSE(CONTROL!$C$32, $C$9, 100%, $E$9)</f>
        <v>16.145099999999999</v>
      </c>
    </row>
    <row r="949" spans="1:15" ht="15" x14ac:dyDescent="0.2">
      <c r="A949" s="16">
        <v>70098</v>
      </c>
      <c r="B949" s="80">
        <f>14.2821 * CHOOSE(CONTROL!$C$32, $C$9, 100%, $E$9)</f>
        <v>14.2821</v>
      </c>
      <c r="C949" s="80">
        <f>14.2821 * CHOOSE(CONTROL!$C$32, $C$9, 100%, $E$9)</f>
        <v>14.2821</v>
      </c>
      <c r="D949" s="80">
        <f>14.2832 * CHOOSE(CONTROL!$C$32, $C$9, 100%, $E$9)</f>
        <v>14.283200000000001</v>
      </c>
      <c r="E949" s="81">
        <f>15.9098 * CHOOSE(CONTROL!$C$32, $C$9, 100%, $E$9)</f>
        <v>15.909800000000001</v>
      </c>
      <c r="F949" s="81">
        <f>15.9098 * CHOOSE(CONTROL!$C$32, $C$9, 100%, $E$9)</f>
        <v>15.909800000000001</v>
      </c>
      <c r="G949" s="81">
        <f>15.9134 * CHOOSE(CONTROL!$C$32, $C$9, 100%, $E$9)</f>
        <v>15.913399999999999</v>
      </c>
      <c r="H949" s="81">
        <f>33.4925 * CHOOSE(CONTROL!$C$32, $C$9, 100%, $E$9)</f>
        <v>33.4925</v>
      </c>
      <c r="I949" s="81">
        <f>33.4962 * CHOOSE(CONTROL!$C$32, $C$9, 100%, $E$9)</f>
        <v>33.496200000000002</v>
      </c>
      <c r="J949" s="81">
        <f>33.4925 * CHOOSE(CONTROL!$C$32, $C$9, 100%, $E$9)</f>
        <v>33.4925</v>
      </c>
      <c r="K949" s="81">
        <f>33.4962 * CHOOSE(CONTROL!$C$32, $C$9, 100%, $E$9)</f>
        <v>33.496200000000002</v>
      </c>
      <c r="L949" s="81">
        <f>15.9098 * CHOOSE(CONTROL!$C$32, $C$9, 100%, $E$9)</f>
        <v>15.909800000000001</v>
      </c>
      <c r="M949" s="81">
        <f>15.9134 * CHOOSE(CONTROL!$C$32, $C$9, 100%, $E$9)</f>
        <v>15.913399999999999</v>
      </c>
      <c r="N949" s="81">
        <f>15.9098 * CHOOSE(CONTROL!$C$32, $C$9, 100%, $E$9)</f>
        <v>15.909800000000001</v>
      </c>
      <c r="O949" s="81">
        <f>15.9134 * CHOOSE(CONTROL!$C$32, $C$9, 100%, $E$9)</f>
        <v>15.913399999999999</v>
      </c>
    </row>
    <row r="950" spans="1:15" ht="15" x14ac:dyDescent="0.2">
      <c r="A950" s="16">
        <v>70129</v>
      </c>
      <c r="B950" s="80">
        <f>14.253 * CHOOSE(CONTROL!$C$32, $C$9, 100%, $E$9)</f>
        <v>14.253</v>
      </c>
      <c r="C950" s="80">
        <f>14.253 * CHOOSE(CONTROL!$C$32, $C$9, 100%, $E$9)</f>
        <v>14.253</v>
      </c>
      <c r="D950" s="80">
        <f>14.254 * CHOOSE(CONTROL!$C$32, $C$9, 100%, $E$9)</f>
        <v>14.254</v>
      </c>
      <c r="E950" s="81">
        <f>16.0456 * CHOOSE(CONTROL!$C$32, $C$9, 100%, $E$9)</f>
        <v>16.0456</v>
      </c>
      <c r="F950" s="81">
        <f>16.0456 * CHOOSE(CONTROL!$C$32, $C$9, 100%, $E$9)</f>
        <v>16.0456</v>
      </c>
      <c r="G950" s="81">
        <f>16.0492 * CHOOSE(CONTROL!$C$32, $C$9, 100%, $E$9)</f>
        <v>16.049199999999999</v>
      </c>
      <c r="H950" s="81">
        <f>33.1986 * CHOOSE(CONTROL!$C$32, $C$9, 100%, $E$9)</f>
        <v>33.198599999999999</v>
      </c>
      <c r="I950" s="81">
        <f>33.2022 * CHOOSE(CONTROL!$C$32, $C$9, 100%, $E$9)</f>
        <v>33.202199999999998</v>
      </c>
      <c r="J950" s="81">
        <f>33.1986 * CHOOSE(CONTROL!$C$32, $C$9, 100%, $E$9)</f>
        <v>33.198599999999999</v>
      </c>
      <c r="K950" s="81">
        <f>33.2022 * CHOOSE(CONTROL!$C$32, $C$9, 100%, $E$9)</f>
        <v>33.202199999999998</v>
      </c>
      <c r="L950" s="81">
        <f>16.0456 * CHOOSE(CONTROL!$C$32, $C$9, 100%, $E$9)</f>
        <v>16.0456</v>
      </c>
      <c r="M950" s="81">
        <f>16.0492 * CHOOSE(CONTROL!$C$32, $C$9, 100%, $E$9)</f>
        <v>16.049199999999999</v>
      </c>
      <c r="N950" s="81">
        <f>16.0456 * CHOOSE(CONTROL!$C$32, $C$9, 100%, $E$9)</f>
        <v>16.0456</v>
      </c>
      <c r="O950" s="81">
        <f>16.0492 * CHOOSE(CONTROL!$C$32, $C$9, 100%, $E$9)</f>
        <v>16.049199999999999</v>
      </c>
    </row>
    <row r="951" spans="1:15" ht="15" x14ac:dyDescent="0.2">
      <c r="A951" s="16">
        <v>70160</v>
      </c>
      <c r="B951" s="80">
        <f>14.2499 * CHOOSE(CONTROL!$C$32, $C$9, 100%, $E$9)</f>
        <v>14.2499</v>
      </c>
      <c r="C951" s="80">
        <f>14.2499 * CHOOSE(CONTROL!$C$32, $C$9, 100%, $E$9)</f>
        <v>14.2499</v>
      </c>
      <c r="D951" s="80">
        <f>14.251 * CHOOSE(CONTROL!$C$32, $C$9, 100%, $E$9)</f>
        <v>14.250999999999999</v>
      </c>
      <c r="E951" s="81">
        <f>15.5987 * CHOOSE(CONTROL!$C$32, $C$9, 100%, $E$9)</f>
        <v>15.598699999999999</v>
      </c>
      <c r="F951" s="81">
        <f>15.5987 * CHOOSE(CONTROL!$C$32, $C$9, 100%, $E$9)</f>
        <v>15.598699999999999</v>
      </c>
      <c r="G951" s="81">
        <f>15.6023 * CHOOSE(CONTROL!$C$32, $C$9, 100%, $E$9)</f>
        <v>15.6023</v>
      </c>
      <c r="H951" s="81">
        <f>33.2677 * CHOOSE(CONTROL!$C$32, $C$9, 100%, $E$9)</f>
        <v>33.267699999999998</v>
      </c>
      <c r="I951" s="81">
        <f>33.2713 * CHOOSE(CONTROL!$C$32, $C$9, 100%, $E$9)</f>
        <v>33.271299999999997</v>
      </c>
      <c r="J951" s="81">
        <f>33.2677 * CHOOSE(CONTROL!$C$32, $C$9, 100%, $E$9)</f>
        <v>33.267699999999998</v>
      </c>
      <c r="K951" s="81">
        <f>33.2713 * CHOOSE(CONTROL!$C$32, $C$9, 100%, $E$9)</f>
        <v>33.271299999999997</v>
      </c>
      <c r="L951" s="81">
        <f>15.5987 * CHOOSE(CONTROL!$C$32, $C$9, 100%, $E$9)</f>
        <v>15.598699999999999</v>
      </c>
      <c r="M951" s="81">
        <f>15.6023 * CHOOSE(CONTROL!$C$32, $C$9, 100%, $E$9)</f>
        <v>15.6023</v>
      </c>
      <c r="N951" s="81">
        <f>15.5987 * CHOOSE(CONTROL!$C$32, $C$9, 100%, $E$9)</f>
        <v>15.598699999999999</v>
      </c>
      <c r="O951" s="81">
        <f>15.6023 * CHOOSE(CONTROL!$C$32, $C$9, 100%, $E$9)</f>
        <v>15.6023</v>
      </c>
    </row>
    <row r="952" spans="1:15" ht="15" x14ac:dyDescent="0.2">
      <c r="A952" s="16">
        <v>70189</v>
      </c>
      <c r="B952" s="80">
        <f>14.2469 * CHOOSE(CONTROL!$C$32, $C$9, 100%, $E$9)</f>
        <v>14.2469</v>
      </c>
      <c r="C952" s="80">
        <f>14.2469 * CHOOSE(CONTROL!$C$32, $C$9, 100%, $E$9)</f>
        <v>14.2469</v>
      </c>
      <c r="D952" s="80">
        <f>14.2479 * CHOOSE(CONTROL!$C$32, $C$9, 100%, $E$9)</f>
        <v>14.2479</v>
      </c>
      <c r="E952" s="81">
        <f>15.9472 * CHOOSE(CONTROL!$C$32, $C$9, 100%, $E$9)</f>
        <v>15.9472</v>
      </c>
      <c r="F952" s="81">
        <f>15.9472 * CHOOSE(CONTROL!$C$32, $C$9, 100%, $E$9)</f>
        <v>15.9472</v>
      </c>
      <c r="G952" s="81">
        <f>15.9508 * CHOOSE(CONTROL!$C$32, $C$9, 100%, $E$9)</f>
        <v>15.950799999999999</v>
      </c>
      <c r="H952" s="81">
        <f>33.337 * CHOOSE(CONTROL!$C$32, $C$9, 100%, $E$9)</f>
        <v>33.337000000000003</v>
      </c>
      <c r="I952" s="81">
        <f>33.3406 * CHOOSE(CONTROL!$C$32, $C$9, 100%, $E$9)</f>
        <v>33.340600000000002</v>
      </c>
      <c r="J952" s="81">
        <f>33.337 * CHOOSE(CONTROL!$C$32, $C$9, 100%, $E$9)</f>
        <v>33.337000000000003</v>
      </c>
      <c r="K952" s="81">
        <f>33.3406 * CHOOSE(CONTROL!$C$32, $C$9, 100%, $E$9)</f>
        <v>33.340600000000002</v>
      </c>
      <c r="L952" s="81">
        <f>15.9472 * CHOOSE(CONTROL!$C$32, $C$9, 100%, $E$9)</f>
        <v>15.9472</v>
      </c>
      <c r="M952" s="81">
        <f>15.9508 * CHOOSE(CONTROL!$C$32, $C$9, 100%, $E$9)</f>
        <v>15.950799999999999</v>
      </c>
      <c r="N952" s="81">
        <f>15.9472 * CHOOSE(CONTROL!$C$32, $C$9, 100%, $E$9)</f>
        <v>15.9472</v>
      </c>
      <c r="O952" s="81">
        <f>15.9508 * CHOOSE(CONTROL!$C$32, $C$9, 100%, $E$9)</f>
        <v>15.950799999999999</v>
      </c>
    </row>
    <row r="953" spans="1:15" ht="15" x14ac:dyDescent="0.2">
      <c r="A953" s="16">
        <v>70220</v>
      </c>
      <c r="B953" s="80">
        <f>14.2545 * CHOOSE(CONTROL!$C$32, $C$9, 100%, $E$9)</f>
        <v>14.2545</v>
      </c>
      <c r="C953" s="80">
        <f>14.2545 * CHOOSE(CONTROL!$C$32, $C$9, 100%, $E$9)</f>
        <v>14.2545</v>
      </c>
      <c r="D953" s="80">
        <f>14.2555 * CHOOSE(CONTROL!$C$32, $C$9, 100%, $E$9)</f>
        <v>14.2555</v>
      </c>
      <c r="E953" s="81">
        <f>16.3196 * CHOOSE(CONTROL!$C$32, $C$9, 100%, $E$9)</f>
        <v>16.319600000000001</v>
      </c>
      <c r="F953" s="81">
        <f>16.3196 * CHOOSE(CONTROL!$C$32, $C$9, 100%, $E$9)</f>
        <v>16.319600000000001</v>
      </c>
      <c r="G953" s="81">
        <f>16.3232 * CHOOSE(CONTROL!$C$32, $C$9, 100%, $E$9)</f>
        <v>16.3232</v>
      </c>
      <c r="H953" s="81">
        <f>33.4065 * CHOOSE(CONTROL!$C$32, $C$9, 100%, $E$9)</f>
        <v>33.406500000000001</v>
      </c>
      <c r="I953" s="81">
        <f>33.4101 * CHOOSE(CONTROL!$C$32, $C$9, 100%, $E$9)</f>
        <v>33.4101</v>
      </c>
      <c r="J953" s="81">
        <f>33.4065 * CHOOSE(CONTROL!$C$32, $C$9, 100%, $E$9)</f>
        <v>33.406500000000001</v>
      </c>
      <c r="K953" s="81">
        <f>33.4101 * CHOOSE(CONTROL!$C$32, $C$9, 100%, $E$9)</f>
        <v>33.4101</v>
      </c>
      <c r="L953" s="81">
        <f>16.3196 * CHOOSE(CONTROL!$C$32, $C$9, 100%, $E$9)</f>
        <v>16.319600000000001</v>
      </c>
      <c r="M953" s="81">
        <f>16.3232 * CHOOSE(CONTROL!$C$32, $C$9, 100%, $E$9)</f>
        <v>16.3232</v>
      </c>
      <c r="N953" s="81">
        <f>16.3196 * CHOOSE(CONTROL!$C$32, $C$9, 100%, $E$9)</f>
        <v>16.319600000000001</v>
      </c>
      <c r="O953" s="81">
        <f>16.3232 * CHOOSE(CONTROL!$C$32, $C$9, 100%, $E$9)</f>
        <v>16.3232</v>
      </c>
    </row>
    <row r="954" spans="1:15" ht="15" x14ac:dyDescent="0.2">
      <c r="A954" s="16">
        <v>70250</v>
      </c>
      <c r="B954" s="80">
        <f>14.2545 * CHOOSE(CONTROL!$C$32, $C$9, 100%, $E$9)</f>
        <v>14.2545</v>
      </c>
      <c r="C954" s="80">
        <f>14.2545 * CHOOSE(CONTROL!$C$32, $C$9, 100%, $E$9)</f>
        <v>14.2545</v>
      </c>
      <c r="D954" s="80">
        <f>14.2561 * CHOOSE(CONTROL!$C$32, $C$9, 100%, $E$9)</f>
        <v>14.2561</v>
      </c>
      <c r="E954" s="81">
        <f>16.4608 * CHOOSE(CONTROL!$C$32, $C$9, 100%, $E$9)</f>
        <v>16.460799999999999</v>
      </c>
      <c r="F954" s="81">
        <f>16.4608 * CHOOSE(CONTROL!$C$32, $C$9, 100%, $E$9)</f>
        <v>16.460799999999999</v>
      </c>
      <c r="G954" s="81">
        <f>16.4661 * CHOOSE(CONTROL!$C$32, $C$9, 100%, $E$9)</f>
        <v>16.466100000000001</v>
      </c>
      <c r="H954" s="81">
        <f>33.4761 * CHOOSE(CONTROL!$C$32, $C$9, 100%, $E$9)</f>
        <v>33.476100000000002</v>
      </c>
      <c r="I954" s="81">
        <f>33.4814 * CHOOSE(CONTROL!$C$32, $C$9, 100%, $E$9)</f>
        <v>33.481400000000001</v>
      </c>
      <c r="J954" s="81">
        <f>33.4761 * CHOOSE(CONTROL!$C$32, $C$9, 100%, $E$9)</f>
        <v>33.476100000000002</v>
      </c>
      <c r="K954" s="81">
        <f>33.4814 * CHOOSE(CONTROL!$C$32, $C$9, 100%, $E$9)</f>
        <v>33.481400000000001</v>
      </c>
      <c r="L954" s="81">
        <f>16.4608 * CHOOSE(CONTROL!$C$32, $C$9, 100%, $E$9)</f>
        <v>16.460799999999999</v>
      </c>
      <c r="M954" s="81">
        <f>16.4661 * CHOOSE(CONTROL!$C$32, $C$9, 100%, $E$9)</f>
        <v>16.466100000000001</v>
      </c>
      <c r="N954" s="81">
        <f>16.4608 * CHOOSE(CONTROL!$C$32, $C$9, 100%, $E$9)</f>
        <v>16.460799999999999</v>
      </c>
      <c r="O954" s="81">
        <f>16.4661 * CHOOSE(CONTROL!$C$32, $C$9, 100%, $E$9)</f>
        <v>16.466100000000001</v>
      </c>
    </row>
    <row r="955" spans="1:15" ht="15" x14ac:dyDescent="0.2">
      <c r="A955" s="16">
        <v>70281</v>
      </c>
      <c r="B955" s="80">
        <f>14.2606 * CHOOSE(CONTROL!$C$32, $C$9, 100%, $E$9)</f>
        <v>14.2606</v>
      </c>
      <c r="C955" s="80">
        <f>14.2606 * CHOOSE(CONTROL!$C$32, $C$9, 100%, $E$9)</f>
        <v>14.2606</v>
      </c>
      <c r="D955" s="80">
        <f>14.2621 * CHOOSE(CONTROL!$C$32, $C$9, 100%, $E$9)</f>
        <v>14.2621</v>
      </c>
      <c r="E955" s="81">
        <f>16.3238 * CHOOSE(CONTROL!$C$32, $C$9, 100%, $E$9)</f>
        <v>16.323799999999999</v>
      </c>
      <c r="F955" s="81">
        <f>16.3238 * CHOOSE(CONTROL!$C$32, $C$9, 100%, $E$9)</f>
        <v>16.323799999999999</v>
      </c>
      <c r="G955" s="81">
        <f>16.3291 * CHOOSE(CONTROL!$C$32, $C$9, 100%, $E$9)</f>
        <v>16.3291</v>
      </c>
      <c r="H955" s="81">
        <f>33.5458 * CHOOSE(CONTROL!$C$32, $C$9, 100%, $E$9)</f>
        <v>33.5458</v>
      </c>
      <c r="I955" s="81">
        <f>33.5511 * CHOOSE(CONTROL!$C$32, $C$9, 100%, $E$9)</f>
        <v>33.551099999999998</v>
      </c>
      <c r="J955" s="81">
        <f>33.5458 * CHOOSE(CONTROL!$C$32, $C$9, 100%, $E$9)</f>
        <v>33.5458</v>
      </c>
      <c r="K955" s="81">
        <f>33.5511 * CHOOSE(CONTROL!$C$32, $C$9, 100%, $E$9)</f>
        <v>33.551099999999998</v>
      </c>
      <c r="L955" s="81">
        <f>16.3238 * CHOOSE(CONTROL!$C$32, $C$9, 100%, $E$9)</f>
        <v>16.323799999999999</v>
      </c>
      <c r="M955" s="81">
        <f>16.3291 * CHOOSE(CONTROL!$C$32, $C$9, 100%, $E$9)</f>
        <v>16.3291</v>
      </c>
      <c r="N955" s="81">
        <f>16.3238 * CHOOSE(CONTROL!$C$32, $C$9, 100%, $E$9)</f>
        <v>16.323799999999999</v>
      </c>
      <c r="O955" s="81">
        <f>16.3291 * CHOOSE(CONTROL!$C$32, $C$9, 100%, $E$9)</f>
        <v>16.3291</v>
      </c>
    </row>
    <row r="956" spans="1:15" ht="15" x14ac:dyDescent="0.2">
      <c r="A956" s="16">
        <v>70311</v>
      </c>
      <c r="B956" s="80">
        <f>14.4317 * CHOOSE(CONTROL!$C$32, $C$9, 100%, $E$9)</f>
        <v>14.431699999999999</v>
      </c>
      <c r="C956" s="80">
        <f>14.4317 * CHOOSE(CONTROL!$C$32, $C$9, 100%, $E$9)</f>
        <v>14.431699999999999</v>
      </c>
      <c r="D956" s="80">
        <f>14.4332 * CHOOSE(CONTROL!$C$32, $C$9, 100%, $E$9)</f>
        <v>14.433199999999999</v>
      </c>
      <c r="E956" s="81">
        <f>16.5557 * CHOOSE(CONTROL!$C$32, $C$9, 100%, $E$9)</f>
        <v>16.555700000000002</v>
      </c>
      <c r="F956" s="81">
        <f>16.5557 * CHOOSE(CONTROL!$C$32, $C$9, 100%, $E$9)</f>
        <v>16.555700000000002</v>
      </c>
      <c r="G956" s="81">
        <f>16.561 * CHOOSE(CONTROL!$C$32, $C$9, 100%, $E$9)</f>
        <v>16.561</v>
      </c>
      <c r="H956" s="81">
        <f>33.6157 * CHOOSE(CONTROL!$C$32, $C$9, 100%, $E$9)</f>
        <v>33.615699999999997</v>
      </c>
      <c r="I956" s="81">
        <f>33.621 * CHOOSE(CONTROL!$C$32, $C$9, 100%, $E$9)</f>
        <v>33.621000000000002</v>
      </c>
      <c r="J956" s="81">
        <f>33.6157 * CHOOSE(CONTROL!$C$32, $C$9, 100%, $E$9)</f>
        <v>33.615699999999997</v>
      </c>
      <c r="K956" s="81">
        <f>33.621 * CHOOSE(CONTROL!$C$32, $C$9, 100%, $E$9)</f>
        <v>33.621000000000002</v>
      </c>
      <c r="L956" s="81">
        <f>16.5557 * CHOOSE(CONTROL!$C$32, $C$9, 100%, $E$9)</f>
        <v>16.555700000000002</v>
      </c>
      <c r="M956" s="81">
        <f>16.561 * CHOOSE(CONTROL!$C$32, $C$9, 100%, $E$9)</f>
        <v>16.561</v>
      </c>
      <c r="N956" s="81">
        <f>16.5557 * CHOOSE(CONTROL!$C$32, $C$9, 100%, $E$9)</f>
        <v>16.555700000000002</v>
      </c>
      <c r="O956" s="81">
        <f>16.561 * CHOOSE(CONTROL!$C$32, $C$9, 100%, $E$9)</f>
        <v>16.561</v>
      </c>
    </row>
    <row r="957" spans="1:15" ht="15" x14ac:dyDescent="0.2">
      <c r="A957" s="16">
        <v>70342</v>
      </c>
      <c r="B957" s="80">
        <f>14.4384 * CHOOSE(CONTROL!$C$32, $C$9, 100%, $E$9)</f>
        <v>14.4384</v>
      </c>
      <c r="C957" s="80">
        <f>14.4384 * CHOOSE(CONTROL!$C$32, $C$9, 100%, $E$9)</f>
        <v>14.4384</v>
      </c>
      <c r="D957" s="80">
        <f>14.4399 * CHOOSE(CONTROL!$C$32, $C$9, 100%, $E$9)</f>
        <v>14.4399</v>
      </c>
      <c r="E957" s="81">
        <f>16.1367 * CHOOSE(CONTROL!$C$32, $C$9, 100%, $E$9)</f>
        <v>16.136700000000001</v>
      </c>
      <c r="F957" s="81">
        <f>16.1367 * CHOOSE(CONTROL!$C$32, $C$9, 100%, $E$9)</f>
        <v>16.136700000000001</v>
      </c>
      <c r="G957" s="81">
        <f>16.142 * CHOOSE(CONTROL!$C$32, $C$9, 100%, $E$9)</f>
        <v>16.141999999999999</v>
      </c>
      <c r="H957" s="81">
        <f>33.6857 * CHOOSE(CONTROL!$C$32, $C$9, 100%, $E$9)</f>
        <v>33.685699999999997</v>
      </c>
      <c r="I957" s="81">
        <f>33.691 * CHOOSE(CONTROL!$C$32, $C$9, 100%, $E$9)</f>
        <v>33.691000000000003</v>
      </c>
      <c r="J957" s="81">
        <f>33.6857 * CHOOSE(CONTROL!$C$32, $C$9, 100%, $E$9)</f>
        <v>33.685699999999997</v>
      </c>
      <c r="K957" s="81">
        <f>33.691 * CHOOSE(CONTROL!$C$32, $C$9, 100%, $E$9)</f>
        <v>33.691000000000003</v>
      </c>
      <c r="L957" s="81">
        <f>16.1367 * CHOOSE(CONTROL!$C$32, $C$9, 100%, $E$9)</f>
        <v>16.136700000000001</v>
      </c>
      <c r="M957" s="81">
        <f>16.142 * CHOOSE(CONTROL!$C$32, $C$9, 100%, $E$9)</f>
        <v>16.141999999999999</v>
      </c>
      <c r="N957" s="81">
        <f>16.1367 * CHOOSE(CONTROL!$C$32, $C$9, 100%, $E$9)</f>
        <v>16.136700000000001</v>
      </c>
      <c r="O957" s="81">
        <f>16.142 * CHOOSE(CONTROL!$C$32, $C$9, 100%, $E$9)</f>
        <v>16.141999999999999</v>
      </c>
    </row>
    <row r="958" spans="1:15" ht="15" x14ac:dyDescent="0.2">
      <c r="A958" s="16">
        <v>70373</v>
      </c>
      <c r="B958" s="80">
        <f>14.4353 * CHOOSE(CONTROL!$C$32, $C$9, 100%, $E$9)</f>
        <v>14.4353</v>
      </c>
      <c r="C958" s="80">
        <f>14.4353 * CHOOSE(CONTROL!$C$32, $C$9, 100%, $E$9)</f>
        <v>14.4353</v>
      </c>
      <c r="D958" s="80">
        <f>14.4369 * CHOOSE(CONTROL!$C$32, $C$9, 100%, $E$9)</f>
        <v>14.4369</v>
      </c>
      <c r="E958" s="81">
        <f>16.0875 * CHOOSE(CONTROL!$C$32, $C$9, 100%, $E$9)</f>
        <v>16.087499999999999</v>
      </c>
      <c r="F958" s="81">
        <f>16.0875 * CHOOSE(CONTROL!$C$32, $C$9, 100%, $E$9)</f>
        <v>16.087499999999999</v>
      </c>
      <c r="G958" s="81">
        <f>16.0928 * CHOOSE(CONTROL!$C$32, $C$9, 100%, $E$9)</f>
        <v>16.0928</v>
      </c>
      <c r="H958" s="81">
        <f>33.7559 * CHOOSE(CONTROL!$C$32, $C$9, 100%, $E$9)</f>
        <v>33.755899999999997</v>
      </c>
      <c r="I958" s="81">
        <f>33.7612 * CHOOSE(CONTROL!$C$32, $C$9, 100%, $E$9)</f>
        <v>33.761200000000002</v>
      </c>
      <c r="J958" s="81">
        <f>33.7559 * CHOOSE(CONTROL!$C$32, $C$9, 100%, $E$9)</f>
        <v>33.755899999999997</v>
      </c>
      <c r="K958" s="81">
        <f>33.7612 * CHOOSE(CONTROL!$C$32, $C$9, 100%, $E$9)</f>
        <v>33.761200000000002</v>
      </c>
      <c r="L958" s="81">
        <f>16.0875 * CHOOSE(CONTROL!$C$32, $C$9, 100%, $E$9)</f>
        <v>16.087499999999999</v>
      </c>
      <c r="M958" s="81">
        <f>16.0928 * CHOOSE(CONTROL!$C$32, $C$9, 100%, $E$9)</f>
        <v>16.0928</v>
      </c>
      <c r="N958" s="81">
        <f>16.0875 * CHOOSE(CONTROL!$C$32, $C$9, 100%, $E$9)</f>
        <v>16.087499999999999</v>
      </c>
      <c r="O958" s="81">
        <f>16.0928 * CHOOSE(CONTROL!$C$32, $C$9, 100%, $E$9)</f>
        <v>16.0928</v>
      </c>
    </row>
    <row r="959" spans="1:15" ht="15" x14ac:dyDescent="0.2">
      <c r="A959" s="16">
        <v>70403</v>
      </c>
      <c r="B959" s="80">
        <f>14.4694 * CHOOSE(CONTROL!$C$32, $C$9, 100%, $E$9)</f>
        <v>14.4694</v>
      </c>
      <c r="C959" s="80">
        <f>14.4694 * CHOOSE(CONTROL!$C$32, $C$9, 100%, $E$9)</f>
        <v>14.4694</v>
      </c>
      <c r="D959" s="80">
        <f>14.4705 * CHOOSE(CONTROL!$C$32, $C$9, 100%, $E$9)</f>
        <v>14.470499999999999</v>
      </c>
      <c r="E959" s="81">
        <f>16.2624 * CHOOSE(CONTROL!$C$32, $C$9, 100%, $E$9)</f>
        <v>16.2624</v>
      </c>
      <c r="F959" s="81">
        <f>16.2624 * CHOOSE(CONTROL!$C$32, $C$9, 100%, $E$9)</f>
        <v>16.2624</v>
      </c>
      <c r="G959" s="81">
        <f>16.266 * CHOOSE(CONTROL!$C$32, $C$9, 100%, $E$9)</f>
        <v>16.265999999999998</v>
      </c>
      <c r="H959" s="81">
        <f>33.8262 * CHOOSE(CONTROL!$C$32, $C$9, 100%, $E$9)</f>
        <v>33.8262</v>
      </c>
      <c r="I959" s="81">
        <f>33.8299 * CHOOSE(CONTROL!$C$32, $C$9, 100%, $E$9)</f>
        <v>33.829900000000002</v>
      </c>
      <c r="J959" s="81">
        <f>33.8262 * CHOOSE(CONTROL!$C$32, $C$9, 100%, $E$9)</f>
        <v>33.8262</v>
      </c>
      <c r="K959" s="81">
        <f>33.8299 * CHOOSE(CONTROL!$C$32, $C$9, 100%, $E$9)</f>
        <v>33.829900000000002</v>
      </c>
      <c r="L959" s="81">
        <f>16.2624 * CHOOSE(CONTROL!$C$32, $C$9, 100%, $E$9)</f>
        <v>16.2624</v>
      </c>
      <c r="M959" s="81">
        <f>16.266 * CHOOSE(CONTROL!$C$32, $C$9, 100%, $E$9)</f>
        <v>16.265999999999998</v>
      </c>
      <c r="N959" s="81">
        <f>16.2624 * CHOOSE(CONTROL!$C$32, $C$9, 100%, $E$9)</f>
        <v>16.2624</v>
      </c>
      <c r="O959" s="81">
        <f>16.266 * CHOOSE(CONTROL!$C$32, $C$9, 100%, $E$9)</f>
        <v>16.265999999999998</v>
      </c>
    </row>
    <row r="960" spans="1:15" ht="15" x14ac:dyDescent="0.2">
      <c r="A960" s="16">
        <v>70434</v>
      </c>
      <c r="B960" s="80">
        <f>14.4724 * CHOOSE(CONTROL!$C$32, $C$9, 100%, $E$9)</f>
        <v>14.4724</v>
      </c>
      <c r="C960" s="80">
        <f>14.4724 * CHOOSE(CONTROL!$C$32, $C$9, 100%, $E$9)</f>
        <v>14.4724</v>
      </c>
      <c r="D960" s="80">
        <f>14.4735 * CHOOSE(CONTROL!$C$32, $C$9, 100%, $E$9)</f>
        <v>14.4735</v>
      </c>
      <c r="E960" s="81">
        <f>16.3586 * CHOOSE(CONTROL!$C$32, $C$9, 100%, $E$9)</f>
        <v>16.358599999999999</v>
      </c>
      <c r="F960" s="81">
        <f>16.3586 * CHOOSE(CONTROL!$C$32, $C$9, 100%, $E$9)</f>
        <v>16.358599999999999</v>
      </c>
      <c r="G960" s="81">
        <f>16.3622 * CHOOSE(CONTROL!$C$32, $C$9, 100%, $E$9)</f>
        <v>16.362200000000001</v>
      </c>
      <c r="H960" s="81">
        <f>33.8967 * CHOOSE(CONTROL!$C$32, $C$9, 100%, $E$9)</f>
        <v>33.896700000000003</v>
      </c>
      <c r="I960" s="81">
        <f>33.9003 * CHOOSE(CONTROL!$C$32, $C$9, 100%, $E$9)</f>
        <v>33.900300000000001</v>
      </c>
      <c r="J960" s="81">
        <f>33.8967 * CHOOSE(CONTROL!$C$32, $C$9, 100%, $E$9)</f>
        <v>33.896700000000003</v>
      </c>
      <c r="K960" s="81">
        <f>33.9003 * CHOOSE(CONTROL!$C$32, $C$9, 100%, $E$9)</f>
        <v>33.900300000000001</v>
      </c>
      <c r="L960" s="81">
        <f>16.3586 * CHOOSE(CONTROL!$C$32, $C$9, 100%, $E$9)</f>
        <v>16.358599999999999</v>
      </c>
      <c r="M960" s="81">
        <f>16.3622 * CHOOSE(CONTROL!$C$32, $C$9, 100%, $E$9)</f>
        <v>16.362200000000001</v>
      </c>
      <c r="N960" s="81">
        <f>16.3586 * CHOOSE(CONTROL!$C$32, $C$9, 100%, $E$9)</f>
        <v>16.358599999999999</v>
      </c>
      <c r="O960" s="81">
        <f>16.3622 * CHOOSE(CONTROL!$C$32, $C$9, 100%, $E$9)</f>
        <v>16.362200000000001</v>
      </c>
    </row>
    <row r="961" spans="1:15" ht="15" x14ac:dyDescent="0.2">
      <c r="A961" s="16">
        <v>70464</v>
      </c>
      <c r="B961" s="80">
        <f>14.4724 * CHOOSE(CONTROL!$C$32, $C$9, 100%, $E$9)</f>
        <v>14.4724</v>
      </c>
      <c r="C961" s="80">
        <f>14.4724 * CHOOSE(CONTROL!$C$32, $C$9, 100%, $E$9)</f>
        <v>14.4724</v>
      </c>
      <c r="D961" s="80">
        <f>14.4735 * CHOOSE(CONTROL!$C$32, $C$9, 100%, $E$9)</f>
        <v>14.4735</v>
      </c>
      <c r="E961" s="81">
        <f>16.1233 * CHOOSE(CONTROL!$C$32, $C$9, 100%, $E$9)</f>
        <v>16.1233</v>
      </c>
      <c r="F961" s="81">
        <f>16.1233 * CHOOSE(CONTROL!$C$32, $C$9, 100%, $E$9)</f>
        <v>16.1233</v>
      </c>
      <c r="G961" s="81">
        <f>16.1269 * CHOOSE(CONTROL!$C$32, $C$9, 100%, $E$9)</f>
        <v>16.126899999999999</v>
      </c>
      <c r="H961" s="81">
        <f>33.9673 * CHOOSE(CONTROL!$C$32, $C$9, 100%, $E$9)</f>
        <v>33.967300000000002</v>
      </c>
      <c r="I961" s="81">
        <f>33.9709 * CHOOSE(CONTROL!$C$32, $C$9, 100%, $E$9)</f>
        <v>33.9709</v>
      </c>
      <c r="J961" s="81">
        <f>33.9673 * CHOOSE(CONTROL!$C$32, $C$9, 100%, $E$9)</f>
        <v>33.967300000000002</v>
      </c>
      <c r="K961" s="81">
        <f>33.9709 * CHOOSE(CONTROL!$C$32, $C$9, 100%, $E$9)</f>
        <v>33.9709</v>
      </c>
      <c r="L961" s="81">
        <f>16.1233 * CHOOSE(CONTROL!$C$32, $C$9, 100%, $E$9)</f>
        <v>16.1233</v>
      </c>
      <c r="M961" s="81">
        <f>16.1269 * CHOOSE(CONTROL!$C$32, $C$9, 100%, $E$9)</f>
        <v>16.126899999999999</v>
      </c>
      <c r="N961" s="81">
        <f>16.1233 * CHOOSE(CONTROL!$C$32, $C$9, 100%, $E$9)</f>
        <v>16.1233</v>
      </c>
      <c r="O961" s="81">
        <f>16.1269 * CHOOSE(CONTROL!$C$32, $C$9, 100%, $E$9)</f>
        <v>16.126899999999999</v>
      </c>
    </row>
    <row r="962" spans="1:15" ht="15" x14ac:dyDescent="0.2">
      <c r="A962" s="16">
        <v>70495</v>
      </c>
      <c r="B962" s="80">
        <f>14.4403 * CHOOSE(CONTROL!$C$32, $C$9, 100%, $E$9)</f>
        <v>14.440300000000001</v>
      </c>
      <c r="C962" s="80">
        <f>14.4403 * CHOOSE(CONTROL!$C$32, $C$9, 100%, $E$9)</f>
        <v>14.440300000000001</v>
      </c>
      <c r="D962" s="80">
        <f>14.4414 * CHOOSE(CONTROL!$C$32, $C$9, 100%, $E$9)</f>
        <v>14.4414</v>
      </c>
      <c r="E962" s="81">
        <f>16.2581 * CHOOSE(CONTROL!$C$32, $C$9, 100%, $E$9)</f>
        <v>16.258099999999999</v>
      </c>
      <c r="F962" s="81">
        <f>16.2581 * CHOOSE(CONTROL!$C$32, $C$9, 100%, $E$9)</f>
        <v>16.258099999999999</v>
      </c>
      <c r="G962" s="81">
        <f>16.2617 * CHOOSE(CONTROL!$C$32, $C$9, 100%, $E$9)</f>
        <v>16.261700000000001</v>
      </c>
      <c r="H962" s="81">
        <f>33.6626 * CHOOSE(CONTROL!$C$32, $C$9, 100%, $E$9)</f>
        <v>33.662599999999998</v>
      </c>
      <c r="I962" s="81">
        <f>33.6662 * CHOOSE(CONTROL!$C$32, $C$9, 100%, $E$9)</f>
        <v>33.666200000000003</v>
      </c>
      <c r="J962" s="81">
        <f>33.6626 * CHOOSE(CONTROL!$C$32, $C$9, 100%, $E$9)</f>
        <v>33.662599999999998</v>
      </c>
      <c r="K962" s="81">
        <f>33.6662 * CHOOSE(CONTROL!$C$32, $C$9, 100%, $E$9)</f>
        <v>33.666200000000003</v>
      </c>
      <c r="L962" s="81">
        <f>16.2581 * CHOOSE(CONTROL!$C$32, $C$9, 100%, $E$9)</f>
        <v>16.258099999999999</v>
      </c>
      <c r="M962" s="81">
        <f>16.2617 * CHOOSE(CONTROL!$C$32, $C$9, 100%, $E$9)</f>
        <v>16.261700000000001</v>
      </c>
      <c r="N962" s="81">
        <f>16.2581 * CHOOSE(CONTROL!$C$32, $C$9, 100%, $E$9)</f>
        <v>16.258099999999999</v>
      </c>
      <c r="O962" s="81">
        <f>16.2617 * CHOOSE(CONTROL!$C$32, $C$9, 100%, $E$9)</f>
        <v>16.261700000000001</v>
      </c>
    </row>
    <row r="963" spans="1:15" ht="15" x14ac:dyDescent="0.2">
      <c r="A963" s="16">
        <v>70526</v>
      </c>
      <c r="B963" s="80">
        <f>14.4373 * CHOOSE(CONTROL!$C$32, $C$9, 100%, $E$9)</f>
        <v>14.4373</v>
      </c>
      <c r="C963" s="80">
        <f>14.4373 * CHOOSE(CONTROL!$C$32, $C$9, 100%, $E$9)</f>
        <v>14.4373</v>
      </c>
      <c r="D963" s="80">
        <f>14.4383 * CHOOSE(CONTROL!$C$32, $C$9, 100%, $E$9)</f>
        <v>14.4383</v>
      </c>
      <c r="E963" s="81">
        <f>15.8041 * CHOOSE(CONTROL!$C$32, $C$9, 100%, $E$9)</f>
        <v>15.8041</v>
      </c>
      <c r="F963" s="81">
        <f>15.8041 * CHOOSE(CONTROL!$C$32, $C$9, 100%, $E$9)</f>
        <v>15.8041</v>
      </c>
      <c r="G963" s="81">
        <f>15.8077 * CHOOSE(CONTROL!$C$32, $C$9, 100%, $E$9)</f>
        <v>15.807700000000001</v>
      </c>
      <c r="H963" s="81">
        <f>33.7327 * CHOOSE(CONTROL!$C$32, $C$9, 100%, $E$9)</f>
        <v>33.732700000000001</v>
      </c>
      <c r="I963" s="81">
        <f>33.7363 * CHOOSE(CONTROL!$C$32, $C$9, 100%, $E$9)</f>
        <v>33.7363</v>
      </c>
      <c r="J963" s="81">
        <f>33.7327 * CHOOSE(CONTROL!$C$32, $C$9, 100%, $E$9)</f>
        <v>33.732700000000001</v>
      </c>
      <c r="K963" s="81">
        <f>33.7363 * CHOOSE(CONTROL!$C$32, $C$9, 100%, $E$9)</f>
        <v>33.7363</v>
      </c>
      <c r="L963" s="81">
        <f>15.8041 * CHOOSE(CONTROL!$C$32, $C$9, 100%, $E$9)</f>
        <v>15.8041</v>
      </c>
      <c r="M963" s="81">
        <f>15.8077 * CHOOSE(CONTROL!$C$32, $C$9, 100%, $E$9)</f>
        <v>15.807700000000001</v>
      </c>
      <c r="N963" s="81">
        <f>15.8041 * CHOOSE(CONTROL!$C$32, $C$9, 100%, $E$9)</f>
        <v>15.8041</v>
      </c>
      <c r="O963" s="81">
        <f>15.8077 * CHOOSE(CONTROL!$C$32, $C$9, 100%, $E$9)</f>
        <v>15.807700000000001</v>
      </c>
    </row>
    <row r="964" spans="1:15" ht="15" x14ac:dyDescent="0.2">
      <c r="A964" s="16">
        <v>70554</v>
      </c>
      <c r="B964" s="80">
        <f>14.4342 * CHOOSE(CONTROL!$C$32, $C$9, 100%, $E$9)</f>
        <v>14.434200000000001</v>
      </c>
      <c r="C964" s="80">
        <f>14.4342 * CHOOSE(CONTROL!$C$32, $C$9, 100%, $E$9)</f>
        <v>14.434200000000001</v>
      </c>
      <c r="D964" s="80">
        <f>14.4353 * CHOOSE(CONTROL!$C$32, $C$9, 100%, $E$9)</f>
        <v>14.4353</v>
      </c>
      <c r="E964" s="81">
        <f>16.1582 * CHOOSE(CONTROL!$C$32, $C$9, 100%, $E$9)</f>
        <v>16.158200000000001</v>
      </c>
      <c r="F964" s="81">
        <f>16.1582 * CHOOSE(CONTROL!$C$32, $C$9, 100%, $E$9)</f>
        <v>16.158200000000001</v>
      </c>
      <c r="G964" s="81">
        <f>16.1618 * CHOOSE(CONTROL!$C$32, $C$9, 100%, $E$9)</f>
        <v>16.161799999999999</v>
      </c>
      <c r="H964" s="81">
        <f>33.803 * CHOOSE(CONTROL!$C$32, $C$9, 100%, $E$9)</f>
        <v>33.802999999999997</v>
      </c>
      <c r="I964" s="81">
        <f>33.8066 * CHOOSE(CONTROL!$C$32, $C$9, 100%, $E$9)</f>
        <v>33.806600000000003</v>
      </c>
      <c r="J964" s="81">
        <f>33.803 * CHOOSE(CONTROL!$C$32, $C$9, 100%, $E$9)</f>
        <v>33.802999999999997</v>
      </c>
      <c r="K964" s="81">
        <f>33.8066 * CHOOSE(CONTROL!$C$32, $C$9, 100%, $E$9)</f>
        <v>33.806600000000003</v>
      </c>
      <c r="L964" s="81">
        <f>16.1582 * CHOOSE(CONTROL!$C$32, $C$9, 100%, $E$9)</f>
        <v>16.158200000000001</v>
      </c>
      <c r="M964" s="81">
        <f>16.1618 * CHOOSE(CONTROL!$C$32, $C$9, 100%, $E$9)</f>
        <v>16.161799999999999</v>
      </c>
      <c r="N964" s="81">
        <f>16.1582 * CHOOSE(CONTROL!$C$32, $C$9, 100%, $E$9)</f>
        <v>16.158200000000001</v>
      </c>
      <c r="O964" s="81">
        <f>16.1618 * CHOOSE(CONTROL!$C$32, $C$9, 100%, $E$9)</f>
        <v>16.161799999999999</v>
      </c>
    </row>
    <row r="965" spans="1:15" ht="15" x14ac:dyDescent="0.2">
      <c r="A965" s="16">
        <v>70585</v>
      </c>
      <c r="B965" s="80">
        <f>14.442 * CHOOSE(CONTROL!$C$32, $C$9, 100%, $E$9)</f>
        <v>14.442</v>
      </c>
      <c r="C965" s="80">
        <f>14.442 * CHOOSE(CONTROL!$C$32, $C$9, 100%, $E$9)</f>
        <v>14.442</v>
      </c>
      <c r="D965" s="80">
        <f>14.4431 * CHOOSE(CONTROL!$C$32, $C$9, 100%, $E$9)</f>
        <v>14.443099999999999</v>
      </c>
      <c r="E965" s="81">
        <f>16.5366 * CHOOSE(CONTROL!$C$32, $C$9, 100%, $E$9)</f>
        <v>16.5366</v>
      </c>
      <c r="F965" s="81">
        <f>16.5366 * CHOOSE(CONTROL!$C$32, $C$9, 100%, $E$9)</f>
        <v>16.5366</v>
      </c>
      <c r="G965" s="81">
        <f>16.5402 * CHOOSE(CONTROL!$C$32, $C$9, 100%, $E$9)</f>
        <v>16.540199999999999</v>
      </c>
      <c r="H965" s="81">
        <f>33.8734 * CHOOSE(CONTROL!$C$32, $C$9, 100%, $E$9)</f>
        <v>33.873399999999997</v>
      </c>
      <c r="I965" s="81">
        <f>33.877 * CHOOSE(CONTROL!$C$32, $C$9, 100%, $E$9)</f>
        <v>33.877000000000002</v>
      </c>
      <c r="J965" s="81">
        <f>33.8734 * CHOOSE(CONTROL!$C$32, $C$9, 100%, $E$9)</f>
        <v>33.873399999999997</v>
      </c>
      <c r="K965" s="81">
        <f>33.877 * CHOOSE(CONTROL!$C$32, $C$9, 100%, $E$9)</f>
        <v>33.877000000000002</v>
      </c>
      <c r="L965" s="81">
        <f>16.5366 * CHOOSE(CONTROL!$C$32, $C$9, 100%, $E$9)</f>
        <v>16.5366</v>
      </c>
      <c r="M965" s="81">
        <f>16.5402 * CHOOSE(CONTROL!$C$32, $C$9, 100%, $E$9)</f>
        <v>16.540199999999999</v>
      </c>
      <c r="N965" s="81">
        <f>16.5366 * CHOOSE(CONTROL!$C$32, $C$9, 100%, $E$9)</f>
        <v>16.5366</v>
      </c>
      <c r="O965" s="81">
        <f>16.5402 * CHOOSE(CONTROL!$C$32, $C$9, 100%, $E$9)</f>
        <v>16.540199999999999</v>
      </c>
    </row>
    <row r="966" spans="1:15" ht="15" x14ac:dyDescent="0.2">
      <c r="A966" s="16">
        <v>70615</v>
      </c>
      <c r="B966" s="80">
        <f>14.442 * CHOOSE(CONTROL!$C$32, $C$9, 100%, $E$9)</f>
        <v>14.442</v>
      </c>
      <c r="C966" s="80">
        <f>14.442 * CHOOSE(CONTROL!$C$32, $C$9, 100%, $E$9)</f>
        <v>14.442</v>
      </c>
      <c r="D966" s="80">
        <f>14.4436 * CHOOSE(CONTROL!$C$32, $C$9, 100%, $E$9)</f>
        <v>14.4436</v>
      </c>
      <c r="E966" s="81">
        <f>16.68 * CHOOSE(CONTROL!$C$32, $C$9, 100%, $E$9)</f>
        <v>16.68</v>
      </c>
      <c r="F966" s="81">
        <f>16.68 * CHOOSE(CONTROL!$C$32, $C$9, 100%, $E$9)</f>
        <v>16.68</v>
      </c>
      <c r="G966" s="81">
        <f>16.6853 * CHOOSE(CONTROL!$C$32, $C$9, 100%, $E$9)</f>
        <v>16.685300000000002</v>
      </c>
      <c r="H966" s="81">
        <f>33.944 * CHOOSE(CONTROL!$C$32, $C$9, 100%, $E$9)</f>
        <v>33.944000000000003</v>
      </c>
      <c r="I966" s="81">
        <f>33.9493 * CHOOSE(CONTROL!$C$32, $C$9, 100%, $E$9)</f>
        <v>33.949300000000001</v>
      </c>
      <c r="J966" s="81">
        <f>33.944 * CHOOSE(CONTROL!$C$32, $C$9, 100%, $E$9)</f>
        <v>33.944000000000003</v>
      </c>
      <c r="K966" s="81">
        <f>33.9493 * CHOOSE(CONTROL!$C$32, $C$9, 100%, $E$9)</f>
        <v>33.949300000000001</v>
      </c>
      <c r="L966" s="81">
        <f>16.68 * CHOOSE(CONTROL!$C$32, $C$9, 100%, $E$9)</f>
        <v>16.68</v>
      </c>
      <c r="M966" s="81">
        <f>16.6853 * CHOOSE(CONTROL!$C$32, $C$9, 100%, $E$9)</f>
        <v>16.685300000000002</v>
      </c>
      <c r="N966" s="81">
        <f>16.68 * CHOOSE(CONTROL!$C$32, $C$9, 100%, $E$9)</f>
        <v>16.68</v>
      </c>
      <c r="O966" s="81">
        <f>16.6853 * CHOOSE(CONTROL!$C$32, $C$9, 100%, $E$9)</f>
        <v>16.685300000000002</v>
      </c>
    </row>
    <row r="967" spans="1:15" ht="15" x14ac:dyDescent="0.2">
      <c r="A967" s="16">
        <v>70646</v>
      </c>
      <c r="B967" s="80">
        <f>14.4481 * CHOOSE(CONTROL!$C$32, $C$9, 100%, $E$9)</f>
        <v>14.4481</v>
      </c>
      <c r="C967" s="80">
        <f>14.4481 * CHOOSE(CONTROL!$C$32, $C$9, 100%, $E$9)</f>
        <v>14.4481</v>
      </c>
      <c r="D967" s="80">
        <f>14.4497 * CHOOSE(CONTROL!$C$32, $C$9, 100%, $E$9)</f>
        <v>14.4497</v>
      </c>
      <c r="E967" s="81">
        <f>16.5408 * CHOOSE(CONTROL!$C$32, $C$9, 100%, $E$9)</f>
        <v>16.540800000000001</v>
      </c>
      <c r="F967" s="81">
        <f>16.5408 * CHOOSE(CONTROL!$C$32, $C$9, 100%, $E$9)</f>
        <v>16.540800000000001</v>
      </c>
      <c r="G967" s="81">
        <f>16.5461 * CHOOSE(CONTROL!$C$32, $C$9, 100%, $E$9)</f>
        <v>16.546099999999999</v>
      </c>
      <c r="H967" s="81">
        <f>34.0147 * CHOOSE(CONTROL!$C$32, $C$9, 100%, $E$9)</f>
        <v>34.014699999999998</v>
      </c>
      <c r="I967" s="81">
        <f>34.02 * CHOOSE(CONTROL!$C$32, $C$9, 100%, $E$9)</f>
        <v>34.020000000000003</v>
      </c>
      <c r="J967" s="81">
        <f>34.0147 * CHOOSE(CONTROL!$C$32, $C$9, 100%, $E$9)</f>
        <v>34.014699999999998</v>
      </c>
      <c r="K967" s="81">
        <f>34.02 * CHOOSE(CONTROL!$C$32, $C$9, 100%, $E$9)</f>
        <v>34.020000000000003</v>
      </c>
      <c r="L967" s="81">
        <f>16.5408 * CHOOSE(CONTROL!$C$32, $C$9, 100%, $E$9)</f>
        <v>16.540800000000001</v>
      </c>
      <c r="M967" s="81">
        <f>16.5461 * CHOOSE(CONTROL!$C$32, $C$9, 100%, $E$9)</f>
        <v>16.546099999999999</v>
      </c>
      <c r="N967" s="81">
        <f>16.5408 * CHOOSE(CONTROL!$C$32, $C$9, 100%, $E$9)</f>
        <v>16.540800000000001</v>
      </c>
      <c r="O967" s="81">
        <f>16.5461 * CHOOSE(CONTROL!$C$32, $C$9, 100%, $E$9)</f>
        <v>16.546099999999999</v>
      </c>
    </row>
    <row r="968" spans="1:15" ht="15" x14ac:dyDescent="0.2">
      <c r="A968" s="16">
        <v>70676</v>
      </c>
      <c r="B968" s="80">
        <f>14.6213 * CHOOSE(CONTROL!$C$32, $C$9, 100%, $E$9)</f>
        <v>14.6213</v>
      </c>
      <c r="C968" s="80">
        <f>14.6213 * CHOOSE(CONTROL!$C$32, $C$9, 100%, $E$9)</f>
        <v>14.6213</v>
      </c>
      <c r="D968" s="80">
        <f>14.6228 * CHOOSE(CONTROL!$C$32, $C$9, 100%, $E$9)</f>
        <v>14.6228</v>
      </c>
      <c r="E968" s="81">
        <f>16.7759 * CHOOSE(CONTROL!$C$32, $C$9, 100%, $E$9)</f>
        <v>16.7759</v>
      </c>
      <c r="F968" s="81">
        <f>16.7759 * CHOOSE(CONTROL!$C$32, $C$9, 100%, $E$9)</f>
        <v>16.7759</v>
      </c>
      <c r="G968" s="81">
        <f>16.7811 * CHOOSE(CONTROL!$C$32, $C$9, 100%, $E$9)</f>
        <v>16.781099999999999</v>
      </c>
      <c r="H968" s="81">
        <f>34.0856 * CHOOSE(CONTROL!$C$32, $C$9, 100%, $E$9)</f>
        <v>34.085599999999999</v>
      </c>
      <c r="I968" s="81">
        <f>34.0909 * CHOOSE(CONTROL!$C$32, $C$9, 100%, $E$9)</f>
        <v>34.090899999999998</v>
      </c>
      <c r="J968" s="81">
        <f>34.0856 * CHOOSE(CONTROL!$C$32, $C$9, 100%, $E$9)</f>
        <v>34.085599999999999</v>
      </c>
      <c r="K968" s="81">
        <f>34.0909 * CHOOSE(CONTROL!$C$32, $C$9, 100%, $E$9)</f>
        <v>34.090899999999998</v>
      </c>
      <c r="L968" s="81">
        <f>16.7759 * CHOOSE(CONTROL!$C$32, $C$9, 100%, $E$9)</f>
        <v>16.7759</v>
      </c>
      <c r="M968" s="81">
        <f>16.7811 * CHOOSE(CONTROL!$C$32, $C$9, 100%, $E$9)</f>
        <v>16.781099999999999</v>
      </c>
      <c r="N968" s="81">
        <f>16.7759 * CHOOSE(CONTROL!$C$32, $C$9, 100%, $E$9)</f>
        <v>16.7759</v>
      </c>
      <c r="O968" s="81">
        <f>16.7811 * CHOOSE(CONTROL!$C$32, $C$9, 100%, $E$9)</f>
        <v>16.781099999999999</v>
      </c>
    </row>
    <row r="969" spans="1:15" ht="15" x14ac:dyDescent="0.2">
      <c r="A969" s="16">
        <v>70707</v>
      </c>
      <c r="B969" s="80">
        <f>14.6279 * CHOOSE(CONTROL!$C$32, $C$9, 100%, $E$9)</f>
        <v>14.6279</v>
      </c>
      <c r="C969" s="80">
        <f>14.6279 * CHOOSE(CONTROL!$C$32, $C$9, 100%, $E$9)</f>
        <v>14.6279</v>
      </c>
      <c r="D969" s="80">
        <f>14.6295 * CHOOSE(CONTROL!$C$32, $C$9, 100%, $E$9)</f>
        <v>14.6295</v>
      </c>
      <c r="E969" s="81">
        <f>16.3501 * CHOOSE(CONTROL!$C$32, $C$9, 100%, $E$9)</f>
        <v>16.350100000000001</v>
      </c>
      <c r="F969" s="81">
        <f>16.3501 * CHOOSE(CONTROL!$C$32, $C$9, 100%, $E$9)</f>
        <v>16.350100000000001</v>
      </c>
      <c r="G969" s="81">
        <f>16.3554 * CHOOSE(CONTROL!$C$32, $C$9, 100%, $E$9)</f>
        <v>16.355399999999999</v>
      </c>
      <c r="H969" s="81">
        <f>34.1566 * CHOOSE(CONTROL!$C$32, $C$9, 100%, $E$9)</f>
        <v>34.156599999999997</v>
      </c>
      <c r="I969" s="81">
        <f>34.1619 * CHOOSE(CONTROL!$C$32, $C$9, 100%, $E$9)</f>
        <v>34.161900000000003</v>
      </c>
      <c r="J969" s="81">
        <f>34.1566 * CHOOSE(CONTROL!$C$32, $C$9, 100%, $E$9)</f>
        <v>34.156599999999997</v>
      </c>
      <c r="K969" s="81">
        <f>34.1619 * CHOOSE(CONTROL!$C$32, $C$9, 100%, $E$9)</f>
        <v>34.161900000000003</v>
      </c>
      <c r="L969" s="81">
        <f>16.3501 * CHOOSE(CONTROL!$C$32, $C$9, 100%, $E$9)</f>
        <v>16.350100000000001</v>
      </c>
      <c r="M969" s="81">
        <f>16.3554 * CHOOSE(CONTROL!$C$32, $C$9, 100%, $E$9)</f>
        <v>16.355399999999999</v>
      </c>
      <c r="N969" s="81">
        <f>16.3501 * CHOOSE(CONTROL!$C$32, $C$9, 100%, $E$9)</f>
        <v>16.350100000000001</v>
      </c>
      <c r="O969" s="81">
        <f>16.3554 * CHOOSE(CONTROL!$C$32, $C$9, 100%, $E$9)</f>
        <v>16.355399999999999</v>
      </c>
    </row>
    <row r="970" spans="1:15" ht="15" x14ac:dyDescent="0.2">
      <c r="A970" s="16">
        <v>70738</v>
      </c>
      <c r="B970" s="80">
        <f>14.6249 * CHOOSE(CONTROL!$C$32, $C$9, 100%, $E$9)</f>
        <v>14.6249</v>
      </c>
      <c r="C970" s="80">
        <f>14.6249 * CHOOSE(CONTROL!$C$32, $C$9, 100%, $E$9)</f>
        <v>14.6249</v>
      </c>
      <c r="D970" s="80">
        <f>14.6265 * CHOOSE(CONTROL!$C$32, $C$9, 100%, $E$9)</f>
        <v>14.6265</v>
      </c>
      <c r="E970" s="81">
        <f>16.3002 * CHOOSE(CONTROL!$C$32, $C$9, 100%, $E$9)</f>
        <v>16.3002</v>
      </c>
      <c r="F970" s="81">
        <f>16.3002 * CHOOSE(CONTROL!$C$32, $C$9, 100%, $E$9)</f>
        <v>16.3002</v>
      </c>
      <c r="G970" s="81">
        <f>16.3055 * CHOOSE(CONTROL!$C$32, $C$9, 100%, $E$9)</f>
        <v>16.305499999999999</v>
      </c>
      <c r="H970" s="81">
        <f>34.2277 * CHOOSE(CONTROL!$C$32, $C$9, 100%, $E$9)</f>
        <v>34.227699999999999</v>
      </c>
      <c r="I970" s="81">
        <f>34.233 * CHOOSE(CONTROL!$C$32, $C$9, 100%, $E$9)</f>
        <v>34.232999999999997</v>
      </c>
      <c r="J970" s="81">
        <f>34.2277 * CHOOSE(CONTROL!$C$32, $C$9, 100%, $E$9)</f>
        <v>34.227699999999999</v>
      </c>
      <c r="K970" s="81">
        <f>34.233 * CHOOSE(CONTROL!$C$32, $C$9, 100%, $E$9)</f>
        <v>34.232999999999997</v>
      </c>
      <c r="L970" s="81">
        <f>16.3002 * CHOOSE(CONTROL!$C$32, $C$9, 100%, $E$9)</f>
        <v>16.3002</v>
      </c>
      <c r="M970" s="81">
        <f>16.3055 * CHOOSE(CONTROL!$C$32, $C$9, 100%, $E$9)</f>
        <v>16.305499999999999</v>
      </c>
      <c r="N970" s="81">
        <f>16.3002 * CHOOSE(CONTROL!$C$32, $C$9, 100%, $E$9)</f>
        <v>16.3002</v>
      </c>
      <c r="O970" s="81">
        <f>16.3055 * CHOOSE(CONTROL!$C$32, $C$9, 100%, $E$9)</f>
        <v>16.305499999999999</v>
      </c>
    </row>
    <row r="971" spans="1:15" ht="15" x14ac:dyDescent="0.2">
      <c r="A971" s="16">
        <v>70768</v>
      </c>
      <c r="B971" s="80">
        <f>14.6597 * CHOOSE(CONTROL!$C$32, $C$9, 100%, $E$9)</f>
        <v>14.659700000000001</v>
      </c>
      <c r="C971" s="80">
        <f>14.6597 * CHOOSE(CONTROL!$C$32, $C$9, 100%, $E$9)</f>
        <v>14.659700000000001</v>
      </c>
      <c r="D971" s="80">
        <f>14.6608 * CHOOSE(CONTROL!$C$32, $C$9, 100%, $E$9)</f>
        <v>14.6608</v>
      </c>
      <c r="E971" s="81">
        <f>16.478 * CHOOSE(CONTROL!$C$32, $C$9, 100%, $E$9)</f>
        <v>16.478000000000002</v>
      </c>
      <c r="F971" s="81">
        <f>16.478 * CHOOSE(CONTROL!$C$32, $C$9, 100%, $E$9)</f>
        <v>16.478000000000002</v>
      </c>
      <c r="G971" s="81">
        <f>16.4817 * CHOOSE(CONTROL!$C$32, $C$9, 100%, $E$9)</f>
        <v>16.4817</v>
      </c>
      <c r="H971" s="81">
        <f>34.299 * CHOOSE(CONTROL!$C$32, $C$9, 100%, $E$9)</f>
        <v>34.298999999999999</v>
      </c>
      <c r="I971" s="81">
        <f>34.3027 * CHOOSE(CONTROL!$C$32, $C$9, 100%, $E$9)</f>
        <v>34.302700000000002</v>
      </c>
      <c r="J971" s="81">
        <f>34.299 * CHOOSE(CONTROL!$C$32, $C$9, 100%, $E$9)</f>
        <v>34.298999999999999</v>
      </c>
      <c r="K971" s="81">
        <f>34.3027 * CHOOSE(CONTROL!$C$32, $C$9, 100%, $E$9)</f>
        <v>34.302700000000002</v>
      </c>
      <c r="L971" s="81">
        <f>16.478 * CHOOSE(CONTROL!$C$32, $C$9, 100%, $E$9)</f>
        <v>16.478000000000002</v>
      </c>
      <c r="M971" s="81">
        <f>16.4817 * CHOOSE(CONTROL!$C$32, $C$9, 100%, $E$9)</f>
        <v>16.4817</v>
      </c>
      <c r="N971" s="81">
        <f>16.478 * CHOOSE(CONTROL!$C$32, $C$9, 100%, $E$9)</f>
        <v>16.478000000000002</v>
      </c>
      <c r="O971" s="81">
        <f>16.4817 * CHOOSE(CONTROL!$C$32, $C$9, 100%, $E$9)</f>
        <v>16.4817</v>
      </c>
    </row>
    <row r="972" spans="1:15" ht="15" x14ac:dyDescent="0.2">
      <c r="A972" s="16">
        <v>70799</v>
      </c>
      <c r="B972" s="80">
        <f>14.6627 * CHOOSE(CONTROL!$C$32, $C$9, 100%, $E$9)</f>
        <v>14.662699999999999</v>
      </c>
      <c r="C972" s="80">
        <f>14.6627 * CHOOSE(CONTROL!$C$32, $C$9, 100%, $E$9)</f>
        <v>14.662699999999999</v>
      </c>
      <c r="D972" s="80">
        <f>14.6638 * CHOOSE(CONTROL!$C$32, $C$9, 100%, $E$9)</f>
        <v>14.6638</v>
      </c>
      <c r="E972" s="81">
        <f>16.5758 * CHOOSE(CONTROL!$C$32, $C$9, 100%, $E$9)</f>
        <v>16.575800000000001</v>
      </c>
      <c r="F972" s="81">
        <f>16.5758 * CHOOSE(CONTROL!$C$32, $C$9, 100%, $E$9)</f>
        <v>16.575800000000001</v>
      </c>
      <c r="G972" s="81">
        <f>16.5794 * CHOOSE(CONTROL!$C$32, $C$9, 100%, $E$9)</f>
        <v>16.5794</v>
      </c>
      <c r="H972" s="81">
        <f>34.3705 * CHOOSE(CONTROL!$C$32, $C$9, 100%, $E$9)</f>
        <v>34.3705</v>
      </c>
      <c r="I972" s="81">
        <f>34.3741 * CHOOSE(CONTROL!$C$32, $C$9, 100%, $E$9)</f>
        <v>34.374099999999999</v>
      </c>
      <c r="J972" s="81">
        <f>34.3705 * CHOOSE(CONTROL!$C$32, $C$9, 100%, $E$9)</f>
        <v>34.3705</v>
      </c>
      <c r="K972" s="81">
        <f>34.3741 * CHOOSE(CONTROL!$C$32, $C$9, 100%, $E$9)</f>
        <v>34.374099999999999</v>
      </c>
      <c r="L972" s="81">
        <f>16.5758 * CHOOSE(CONTROL!$C$32, $C$9, 100%, $E$9)</f>
        <v>16.575800000000001</v>
      </c>
      <c r="M972" s="81">
        <f>16.5794 * CHOOSE(CONTROL!$C$32, $C$9, 100%, $E$9)</f>
        <v>16.5794</v>
      </c>
      <c r="N972" s="81">
        <f>16.5758 * CHOOSE(CONTROL!$C$32, $C$9, 100%, $E$9)</f>
        <v>16.575800000000001</v>
      </c>
      <c r="O972" s="81">
        <f>16.5794 * CHOOSE(CONTROL!$C$32, $C$9, 100%, $E$9)</f>
        <v>16.5794</v>
      </c>
    </row>
    <row r="973" spans="1:15" ht="15" x14ac:dyDescent="0.2">
      <c r="A973" s="16">
        <v>70829</v>
      </c>
      <c r="B973" s="80">
        <f>14.6627 * CHOOSE(CONTROL!$C$32, $C$9, 100%, $E$9)</f>
        <v>14.662699999999999</v>
      </c>
      <c r="C973" s="80">
        <f>14.6627 * CHOOSE(CONTROL!$C$32, $C$9, 100%, $E$9)</f>
        <v>14.662699999999999</v>
      </c>
      <c r="D973" s="80">
        <f>14.6638 * CHOOSE(CONTROL!$C$32, $C$9, 100%, $E$9)</f>
        <v>14.6638</v>
      </c>
      <c r="E973" s="81">
        <f>16.3367 * CHOOSE(CONTROL!$C$32, $C$9, 100%, $E$9)</f>
        <v>16.3367</v>
      </c>
      <c r="F973" s="81">
        <f>16.3367 * CHOOSE(CONTROL!$C$32, $C$9, 100%, $E$9)</f>
        <v>16.3367</v>
      </c>
      <c r="G973" s="81">
        <f>16.3403 * CHOOSE(CONTROL!$C$32, $C$9, 100%, $E$9)</f>
        <v>16.340299999999999</v>
      </c>
      <c r="H973" s="81">
        <f>34.4421 * CHOOSE(CONTROL!$C$32, $C$9, 100%, $E$9)</f>
        <v>34.442100000000003</v>
      </c>
      <c r="I973" s="81">
        <f>34.4457 * CHOOSE(CONTROL!$C$32, $C$9, 100%, $E$9)</f>
        <v>34.445700000000002</v>
      </c>
      <c r="J973" s="81">
        <f>34.4421 * CHOOSE(CONTROL!$C$32, $C$9, 100%, $E$9)</f>
        <v>34.442100000000003</v>
      </c>
      <c r="K973" s="81">
        <f>34.4457 * CHOOSE(CONTROL!$C$32, $C$9, 100%, $E$9)</f>
        <v>34.445700000000002</v>
      </c>
      <c r="L973" s="81">
        <f>16.3367 * CHOOSE(CONTROL!$C$32, $C$9, 100%, $E$9)</f>
        <v>16.3367</v>
      </c>
      <c r="M973" s="81">
        <f>16.3403 * CHOOSE(CONTROL!$C$32, $C$9, 100%, $E$9)</f>
        <v>16.340299999999999</v>
      </c>
      <c r="N973" s="81">
        <f>16.3367 * CHOOSE(CONTROL!$C$32, $C$9, 100%, $E$9)</f>
        <v>16.3367</v>
      </c>
      <c r="O973" s="81">
        <f>16.3403 * CHOOSE(CONTROL!$C$32, $C$9, 100%, $E$9)</f>
        <v>16.340299999999999</v>
      </c>
    </row>
    <row r="974" spans="1:15" ht="15" x14ac:dyDescent="0.2">
      <c r="A974" s="16">
        <v>70860</v>
      </c>
      <c r="B974" s="80">
        <f>14.6277 * CHOOSE(CONTROL!$C$32, $C$9, 100%, $E$9)</f>
        <v>14.627700000000001</v>
      </c>
      <c r="C974" s="80">
        <f>14.6277 * CHOOSE(CONTROL!$C$32, $C$9, 100%, $E$9)</f>
        <v>14.627700000000001</v>
      </c>
      <c r="D974" s="80">
        <f>14.6287 * CHOOSE(CONTROL!$C$32, $C$9, 100%, $E$9)</f>
        <v>14.6287</v>
      </c>
      <c r="E974" s="81">
        <f>16.4706 * CHOOSE(CONTROL!$C$32, $C$9, 100%, $E$9)</f>
        <v>16.470600000000001</v>
      </c>
      <c r="F974" s="81">
        <f>16.4706 * CHOOSE(CONTROL!$C$32, $C$9, 100%, $E$9)</f>
        <v>16.470600000000001</v>
      </c>
      <c r="G974" s="81">
        <f>16.4742 * CHOOSE(CONTROL!$C$32, $C$9, 100%, $E$9)</f>
        <v>16.4742</v>
      </c>
      <c r="H974" s="81">
        <f>34.1266 * CHOOSE(CONTROL!$C$32, $C$9, 100%, $E$9)</f>
        <v>34.126600000000003</v>
      </c>
      <c r="I974" s="81">
        <f>34.1302 * CHOOSE(CONTROL!$C$32, $C$9, 100%, $E$9)</f>
        <v>34.130200000000002</v>
      </c>
      <c r="J974" s="81">
        <f>34.1266 * CHOOSE(CONTROL!$C$32, $C$9, 100%, $E$9)</f>
        <v>34.126600000000003</v>
      </c>
      <c r="K974" s="81">
        <f>34.1302 * CHOOSE(CONTROL!$C$32, $C$9, 100%, $E$9)</f>
        <v>34.130200000000002</v>
      </c>
      <c r="L974" s="81">
        <f>16.4706 * CHOOSE(CONTROL!$C$32, $C$9, 100%, $E$9)</f>
        <v>16.470600000000001</v>
      </c>
      <c r="M974" s="81">
        <f>16.4742 * CHOOSE(CONTROL!$C$32, $C$9, 100%, $E$9)</f>
        <v>16.4742</v>
      </c>
      <c r="N974" s="81">
        <f>16.4706 * CHOOSE(CONTROL!$C$32, $C$9, 100%, $E$9)</f>
        <v>16.470600000000001</v>
      </c>
      <c r="O974" s="81">
        <f>16.4742 * CHOOSE(CONTROL!$C$32, $C$9, 100%, $E$9)</f>
        <v>16.4742</v>
      </c>
    </row>
    <row r="975" spans="1:15" ht="15" x14ac:dyDescent="0.2">
      <c r="A975" s="16">
        <v>70891</v>
      </c>
      <c r="B975" s="80">
        <f>14.6246 * CHOOSE(CONTROL!$C$32, $C$9, 100%, $E$9)</f>
        <v>14.624599999999999</v>
      </c>
      <c r="C975" s="80">
        <f>14.6246 * CHOOSE(CONTROL!$C$32, $C$9, 100%, $E$9)</f>
        <v>14.624599999999999</v>
      </c>
      <c r="D975" s="80">
        <f>14.6257 * CHOOSE(CONTROL!$C$32, $C$9, 100%, $E$9)</f>
        <v>14.6257</v>
      </c>
      <c r="E975" s="81">
        <f>16.0095 * CHOOSE(CONTROL!$C$32, $C$9, 100%, $E$9)</f>
        <v>16.009499999999999</v>
      </c>
      <c r="F975" s="81">
        <f>16.0095 * CHOOSE(CONTROL!$C$32, $C$9, 100%, $E$9)</f>
        <v>16.009499999999999</v>
      </c>
      <c r="G975" s="81">
        <f>16.0132 * CHOOSE(CONTROL!$C$32, $C$9, 100%, $E$9)</f>
        <v>16.013200000000001</v>
      </c>
      <c r="H975" s="81">
        <f>34.1977 * CHOOSE(CONTROL!$C$32, $C$9, 100%, $E$9)</f>
        <v>34.197699999999998</v>
      </c>
      <c r="I975" s="81">
        <f>34.2013 * CHOOSE(CONTROL!$C$32, $C$9, 100%, $E$9)</f>
        <v>34.201300000000003</v>
      </c>
      <c r="J975" s="81">
        <f>34.1977 * CHOOSE(CONTROL!$C$32, $C$9, 100%, $E$9)</f>
        <v>34.197699999999998</v>
      </c>
      <c r="K975" s="81">
        <f>34.2013 * CHOOSE(CONTROL!$C$32, $C$9, 100%, $E$9)</f>
        <v>34.201300000000003</v>
      </c>
      <c r="L975" s="81">
        <f>16.0095 * CHOOSE(CONTROL!$C$32, $C$9, 100%, $E$9)</f>
        <v>16.009499999999999</v>
      </c>
      <c r="M975" s="81">
        <f>16.0132 * CHOOSE(CONTROL!$C$32, $C$9, 100%, $E$9)</f>
        <v>16.013200000000001</v>
      </c>
      <c r="N975" s="81">
        <f>16.0095 * CHOOSE(CONTROL!$C$32, $C$9, 100%, $E$9)</f>
        <v>16.009499999999999</v>
      </c>
      <c r="O975" s="81">
        <f>16.0132 * CHOOSE(CONTROL!$C$32, $C$9, 100%, $E$9)</f>
        <v>16.013200000000001</v>
      </c>
    </row>
    <row r="976" spans="1:15" ht="15" x14ac:dyDescent="0.2">
      <c r="A976" s="16">
        <v>70919</v>
      </c>
      <c r="B976" s="80">
        <f>14.6216 * CHOOSE(CONTROL!$C$32, $C$9, 100%, $E$9)</f>
        <v>14.621600000000001</v>
      </c>
      <c r="C976" s="80">
        <f>14.6216 * CHOOSE(CONTROL!$C$32, $C$9, 100%, $E$9)</f>
        <v>14.621600000000001</v>
      </c>
      <c r="D976" s="80">
        <f>14.6227 * CHOOSE(CONTROL!$C$32, $C$9, 100%, $E$9)</f>
        <v>14.6227</v>
      </c>
      <c r="E976" s="81">
        <f>16.3692 * CHOOSE(CONTROL!$C$32, $C$9, 100%, $E$9)</f>
        <v>16.369199999999999</v>
      </c>
      <c r="F976" s="81">
        <f>16.3692 * CHOOSE(CONTROL!$C$32, $C$9, 100%, $E$9)</f>
        <v>16.369199999999999</v>
      </c>
      <c r="G976" s="81">
        <f>16.3729 * CHOOSE(CONTROL!$C$32, $C$9, 100%, $E$9)</f>
        <v>16.372900000000001</v>
      </c>
      <c r="H976" s="81">
        <f>34.269 * CHOOSE(CONTROL!$C$32, $C$9, 100%, $E$9)</f>
        <v>34.268999999999998</v>
      </c>
      <c r="I976" s="81">
        <f>34.2726 * CHOOSE(CONTROL!$C$32, $C$9, 100%, $E$9)</f>
        <v>34.272599999999997</v>
      </c>
      <c r="J976" s="81">
        <f>34.269 * CHOOSE(CONTROL!$C$32, $C$9, 100%, $E$9)</f>
        <v>34.268999999999998</v>
      </c>
      <c r="K976" s="81">
        <f>34.2726 * CHOOSE(CONTROL!$C$32, $C$9, 100%, $E$9)</f>
        <v>34.272599999999997</v>
      </c>
      <c r="L976" s="81">
        <f>16.3692 * CHOOSE(CONTROL!$C$32, $C$9, 100%, $E$9)</f>
        <v>16.369199999999999</v>
      </c>
      <c r="M976" s="81">
        <f>16.3729 * CHOOSE(CONTROL!$C$32, $C$9, 100%, $E$9)</f>
        <v>16.372900000000001</v>
      </c>
      <c r="N976" s="81">
        <f>16.3692 * CHOOSE(CONTROL!$C$32, $C$9, 100%, $E$9)</f>
        <v>16.369199999999999</v>
      </c>
      <c r="O976" s="81">
        <f>16.3729 * CHOOSE(CONTROL!$C$32, $C$9, 100%, $E$9)</f>
        <v>16.372900000000001</v>
      </c>
    </row>
    <row r="977" spans="1:15" ht="15" x14ac:dyDescent="0.2">
      <c r="A977" s="16">
        <v>70950</v>
      </c>
      <c r="B977" s="80">
        <f>14.6296 * CHOOSE(CONTROL!$C$32, $C$9, 100%, $E$9)</f>
        <v>14.6296</v>
      </c>
      <c r="C977" s="80">
        <f>14.6296 * CHOOSE(CONTROL!$C$32, $C$9, 100%, $E$9)</f>
        <v>14.6296</v>
      </c>
      <c r="D977" s="80">
        <f>14.6306 * CHOOSE(CONTROL!$C$32, $C$9, 100%, $E$9)</f>
        <v>14.630599999999999</v>
      </c>
      <c r="E977" s="81">
        <f>16.7536 * CHOOSE(CONTROL!$C$32, $C$9, 100%, $E$9)</f>
        <v>16.753599999999999</v>
      </c>
      <c r="F977" s="81">
        <f>16.7536 * CHOOSE(CONTROL!$C$32, $C$9, 100%, $E$9)</f>
        <v>16.753599999999999</v>
      </c>
      <c r="G977" s="81">
        <f>16.7572 * CHOOSE(CONTROL!$C$32, $C$9, 100%, $E$9)</f>
        <v>16.757200000000001</v>
      </c>
      <c r="H977" s="81">
        <f>34.3403 * CHOOSE(CONTROL!$C$32, $C$9, 100%, $E$9)</f>
        <v>34.340299999999999</v>
      </c>
      <c r="I977" s="81">
        <f>34.344 * CHOOSE(CONTROL!$C$32, $C$9, 100%, $E$9)</f>
        <v>34.344000000000001</v>
      </c>
      <c r="J977" s="81">
        <f>34.3403 * CHOOSE(CONTROL!$C$32, $C$9, 100%, $E$9)</f>
        <v>34.340299999999999</v>
      </c>
      <c r="K977" s="81">
        <f>34.344 * CHOOSE(CONTROL!$C$32, $C$9, 100%, $E$9)</f>
        <v>34.344000000000001</v>
      </c>
      <c r="L977" s="81">
        <f>16.7536 * CHOOSE(CONTROL!$C$32, $C$9, 100%, $E$9)</f>
        <v>16.753599999999999</v>
      </c>
      <c r="M977" s="81">
        <f>16.7572 * CHOOSE(CONTROL!$C$32, $C$9, 100%, $E$9)</f>
        <v>16.757200000000001</v>
      </c>
      <c r="N977" s="81">
        <f>16.7536 * CHOOSE(CONTROL!$C$32, $C$9, 100%, $E$9)</f>
        <v>16.753599999999999</v>
      </c>
      <c r="O977" s="81">
        <f>16.7572 * CHOOSE(CONTROL!$C$32, $C$9, 100%, $E$9)</f>
        <v>16.757200000000001</v>
      </c>
    </row>
    <row r="978" spans="1:15" ht="15" x14ac:dyDescent="0.2">
      <c r="A978" s="16">
        <v>70980</v>
      </c>
      <c r="B978" s="80">
        <f>14.6296 * CHOOSE(CONTROL!$C$32, $C$9, 100%, $E$9)</f>
        <v>14.6296</v>
      </c>
      <c r="C978" s="80">
        <f>14.6296 * CHOOSE(CONTROL!$C$32, $C$9, 100%, $E$9)</f>
        <v>14.6296</v>
      </c>
      <c r="D978" s="80">
        <f>14.6311 * CHOOSE(CONTROL!$C$32, $C$9, 100%, $E$9)</f>
        <v>14.6311</v>
      </c>
      <c r="E978" s="81">
        <f>16.8993 * CHOOSE(CONTROL!$C$32, $C$9, 100%, $E$9)</f>
        <v>16.8993</v>
      </c>
      <c r="F978" s="81">
        <f>16.8993 * CHOOSE(CONTROL!$C$32, $C$9, 100%, $E$9)</f>
        <v>16.8993</v>
      </c>
      <c r="G978" s="81">
        <f>16.9046 * CHOOSE(CONTROL!$C$32, $C$9, 100%, $E$9)</f>
        <v>16.904599999999999</v>
      </c>
      <c r="H978" s="81">
        <f>34.4119 * CHOOSE(CONTROL!$C$32, $C$9, 100%, $E$9)</f>
        <v>34.411900000000003</v>
      </c>
      <c r="I978" s="81">
        <f>34.4172 * CHOOSE(CONTROL!$C$32, $C$9, 100%, $E$9)</f>
        <v>34.417200000000001</v>
      </c>
      <c r="J978" s="81">
        <f>34.4119 * CHOOSE(CONTROL!$C$32, $C$9, 100%, $E$9)</f>
        <v>34.411900000000003</v>
      </c>
      <c r="K978" s="81">
        <f>34.4172 * CHOOSE(CONTROL!$C$32, $C$9, 100%, $E$9)</f>
        <v>34.417200000000001</v>
      </c>
      <c r="L978" s="81">
        <f>16.8993 * CHOOSE(CONTROL!$C$32, $C$9, 100%, $E$9)</f>
        <v>16.8993</v>
      </c>
      <c r="M978" s="81">
        <f>16.9046 * CHOOSE(CONTROL!$C$32, $C$9, 100%, $E$9)</f>
        <v>16.904599999999999</v>
      </c>
      <c r="N978" s="81">
        <f>16.8993 * CHOOSE(CONTROL!$C$32, $C$9, 100%, $E$9)</f>
        <v>16.8993</v>
      </c>
      <c r="O978" s="81">
        <f>16.9046 * CHOOSE(CONTROL!$C$32, $C$9, 100%, $E$9)</f>
        <v>16.904599999999999</v>
      </c>
    </row>
    <row r="979" spans="1:15" ht="15" x14ac:dyDescent="0.2">
      <c r="A979" s="16">
        <v>71011</v>
      </c>
      <c r="B979" s="80">
        <f>14.6356 * CHOOSE(CONTROL!$C$32, $C$9, 100%, $E$9)</f>
        <v>14.6356</v>
      </c>
      <c r="C979" s="80">
        <f>14.6356 * CHOOSE(CONTROL!$C$32, $C$9, 100%, $E$9)</f>
        <v>14.6356</v>
      </c>
      <c r="D979" s="80">
        <f>14.6372 * CHOOSE(CONTROL!$C$32, $C$9, 100%, $E$9)</f>
        <v>14.6372</v>
      </c>
      <c r="E979" s="81">
        <f>16.7578 * CHOOSE(CONTROL!$C$32, $C$9, 100%, $E$9)</f>
        <v>16.7578</v>
      </c>
      <c r="F979" s="81">
        <f>16.7578 * CHOOSE(CONTROL!$C$32, $C$9, 100%, $E$9)</f>
        <v>16.7578</v>
      </c>
      <c r="G979" s="81">
        <f>16.7631 * CHOOSE(CONTROL!$C$32, $C$9, 100%, $E$9)</f>
        <v>16.763100000000001</v>
      </c>
      <c r="H979" s="81">
        <f>34.4836 * CHOOSE(CONTROL!$C$32, $C$9, 100%, $E$9)</f>
        <v>34.483600000000003</v>
      </c>
      <c r="I979" s="81">
        <f>34.4889 * CHOOSE(CONTROL!$C$32, $C$9, 100%, $E$9)</f>
        <v>34.488900000000001</v>
      </c>
      <c r="J979" s="81">
        <f>34.4836 * CHOOSE(CONTROL!$C$32, $C$9, 100%, $E$9)</f>
        <v>34.483600000000003</v>
      </c>
      <c r="K979" s="81">
        <f>34.4889 * CHOOSE(CONTROL!$C$32, $C$9, 100%, $E$9)</f>
        <v>34.488900000000001</v>
      </c>
      <c r="L979" s="81">
        <f>16.7578 * CHOOSE(CONTROL!$C$32, $C$9, 100%, $E$9)</f>
        <v>16.7578</v>
      </c>
      <c r="M979" s="81">
        <f>16.7631 * CHOOSE(CONTROL!$C$32, $C$9, 100%, $E$9)</f>
        <v>16.763100000000001</v>
      </c>
      <c r="N979" s="81">
        <f>16.7578 * CHOOSE(CONTROL!$C$32, $C$9, 100%, $E$9)</f>
        <v>16.7578</v>
      </c>
      <c r="O979" s="81">
        <f>16.7631 * CHOOSE(CONTROL!$C$32, $C$9, 100%, $E$9)</f>
        <v>16.763100000000001</v>
      </c>
    </row>
    <row r="980" spans="1:15" ht="15" x14ac:dyDescent="0.2">
      <c r="A980" s="16">
        <v>71041</v>
      </c>
      <c r="B980" s="80">
        <f>14.8109 * CHOOSE(CONTROL!$C$32, $C$9, 100%, $E$9)</f>
        <v>14.8109</v>
      </c>
      <c r="C980" s="80">
        <f>14.8109 * CHOOSE(CONTROL!$C$32, $C$9, 100%, $E$9)</f>
        <v>14.8109</v>
      </c>
      <c r="D980" s="80">
        <f>14.8124 * CHOOSE(CONTROL!$C$32, $C$9, 100%, $E$9)</f>
        <v>14.8124</v>
      </c>
      <c r="E980" s="81">
        <f>16.996 * CHOOSE(CONTROL!$C$32, $C$9, 100%, $E$9)</f>
        <v>16.995999999999999</v>
      </c>
      <c r="F980" s="81">
        <f>16.996 * CHOOSE(CONTROL!$C$32, $C$9, 100%, $E$9)</f>
        <v>16.995999999999999</v>
      </c>
      <c r="G980" s="81">
        <f>17.0013 * CHOOSE(CONTROL!$C$32, $C$9, 100%, $E$9)</f>
        <v>17.001300000000001</v>
      </c>
      <c r="H980" s="81">
        <f>34.5554 * CHOOSE(CONTROL!$C$32, $C$9, 100%, $E$9)</f>
        <v>34.555399999999999</v>
      </c>
      <c r="I980" s="81">
        <f>34.5607 * CHOOSE(CONTROL!$C$32, $C$9, 100%, $E$9)</f>
        <v>34.560699999999997</v>
      </c>
      <c r="J980" s="81">
        <f>34.5554 * CHOOSE(CONTROL!$C$32, $C$9, 100%, $E$9)</f>
        <v>34.555399999999999</v>
      </c>
      <c r="K980" s="81">
        <f>34.5607 * CHOOSE(CONTROL!$C$32, $C$9, 100%, $E$9)</f>
        <v>34.560699999999997</v>
      </c>
      <c r="L980" s="81">
        <f>16.996 * CHOOSE(CONTROL!$C$32, $C$9, 100%, $E$9)</f>
        <v>16.995999999999999</v>
      </c>
      <c r="M980" s="81">
        <f>17.0013 * CHOOSE(CONTROL!$C$32, $C$9, 100%, $E$9)</f>
        <v>17.001300000000001</v>
      </c>
      <c r="N980" s="81">
        <f>16.996 * CHOOSE(CONTROL!$C$32, $C$9, 100%, $E$9)</f>
        <v>16.995999999999999</v>
      </c>
      <c r="O980" s="81">
        <f>17.0013 * CHOOSE(CONTROL!$C$32, $C$9, 100%, $E$9)</f>
        <v>17.001300000000001</v>
      </c>
    </row>
    <row r="981" spans="1:15" ht="15" x14ac:dyDescent="0.2">
      <c r="A981" s="16">
        <v>71072</v>
      </c>
      <c r="B981" s="80">
        <f>14.8175 * CHOOSE(CONTROL!$C$32, $C$9, 100%, $E$9)</f>
        <v>14.817500000000001</v>
      </c>
      <c r="C981" s="80">
        <f>14.8175 * CHOOSE(CONTROL!$C$32, $C$9, 100%, $E$9)</f>
        <v>14.817500000000001</v>
      </c>
      <c r="D981" s="80">
        <f>14.8191 * CHOOSE(CONTROL!$C$32, $C$9, 100%, $E$9)</f>
        <v>14.819100000000001</v>
      </c>
      <c r="E981" s="81">
        <f>16.5635 * CHOOSE(CONTROL!$C$32, $C$9, 100%, $E$9)</f>
        <v>16.563500000000001</v>
      </c>
      <c r="F981" s="81">
        <f>16.5635 * CHOOSE(CONTROL!$C$32, $C$9, 100%, $E$9)</f>
        <v>16.563500000000001</v>
      </c>
      <c r="G981" s="81">
        <f>16.5688 * CHOOSE(CONTROL!$C$32, $C$9, 100%, $E$9)</f>
        <v>16.5688</v>
      </c>
      <c r="H981" s="81">
        <f>34.6274 * CHOOSE(CONTROL!$C$32, $C$9, 100%, $E$9)</f>
        <v>34.627400000000002</v>
      </c>
      <c r="I981" s="81">
        <f>34.6327 * CHOOSE(CONTROL!$C$32, $C$9, 100%, $E$9)</f>
        <v>34.6327</v>
      </c>
      <c r="J981" s="81">
        <f>34.6274 * CHOOSE(CONTROL!$C$32, $C$9, 100%, $E$9)</f>
        <v>34.627400000000002</v>
      </c>
      <c r="K981" s="81">
        <f>34.6327 * CHOOSE(CONTROL!$C$32, $C$9, 100%, $E$9)</f>
        <v>34.6327</v>
      </c>
      <c r="L981" s="81">
        <f>16.5635 * CHOOSE(CONTROL!$C$32, $C$9, 100%, $E$9)</f>
        <v>16.563500000000001</v>
      </c>
      <c r="M981" s="81">
        <f>16.5688 * CHOOSE(CONTROL!$C$32, $C$9, 100%, $E$9)</f>
        <v>16.5688</v>
      </c>
      <c r="N981" s="81">
        <f>16.5635 * CHOOSE(CONTROL!$C$32, $C$9, 100%, $E$9)</f>
        <v>16.563500000000001</v>
      </c>
      <c r="O981" s="81">
        <f>16.5688 * CHOOSE(CONTROL!$C$32, $C$9, 100%, $E$9)</f>
        <v>16.5688</v>
      </c>
    </row>
    <row r="982" spans="1:15" ht="15" x14ac:dyDescent="0.2">
      <c r="A982" s="16">
        <v>71103</v>
      </c>
      <c r="B982" s="80">
        <f>14.8145 * CHOOSE(CONTROL!$C$32, $C$9, 100%, $E$9)</f>
        <v>14.814500000000001</v>
      </c>
      <c r="C982" s="80">
        <f>14.8145 * CHOOSE(CONTROL!$C$32, $C$9, 100%, $E$9)</f>
        <v>14.814500000000001</v>
      </c>
      <c r="D982" s="80">
        <f>14.8161 * CHOOSE(CONTROL!$C$32, $C$9, 100%, $E$9)</f>
        <v>14.8161</v>
      </c>
      <c r="E982" s="81">
        <f>16.5129 * CHOOSE(CONTROL!$C$32, $C$9, 100%, $E$9)</f>
        <v>16.512899999999998</v>
      </c>
      <c r="F982" s="81">
        <f>16.5129 * CHOOSE(CONTROL!$C$32, $C$9, 100%, $E$9)</f>
        <v>16.512899999999998</v>
      </c>
      <c r="G982" s="81">
        <f>16.5181 * CHOOSE(CONTROL!$C$32, $C$9, 100%, $E$9)</f>
        <v>16.5181</v>
      </c>
      <c r="H982" s="81">
        <f>34.6996 * CHOOSE(CONTROL!$C$32, $C$9, 100%, $E$9)</f>
        <v>34.699599999999997</v>
      </c>
      <c r="I982" s="81">
        <f>34.7048 * CHOOSE(CONTROL!$C$32, $C$9, 100%, $E$9)</f>
        <v>34.704799999999999</v>
      </c>
      <c r="J982" s="81">
        <f>34.6996 * CHOOSE(CONTROL!$C$32, $C$9, 100%, $E$9)</f>
        <v>34.699599999999997</v>
      </c>
      <c r="K982" s="81">
        <f>34.7048 * CHOOSE(CONTROL!$C$32, $C$9, 100%, $E$9)</f>
        <v>34.704799999999999</v>
      </c>
      <c r="L982" s="81">
        <f>16.5129 * CHOOSE(CONTROL!$C$32, $C$9, 100%, $E$9)</f>
        <v>16.512899999999998</v>
      </c>
      <c r="M982" s="81">
        <f>16.5181 * CHOOSE(CONTROL!$C$32, $C$9, 100%, $E$9)</f>
        <v>16.5181</v>
      </c>
      <c r="N982" s="81">
        <f>16.5129 * CHOOSE(CONTROL!$C$32, $C$9, 100%, $E$9)</f>
        <v>16.512899999999998</v>
      </c>
      <c r="O982" s="81">
        <f>16.5181 * CHOOSE(CONTROL!$C$32, $C$9, 100%, $E$9)</f>
        <v>16.5181</v>
      </c>
    </row>
    <row r="983" spans="1:15" ht="15" x14ac:dyDescent="0.2">
      <c r="A983" s="16">
        <v>71133</v>
      </c>
      <c r="B983" s="80">
        <f>14.85 * CHOOSE(CONTROL!$C$32, $C$9, 100%, $E$9)</f>
        <v>14.85</v>
      </c>
      <c r="C983" s="80">
        <f>14.85 * CHOOSE(CONTROL!$C$32, $C$9, 100%, $E$9)</f>
        <v>14.85</v>
      </c>
      <c r="D983" s="80">
        <f>14.8511 * CHOOSE(CONTROL!$C$32, $C$9, 100%, $E$9)</f>
        <v>14.851100000000001</v>
      </c>
      <c r="E983" s="81">
        <f>16.6937 * CHOOSE(CONTROL!$C$32, $C$9, 100%, $E$9)</f>
        <v>16.6937</v>
      </c>
      <c r="F983" s="81">
        <f>16.6937 * CHOOSE(CONTROL!$C$32, $C$9, 100%, $E$9)</f>
        <v>16.6937</v>
      </c>
      <c r="G983" s="81">
        <f>16.6973 * CHOOSE(CONTROL!$C$32, $C$9, 100%, $E$9)</f>
        <v>16.697299999999998</v>
      </c>
      <c r="H983" s="81">
        <f>34.7718 * CHOOSE(CONTROL!$C$32, $C$9, 100%, $E$9)</f>
        <v>34.771799999999999</v>
      </c>
      <c r="I983" s="81">
        <f>34.7755 * CHOOSE(CONTROL!$C$32, $C$9, 100%, $E$9)</f>
        <v>34.775500000000001</v>
      </c>
      <c r="J983" s="81">
        <f>34.7718 * CHOOSE(CONTROL!$C$32, $C$9, 100%, $E$9)</f>
        <v>34.771799999999999</v>
      </c>
      <c r="K983" s="81">
        <f>34.7755 * CHOOSE(CONTROL!$C$32, $C$9, 100%, $E$9)</f>
        <v>34.775500000000001</v>
      </c>
      <c r="L983" s="81">
        <f>16.6937 * CHOOSE(CONTROL!$C$32, $C$9, 100%, $E$9)</f>
        <v>16.6937</v>
      </c>
      <c r="M983" s="81">
        <f>16.6973 * CHOOSE(CONTROL!$C$32, $C$9, 100%, $E$9)</f>
        <v>16.697299999999998</v>
      </c>
      <c r="N983" s="81">
        <f>16.6937 * CHOOSE(CONTROL!$C$32, $C$9, 100%, $E$9)</f>
        <v>16.6937</v>
      </c>
      <c r="O983" s="81">
        <f>16.6973 * CHOOSE(CONTROL!$C$32, $C$9, 100%, $E$9)</f>
        <v>16.697299999999998</v>
      </c>
    </row>
    <row r="984" spans="1:15" ht="15" x14ac:dyDescent="0.2">
      <c r="A984" s="16">
        <v>71164</v>
      </c>
      <c r="B984" s="80">
        <f>14.8531 * CHOOSE(CONTROL!$C$32, $C$9, 100%, $E$9)</f>
        <v>14.8531</v>
      </c>
      <c r="C984" s="80">
        <f>14.8531 * CHOOSE(CONTROL!$C$32, $C$9, 100%, $E$9)</f>
        <v>14.8531</v>
      </c>
      <c r="D984" s="80">
        <f>14.8541 * CHOOSE(CONTROL!$C$32, $C$9, 100%, $E$9)</f>
        <v>14.854100000000001</v>
      </c>
      <c r="E984" s="81">
        <f>16.793 * CHOOSE(CONTROL!$C$32, $C$9, 100%, $E$9)</f>
        <v>16.792999999999999</v>
      </c>
      <c r="F984" s="81">
        <f>16.793 * CHOOSE(CONTROL!$C$32, $C$9, 100%, $E$9)</f>
        <v>16.792999999999999</v>
      </c>
      <c r="G984" s="81">
        <f>16.7966 * CHOOSE(CONTROL!$C$32, $C$9, 100%, $E$9)</f>
        <v>16.796600000000002</v>
      </c>
      <c r="H984" s="81">
        <f>34.8443 * CHOOSE(CONTROL!$C$32, $C$9, 100%, $E$9)</f>
        <v>34.844299999999997</v>
      </c>
      <c r="I984" s="81">
        <f>34.8479 * CHOOSE(CONTROL!$C$32, $C$9, 100%, $E$9)</f>
        <v>34.847900000000003</v>
      </c>
      <c r="J984" s="81">
        <f>34.8443 * CHOOSE(CONTROL!$C$32, $C$9, 100%, $E$9)</f>
        <v>34.844299999999997</v>
      </c>
      <c r="K984" s="81">
        <f>34.8479 * CHOOSE(CONTROL!$C$32, $C$9, 100%, $E$9)</f>
        <v>34.847900000000003</v>
      </c>
      <c r="L984" s="81">
        <f>16.793 * CHOOSE(CONTROL!$C$32, $C$9, 100%, $E$9)</f>
        <v>16.792999999999999</v>
      </c>
      <c r="M984" s="81">
        <f>16.7966 * CHOOSE(CONTROL!$C$32, $C$9, 100%, $E$9)</f>
        <v>16.796600000000002</v>
      </c>
      <c r="N984" s="81">
        <f>16.793 * CHOOSE(CONTROL!$C$32, $C$9, 100%, $E$9)</f>
        <v>16.792999999999999</v>
      </c>
      <c r="O984" s="81">
        <f>16.7966 * CHOOSE(CONTROL!$C$32, $C$9, 100%, $E$9)</f>
        <v>16.796600000000002</v>
      </c>
    </row>
    <row r="985" spans="1:15" ht="15" x14ac:dyDescent="0.2">
      <c r="A985" s="16">
        <v>71194</v>
      </c>
      <c r="B985" s="80">
        <f>14.8531 * CHOOSE(CONTROL!$C$32, $C$9, 100%, $E$9)</f>
        <v>14.8531</v>
      </c>
      <c r="C985" s="80">
        <f>14.8531 * CHOOSE(CONTROL!$C$32, $C$9, 100%, $E$9)</f>
        <v>14.8531</v>
      </c>
      <c r="D985" s="80">
        <f>14.8541 * CHOOSE(CONTROL!$C$32, $C$9, 100%, $E$9)</f>
        <v>14.854100000000001</v>
      </c>
      <c r="E985" s="81">
        <f>16.5501 * CHOOSE(CONTROL!$C$32, $C$9, 100%, $E$9)</f>
        <v>16.5501</v>
      </c>
      <c r="F985" s="81">
        <f>16.5501 * CHOOSE(CONTROL!$C$32, $C$9, 100%, $E$9)</f>
        <v>16.5501</v>
      </c>
      <c r="G985" s="81">
        <f>16.5537 * CHOOSE(CONTROL!$C$32, $C$9, 100%, $E$9)</f>
        <v>16.553699999999999</v>
      </c>
      <c r="H985" s="81">
        <f>34.9169 * CHOOSE(CONTROL!$C$32, $C$9, 100%, $E$9)</f>
        <v>34.916899999999998</v>
      </c>
      <c r="I985" s="81">
        <f>34.9205 * CHOOSE(CONTROL!$C$32, $C$9, 100%, $E$9)</f>
        <v>34.920499999999997</v>
      </c>
      <c r="J985" s="81">
        <f>34.9169 * CHOOSE(CONTROL!$C$32, $C$9, 100%, $E$9)</f>
        <v>34.916899999999998</v>
      </c>
      <c r="K985" s="81">
        <f>34.9205 * CHOOSE(CONTROL!$C$32, $C$9, 100%, $E$9)</f>
        <v>34.920499999999997</v>
      </c>
      <c r="L985" s="81">
        <f>16.5501 * CHOOSE(CONTROL!$C$32, $C$9, 100%, $E$9)</f>
        <v>16.5501</v>
      </c>
      <c r="M985" s="81">
        <f>16.5537 * CHOOSE(CONTROL!$C$32, $C$9, 100%, $E$9)</f>
        <v>16.553699999999999</v>
      </c>
      <c r="N985" s="81">
        <f>16.5501 * CHOOSE(CONTROL!$C$32, $C$9, 100%, $E$9)</f>
        <v>16.5501</v>
      </c>
      <c r="O985" s="81">
        <f>16.5537 * CHOOSE(CONTROL!$C$32, $C$9, 100%, $E$9)</f>
        <v>16.553699999999999</v>
      </c>
    </row>
    <row r="986" spans="1:15" ht="15" x14ac:dyDescent="0.2">
      <c r="A986" s="16">
        <v>71225</v>
      </c>
      <c r="B986" s="80">
        <f>14.815 * CHOOSE(CONTROL!$C$32, $C$9, 100%, $E$9)</f>
        <v>14.815</v>
      </c>
      <c r="C986" s="80">
        <f>14.815 * CHOOSE(CONTROL!$C$32, $C$9, 100%, $E$9)</f>
        <v>14.815</v>
      </c>
      <c r="D986" s="80">
        <f>14.8161 * CHOOSE(CONTROL!$C$32, $C$9, 100%, $E$9)</f>
        <v>14.8161</v>
      </c>
      <c r="E986" s="81">
        <f>16.6831 * CHOOSE(CONTROL!$C$32, $C$9, 100%, $E$9)</f>
        <v>16.6831</v>
      </c>
      <c r="F986" s="81">
        <f>16.6831 * CHOOSE(CONTROL!$C$32, $C$9, 100%, $E$9)</f>
        <v>16.6831</v>
      </c>
      <c r="G986" s="81">
        <f>16.6867 * CHOOSE(CONTROL!$C$32, $C$9, 100%, $E$9)</f>
        <v>16.686699999999998</v>
      </c>
      <c r="H986" s="81">
        <f>34.5906 * CHOOSE(CONTROL!$C$32, $C$9, 100%, $E$9)</f>
        <v>34.590600000000002</v>
      </c>
      <c r="I986" s="81">
        <f>34.5943 * CHOOSE(CONTROL!$C$32, $C$9, 100%, $E$9)</f>
        <v>34.594299999999997</v>
      </c>
      <c r="J986" s="81">
        <f>34.5906 * CHOOSE(CONTROL!$C$32, $C$9, 100%, $E$9)</f>
        <v>34.590600000000002</v>
      </c>
      <c r="K986" s="81">
        <f>34.5943 * CHOOSE(CONTROL!$C$32, $C$9, 100%, $E$9)</f>
        <v>34.594299999999997</v>
      </c>
      <c r="L986" s="81">
        <f>16.6831 * CHOOSE(CONTROL!$C$32, $C$9, 100%, $E$9)</f>
        <v>16.6831</v>
      </c>
      <c r="M986" s="81">
        <f>16.6867 * CHOOSE(CONTROL!$C$32, $C$9, 100%, $E$9)</f>
        <v>16.686699999999998</v>
      </c>
      <c r="N986" s="81">
        <f>16.6831 * CHOOSE(CONTROL!$C$32, $C$9, 100%, $E$9)</f>
        <v>16.6831</v>
      </c>
      <c r="O986" s="81">
        <f>16.6867 * CHOOSE(CONTROL!$C$32, $C$9, 100%, $E$9)</f>
        <v>16.686699999999998</v>
      </c>
    </row>
    <row r="987" spans="1:15" ht="15" x14ac:dyDescent="0.2">
      <c r="A987" s="16">
        <v>71256</v>
      </c>
      <c r="B987" s="80">
        <f>14.812 * CHOOSE(CONTROL!$C$32, $C$9, 100%, $E$9)</f>
        <v>14.811999999999999</v>
      </c>
      <c r="C987" s="80">
        <f>14.812 * CHOOSE(CONTROL!$C$32, $C$9, 100%, $E$9)</f>
        <v>14.811999999999999</v>
      </c>
      <c r="D987" s="80">
        <f>14.8131 * CHOOSE(CONTROL!$C$32, $C$9, 100%, $E$9)</f>
        <v>14.8131</v>
      </c>
      <c r="E987" s="81">
        <f>16.215 * CHOOSE(CONTROL!$C$32, $C$9, 100%, $E$9)</f>
        <v>16.215</v>
      </c>
      <c r="F987" s="81">
        <f>16.215 * CHOOSE(CONTROL!$C$32, $C$9, 100%, $E$9)</f>
        <v>16.215</v>
      </c>
      <c r="G987" s="81">
        <f>16.2186 * CHOOSE(CONTROL!$C$32, $C$9, 100%, $E$9)</f>
        <v>16.218599999999999</v>
      </c>
      <c r="H987" s="81">
        <f>34.6627 * CHOOSE(CONTROL!$C$32, $C$9, 100%, $E$9)</f>
        <v>34.662700000000001</v>
      </c>
      <c r="I987" s="81">
        <f>34.6663 * CHOOSE(CONTROL!$C$32, $C$9, 100%, $E$9)</f>
        <v>34.6663</v>
      </c>
      <c r="J987" s="81">
        <f>34.6627 * CHOOSE(CONTROL!$C$32, $C$9, 100%, $E$9)</f>
        <v>34.662700000000001</v>
      </c>
      <c r="K987" s="81">
        <f>34.6663 * CHOOSE(CONTROL!$C$32, $C$9, 100%, $E$9)</f>
        <v>34.6663</v>
      </c>
      <c r="L987" s="81">
        <f>16.215 * CHOOSE(CONTROL!$C$32, $C$9, 100%, $E$9)</f>
        <v>16.215</v>
      </c>
      <c r="M987" s="81">
        <f>16.2186 * CHOOSE(CONTROL!$C$32, $C$9, 100%, $E$9)</f>
        <v>16.218599999999999</v>
      </c>
      <c r="N987" s="81">
        <f>16.215 * CHOOSE(CONTROL!$C$32, $C$9, 100%, $E$9)</f>
        <v>16.215</v>
      </c>
      <c r="O987" s="81">
        <f>16.2186 * CHOOSE(CONTROL!$C$32, $C$9, 100%, $E$9)</f>
        <v>16.218599999999999</v>
      </c>
    </row>
    <row r="988" spans="1:15" ht="15" x14ac:dyDescent="0.2">
      <c r="A988" s="16">
        <v>71284</v>
      </c>
      <c r="B988" s="80">
        <f>14.8089 * CHOOSE(CONTROL!$C$32, $C$9, 100%, $E$9)</f>
        <v>14.8089</v>
      </c>
      <c r="C988" s="80">
        <f>14.8089 * CHOOSE(CONTROL!$C$32, $C$9, 100%, $E$9)</f>
        <v>14.8089</v>
      </c>
      <c r="D988" s="80">
        <f>14.81 * CHOOSE(CONTROL!$C$32, $C$9, 100%, $E$9)</f>
        <v>14.81</v>
      </c>
      <c r="E988" s="81">
        <f>16.5802 * CHOOSE(CONTROL!$C$32, $C$9, 100%, $E$9)</f>
        <v>16.580200000000001</v>
      </c>
      <c r="F988" s="81">
        <f>16.5802 * CHOOSE(CONTROL!$C$32, $C$9, 100%, $E$9)</f>
        <v>16.580200000000001</v>
      </c>
      <c r="G988" s="81">
        <f>16.5839 * CHOOSE(CONTROL!$C$32, $C$9, 100%, $E$9)</f>
        <v>16.5839</v>
      </c>
      <c r="H988" s="81">
        <f>34.7349 * CHOOSE(CONTROL!$C$32, $C$9, 100%, $E$9)</f>
        <v>34.734900000000003</v>
      </c>
      <c r="I988" s="81">
        <f>34.7385 * CHOOSE(CONTROL!$C$32, $C$9, 100%, $E$9)</f>
        <v>34.738500000000002</v>
      </c>
      <c r="J988" s="81">
        <f>34.7349 * CHOOSE(CONTROL!$C$32, $C$9, 100%, $E$9)</f>
        <v>34.734900000000003</v>
      </c>
      <c r="K988" s="81">
        <f>34.7385 * CHOOSE(CONTROL!$C$32, $C$9, 100%, $E$9)</f>
        <v>34.738500000000002</v>
      </c>
      <c r="L988" s="81">
        <f>16.5802 * CHOOSE(CONTROL!$C$32, $C$9, 100%, $E$9)</f>
        <v>16.580200000000001</v>
      </c>
      <c r="M988" s="81">
        <f>16.5839 * CHOOSE(CONTROL!$C$32, $C$9, 100%, $E$9)</f>
        <v>16.5839</v>
      </c>
      <c r="N988" s="81">
        <f>16.5802 * CHOOSE(CONTROL!$C$32, $C$9, 100%, $E$9)</f>
        <v>16.580200000000001</v>
      </c>
      <c r="O988" s="81">
        <f>16.5839 * CHOOSE(CONTROL!$C$32, $C$9, 100%, $E$9)</f>
        <v>16.5839</v>
      </c>
    </row>
    <row r="989" spans="1:15" ht="15" x14ac:dyDescent="0.2">
      <c r="A989" s="16">
        <v>71315</v>
      </c>
      <c r="B989" s="80">
        <f>14.8171 * CHOOSE(CONTROL!$C$32, $C$9, 100%, $E$9)</f>
        <v>14.8171</v>
      </c>
      <c r="C989" s="80">
        <f>14.8171 * CHOOSE(CONTROL!$C$32, $C$9, 100%, $E$9)</f>
        <v>14.8171</v>
      </c>
      <c r="D989" s="80">
        <f>14.8182 * CHOOSE(CONTROL!$C$32, $C$9, 100%, $E$9)</f>
        <v>14.818199999999999</v>
      </c>
      <c r="E989" s="81">
        <f>16.9706 * CHOOSE(CONTROL!$C$32, $C$9, 100%, $E$9)</f>
        <v>16.970600000000001</v>
      </c>
      <c r="F989" s="81">
        <f>16.9706 * CHOOSE(CONTROL!$C$32, $C$9, 100%, $E$9)</f>
        <v>16.970600000000001</v>
      </c>
      <c r="G989" s="81">
        <f>16.9742 * CHOOSE(CONTROL!$C$32, $C$9, 100%, $E$9)</f>
        <v>16.9742</v>
      </c>
      <c r="H989" s="81">
        <f>34.8073 * CHOOSE(CONTROL!$C$32, $C$9, 100%, $E$9)</f>
        <v>34.807299999999998</v>
      </c>
      <c r="I989" s="81">
        <f>34.8109 * CHOOSE(CONTROL!$C$32, $C$9, 100%, $E$9)</f>
        <v>34.810899999999997</v>
      </c>
      <c r="J989" s="81">
        <f>34.8073 * CHOOSE(CONTROL!$C$32, $C$9, 100%, $E$9)</f>
        <v>34.807299999999998</v>
      </c>
      <c r="K989" s="81">
        <f>34.8109 * CHOOSE(CONTROL!$C$32, $C$9, 100%, $E$9)</f>
        <v>34.810899999999997</v>
      </c>
      <c r="L989" s="81">
        <f>16.9706 * CHOOSE(CONTROL!$C$32, $C$9, 100%, $E$9)</f>
        <v>16.970600000000001</v>
      </c>
      <c r="M989" s="81">
        <f>16.9742 * CHOOSE(CONTROL!$C$32, $C$9, 100%, $E$9)</f>
        <v>16.9742</v>
      </c>
      <c r="N989" s="81">
        <f>16.9706 * CHOOSE(CONTROL!$C$32, $C$9, 100%, $E$9)</f>
        <v>16.970600000000001</v>
      </c>
      <c r="O989" s="81">
        <f>16.9742 * CHOOSE(CONTROL!$C$32, $C$9, 100%, $E$9)</f>
        <v>16.9742</v>
      </c>
    </row>
    <row r="990" spans="1:15" ht="15" x14ac:dyDescent="0.2">
      <c r="A990" s="16">
        <v>71345</v>
      </c>
      <c r="B990" s="80">
        <f>14.8171 * CHOOSE(CONTROL!$C$32, $C$9, 100%, $E$9)</f>
        <v>14.8171</v>
      </c>
      <c r="C990" s="80">
        <f>14.8171 * CHOOSE(CONTROL!$C$32, $C$9, 100%, $E$9)</f>
        <v>14.8171</v>
      </c>
      <c r="D990" s="80">
        <f>14.8187 * CHOOSE(CONTROL!$C$32, $C$9, 100%, $E$9)</f>
        <v>14.8187</v>
      </c>
      <c r="E990" s="81">
        <f>17.1185 * CHOOSE(CONTROL!$C$32, $C$9, 100%, $E$9)</f>
        <v>17.118500000000001</v>
      </c>
      <c r="F990" s="81">
        <f>17.1185 * CHOOSE(CONTROL!$C$32, $C$9, 100%, $E$9)</f>
        <v>17.118500000000001</v>
      </c>
      <c r="G990" s="81">
        <f>17.1238 * CHOOSE(CONTROL!$C$32, $C$9, 100%, $E$9)</f>
        <v>17.123799999999999</v>
      </c>
      <c r="H990" s="81">
        <f>34.8798 * CHOOSE(CONTROL!$C$32, $C$9, 100%, $E$9)</f>
        <v>34.879800000000003</v>
      </c>
      <c r="I990" s="81">
        <f>34.8851 * CHOOSE(CONTROL!$C$32, $C$9, 100%, $E$9)</f>
        <v>34.885100000000001</v>
      </c>
      <c r="J990" s="81">
        <f>34.8798 * CHOOSE(CONTROL!$C$32, $C$9, 100%, $E$9)</f>
        <v>34.879800000000003</v>
      </c>
      <c r="K990" s="81">
        <f>34.8851 * CHOOSE(CONTROL!$C$32, $C$9, 100%, $E$9)</f>
        <v>34.885100000000001</v>
      </c>
      <c r="L990" s="81">
        <f>17.1185 * CHOOSE(CONTROL!$C$32, $C$9, 100%, $E$9)</f>
        <v>17.118500000000001</v>
      </c>
      <c r="M990" s="81">
        <f>17.1238 * CHOOSE(CONTROL!$C$32, $C$9, 100%, $E$9)</f>
        <v>17.123799999999999</v>
      </c>
      <c r="N990" s="81">
        <f>17.1185 * CHOOSE(CONTROL!$C$32, $C$9, 100%, $E$9)</f>
        <v>17.118500000000001</v>
      </c>
      <c r="O990" s="81">
        <f>17.1238 * CHOOSE(CONTROL!$C$32, $C$9, 100%, $E$9)</f>
        <v>17.123799999999999</v>
      </c>
    </row>
    <row r="991" spans="1:15" ht="15" x14ac:dyDescent="0.2">
      <c r="A991" s="16">
        <v>71376</v>
      </c>
      <c r="B991" s="80">
        <f>14.8232 * CHOOSE(CONTROL!$C$32, $C$9, 100%, $E$9)</f>
        <v>14.8232</v>
      </c>
      <c r="C991" s="80">
        <f>14.8232 * CHOOSE(CONTROL!$C$32, $C$9, 100%, $E$9)</f>
        <v>14.8232</v>
      </c>
      <c r="D991" s="80">
        <f>14.8248 * CHOOSE(CONTROL!$C$32, $C$9, 100%, $E$9)</f>
        <v>14.8248</v>
      </c>
      <c r="E991" s="81">
        <f>16.9748 * CHOOSE(CONTROL!$C$32, $C$9, 100%, $E$9)</f>
        <v>16.974799999999998</v>
      </c>
      <c r="F991" s="81">
        <f>16.9748 * CHOOSE(CONTROL!$C$32, $C$9, 100%, $E$9)</f>
        <v>16.974799999999998</v>
      </c>
      <c r="G991" s="81">
        <f>16.9801 * CHOOSE(CONTROL!$C$32, $C$9, 100%, $E$9)</f>
        <v>16.9801</v>
      </c>
      <c r="H991" s="81">
        <f>34.9525 * CHOOSE(CONTROL!$C$32, $C$9, 100%, $E$9)</f>
        <v>34.952500000000001</v>
      </c>
      <c r="I991" s="81">
        <f>34.9578 * CHOOSE(CONTROL!$C$32, $C$9, 100%, $E$9)</f>
        <v>34.957799999999999</v>
      </c>
      <c r="J991" s="81">
        <f>34.9525 * CHOOSE(CONTROL!$C$32, $C$9, 100%, $E$9)</f>
        <v>34.952500000000001</v>
      </c>
      <c r="K991" s="81">
        <f>34.9578 * CHOOSE(CONTROL!$C$32, $C$9, 100%, $E$9)</f>
        <v>34.957799999999999</v>
      </c>
      <c r="L991" s="81">
        <f>16.9748 * CHOOSE(CONTROL!$C$32, $C$9, 100%, $E$9)</f>
        <v>16.974799999999998</v>
      </c>
      <c r="M991" s="81">
        <f>16.9801 * CHOOSE(CONTROL!$C$32, $C$9, 100%, $E$9)</f>
        <v>16.9801</v>
      </c>
      <c r="N991" s="81">
        <f>16.9748 * CHOOSE(CONTROL!$C$32, $C$9, 100%, $E$9)</f>
        <v>16.974799999999998</v>
      </c>
      <c r="O991" s="81">
        <f>16.9801 * CHOOSE(CONTROL!$C$32, $C$9, 100%, $E$9)</f>
        <v>16.9801</v>
      </c>
    </row>
    <row r="992" spans="1:15" ht="15" x14ac:dyDescent="0.2">
      <c r="A992" s="16">
        <v>71406</v>
      </c>
      <c r="B992" s="80">
        <f>15.0005 * CHOOSE(CONTROL!$C$32, $C$9, 100%, $E$9)</f>
        <v>15.000500000000001</v>
      </c>
      <c r="C992" s="80">
        <f>15.0005 * CHOOSE(CONTROL!$C$32, $C$9, 100%, $E$9)</f>
        <v>15.000500000000001</v>
      </c>
      <c r="D992" s="80">
        <f>15.002 * CHOOSE(CONTROL!$C$32, $C$9, 100%, $E$9)</f>
        <v>15.002000000000001</v>
      </c>
      <c r="E992" s="81">
        <f>17.2162 * CHOOSE(CONTROL!$C$32, $C$9, 100%, $E$9)</f>
        <v>17.216200000000001</v>
      </c>
      <c r="F992" s="81">
        <f>17.2162 * CHOOSE(CONTROL!$C$32, $C$9, 100%, $E$9)</f>
        <v>17.216200000000001</v>
      </c>
      <c r="G992" s="81">
        <f>17.2215 * CHOOSE(CONTROL!$C$32, $C$9, 100%, $E$9)</f>
        <v>17.221499999999999</v>
      </c>
      <c r="H992" s="81">
        <f>35.0253 * CHOOSE(CONTROL!$C$32, $C$9, 100%, $E$9)</f>
        <v>35.025300000000001</v>
      </c>
      <c r="I992" s="81">
        <f>35.0306 * CHOOSE(CONTROL!$C$32, $C$9, 100%, $E$9)</f>
        <v>35.0306</v>
      </c>
      <c r="J992" s="81">
        <f>35.0253 * CHOOSE(CONTROL!$C$32, $C$9, 100%, $E$9)</f>
        <v>35.025300000000001</v>
      </c>
      <c r="K992" s="81">
        <f>35.0306 * CHOOSE(CONTROL!$C$32, $C$9, 100%, $E$9)</f>
        <v>35.0306</v>
      </c>
      <c r="L992" s="81">
        <f>17.2162 * CHOOSE(CONTROL!$C$32, $C$9, 100%, $E$9)</f>
        <v>17.216200000000001</v>
      </c>
      <c r="M992" s="81">
        <f>17.2215 * CHOOSE(CONTROL!$C$32, $C$9, 100%, $E$9)</f>
        <v>17.221499999999999</v>
      </c>
      <c r="N992" s="81">
        <f>17.2162 * CHOOSE(CONTROL!$C$32, $C$9, 100%, $E$9)</f>
        <v>17.216200000000001</v>
      </c>
      <c r="O992" s="81">
        <f>17.2215 * CHOOSE(CONTROL!$C$32, $C$9, 100%, $E$9)</f>
        <v>17.221499999999999</v>
      </c>
    </row>
    <row r="993" spans="1:15" ht="15" x14ac:dyDescent="0.2">
      <c r="A993" s="16">
        <v>71437</v>
      </c>
      <c r="B993" s="80">
        <f>15.0071 * CHOOSE(CONTROL!$C$32, $C$9, 100%, $E$9)</f>
        <v>15.007099999999999</v>
      </c>
      <c r="C993" s="80">
        <f>15.0071 * CHOOSE(CONTROL!$C$32, $C$9, 100%, $E$9)</f>
        <v>15.007099999999999</v>
      </c>
      <c r="D993" s="80">
        <f>15.0087 * CHOOSE(CONTROL!$C$32, $C$9, 100%, $E$9)</f>
        <v>15.008699999999999</v>
      </c>
      <c r="E993" s="81">
        <f>16.777 * CHOOSE(CONTROL!$C$32, $C$9, 100%, $E$9)</f>
        <v>16.777000000000001</v>
      </c>
      <c r="F993" s="81">
        <f>16.777 * CHOOSE(CONTROL!$C$32, $C$9, 100%, $E$9)</f>
        <v>16.777000000000001</v>
      </c>
      <c r="G993" s="81">
        <f>16.7823 * CHOOSE(CONTROL!$C$32, $C$9, 100%, $E$9)</f>
        <v>16.782299999999999</v>
      </c>
      <c r="H993" s="81">
        <f>35.0983 * CHOOSE(CONTROL!$C$32, $C$9, 100%, $E$9)</f>
        <v>35.098300000000002</v>
      </c>
      <c r="I993" s="81">
        <f>35.1035 * CHOOSE(CONTROL!$C$32, $C$9, 100%, $E$9)</f>
        <v>35.103499999999997</v>
      </c>
      <c r="J993" s="81">
        <f>35.0983 * CHOOSE(CONTROL!$C$32, $C$9, 100%, $E$9)</f>
        <v>35.098300000000002</v>
      </c>
      <c r="K993" s="81">
        <f>35.1035 * CHOOSE(CONTROL!$C$32, $C$9, 100%, $E$9)</f>
        <v>35.103499999999997</v>
      </c>
      <c r="L993" s="81">
        <f>16.777 * CHOOSE(CONTROL!$C$32, $C$9, 100%, $E$9)</f>
        <v>16.777000000000001</v>
      </c>
      <c r="M993" s="81">
        <f>16.7823 * CHOOSE(CONTROL!$C$32, $C$9, 100%, $E$9)</f>
        <v>16.782299999999999</v>
      </c>
      <c r="N993" s="81">
        <f>16.777 * CHOOSE(CONTROL!$C$32, $C$9, 100%, $E$9)</f>
        <v>16.777000000000001</v>
      </c>
      <c r="O993" s="81">
        <f>16.7823 * CHOOSE(CONTROL!$C$32, $C$9, 100%, $E$9)</f>
        <v>16.782299999999999</v>
      </c>
    </row>
    <row r="994" spans="1:15" ht="15" x14ac:dyDescent="0.2">
      <c r="A994" s="16">
        <v>71468</v>
      </c>
      <c r="B994" s="80">
        <f>15.0041 * CHOOSE(CONTROL!$C$32, $C$9, 100%, $E$9)</f>
        <v>15.004099999999999</v>
      </c>
      <c r="C994" s="80">
        <f>15.0041 * CHOOSE(CONTROL!$C$32, $C$9, 100%, $E$9)</f>
        <v>15.004099999999999</v>
      </c>
      <c r="D994" s="80">
        <f>15.0057 * CHOOSE(CONTROL!$C$32, $C$9, 100%, $E$9)</f>
        <v>15.005699999999999</v>
      </c>
      <c r="E994" s="81">
        <f>16.7255 * CHOOSE(CONTROL!$C$32, $C$9, 100%, $E$9)</f>
        <v>16.7255</v>
      </c>
      <c r="F994" s="81">
        <f>16.7255 * CHOOSE(CONTROL!$C$32, $C$9, 100%, $E$9)</f>
        <v>16.7255</v>
      </c>
      <c r="G994" s="81">
        <f>16.7308 * CHOOSE(CONTROL!$C$32, $C$9, 100%, $E$9)</f>
        <v>16.730799999999999</v>
      </c>
      <c r="H994" s="81">
        <f>35.1714 * CHOOSE(CONTROL!$C$32, $C$9, 100%, $E$9)</f>
        <v>35.171399999999998</v>
      </c>
      <c r="I994" s="81">
        <f>35.1767 * CHOOSE(CONTROL!$C$32, $C$9, 100%, $E$9)</f>
        <v>35.176699999999997</v>
      </c>
      <c r="J994" s="81">
        <f>35.1714 * CHOOSE(CONTROL!$C$32, $C$9, 100%, $E$9)</f>
        <v>35.171399999999998</v>
      </c>
      <c r="K994" s="81">
        <f>35.1767 * CHOOSE(CONTROL!$C$32, $C$9, 100%, $E$9)</f>
        <v>35.176699999999997</v>
      </c>
      <c r="L994" s="81">
        <f>16.7255 * CHOOSE(CONTROL!$C$32, $C$9, 100%, $E$9)</f>
        <v>16.7255</v>
      </c>
      <c r="M994" s="81">
        <f>16.7308 * CHOOSE(CONTROL!$C$32, $C$9, 100%, $E$9)</f>
        <v>16.730799999999999</v>
      </c>
      <c r="N994" s="81">
        <f>16.7255 * CHOOSE(CONTROL!$C$32, $C$9, 100%, $E$9)</f>
        <v>16.7255</v>
      </c>
      <c r="O994" s="81">
        <f>16.7308 * CHOOSE(CONTROL!$C$32, $C$9, 100%, $E$9)</f>
        <v>16.730799999999999</v>
      </c>
    </row>
    <row r="995" spans="1:15" ht="15" x14ac:dyDescent="0.2">
      <c r="A995" s="16">
        <v>71498</v>
      </c>
      <c r="B995" s="80">
        <f>15.0403 * CHOOSE(CONTROL!$C$32, $C$9, 100%, $E$9)</f>
        <v>15.0403</v>
      </c>
      <c r="C995" s="80">
        <f>15.0403 * CHOOSE(CONTROL!$C$32, $C$9, 100%, $E$9)</f>
        <v>15.0403</v>
      </c>
      <c r="D995" s="80">
        <f>15.0414 * CHOOSE(CONTROL!$C$32, $C$9, 100%, $E$9)</f>
        <v>15.041399999999999</v>
      </c>
      <c r="E995" s="81">
        <f>16.9094 * CHOOSE(CONTROL!$C$32, $C$9, 100%, $E$9)</f>
        <v>16.909400000000002</v>
      </c>
      <c r="F995" s="81">
        <f>16.9094 * CHOOSE(CONTROL!$C$32, $C$9, 100%, $E$9)</f>
        <v>16.909400000000002</v>
      </c>
      <c r="G995" s="81">
        <f>16.913 * CHOOSE(CONTROL!$C$32, $C$9, 100%, $E$9)</f>
        <v>16.913</v>
      </c>
      <c r="H995" s="81">
        <f>35.2447 * CHOOSE(CONTROL!$C$32, $C$9, 100%, $E$9)</f>
        <v>35.244700000000002</v>
      </c>
      <c r="I995" s="81">
        <f>35.2483 * CHOOSE(CONTROL!$C$32, $C$9, 100%, $E$9)</f>
        <v>35.2483</v>
      </c>
      <c r="J995" s="81">
        <f>35.2447 * CHOOSE(CONTROL!$C$32, $C$9, 100%, $E$9)</f>
        <v>35.244700000000002</v>
      </c>
      <c r="K995" s="81">
        <f>35.2483 * CHOOSE(CONTROL!$C$32, $C$9, 100%, $E$9)</f>
        <v>35.2483</v>
      </c>
      <c r="L995" s="81">
        <f>16.9094 * CHOOSE(CONTROL!$C$32, $C$9, 100%, $E$9)</f>
        <v>16.909400000000002</v>
      </c>
      <c r="M995" s="81">
        <f>16.913 * CHOOSE(CONTROL!$C$32, $C$9, 100%, $E$9)</f>
        <v>16.913</v>
      </c>
      <c r="N995" s="81">
        <f>16.9094 * CHOOSE(CONTROL!$C$32, $C$9, 100%, $E$9)</f>
        <v>16.909400000000002</v>
      </c>
      <c r="O995" s="81">
        <f>16.913 * CHOOSE(CONTROL!$C$32, $C$9, 100%, $E$9)</f>
        <v>16.913</v>
      </c>
    </row>
    <row r="996" spans="1:15" ht="15" x14ac:dyDescent="0.2">
      <c r="A996" s="16">
        <v>71529</v>
      </c>
      <c r="B996" s="80">
        <f>15.0434 * CHOOSE(CONTROL!$C$32, $C$9, 100%, $E$9)</f>
        <v>15.0434</v>
      </c>
      <c r="C996" s="80">
        <f>15.0434 * CHOOSE(CONTROL!$C$32, $C$9, 100%, $E$9)</f>
        <v>15.0434</v>
      </c>
      <c r="D996" s="80">
        <f>15.0444 * CHOOSE(CONTROL!$C$32, $C$9, 100%, $E$9)</f>
        <v>15.0444</v>
      </c>
      <c r="E996" s="81">
        <f>17.0102 * CHOOSE(CONTROL!$C$32, $C$9, 100%, $E$9)</f>
        <v>17.010200000000001</v>
      </c>
      <c r="F996" s="81">
        <f>17.0102 * CHOOSE(CONTROL!$C$32, $C$9, 100%, $E$9)</f>
        <v>17.010200000000001</v>
      </c>
      <c r="G996" s="81">
        <f>17.0138 * CHOOSE(CONTROL!$C$32, $C$9, 100%, $E$9)</f>
        <v>17.0138</v>
      </c>
      <c r="H996" s="81">
        <f>35.3181 * CHOOSE(CONTROL!$C$32, $C$9, 100%, $E$9)</f>
        <v>35.318100000000001</v>
      </c>
      <c r="I996" s="81">
        <f>35.3217 * CHOOSE(CONTROL!$C$32, $C$9, 100%, $E$9)</f>
        <v>35.3217</v>
      </c>
      <c r="J996" s="81">
        <f>35.3181 * CHOOSE(CONTROL!$C$32, $C$9, 100%, $E$9)</f>
        <v>35.318100000000001</v>
      </c>
      <c r="K996" s="81">
        <f>35.3217 * CHOOSE(CONTROL!$C$32, $C$9, 100%, $E$9)</f>
        <v>35.3217</v>
      </c>
      <c r="L996" s="81">
        <f>17.0102 * CHOOSE(CONTROL!$C$32, $C$9, 100%, $E$9)</f>
        <v>17.010200000000001</v>
      </c>
      <c r="M996" s="81">
        <f>17.0138 * CHOOSE(CONTROL!$C$32, $C$9, 100%, $E$9)</f>
        <v>17.0138</v>
      </c>
      <c r="N996" s="81">
        <f>17.0102 * CHOOSE(CONTROL!$C$32, $C$9, 100%, $E$9)</f>
        <v>17.010200000000001</v>
      </c>
      <c r="O996" s="81">
        <f>17.0138 * CHOOSE(CONTROL!$C$32, $C$9, 100%, $E$9)</f>
        <v>17.0138</v>
      </c>
    </row>
    <row r="997" spans="1:15" ht="15" x14ac:dyDescent="0.2">
      <c r="A997" s="16">
        <v>71559</v>
      </c>
      <c r="B997" s="80">
        <f>15.0434 * CHOOSE(CONTROL!$C$32, $C$9, 100%, $E$9)</f>
        <v>15.0434</v>
      </c>
      <c r="C997" s="80">
        <f>15.0434 * CHOOSE(CONTROL!$C$32, $C$9, 100%, $E$9)</f>
        <v>15.0434</v>
      </c>
      <c r="D997" s="80">
        <f>15.0444 * CHOOSE(CONTROL!$C$32, $C$9, 100%, $E$9)</f>
        <v>15.0444</v>
      </c>
      <c r="E997" s="81">
        <f>16.7636 * CHOOSE(CONTROL!$C$32, $C$9, 100%, $E$9)</f>
        <v>16.7636</v>
      </c>
      <c r="F997" s="81">
        <f>16.7636 * CHOOSE(CONTROL!$C$32, $C$9, 100%, $E$9)</f>
        <v>16.7636</v>
      </c>
      <c r="G997" s="81">
        <f>16.7672 * CHOOSE(CONTROL!$C$32, $C$9, 100%, $E$9)</f>
        <v>16.767199999999999</v>
      </c>
      <c r="H997" s="81">
        <f>35.3917 * CHOOSE(CONTROL!$C$32, $C$9, 100%, $E$9)</f>
        <v>35.3917</v>
      </c>
      <c r="I997" s="81">
        <f>35.3953 * CHOOSE(CONTROL!$C$32, $C$9, 100%, $E$9)</f>
        <v>35.395299999999999</v>
      </c>
      <c r="J997" s="81">
        <f>35.3917 * CHOOSE(CONTROL!$C$32, $C$9, 100%, $E$9)</f>
        <v>35.3917</v>
      </c>
      <c r="K997" s="81">
        <f>35.3953 * CHOOSE(CONTROL!$C$32, $C$9, 100%, $E$9)</f>
        <v>35.395299999999999</v>
      </c>
      <c r="L997" s="81">
        <f>16.7636 * CHOOSE(CONTROL!$C$32, $C$9, 100%, $E$9)</f>
        <v>16.7636</v>
      </c>
      <c r="M997" s="81">
        <f>16.7672 * CHOOSE(CONTROL!$C$32, $C$9, 100%, $E$9)</f>
        <v>16.767199999999999</v>
      </c>
      <c r="N997" s="81">
        <f>16.7636 * CHOOSE(CONTROL!$C$32, $C$9, 100%, $E$9)</f>
        <v>16.7636</v>
      </c>
      <c r="O997" s="81">
        <f>16.7672 * CHOOSE(CONTROL!$C$32, $C$9, 100%, $E$9)</f>
        <v>16.767199999999999</v>
      </c>
    </row>
    <row r="998" spans="1:15" ht="15" x14ac:dyDescent="0.2">
      <c r="A998" s="16">
        <v>71590</v>
      </c>
      <c r="B998" s="80">
        <f>15.0024 * CHOOSE(CONTROL!$C$32, $C$9, 100%, $E$9)</f>
        <v>15.0024</v>
      </c>
      <c r="C998" s="80">
        <f>15.0024 * CHOOSE(CONTROL!$C$32, $C$9, 100%, $E$9)</f>
        <v>15.0024</v>
      </c>
      <c r="D998" s="80">
        <f>15.0035 * CHOOSE(CONTROL!$C$32, $C$9, 100%, $E$9)</f>
        <v>15.003500000000001</v>
      </c>
      <c r="E998" s="81">
        <f>16.8956 * CHOOSE(CONTROL!$C$32, $C$9, 100%, $E$9)</f>
        <v>16.895600000000002</v>
      </c>
      <c r="F998" s="81">
        <f>16.8956 * CHOOSE(CONTROL!$C$32, $C$9, 100%, $E$9)</f>
        <v>16.895600000000002</v>
      </c>
      <c r="G998" s="81">
        <f>16.8992 * CHOOSE(CONTROL!$C$32, $C$9, 100%, $E$9)</f>
        <v>16.8992</v>
      </c>
      <c r="H998" s="81">
        <f>35.0547 * CHOOSE(CONTROL!$C$32, $C$9, 100%, $E$9)</f>
        <v>35.054699999999997</v>
      </c>
      <c r="I998" s="81">
        <f>35.0583 * CHOOSE(CONTROL!$C$32, $C$9, 100%, $E$9)</f>
        <v>35.058300000000003</v>
      </c>
      <c r="J998" s="81">
        <f>35.0547 * CHOOSE(CONTROL!$C$32, $C$9, 100%, $E$9)</f>
        <v>35.054699999999997</v>
      </c>
      <c r="K998" s="81">
        <f>35.0583 * CHOOSE(CONTROL!$C$32, $C$9, 100%, $E$9)</f>
        <v>35.058300000000003</v>
      </c>
      <c r="L998" s="81">
        <f>16.8956 * CHOOSE(CONTROL!$C$32, $C$9, 100%, $E$9)</f>
        <v>16.895600000000002</v>
      </c>
      <c r="M998" s="81">
        <f>16.8992 * CHOOSE(CONTROL!$C$32, $C$9, 100%, $E$9)</f>
        <v>16.8992</v>
      </c>
      <c r="N998" s="81">
        <f>16.8956 * CHOOSE(CONTROL!$C$32, $C$9, 100%, $E$9)</f>
        <v>16.895600000000002</v>
      </c>
      <c r="O998" s="81">
        <f>16.8992 * CHOOSE(CONTROL!$C$32, $C$9, 100%, $E$9)</f>
        <v>16.8992</v>
      </c>
    </row>
    <row r="999" spans="1:15" ht="15" x14ac:dyDescent="0.2">
      <c r="A999" s="16">
        <v>71621</v>
      </c>
      <c r="B999" s="80">
        <f>14.9993 * CHOOSE(CONTROL!$C$32, $C$9, 100%, $E$9)</f>
        <v>14.9993</v>
      </c>
      <c r="C999" s="80">
        <f>14.9993 * CHOOSE(CONTROL!$C$32, $C$9, 100%, $E$9)</f>
        <v>14.9993</v>
      </c>
      <c r="D999" s="80">
        <f>15.0004 * CHOOSE(CONTROL!$C$32, $C$9, 100%, $E$9)</f>
        <v>15.000400000000001</v>
      </c>
      <c r="E999" s="81">
        <f>16.4204 * CHOOSE(CONTROL!$C$32, $C$9, 100%, $E$9)</f>
        <v>16.420400000000001</v>
      </c>
      <c r="F999" s="81">
        <f>16.4204 * CHOOSE(CONTROL!$C$32, $C$9, 100%, $E$9)</f>
        <v>16.420400000000001</v>
      </c>
      <c r="G999" s="81">
        <f>16.424 * CHOOSE(CONTROL!$C$32, $C$9, 100%, $E$9)</f>
        <v>16.423999999999999</v>
      </c>
      <c r="H999" s="81">
        <f>35.1277 * CHOOSE(CONTROL!$C$32, $C$9, 100%, $E$9)</f>
        <v>35.127699999999997</v>
      </c>
      <c r="I999" s="81">
        <f>35.1313 * CHOOSE(CONTROL!$C$32, $C$9, 100%, $E$9)</f>
        <v>35.131300000000003</v>
      </c>
      <c r="J999" s="81">
        <f>35.1277 * CHOOSE(CONTROL!$C$32, $C$9, 100%, $E$9)</f>
        <v>35.127699999999997</v>
      </c>
      <c r="K999" s="81">
        <f>35.1313 * CHOOSE(CONTROL!$C$32, $C$9, 100%, $E$9)</f>
        <v>35.131300000000003</v>
      </c>
      <c r="L999" s="81">
        <f>16.4204 * CHOOSE(CONTROL!$C$32, $C$9, 100%, $E$9)</f>
        <v>16.420400000000001</v>
      </c>
      <c r="M999" s="81">
        <f>16.424 * CHOOSE(CONTROL!$C$32, $C$9, 100%, $E$9)</f>
        <v>16.423999999999999</v>
      </c>
      <c r="N999" s="81">
        <f>16.4204 * CHOOSE(CONTROL!$C$32, $C$9, 100%, $E$9)</f>
        <v>16.420400000000001</v>
      </c>
      <c r="O999" s="81">
        <f>16.424 * CHOOSE(CONTROL!$C$32, $C$9, 100%, $E$9)</f>
        <v>16.423999999999999</v>
      </c>
    </row>
    <row r="1000" spans="1:15" ht="15" x14ac:dyDescent="0.2">
      <c r="A1000" s="16">
        <v>71650</v>
      </c>
      <c r="B1000" s="80">
        <f>14.9963 * CHOOSE(CONTROL!$C$32, $C$9, 100%, $E$9)</f>
        <v>14.9963</v>
      </c>
      <c r="C1000" s="80">
        <f>14.9963 * CHOOSE(CONTROL!$C$32, $C$9, 100%, $E$9)</f>
        <v>14.9963</v>
      </c>
      <c r="D1000" s="80">
        <f>14.9974 * CHOOSE(CONTROL!$C$32, $C$9, 100%, $E$9)</f>
        <v>14.997400000000001</v>
      </c>
      <c r="E1000" s="81">
        <f>16.7912 * CHOOSE(CONTROL!$C$32, $C$9, 100%, $E$9)</f>
        <v>16.7912</v>
      </c>
      <c r="F1000" s="81">
        <f>16.7912 * CHOOSE(CONTROL!$C$32, $C$9, 100%, $E$9)</f>
        <v>16.7912</v>
      </c>
      <c r="G1000" s="81">
        <f>16.7949 * CHOOSE(CONTROL!$C$32, $C$9, 100%, $E$9)</f>
        <v>16.794899999999998</v>
      </c>
      <c r="H1000" s="81">
        <f>35.2009 * CHOOSE(CONTROL!$C$32, $C$9, 100%, $E$9)</f>
        <v>35.200899999999997</v>
      </c>
      <c r="I1000" s="81">
        <f>35.2045 * CHOOSE(CONTROL!$C$32, $C$9, 100%, $E$9)</f>
        <v>35.204500000000003</v>
      </c>
      <c r="J1000" s="81">
        <f>35.2009 * CHOOSE(CONTROL!$C$32, $C$9, 100%, $E$9)</f>
        <v>35.200899999999997</v>
      </c>
      <c r="K1000" s="81">
        <f>35.2045 * CHOOSE(CONTROL!$C$32, $C$9, 100%, $E$9)</f>
        <v>35.204500000000003</v>
      </c>
      <c r="L1000" s="81">
        <f>16.7912 * CHOOSE(CONTROL!$C$32, $C$9, 100%, $E$9)</f>
        <v>16.7912</v>
      </c>
      <c r="M1000" s="81">
        <f>16.7949 * CHOOSE(CONTROL!$C$32, $C$9, 100%, $E$9)</f>
        <v>16.794899999999998</v>
      </c>
      <c r="N1000" s="81">
        <f>16.7912 * CHOOSE(CONTROL!$C$32, $C$9, 100%, $E$9)</f>
        <v>16.7912</v>
      </c>
      <c r="O1000" s="81">
        <f>16.7949 * CHOOSE(CONTROL!$C$32, $C$9, 100%, $E$9)</f>
        <v>16.794899999999998</v>
      </c>
    </row>
    <row r="1001" spans="1:15" ht="15" x14ac:dyDescent="0.2">
      <c r="A1001" s="16">
        <v>71681</v>
      </c>
      <c r="B1001" s="80">
        <f>15.0046 * CHOOSE(CONTROL!$C$32, $C$9, 100%, $E$9)</f>
        <v>15.0046</v>
      </c>
      <c r="C1001" s="80">
        <f>15.0046 * CHOOSE(CONTROL!$C$32, $C$9, 100%, $E$9)</f>
        <v>15.0046</v>
      </c>
      <c r="D1001" s="80">
        <f>15.0057 * CHOOSE(CONTROL!$C$32, $C$9, 100%, $E$9)</f>
        <v>15.005699999999999</v>
      </c>
      <c r="E1001" s="81">
        <f>17.1876 * CHOOSE(CONTROL!$C$32, $C$9, 100%, $E$9)</f>
        <v>17.1876</v>
      </c>
      <c r="F1001" s="81">
        <f>17.1876 * CHOOSE(CONTROL!$C$32, $C$9, 100%, $E$9)</f>
        <v>17.1876</v>
      </c>
      <c r="G1001" s="81">
        <f>17.1912 * CHOOSE(CONTROL!$C$32, $C$9, 100%, $E$9)</f>
        <v>17.191199999999998</v>
      </c>
      <c r="H1001" s="81">
        <f>35.2742 * CHOOSE(CONTROL!$C$32, $C$9, 100%, $E$9)</f>
        <v>35.2742</v>
      </c>
      <c r="I1001" s="81">
        <f>35.2778 * CHOOSE(CONTROL!$C$32, $C$9, 100%, $E$9)</f>
        <v>35.277799999999999</v>
      </c>
      <c r="J1001" s="81">
        <f>35.2742 * CHOOSE(CONTROL!$C$32, $C$9, 100%, $E$9)</f>
        <v>35.2742</v>
      </c>
      <c r="K1001" s="81">
        <f>35.2778 * CHOOSE(CONTROL!$C$32, $C$9, 100%, $E$9)</f>
        <v>35.277799999999999</v>
      </c>
      <c r="L1001" s="81">
        <f>17.1876 * CHOOSE(CONTROL!$C$32, $C$9, 100%, $E$9)</f>
        <v>17.1876</v>
      </c>
      <c r="M1001" s="81">
        <f>17.1912 * CHOOSE(CONTROL!$C$32, $C$9, 100%, $E$9)</f>
        <v>17.191199999999998</v>
      </c>
      <c r="N1001" s="81">
        <f>17.1876 * CHOOSE(CONTROL!$C$32, $C$9, 100%, $E$9)</f>
        <v>17.1876</v>
      </c>
      <c r="O1001" s="81">
        <f>17.1912 * CHOOSE(CONTROL!$C$32, $C$9, 100%, $E$9)</f>
        <v>17.191199999999998</v>
      </c>
    </row>
    <row r="1002" spans="1:15" ht="15" x14ac:dyDescent="0.2">
      <c r="A1002" s="16">
        <v>71711</v>
      </c>
      <c r="B1002" s="80">
        <f>15.0046 * CHOOSE(CONTROL!$C$32, $C$9, 100%, $E$9)</f>
        <v>15.0046</v>
      </c>
      <c r="C1002" s="80">
        <f>15.0046 * CHOOSE(CONTROL!$C$32, $C$9, 100%, $E$9)</f>
        <v>15.0046</v>
      </c>
      <c r="D1002" s="80">
        <f>15.0062 * CHOOSE(CONTROL!$C$32, $C$9, 100%, $E$9)</f>
        <v>15.0062</v>
      </c>
      <c r="E1002" s="81">
        <f>17.3378 * CHOOSE(CONTROL!$C$32, $C$9, 100%, $E$9)</f>
        <v>17.337800000000001</v>
      </c>
      <c r="F1002" s="81">
        <f>17.3378 * CHOOSE(CONTROL!$C$32, $C$9, 100%, $E$9)</f>
        <v>17.337800000000001</v>
      </c>
      <c r="G1002" s="81">
        <f>17.3431 * CHOOSE(CONTROL!$C$32, $C$9, 100%, $E$9)</f>
        <v>17.3431</v>
      </c>
      <c r="H1002" s="81">
        <f>35.3477 * CHOOSE(CONTROL!$C$32, $C$9, 100%, $E$9)</f>
        <v>35.347700000000003</v>
      </c>
      <c r="I1002" s="81">
        <f>35.353 * CHOOSE(CONTROL!$C$32, $C$9, 100%, $E$9)</f>
        <v>35.353000000000002</v>
      </c>
      <c r="J1002" s="81">
        <f>35.3477 * CHOOSE(CONTROL!$C$32, $C$9, 100%, $E$9)</f>
        <v>35.347700000000003</v>
      </c>
      <c r="K1002" s="81">
        <f>35.353 * CHOOSE(CONTROL!$C$32, $C$9, 100%, $E$9)</f>
        <v>35.353000000000002</v>
      </c>
      <c r="L1002" s="81">
        <f>17.3378 * CHOOSE(CONTROL!$C$32, $C$9, 100%, $E$9)</f>
        <v>17.337800000000001</v>
      </c>
      <c r="M1002" s="81">
        <f>17.3431 * CHOOSE(CONTROL!$C$32, $C$9, 100%, $E$9)</f>
        <v>17.3431</v>
      </c>
      <c r="N1002" s="81">
        <f>17.3378 * CHOOSE(CONTROL!$C$32, $C$9, 100%, $E$9)</f>
        <v>17.337800000000001</v>
      </c>
      <c r="O1002" s="81">
        <f>17.3431 * CHOOSE(CONTROL!$C$32, $C$9, 100%, $E$9)</f>
        <v>17.3431</v>
      </c>
    </row>
    <row r="1003" spans="1:15" ht="15" x14ac:dyDescent="0.2">
      <c r="A1003" s="16">
        <v>71742</v>
      </c>
      <c r="B1003" s="80">
        <f>15.0107 * CHOOSE(CONTROL!$C$32, $C$9, 100%, $E$9)</f>
        <v>15.0107</v>
      </c>
      <c r="C1003" s="80">
        <f>15.0107 * CHOOSE(CONTROL!$C$32, $C$9, 100%, $E$9)</f>
        <v>15.0107</v>
      </c>
      <c r="D1003" s="80">
        <f>15.0123 * CHOOSE(CONTROL!$C$32, $C$9, 100%, $E$9)</f>
        <v>15.0123</v>
      </c>
      <c r="E1003" s="81">
        <f>17.1918 * CHOOSE(CONTROL!$C$32, $C$9, 100%, $E$9)</f>
        <v>17.191800000000001</v>
      </c>
      <c r="F1003" s="81">
        <f>17.1918 * CHOOSE(CONTROL!$C$32, $C$9, 100%, $E$9)</f>
        <v>17.191800000000001</v>
      </c>
      <c r="G1003" s="81">
        <f>17.1971 * CHOOSE(CONTROL!$C$32, $C$9, 100%, $E$9)</f>
        <v>17.197099999999999</v>
      </c>
      <c r="H1003" s="81">
        <f>35.4214 * CHOOSE(CONTROL!$C$32, $C$9, 100%, $E$9)</f>
        <v>35.421399999999998</v>
      </c>
      <c r="I1003" s="81">
        <f>35.4266 * CHOOSE(CONTROL!$C$32, $C$9, 100%, $E$9)</f>
        <v>35.426600000000001</v>
      </c>
      <c r="J1003" s="81">
        <f>35.4214 * CHOOSE(CONTROL!$C$32, $C$9, 100%, $E$9)</f>
        <v>35.421399999999998</v>
      </c>
      <c r="K1003" s="81">
        <f>35.4266 * CHOOSE(CONTROL!$C$32, $C$9, 100%, $E$9)</f>
        <v>35.426600000000001</v>
      </c>
      <c r="L1003" s="81">
        <f>17.1918 * CHOOSE(CONTROL!$C$32, $C$9, 100%, $E$9)</f>
        <v>17.191800000000001</v>
      </c>
      <c r="M1003" s="81">
        <f>17.1971 * CHOOSE(CONTROL!$C$32, $C$9, 100%, $E$9)</f>
        <v>17.197099999999999</v>
      </c>
      <c r="N1003" s="81">
        <f>17.1918 * CHOOSE(CONTROL!$C$32, $C$9, 100%, $E$9)</f>
        <v>17.191800000000001</v>
      </c>
      <c r="O1003" s="81">
        <f>17.1971 * CHOOSE(CONTROL!$C$32, $C$9, 100%, $E$9)</f>
        <v>17.197099999999999</v>
      </c>
    </row>
    <row r="1004" spans="1:15" ht="15" x14ac:dyDescent="0.2">
      <c r="A1004" s="16">
        <v>71772</v>
      </c>
      <c r="B1004" s="80">
        <f>15.1901 * CHOOSE(CONTROL!$C$32, $C$9, 100%, $E$9)</f>
        <v>15.190099999999999</v>
      </c>
      <c r="C1004" s="80">
        <f>15.1901 * CHOOSE(CONTROL!$C$32, $C$9, 100%, $E$9)</f>
        <v>15.190099999999999</v>
      </c>
      <c r="D1004" s="80">
        <f>15.1916 * CHOOSE(CONTROL!$C$32, $C$9, 100%, $E$9)</f>
        <v>15.191599999999999</v>
      </c>
      <c r="E1004" s="81">
        <f>17.4364 * CHOOSE(CONTROL!$C$32, $C$9, 100%, $E$9)</f>
        <v>17.436399999999999</v>
      </c>
      <c r="F1004" s="81">
        <f>17.4364 * CHOOSE(CONTROL!$C$32, $C$9, 100%, $E$9)</f>
        <v>17.436399999999999</v>
      </c>
      <c r="G1004" s="81">
        <f>17.4417 * CHOOSE(CONTROL!$C$32, $C$9, 100%, $E$9)</f>
        <v>17.441700000000001</v>
      </c>
      <c r="H1004" s="81">
        <f>35.4951 * CHOOSE(CONTROL!$C$32, $C$9, 100%, $E$9)</f>
        <v>35.495100000000001</v>
      </c>
      <c r="I1004" s="81">
        <f>35.5004 * CHOOSE(CONTROL!$C$32, $C$9, 100%, $E$9)</f>
        <v>35.500399999999999</v>
      </c>
      <c r="J1004" s="81">
        <f>35.4951 * CHOOSE(CONTROL!$C$32, $C$9, 100%, $E$9)</f>
        <v>35.495100000000001</v>
      </c>
      <c r="K1004" s="81">
        <f>35.5004 * CHOOSE(CONTROL!$C$32, $C$9, 100%, $E$9)</f>
        <v>35.500399999999999</v>
      </c>
      <c r="L1004" s="81">
        <f>17.4364 * CHOOSE(CONTROL!$C$32, $C$9, 100%, $E$9)</f>
        <v>17.436399999999999</v>
      </c>
      <c r="M1004" s="81">
        <f>17.4417 * CHOOSE(CONTROL!$C$32, $C$9, 100%, $E$9)</f>
        <v>17.441700000000001</v>
      </c>
      <c r="N1004" s="81">
        <f>17.4364 * CHOOSE(CONTROL!$C$32, $C$9, 100%, $E$9)</f>
        <v>17.436399999999999</v>
      </c>
      <c r="O1004" s="81">
        <f>17.4417 * CHOOSE(CONTROL!$C$32, $C$9, 100%, $E$9)</f>
        <v>17.441700000000001</v>
      </c>
    </row>
    <row r="1005" spans="1:15" ht="15" x14ac:dyDescent="0.2">
      <c r="A1005" s="16">
        <v>71803</v>
      </c>
      <c r="B1005" s="80">
        <f>15.1967 * CHOOSE(CONTROL!$C$32, $C$9, 100%, $E$9)</f>
        <v>15.1967</v>
      </c>
      <c r="C1005" s="80">
        <f>15.1967 * CHOOSE(CONTROL!$C$32, $C$9, 100%, $E$9)</f>
        <v>15.1967</v>
      </c>
      <c r="D1005" s="80">
        <f>15.1983 * CHOOSE(CONTROL!$C$32, $C$9, 100%, $E$9)</f>
        <v>15.1983</v>
      </c>
      <c r="E1005" s="81">
        <f>16.9904 * CHOOSE(CONTROL!$C$32, $C$9, 100%, $E$9)</f>
        <v>16.990400000000001</v>
      </c>
      <c r="F1005" s="81">
        <f>16.9904 * CHOOSE(CONTROL!$C$32, $C$9, 100%, $E$9)</f>
        <v>16.990400000000001</v>
      </c>
      <c r="G1005" s="81">
        <f>16.9957 * CHOOSE(CONTROL!$C$32, $C$9, 100%, $E$9)</f>
        <v>16.995699999999999</v>
      </c>
      <c r="H1005" s="81">
        <f>35.5691 * CHOOSE(CONTROL!$C$32, $C$9, 100%, $E$9)</f>
        <v>35.569099999999999</v>
      </c>
      <c r="I1005" s="81">
        <f>35.5744 * CHOOSE(CONTROL!$C$32, $C$9, 100%, $E$9)</f>
        <v>35.574399999999997</v>
      </c>
      <c r="J1005" s="81">
        <f>35.5691 * CHOOSE(CONTROL!$C$32, $C$9, 100%, $E$9)</f>
        <v>35.569099999999999</v>
      </c>
      <c r="K1005" s="81">
        <f>35.5744 * CHOOSE(CONTROL!$C$32, $C$9, 100%, $E$9)</f>
        <v>35.574399999999997</v>
      </c>
      <c r="L1005" s="81">
        <f>16.9904 * CHOOSE(CONTROL!$C$32, $C$9, 100%, $E$9)</f>
        <v>16.990400000000001</v>
      </c>
      <c r="M1005" s="81">
        <f>16.9957 * CHOOSE(CONTROL!$C$32, $C$9, 100%, $E$9)</f>
        <v>16.995699999999999</v>
      </c>
      <c r="N1005" s="81">
        <f>16.9904 * CHOOSE(CONTROL!$C$32, $C$9, 100%, $E$9)</f>
        <v>16.990400000000001</v>
      </c>
      <c r="O1005" s="81">
        <f>16.9957 * CHOOSE(CONTROL!$C$32, $C$9, 100%, $E$9)</f>
        <v>16.995699999999999</v>
      </c>
    </row>
    <row r="1006" spans="1:15" ht="15" x14ac:dyDescent="0.2">
      <c r="A1006" s="16">
        <v>71834</v>
      </c>
      <c r="B1006" s="80">
        <f>15.1937 * CHOOSE(CONTROL!$C$32, $C$9, 100%, $E$9)</f>
        <v>15.1937</v>
      </c>
      <c r="C1006" s="80">
        <f>15.1937 * CHOOSE(CONTROL!$C$32, $C$9, 100%, $E$9)</f>
        <v>15.1937</v>
      </c>
      <c r="D1006" s="80">
        <f>15.1953 * CHOOSE(CONTROL!$C$32, $C$9, 100%, $E$9)</f>
        <v>15.1953</v>
      </c>
      <c r="E1006" s="81">
        <f>16.9382 * CHOOSE(CONTROL!$C$32, $C$9, 100%, $E$9)</f>
        <v>16.938199999999998</v>
      </c>
      <c r="F1006" s="81">
        <f>16.9382 * CHOOSE(CONTROL!$C$32, $C$9, 100%, $E$9)</f>
        <v>16.938199999999998</v>
      </c>
      <c r="G1006" s="81">
        <f>16.9435 * CHOOSE(CONTROL!$C$32, $C$9, 100%, $E$9)</f>
        <v>16.9435</v>
      </c>
      <c r="H1006" s="81">
        <f>35.6432 * CHOOSE(CONTROL!$C$32, $C$9, 100%, $E$9)</f>
        <v>35.6432</v>
      </c>
      <c r="I1006" s="81">
        <f>35.6485 * CHOOSE(CONTROL!$C$32, $C$9, 100%, $E$9)</f>
        <v>35.648499999999999</v>
      </c>
      <c r="J1006" s="81">
        <f>35.6432 * CHOOSE(CONTROL!$C$32, $C$9, 100%, $E$9)</f>
        <v>35.6432</v>
      </c>
      <c r="K1006" s="81">
        <f>35.6485 * CHOOSE(CONTROL!$C$32, $C$9, 100%, $E$9)</f>
        <v>35.648499999999999</v>
      </c>
      <c r="L1006" s="81">
        <f>16.9382 * CHOOSE(CONTROL!$C$32, $C$9, 100%, $E$9)</f>
        <v>16.938199999999998</v>
      </c>
      <c r="M1006" s="81">
        <f>16.9435 * CHOOSE(CONTROL!$C$32, $C$9, 100%, $E$9)</f>
        <v>16.9435</v>
      </c>
      <c r="N1006" s="81">
        <f>16.9382 * CHOOSE(CONTROL!$C$32, $C$9, 100%, $E$9)</f>
        <v>16.938199999999998</v>
      </c>
      <c r="O1006" s="81">
        <f>16.9435 * CHOOSE(CONTROL!$C$32, $C$9, 100%, $E$9)</f>
        <v>16.9435</v>
      </c>
    </row>
    <row r="1007" spans="1:15" ht="15" x14ac:dyDescent="0.2">
      <c r="A1007" s="16">
        <v>71864</v>
      </c>
      <c r="B1007" s="80">
        <f>15.2306 * CHOOSE(CONTROL!$C$32, $C$9, 100%, $E$9)</f>
        <v>15.230600000000001</v>
      </c>
      <c r="C1007" s="80">
        <f>15.2306 * CHOOSE(CONTROL!$C$32, $C$9, 100%, $E$9)</f>
        <v>15.230600000000001</v>
      </c>
      <c r="D1007" s="80">
        <f>15.2317 * CHOOSE(CONTROL!$C$32, $C$9, 100%, $E$9)</f>
        <v>15.2317</v>
      </c>
      <c r="E1007" s="81">
        <f>17.1251 * CHOOSE(CONTROL!$C$32, $C$9, 100%, $E$9)</f>
        <v>17.1251</v>
      </c>
      <c r="F1007" s="81">
        <f>17.1251 * CHOOSE(CONTROL!$C$32, $C$9, 100%, $E$9)</f>
        <v>17.1251</v>
      </c>
      <c r="G1007" s="81">
        <f>17.1287 * CHOOSE(CONTROL!$C$32, $C$9, 100%, $E$9)</f>
        <v>17.128699999999998</v>
      </c>
      <c r="H1007" s="81">
        <f>35.7175 * CHOOSE(CONTROL!$C$32, $C$9, 100%, $E$9)</f>
        <v>35.717500000000001</v>
      </c>
      <c r="I1007" s="81">
        <f>35.7211 * CHOOSE(CONTROL!$C$32, $C$9, 100%, $E$9)</f>
        <v>35.7211</v>
      </c>
      <c r="J1007" s="81">
        <f>35.7175 * CHOOSE(CONTROL!$C$32, $C$9, 100%, $E$9)</f>
        <v>35.717500000000001</v>
      </c>
      <c r="K1007" s="81">
        <f>35.7211 * CHOOSE(CONTROL!$C$32, $C$9, 100%, $E$9)</f>
        <v>35.7211</v>
      </c>
      <c r="L1007" s="81">
        <f>17.1251 * CHOOSE(CONTROL!$C$32, $C$9, 100%, $E$9)</f>
        <v>17.1251</v>
      </c>
      <c r="M1007" s="81">
        <f>17.1287 * CHOOSE(CONTROL!$C$32, $C$9, 100%, $E$9)</f>
        <v>17.128699999999998</v>
      </c>
      <c r="N1007" s="81">
        <f>17.1251 * CHOOSE(CONTROL!$C$32, $C$9, 100%, $E$9)</f>
        <v>17.1251</v>
      </c>
      <c r="O1007" s="81">
        <f>17.1287 * CHOOSE(CONTROL!$C$32, $C$9, 100%, $E$9)</f>
        <v>17.128699999999998</v>
      </c>
    </row>
    <row r="1008" spans="1:15" ht="15" x14ac:dyDescent="0.2">
      <c r="A1008" s="16">
        <v>71895</v>
      </c>
      <c r="B1008" s="80">
        <f>15.2337 * CHOOSE(CONTROL!$C$32, $C$9, 100%, $E$9)</f>
        <v>15.233700000000001</v>
      </c>
      <c r="C1008" s="80">
        <f>15.2337 * CHOOSE(CONTROL!$C$32, $C$9, 100%, $E$9)</f>
        <v>15.233700000000001</v>
      </c>
      <c r="D1008" s="80">
        <f>15.2347 * CHOOSE(CONTROL!$C$32, $C$9, 100%, $E$9)</f>
        <v>15.2347</v>
      </c>
      <c r="E1008" s="81">
        <f>17.2274 * CHOOSE(CONTROL!$C$32, $C$9, 100%, $E$9)</f>
        <v>17.227399999999999</v>
      </c>
      <c r="F1008" s="81">
        <f>17.2274 * CHOOSE(CONTROL!$C$32, $C$9, 100%, $E$9)</f>
        <v>17.227399999999999</v>
      </c>
      <c r="G1008" s="81">
        <f>17.231 * CHOOSE(CONTROL!$C$32, $C$9, 100%, $E$9)</f>
        <v>17.231000000000002</v>
      </c>
      <c r="H1008" s="81">
        <f>35.7919 * CHOOSE(CONTROL!$C$32, $C$9, 100%, $E$9)</f>
        <v>35.791899999999998</v>
      </c>
      <c r="I1008" s="81">
        <f>35.7955 * CHOOSE(CONTROL!$C$32, $C$9, 100%, $E$9)</f>
        <v>35.795499999999997</v>
      </c>
      <c r="J1008" s="81">
        <f>35.7919 * CHOOSE(CONTROL!$C$32, $C$9, 100%, $E$9)</f>
        <v>35.791899999999998</v>
      </c>
      <c r="K1008" s="81">
        <f>35.7955 * CHOOSE(CONTROL!$C$32, $C$9, 100%, $E$9)</f>
        <v>35.795499999999997</v>
      </c>
      <c r="L1008" s="81">
        <f>17.2274 * CHOOSE(CONTROL!$C$32, $C$9, 100%, $E$9)</f>
        <v>17.227399999999999</v>
      </c>
      <c r="M1008" s="81">
        <f>17.231 * CHOOSE(CONTROL!$C$32, $C$9, 100%, $E$9)</f>
        <v>17.231000000000002</v>
      </c>
      <c r="N1008" s="81">
        <f>17.2274 * CHOOSE(CONTROL!$C$32, $C$9, 100%, $E$9)</f>
        <v>17.227399999999999</v>
      </c>
      <c r="O1008" s="81">
        <f>17.231 * CHOOSE(CONTROL!$C$32, $C$9, 100%, $E$9)</f>
        <v>17.231000000000002</v>
      </c>
    </row>
    <row r="1009" spans="1:15" ht="15" x14ac:dyDescent="0.2">
      <c r="A1009" s="16">
        <v>71925</v>
      </c>
      <c r="B1009" s="80">
        <f>15.2337 * CHOOSE(CONTROL!$C$32, $C$9, 100%, $E$9)</f>
        <v>15.233700000000001</v>
      </c>
      <c r="C1009" s="80">
        <f>15.2337 * CHOOSE(CONTROL!$C$32, $C$9, 100%, $E$9)</f>
        <v>15.233700000000001</v>
      </c>
      <c r="D1009" s="80">
        <f>15.2347 * CHOOSE(CONTROL!$C$32, $C$9, 100%, $E$9)</f>
        <v>15.2347</v>
      </c>
      <c r="E1009" s="81">
        <f>16.977 * CHOOSE(CONTROL!$C$32, $C$9, 100%, $E$9)</f>
        <v>16.977</v>
      </c>
      <c r="F1009" s="81">
        <f>16.977 * CHOOSE(CONTROL!$C$32, $C$9, 100%, $E$9)</f>
        <v>16.977</v>
      </c>
      <c r="G1009" s="81">
        <f>16.9806 * CHOOSE(CONTROL!$C$32, $C$9, 100%, $E$9)</f>
        <v>16.980599999999999</v>
      </c>
      <c r="H1009" s="81">
        <f>35.8664 * CHOOSE(CONTROL!$C$32, $C$9, 100%, $E$9)</f>
        <v>35.866399999999999</v>
      </c>
      <c r="I1009" s="81">
        <f>35.8701 * CHOOSE(CONTROL!$C$32, $C$9, 100%, $E$9)</f>
        <v>35.870100000000001</v>
      </c>
      <c r="J1009" s="81">
        <f>35.8664 * CHOOSE(CONTROL!$C$32, $C$9, 100%, $E$9)</f>
        <v>35.866399999999999</v>
      </c>
      <c r="K1009" s="81">
        <f>35.8701 * CHOOSE(CONTROL!$C$32, $C$9, 100%, $E$9)</f>
        <v>35.870100000000001</v>
      </c>
      <c r="L1009" s="81">
        <f>16.977 * CHOOSE(CONTROL!$C$32, $C$9, 100%, $E$9)</f>
        <v>16.977</v>
      </c>
      <c r="M1009" s="81">
        <f>16.9806 * CHOOSE(CONTROL!$C$32, $C$9, 100%, $E$9)</f>
        <v>16.980599999999999</v>
      </c>
      <c r="N1009" s="81">
        <f>16.977 * CHOOSE(CONTROL!$C$32, $C$9, 100%, $E$9)</f>
        <v>16.977</v>
      </c>
      <c r="O1009" s="81">
        <f>16.9806 * CHOOSE(CONTROL!$C$32, $C$9, 100%, $E$9)</f>
        <v>16.980599999999999</v>
      </c>
    </row>
    <row r="1010" spans="1:15" ht="15" x14ac:dyDescent="0.2">
      <c r="A1010" s="16">
        <v>71956</v>
      </c>
      <c r="B1010" s="80">
        <f>15.1897 * CHOOSE(CONTROL!$C$32, $C$9, 100%, $E$9)</f>
        <v>15.1897</v>
      </c>
      <c r="C1010" s="80">
        <f>15.1897 * CHOOSE(CONTROL!$C$32, $C$9, 100%, $E$9)</f>
        <v>15.1897</v>
      </c>
      <c r="D1010" s="80">
        <f>15.1908 * CHOOSE(CONTROL!$C$32, $C$9, 100%, $E$9)</f>
        <v>15.190799999999999</v>
      </c>
      <c r="E1010" s="81">
        <f>17.1081 * CHOOSE(CONTROL!$C$32, $C$9, 100%, $E$9)</f>
        <v>17.1081</v>
      </c>
      <c r="F1010" s="81">
        <f>17.1081 * CHOOSE(CONTROL!$C$32, $C$9, 100%, $E$9)</f>
        <v>17.1081</v>
      </c>
      <c r="G1010" s="81">
        <f>17.1117 * CHOOSE(CONTROL!$C$32, $C$9, 100%, $E$9)</f>
        <v>17.111699999999999</v>
      </c>
      <c r="H1010" s="81">
        <f>35.5187 * CHOOSE(CONTROL!$C$32, $C$9, 100%, $E$9)</f>
        <v>35.518700000000003</v>
      </c>
      <c r="I1010" s="81">
        <f>35.5223 * CHOOSE(CONTROL!$C$32, $C$9, 100%, $E$9)</f>
        <v>35.522300000000001</v>
      </c>
      <c r="J1010" s="81">
        <f>35.5187 * CHOOSE(CONTROL!$C$32, $C$9, 100%, $E$9)</f>
        <v>35.518700000000003</v>
      </c>
      <c r="K1010" s="81">
        <f>35.5223 * CHOOSE(CONTROL!$C$32, $C$9, 100%, $E$9)</f>
        <v>35.522300000000001</v>
      </c>
      <c r="L1010" s="81">
        <f>17.1081 * CHOOSE(CONTROL!$C$32, $C$9, 100%, $E$9)</f>
        <v>17.1081</v>
      </c>
      <c r="M1010" s="81">
        <f>17.1117 * CHOOSE(CONTROL!$C$32, $C$9, 100%, $E$9)</f>
        <v>17.111699999999999</v>
      </c>
      <c r="N1010" s="81">
        <f>17.1081 * CHOOSE(CONTROL!$C$32, $C$9, 100%, $E$9)</f>
        <v>17.1081</v>
      </c>
      <c r="O1010" s="81">
        <f>17.1117 * CHOOSE(CONTROL!$C$32, $C$9, 100%, $E$9)</f>
        <v>17.111699999999999</v>
      </c>
    </row>
    <row r="1011" spans="1:15" ht="15" x14ac:dyDescent="0.2">
      <c r="A1011" s="16">
        <v>71987</v>
      </c>
      <c r="B1011" s="80">
        <f>15.1867 * CHOOSE(CONTROL!$C$32, $C$9, 100%, $E$9)</f>
        <v>15.1867</v>
      </c>
      <c r="C1011" s="80">
        <f>15.1867 * CHOOSE(CONTROL!$C$32, $C$9, 100%, $E$9)</f>
        <v>15.1867</v>
      </c>
      <c r="D1011" s="80">
        <f>15.1878 * CHOOSE(CONTROL!$C$32, $C$9, 100%, $E$9)</f>
        <v>15.187799999999999</v>
      </c>
      <c r="E1011" s="81">
        <f>16.6258 * CHOOSE(CONTROL!$C$32, $C$9, 100%, $E$9)</f>
        <v>16.625800000000002</v>
      </c>
      <c r="F1011" s="81">
        <f>16.6258 * CHOOSE(CONTROL!$C$32, $C$9, 100%, $E$9)</f>
        <v>16.625800000000002</v>
      </c>
      <c r="G1011" s="81">
        <f>16.6294 * CHOOSE(CONTROL!$C$32, $C$9, 100%, $E$9)</f>
        <v>16.6294</v>
      </c>
      <c r="H1011" s="81">
        <f>35.5927 * CHOOSE(CONTROL!$C$32, $C$9, 100%, $E$9)</f>
        <v>35.592700000000001</v>
      </c>
      <c r="I1011" s="81">
        <f>35.5963 * CHOOSE(CONTROL!$C$32, $C$9, 100%, $E$9)</f>
        <v>35.596299999999999</v>
      </c>
      <c r="J1011" s="81">
        <f>35.5927 * CHOOSE(CONTROL!$C$32, $C$9, 100%, $E$9)</f>
        <v>35.592700000000001</v>
      </c>
      <c r="K1011" s="81">
        <f>35.5963 * CHOOSE(CONTROL!$C$32, $C$9, 100%, $E$9)</f>
        <v>35.596299999999999</v>
      </c>
      <c r="L1011" s="81">
        <f>16.6258 * CHOOSE(CONTROL!$C$32, $C$9, 100%, $E$9)</f>
        <v>16.625800000000002</v>
      </c>
      <c r="M1011" s="81">
        <f>16.6294 * CHOOSE(CONTROL!$C$32, $C$9, 100%, $E$9)</f>
        <v>16.6294</v>
      </c>
      <c r="N1011" s="81">
        <f>16.6258 * CHOOSE(CONTROL!$C$32, $C$9, 100%, $E$9)</f>
        <v>16.625800000000002</v>
      </c>
      <c r="O1011" s="81">
        <f>16.6294 * CHOOSE(CONTROL!$C$32, $C$9, 100%, $E$9)</f>
        <v>16.6294</v>
      </c>
    </row>
    <row r="1012" spans="1:15" ht="15" x14ac:dyDescent="0.2">
      <c r="A1012" s="16">
        <v>72015</v>
      </c>
      <c r="B1012" s="80">
        <f>15.1837 * CHOOSE(CONTROL!$C$32, $C$9, 100%, $E$9)</f>
        <v>15.1837</v>
      </c>
      <c r="C1012" s="80">
        <f>15.1837 * CHOOSE(CONTROL!$C$32, $C$9, 100%, $E$9)</f>
        <v>15.1837</v>
      </c>
      <c r="D1012" s="80">
        <f>15.1847 * CHOOSE(CONTROL!$C$32, $C$9, 100%, $E$9)</f>
        <v>15.184699999999999</v>
      </c>
      <c r="E1012" s="81">
        <f>17.0022 * CHOOSE(CONTROL!$C$32, $C$9, 100%, $E$9)</f>
        <v>17.002199999999998</v>
      </c>
      <c r="F1012" s="81">
        <f>17.0022 * CHOOSE(CONTROL!$C$32, $C$9, 100%, $E$9)</f>
        <v>17.002199999999998</v>
      </c>
      <c r="G1012" s="81">
        <f>17.0059 * CHOOSE(CONTROL!$C$32, $C$9, 100%, $E$9)</f>
        <v>17.0059</v>
      </c>
      <c r="H1012" s="81">
        <f>35.6669 * CHOOSE(CONTROL!$C$32, $C$9, 100%, $E$9)</f>
        <v>35.666899999999998</v>
      </c>
      <c r="I1012" s="81">
        <f>35.6705 * CHOOSE(CONTROL!$C$32, $C$9, 100%, $E$9)</f>
        <v>35.670499999999997</v>
      </c>
      <c r="J1012" s="81">
        <f>35.6669 * CHOOSE(CONTROL!$C$32, $C$9, 100%, $E$9)</f>
        <v>35.666899999999998</v>
      </c>
      <c r="K1012" s="81">
        <f>35.6705 * CHOOSE(CONTROL!$C$32, $C$9, 100%, $E$9)</f>
        <v>35.670499999999997</v>
      </c>
      <c r="L1012" s="81">
        <f>17.0022 * CHOOSE(CONTROL!$C$32, $C$9, 100%, $E$9)</f>
        <v>17.002199999999998</v>
      </c>
      <c r="M1012" s="81">
        <f>17.0059 * CHOOSE(CONTROL!$C$32, $C$9, 100%, $E$9)</f>
        <v>17.0059</v>
      </c>
      <c r="N1012" s="81">
        <f>17.0022 * CHOOSE(CONTROL!$C$32, $C$9, 100%, $E$9)</f>
        <v>17.002199999999998</v>
      </c>
      <c r="O1012" s="81">
        <f>17.0059 * CHOOSE(CONTROL!$C$32, $C$9, 100%, $E$9)</f>
        <v>17.0059</v>
      </c>
    </row>
    <row r="1013" spans="1:15" ht="15" x14ac:dyDescent="0.2">
      <c r="A1013" s="16">
        <v>72046</v>
      </c>
      <c r="B1013" s="80">
        <f>15.1922 * CHOOSE(CONTROL!$C$32, $C$9, 100%, $E$9)</f>
        <v>15.1922</v>
      </c>
      <c r="C1013" s="80">
        <f>15.1922 * CHOOSE(CONTROL!$C$32, $C$9, 100%, $E$9)</f>
        <v>15.1922</v>
      </c>
      <c r="D1013" s="80">
        <f>15.1932 * CHOOSE(CONTROL!$C$32, $C$9, 100%, $E$9)</f>
        <v>15.193199999999999</v>
      </c>
      <c r="E1013" s="81">
        <f>17.4046 * CHOOSE(CONTROL!$C$32, $C$9, 100%, $E$9)</f>
        <v>17.404599999999999</v>
      </c>
      <c r="F1013" s="81">
        <f>17.4046 * CHOOSE(CONTROL!$C$32, $C$9, 100%, $E$9)</f>
        <v>17.404599999999999</v>
      </c>
      <c r="G1013" s="81">
        <f>17.4082 * CHOOSE(CONTROL!$C$32, $C$9, 100%, $E$9)</f>
        <v>17.408200000000001</v>
      </c>
      <c r="H1013" s="81">
        <f>35.7412 * CHOOSE(CONTROL!$C$32, $C$9, 100%, $E$9)</f>
        <v>35.741199999999999</v>
      </c>
      <c r="I1013" s="81">
        <f>35.7448 * CHOOSE(CONTROL!$C$32, $C$9, 100%, $E$9)</f>
        <v>35.744799999999998</v>
      </c>
      <c r="J1013" s="81">
        <f>35.7412 * CHOOSE(CONTROL!$C$32, $C$9, 100%, $E$9)</f>
        <v>35.741199999999999</v>
      </c>
      <c r="K1013" s="81">
        <f>35.7448 * CHOOSE(CONTROL!$C$32, $C$9, 100%, $E$9)</f>
        <v>35.744799999999998</v>
      </c>
      <c r="L1013" s="81">
        <f>17.4046 * CHOOSE(CONTROL!$C$32, $C$9, 100%, $E$9)</f>
        <v>17.404599999999999</v>
      </c>
      <c r="M1013" s="81">
        <f>17.4082 * CHOOSE(CONTROL!$C$32, $C$9, 100%, $E$9)</f>
        <v>17.408200000000001</v>
      </c>
      <c r="N1013" s="81">
        <f>17.4046 * CHOOSE(CONTROL!$C$32, $C$9, 100%, $E$9)</f>
        <v>17.404599999999999</v>
      </c>
      <c r="O1013" s="81">
        <f>17.4082 * CHOOSE(CONTROL!$C$32, $C$9, 100%, $E$9)</f>
        <v>17.408200000000001</v>
      </c>
    </row>
    <row r="1014" spans="1:15" ht="15" x14ac:dyDescent="0.2">
      <c r="A1014" s="16">
        <v>72076</v>
      </c>
      <c r="B1014" s="80">
        <f>15.1922 * CHOOSE(CONTROL!$C$32, $C$9, 100%, $E$9)</f>
        <v>15.1922</v>
      </c>
      <c r="C1014" s="80">
        <f>15.1922 * CHOOSE(CONTROL!$C$32, $C$9, 100%, $E$9)</f>
        <v>15.1922</v>
      </c>
      <c r="D1014" s="80">
        <f>15.1938 * CHOOSE(CONTROL!$C$32, $C$9, 100%, $E$9)</f>
        <v>15.1938</v>
      </c>
      <c r="E1014" s="81">
        <f>17.5571 * CHOOSE(CONTROL!$C$32, $C$9, 100%, $E$9)</f>
        <v>17.557099999999998</v>
      </c>
      <c r="F1014" s="81">
        <f>17.5571 * CHOOSE(CONTROL!$C$32, $C$9, 100%, $E$9)</f>
        <v>17.557099999999998</v>
      </c>
      <c r="G1014" s="81">
        <f>17.5623 * CHOOSE(CONTROL!$C$32, $C$9, 100%, $E$9)</f>
        <v>17.5623</v>
      </c>
      <c r="H1014" s="81">
        <f>35.8156 * CHOOSE(CONTROL!$C$32, $C$9, 100%, $E$9)</f>
        <v>35.815600000000003</v>
      </c>
      <c r="I1014" s="81">
        <f>35.8209 * CHOOSE(CONTROL!$C$32, $C$9, 100%, $E$9)</f>
        <v>35.820900000000002</v>
      </c>
      <c r="J1014" s="81">
        <f>35.8156 * CHOOSE(CONTROL!$C$32, $C$9, 100%, $E$9)</f>
        <v>35.815600000000003</v>
      </c>
      <c r="K1014" s="81">
        <f>35.8209 * CHOOSE(CONTROL!$C$32, $C$9, 100%, $E$9)</f>
        <v>35.820900000000002</v>
      </c>
      <c r="L1014" s="81">
        <f>17.5571 * CHOOSE(CONTROL!$C$32, $C$9, 100%, $E$9)</f>
        <v>17.557099999999998</v>
      </c>
      <c r="M1014" s="81">
        <f>17.5623 * CHOOSE(CONTROL!$C$32, $C$9, 100%, $E$9)</f>
        <v>17.5623</v>
      </c>
      <c r="N1014" s="81">
        <f>17.5571 * CHOOSE(CONTROL!$C$32, $C$9, 100%, $E$9)</f>
        <v>17.557099999999998</v>
      </c>
      <c r="O1014" s="81">
        <f>17.5623 * CHOOSE(CONTROL!$C$32, $C$9, 100%, $E$9)</f>
        <v>17.5623</v>
      </c>
    </row>
    <row r="1015" spans="1:15" ht="15" x14ac:dyDescent="0.2">
      <c r="A1015" s="16">
        <v>72107</v>
      </c>
      <c r="B1015" s="80">
        <f>15.1983 * CHOOSE(CONTROL!$C$32, $C$9, 100%, $E$9)</f>
        <v>15.1983</v>
      </c>
      <c r="C1015" s="80">
        <f>15.1983 * CHOOSE(CONTROL!$C$32, $C$9, 100%, $E$9)</f>
        <v>15.1983</v>
      </c>
      <c r="D1015" s="80">
        <f>15.1998 * CHOOSE(CONTROL!$C$32, $C$9, 100%, $E$9)</f>
        <v>15.1998</v>
      </c>
      <c r="E1015" s="81">
        <f>17.4088 * CHOOSE(CONTROL!$C$32, $C$9, 100%, $E$9)</f>
        <v>17.408799999999999</v>
      </c>
      <c r="F1015" s="81">
        <f>17.4088 * CHOOSE(CONTROL!$C$32, $C$9, 100%, $E$9)</f>
        <v>17.408799999999999</v>
      </c>
      <c r="G1015" s="81">
        <f>17.4141 * CHOOSE(CONTROL!$C$32, $C$9, 100%, $E$9)</f>
        <v>17.414100000000001</v>
      </c>
      <c r="H1015" s="81">
        <f>35.8902 * CHOOSE(CONTROL!$C$32, $C$9, 100%, $E$9)</f>
        <v>35.8902</v>
      </c>
      <c r="I1015" s="81">
        <f>35.8955 * CHOOSE(CONTROL!$C$32, $C$9, 100%, $E$9)</f>
        <v>35.895499999999998</v>
      </c>
      <c r="J1015" s="81">
        <f>35.8902 * CHOOSE(CONTROL!$C$32, $C$9, 100%, $E$9)</f>
        <v>35.8902</v>
      </c>
      <c r="K1015" s="81">
        <f>35.8955 * CHOOSE(CONTROL!$C$32, $C$9, 100%, $E$9)</f>
        <v>35.895499999999998</v>
      </c>
      <c r="L1015" s="81">
        <f>17.4088 * CHOOSE(CONTROL!$C$32, $C$9, 100%, $E$9)</f>
        <v>17.408799999999999</v>
      </c>
      <c r="M1015" s="81">
        <f>17.4141 * CHOOSE(CONTROL!$C$32, $C$9, 100%, $E$9)</f>
        <v>17.414100000000001</v>
      </c>
      <c r="N1015" s="81">
        <f>17.4088 * CHOOSE(CONTROL!$C$32, $C$9, 100%, $E$9)</f>
        <v>17.408799999999999</v>
      </c>
      <c r="O1015" s="81">
        <f>17.4141 * CHOOSE(CONTROL!$C$32, $C$9, 100%, $E$9)</f>
        <v>17.414100000000001</v>
      </c>
    </row>
    <row r="1016" spans="1:15" ht="15" x14ac:dyDescent="0.2">
      <c r="A1016" s="16">
        <v>72137</v>
      </c>
      <c r="B1016" s="80">
        <f>15.3797 * CHOOSE(CONTROL!$C$32, $C$9, 100%, $E$9)</f>
        <v>15.3797</v>
      </c>
      <c r="C1016" s="80">
        <f>15.3797 * CHOOSE(CONTROL!$C$32, $C$9, 100%, $E$9)</f>
        <v>15.3797</v>
      </c>
      <c r="D1016" s="80">
        <f>15.3812 * CHOOSE(CONTROL!$C$32, $C$9, 100%, $E$9)</f>
        <v>15.3812</v>
      </c>
      <c r="E1016" s="81">
        <f>17.6566 * CHOOSE(CONTROL!$C$32, $C$9, 100%, $E$9)</f>
        <v>17.656600000000001</v>
      </c>
      <c r="F1016" s="81">
        <f>17.6566 * CHOOSE(CONTROL!$C$32, $C$9, 100%, $E$9)</f>
        <v>17.656600000000001</v>
      </c>
      <c r="G1016" s="81">
        <f>17.6619 * CHOOSE(CONTROL!$C$32, $C$9, 100%, $E$9)</f>
        <v>17.661899999999999</v>
      </c>
      <c r="H1016" s="81">
        <f>35.965 * CHOOSE(CONTROL!$C$32, $C$9, 100%, $E$9)</f>
        <v>35.965000000000003</v>
      </c>
      <c r="I1016" s="81">
        <f>35.9703 * CHOOSE(CONTROL!$C$32, $C$9, 100%, $E$9)</f>
        <v>35.970300000000002</v>
      </c>
      <c r="J1016" s="81">
        <f>35.965 * CHOOSE(CONTROL!$C$32, $C$9, 100%, $E$9)</f>
        <v>35.965000000000003</v>
      </c>
      <c r="K1016" s="81">
        <f>35.9703 * CHOOSE(CONTROL!$C$32, $C$9, 100%, $E$9)</f>
        <v>35.970300000000002</v>
      </c>
      <c r="L1016" s="81">
        <f>17.6566 * CHOOSE(CONTROL!$C$32, $C$9, 100%, $E$9)</f>
        <v>17.656600000000001</v>
      </c>
      <c r="M1016" s="81">
        <f>17.6619 * CHOOSE(CONTROL!$C$32, $C$9, 100%, $E$9)</f>
        <v>17.661899999999999</v>
      </c>
      <c r="N1016" s="81">
        <f>17.6566 * CHOOSE(CONTROL!$C$32, $C$9, 100%, $E$9)</f>
        <v>17.656600000000001</v>
      </c>
      <c r="O1016" s="81">
        <f>17.6619 * CHOOSE(CONTROL!$C$32, $C$9, 100%, $E$9)</f>
        <v>17.661899999999999</v>
      </c>
    </row>
    <row r="1017" spans="1:15" ht="15" x14ac:dyDescent="0.2">
      <c r="A1017" s="16">
        <v>72168</v>
      </c>
      <c r="B1017" s="80">
        <f>15.3863 * CHOOSE(CONTROL!$C$32, $C$9, 100%, $E$9)</f>
        <v>15.3863</v>
      </c>
      <c r="C1017" s="80">
        <f>15.3863 * CHOOSE(CONTROL!$C$32, $C$9, 100%, $E$9)</f>
        <v>15.3863</v>
      </c>
      <c r="D1017" s="80">
        <f>15.3879 * CHOOSE(CONTROL!$C$32, $C$9, 100%, $E$9)</f>
        <v>15.3879</v>
      </c>
      <c r="E1017" s="81">
        <f>17.2038 * CHOOSE(CONTROL!$C$32, $C$9, 100%, $E$9)</f>
        <v>17.203800000000001</v>
      </c>
      <c r="F1017" s="81">
        <f>17.2038 * CHOOSE(CONTROL!$C$32, $C$9, 100%, $E$9)</f>
        <v>17.203800000000001</v>
      </c>
      <c r="G1017" s="81">
        <f>17.2091 * CHOOSE(CONTROL!$C$32, $C$9, 100%, $E$9)</f>
        <v>17.209099999999999</v>
      </c>
      <c r="H1017" s="81">
        <f>36.0399 * CHOOSE(CONTROL!$C$32, $C$9, 100%, $E$9)</f>
        <v>36.039900000000003</v>
      </c>
      <c r="I1017" s="81">
        <f>36.0452 * CHOOSE(CONTROL!$C$32, $C$9, 100%, $E$9)</f>
        <v>36.045200000000001</v>
      </c>
      <c r="J1017" s="81">
        <f>36.0399 * CHOOSE(CONTROL!$C$32, $C$9, 100%, $E$9)</f>
        <v>36.039900000000003</v>
      </c>
      <c r="K1017" s="81">
        <f>36.0452 * CHOOSE(CONTROL!$C$32, $C$9, 100%, $E$9)</f>
        <v>36.045200000000001</v>
      </c>
      <c r="L1017" s="81">
        <f>17.2038 * CHOOSE(CONTROL!$C$32, $C$9, 100%, $E$9)</f>
        <v>17.203800000000001</v>
      </c>
      <c r="M1017" s="81">
        <f>17.2091 * CHOOSE(CONTROL!$C$32, $C$9, 100%, $E$9)</f>
        <v>17.209099999999999</v>
      </c>
      <c r="N1017" s="81">
        <f>17.2038 * CHOOSE(CONTROL!$C$32, $C$9, 100%, $E$9)</f>
        <v>17.203800000000001</v>
      </c>
      <c r="O1017" s="81">
        <f>17.2091 * CHOOSE(CONTROL!$C$32, $C$9, 100%, $E$9)</f>
        <v>17.209099999999999</v>
      </c>
    </row>
    <row r="1018" spans="1:15" ht="15" x14ac:dyDescent="0.2">
      <c r="A1018" s="16">
        <v>72199</v>
      </c>
      <c r="B1018" s="80">
        <f>15.3833 * CHOOSE(CONTROL!$C$32, $C$9, 100%, $E$9)</f>
        <v>15.3833</v>
      </c>
      <c r="C1018" s="80">
        <f>15.3833 * CHOOSE(CONTROL!$C$32, $C$9, 100%, $E$9)</f>
        <v>15.3833</v>
      </c>
      <c r="D1018" s="80">
        <f>15.3849 * CHOOSE(CONTROL!$C$32, $C$9, 100%, $E$9)</f>
        <v>15.3849</v>
      </c>
      <c r="E1018" s="81">
        <f>17.1509 * CHOOSE(CONTROL!$C$32, $C$9, 100%, $E$9)</f>
        <v>17.1509</v>
      </c>
      <c r="F1018" s="81">
        <f>17.1509 * CHOOSE(CONTROL!$C$32, $C$9, 100%, $E$9)</f>
        <v>17.1509</v>
      </c>
      <c r="G1018" s="81">
        <f>17.1562 * CHOOSE(CONTROL!$C$32, $C$9, 100%, $E$9)</f>
        <v>17.156199999999998</v>
      </c>
      <c r="H1018" s="81">
        <f>36.115 * CHOOSE(CONTROL!$C$32, $C$9, 100%, $E$9)</f>
        <v>36.115000000000002</v>
      </c>
      <c r="I1018" s="81">
        <f>36.1203 * CHOOSE(CONTROL!$C$32, $C$9, 100%, $E$9)</f>
        <v>36.1203</v>
      </c>
      <c r="J1018" s="81">
        <f>36.115 * CHOOSE(CONTROL!$C$32, $C$9, 100%, $E$9)</f>
        <v>36.115000000000002</v>
      </c>
      <c r="K1018" s="81">
        <f>36.1203 * CHOOSE(CONTROL!$C$32, $C$9, 100%, $E$9)</f>
        <v>36.1203</v>
      </c>
      <c r="L1018" s="81">
        <f>17.1509 * CHOOSE(CONTROL!$C$32, $C$9, 100%, $E$9)</f>
        <v>17.1509</v>
      </c>
      <c r="M1018" s="81">
        <f>17.1562 * CHOOSE(CONTROL!$C$32, $C$9, 100%, $E$9)</f>
        <v>17.156199999999998</v>
      </c>
      <c r="N1018" s="81">
        <f>17.1509 * CHOOSE(CONTROL!$C$32, $C$9, 100%, $E$9)</f>
        <v>17.1509</v>
      </c>
      <c r="O1018" s="81">
        <f>17.1562 * CHOOSE(CONTROL!$C$32, $C$9, 100%, $E$9)</f>
        <v>17.156199999999998</v>
      </c>
    </row>
    <row r="1019" spans="1:15" ht="15" x14ac:dyDescent="0.2">
      <c r="A1019" s="16">
        <v>72229</v>
      </c>
      <c r="B1019" s="80">
        <f>15.4209 * CHOOSE(CONTROL!$C$32, $C$9, 100%, $E$9)</f>
        <v>15.4209</v>
      </c>
      <c r="C1019" s="80">
        <f>15.4209 * CHOOSE(CONTROL!$C$32, $C$9, 100%, $E$9)</f>
        <v>15.4209</v>
      </c>
      <c r="D1019" s="80">
        <f>15.422 * CHOOSE(CONTROL!$C$32, $C$9, 100%, $E$9)</f>
        <v>15.422000000000001</v>
      </c>
      <c r="E1019" s="81">
        <f>17.3408 * CHOOSE(CONTROL!$C$32, $C$9, 100%, $E$9)</f>
        <v>17.340800000000002</v>
      </c>
      <c r="F1019" s="81">
        <f>17.3408 * CHOOSE(CONTROL!$C$32, $C$9, 100%, $E$9)</f>
        <v>17.340800000000002</v>
      </c>
      <c r="G1019" s="81">
        <f>17.3444 * CHOOSE(CONTROL!$C$32, $C$9, 100%, $E$9)</f>
        <v>17.3444</v>
      </c>
      <c r="H1019" s="81">
        <f>36.1903 * CHOOSE(CONTROL!$C$32, $C$9, 100%, $E$9)</f>
        <v>36.190300000000001</v>
      </c>
      <c r="I1019" s="81">
        <f>36.1939 * CHOOSE(CONTROL!$C$32, $C$9, 100%, $E$9)</f>
        <v>36.193899999999999</v>
      </c>
      <c r="J1019" s="81">
        <f>36.1903 * CHOOSE(CONTROL!$C$32, $C$9, 100%, $E$9)</f>
        <v>36.190300000000001</v>
      </c>
      <c r="K1019" s="81">
        <f>36.1939 * CHOOSE(CONTROL!$C$32, $C$9, 100%, $E$9)</f>
        <v>36.193899999999999</v>
      </c>
      <c r="L1019" s="81">
        <f>17.3408 * CHOOSE(CONTROL!$C$32, $C$9, 100%, $E$9)</f>
        <v>17.340800000000002</v>
      </c>
      <c r="M1019" s="81">
        <f>17.3444 * CHOOSE(CONTROL!$C$32, $C$9, 100%, $E$9)</f>
        <v>17.3444</v>
      </c>
      <c r="N1019" s="81">
        <f>17.3408 * CHOOSE(CONTROL!$C$32, $C$9, 100%, $E$9)</f>
        <v>17.340800000000002</v>
      </c>
      <c r="O1019" s="81">
        <f>17.3444 * CHOOSE(CONTROL!$C$32, $C$9, 100%, $E$9)</f>
        <v>17.3444</v>
      </c>
    </row>
    <row r="1020" spans="1:15" ht="15" x14ac:dyDescent="0.2">
      <c r="A1020" s="16">
        <v>72260</v>
      </c>
      <c r="B1020" s="80">
        <f>15.424 * CHOOSE(CONTROL!$C$32, $C$9, 100%, $E$9)</f>
        <v>15.423999999999999</v>
      </c>
      <c r="C1020" s="80">
        <f>15.424 * CHOOSE(CONTROL!$C$32, $C$9, 100%, $E$9)</f>
        <v>15.423999999999999</v>
      </c>
      <c r="D1020" s="80">
        <f>15.425 * CHOOSE(CONTROL!$C$32, $C$9, 100%, $E$9)</f>
        <v>15.425000000000001</v>
      </c>
      <c r="E1020" s="81">
        <f>17.4445 * CHOOSE(CONTROL!$C$32, $C$9, 100%, $E$9)</f>
        <v>17.444500000000001</v>
      </c>
      <c r="F1020" s="81">
        <f>17.4445 * CHOOSE(CONTROL!$C$32, $C$9, 100%, $E$9)</f>
        <v>17.444500000000001</v>
      </c>
      <c r="G1020" s="81">
        <f>17.4482 * CHOOSE(CONTROL!$C$32, $C$9, 100%, $E$9)</f>
        <v>17.4482</v>
      </c>
      <c r="H1020" s="81">
        <f>36.2657 * CHOOSE(CONTROL!$C$32, $C$9, 100%, $E$9)</f>
        <v>36.265700000000002</v>
      </c>
      <c r="I1020" s="81">
        <f>36.2693 * CHOOSE(CONTROL!$C$32, $C$9, 100%, $E$9)</f>
        <v>36.269300000000001</v>
      </c>
      <c r="J1020" s="81">
        <f>36.2657 * CHOOSE(CONTROL!$C$32, $C$9, 100%, $E$9)</f>
        <v>36.265700000000002</v>
      </c>
      <c r="K1020" s="81">
        <f>36.2693 * CHOOSE(CONTROL!$C$32, $C$9, 100%, $E$9)</f>
        <v>36.269300000000001</v>
      </c>
      <c r="L1020" s="81">
        <f>17.4445 * CHOOSE(CONTROL!$C$32, $C$9, 100%, $E$9)</f>
        <v>17.444500000000001</v>
      </c>
      <c r="M1020" s="81">
        <f>17.4482 * CHOOSE(CONTROL!$C$32, $C$9, 100%, $E$9)</f>
        <v>17.4482</v>
      </c>
      <c r="N1020" s="81">
        <f>17.4445 * CHOOSE(CONTROL!$C$32, $C$9, 100%, $E$9)</f>
        <v>17.444500000000001</v>
      </c>
      <c r="O1020" s="81">
        <f>17.4482 * CHOOSE(CONTROL!$C$32, $C$9, 100%, $E$9)</f>
        <v>17.4482</v>
      </c>
    </row>
    <row r="1021" spans="1:15" ht="15" x14ac:dyDescent="0.2">
      <c r="A1021" s="16">
        <v>72290</v>
      </c>
      <c r="B1021" s="80">
        <f>15.424 * CHOOSE(CONTROL!$C$32, $C$9, 100%, $E$9)</f>
        <v>15.423999999999999</v>
      </c>
      <c r="C1021" s="80">
        <f>15.424 * CHOOSE(CONTROL!$C$32, $C$9, 100%, $E$9)</f>
        <v>15.423999999999999</v>
      </c>
      <c r="D1021" s="80">
        <f>15.425 * CHOOSE(CONTROL!$C$32, $C$9, 100%, $E$9)</f>
        <v>15.425000000000001</v>
      </c>
      <c r="E1021" s="81">
        <f>17.1904 * CHOOSE(CONTROL!$C$32, $C$9, 100%, $E$9)</f>
        <v>17.1904</v>
      </c>
      <c r="F1021" s="81">
        <f>17.1904 * CHOOSE(CONTROL!$C$32, $C$9, 100%, $E$9)</f>
        <v>17.1904</v>
      </c>
      <c r="G1021" s="81">
        <f>17.194 * CHOOSE(CONTROL!$C$32, $C$9, 100%, $E$9)</f>
        <v>17.193999999999999</v>
      </c>
      <c r="H1021" s="81">
        <f>36.3412 * CHOOSE(CONTROL!$C$32, $C$9, 100%, $E$9)</f>
        <v>36.341200000000001</v>
      </c>
      <c r="I1021" s="81">
        <f>36.3448 * CHOOSE(CONTROL!$C$32, $C$9, 100%, $E$9)</f>
        <v>36.344799999999999</v>
      </c>
      <c r="J1021" s="81">
        <f>36.3412 * CHOOSE(CONTROL!$C$32, $C$9, 100%, $E$9)</f>
        <v>36.341200000000001</v>
      </c>
      <c r="K1021" s="81">
        <f>36.3448 * CHOOSE(CONTROL!$C$32, $C$9, 100%, $E$9)</f>
        <v>36.344799999999999</v>
      </c>
      <c r="L1021" s="81">
        <f>17.1904 * CHOOSE(CONTROL!$C$32, $C$9, 100%, $E$9)</f>
        <v>17.1904</v>
      </c>
      <c r="M1021" s="81">
        <f>17.194 * CHOOSE(CONTROL!$C$32, $C$9, 100%, $E$9)</f>
        <v>17.193999999999999</v>
      </c>
      <c r="N1021" s="81">
        <f>17.1904 * CHOOSE(CONTROL!$C$32, $C$9, 100%, $E$9)</f>
        <v>17.1904</v>
      </c>
      <c r="O1021" s="81">
        <f>17.194 * CHOOSE(CONTROL!$C$32, $C$9, 100%, $E$9)</f>
        <v>17.193999999999999</v>
      </c>
    </row>
    <row r="1022" spans="1:15" ht="15" x14ac:dyDescent="0.2">
      <c r="A1022" s="16">
        <v>72321</v>
      </c>
      <c r="B1022" s="80">
        <f>15.3771 * CHOOSE(CONTROL!$C$32, $C$9, 100%, $E$9)</f>
        <v>15.3771</v>
      </c>
      <c r="C1022" s="80">
        <f>15.3771 * CHOOSE(CONTROL!$C$32, $C$9, 100%, $E$9)</f>
        <v>15.3771</v>
      </c>
      <c r="D1022" s="80">
        <f>15.3782 * CHOOSE(CONTROL!$C$32, $C$9, 100%, $E$9)</f>
        <v>15.3782</v>
      </c>
      <c r="E1022" s="81">
        <f>17.3206 * CHOOSE(CONTROL!$C$32, $C$9, 100%, $E$9)</f>
        <v>17.320599999999999</v>
      </c>
      <c r="F1022" s="81">
        <f>17.3206 * CHOOSE(CONTROL!$C$32, $C$9, 100%, $E$9)</f>
        <v>17.320599999999999</v>
      </c>
      <c r="G1022" s="81">
        <f>17.3243 * CHOOSE(CONTROL!$C$32, $C$9, 100%, $E$9)</f>
        <v>17.324300000000001</v>
      </c>
      <c r="H1022" s="81">
        <f>35.9827 * CHOOSE(CONTROL!$C$32, $C$9, 100%, $E$9)</f>
        <v>35.982700000000001</v>
      </c>
      <c r="I1022" s="81">
        <f>35.9864 * CHOOSE(CONTROL!$C$32, $C$9, 100%, $E$9)</f>
        <v>35.986400000000003</v>
      </c>
      <c r="J1022" s="81">
        <f>35.9827 * CHOOSE(CONTROL!$C$32, $C$9, 100%, $E$9)</f>
        <v>35.982700000000001</v>
      </c>
      <c r="K1022" s="81">
        <f>35.9864 * CHOOSE(CONTROL!$C$32, $C$9, 100%, $E$9)</f>
        <v>35.986400000000003</v>
      </c>
      <c r="L1022" s="81">
        <f>17.3206 * CHOOSE(CONTROL!$C$32, $C$9, 100%, $E$9)</f>
        <v>17.320599999999999</v>
      </c>
      <c r="M1022" s="81">
        <f>17.3243 * CHOOSE(CONTROL!$C$32, $C$9, 100%, $E$9)</f>
        <v>17.324300000000001</v>
      </c>
      <c r="N1022" s="81">
        <f>17.3206 * CHOOSE(CONTROL!$C$32, $C$9, 100%, $E$9)</f>
        <v>17.320599999999999</v>
      </c>
      <c r="O1022" s="81">
        <f>17.3243 * CHOOSE(CONTROL!$C$32, $C$9, 100%, $E$9)</f>
        <v>17.324300000000001</v>
      </c>
    </row>
    <row r="1023" spans="1:15" ht="15" x14ac:dyDescent="0.2">
      <c r="A1023" s="16">
        <v>72352</v>
      </c>
      <c r="B1023" s="80">
        <f>15.3741 * CHOOSE(CONTROL!$C$32, $C$9, 100%, $E$9)</f>
        <v>15.3741</v>
      </c>
      <c r="C1023" s="80">
        <f>15.3741 * CHOOSE(CONTROL!$C$32, $C$9, 100%, $E$9)</f>
        <v>15.3741</v>
      </c>
      <c r="D1023" s="80">
        <f>15.3751 * CHOOSE(CONTROL!$C$32, $C$9, 100%, $E$9)</f>
        <v>15.3751</v>
      </c>
      <c r="E1023" s="81">
        <f>16.8312 * CHOOSE(CONTROL!$C$32, $C$9, 100%, $E$9)</f>
        <v>16.831199999999999</v>
      </c>
      <c r="F1023" s="81">
        <f>16.8312 * CHOOSE(CONTROL!$C$32, $C$9, 100%, $E$9)</f>
        <v>16.831199999999999</v>
      </c>
      <c r="G1023" s="81">
        <f>16.8348 * CHOOSE(CONTROL!$C$32, $C$9, 100%, $E$9)</f>
        <v>16.834800000000001</v>
      </c>
      <c r="H1023" s="81">
        <f>36.0577 * CHOOSE(CONTROL!$C$32, $C$9, 100%, $E$9)</f>
        <v>36.057699999999997</v>
      </c>
      <c r="I1023" s="81">
        <f>36.0613 * CHOOSE(CONTROL!$C$32, $C$9, 100%, $E$9)</f>
        <v>36.061300000000003</v>
      </c>
      <c r="J1023" s="81">
        <f>36.0577 * CHOOSE(CONTROL!$C$32, $C$9, 100%, $E$9)</f>
        <v>36.057699999999997</v>
      </c>
      <c r="K1023" s="81">
        <f>36.0613 * CHOOSE(CONTROL!$C$32, $C$9, 100%, $E$9)</f>
        <v>36.061300000000003</v>
      </c>
      <c r="L1023" s="81">
        <f>16.8312 * CHOOSE(CONTROL!$C$32, $C$9, 100%, $E$9)</f>
        <v>16.831199999999999</v>
      </c>
      <c r="M1023" s="81">
        <f>16.8348 * CHOOSE(CONTROL!$C$32, $C$9, 100%, $E$9)</f>
        <v>16.834800000000001</v>
      </c>
      <c r="N1023" s="81">
        <f>16.8312 * CHOOSE(CONTROL!$C$32, $C$9, 100%, $E$9)</f>
        <v>16.831199999999999</v>
      </c>
      <c r="O1023" s="81">
        <f>16.8348 * CHOOSE(CONTROL!$C$32, $C$9, 100%, $E$9)</f>
        <v>16.834800000000001</v>
      </c>
    </row>
    <row r="1024" spans="1:15" ht="15" x14ac:dyDescent="0.2">
      <c r="A1024" s="16">
        <v>72380</v>
      </c>
      <c r="B1024" s="80">
        <f>15.371 * CHOOSE(CONTROL!$C$32, $C$9, 100%, $E$9)</f>
        <v>15.371</v>
      </c>
      <c r="C1024" s="80">
        <f>15.371 * CHOOSE(CONTROL!$C$32, $C$9, 100%, $E$9)</f>
        <v>15.371</v>
      </c>
      <c r="D1024" s="80">
        <f>15.3721 * CHOOSE(CONTROL!$C$32, $C$9, 100%, $E$9)</f>
        <v>15.3721</v>
      </c>
      <c r="E1024" s="81">
        <f>17.2133 * CHOOSE(CONTROL!$C$32, $C$9, 100%, $E$9)</f>
        <v>17.2133</v>
      </c>
      <c r="F1024" s="81">
        <f>17.2133 * CHOOSE(CONTROL!$C$32, $C$9, 100%, $E$9)</f>
        <v>17.2133</v>
      </c>
      <c r="G1024" s="81">
        <f>17.2169 * CHOOSE(CONTROL!$C$32, $C$9, 100%, $E$9)</f>
        <v>17.216899999999999</v>
      </c>
      <c r="H1024" s="81">
        <f>36.1328 * CHOOSE(CONTROL!$C$32, $C$9, 100%, $E$9)</f>
        <v>36.132800000000003</v>
      </c>
      <c r="I1024" s="81">
        <f>36.1364 * CHOOSE(CONTROL!$C$32, $C$9, 100%, $E$9)</f>
        <v>36.136400000000002</v>
      </c>
      <c r="J1024" s="81">
        <f>36.1328 * CHOOSE(CONTROL!$C$32, $C$9, 100%, $E$9)</f>
        <v>36.132800000000003</v>
      </c>
      <c r="K1024" s="81">
        <f>36.1364 * CHOOSE(CONTROL!$C$32, $C$9, 100%, $E$9)</f>
        <v>36.136400000000002</v>
      </c>
      <c r="L1024" s="81">
        <f>17.2133 * CHOOSE(CONTROL!$C$32, $C$9, 100%, $E$9)</f>
        <v>17.2133</v>
      </c>
      <c r="M1024" s="81">
        <f>17.2169 * CHOOSE(CONTROL!$C$32, $C$9, 100%, $E$9)</f>
        <v>17.216899999999999</v>
      </c>
      <c r="N1024" s="81">
        <f>17.2133 * CHOOSE(CONTROL!$C$32, $C$9, 100%, $E$9)</f>
        <v>17.2133</v>
      </c>
      <c r="O1024" s="81">
        <f>17.2169 * CHOOSE(CONTROL!$C$32, $C$9, 100%, $E$9)</f>
        <v>17.216899999999999</v>
      </c>
    </row>
    <row r="1025" spans="1:15" ht="15" x14ac:dyDescent="0.2">
      <c r="A1025" s="16">
        <v>72411</v>
      </c>
      <c r="B1025" s="80">
        <f>15.3797 * CHOOSE(CONTROL!$C$32, $C$9, 100%, $E$9)</f>
        <v>15.3797</v>
      </c>
      <c r="C1025" s="80">
        <f>15.3797 * CHOOSE(CONTROL!$C$32, $C$9, 100%, $E$9)</f>
        <v>15.3797</v>
      </c>
      <c r="D1025" s="80">
        <f>15.3808 * CHOOSE(CONTROL!$C$32, $C$9, 100%, $E$9)</f>
        <v>15.380800000000001</v>
      </c>
      <c r="E1025" s="81">
        <f>17.6216 * CHOOSE(CONTROL!$C$32, $C$9, 100%, $E$9)</f>
        <v>17.621600000000001</v>
      </c>
      <c r="F1025" s="81">
        <f>17.6216 * CHOOSE(CONTROL!$C$32, $C$9, 100%, $E$9)</f>
        <v>17.621600000000001</v>
      </c>
      <c r="G1025" s="81">
        <f>17.6252 * CHOOSE(CONTROL!$C$32, $C$9, 100%, $E$9)</f>
        <v>17.6252</v>
      </c>
      <c r="H1025" s="81">
        <f>36.2081 * CHOOSE(CONTROL!$C$32, $C$9, 100%, $E$9)</f>
        <v>36.208100000000002</v>
      </c>
      <c r="I1025" s="81">
        <f>36.2117 * CHOOSE(CONTROL!$C$32, $C$9, 100%, $E$9)</f>
        <v>36.2117</v>
      </c>
      <c r="J1025" s="81">
        <f>36.2081 * CHOOSE(CONTROL!$C$32, $C$9, 100%, $E$9)</f>
        <v>36.208100000000002</v>
      </c>
      <c r="K1025" s="81">
        <f>36.2117 * CHOOSE(CONTROL!$C$32, $C$9, 100%, $E$9)</f>
        <v>36.2117</v>
      </c>
      <c r="L1025" s="81">
        <f>17.6216 * CHOOSE(CONTROL!$C$32, $C$9, 100%, $E$9)</f>
        <v>17.621600000000001</v>
      </c>
      <c r="M1025" s="81">
        <f>17.6252 * CHOOSE(CONTROL!$C$32, $C$9, 100%, $E$9)</f>
        <v>17.6252</v>
      </c>
      <c r="N1025" s="81">
        <f>17.6216 * CHOOSE(CONTROL!$C$32, $C$9, 100%, $E$9)</f>
        <v>17.621600000000001</v>
      </c>
      <c r="O1025" s="81">
        <f>17.6252 * CHOOSE(CONTROL!$C$32, $C$9, 100%, $E$9)</f>
        <v>17.6252</v>
      </c>
    </row>
    <row r="1026" spans="1:15" ht="15" x14ac:dyDescent="0.2">
      <c r="A1026" s="16">
        <v>72441</v>
      </c>
      <c r="B1026" s="80">
        <f>15.3797 * CHOOSE(CONTROL!$C$32, $C$9, 100%, $E$9)</f>
        <v>15.3797</v>
      </c>
      <c r="C1026" s="80">
        <f>15.3797 * CHOOSE(CONTROL!$C$32, $C$9, 100%, $E$9)</f>
        <v>15.3797</v>
      </c>
      <c r="D1026" s="80">
        <f>15.3813 * CHOOSE(CONTROL!$C$32, $C$9, 100%, $E$9)</f>
        <v>15.3813</v>
      </c>
      <c r="E1026" s="81">
        <f>17.7763 * CHOOSE(CONTROL!$C$32, $C$9, 100%, $E$9)</f>
        <v>17.776299999999999</v>
      </c>
      <c r="F1026" s="81">
        <f>17.7763 * CHOOSE(CONTROL!$C$32, $C$9, 100%, $E$9)</f>
        <v>17.776299999999999</v>
      </c>
      <c r="G1026" s="81">
        <f>17.7816 * CHOOSE(CONTROL!$C$32, $C$9, 100%, $E$9)</f>
        <v>17.781600000000001</v>
      </c>
      <c r="H1026" s="81">
        <f>36.2835 * CHOOSE(CONTROL!$C$32, $C$9, 100%, $E$9)</f>
        <v>36.283499999999997</v>
      </c>
      <c r="I1026" s="81">
        <f>36.2888 * CHOOSE(CONTROL!$C$32, $C$9, 100%, $E$9)</f>
        <v>36.288800000000002</v>
      </c>
      <c r="J1026" s="81">
        <f>36.2835 * CHOOSE(CONTROL!$C$32, $C$9, 100%, $E$9)</f>
        <v>36.283499999999997</v>
      </c>
      <c r="K1026" s="81">
        <f>36.2888 * CHOOSE(CONTROL!$C$32, $C$9, 100%, $E$9)</f>
        <v>36.288800000000002</v>
      </c>
      <c r="L1026" s="81">
        <f>17.7763 * CHOOSE(CONTROL!$C$32, $C$9, 100%, $E$9)</f>
        <v>17.776299999999999</v>
      </c>
      <c r="M1026" s="81">
        <f>17.7816 * CHOOSE(CONTROL!$C$32, $C$9, 100%, $E$9)</f>
        <v>17.781600000000001</v>
      </c>
      <c r="N1026" s="81">
        <f>17.7763 * CHOOSE(CONTROL!$C$32, $C$9, 100%, $E$9)</f>
        <v>17.776299999999999</v>
      </c>
      <c r="O1026" s="81">
        <f>17.7816 * CHOOSE(CONTROL!$C$32, $C$9, 100%, $E$9)</f>
        <v>17.781600000000001</v>
      </c>
    </row>
    <row r="1027" spans="1:15" ht="15" x14ac:dyDescent="0.2">
      <c r="A1027" s="16">
        <v>72472</v>
      </c>
      <c r="B1027" s="80">
        <f>15.3858 * CHOOSE(CONTROL!$C$32, $C$9, 100%, $E$9)</f>
        <v>15.3858</v>
      </c>
      <c r="C1027" s="80">
        <f>15.3858 * CHOOSE(CONTROL!$C$32, $C$9, 100%, $E$9)</f>
        <v>15.3858</v>
      </c>
      <c r="D1027" s="80">
        <f>15.3874 * CHOOSE(CONTROL!$C$32, $C$9, 100%, $E$9)</f>
        <v>15.3874</v>
      </c>
      <c r="E1027" s="81">
        <f>17.6258 * CHOOSE(CONTROL!$C$32, $C$9, 100%, $E$9)</f>
        <v>17.625800000000002</v>
      </c>
      <c r="F1027" s="81">
        <f>17.6258 * CHOOSE(CONTROL!$C$32, $C$9, 100%, $E$9)</f>
        <v>17.625800000000002</v>
      </c>
      <c r="G1027" s="81">
        <f>17.6311 * CHOOSE(CONTROL!$C$32, $C$9, 100%, $E$9)</f>
        <v>17.6311</v>
      </c>
      <c r="H1027" s="81">
        <f>36.3591 * CHOOSE(CONTROL!$C$32, $C$9, 100%, $E$9)</f>
        <v>36.359099999999998</v>
      </c>
      <c r="I1027" s="81">
        <f>36.3644 * CHOOSE(CONTROL!$C$32, $C$9, 100%, $E$9)</f>
        <v>36.364400000000003</v>
      </c>
      <c r="J1027" s="81">
        <f>36.3591 * CHOOSE(CONTROL!$C$32, $C$9, 100%, $E$9)</f>
        <v>36.359099999999998</v>
      </c>
      <c r="K1027" s="81">
        <f>36.3644 * CHOOSE(CONTROL!$C$32, $C$9, 100%, $E$9)</f>
        <v>36.364400000000003</v>
      </c>
      <c r="L1027" s="81">
        <f>17.6258 * CHOOSE(CONTROL!$C$32, $C$9, 100%, $E$9)</f>
        <v>17.625800000000002</v>
      </c>
      <c r="M1027" s="81">
        <f>17.6311 * CHOOSE(CONTROL!$C$32, $C$9, 100%, $E$9)</f>
        <v>17.6311</v>
      </c>
      <c r="N1027" s="81">
        <f>17.6258 * CHOOSE(CONTROL!$C$32, $C$9, 100%, $E$9)</f>
        <v>17.625800000000002</v>
      </c>
      <c r="O1027" s="81">
        <f>17.6311 * CHOOSE(CONTROL!$C$32, $C$9, 100%, $E$9)</f>
        <v>17.6311</v>
      </c>
    </row>
    <row r="1028" spans="1:15" ht="15" x14ac:dyDescent="0.2">
      <c r="A1028" s="16">
        <v>72502</v>
      </c>
      <c r="B1028" s="80">
        <f>15.5692 * CHOOSE(CONTROL!$C$32, $C$9, 100%, $E$9)</f>
        <v>15.5692</v>
      </c>
      <c r="C1028" s="80">
        <f>15.5692 * CHOOSE(CONTROL!$C$32, $C$9, 100%, $E$9)</f>
        <v>15.5692</v>
      </c>
      <c r="D1028" s="80">
        <f>15.5708 * CHOOSE(CONTROL!$C$32, $C$9, 100%, $E$9)</f>
        <v>15.5708</v>
      </c>
      <c r="E1028" s="81">
        <f>17.8768 * CHOOSE(CONTROL!$C$32, $C$9, 100%, $E$9)</f>
        <v>17.876799999999999</v>
      </c>
      <c r="F1028" s="81">
        <f>17.8768 * CHOOSE(CONTROL!$C$32, $C$9, 100%, $E$9)</f>
        <v>17.876799999999999</v>
      </c>
      <c r="G1028" s="81">
        <f>17.8821 * CHOOSE(CONTROL!$C$32, $C$9, 100%, $E$9)</f>
        <v>17.882100000000001</v>
      </c>
      <c r="H1028" s="81">
        <f>36.4349 * CHOOSE(CONTROL!$C$32, $C$9, 100%, $E$9)</f>
        <v>36.434899999999999</v>
      </c>
      <c r="I1028" s="81">
        <f>36.4402 * CHOOSE(CONTROL!$C$32, $C$9, 100%, $E$9)</f>
        <v>36.440199999999997</v>
      </c>
      <c r="J1028" s="81">
        <f>36.4349 * CHOOSE(CONTROL!$C$32, $C$9, 100%, $E$9)</f>
        <v>36.434899999999999</v>
      </c>
      <c r="K1028" s="81">
        <f>36.4402 * CHOOSE(CONTROL!$C$32, $C$9, 100%, $E$9)</f>
        <v>36.440199999999997</v>
      </c>
      <c r="L1028" s="81">
        <f>17.8768 * CHOOSE(CONTROL!$C$32, $C$9, 100%, $E$9)</f>
        <v>17.876799999999999</v>
      </c>
      <c r="M1028" s="81">
        <f>17.8821 * CHOOSE(CONTROL!$C$32, $C$9, 100%, $E$9)</f>
        <v>17.882100000000001</v>
      </c>
      <c r="N1028" s="81">
        <f>17.8768 * CHOOSE(CONTROL!$C$32, $C$9, 100%, $E$9)</f>
        <v>17.876799999999999</v>
      </c>
      <c r="O1028" s="81">
        <f>17.8821 * CHOOSE(CONTROL!$C$32, $C$9, 100%, $E$9)</f>
        <v>17.882100000000001</v>
      </c>
    </row>
    <row r="1029" spans="1:15" ht="15" x14ac:dyDescent="0.2">
      <c r="A1029" s="16">
        <v>72533</v>
      </c>
      <c r="B1029" s="80">
        <f>15.5759 * CHOOSE(CONTROL!$C$32, $C$9, 100%, $E$9)</f>
        <v>15.575900000000001</v>
      </c>
      <c r="C1029" s="80">
        <f>15.5759 * CHOOSE(CONTROL!$C$32, $C$9, 100%, $E$9)</f>
        <v>15.575900000000001</v>
      </c>
      <c r="D1029" s="80">
        <f>15.5775 * CHOOSE(CONTROL!$C$32, $C$9, 100%, $E$9)</f>
        <v>15.577500000000001</v>
      </c>
      <c r="E1029" s="81">
        <f>17.4173 * CHOOSE(CONTROL!$C$32, $C$9, 100%, $E$9)</f>
        <v>17.417300000000001</v>
      </c>
      <c r="F1029" s="81">
        <f>17.4173 * CHOOSE(CONTROL!$C$32, $C$9, 100%, $E$9)</f>
        <v>17.417300000000001</v>
      </c>
      <c r="G1029" s="81">
        <f>17.4226 * CHOOSE(CONTROL!$C$32, $C$9, 100%, $E$9)</f>
        <v>17.422599999999999</v>
      </c>
      <c r="H1029" s="81">
        <f>36.5108 * CHOOSE(CONTROL!$C$32, $C$9, 100%, $E$9)</f>
        <v>36.510800000000003</v>
      </c>
      <c r="I1029" s="81">
        <f>36.5161 * CHOOSE(CONTROL!$C$32, $C$9, 100%, $E$9)</f>
        <v>36.516100000000002</v>
      </c>
      <c r="J1029" s="81">
        <f>36.5108 * CHOOSE(CONTROL!$C$32, $C$9, 100%, $E$9)</f>
        <v>36.510800000000003</v>
      </c>
      <c r="K1029" s="81">
        <f>36.5161 * CHOOSE(CONTROL!$C$32, $C$9, 100%, $E$9)</f>
        <v>36.516100000000002</v>
      </c>
      <c r="L1029" s="81">
        <f>17.4173 * CHOOSE(CONTROL!$C$32, $C$9, 100%, $E$9)</f>
        <v>17.417300000000001</v>
      </c>
      <c r="M1029" s="81">
        <f>17.4226 * CHOOSE(CONTROL!$C$32, $C$9, 100%, $E$9)</f>
        <v>17.422599999999999</v>
      </c>
      <c r="N1029" s="81">
        <f>17.4173 * CHOOSE(CONTROL!$C$32, $C$9, 100%, $E$9)</f>
        <v>17.417300000000001</v>
      </c>
      <c r="O1029" s="81">
        <f>17.4226 * CHOOSE(CONTROL!$C$32, $C$9, 100%, $E$9)</f>
        <v>17.422599999999999</v>
      </c>
    </row>
    <row r="1030" spans="1:15" ht="15" x14ac:dyDescent="0.2">
      <c r="A1030" s="16">
        <v>72564</v>
      </c>
      <c r="B1030" s="80">
        <f>15.5729 * CHOOSE(CONTROL!$C$32, $C$9, 100%, $E$9)</f>
        <v>15.572900000000001</v>
      </c>
      <c r="C1030" s="80">
        <f>15.5729 * CHOOSE(CONTROL!$C$32, $C$9, 100%, $E$9)</f>
        <v>15.572900000000001</v>
      </c>
      <c r="D1030" s="80">
        <f>15.5745 * CHOOSE(CONTROL!$C$32, $C$9, 100%, $E$9)</f>
        <v>15.5745</v>
      </c>
      <c r="E1030" s="81">
        <f>17.3636 * CHOOSE(CONTROL!$C$32, $C$9, 100%, $E$9)</f>
        <v>17.363600000000002</v>
      </c>
      <c r="F1030" s="81">
        <f>17.3636 * CHOOSE(CONTROL!$C$32, $C$9, 100%, $E$9)</f>
        <v>17.363600000000002</v>
      </c>
      <c r="G1030" s="81">
        <f>17.3689 * CHOOSE(CONTROL!$C$32, $C$9, 100%, $E$9)</f>
        <v>17.3689</v>
      </c>
      <c r="H1030" s="81">
        <f>36.5868 * CHOOSE(CONTROL!$C$32, $C$9, 100%, $E$9)</f>
        <v>36.586799999999997</v>
      </c>
      <c r="I1030" s="81">
        <f>36.5921 * CHOOSE(CONTROL!$C$32, $C$9, 100%, $E$9)</f>
        <v>36.592100000000002</v>
      </c>
      <c r="J1030" s="81">
        <f>36.5868 * CHOOSE(CONTROL!$C$32, $C$9, 100%, $E$9)</f>
        <v>36.586799999999997</v>
      </c>
      <c r="K1030" s="81">
        <f>36.5921 * CHOOSE(CONTROL!$C$32, $C$9, 100%, $E$9)</f>
        <v>36.592100000000002</v>
      </c>
      <c r="L1030" s="81">
        <f>17.3636 * CHOOSE(CONTROL!$C$32, $C$9, 100%, $E$9)</f>
        <v>17.363600000000002</v>
      </c>
      <c r="M1030" s="81">
        <f>17.3689 * CHOOSE(CONTROL!$C$32, $C$9, 100%, $E$9)</f>
        <v>17.3689</v>
      </c>
      <c r="N1030" s="81">
        <f>17.3636 * CHOOSE(CONTROL!$C$32, $C$9, 100%, $E$9)</f>
        <v>17.363600000000002</v>
      </c>
      <c r="O1030" s="81">
        <f>17.3689 * CHOOSE(CONTROL!$C$32, $C$9, 100%, $E$9)</f>
        <v>17.3689</v>
      </c>
    </row>
    <row r="1031" spans="1:15" ht="15" x14ac:dyDescent="0.2">
      <c r="A1031" s="16">
        <v>72594</v>
      </c>
      <c r="B1031" s="80">
        <f>15.6112 * CHOOSE(CONTROL!$C$32, $C$9, 100%, $E$9)</f>
        <v>15.6112</v>
      </c>
      <c r="C1031" s="80">
        <f>15.6112 * CHOOSE(CONTROL!$C$32, $C$9, 100%, $E$9)</f>
        <v>15.6112</v>
      </c>
      <c r="D1031" s="80">
        <f>15.6123 * CHOOSE(CONTROL!$C$32, $C$9, 100%, $E$9)</f>
        <v>15.612299999999999</v>
      </c>
      <c r="E1031" s="81">
        <f>17.5565 * CHOOSE(CONTROL!$C$32, $C$9, 100%, $E$9)</f>
        <v>17.5565</v>
      </c>
      <c r="F1031" s="81">
        <f>17.5565 * CHOOSE(CONTROL!$C$32, $C$9, 100%, $E$9)</f>
        <v>17.5565</v>
      </c>
      <c r="G1031" s="81">
        <f>17.5601 * CHOOSE(CONTROL!$C$32, $C$9, 100%, $E$9)</f>
        <v>17.560099999999998</v>
      </c>
      <c r="H1031" s="81">
        <f>36.6631 * CHOOSE(CONTROL!$C$32, $C$9, 100%, $E$9)</f>
        <v>36.6631</v>
      </c>
      <c r="I1031" s="81">
        <f>36.6667 * CHOOSE(CONTROL!$C$32, $C$9, 100%, $E$9)</f>
        <v>36.666699999999999</v>
      </c>
      <c r="J1031" s="81">
        <f>36.6631 * CHOOSE(CONTROL!$C$32, $C$9, 100%, $E$9)</f>
        <v>36.6631</v>
      </c>
      <c r="K1031" s="81">
        <f>36.6667 * CHOOSE(CONTROL!$C$32, $C$9, 100%, $E$9)</f>
        <v>36.666699999999999</v>
      </c>
      <c r="L1031" s="81">
        <f>17.5565 * CHOOSE(CONTROL!$C$32, $C$9, 100%, $E$9)</f>
        <v>17.5565</v>
      </c>
      <c r="M1031" s="81">
        <f>17.5601 * CHOOSE(CONTROL!$C$32, $C$9, 100%, $E$9)</f>
        <v>17.560099999999998</v>
      </c>
      <c r="N1031" s="81">
        <f>17.5565 * CHOOSE(CONTROL!$C$32, $C$9, 100%, $E$9)</f>
        <v>17.5565</v>
      </c>
      <c r="O1031" s="81">
        <f>17.5601 * CHOOSE(CONTROL!$C$32, $C$9, 100%, $E$9)</f>
        <v>17.560099999999998</v>
      </c>
    </row>
    <row r="1032" spans="1:15" ht="15" x14ac:dyDescent="0.2">
      <c r="A1032" s="16">
        <v>72625</v>
      </c>
      <c r="B1032" s="80">
        <f>15.6143 * CHOOSE(CONTROL!$C$32, $C$9, 100%, $E$9)</f>
        <v>15.6143</v>
      </c>
      <c r="C1032" s="80">
        <f>15.6143 * CHOOSE(CONTROL!$C$32, $C$9, 100%, $E$9)</f>
        <v>15.6143</v>
      </c>
      <c r="D1032" s="80">
        <f>15.6154 * CHOOSE(CONTROL!$C$32, $C$9, 100%, $E$9)</f>
        <v>15.615399999999999</v>
      </c>
      <c r="E1032" s="81">
        <f>17.6617 * CHOOSE(CONTROL!$C$32, $C$9, 100%, $E$9)</f>
        <v>17.6617</v>
      </c>
      <c r="F1032" s="81">
        <f>17.6617 * CHOOSE(CONTROL!$C$32, $C$9, 100%, $E$9)</f>
        <v>17.6617</v>
      </c>
      <c r="G1032" s="81">
        <f>17.6653 * CHOOSE(CONTROL!$C$32, $C$9, 100%, $E$9)</f>
        <v>17.665299999999998</v>
      </c>
      <c r="H1032" s="81">
        <f>36.7394 * CHOOSE(CONTROL!$C$32, $C$9, 100%, $E$9)</f>
        <v>36.739400000000003</v>
      </c>
      <c r="I1032" s="81">
        <f>36.7431 * CHOOSE(CONTROL!$C$32, $C$9, 100%, $E$9)</f>
        <v>36.743099999999998</v>
      </c>
      <c r="J1032" s="81">
        <f>36.7394 * CHOOSE(CONTROL!$C$32, $C$9, 100%, $E$9)</f>
        <v>36.739400000000003</v>
      </c>
      <c r="K1032" s="81">
        <f>36.7431 * CHOOSE(CONTROL!$C$32, $C$9, 100%, $E$9)</f>
        <v>36.743099999999998</v>
      </c>
      <c r="L1032" s="81">
        <f>17.6617 * CHOOSE(CONTROL!$C$32, $C$9, 100%, $E$9)</f>
        <v>17.6617</v>
      </c>
      <c r="M1032" s="81">
        <f>17.6653 * CHOOSE(CONTROL!$C$32, $C$9, 100%, $E$9)</f>
        <v>17.665299999999998</v>
      </c>
      <c r="N1032" s="81">
        <f>17.6617 * CHOOSE(CONTROL!$C$32, $C$9, 100%, $E$9)</f>
        <v>17.6617</v>
      </c>
      <c r="O1032" s="81">
        <f>17.6653 * CHOOSE(CONTROL!$C$32, $C$9, 100%, $E$9)</f>
        <v>17.665299999999998</v>
      </c>
    </row>
    <row r="1033" spans="1:15" ht="15" x14ac:dyDescent="0.2">
      <c r="A1033" s="16">
        <v>72655</v>
      </c>
      <c r="B1033" s="80">
        <f>15.6143 * CHOOSE(CONTROL!$C$32, $C$9, 100%, $E$9)</f>
        <v>15.6143</v>
      </c>
      <c r="C1033" s="80">
        <f>15.6143 * CHOOSE(CONTROL!$C$32, $C$9, 100%, $E$9)</f>
        <v>15.6143</v>
      </c>
      <c r="D1033" s="80">
        <f>15.6154 * CHOOSE(CONTROL!$C$32, $C$9, 100%, $E$9)</f>
        <v>15.615399999999999</v>
      </c>
      <c r="E1033" s="81">
        <f>17.4039 * CHOOSE(CONTROL!$C$32, $C$9, 100%, $E$9)</f>
        <v>17.4039</v>
      </c>
      <c r="F1033" s="81">
        <f>17.4039 * CHOOSE(CONTROL!$C$32, $C$9, 100%, $E$9)</f>
        <v>17.4039</v>
      </c>
      <c r="G1033" s="81">
        <f>17.4075 * CHOOSE(CONTROL!$C$32, $C$9, 100%, $E$9)</f>
        <v>17.407499999999999</v>
      </c>
      <c r="H1033" s="81">
        <f>36.816 * CHOOSE(CONTROL!$C$32, $C$9, 100%, $E$9)</f>
        <v>36.816000000000003</v>
      </c>
      <c r="I1033" s="81">
        <f>36.8196 * CHOOSE(CONTROL!$C$32, $C$9, 100%, $E$9)</f>
        <v>36.819600000000001</v>
      </c>
      <c r="J1033" s="81">
        <f>36.816 * CHOOSE(CONTROL!$C$32, $C$9, 100%, $E$9)</f>
        <v>36.816000000000003</v>
      </c>
      <c r="K1033" s="81">
        <f>36.8196 * CHOOSE(CONTROL!$C$32, $C$9, 100%, $E$9)</f>
        <v>36.819600000000001</v>
      </c>
      <c r="L1033" s="81">
        <f>17.4039 * CHOOSE(CONTROL!$C$32, $C$9, 100%, $E$9)</f>
        <v>17.4039</v>
      </c>
      <c r="M1033" s="81">
        <f>17.4075 * CHOOSE(CONTROL!$C$32, $C$9, 100%, $E$9)</f>
        <v>17.407499999999999</v>
      </c>
      <c r="N1033" s="81">
        <f>17.4039 * CHOOSE(CONTROL!$C$32, $C$9, 100%, $E$9)</f>
        <v>17.4039</v>
      </c>
      <c r="O1033" s="81">
        <f>17.4075 * CHOOSE(CONTROL!$C$32, $C$9, 100%, $E$9)</f>
        <v>17.407499999999999</v>
      </c>
    </row>
    <row r="1034" spans="1:15" ht="15" x14ac:dyDescent="0.2">
      <c r="A1034" s="16">
        <v>72686</v>
      </c>
      <c r="B1034" s="80">
        <f>15.5645 * CHOOSE(CONTROL!$C$32, $C$9, 100%, $E$9)</f>
        <v>15.564500000000001</v>
      </c>
      <c r="C1034" s="80">
        <f>15.5645 * CHOOSE(CONTROL!$C$32, $C$9, 100%, $E$9)</f>
        <v>15.564500000000001</v>
      </c>
      <c r="D1034" s="80">
        <f>15.5655 * CHOOSE(CONTROL!$C$32, $C$9, 100%, $E$9)</f>
        <v>15.5655</v>
      </c>
      <c r="E1034" s="81">
        <f>17.5331 * CHOOSE(CONTROL!$C$32, $C$9, 100%, $E$9)</f>
        <v>17.533100000000001</v>
      </c>
      <c r="F1034" s="81">
        <f>17.5331 * CHOOSE(CONTROL!$C$32, $C$9, 100%, $E$9)</f>
        <v>17.533100000000001</v>
      </c>
      <c r="G1034" s="81">
        <f>17.5368 * CHOOSE(CONTROL!$C$32, $C$9, 100%, $E$9)</f>
        <v>17.536799999999999</v>
      </c>
      <c r="H1034" s="81">
        <f>36.4468 * CHOOSE(CONTROL!$C$32, $C$9, 100%, $E$9)</f>
        <v>36.446800000000003</v>
      </c>
      <c r="I1034" s="81">
        <f>36.4504 * CHOOSE(CONTROL!$C$32, $C$9, 100%, $E$9)</f>
        <v>36.450400000000002</v>
      </c>
      <c r="J1034" s="81">
        <f>36.4468 * CHOOSE(CONTROL!$C$32, $C$9, 100%, $E$9)</f>
        <v>36.446800000000003</v>
      </c>
      <c r="K1034" s="81">
        <f>36.4504 * CHOOSE(CONTROL!$C$32, $C$9, 100%, $E$9)</f>
        <v>36.450400000000002</v>
      </c>
      <c r="L1034" s="81">
        <f>17.5331 * CHOOSE(CONTROL!$C$32, $C$9, 100%, $E$9)</f>
        <v>17.533100000000001</v>
      </c>
      <c r="M1034" s="81">
        <f>17.5368 * CHOOSE(CONTROL!$C$32, $C$9, 100%, $E$9)</f>
        <v>17.536799999999999</v>
      </c>
      <c r="N1034" s="81">
        <f>17.5331 * CHOOSE(CONTROL!$C$32, $C$9, 100%, $E$9)</f>
        <v>17.533100000000001</v>
      </c>
      <c r="O1034" s="81">
        <f>17.5368 * CHOOSE(CONTROL!$C$32, $C$9, 100%, $E$9)</f>
        <v>17.536799999999999</v>
      </c>
    </row>
    <row r="1035" spans="1:15" ht="15" x14ac:dyDescent="0.2">
      <c r="A1035" s="16">
        <v>72717</v>
      </c>
      <c r="B1035" s="80">
        <f>15.5614 * CHOOSE(CONTROL!$C$32, $C$9, 100%, $E$9)</f>
        <v>15.561400000000001</v>
      </c>
      <c r="C1035" s="80">
        <f>15.5614 * CHOOSE(CONTROL!$C$32, $C$9, 100%, $E$9)</f>
        <v>15.561400000000001</v>
      </c>
      <c r="D1035" s="80">
        <f>15.5625 * CHOOSE(CONTROL!$C$32, $C$9, 100%, $E$9)</f>
        <v>15.5625</v>
      </c>
      <c r="E1035" s="81">
        <f>17.0366 * CHOOSE(CONTROL!$C$32, $C$9, 100%, $E$9)</f>
        <v>17.0366</v>
      </c>
      <c r="F1035" s="81">
        <f>17.0366 * CHOOSE(CONTROL!$C$32, $C$9, 100%, $E$9)</f>
        <v>17.0366</v>
      </c>
      <c r="G1035" s="81">
        <f>17.0402 * CHOOSE(CONTROL!$C$32, $C$9, 100%, $E$9)</f>
        <v>17.040199999999999</v>
      </c>
      <c r="H1035" s="81">
        <f>36.5227 * CHOOSE(CONTROL!$C$32, $C$9, 100%, $E$9)</f>
        <v>36.5227</v>
      </c>
      <c r="I1035" s="81">
        <f>36.5263 * CHOOSE(CONTROL!$C$32, $C$9, 100%, $E$9)</f>
        <v>36.526299999999999</v>
      </c>
      <c r="J1035" s="81">
        <f>36.5227 * CHOOSE(CONTROL!$C$32, $C$9, 100%, $E$9)</f>
        <v>36.5227</v>
      </c>
      <c r="K1035" s="81">
        <f>36.5263 * CHOOSE(CONTROL!$C$32, $C$9, 100%, $E$9)</f>
        <v>36.526299999999999</v>
      </c>
      <c r="L1035" s="81">
        <f>17.0366 * CHOOSE(CONTROL!$C$32, $C$9, 100%, $E$9)</f>
        <v>17.0366</v>
      </c>
      <c r="M1035" s="81">
        <f>17.0402 * CHOOSE(CONTROL!$C$32, $C$9, 100%, $E$9)</f>
        <v>17.040199999999999</v>
      </c>
      <c r="N1035" s="81">
        <f>17.0366 * CHOOSE(CONTROL!$C$32, $C$9, 100%, $E$9)</f>
        <v>17.0366</v>
      </c>
      <c r="O1035" s="81">
        <f>17.0402 * CHOOSE(CONTROL!$C$32, $C$9, 100%, $E$9)</f>
        <v>17.040199999999999</v>
      </c>
    </row>
    <row r="1036" spans="1:15" ht="15" x14ac:dyDescent="0.2">
      <c r="A1036" s="16">
        <v>72745</v>
      </c>
      <c r="B1036" s="80">
        <f>15.5584 * CHOOSE(CONTROL!$C$32, $C$9, 100%, $E$9)</f>
        <v>15.558400000000001</v>
      </c>
      <c r="C1036" s="80">
        <f>15.5584 * CHOOSE(CONTROL!$C$32, $C$9, 100%, $E$9)</f>
        <v>15.558400000000001</v>
      </c>
      <c r="D1036" s="80">
        <f>15.5595 * CHOOSE(CONTROL!$C$32, $C$9, 100%, $E$9)</f>
        <v>15.5595</v>
      </c>
      <c r="E1036" s="81">
        <f>17.4243 * CHOOSE(CONTROL!$C$32, $C$9, 100%, $E$9)</f>
        <v>17.424299999999999</v>
      </c>
      <c r="F1036" s="81">
        <f>17.4243 * CHOOSE(CONTROL!$C$32, $C$9, 100%, $E$9)</f>
        <v>17.424299999999999</v>
      </c>
      <c r="G1036" s="81">
        <f>17.4279 * CHOOSE(CONTROL!$C$32, $C$9, 100%, $E$9)</f>
        <v>17.427900000000001</v>
      </c>
      <c r="H1036" s="81">
        <f>36.5988 * CHOOSE(CONTROL!$C$32, $C$9, 100%, $E$9)</f>
        <v>36.598799999999997</v>
      </c>
      <c r="I1036" s="81">
        <f>36.6024 * CHOOSE(CONTROL!$C$32, $C$9, 100%, $E$9)</f>
        <v>36.602400000000003</v>
      </c>
      <c r="J1036" s="81">
        <f>36.5988 * CHOOSE(CONTROL!$C$32, $C$9, 100%, $E$9)</f>
        <v>36.598799999999997</v>
      </c>
      <c r="K1036" s="81">
        <f>36.6024 * CHOOSE(CONTROL!$C$32, $C$9, 100%, $E$9)</f>
        <v>36.602400000000003</v>
      </c>
      <c r="L1036" s="81">
        <f>17.4243 * CHOOSE(CONTROL!$C$32, $C$9, 100%, $E$9)</f>
        <v>17.424299999999999</v>
      </c>
      <c r="M1036" s="81">
        <f>17.4279 * CHOOSE(CONTROL!$C$32, $C$9, 100%, $E$9)</f>
        <v>17.427900000000001</v>
      </c>
      <c r="N1036" s="81">
        <f>17.4243 * CHOOSE(CONTROL!$C$32, $C$9, 100%, $E$9)</f>
        <v>17.424299999999999</v>
      </c>
      <c r="O1036" s="81">
        <f>17.4279 * CHOOSE(CONTROL!$C$32, $C$9, 100%, $E$9)</f>
        <v>17.427900000000001</v>
      </c>
    </row>
    <row r="1037" spans="1:15" ht="15" x14ac:dyDescent="0.2">
      <c r="A1037" s="16">
        <v>72776</v>
      </c>
      <c r="B1037" s="80">
        <f>15.5673 * CHOOSE(CONTROL!$C$32, $C$9, 100%, $E$9)</f>
        <v>15.567299999999999</v>
      </c>
      <c r="C1037" s="80">
        <f>15.5673 * CHOOSE(CONTROL!$C$32, $C$9, 100%, $E$9)</f>
        <v>15.567299999999999</v>
      </c>
      <c r="D1037" s="80">
        <f>15.5683 * CHOOSE(CONTROL!$C$32, $C$9, 100%, $E$9)</f>
        <v>15.568300000000001</v>
      </c>
      <c r="E1037" s="81">
        <f>17.8386 * CHOOSE(CONTROL!$C$32, $C$9, 100%, $E$9)</f>
        <v>17.8386</v>
      </c>
      <c r="F1037" s="81">
        <f>17.8386 * CHOOSE(CONTROL!$C$32, $C$9, 100%, $E$9)</f>
        <v>17.8386</v>
      </c>
      <c r="G1037" s="81">
        <f>17.8422 * CHOOSE(CONTROL!$C$32, $C$9, 100%, $E$9)</f>
        <v>17.842199999999998</v>
      </c>
      <c r="H1037" s="81">
        <f>36.675 * CHOOSE(CONTROL!$C$32, $C$9, 100%, $E$9)</f>
        <v>36.674999999999997</v>
      </c>
      <c r="I1037" s="81">
        <f>36.6787 * CHOOSE(CONTROL!$C$32, $C$9, 100%, $E$9)</f>
        <v>36.678699999999999</v>
      </c>
      <c r="J1037" s="81">
        <f>36.675 * CHOOSE(CONTROL!$C$32, $C$9, 100%, $E$9)</f>
        <v>36.674999999999997</v>
      </c>
      <c r="K1037" s="81">
        <f>36.6787 * CHOOSE(CONTROL!$C$32, $C$9, 100%, $E$9)</f>
        <v>36.678699999999999</v>
      </c>
      <c r="L1037" s="81">
        <f>17.8386 * CHOOSE(CONTROL!$C$32, $C$9, 100%, $E$9)</f>
        <v>17.8386</v>
      </c>
      <c r="M1037" s="81">
        <f>17.8422 * CHOOSE(CONTROL!$C$32, $C$9, 100%, $E$9)</f>
        <v>17.842199999999998</v>
      </c>
      <c r="N1037" s="81">
        <f>17.8386 * CHOOSE(CONTROL!$C$32, $C$9, 100%, $E$9)</f>
        <v>17.8386</v>
      </c>
      <c r="O1037" s="81">
        <f>17.8422 * CHOOSE(CONTROL!$C$32, $C$9, 100%, $E$9)</f>
        <v>17.842199999999998</v>
      </c>
    </row>
    <row r="1038" spans="1:15" ht="15" x14ac:dyDescent="0.2">
      <c r="A1038" s="16">
        <v>72806</v>
      </c>
      <c r="B1038" s="80">
        <f>15.5673 * CHOOSE(CONTROL!$C$32, $C$9, 100%, $E$9)</f>
        <v>15.567299999999999</v>
      </c>
      <c r="C1038" s="80">
        <f>15.5673 * CHOOSE(CONTROL!$C$32, $C$9, 100%, $E$9)</f>
        <v>15.567299999999999</v>
      </c>
      <c r="D1038" s="80">
        <f>15.5688 * CHOOSE(CONTROL!$C$32, $C$9, 100%, $E$9)</f>
        <v>15.5688</v>
      </c>
      <c r="E1038" s="81">
        <f>17.9956 * CHOOSE(CONTROL!$C$32, $C$9, 100%, $E$9)</f>
        <v>17.9956</v>
      </c>
      <c r="F1038" s="81">
        <f>17.9956 * CHOOSE(CONTROL!$C$32, $C$9, 100%, $E$9)</f>
        <v>17.9956</v>
      </c>
      <c r="G1038" s="81">
        <f>18.0009 * CHOOSE(CONTROL!$C$32, $C$9, 100%, $E$9)</f>
        <v>18.000900000000001</v>
      </c>
      <c r="H1038" s="81">
        <f>36.7514 * CHOOSE(CONTROL!$C$32, $C$9, 100%, $E$9)</f>
        <v>36.751399999999997</v>
      </c>
      <c r="I1038" s="81">
        <f>36.7567 * CHOOSE(CONTROL!$C$32, $C$9, 100%, $E$9)</f>
        <v>36.756700000000002</v>
      </c>
      <c r="J1038" s="81">
        <f>36.7514 * CHOOSE(CONTROL!$C$32, $C$9, 100%, $E$9)</f>
        <v>36.751399999999997</v>
      </c>
      <c r="K1038" s="81">
        <f>36.7567 * CHOOSE(CONTROL!$C$32, $C$9, 100%, $E$9)</f>
        <v>36.756700000000002</v>
      </c>
      <c r="L1038" s="81">
        <f>17.9956 * CHOOSE(CONTROL!$C$32, $C$9, 100%, $E$9)</f>
        <v>17.9956</v>
      </c>
      <c r="M1038" s="81">
        <f>18.0009 * CHOOSE(CONTROL!$C$32, $C$9, 100%, $E$9)</f>
        <v>18.000900000000001</v>
      </c>
      <c r="N1038" s="81">
        <f>17.9956 * CHOOSE(CONTROL!$C$32, $C$9, 100%, $E$9)</f>
        <v>17.9956</v>
      </c>
      <c r="O1038" s="81">
        <f>18.0009 * CHOOSE(CONTROL!$C$32, $C$9, 100%, $E$9)</f>
        <v>18.000900000000001</v>
      </c>
    </row>
    <row r="1039" spans="1:15" ht="15" x14ac:dyDescent="0.2">
      <c r="A1039" s="16">
        <v>72837</v>
      </c>
      <c r="B1039" s="80">
        <f>15.5733 * CHOOSE(CONTROL!$C$32, $C$9, 100%, $E$9)</f>
        <v>15.5733</v>
      </c>
      <c r="C1039" s="80">
        <f>15.5733 * CHOOSE(CONTROL!$C$32, $C$9, 100%, $E$9)</f>
        <v>15.5733</v>
      </c>
      <c r="D1039" s="80">
        <f>15.5749 * CHOOSE(CONTROL!$C$32, $C$9, 100%, $E$9)</f>
        <v>15.5749</v>
      </c>
      <c r="E1039" s="81">
        <f>17.8428 * CHOOSE(CONTROL!$C$32, $C$9, 100%, $E$9)</f>
        <v>17.8428</v>
      </c>
      <c r="F1039" s="81">
        <f>17.8428 * CHOOSE(CONTROL!$C$32, $C$9, 100%, $E$9)</f>
        <v>17.8428</v>
      </c>
      <c r="G1039" s="81">
        <f>17.8481 * CHOOSE(CONTROL!$C$32, $C$9, 100%, $E$9)</f>
        <v>17.848099999999999</v>
      </c>
      <c r="H1039" s="81">
        <f>36.828 * CHOOSE(CONTROL!$C$32, $C$9, 100%, $E$9)</f>
        <v>36.828000000000003</v>
      </c>
      <c r="I1039" s="81">
        <f>36.8333 * CHOOSE(CONTROL!$C$32, $C$9, 100%, $E$9)</f>
        <v>36.833300000000001</v>
      </c>
      <c r="J1039" s="81">
        <f>36.828 * CHOOSE(CONTROL!$C$32, $C$9, 100%, $E$9)</f>
        <v>36.828000000000003</v>
      </c>
      <c r="K1039" s="81">
        <f>36.8333 * CHOOSE(CONTROL!$C$32, $C$9, 100%, $E$9)</f>
        <v>36.833300000000001</v>
      </c>
      <c r="L1039" s="81">
        <f>17.8428 * CHOOSE(CONTROL!$C$32, $C$9, 100%, $E$9)</f>
        <v>17.8428</v>
      </c>
      <c r="M1039" s="81">
        <f>17.8481 * CHOOSE(CONTROL!$C$32, $C$9, 100%, $E$9)</f>
        <v>17.848099999999999</v>
      </c>
      <c r="N1039" s="81">
        <f>17.8428 * CHOOSE(CONTROL!$C$32, $C$9, 100%, $E$9)</f>
        <v>17.8428</v>
      </c>
      <c r="O1039" s="81">
        <f>17.8481 * CHOOSE(CONTROL!$C$32, $C$9, 100%, $E$9)</f>
        <v>17.848099999999999</v>
      </c>
    </row>
    <row r="1040" spans="1:15" ht="15" x14ac:dyDescent="0.2">
      <c r="A1040" s="16">
        <v>72867</v>
      </c>
      <c r="B1040" s="80">
        <f>15.7588 * CHOOSE(CONTROL!$C$32, $C$9, 100%, $E$9)</f>
        <v>15.758800000000001</v>
      </c>
      <c r="C1040" s="80">
        <f>15.7588 * CHOOSE(CONTROL!$C$32, $C$9, 100%, $E$9)</f>
        <v>15.758800000000001</v>
      </c>
      <c r="D1040" s="80">
        <f>15.7604 * CHOOSE(CONTROL!$C$32, $C$9, 100%, $E$9)</f>
        <v>15.760400000000001</v>
      </c>
      <c r="E1040" s="81">
        <f>18.0969 * CHOOSE(CONTROL!$C$32, $C$9, 100%, $E$9)</f>
        <v>18.096900000000002</v>
      </c>
      <c r="F1040" s="81">
        <f>18.0969 * CHOOSE(CONTROL!$C$32, $C$9, 100%, $E$9)</f>
        <v>18.096900000000002</v>
      </c>
      <c r="G1040" s="81">
        <f>18.1022 * CHOOSE(CONTROL!$C$32, $C$9, 100%, $E$9)</f>
        <v>18.1022</v>
      </c>
      <c r="H1040" s="81">
        <f>36.9047 * CHOOSE(CONTROL!$C$32, $C$9, 100%, $E$9)</f>
        <v>36.904699999999998</v>
      </c>
      <c r="I1040" s="81">
        <f>36.91 * CHOOSE(CONTROL!$C$32, $C$9, 100%, $E$9)</f>
        <v>36.909999999999997</v>
      </c>
      <c r="J1040" s="81">
        <f>36.9047 * CHOOSE(CONTROL!$C$32, $C$9, 100%, $E$9)</f>
        <v>36.904699999999998</v>
      </c>
      <c r="K1040" s="81">
        <f>36.91 * CHOOSE(CONTROL!$C$32, $C$9, 100%, $E$9)</f>
        <v>36.909999999999997</v>
      </c>
      <c r="L1040" s="81">
        <f>18.0969 * CHOOSE(CONTROL!$C$32, $C$9, 100%, $E$9)</f>
        <v>18.096900000000002</v>
      </c>
      <c r="M1040" s="81">
        <f>18.1022 * CHOOSE(CONTROL!$C$32, $C$9, 100%, $E$9)</f>
        <v>18.1022</v>
      </c>
      <c r="N1040" s="81">
        <f>18.0969 * CHOOSE(CONTROL!$C$32, $C$9, 100%, $E$9)</f>
        <v>18.096900000000002</v>
      </c>
      <c r="O1040" s="81">
        <f>18.1022 * CHOOSE(CONTROL!$C$32, $C$9, 100%, $E$9)</f>
        <v>18.1022</v>
      </c>
    </row>
    <row r="1041" spans="1:15" ht="15" x14ac:dyDescent="0.2">
      <c r="A1041" s="16">
        <v>72898</v>
      </c>
      <c r="B1041" s="80">
        <f>15.7655 * CHOOSE(CONTROL!$C$32, $C$9, 100%, $E$9)</f>
        <v>15.765499999999999</v>
      </c>
      <c r="C1041" s="80">
        <f>15.7655 * CHOOSE(CONTROL!$C$32, $C$9, 100%, $E$9)</f>
        <v>15.765499999999999</v>
      </c>
      <c r="D1041" s="80">
        <f>15.7671 * CHOOSE(CONTROL!$C$32, $C$9, 100%, $E$9)</f>
        <v>15.767099999999999</v>
      </c>
      <c r="E1041" s="81">
        <f>17.6307 * CHOOSE(CONTROL!$C$32, $C$9, 100%, $E$9)</f>
        <v>17.630700000000001</v>
      </c>
      <c r="F1041" s="81">
        <f>17.6307 * CHOOSE(CONTROL!$C$32, $C$9, 100%, $E$9)</f>
        <v>17.630700000000001</v>
      </c>
      <c r="G1041" s="81">
        <f>17.636 * CHOOSE(CONTROL!$C$32, $C$9, 100%, $E$9)</f>
        <v>17.635999999999999</v>
      </c>
      <c r="H1041" s="81">
        <f>36.9816 * CHOOSE(CONTROL!$C$32, $C$9, 100%, $E$9)</f>
        <v>36.9816</v>
      </c>
      <c r="I1041" s="81">
        <f>36.9869 * CHOOSE(CONTROL!$C$32, $C$9, 100%, $E$9)</f>
        <v>36.986899999999999</v>
      </c>
      <c r="J1041" s="81">
        <f>36.9816 * CHOOSE(CONTROL!$C$32, $C$9, 100%, $E$9)</f>
        <v>36.9816</v>
      </c>
      <c r="K1041" s="81">
        <f>36.9869 * CHOOSE(CONTROL!$C$32, $C$9, 100%, $E$9)</f>
        <v>36.986899999999999</v>
      </c>
      <c r="L1041" s="81">
        <f>17.6307 * CHOOSE(CONTROL!$C$32, $C$9, 100%, $E$9)</f>
        <v>17.630700000000001</v>
      </c>
      <c r="M1041" s="81">
        <f>17.636 * CHOOSE(CONTROL!$C$32, $C$9, 100%, $E$9)</f>
        <v>17.635999999999999</v>
      </c>
      <c r="N1041" s="81">
        <f>17.6307 * CHOOSE(CONTROL!$C$32, $C$9, 100%, $E$9)</f>
        <v>17.630700000000001</v>
      </c>
      <c r="O1041" s="81">
        <f>17.636 * CHOOSE(CONTROL!$C$32, $C$9, 100%, $E$9)</f>
        <v>17.635999999999999</v>
      </c>
    </row>
    <row r="1042" spans="1:15" ht="15" x14ac:dyDescent="0.2">
      <c r="A1042" s="16">
        <v>72929</v>
      </c>
      <c r="B1042" s="80">
        <f>15.7625 * CHOOSE(CONTROL!$C$32, $C$9, 100%, $E$9)</f>
        <v>15.762499999999999</v>
      </c>
      <c r="C1042" s="80">
        <f>15.7625 * CHOOSE(CONTROL!$C$32, $C$9, 100%, $E$9)</f>
        <v>15.762499999999999</v>
      </c>
      <c r="D1042" s="80">
        <f>15.7641 * CHOOSE(CONTROL!$C$32, $C$9, 100%, $E$9)</f>
        <v>15.764099999999999</v>
      </c>
      <c r="E1042" s="81">
        <f>17.5763 * CHOOSE(CONTROL!$C$32, $C$9, 100%, $E$9)</f>
        <v>17.5763</v>
      </c>
      <c r="F1042" s="81">
        <f>17.5763 * CHOOSE(CONTROL!$C$32, $C$9, 100%, $E$9)</f>
        <v>17.5763</v>
      </c>
      <c r="G1042" s="81">
        <f>17.5816 * CHOOSE(CONTROL!$C$32, $C$9, 100%, $E$9)</f>
        <v>17.581600000000002</v>
      </c>
      <c r="H1042" s="81">
        <f>37.0587 * CHOOSE(CONTROL!$C$32, $C$9, 100%, $E$9)</f>
        <v>37.058700000000002</v>
      </c>
      <c r="I1042" s="81">
        <f>37.064 * CHOOSE(CONTROL!$C$32, $C$9, 100%, $E$9)</f>
        <v>37.064</v>
      </c>
      <c r="J1042" s="81">
        <f>37.0587 * CHOOSE(CONTROL!$C$32, $C$9, 100%, $E$9)</f>
        <v>37.058700000000002</v>
      </c>
      <c r="K1042" s="81">
        <f>37.064 * CHOOSE(CONTROL!$C$32, $C$9, 100%, $E$9)</f>
        <v>37.064</v>
      </c>
      <c r="L1042" s="81">
        <f>17.5763 * CHOOSE(CONTROL!$C$32, $C$9, 100%, $E$9)</f>
        <v>17.5763</v>
      </c>
      <c r="M1042" s="81">
        <f>17.5816 * CHOOSE(CONTROL!$C$32, $C$9, 100%, $E$9)</f>
        <v>17.581600000000002</v>
      </c>
      <c r="N1042" s="81">
        <f>17.5763 * CHOOSE(CONTROL!$C$32, $C$9, 100%, $E$9)</f>
        <v>17.5763</v>
      </c>
      <c r="O1042" s="81">
        <f>17.5816 * CHOOSE(CONTROL!$C$32, $C$9, 100%, $E$9)</f>
        <v>17.581600000000002</v>
      </c>
    </row>
    <row r="1043" spans="1:15" ht="15" x14ac:dyDescent="0.2">
      <c r="A1043" s="16">
        <v>72959</v>
      </c>
      <c r="B1043" s="80">
        <f>15.8016 * CHOOSE(CONTROL!$C$32, $C$9, 100%, $E$9)</f>
        <v>15.801600000000001</v>
      </c>
      <c r="C1043" s="80">
        <f>15.8016 * CHOOSE(CONTROL!$C$32, $C$9, 100%, $E$9)</f>
        <v>15.801600000000001</v>
      </c>
      <c r="D1043" s="80">
        <f>15.8026 * CHOOSE(CONTROL!$C$32, $C$9, 100%, $E$9)</f>
        <v>15.8026</v>
      </c>
      <c r="E1043" s="81">
        <f>17.7721 * CHOOSE(CONTROL!$C$32, $C$9, 100%, $E$9)</f>
        <v>17.772099999999998</v>
      </c>
      <c r="F1043" s="81">
        <f>17.7721 * CHOOSE(CONTROL!$C$32, $C$9, 100%, $E$9)</f>
        <v>17.772099999999998</v>
      </c>
      <c r="G1043" s="81">
        <f>17.7758 * CHOOSE(CONTROL!$C$32, $C$9, 100%, $E$9)</f>
        <v>17.7758</v>
      </c>
      <c r="H1043" s="81">
        <f>37.1359 * CHOOSE(CONTROL!$C$32, $C$9, 100%, $E$9)</f>
        <v>37.135899999999999</v>
      </c>
      <c r="I1043" s="81">
        <f>37.1395 * CHOOSE(CONTROL!$C$32, $C$9, 100%, $E$9)</f>
        <v>37.139499999999998</v>
      </c>
      <c r="J1043" s="81">
        <f>37.1359 * CHOOSE(CONTROL!$C$32, $C$9, 100%, $E$9)</f>
        <v>37.135899999999999</v>
      </c>
      <c r="K1043" s="81">
        <f>37.1395 * CHOOSE(CONTROL!$C$32, $C$9, 100%, $E$9)</f>
        <v>37.139499999999998</v>
      </c>
      <c r="L1043" s="81">
        <f>17.7721 * CHOOSE(CONTROL!$C$32, $C$9, 100%, $E$9)</f>
        <v>17.772099999999998</v>
      </c>
      <c r="M1043" s="81">
        <f>17.7758 * CHOOSE(CONTROL!$C$32, $C$9, 100%, $E$9)</f>
        <v>17.7758</v>
      </c>
      <c r="N1043" s="81">
        <f>17.7721 * CHOOSE(CONTROL!$C$32, $C$9, 100%, $E$9)</f>
        <v>17.772099999999998</v>
      </c>
      <c r="O1043" s="81">
        <f>17.7758 * CHOOSE(CONTROL!$C$32, $C$9, 100%, $E$9)</f>
        <v>17.7758</v>
      </c>
    </row>
    <row r="1044" spans="1:15" ht="15" x14ac:dyDescent="0.2">
      <c r="A1044" s="16">
        <v>72990</v>
      </c>
      <c r="B1044" s="80">
        <f>15.8046 * CHOOSE(CONTROL!$C$32, $C$9, 100%, $E$9)</f>
        <v>15.804600000000001</v>
      </c>
      <c r="C1044" s="80">
        <f>15.8046 * CHOOSE(CONTROL!$C$32, $C$9, 100%, $E$9)</f>
        <v>15.804600000000001</v>
      </c>
      <c r="D1044" s="80">
        <f>15.8057 * CHOOSE(CONTROL!$C$32, $C$9, 100%, $E$9)</f>
        <v>15.8057</v>
      </c>
      <c r="E1044" s="81">
        <f>17.8789 * CHOOSE(CONTROL!$C$32, $C$9, 100%, $E$9)</f>
        <v>17.878900000000002</v>
      </c>
      <c r="F1044" s="81">
        <f>17.8789 * CHOOSE(CONTROL!$C$32, $C$9, 100%, $E$9)</f>
        <v>17.878900000000002</v>
      </c>
      <c r="G1044" s="81">
        <f>17.8825 * CHOOSE(CONTROL!$C$32, $C$9, 100%, $E$9)</f>
        <v>17.8825</v>
      </c>
      <c r="H1044" s="81">
        <f>37.2132 * CHOOSE(CONTROL!$C$32, $C$9, 100%, $E$9)</f>
        <v>37.213200000000001</v>
      </c>
      <c r="I1044" s="81">
        <f>37.2169 * CHOOSE(CONTROL!$C$32, $C$9, 100%, $E$9)</f>
        <v>37.216900000000003</v>
      </c>
      <c r="J1044" s="81">
        <f>37.2132 * CHOOSE(CONTROL!$C$32, $C$9, 100%, $E$9)</f>
        <v>37.213200000000001</v>
      </c>
      <c r="K1044" s="81">
        <f>37.2169 * CHOOSE(CONTROL!$C$32, $C$9, 100%, $E$9)</f>
        <v>37.216900000000003</v>
      </c>
      <c r="L1044" s="81">
        <f>17.8789 * CHOOSE(CONTROL!$C$32, $C$9, 100%, $E$9)</f>
        <v>17.878900000000002</v>
      </c>
      <c r="M1044" s="81">
        <f>17.8825 * CHOOSE(CONTROL!$C$32, $C$9, 100%, $E$9)</f>
        <v>17.8825</v>
      </c>
      <c r="N1044" s="81">
        <f>17.8789 * CHOOSE(CONTROL!$C$32, $C$9, 100%, $E$9)</f>
        <v>17.878900000000002</v>
      </c>
      <c r="O1044" s="81">
        <f>17.8825 * CHOOSE(CONTROL!$C$32, $C$9, 100%, $E$9)</f>
        <v>17.8825</v>
      </c>
    </row>
    <row r="1045" spans="1:15" ht="15" x14ac:dyDescent="0.2">
      <c r="A1045" s="16">
        <v>73020</v>
      </c>
      <c r="B1045" s="80">
        <f>15.8046 * CHOOSE(CONTROL!$C$32, $C$9, 100%, $E$9)</f>
        <v>15.804600000000001</v>
      </c>
      <c r="C1045" s="80">
        <f>15.8046 * CHOOSE(CONTROL!$C$32, $C$9, 100%, $E$9)</f>
        <v>15.804600000000001</v>
      </c>
      <c r="D1045" s="80">
        <f>15.8057 * CHOOSE(CONTROL!$C$32, $C$9, 100%, $E$9)</f>
        <v>15.8057</v>
      </c>
      <c r="E1045" s="81">
        <f>17.6173 * CHOOSE(CONTROL!$C$32, $C$9, 100%, $E$9)</f>
        <v>17.6173</v>
      </c>
      <c r="F1045" s="81">
        <f>17.6173 * CHOOSE(CONTROL!$C$32, $C$9, 100%, $E$9)</f>
        <v>17.6173</v>
      </c>
      <c r="G1045" s="81">
        <f>17.6209 * CHOOSE(CONTROL!$C$32, $C$9, 100%, $E$9)</f>
        <v>17.620899999999999</v>
      </c>
      <c r="H1045" s="81">
        <f>37.2908 * CHOOSE(CONTROL!$C$32, $C$9, 100%, $E$9)</f>
        <v>37.290799999999997</v>
      </c>
      <c r="I1045" s="81">
        <f>37.2944 * CHOOSE(CONTROL!$C$32, $C$9, 100%, $E$9)</f>
        <v>37.294400000000003</v>
      </c>
      <c r="J1045" s="81">
        <f>37.2908 * CHOOSE(CONTROL!$C$32, $C$9, 100%, $E$9)</f>
        <v>37.290799999999997</v>
      </c>
      <c r="K1045" s="81">
        <f>37.2944 * CHOOSE(CONTROL!$C$32, $C$9, 100%, $E$9)</f>
        <v>37.294400000000003</v>
      </c>
      <c r="L1045" s="81">
        <f>17.6173 * CHOOSE(CONTROL!$C$32, $C$9, 100%, $E$9)</f>
        <v>17.6173</v>
      </c>
      <c r="M1045" s="81">
        <f>17.6209 * CHOOSE(CONTROL!$C$32, $C$9, 100%, $E$9)</f>
        <v>17.620899999999999</v>
      </c>
      <c r="N1045" s="81">
        <f>17.6173 * CHOOSE(CONTROL!$C$32, $C$9, 100%, $E$9)</f>
        <v>17.6173</v>
      </c>
      <c r="O1045" s="81">
        <f>17.6209 * CHOOSE(CONTROL!$C$32, $C$9, 100%, $E$9)</f>
        <v>17.620899999999999</v>
      </c>
    </row>
    <row r="1046" spans="1:15" ht="15" x14ac:dyDescent="0.2">
      <c r="A1046" s="16">
        <v>73051</v>
      </c>
      <c r="B1046" s="80">
        <f>15.7518 * CHOOSE(CONTROL!$C$32, $C$9, 100%, $E$9)</f>
        <v>15.751799999999999</v>
      </c>
      <c r="C1046" s="80">
        <f>15.7518 * CHOOSE(CONTROL!$C$32, $C$9, 100%, $E$9)</f>
        <v>15.751799999999999</v>
      </c>
      <c r="D1046" s="80">
        <f>15.7529 * CHOOSE(CONTROL!$C$32, $C$9, 100%, $E$9)</f>
        <v>15.7529</v>
      </c>
      <c r="E1046" s="81">
        <f>17.7456 * CHOOSE(CONTROL!$C$32, $C$9, 100%, $E$9)</f>
        <v>17.7456</v>
      </c>
      <c r="F1046" s="81">
        <f>17.7456 * CHOOSE(CONTROL!$C$32, $C$9, 100%, $E$9)</f>
        <v>17.7456</v>
      </c>
      <c r="G1046" s="81">
        <f>17.7493 * CHOOSE(CONTROL!$C$32, $C$9, 100%, $E$9)</f>
        <v>17.749300000000002</v>
      </c>
      <c r="H1046" s="81">
        <f>36.9108 * CHOOSE(CONTROL!$C$32, $C$9, 100%, $E$9)</f>
        <v>36.910800000000002</v>
      </c>
      <c r="I1046" s="81">
        <f>36.9144 * CHOOSE(CONTROL!$C$32, $C$9, 100%, $E$9)</f>
        <v>36.914400000000001</v>
      </c>
      <c r="J1046" s="81">
        <f>36.9108 * CHOOSE(CONTROL!$C$32, $C$9, 100%, $E$9)</f>
        <v>36.910800000000002</v>
      </c>
      <c r="K1046" s="81">
        <f>36.9144 * CHOOSE(CONTROL!$C$32, $C$9, 100%, $E$9)</f>
        <v>36.914400000000001</v>
      </c>
      <c r="L1046" s="81">
        <f>17.7456 * CHOOSE(CONTROL!$C$32, $C$9, 100%, $E$9)</f>
        <v>17.7456</v>
      </c>
      <c r="M1046" s="81">
        <f>17.7493 * CHOOSE(CONTROL!$C$32, $C$9, 100%, $E$9)</f>
        <v>17.749300000000002</v>
      </c>
      <c r="N1046" s="81">
        <f>17.7456 * CHOOSE(CONTROL!$C$32, $C$9, 100%, $E$9)</f>
        <v>17.7456</v>
      </c>
      <c r="O1046" s="81">
        <f>17.7493 * CHOOSE(CONTROL!$C$32, $C$9, 100%, $E$9)</f>
        <v>17.749300000000002</v>
      </c>
    </row>
    <row r="1047" spans="1:15" ht="15" x14ac:dyDescent="0.2">
      <c r="A1047" s="16">
        <v>73082</v>
      </c>
      <c r="B1047" s="80">
        <f>15.7488 * CHOOSE(CONTROL!$C$32, $C$9, 100%, $E$9)</f>
        <v>15.748799999999999</v>
      </c>
      <c r="C1047" s="80">
        <f>15.7488 * CHOOSE(CONTROL!$C$32, $C$9, 100%, $E$9)</f>
        <v>15.748799999999999</v>
      </c>
      <c r="D1047" s="80">
        <f>15.7498 * CHOOSE(CONTROL!$C$32, $C$9, 100%, $E$9)</f>
        <v>15.7498</v>
      </c>
      <c r="E1047" s="81">
        <f>17.242 * CHOOSE(CONTROL!$C$32, $C$9, 100%, $E$9)</f>
        <v>17.242000000000001</v>
      </c>
      <c r="F1047" s="81">
        <f>17.242 * CHOOSE(CONTROL!$C$32, $C$9, 100%, $E$9)</f>
        <v>17.242000000000001</v>
      </c>
      <c r="G1047" s="81">
        <f>17.2457 * CHOOSE(CONTROL!$C$32, $C$9, 100%, $E$9)</f>
        <v>17.245699999999999</v>
      </c>
      <c r="H1047" s="81">
        <f>36.9877 * CHOOSE(CONTROL!$C$32, $C$9, 100%, $E$9)</f>
        <v>36.987699999999997</v>
      </c>
      <c r="I1047" s="81">
        <f>36.9913 * CHOOSE(CONTROL!$C$32, $C$9, 100%, $E$9)</f>
        <v>36.991300000000003</v>
      </c>
      <c r="J1047" s="81">
        <f>36.9877 * CHOOSE(CONTROL!$C$32, $C$9, 100%, $E$9)</f>
        <v>36.987699999999997</v>
      </c>
      <c r="K1047" s="81">
        <f>36.9913 * CHOOSE(CONTROL!$C$32, $C$9, 100%, $E$9)</f>
        <v>36.991300000000003</v>
      </c>
      <c r="L1047" s="81">
        <f>17.242 * CHOOSE(CONTROL!$C$32, $C$9, 100%, $E$9)</f>
        <v>17.242000000000001</v>
      </c>
      <c r="M1047" s="81">
        <f>17.2457 * CHOOSE(CONTROL!$C$32, $C$9, 100%, $E$9)</f>
        <v>17.245699999999999</v>
      </c>
      <c r="N1047" s="81">
        <f>17.242 * CHOOSE(CONTROL!$C$32, $C$9, 100%, $E$9)</f>
        <v>17.242000000000001</v>
      </c>
      <c r="O1047" s="81">
        <f>17.2457 * CHOOSE(CONTROL!$C$32, $C$9, 100%, $E$9)</f>
        <v>17.245699999999999</v>
      </c>
    </row>
    <row r="1048" spans="1:15" ht="15" x14ac:dyDescent="0.2">
      <c r="A1048" s="16">
        <v>73110</v>
      </c>
      <c r="B1048" s="80">
        <f>15.7457 * CHOOSE(CONTROL!$C$32, $C$9, 100%, $E$9)</f>
        <v>15.745699999999999</v>
      </c>
      <c r="C1048" s="80">
        <f>15.7457 * CHOOSE(CONTROL!$C$32, $C$9, 100%, $E$9)</f>
        <v>15.745699999999999</v>
      </c>
      <c r="D1048" s="80">
        <f>15.7468 * CHOOSE(CONTROL!$C$32, $C$9, 100%, $E$9)</f>
        <v>15.7468</v>
      </c>
      <c r="E1048" s="81">
        <f>17.6353 * CHOOSE(CONTROL!$C$32, $C$9, 100%, $E$9)</f>
        <v>17.635300000000001</v>
      </c>
      <c r="F1048" s="81">
        <f>17.6353 * CHOOSE(CONTROL!$C$32, $C$9, 100%, $E$9)</f>
        <v>17.635300000000001</v>
      </c>
      <c r="G1048" s="81">
        <f>17.6389 * CHOOSE(CONTROL!$C$32, $C$9, 100%, $E$9)</f>
        <v>17.6389</v>
      </c>
      <c r="H1048" s="81">
        <f>37.0648 * CHOOSE(CONTROL!$C$32, $C$9, 100%, $E$9)</f>
        <v>37.064799999999998</v>
      </c>
      <c r="I1048" s="81">
        <f>37.0684 * CHOOSE(CONTROL!$C$32, $C$9, 100%, $E$9)</f>
        <v>37.068399999999997</v>
      </c>
      <c r="J1048" s="81">
        <f>37.0648 * CHOOSE(CONTROL!$C$32, $C$9, 100%, $E$9)</f>
        <v>37.064799999999998</v>
      </c>
      <c r="K1048" s="81">
        <f>37.0684 * CHOOSE(CONTROL!$C$32, $C$9, 100%, $E$9)</f>
        <v>37.068399999999997</v>
      </c>
      <c r="L1048" s="81">
        <f>17.6353 * CHOOSE(CONTROL!$C$32, $C$9, 100%, $E$9)</f>
        <v>17.635300000000001</v>
      </c>
      <c r="M1048" s="81">
        <f>17.6389 * CHOOSE(CONTROL!$C$32, $C$9, 100%, $E$9)</f>
        <v>17.6389</v>
      </c>
      <c r="N1048" s="81">
        <f>17.6353 * CHOOSE(CONTROL!$C$32, $C$9, 100%, $E$9)</f>
        <v>17.635300000000001</v>
      </c>
      <c r="O1048" s="81">
        <f>17.6389 * CHOOSE(CONTROL!$C$32, $C$9, 100%, $E$9)</f>
        <v>17.6389</v>
      </c>
    </row>
    <row r="1049" spans="1:15" ht="15" x14ac:dyDescent="0.2">
      <c r="A1049" s="16">
        <v>73141</v>
      </c>
      <c r="B1049" s="80">
        <f>15.7548 * CHOOSE(CONTROL!$C$32, $C$9, 100%, $E$9)</f>
        <v>15.754799999999999</v>
      </c>
      <c r="C1049" s="80">
        <f>15.7548 * CHOOSE(CONTROL!$C$32, $C$9, 100%, $E$9)</f>
        <v>15.754799999999999</v>
      </c>
      <c r="D1049" s="80">
        <f>15.7559 * CHOOSE(CONTROL!$C$32, $C$9, 100%, $E$9)</f>
        <v>15.7559</v>
      </c>
      <c r="E1049" s="81">
        <f>18.0556 * CHOOSE(CONTROL!$C$32, $C$9, 100%, $E$9)</f>
        <v>18.055599999999998</v>
      </c>
      <c r="F1049" s="81">
        <f>18.0556 * CHOOSE(CONTROL!$C$32, $C$9, 100%, $E$9)</f>
        <v>18.055599999999998</v>
      </c>
      <c r="G1049" s="81">
        <f>18.0592 * CHOOSE(CONTROL!$C$32, $C$9, 100%, $E$9)</f>
        <v>18.059200000000001</v>
      </c>
      <c r="H1049" s="81">
        <f>37.142 * CHOOSE(CONTROL!$C$32, $C$9, 100%, $E$9)</f>
        <v>37.142000000000003</v>
      </c>
      <c r="I1049" s="81">
        <f>37.1456 * CHOOSE(CONTROL!$C$32, $C$9, 100%, $E$9)</f>
        <v>37.145600000000002</v>
      </c>
      <c r="J1049" s="81">
        <f>37.142 * CHOOSE(CONTROL!$C$32, $C$9, 100%, $E$9)</f>
        <v>37.142000000000003</v>
      </c>
      <c r="K1049" s="81">
        <f>37.1456 * CHOOSE(CONTROL!$C$32, $C$9, 100%, $E$9)</f>
        <v>37.145600000000002</v>
      </c>
      <c r="L1049" s="81">
        <f>18.0556 * CHOOSE(CONTROL!$C$32, $C$9, 100%, $E$9)</f>
        <v>18.055599999999998</v>
      </c>
      <c r="M1049" s="81">
        <f>18.0592 * CHOOSE(CONTROL!$C$32, $C$9, 100%, $E$9)</f>
        <v>18.059200000000001</v>
      </c>
      <c r="N1049" s="81">
        <f>18.0556 * CHOOSE(CONTROL!$C$32, $C$9, 100%, $E$9)</f>
        <v>18.055599999999998</v>
      </c>
      <c r="O1049" s="81">
        <f>18.0592 * CHOOSE(CONTROL!$C$32, $C$9, 100%, $E$9)</f>
        <v>18.059200000000001</v>
      </c>
    </row>
    <row r="1050" spans="1:15" ht="15" x14ac:dyDescent="0.2">
      <c r="A1050" s="16">
        <v>73171</v>
      </c>
      <c r="B1050" s="80">
        <f>15.7548 * CHOOSE(CONTROL!$C$32, $C$9, 100%, $E$9)</f>
        <v>15.754799999999999</v>
      </c>
      <c r="C1050" s="80">
        <f>15.7548 * CHOOSE(CONTROL!$C$32, $C$9, 100%, $E$9)</f>
        <v>15.754799999999999</v>
      </c>
      <c r="D1050" s="80">
        <f>15.7564 * CHOOSE(CONTROL!$C$32, $C$9, 100%, $E$9)</f>
        <v>15.756399999999999</v>
      </c>
      <c r="E1050" s="81">
        <f>18.2148 * CHOOSE(CONTROL!$C$32, $C$9, 100%, $E$9)</f>
        <v>18.2148</v>
      </c>
      <c r="F1050" s="81">
        <f>18.2148 * CHOOSE(CONTROL!$C$32, $C$9, 100%, $E$9)</f>
        <v>18.2148</v>
      </c>
      <c r="G1050" s="81">
        <f>18.2201 * CHOOSE(CONTROL!$C$32, $C$9, 100%, $E$9)</f>
        <v>18.220099999999999</v>
      </c>
      <c r="H1050" s="81">
        <f>37.2194 * CHOOSE(CONTROL!$C$32, $C$9, 100%, $E$9)</f>
        <v>37.2194</v>
      </c>
      <c r="I1050" s="81">
        <f>37.2246 * CHOOSE(CONTROL!$C$32, $C$9, 100%, $E$9)</f>
        <v>37.224600000000002</v>
      </c>
      <c r="J1050" s="81">
        <f>37.2194 * CHOOSE(CONTROL!$C$32, $C$9, 100%, $E$9)</f>
        <v>37.2194</v>
      </c>
      <c r="K1050" s="81">
        <f>37.2246 * CHOOSE(CONTROL!$C$32, $C$9, 100%, $E$9)</f>
        <v>37.224600000000002</v>
      </c>
      <c r="L1050" s="81">
        <f>18.2148 * CHOOSE(CONTROL!$C$32, $C$9, 100%, $E$9)</f>
        <v>18.2148</v>
      </c>
      <c r="M1050" s="81">
        <f>18.2201 * CHOOSE(CONTROL!$C$32, $C$9, 100%, $E$9)</f>
        <v>18.220099999999999</v>
      </c>
      <c r="N1050" s="81">
        <f>18.2148 * CHOOSE(CONTROL!$C$32, $C$9, 100%, $E$9)</f>
        <v>18.2148</v>
      </c>
      <c r="O1050" s="81">
        <f>18.2201 * CHOOSE(CONTROL!$C$32, $C$9, 100%, $E$9)</f>
        <v>18.220099999999999</v>
      </c>
    </row>
    <row r="1051" spans="1:15" ht="15" x14ac:dyDescent="0.2">
      <c r="A1051" s="16">
        <v>73202</v>
      </c>
      <c r="B1051" s="80">
        <f>15.7609 * CHOOSE(CONTROL!$C$32, $C$9, 100%, $E$9)</f>
        <v>15.760899999999999</v>
      </c>
      <c r="C1051" s="80">
        <f>15.7609 * CHOOSE(CONTROL!$C$32, $C$9, 100%, $E$9)</f>
        <v>15.760899999999999</v>
      </c>
      <c r="D1051" s="80">
        <f>15.7625 * CHOOSE(CONTROL!$C$32, $C$9, 100%, $E$9)</f>
        <v>15.762499999999999</v>
      </c>
      <c r="E1051" s="81">
        <f>18.0598 * CHOOSE(CONTROL!$C$32, $C$9, 100%, $E$9)</f>
        <v>18.059799999999999</v>
      </c>
      <c r="F1051" s="81">
        <f>18.0598 * CHOOSE(CONTROL!$C$32, $C$9, 100%, $E$9)</f>
        <v>18.059799999999999</v>
      </c>
      <c r="G1051" s="81">
        <f>18.0651 * CHOOSE(CONTROL!$C$32, $C$9, 100%, $E$9)</f>
        <v>18.065100000000001</v>
      </c>
      <c r="H1051" s="81">
        <f>37.2969 * CHOOSE(CONTROL!$C$32, $C$9, 100%, $E$9)</f>
        <v>37.296900000000001</v>
      </c>
      <c r="I1051" s="81">
        <f>37.3022 * CHOOSE(CONTROL!$C$32, $C$9, 100%, $E$9)</f>
        <v>37.302199999999999</v>
      </c>
      <c r="J1051" s="81">
        <f>37.2969 * CHOOSE(CONTROL!$C$32, $C$9, 100%, $E$9)</f>
        <v>37.296900000000001</v>
      </c>
      <c r="K1051" s="81">
        <f>37.3022 * CHOOSE(CONTROL!$C$32, $C$9, 100%, $E$9)</f>
        <v>37.302199999999999</v>
      </c>
      <c r="L1051" s="81">
        <f>18.0598 * CHOOSE(CONTROL!$C$32, $C$9, 100%, $E$9)</f>
        <v>18.059799999999999</v>
      </c>
      <c r="M1051" s="81">
        <f>18.0651 * CHOOSE(CONTROL!$C$32, $C$9, 100%, $E$9)</f>
        <v>18.065100000000001</v>
      </c>
      <c r="N1051" s="81">
        <f>18.0598 * CHOOSE(CONTROL!$C$32, $C$9, 100%, $E$9)</f>
        <v>18.059799999999999</v>
      </c>
      <c r="O1051" s="81">
        <f>18.0651 * CHOOSE(CONTROL!$C$32, $C$9, 100%, $E$9)</f>
        <v>18.065100000000001</v>
      </c>
    </row>
    <row r="1052" spans="1:15" ht="15" x14ac:dyDescent="0.2">
      <c r="A1052" s="16">
        <v>73232</v>
      </c>
      <c r="B1052" s="80">
        <f>15.9484 * CHOOSE(CONTROL!$C$32, $C$9, 100%, $E$9)</f>
        <v>15.948399999999999</v>
      </c>
      <c r="C1052" s="80">
        <f>15.9484 * CHOOSE(CONTROL!$C$32, $C$9, 100%, $E$9)</f>
        <v>15.948399999999999</v>
      </c>
      <c r="D1052" s="80">
        <f>15.95 * CHOOSE(CONTROL!$C$32, $C$9, 100%, $E$9)</f>
        <v>15.95</v>
      </c>
      <c r="E1052" s="81">
        <f>18.3171 * CHOOSE(CONTROL!$C$32, $C$9, 100%, $E$9)</f>
        <v>18.3171</v>
      </c>
      <c r="F1052" s="81">
        <f>18.3171 * CHOOSE(CONTROL!$C$32, $C$9, 100%, $E$9)</f>
        <v>18.3171</v>
      </c>
      <c r="G1052" s="81">
        <f>18.3224 * CHOOSE(CONTROL!$C$32, $C$9, 100%, $E$9)</f>
        <v>18.322399999999998</v>
      </c>
      <c r="H1052" s="81">
        <f>37.3746 * CHOOSE(CONTROL!$C$32, $C$9, 100%, $E$9)</f>
        <v>37.374600000000001</v>
      </c>
      <c r="I1052" s="81">
        <f>37.3799 * CHOOSE(CONTROL!$C$32, $C$9, 100%, $E$9)</f>
        <v>37.379899999999999</v>
      </c>
      <c r="J1052" s="81">
        <f>37.3746 * CHOOSE(CONTROL!$C$32, $C$9, 100%, $E$9)</f>
        <v>37.374600000000001</v>
      </c>
      <c r="K1052" s="81">
        <f>37.3799 * CHOOSE(CONTROL!$C$32, $C$9, 100%, $E$9)</f>
        <v>37.379899999999999</v>
      </c>
      <c r="L1052" s="81">
        <f>18.3171 * CHOOSE(CONTROL!$C$32, $C$9, 100%, $E$9)</f>
        <v>18.3171</v>
      </c>
      <c r="M1052" s="81">
        <f>18.3224 * CHOOSE(CONTROL!$C$32, $C$9, 100%, $E$9)</f>
        <v>18.322399999999998</v>
      </c>
      <c r="N1052" s="81">
        <f>18.3171 * CHOOSE(CONTROL!$C$32, $C$9, 100%, $E$9)</f>
        <v>18.3171</v>
      </c>
      <c r="O1052" s="81">
        <f>18.3224 * CHOOSE(CONTROL!$C$32, $C$9, 100%, $E$9)</f>
        <v>18.322399999999998</v>
      </c>
    </row>
    <row r="1053" spans="1:15" ht="15" x14ac:dyDescent="0.2">
      <c r="A1053" s="16">
        <v>73263</v>
      </c>
      <c r="B1053" s="80">
        <f>15.9551 * CHOOSE(CONTROL!$C$32, $C$9, 100%, $E$9)</f>
        <v>15.9551</v>
      </c>
      <c r="C1053" s="80">
        <f>15.9551 * CHOOSE(CONTROL!$C$32, $C$9, 100%, $E$9)</f>
        <v>15.9551</v>
      </c>
      <c r="D1053" s="80">
        <f>15.9567 * CHOOSE(CONTROL!$C$32, $C$9, 100%, $E$9)</f>
        <v>15.9567</v>
      </c>
      <c r="E1053" s="81">
        <f>17.8441 * CHOOSE(CONTROL!$C$32, $C$9, 100%, $E$9)</f>
        <v>17.844100000000001</v>
      </c>
      <c r="F1053" s="81">
        <f>17.8441 * CHOOSE(CONTROL!$C$32, $C$9, 100%, $E$9)</f>
        <v>17.844100000000001</v>
      </c>
      <c r="G1053" s="81">
        <f>17.8494 * CHOOSE(CONTROL!$C$32, $C$9, 100%, $E$9)</f>
        <v>17.849399999999999</v>
      </c>
      <c r="H1053" s="81">
        <f>37.4525 * CHOOSE(CONTROL!$C$32, $C$9, 100%, $E$9)</f>
        <v>37.452500000000001</v>
      </c>
      <c r="I1053" s="81">
        <f>37.4578 * CHOOSE(CONTROL!$C$32, $C$9, 100%, $E$9)</f>
        <v>37.457799999999999</v>
      </c>
      <c r="J1053" s="81">
        <f>37.4525 * CHOOSE(CONTROL!$C$32, $C$9, 100%, $E$9)</f>
        <v>37.452500000000001</v>
      </c>
      <c r="K1053" s="81">
        <f>37.4578 * CHOOSE(CONTROL!$C$32, $C$9, 100%, $E$9)</f>
        <v>37.457799999999999</v>
      </c>
      <c r="L1053" s="81">
        <f>17.8441 * CHOOSE(CONTROL!$C$32, $C$9, 100%, $E$9)</f>
        <v>17.844100000000001</v>
      </c>
      <c r="M1053" s="81">
        <f>17.8494 * CHOOSE(CONTROL!$C$32, $C$9, 100%, $E$9)</f>
        <v>17.849399999999999</v>
      </c>
      <c r="N1053" s="81">
        <f>17.8441 * CHOOSE(CONTROL!$C$32, $C$9, 100%, $E$9)</f>
        <v>17.844100000000001</v>
      </c>
      <c r="O1053" s="81">
        <f>17.8494 * CHOOSE(CONTROL!$C$32, $C$9, 100%, $E$9)</f>
        <v>17.849399999999999</v>
      </c>
    </row>
    <row r="1054" spans="1:15" ht="15" x14ac:dyDescent="0.2">
      <c r="A1054" s="16">
        <v>73294</v>
      </c>
      <c r="B1054" s="80">
        <f>15.9521 * CHOOSE(CONTROL!$C$32, $C$9, 100%, $E$9)</f>
        <v>15.9521</v>
      </c>
      <c r="C1054" s="80">
        <f>15.9521 * CHOOSE(CONTROL!$C$32, $C$9, 100%, $E$9)</f>
        <v>15.9521</v>
      </c>
      <c r="D1054" s="80">
        <f>15.9537 * CHOOSE(CONTROL!$C$32, $C$9, 100%, $E$9)</f>
        <v>15.9537</v>
      </c>
      <c r="E1054" s="81">
        <f>17.789 * CHOOSE(CONTROL!$C$32, $C$9, 100%, $E$9)</f>
        <v>17.789000000000001</v>
      </c>
      <c r="F1054" s="81">
        <f>17.789 * CHOOSE(CONTROL!$C$32, $C$9, 100%, $E$9)</f>
        <v>17.789000000000001</v>
      </c>
      <c r="G1054" s="81">
        <f>17.7942 * CHOOSE(CONTROL!$C$32, $C$9, 100%, $E$9)</f>
        <v>17.7942</v>
      </c>
      <c r="H1054" s="81">
        <f>37.5305 * CHOOSE(CONTROL!$C$32, $C$9, 100%, $E$9)</f>
        <v>37.530500000000004</v>
      </c>
      <c r="I1054" s="81">
        <f>37.5358 * CHOOSE(CONTROL!$C$32, $C$9, 100%, $E$9)</f>
        <v>37.535800000000002</v>
      </c>
      <c r="J1054" s="81">
        <f>37.5305 * CHOOSE(CONTROL!$C$32, $C$9, 100%, $E$9)</f>
        <v>37.530500000000004</v>
      </c>
      <c r="K1054" s="81">
        <f>37.5358 * CHOOSE(CONTROL!$C$32, $C$9, 100%, $E$9)</f>
        <v>37.535800000000002</v>
      </c>
      <c r="L1054" s="81">
        <f>17.789 * CHOOSE(CONTROL!$C$32, $C$9, 100%, $E$9)</f>
        <v>17.789000000000001</v>
      </c>
      <c r="M1054" s="81">
        <f>17.7942 * CHOOSE(CONTROL!$C$32, $C$9, 100%, $E$9)</f>
        <v>17.7942</v>
      </c>
      <c r="N1054" s="81">
        <f>17.789 * CHOOSE(CONTROL!$C$32, $C$9, 100%, $E$9)</f>
        <v>17.789000000000001</v>
      </c>
      <c r="O1054" s="81">
        <f>17.7942 * CHOOSE(CONTROL!$C$32, $C$9, 100%, $E$9)</f>
        <v>17.7942</v>
      </c>
    </row>
    <row r="1055" spans="1:15" ht="15" x14ac:dyDescent="0.2">
      <c r="A1055" s="16">
        <v>73324</v>
      </c>
      <c r="B1055" s="80">
        <f>15.9919 * CHOOSE(CONTROL!$C$32, $C$9, 100%, $E$9)</f>
        <v>15.991899999999999</v>
      </c>
      <c r="C1055" s="80">
        <f>15.9919 * CHOOSE(CONTROL!$C$32, $C$9, 100%, $E$9)</f>
        <v>15.991899999999999</v>
      </c>
      <c r="D1055" s="80">
        <f>15.9929 * CHOOSE(CONTROL!$C$32, $C$9, 100%, $E$9)</f>
        <v>15.992900000000001</v>
      </c>
      <c r="E1055" s="81">
        <f>17.9878 * CHOOSE(CONTROL!$C$32, $C$9, 100%, $E$9)</f>
        <v>17.9878</v>
      </c>
      <c r="F1055" s="81">
        <f>17.9878 * CHOOSE(CONTROL!$C$32, $C$9, 100%, $E$9)</f>
        <v>17.9878</v>
      </c>
      <c r="G1055" s="81">
        <f>17.9914 * CHOOSE(CONTROL!$C$32, $C$9, 100%, $E$9)</f>
        <v>17.991399999999999</v>
      </c>
      <c r="H1055" s="81">
        <f>37.6087 * CHOOSE(CONTROL!$C$32, $C$9, 100%, $E$9)</f>
        <v>37.608699999999999</v>
      </c>
      <c r="I1055" s="81">
        <f>37.6123 * CHOOSE(CONTROL!$C$32, $C$9, 100%, $E$9)</f>
        <v>37.612299999999998</v>
      </c>
      <c r="J1055" s="81">
        <f>37.6087 * CHOOSE(CONTROL!$C$32, $C$9, 100%, $E$9)</f>
        <v>37.608699999999999</v>
      </c>
      <c r="K1055" s="81">
        <f>37.6123 * CHOOSE(CONTROL!$C$32, $C$9, 100%, $E$9)</f>
        <v>37.612299999999998</v>
      </c>
      <c r="L1055" s="81">
        <f>17.9878 * CHOOSE(CONTROL!$C$32, $C$9, 100%, $E$9)</f>
        <v>17.9878</v>
      </c>
      <c r="M1055" s="81">
        <f>17.9914 * CHOOSE(CONTROL!$C$32, $C$9, 100%, $E$9)</f>
        <v>17.991399999999999</v>
      </c>
      <c r="N1055" s="81">
        <f>17.9878 * CHOOSE(CONTROL!$C$32, $C$9, 100%, $E$9)</f>
        <v>17.9878</v>
      </c>
      <c r="O1055" s="81">
        <f>17.9914 * CHOOSE(CONTROL!$C$32, $C$9, 100%, $E$9)</f>
        <v>17.991399999999999</v>
      </c>
    </row>
    <row r="1056" spans="1:15" ht="15" x14ac:dyDescent="0.2">
      <c r="A1056" s="16">
        <v>73355</v>
      </c>
      <c r="B1056" s="80">
        <f>15.9949 * CHOOSE(CONTROL!$C$32, $C$9, 100%, $E$9)</f>
        <v>15.994899999999999</v>
      </c>
      <c r="C1056" s="80">
        <f>15.9949 * CHOOSE(CONTROL!$C$32, $C$9, 100%, $E$9)</f>
        <v>15.994899999999999</v>
      </c>
      <c r="D1056" s="80">
        <f>15.996 * CHOOSE(CONTROL!$C$32, $C$9, 100%, $E$9)</f>
        <v>15.996</v>
      </c>
      <c r="E1056" s="81">
        <f>18.0961 * CHOOSE(CONTROL!$C$32, $C$9, 100%, $E$9)</f>
        <v>18.0961</v>
      </c>
      <c r="F1056" s="81">
        <f>18.0961 * CHOOSE(CONTROL!$C$32, $C$9, 100%, $E$9)</f>
        <v>18.0961</v>
      </c>
      <c r="G1056" s="81">
        <f>18.0997 * CHOOSE(CONTROL!$C$32, $C$9, 100%, $E$9)</f>
        <v>18.099699999999999</v>
      </c>
      <c r="H1056" s="81">
        <f>37.687 * CHOOSE(CONTROL!$C$32, $C$9, 100%, $E$9)</f>
        <v>37.686999999999998</v>
      </c>
      <c r="I1056" s="81">
        <f>37.6906 * CHOOSE(CONTROL!$C$32, $C$9, 100%, $E$9)</f>
        <v>37.690600000000003</v>
      </c>
      <c r="J1056" s="81">
        <f>37.687 * CHOOSE(CONTROL!$C$32, $C$9, 100%, $E$9)</f>
        <v>37.686999999999998</v>
      </c>
      <c r="K1056" s="81">
        <f>37.6906 * CHOOSE(CONTROL!$C$32, $C$9, 100%, $E$9)</f>
        <v>37.690600000000003</v>
      </c>
      <c r="L1056" s="81">
        <f>18.0961 * CHOOSE(CONTROL!$C$32, $C$9, 100%, $E$9)</f>
        <v>18.0961</v>
      </c>
      <c r="M1056" s="81">
        <f>18.0997 * CHOOSE(CONTROL!$C$32, $C$9, 100%, $E$9)</f>
        <v>18.099699999999999</v>
      </c>
      <c r="N1056" s="81">
        <f>18.0961 * CHOOSE(CONTROL!$C$32, $C$9, 100%, $E$9)</f>
        <v>18.0961</v>
      </c>
      <c r="O1056" s="81">
        <f>18.0997 * CHOOSE(CONTROL!$C$32, $C$9, 100%, $E$9)</f>
        <v>18.099699999999999</v>
      </c>
    </row>
    <row r="1057" spans="1:15" ht="15" x14ac:dyDescent="0.2">
      <c r="A1057" s="16">
        <v>73385</v>
      </c>
      <c r="B1057" s="80">
        <f>15.9949 * CHOOSE(CONTROL!$C$32, $C$9, 100%, $E$9)</f>
        <v>15.994899999999999</v>
      </c>
      <c r="C1057" s="80">
        <f>15.9949 * CHOOSE(CONTROL!$C$32, $C$9, 100%, $E$9)</f>
        <v>15.994899999999999</v>
      </c>
      <c r="D1057" s="80">
        <f>15.996 * CHOOSE(CONTROL!$C$32, $C$9, 100%, $E$9)</f>
        <v>15.996</v>
      </c>
      <c r="E1057" s="81">
        <f>17.8307 * CHOOSE(CONTROL!$C$32, $C$9, 100%, $E$9)</f>
        <v>17.8307</v>
      </c>
      <c r="F1057" s="81">
        <f>17.8307 * CHOOSE(CONTROL!$C$32, $C$9, 100%, $E$9)</f>
        <v>17.8307</v>
      </c>
      <c r="G1057" s="81">
        <f>17.8343 * CHOOSE(CONTROL!$C$32, $C$9, 100%, $E$9)</f>
        <v>17.834299999999999</v>
      </c>
      <c r="H1057" s="81">
        <f>37.7655 * CHOOSE(CONTROL!$C$32, $C$9, 100%, $E$9)</f>
        <v>37.765500000000003</v>
      </c>
      <c r="I1057" s="81">
        <f>37.7692 * CHOOSE(CONTROL!$C$32, $C$9, 100%, $E$9)</f>
        <v>37.769199999999998</v>
      </c>
      <c r="J1057" s="81">
        <f>37.7655 * CHOOSE(CONTROL!$C$32, $C$9, 100%, $E$9)</f>
        <v>37.765500000000003</v>
      </c>
      <c r="K1057" s="81">
        <f>37.7692 * CHOOSE(CONTROL!$C$32, $C$9, 100%, $E$9)</f>
        <v>37.769199999999998</v>
      </c>
      <c r="L1057" s="81">
        <f>17.8307 * CHOOSE(CONTROL!$C$32, $C$9, 100%, $E$9)</f>
        <v>17.8307</v>
      </c>
      <c r="M1057" s="81">
        <f>17.8343 * CHOOSE(CONTROL!$C$32, $C$9, 100%, $E$9)</f>
        <v>17.834299999999999</v>
      </c>
      <c r="N1057" s="81">
        <f>17.8307 * CHOOSE(CONTROL!$C$32, $C$9, 100%, $E$9)</f>
        <v>17.8307</v>
      </c>
      <c r="O1057" s="81">
        <f>17.8343 * CHOOSE(CONTROL!$C$32, $C$9, 100%, $E$9)</f>
        <v>17.834299999999999</v>
      </c>
    </row>
    <row r="1058" spans="1:15" ht="15" x14ac:dyDescent="0.2">
      <c r="A1058" s="12"/>
      <c r="B1058" s="80"/>
      <c r="C1058" s="80"/>
      <c r="D1058" s="80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</row>
    <row r="1059" spans="1:15" ht="15" x14ac:dyDescent="0.2">
      <c r="A1059" s="11">
        <v>2014</v>
      </c>
      <c r="B1059" s="80">
        <f t="shared" ref="B1059:O1059" si="0">AVERAGE(B14:B25)</f>
        <v>2.365497721063452</v>
      </c>
      <c r="C1059" s="80">
        <f t="shared" si="0"/>
        <v>2.3576910984848483</v>
      </c>
      <c r="D1059" s="80">
        <f t="shared" si="0"/>
        <v>2.4043505151515152</v>
      </c>
      <c r="E1059" s="80">
        <f t="shared" si="0"/>
        <v>3.4605737242062751</v>
      </c>
      <c r="F1059" s="80">
        <f t="shared" si="0"/>
        <v>3.3780690677966105</v>
      </c>
      <c r="G1059" s="80">
        <f t="shared" si="0"/>
        <v>3.3935644844632775</v>
      </c>
      <c r="H1059" s="80">
        <f t="shared" si="0"/>
        <v>5.8732191966897451</v>
      </c>
      <c r="I1059" s="80">
        <f t="shared" si="0"/>
        <v>5.8887062800230767</v>
      </c>
      <c r="J1059" s="80">
        <f t="shared" si="0"/>
        <v>5.8732191966897451</v>
      </c>
      <c r="K1059" s="80">
        <f t="shared" si="0"/>
        <v>5.8887062800230767</v>
      </c>
      <c r="L1059" s="80">
        <f t="shared" si="0"/>
        <v>3.4605737242062751</v>
      </c>
      <c r="M1059" s="80">
        <f t="shared" si="0"/>
        <v>3.4760524742062753</v>
      </c>
      <c r="N1059" s="80">
        <f t="shared" si="0"/>
        <v>3.4605737242062751</v>
      </c>
      <c r="O1059" s="80">
        <f t="shared" si="0"/>
        <v>3.4760524742062753</v>
      </c>
    </row>
    <row r="1060" spans="1:15" ht="15" x14ac:dyDescent="0.2">
      <c r="A1060" s="11">
        <v>2015</v>
      </c>
      <c r="B1060" s="80">
        <f t="shared" ref="B1060:O1060" si="1">AVERAGE(B26:B37)</f>
        <v>2.483975</v>
      </c>
      <c r="C1060" s="80">
        <f t="shared" si="1"/>
        <v>2.483975</v>
      </c>
      <c r="D1060" s="80">
        <f t="shared" si="1"/>
        <v>2.485233333333333</v>
      </c>
      <c r="E1060" s="80">
        <f t="shared" si="1"/>
        <v>3.8020250000000004</v>
      </c>
      <c r="F1060" s="80">
        <f t="shared" si="1"/>
        <v>3.5835999999999992</v>
      </c>
      <c r="G1060" s="80">
        <f t="shared" si="1"/>
        <v>3.5879083333333335</v>
      </c>
      <c r="H1060" s="80">
        <f t="shared" si="1"/>
        <v>6.0330166666666676</v>
      </c>
      <c r="I1060" s="80">
        <f t="shared" si="1"/>
        <v>6.0373250000000018</v>
      </c>
      <c r="J1060" s="80">
        <f t="shared" si="1"/>
        <v>6.0330166666666676</v>
      </c>
      <c r="K1060" s="80">
        <f t="shared" si="1"/>
        <v>6.0373250000000018</v>
      </c>
      <c r="L1060" s="80">
        <f t="shared" si="1"/>
        <v>3.8020250000000004</v>
      </c>
      <c r="M1060" s="80">
        <f t="shared" si="1"/>
        <v>3.8063333333333329</v>
      </c>
      <c r="N1060" s="80">
        <f t="shared" si="1"/>
        <v>3.8020250000000004</v>
      </c>
      <c r="O1060" s="80">
        <f t="shared" si="1"/>
        <v>3.8063333333333329</v>
      </c>
    </row>
    <row r="1061" spans="1:15" ht="15" x14ac:dyDescent="0.2">
      <c r="A1061" s="11">
        <v>2016</v>
      </c>
      <c r="B1061" s="80">
        <f t="shared" ref="B1061:O1061" si="2">AVERAGE(B38:B49)</f>
        <v>3.2759166666666668</v>
      </c>
      <c r="C1061" s="80">
        <f t="shared" si="2"/>
        <v>3.2759166666666668</v>
      </c>
      <c r="D1061" s="80">
        <f t="shared" si="2"/>
        <v>3.2771833333333338</v>
      </c>
      <c r="E1061" s="80">
        <f t="shared" si="2"/>
        <v>3.9337</v>
      </c>
      <c r="F1061" s="80">
        <f t="shared" si="2"/>
        <v>3.6856000000000004</v>
      </c>
      <c r="G1061" s="80">
        <f t="shared" si="2"/>
        <v>3.6899083333333333</v>
      </c>
      <c r="H1061" s="80">
        <f t="shared" si="2"/>
        <v>6.185575</v>
      </c>
      <c r="I1061" s="80">
        <f t="shared" si="2"/>
        <v>6.189891666666667</v>
      </c>
      <c r="J1061" s="80">
        <f t="shared" si="2"/>
        <v>6.185575</v>
      </c>
      <c r="K1061" s="80">
        <f t="shared" si="2"/>
        <v>6.189891666666667</v>
      </c>
      <c r="L1061" s="80">
        <f t="shared" si="2"/>
        <v>3.9337</v>
      </c>
      <c r="M1061" s="80">
        <f t="shared" si="2"/>
        <v>3.9380083333333329</v>
      </c>
      <c r="N1061" s="80">
        <f t="shared" si="2"/>
        <v>3.9337</v>
      </c>
      <c r="O1061" s="80">
        <f t="shared" si="2"/>
        <v>3.9380083333333329</v>
      </c>
    </row>
    <row r="1062" spans="1:15" ht="15" x14ac:dyDescent="0.2">
      <c r="A1062" s="11">
        <v>2017</v>
      </c>
      <c r="B1062" s="80">
        <f t="shared" ref="B1062:O1062" si="3">AVERAGE(B50:B61)</f>
        <v>3.3130666666666659</v>
      </c>
      <c r="C1062" s="80">
        <f t="shared" si="3"/>
        <v>3.3130666666666659</v>
      </c>
      <c r="D1062" s="80">
        <f t="shared" si="3"/>
        <v>3.3143583333333329</v>
      </c>
      <c r="E1062" s="80">
        <f t="shared" si="3"/>
        <v>3.8792333333333331</v>
      </c>
      <c r="F1062" s="80">
        <f t="shared" si="3"/>
        <v>3.8792333333333331</v>
      </c>
      <c r="G1062" s="80">
        <f t="shared" si="3"/>
        <v>3.8835499999999996</v>
      </c>
      <c r="H1062" s="80">
        <f t="shared" si="3"/>
        <v>6.341991666666666</v>
      </c>
      <c r="I1062" s="80">
        <f t="shared" si="3"/>
        <v>6.346308333333333</v>
      </c>
      <c r="J1062" s="80">
        <f t="shared" si="3"/>
        <v>6.341991666666666</v>
      </c>
      <c r="K1062" s="80">
        <f t="shared" si="3"/>
        <v>6.346308333333333</v>
      </c>
      <c r="L1062" s="80">
        <f t="shared" si="3"/>
        <v>3.8792333333333331</v>
      </c>
      <c r="M1062" s="80">
        <f t="shared" si="3"/>
        <v>3.8835499999999996</v>
      </c>
      <c r="N1062" s="80">
        <f t="shared" si="3"/>
        <v>3.8792333333333331</v>
      </c>
      <c r="O1062" s="80">
        <f t="shared" si="3"/>
        <v>3.8835499999999996</v>
      </c>
    </row>
    <row r="1063" spans="1:15" ht="15" x14ac:dyDescent="0.2">
      <c r="A1063" s="11">
        <v>2018</v>
      </c>
      <c r="B1063" s="80">
        <f t="shared" ref="B1063:O1063" si="4">AVERAGE(B62:B73)</f>
        <v>3.4019250000000003</v>
      </c>
      <c r="C1063" s="80">
        <f t="shared" si="4"/>
        <v>3.4019250000000003</v>
      </c>
      <c r="D1063" s="80">
        <f t="shared" si="4"/>
        <v>3.4032166666666659</v>
      </c>
      <c r="E1063" s="80">
        <f t="shared" si="4"/>
        <v>3.9989833333333333</v>
      </c>
      <c r="F1063" s="80">
        <f t="shared" si="4"/>
        <v>3.9989833333333333</v>
      </c>
      <c r="G1063" s="80">
        <f t="shared" si="4"/>
        <v>4.0033166666666666</v>
      </c>
      <c r="H1063" s="80">
        <f t="shared" si="4"/>
        <v>6.502391666666667</v>
      </c>
      <c r="I1063" s="80">
        <f t="shared" si="4"/>
        <v>6.5066833333333349</v>
      </c>
      <c r="J1063" s="80">
        <f t="shared" si="4"/>
        <v>6.502391666666667</v>
      </c>
      <c r="K1063" s="80">
        <f t="shared" si="4"/>
        <v>6.5066833333333349</v>
      </c>
      <c r="L1063" s="80">
        <f t="shared" si="4"/>
        <v>3.9989833333333333</v>
      </c>
      <c r="M1063" s="80">
        <f t="shared" si="4"/>
        <v>4.0033166666666666</v>
      </c>
      <c r="N1063" s="80">
        <f t="shared" si="4"/>
        <v>3.9989833333333333</v>
      </c>
      <c r="O1063" s="80">
        <f t="shared" si="4"/>
        <v>4.0033166666666666</v>
      </c>
    </row>
    <row r="1064" spans="1:15" ht="15" x14ac:dyDescent="0.2">
      <c r="A1064" s="11">
        <v>2019</v>
      </c>
      <c r="B1064" s="80">
        <f t="shared" ref="B1064:O1064" si="5">AVERAGE(B74:B85)</f>
        <v>3.2222999999999993</v>
      </c>
      <c r="C1064" s="80">
        <f t="shared" si="5"/>
        <v>3.2222999999999993</v>
      </c>
      <c r="D1064" s="80">
        <f t="shared" si="5"/>
        <v>3.2235916666666671</v>
      </c>
      <c r="E1064" s="80">
        <f t="shared" si="5"/>
        <v>4.0889833333333341</v>
      </c>
      <c r="F1064" s="80">
        <f t="shared" si="5"/>
        <v>4.0889833333333341</v>
      </c>
      <c r="G1064" s="80">
        <f t="shared" si="5"/>
        <v>4.0932916666666666</v>
      </c>
      <c r="H1064" s="80">
        <f t="shared" si="5"/>
        <v>6.6668333333333329</v>
      </c>
      <c r="I1064" s="80">
        <f t="shared" si="5"/>
        <v>6.6711416666666663</v>
      </c>
      <c r="J1064" s="80">
        <f t="shared" si="5"/>
        <v>6.6668333333333329</v>
      </c>
      <c r="K1064" s="80">
        <f t="shared" si="5"/>
        <v>6.6711416666666663</v>
      </c>
      <c r="L1064" s="80">
        <f t="shared" si="5"/>
        <v>4.0889833333333341</v>
      </c>
      <c r="M1064" s="80">
        <f t="shared" si="5"/>
        <v>4.0932916666666666</v>
      </c>
      <c r="N1064" s="80">
        <f t="shared" si="5"/>
        <v>4.0889833333333341</v>
      </c>
      <c r="O1064" s="80">
        <f t="shared" si="5"/>
        <v>4.0932916666666666</v>
      </c>
    </row>
    <row r="1065" spans="1:15" ht="15" x14ac:dyDescent="0.2">
      <c r="A1065" s="11">
        <v>2020</v>
      </c>
      <c r="B1065" s="80">
        <f t="shared" ref="B1065:O1065" si="6">AVERAGE(B86:B97)</f>
        <v>3.286566666666666</v>
      </c>
      <c r="C1065" s="80">
        <f t="shared" si="6"/>
        <v>3.286566666666666</v>
      </c>
      <c r="D1065" s="80">
        <f t="shared" si="6"/>
        <v>3.2878583333333329</v>
      </c>
      <c r="E1065" s="80">
        <f t="shared" si="6"/>
        <v>4.1808833333333331</v>
      </c>
      <c r="F1065" s="80">
        <f t="shared" si="6"/>
        <v>4.1808833333333331</v>
      </c>
      <c r="G1065" s="80">
        <f t="shared" si="6"/>
        <v>4.1851916666666664</v>
      </c>
      <c r="H1065" s="80">
        <f t="shared" si="6"/>
        <v>6.8354083333333335</v>
      </c>
      <c r="I1065" s="80">
        <f t="shared" si="6"/>
        <v>6.8397166666666669</v>
      </c>
      <c r="J1065" s="80">
        <f t="shared" si="6"/>
        <v>6.8354083333333335</v>
      </c>
      <c r="K1065" s="80">
        <f t="shared" si="6"/>
        <v>6.8397166666666669</v>
      </c>
      <c r="L1065" s="80">
        <f t="shared" si="6"/>
        <v>4.1808833333333331</v>
      </c>
      <c r="M1065" s="80">
        <f t="shared" si="6"/>
        <v>4.1851916666666664</v>
      </c>
      <c r="N1065" s="80">
        <f t="shared" si="6"/>
        <v>4.1808833333333331</v>
      </c>
      <c r="O1065" s="80">
        <f t="shared" si="6"/>
        <v>4.1851916666666664</v>
      </c>
    </row>
    <row r="1066" spans="1:15" ht="15" x14ac:dyDescent="0.2">
      <c r="A1066" s="11">
        <v>2021</v>
      </c>
      <c r="B1066" s="80">
        <f t="shared" ref="B1066:O1066" si="7">AVERAGE(B98:B109)</f>
        <v>3.3671249999999993</v>
      </c>
      <c r="C1066" s="80">
        <f t="shared" si="7"/>
        <v>3.3671249999999993</v>
      </c>
      <c r="D1066" s="80">
        <f t="shared" si="7"/>
        <v>3.3684250000000002</v>
      </c>
      <c r="E1066" s="80">
        <f t="shared" si="7"/>
        <v>4.2754583333333338</v>
      </c>
      <c r="F1066" s="80">
        <f t="shared" si="7"/>
        <v>4.2754583333333338</v>
      </c>
      <c r="G1066" s="80">
        <f t="shared" si="7"/>
        <v>4.2797916666666671</v>
      </c>
      <c r="H1066" s="80">
        <f t="shared" si="7"/>
        <v>7.008258333333333</v>
      </c>
      <c r="I1066" s="80">
        <f t="shared" si="7"/>
        <v>7.0125666666666673</v>
      </c>
      <c r="J1066" s="80">
        <f t="shared" si="7"/>
        <v>7.008258333333333</v>
      </c>
      <c r="K1066" s="80">
        <f t="shared" si="7"/>
        <v>7.0125666666666673</v>
      </c>
      <c r="L1066" s="80">
        <f t="shared" si="7"/>
        <v>4.2754583333333338</v>
      </c>
      <c r="M1066" s="80">
        <f t="shared" si="7"/>
        <v>4.2797916666666671</v>
      </c>
      <c r="N1066" s="80">
        <f t="shared" si="7"/>
        <v>4.2754583333333338</v>
      </c>
      <c r="O1066" s="80">
        <f t="shared" si="7"/>
        <v>4.2797916666666671</v>
      </c>
    </row>
    <row r="1067" spans="1:15" ht="15" x14ac:dyDescent="0.2">
      <c r="A1067" s="11">
        <v>2022</v>
      </c>
      <c r="B1067" s="80">
        <f t="shared" ref="B1067:O1067" si="8">AVERAGE(B110:B121)</f>
        <v>3.4470750000000003</v>
      </c>
      <c r="C1067" s="80">
        <f t="shared" si="8"/>
        <v>3.4470750000000003</v>
      </c>
      <c r="D1067" s="80">
        <f t="shared" si="8"/>
        <v>3.4483666666666668</v>
      </c>
      <c r="E1067" s="80">
        <f t="shared" si="8"/>
        <v>4.3818083333333337</v>
      </c>
      <c r="F1067" s="80">
        <f t="shared" si="8"/>
        <v>4.3818083333333337</v>
      </c>
      <c r="G1067" s="80">
        <f t="shared" si="8"/>
        <v>4.3861166666666671</v>
      </c>
      <c r="H1067" s="80">
        <f t="shared" si="8"/>
        <v>7.1854833333333339</v>
      </c>
      <c r="I1067" s="80">
        <f t="shared" si="8"/>
        <v>7.1898166666666663</v>
      </c>
      <c r="J1067" s="80">
        <f t="shared" si="8"/>
        <v>7.1854833333333339</v>
      </c>
      <c r="K1067" s="80">
        <f t="shared" si="8"/>
        <v>7.1898166666666663</v>
      </c>
      <c r="L1067" s="80">
        <f t="shared" si="8"/>
        <v>4.3818083333333337</v>
      </c>
      <c r="M1067" s="80">
        <f t="shared" si="8"/>
        <v>4.3861166666666671</v>
      </c>
      <c r="N1067" s="80">
        <f t="shared" si="8"/>
        <v>4.3818083333333337</v>
      </c>
      <c r="O1067" s="80">
        <f t="shared" si="8"/>
        <v>4.3861166666666671</v>
      </c>
    </row>
    <row r="1068" spans="1:15" ht="15" x14ac:dyDescent="0.2">
      <c r="A1068" s="11">
        <v>2023</v>
      </c>
      <c r="B1068" s="80">
        <f t="shared" ref="B1068:O1068" si="9">AVERAGE(B122:B133)</f>
        <v>3.5408249999999994</v>
      </c>
      <c r="C1068" s="80">
        <f t="shared" si="9"/>
        <v>3.5408249999999994</v>
      </c>
      <c r="D1068" s="80">
        <f t="shared" si="9"/>
        <v>3.5421166666666668</v>
      </c>
      <c r="E1068" s="80">
        <f t="shared" si="9"/>
        <v>4.490308333333334</v>
      </c>
      <c r="F1068" s="80">
        <f t="shared" si="9"/>
        <v>4.490308333333334</v>
      </c>
      <c r="G1068" s="80">
        <f t="shared" si="9"/>
        <v>4.4946166666666665</v>
      </c>
      <c r="H1068" s="80">
        <f t="shared" si="9"/>
        <v>7.3672166666666676</v>
      </c>
      <c r="I1068" s="80">
        <f t="shared" si="9"/>
        <v>7.3715333333333328</v>
      </c>
      <c r="J1068" s="80">
        <f t="shared" si="9"/>
        <v>7.3672166666666676</v>
      </c>
      <c r="K1068" s="80">
        <f t="shared" si="9"/>
        <v>7.3715333333333328</v>
      </c>
      <c r="L1068" s="80">
        <f t="shared" si="9"/>
        <v>4.490308333333334</v>
      </c>
      <c r="M1068" s="80">
        <f t="shared" si="9"/>
        <v>4.4946166666666665</v>
      </c>
      <c r="N1068" s="80">
        <f t="shared" si="9"/>
        <v>4.490308333333334</v>
      </c>
      <c r="O1068" s="80">
        <f t="shared" si="9"/>
        <v>4.4946166666666665</v>
      </c>
    </row>
    <row r="1069" spans="1:15" ht="15" x14ac:dyDescent="0.2">
      <c r="A1069" s="11">
        <v>2024</v>
      </c>
      <c r="B1069" s="80">
        <f t="shared" ref="B1069:O1069" si="10">AVERAGE(B134:B145)</f>
        <v>3.6291499999999997</v>
      </c>
      <c r="C1069" s="80">
        <f t="shared" si="10"/>
        <v>3.6291499999999997</v>
      </c>
      <c r="D1069" s="80">
        <f t="shared" si="10"/>
        <v>3.6304500000000002</v>
      </c>
      <c r="E1069" s="80">
        <f t="shared" si="10"/>
        <v>4.6075583333333325</v>
      </c>
      <c r="F1069" s="80">
        <f t="shared" si="10"/>
        <v>4.6075583333333325</v>
      </c>
      <c r="G1069" s="80">
        <f t="shared" si="10"/>
        <v>4.6118500000000004</v>
      </c>
      <c r="H1069" s="80">
        <f t="shared" si="10"/>
        <v>7.553516666666666</v>
      </c>
      <c r="I1069" s="80">
        <f t="shared" si="10"/>
        <v>7.5578333333333338</v>
      </c>
      <c r="J1069" s="80">
        <f t="shared" si="10"/>
        <v>7.553516666666666</v>
      </c>
      <c r="K1069" s="80">
        <f t="shared" si="10"/>
        <v>7.5578333333333338</v>
      </c>
      <c r="L1069" s="80">
        <f t="shared" si="10"/>
        <v>4.6075583333333325</v>
      </c>
      <c r="M1069" s="80">
        <f t="shared" si="10"/>
        <v>4.6118500000000004</v>
      </c>
      <c r="N1069" s="80">
        <f t="shared" si="10"/>
        <v>4.6075583333333325</v>
      </c>
      <c r="O1069" s="80">
        <f t="shared" si="10"/>
        <v>4.6118500000000004</v>
      </c>
    </row>
    <row r="1070" spans="1:15" ht="15" x14ac:dyDescent="0.2">
      <c r="A1070" s="11">
        <v>2025</v>
      </c>
      <c r="B1070" s="80">
        <f t="shared" ref="B1070:O1070" si="11">AVERAGE(B146:B157)</f>
        <v>3.7209500000000002</v>
      </c>
      <c r="C1070" s="80">
        <f t="shared" si="11"/>
        <v>3.7209500000000002</v>
      </c>
      <c r="D1070" s="80">
        <f t="shared" si="11"/>
        <v>3.7222416666666676</v>
      </c>
      <c r="E1070" s="80">
        <f t="shared" si="11"/>
        <v>4.7325583333333325</v>
      </c>
      <c r="F1070" s="80">
        <f t="shared" si="11"/>
        <v>4.7325583333333325</v>
      </c>
      <c r="G1070" s="80">
        <f t="shared" si="11"/>
        <v>4.7368916666666667</v>
      </c>
      <c r="H1070" s="80">
        <f t="shared" si="11"/>
        <v>7.7445166666666667</v>
      </c>
      <c r="I1070" s="80">
        <f t="shared" si="11"/>
        <v>7.7488500000000009</v>
      </c>
      <c r="J1070" s="80">
        <f t="shared" si="11"/>
        <v>7.7445166666666667</v>
      </c>
      <c r="K1070" s="80">
        <f t="shared" si="11"/>
        <v>7.7488500000000009</v>
      </c>
      <c r="L1070" s="80">
        <f t="shared" si="11"/>
        <v>4.7325583333333325</v>
      </c>
      <c r="M1070" s="80">
        <f t="shared" si="11"/>
        <v>4.7368916666666667</v>
      </c>
      <c r="N1070" s="80">
        <f t="shared" si="11"/>
        <v>4.7325583333333325</v>
      </c>
      <c r="O1070" s="80">
        <f t="shared" si="11"/>
        <v>4.7368916666666667</v>
      </c>
    </row>
    <row r="1071" spans="1:15" ht="15" x14ac:dyDescent="0.2">
      <c r="A1071" s="11">
        <v>2026</v>
      </c>
      <c r="B1071" s="80">
        <f t="shared" ref="B1071:O1071" si="12">AVERAGE(B158:B169)</f>
        <v>3.8184083333333336</v>
      </c>
      <c r="C1071" s="80">
        <f t="shared" si="12"/>
        <v>3.8184083333333336</v>
      </c>
      <c r="D1071" s="80">
        <f t="shared" si="12"/>
        <v>3.8196916666666669</v>
      </c>
      <c r="E1071" s="80">
        <f t="shared" si="12"/>
        <v>4.8625583333333324</v>
      </c>
      <c r="F1071" s="80">
        <f t="shared" si="12"/>
        <v>4.8625583333333324</v>
      </c>
      <c r="G1071" s="80">
        <f t="shared" si="12"/>
        <v>4.8668749999999994</v>
      </c>
      <c r="H1071" s="80">
        <f t="shared" si="12"/>
        <v>7.9403749999999995</v>
      </c>
      <c r="I1071" s="80">
        <f t="shared" si="12"/>
        <v>7.9446916666666674</v>
      </c>
      <c r="J1071" s="80">
        <f t="shared" si="12"/>
        <v>7.9403749999999995</v>
      </c>
      <c r="K1071" s="80">
        <f t="shared" si="12"/>
        <v>7.9446916666666674</v>
      </c>
      <c r="L1071" s="80">
        <f t="shared" si="12"/>
        <v>4.8625583333333324</v>
      </c>
      <c r="M1071" s="80">
        <f t="shared" si="12"/>
        <v>4.8668749999999994</v>
      </c>
      <c r="N1071" s="80">
        <f t="shared" si="12"/>
        <v>4.8625583333333324</v>
      </c>
      <c r="O1071" s="80">
        <f t="shared" si="12"/>
        <v>4.8668749999999994</v>
      </c>
    </row>
    <row r="1072" spans="1:15" ht="15" x14ac:dyDescent="0.2">
      <c r="A1072" s="11">
        <v>2027</v>
      </c>
      <c r="B1072" s="80">
        <f t="shared" ref="B1072:O1072" si="13">AVERAGE(B170:B181)</f>
        <v>3.9176666666666669</v>
      </c>
      <c r="C1072" s="80">
        <f t="shared" si="13"/>
        <v>3.9176666666666669</v>
      </c>
      <c r="D1072" s="80">
        <f t="shared" si="13"/>
        <v>3.9189416666666665</v>
      </c>
      <c r="E1072" s="80">
        <f t="shared" si="13"/>
        <v>4.9883083333333325</v>
      </c>
      <c r="F1072" s="80">
        <f t="shared" si="13"/>
        <v>4.9883083333333325</v>
      </c>
      <c r="G1072" s="80">
        <f t="shared" si="13"/>
        <v>4.9926166666666658</v>
      </c>
      <c r="H1072" s="80">
        <f t="shared" si="13"/>
        <v>8.1411750000000023</v>
      </c>
      <c r="I1072" s="80">
        <f t="shared" si="13"/>
        <v>8.1454833333333312</v>
      </c>
      <c r="J1072" s="80">
        <f t="shared" si="13"/>
        <v>8.1411750000000023</v>
      </c>
      <c r="K1072" s="80">
        <f t="shared" si="13"/>
        <v>8.1454833333333312</v>
      </c>
      <c r="L1072" s="80">
        <f t="shared" si="13"/>
        <v>4.9883083333333325</v>
      </c>
      <c r="M1072" s="80">
        <f t="shared" si="13"/>
        <v>4.9926166666666658</v>
      </c>
      <c r="N1072" s="80">
        <f t="shared" si="13"/>
        <v>4.9883083333333325</v>
      </c>
      <c r="O1072" s="80">
        <f t="shared" si="13"/>
        <v>4.9926166666666658</v>
      </c>
    </row>
    <row r="1073" spans="1:15" ht="15" x14ac:dyDescent="0.2">
      <c r="A1073" s="11">
        <v>2028</v>
      </c>
      <c r="B1073" s="80">
        <f t="shared" ref="B1073:O1073" si="14">AVERAGE(B182:B193)</f>
        <v>4.0231749999999984</v>
      </c>
      <c r="C1073" s="80">
        <f t="shared" si="14"/>
        <v>4.0231749999999984</v>
      </c>
      <c r="D1073" s="80">
        <f t="shared" si="14"/>
        <v>4.0244666666666662</v>
      </c>
      <c r="E1073" s="80">
        <f t="shared" si="14"/>
        <v>5.121858333333333</v>
      </c>
      <c r="F1073" s="80">
        <f t="shared" si="14"/>
        <v>5.121858333333333</v>
      </c>
      <c r="G1073" s="80">
        <f t="shared" si="14"/>
        <v>5.1261666666666663</v>
      </c>
      <c r="H1073" s="80">
        <f t="shared" si="14"/>
        <v>8.3470499999999994</v>
      </c>
      <c r="I1073" s="80">
        <f t="shared" si="14"/>
        <v>8.3513750000000009</v>
      </c>
      <c r="J1073" s="80">
        <f t="shared" si="14"/>
        <v>8.3470499999999994</v>
      </c>
      <c r="K1073" s="80">
        <f t="shared" si="14"/>
        <v>8.3513750000000009</v>
      </c>
      <c r="L1073" s="80">
        <f t="shared" si="14"/>
        <v>5.121858333333333</v>
      </c>
      <c r="M1073" s="80">
        <f t="shared" si="14"/>
        <v>5.1261666666666663</v>
      </c>
      <c r="N1073" s="80">
        <f t="shared" si="14"/>
        <v>5.121858333333333</v>
      </c>
      <c r="O1073" s="80">
        <f t="shared" si="14"/>
        <v>5.1261666666666663</v>
      </c>
    </row>
    <row r="1074" spans="1:15" ht="15" x14ac:dyDescent="0.2">
      <c r="A1074" s="11">
        <v>2029</v>
      </c>
      <c r="B1074" s="80">
        <f t="shared" ref="B1074:O1074" si="15">AVERAGE(B194:B205)</f>
        <v>4.1202916666666676</v>
      </c>
      <c r="C1074" s="80">
        <f t="shared" si="15"/>
        <v>4.1202916666666676</v>
      </c>
      <c r="D1074" s="80">
        <f t="shared" si="15"/>
        <v>4.1215583333333337</v>
      </c>
      <c r="E1074" s="80">
        <f t="shared" si="15"/>
        <v>5.2511833333333335</v>
      </c>
      <c r="F1074" s="80">
        <f t="shared" si="15"/>
        <v>5.2511833333333335</v>
      </c>
      <c r="G1074" s="80">
        <f t="shared" si="15"/>
        <v>5.2554916666666669</v>
      </c>
      <c r="H1074" s="80">
        <f t="shared" si="15"/>
        <v>8.5581250000000022</v>
      </c>
      <c r="I1074" s="80">
        <f t="shared" si="15"/>
        <v>8.5624583333333337</v>
      </c>
      <c r="J1074" s="80">
        <f t="shared" si="15"/>
        <v>8.5581250000000022</v>
      </c>
      <c r="K1074" s="80">
        <f t="shared" si="15"/>
        <v>8.5624583333333337</v>
      </c>
      <c r="L1074" s="80">
        <f t="shared" si="15"/>
        <v>5.2511833333333335</v>
      </c>
      <c r="M1074" s="80">
        <f t="shared" si="15"/>
        <v>5.2554916666666669</v>
      </c>
      <c r="N1074" s="80">
        <f t="shared" si="15"/>
        <v>5.2511833333333335</v>
      </c>
      <c r="O1074" s="80">
        <f t="shared" si="15"/>
        <v>5.2554916666666669</v>
      </c>
    </row>
    <row r="1075" spans="1:15" ht="15" x14ac:dyDescent="0.2">
      <c r="A1075" s="11">
        <v>2030</v>
      </c>
      <c r="B1075" s="80">
        <f t="shared" ref="B1075:O1075" si="16">AVERAGE(B206:B217)</f>
        <v>4.2197500000000003</v>
      </c>
      <c r="C1075" s="80">
        <f t="shared" si="16"/>
        <v>4.2197500000000003</v>
      </c>
      <c r="D1075" s="80">
        <f t="shared" si="16"/>
        <v>4.2210416666666664</v>
      </c>
      <c r="E1075" s="80">
        <f t="shared" si="16"/>
        <v>5.3853833333333334</v>
      </c>
      <c r="F1075" s="80">
        <f t="shared" si="16"/>
        <v>5.3853833333333334</v>
      </c>
      <c r="G1075" s="80">
        <f t="shared" si="16"/>
        <v>5.3897166666666676</v>
      </c>
      <c r="H1075" s="80">
        <f t="shared" si="16"/>
        <v>8.7745666666666651</v>
      </c>
      <c r="I1075" s="80">
        <f t="shared" si="16"/>
        <v>8.7788916666666683</v>
      </c>
      <c r="J1075" s="80">
        <f t="shared" si="16"/>
        <v>8.7745666666666651</v>
      </c>
      <c r="K1075" s="80">
        <f t="shared" si="16"/>
        <v>8.7788916666666683</v>
      </c>
      <c r="L1075" s="80">
        <f t="shared" si="16"/>
        <v>5.3853833333333334</v>
      </c>
      <c r="M1075" s="80">
        <f t="shared" si="16"/>
        <v>5.3897166666666676</v>
      </c>
      <c r="N1075" s="80">
        <f t="shared" si="16"/>
        <v>5.3853833333333334</v>
      </c>
      <c r="O1075" s="80">
        <f t="shared" si="16"/>
        <v>5.3897166666666676</v>
      </c>
    </row>
    <row r="1076" spans="1:15" ht="15" x14ac:dyDescent="0.2">
      <c r="A1076" s="11">
        <v>2031</v>
      </c>
      <c r="B1076" s="80">
        <f t="shared" ref="B1076:O1076" si="17">AVERAGE(B218:B229)</f>
        <v>4.319983333333334</v>
      </c>
      <c r="C1076" s="80">
        <f t="shared" si="17"/>
        <v>4.319983333333334</v>
      </c>
      <c r="D1076" s="80">
        <f t="shared" si="17"/>
        <v>4.321275</v>
      </c>
      <c r="E1076" s="80">
        <f t="shared" si="17"/>
        <v>5.5212583333333329</v>
      </c>
      <c r="F1076" s="80">
        <f t="shared" si="17"/>
        <v>5.5212583333333329</v>
      </c>
      <c r="G1076" s="80">
        <f t="shared" si="17"/>
        <v>5.5255916666666671</v>
      </c>
      <c r="H1076" s="80">
        <f t="shared" si="17"/>
        <v>8.9964666666666648</v>
      </c>
      <c r="I1076" s="80">
        <f t="shared" si="17"/>
        <v>9.0007833333333327</v>
      </c>
      <c r="J1076" s="80">
        <f t="shared" si="17"/>
        <v>8.9964666666666648</v>
      </c>
      <c r="K1076" s="80">
        <f t="shared" si="17"/>
        <v>9.0007833333333327</v>
      </c>
      <c r="L1076" s="80">
        <f t="shared" si="17"/>
        <v>5.5212583333333329</v>
      </c>
      <c r="M1076" s="80">
        <f t="shared" si="17"/>
        <v>5.5255916666666671</v>
      </c>
      <c r="N1076" s="80">
        <f t="shared" si="17"/>
        <v>5.5212583333333329</v>
      </c>
      <c r="O1076" s="80">
        <f t="shared" si="17"/>
        <v>5.5255916666666671</v>
      </c>
    </row>
    <row r="1077" spans="1:15" ht="15" x14ac:dyDescent="0.2">
      <c r="A1077" s="11">
        <v>2032</v>
      </c>
      <c r="B1077" s="80">
        <f t="shared" ref="B1077:O1077" si="18">AVERAGE(B230:B241)</f>
        <v>4.4233666666666664</v>
      </c>
      <c r="C1077" s="80">
        <f t="shared" si="18"/>
        <v>4.4233666666666664</v>
      </c>
      <c r="D1077" s="80">
        <f t="shared" si="18"/>
        <v>4.4246499999999997</v>
      </c>
      <c r="E1077" s="80">
        <f t="shared" si="18"/>
        <v>5.6636583333333341</v>
      </c>
      <c r="F1077" s="80">
        <f t="shared" si="18"/>
        <v>5.6636583333333341</v>
      </c>
      <c r="G1077" s="80">
        <f t="shared" si="18"/>
        <v>5.6679666666666675</v>
      </c>
      <c r="H1077" s="80">
        <f t="shared" si="18"/>
        <v>9.2239583333333339</v>
      </c>
      <c r="I1077" s="80">
        <f t="shared" si="18"/>
        <v>9.2282833333333336</v>
      </c>
      <c r="J1077" s="80">
        <f t="shared" si="18"/>
        <v>9.2239583333333339</v>
      </c>
      <c r="K1077" s="80">
        <f t="shared" si="18"/>
        <v>9.2282833333333336</v>
      </c>
      <c r="L1077" s="80">
        <f t="shared" si="18"/>
        <v>5.6636583333333341</v>
      </c>
      <c r="M1077" s="80">
        <f t="shared" si="18"/>
        <v>5.6679666666666675</v>
      </c>
      <c r="N1077" s="80">
        <f t="shared" si="18"/>
        <v>5.6636583333333341</v>
      </c>
      <c r="O1077" s="80">
        <f t="shared" si="18"/>
        <v>5.6679666666666675</v>
      </c>
    </row>
    <row r="1078" spans="1:15" ht="15" x14ac:dyDescent="0.2">
      <c r="A1078" s="11">
        <v>2033</v>
      </c>
      <c r="B1078" s="80">
        <f t="shared" ref="B1078:O1078" si="19">AVERAGE(B242:B253)</f>
        <v>4.5277250000000011</v>
      </c>
      <c r="C1078" s="80">
        <f t="shared" si="19"/>
        <v>4.5277250000000011</v>
      </c>
      <c r="D1078" s="80">
        <f t="shared" si="19"/>
        <v>4.5290083333333335</v>
      </c>
      <c r="E1078" s="80">
        <f t="shared" si="19"/>
        <v>5.8086833333333336</v>
      </c>
      <c r="F1078" s="80">
        <f t="shared" si="19"/>
        <v>5.8086833333333336</v>
      </c>
      <c r="G1078" s="80">
        <f t="shared" si="19"/>
        <v>5.8129750000000016</v>
      </c>
      <c r="H1078" s="80">
        <f t="shared" si="19"/>
        <v>9.4572083333333321</v>
      </c>
      <c r="I1078" s="80">
        <f t="shared" si="19"/>
        <v>9.4615333333333336</v>
      </c>
      <c r="J1078" s="80">
        <f t="shared" si="19"/>
        <v>9.4572083333333321</v>
      </c>
      <c r="K1078" s="80">
        <f t="shared" si="19"/>
        <v>9.4615333333333336</v>
      </c>
      <c r="L1078" s="80">
        <f t="shared" si="19"/>
        <v>5.8086833333333336</v>
      </c>
      <c r="M1078" s="80">
        <f t="shared" si="19"/>
        <v>5.8129750000000016</v>
      </c>
      <c r="N1078" s="80">
        <f t="shared" si="19"/>
        <v>5.8086833333333336</v>
      </c>
      <c r="O1078" s="80">
        <f t="shared" si="19"/>
        <v>5.8129750000000016</v>
      </c>
    </row>
    <row r="1079" spans="1:15" ht="15" x14ac:dyDescent="0.2">
      <c r="A1079" s="11">
        <v>2034</v>
      </c>
      <c r="B1079" s="80">
        <f t="shared" ref="B1079:O1079" si="20">AVERAGE(B254:B265)</f>
        <v>4.6365749999999997</v>
      </c>
      <c r="C1079" s="80">
        <f t="shared" si="20"/>
        <v>4.6365749999999997</v>
      </c>
      <c r="D1079" s="80">
        <f t="shared" si="20"/>
        <v>4.6378583333333339</v>
      </c>
      <c r="E1079" s="80">
        <f t="shared" si="20"/>
        <v>5.9626083333333346</v>
      </c>
      <c r="F1079" s="80">
        <f t="shared" si="20"/>
        <v>5.9626083333333346</v>
      </c>
      <c r="G1079" s="80">
        <f t="shared" si="20"/>
        <v>5.966941666666667</v>
      </c>
      <c r="H1079" s="80">
        <f t="shared" si="20"/>
        <v>9.6963750000000015</v>
      </c>
      <c r="I1079" s="80">
        <f t="shared" si="20"/>
        <v>9.7006916666666658</v>
      </c>
      <c r="J1079" s="80">
        <f t="shared" si="20"/>
        <v>9.6963750000000015</v>
      </c>
      <c r="K1079" s="80">
        <f t="shared" si="20"/>
        <v>9.7006916666666658</v>
      </c>
      <c r="L1079" s="80">
        <f t="shared" si="20"/>
        <v>5.9626083333333346</v>
      </c>
      <c r="M1079" s="80">
        <f t="shared" si="20"/>
        <v>5.966941666666667</v>
      </c>
      <c r="N1079" s="80">
        <f t="shared" si="20"/>
        <v>5.9626083333333346</v>
      </c>
      <c r="O1079" s="80">
        <f t="shared" si="20"/>
        <v>5.966941666666667</v>
      </c>
    </row>
    <row r="1080" spans="1:15" ht="15" x14ac:dyDescent="0.2">
      <c r="A1080" s="11">
        <v>2035</v>
      </c>
      <c r="B1080" s="80">
        <f t="shared" ref="B1080:O1080" si="21">AVERAGE(B266:B277)</f>
        <v>4.7452499999999995</v>
      </c>
      <c r="C1080" s="80">
        <f t="shared" si="21"/>
        <v>4.7452499999999995</v>
      </c>
      <c r="D1080" s="80">
        <f t="shared" si="21"/>
        <v>4.7465333333333337</v>
      </c>
      <c r="E1080" s="80">
        <f t="shared" si="21"/>
        <v>6.2283083333333344</v>
      </c>
      <c r="F1080" s="80">
        <f t="shared" si="21"/>
        <v>6.2283083333333344</v>
      </c>
      <c r="G1080" s="80">
        <f t="shared" si="21"/>
        <v>6.2326249999999996</v>
      </c>
      <c r="H1080" s="80">
        <f t="shared" si="21"/>
        <v>9.9415916666666675</v>
      </c>
      <c r="I1080" s="80">
        <f t="shared" si="21"/>
        <v>9.9459083333333336</v>
      </c>
      <c r="J1080" s="80">
        <f t="shared" si="21"/>
        <v>9.9415916666666675</v>
      </c>
      <c r="K1080" s="80">
        <f t="shared" si="21"/>
        <v>9.9459083333333336</v>
      </c>
      <c r="L1080" s="80">
        <f t="shared" si="21"/>
        <v>6.2283083333333344</v>
      </c>
      <c r="M1080" s="80">
        <f t="shared" si="21"/>
        <v>6.2326249999999996</v>
      </c>
      <c r="N1080" s="80">
        <f t="shared" si="21"/>
        <v>6.2283083333333344</v>
      </c>
      <c r="O1080" s="80">
        <f t="shared" si="21"/>
        <v>6.2326249999999996</v>
      </c>
    </row>
    <row r="1081" spans="1:15" ht="15" x14ac:dyDescent="0.2">
      <c r="A1081" s="11">
        <v>2036</v>
      </c>
      <c r="B1081" s="80">
        <f t="shared" ref="B1081:O1081" si="22">AVERAGE(B278:B289)</f>
        <v>4.8552916666666661</v>
      </c>
      <c r="C1081" s="80">
        <f t="shared" si="22"/>
        <v>4.8552916666666661</v>
      </c>
      <c r="D1081" s="80">
        <f t="shared" si="22"/>
        <v>4.8565666666666667</v>
      </c>
      <c r="E1081" s="80">
        <f t="shared" si="22"/>
        <v>6.4622250000000001</v>
      </c>
      <c r="F1081" s="80">
        <f t="shared" si="22"/>
        <v>6.4622250000000001</v>
      </c>
      <c r="G1081" s="80">
        <f t="shared" si="22"/>
        <v>6.4665333333333317</v>
      </c>
      <c r="H1081" s="80">
        <f t="shared" si="22"/>
        <v>10.192983333333334</v>
      </c>
      <c r="I1081" s="80">
        <f t="shared" si="22"/>
        <v>10.197316666666667</v>
      </c>
      <c r="J1081" s="80">
        <f t="shared" si="22"/>
        <v>10.192983333333334</v>
      </c>
      <c r="K1081" s="80">
        <f t="shared" si="22"/>
        <v>10.197316666666667</v>
      </c>
      <c r="L1081" s="80">
        <f t="shared" si="22"/>
        <v>6.4622250000000001</v>
      </c>
      <c r="M1081" s="80">
        <f t="shared" si="22"/>
        <v>6.4665333333333317</v>
      </c>
      <c r="N1081" s="80">
        <f t="shared" si="22"/>
        <v>6.4622250000000001</v>
      </c>
      <c r="O1081" s="80">
        <f t="shared" si="22"/>
        <v>6.4665333333333317</v>
      </c>
    </row>
    <row r="1082" spans="1:15" ht="15" x14ac:dyDescent="0.2">
      <c r="A1082" s="11">
        <v>2037</v>
      </c>
      <c r="B1082" s="80">
        <f t="shared" ref="B1082:O1082" si="23">AVERAGE(B290:B301)</f>
        <v>4.964783333333334</v>
      </c>
      <c r="C1082" s="80">
        <f t="shared" si="23"/>
        <v>4.964783333333334</v>
      </c>
      <c r="D1082" s="80">
        <f t="shared" si="23"/>
        <v>4.9660833333333327</v>
      </c>
      <c r="E1082" s="80">
        <f t="shared" si="23"/>
        <v>6.5224749999999991</v>
      </c>
      <c r="F1082" s="80">
        <f t="shared" si="23"/>
        <v>6.5224749999999991</v>
      </c>
      <c r="G1082" s="80">
        <f t="shared" si="23"/>
        <v>6.5267833333333343</v>
      </c>
      <c r="H1082" s="80">
        <f t="shared" si="23"/>
        <v>10.450766666666667</v>
      </c>
      <c r="I1082" s="80">
        <f t="shared" si="23"/>
        <v>10.455083333333334</v>
      </c>
      <c r="J1082" s="80">
        <f t="shared" si="23"/>
        <v>10.450766666666667</v>
      </c>
      <c r="K1082" s="80">
        <f t="shared" si="23"/>
        <v>10.455083333333334</v>
      </c>
      <c r="L1082" s="80">
        <f t="shared" si="23"/>
        <v>6.5224749999999991</v>
      </c>
      <c r="M1082" s="80">
        <f t="shared" si="23"/>
        <v>6.5267833333333343</v>
      </c>
      <c r="N1082" s="80">
        <f t="shared" si="23"/>
        <v>6.5224749999999991</v>
      </c>
      <c r="O1082" s="80">
        <f t="shared" si="23"/>
        <v>6.5267833333333343</v>
      </c>
    </row>
    <row r="1083" spans="1:15" ht="15" x14ac:dyDescent="0.2">
      <c r="A1083" s="11">
        <v>2038</v>
      </c>
      <c r="B1083" s="80">
        <f t="shared" ref="B1083:O1083" si="24">AVERAGE(B302:B313)</f>
        <v>5.078008333333333</v>
      </c>
      <c r="C1083" s="80">
        <f t="shared" si="24"/>
        <v>5.078008333333333</v>
      </c>
      <c r="D1083" s="80">
        <f t="shared" si="24"/>
        <v>5.0792916666666663</v>
      </c>
      <c r="E1083" s="80">
        <f t="shared" si="24"/>
        <v>6.5534166666666671</v>
      </c>
      <c r="F1083" s="80">
        <f t="shared" si="24"/>
        <v>6.5534166666666671</v>
      </c>
      <c r="G1083" s="80">
        <f t="shared" si="24"/>
        <v>6.5577499999999995</v>
      </c>
      <c r="H1083" s="80">
        <f t="shared" si="24"/>
        <v>10.71505</v>
      </c>
      <c r="I1083" s="80">
        <f t="shared" si="24"/>
        <v>10.719358333333332</v>
      </c>
      <c r="J1083" s="80">
        <f t="shared" si="24"/>
        <v>10.71505</v>
      </c>
      <c r="K1083" s="80">
        <f t="shared" si="24"/>
        <v>10.719358333333332</v>
      </c>
      <c r="L1083" s="80">
        <f t="shared" si="24"/>
        <v>6.5534166666666671</v>
      </c>
      <c r="M1083" s="80">
        <f t="shared" si="24"/>
        <v>6.5577499999999995</v>
      </c>
      <c r="N1083" s="80">
        <f t="shared" si="24"/>
        <v>6.5534166666666671</v>
      </c>
      <c r="O1083" s="80">
        <f t="shared" si="24"/>
        <v>6.5577499999999995</v>
      </c>
    </row>
    <row r="1084" spans="1:15" ht="15" x14ac:dyDescent="0.2">
      <c r="A1084" s="11">
        <v>2039</v>
      </c>
      <c r="B1084" s="80">
        <f t="shared" ref="B1084:O1084" si="25">AVERAGE(B314:B325)</f>
        <v>5.1910833333333333</v>
      </c>
      <c r="C1084" s="80">
        <f t="shared" si="25"/>
        <v>5.1910833333333333</v>
      </c>
      <c r="D1084" s="80">
        <f t="shared" si="25"/>
        <v>5.1923583333333339</v>
      </c>
      <c r="E1084" s="80">
        <f t="shared" si="25"/>
        <v>6.5795250000000003</v>
      </c>
      <c r="F1084" s="80">
        <f t="shared" si="25"/>
        <v>6.5795250000000003</v>
      </c>
      <c r="G1084" s="80">
        <f t="shared" si="25"/>
        <v>6.5838416666666655</v>
      </c>
      <c r="H1084" s="80">
        <f t="shared" si="25"/>
        <v>10.986008333333332</v>
      </c>
      <c r="I1084" s="80">
        <f t="shared" si="25"/>
        <v>10.990325</v>
      </c>
      <c r="J1084" s="80">
        <f t="shared" si="25"/>
        <v>10.986008333333332</v>
      </c>
      <c r="K1084" s="80">
        <f t="shared" si="25"/>
        <v>10.990325</v>
      </c>
      <c r="L1084" s="80">
        <f t="shared" si="25"/>
        <v>6.5795250000000003</v>
      </c>
      <c r="M1084" s="80">
        <f t="shared" si="25"/>
        <v>6.5838416666666655</v>
      </c>
      <c r="N1084" s="80">
        <f t="shared" si="25"/>
        <v>6.5795250000000003</v>
      </c>
      <c r="O1084" s="80">
        <f t="shared" si="25"/>
        <v>6.5838416666666655</v>
      </c>
    </row>
    <row r="1085" spans="1:15" ht="15" x14ac:dyDescent="0.2">
      <c r="A1085" s="11">
        <v>2040</v>
      </c>
      <c r="B1085" s="80">
        <f t="shared" ref="B1085:O1085" si="26">AVERAGE(B326:B337)</f>
        <v>5.3088083333333334</v>
      </c>
      <c r="C1085" s="80">
        <f t="shared" si="26"/>
        <v>5.3088083333333334</v>
      </c>
      <c r="D1085" s="80">
        <f t="shared" si="26"/>
        <v>5.3100916666666675</v>
      </c>
      <c r="E1085" s="80">
        <f t="shared" si="26"/>
        <v>6.6098166666666671</v>
      </c>
      <c r="F1085" s="80">
        <f t="shared" si="26"/>
        <v>6.6098166666666671</v>
      </c>
      <c r="G1085" s="80">
        <f t="shared" si="26"/>
        <v>6.6141166666666669</v>
      </c>
      <c r="H1085" s="80">
        <f t="shared" si="26"/>
        <v>11.263824999999999</v>
      </c>
      <c r="I1085" s="80">
        <f t="shared" si="26"/>
        <v>11.268150000000004</v>
      </c>
      <c r="J1085" s="80">
        <f t="shared" si="26"/>
        <v>11.263824999999999</v>
      </c>
      <c r="K1085" s="80">
        <f t="shared" si="26"/>
        <v>11.268150000000004</v>
      </c>
      <c r="L1085" s="80">
        <f t="shared" si="26"/>
        <v>6.6098166666666671</v>
      </c>
      <c r="M1085" s="80">
        <f t="shared" si="26"/>
        <v>6.6141166666666669</v>
      </c>
      <c r="N1085" s="80">
        <f t="shared" si="26"/>
        <v>6.6098166666666671</v>
      </c>
      <c r="O1085" s="80">
        <f t="shared" si="26"/>
        <v>6.6141166666666669</v>
      </c>
    </row>
    <row r="1086" spans="1:15" ht="15" x14ac:dyDescent="0.2">
      <c r="A1086" s="11">
        <v>2041</v>
      </c>
      <c r="B1086" s="80">
        <f t="shared" ref="B1086:O1086" si="27">AVERAGE(B338:B349)</f>
        <v>5.4292249999999989</v>
      </c>
      <c r="C1086" s="80">
        <f t="shared" si="27"/>
        <v>5.4292249999999989</v>
      </c>
      <c r="D1086" s="80">
        <f t="shared" si="27"/>
        <v>5.430483333333334</v>
      </c>
      <c r="E1086" s="80">
        <f t="shared" si="27"/>
        <v>6.6440333333333328</v>
      </c>
      <c r="F1086" s="80">
        <f t="shared" si="27"/>
        <v>6.6440333333333328</v>
      </c>
      <c r="G1086" s="80">
        <f t="shared" si="27"/>
        <v>6.6483583333333343</v>
      </c>
      <c r="H1086" s="80">
        <f t="shared" si="27"/>
        <v>11.548666666666668</v>
      </c>
      <c r="I1086" s="80">
        <f t="shared" si="27"/>
        <v>11.552999999999999</v>
      </c>
      <c r="J1086" s="80">
        <f t="shared" si="27"/>
        <v>11.548666666666668</v>
      </c>
      <c r="K1086" s="80">
        <f t="shared" si="27"/>
        <v>11.552999999999999</v>
      </c>
      <c r="L1086" s="80">
        <f t="shared" si="27"/>
        <v>6.6440333333333328</v>
      </c>
      <c r="M1086" s="80">
        <f t="shared" si="27"/>
        <v>6.6483583333333343</v>
      </c>
      <c r="N1086" s="80">
        <f t="shared" si="27"/>
        <v>6.6440333333333328</v>
      </c>
      <c r="O1086" s="80">
        <f t="shared" si="27"/>
        <v>6.6483583333333343</v>
      </c>
    </row>
    <row r="1087" spans="1:15" ht="15" x14ac:dyDescent="0.2">
      <c r="A1087" s="11">
        <v>2042</v>
      </c>
      <c r="B1087" s="80">
        <f t="shared" ref="B1087:O1087" si="28">AVERAGE(B350:B361)</f>
        <v>5.5523500000000006</v>
      </c>
      <c r="C1087" s="80">
        <f t="shared" si="28"/>
        <v>5.5523500000000006</v>
      </c>
      <c r="D1087" s="80">
        <f t="shared" si="28"/>
        <v>5.5536416666666675</v>
      </c>
      <c r="E1087" s="80">
        <f t="shared" si="28"/>
        <v>6.6822333333333335</v>
      </c>
      <c r="F1087" s="80">
        <f t="shared" si="28"/>
        <v>6.6822333333333335</v>
      </c>
      <c r="G1087" s="80">
        <f t="shared" si="28"/>
        <v>6.6865499999999995</v>
      </c>
      <c r="H1087" s="80">
        <f t="shared" si="28"/>
        <v>11.840716666666664</v>
      </c>
      <c r="I1087" s="80">
        <f t="shared" si="28"/>
        <v>11.845033333333333</v>
      </c>
      <c r="J1087" s="80">
        <f t="shared" si="28"/>
        <v>11.840716666666664</v>
      </c>
      <c r="K1087" s="80">
        <f t="shared" si="28"/>
        <v>11.845033333333333</v>
      </c>
      <c r="L1087" s="80">
        <f t="shared" si="28"/>
        <v>6.6822333333333335</v>
      </c>
      <c r="M1087" s="80">
        <f t="shared" si="28"/>
        <v>6.6865499999999995</v>
      </c>
      <c r="N1087" s="80">
        <f t="shared" si="28"/>
        <v>6.6822333333333335</v>
      </c>
      <c r="O1087" s="80">
        <f t="shared" si="28"/>
        <v>6.6865499999999995</v>
      </c>
    </row>
    <row r="1088" spans="1:15" ht="15" x14ac:dyDescent="0.2">
      <c r="A1088" s="11">
        <v>2043</v>
      </c>
      <c r="B1088" s="80">
        <f t="shared" ref="B1088:O1088" si="29">AVERAGE(B362:B373)</f>
        <v>5.6783000000000001</v>
      </c>
      <c r="C1088" s="80">
        <f t="shared" si="29"/>
        <v>5.6783000000000001</v>
      </c>
      <c r="D1088" s="80">
        <f t="shared" si="29"/>
        <v>5.6795749999999998</v>
      </c>
      <c r="E1088" s="80">
        <f t="shared" si="29"/>
        <v>6.72445</v>
      </c>
      <c r="F1088" s="80">
        <f t="shared" si="29"/>
        <v>6.72445</v>
      </c>
      <c r="G1088" s="80">
        <f t="shared" si="29"/>
        <v>6.7287666666666661</v>
      </c>
      <c r="H1088" s="80">
        <f t="shared" si="29"/>
        <v>12.140158333333332</v>
      </c>
      <c r="I1088" s="80">
        <f t="shared" si="29"/>
        <v>12.144483333333334</v>
      </c>
      <c r="J1088" s="80">
        <f t="shared" si="29"/>
        <v>12.140158333333332</v>
      </c>
      <c r="K1088" s="80">
        <f t="shared" si="29"/>
        <v>12.144483333333334</v>
      </c>
      <c r="L1088" s="80">
        <f t="shared" si="29"/>
        <v>6.72445</v>
      </c>
      <c r="M1088" s="80">
        <f t="shared" si="29"/>
        <v>6.7287666666666661</v>
      </c>
      <c r="N1088" s="80">
        <f t="shared" si="29"/>
        <v>6.72445</v>
      </c>
      <c r="O1088" s="80">
        <f t="shared" si="29"/>
        <v>6.7287666666666661</v>
      </c>
    </row>
    <row r="1089" spans="1:15" ht="15" x14ac:dyDescent="0.2">
      <c r="A1089" s="11">
        <v>2044</v>
      </c>
      <c r="B1089" s="80">
        <f t="shared" ref="B1089:O1089" si="30">AVERAGE(B374:B385)</f>
        <v>5.807083333333332</v>
      </c>
      <c r="C1089" s="80">
        <f t="shared" si="30"/>
        <v>5.807083333333332</v>
      </c>
      <c r="D1089" s="80">
        <f t="shared" si="30"/>
        <v>5.8083583333333335</v>
      </c>
      <c r="E1089" s="80">
        <f t="shared" si="30"/>
        <v>6.774516666666667</v>
      </c>
      <c r="F1089" s="80">
        <f t="shared" si="30"/>
        <v>6.774516666666667</v>
      </c>
      <c r="G1089" s="80">
        <f t="shared" si="30"/>
        <v>6.7788249999999985</v>
      </c>
      <c r="H1089" s="80">
        <f t="shared" si="30"/>
        <v>12.447166666666668</v>
      </c>
      <c r="I1089" s="80">
        <f t="shared" si="30"/>
        <v>12.451491666666664</v>
      </c>
      <c r="J1089" s="80">
        <f t="shared" si="30"/>
        <v>12.447166666666668</v>
      </c>
      <c r="K1089" s="80">
        <f t="shared" si="30"/>
        <v>12.451491666666664</v>
      </c>
      <c r="L1089" s="80">
        <f t="shared" si="30"/>
        <v>6.774516666666667</v>
      </c>
      <c r="M1089" s="80">
        <f t="shared" si="30"/>
        <v>6.7788249999999985</v>
      </c>
      <c r="N1089" s="80">
        <f t="shared" si="30"/>
        <v>6.774516666666667</v>
      </c>
      <c r="O1089" s="80">
        <f t="shared" si="30"/>
        <v>6.7788249999999985</v>
      </c>
    </row>
    <row r="1090" spans="1:15" ht="15" x14ac:dyDescent="0.2">
      <c r="A1090" s="11">
        <v>2045</v>
      </c>
      <c r="B1090" s="80">
        <f t="shared" ref="B1090:O1090" si="31">AVERAGE(B386:B397)</f>
        <v>5.9387999999999996</v>
      </c>
      <c r="C1090" s="80">
        <f t="shared" si="31"/>
        <v>5.9387999999999996</v>
      </c>
      <c r="D1090" s="80">
        <f t="shared" si="31"/>
        <v>5.9400916666666665</v>
      </c>
      <c r="E1090" s="80">
        <f t="shared" si="31"/>
        <v>6.8389249999999997</v>
      </c>
      <c r="F1090" s="80">
        <f t="shared" si="31"/>
        <v>6.8389249999999997</v>
      </c>
      <c r="G1090" s="80">
        <f t="shared" si="31"/>
        <v>6.8432416666666676</v>
      </c>
      <c r="H1090" s="80">
        <f t="shared" si="31"/>
        <v>12.761933333333333</v>
      </c>
      <c r="I1090" s="80">
        <f t="shared" si="31"/>
        <v>12.766249999999999</v>
      </c>
      <c r="J1090" s="80">
        <f t="shared" si="31"/>
        <v>12.761933333333333</v>
      </c>
      <c r="K1090" s="80">
        <f t="shared" si="31"/>
        <v>12.766249999999999</v>
      </c>
      <c r="L1090" s="80">
        <f t="shared" si="31"/>
        <v>6.8389249999999997</v>
      </c>
      <c r="M1090" s="80">
        <f t="shared" si="31"/>
        <v>6.8432416666666676</v>
      </c>
      <c r="N1090" s="80">
        <f t="shared" si="31"/>
        <v>6.8389249999999997</v>
      </c>
      <c r="O1090" s="80">
        <f t="shared" si="31"/>
        <v>6.8432416666666676</v>
      </c>
    </row>
    <row r="1091" spans="1:15" ht="15" x14ac:dyDescent="0.2">
      <c r="A1091" s="11">
        <v>2046</v>
      </c>
      <c r="B1091" s="80">
        <f t="shared" ref="B1091:O1091" si="32">AVERAGE(B398:B409)</f>
        <v>6.073525000000001</v>
      </c>
      <c r="C1091" s="80">
        <f t="shared" si="32"/>
        <v>6.073525000000001</v>
      </c>
      <c r="D1091" s="80">
        <f t="shared" si="32"/>
        <v>6.0748083333333343</v>
      </c>
      <c r="E1091" s="80">
        <f t="shared" si="32"/>
        <v>6.9243500000000004</v>
      </c>
      <c r="F1091" s="80">
        <f t="shared" si="32"/>
        <v>6.9243500000000004</v>
      </c>
      <c r="G1091" s="80">
        <f t="shared" si="32"/>
        <v>6.9286583333333338</v>
      </c>
      <c r="H1091" s="80">
        <f t="shared" si="32"/>
        <v>13.084658333333332</v>
      </c>
      <c r="I1091" s="80">
        <f t="shared" si="32"/>
        <v>13.088974999999998</v>
      </c>
      <c r="J1091" s="80">
        <f t="shared" si="32"/>
        <v>13.084658333333332</v>
      </c>
      <c r="K1091" s="80">
        <f t="shared" si="32"/>
        <v>13.088974999999998</v>
      </c>
      <c r="L1091" s="80">
        <f t="shared" si="32"/>
        <v>6.9243500000000004</v>
      </c>
      <c r="M1091" s="80">
        <f t="shared" si="32"/>
        <v>6.9286583333333338</v>
      </c>
      <c r="N1091" s="80">
        <f t="shared" si="32"/>
        <v>6.9243500000000004</v>
      </c>
      <c r="O1091" s="80">
        <f t="shared" si="32"/>
        <v>6.9286583333333338</v>
      </c>
    </row>
    <row r="1092" spans="1:15" ht="15" x14ac:dyDescent="0.2">
      <c r="A1092" s="11">
        <v>2047</v>
      </c>
      <c r="B1092" s="80">
        <f t="shared" ref="B1092:O1092" si="33">AVERAGE(B410:B421)</f>
        <v>6.2112833333333333</v>
      </c>
      <c r="C1092" s="80">
        <f t="shared" si="33"/>
        <v>6.2112833333333333</v>
      </c>
      <c r="D1092" s="80">
        <f t="shared" si="33"/>
        <v>6.2125750000000011</v>
      </c>
      <c r="E1092" s="80">
        <f t="shared" si="33"/>
        <v>7.0300916666666664</v>
      </c>
      <c r="F1092" s="80">
        <f t="shared" si="33"/>
        <v>7.0300916666666664</v>
      </c>
      <c r="G1092" s="80">
        <f t="shared" si="33"/>
        <v>7.0343999999999989</v>
      </c>
      <c r="H1092" s="80">
        <f t="shared" si="33"/>
        <v>13.415558333333335</v>
      </c>
      <c r="I1092" s="80">
        <f t="shared" si="33"/>
        <v>13.419874999999998</v>
      </c>
      <c r="J1092" s="80">
        <f t="shared" si="33"/>
        <v>13.415558333333335</v>
      </c>
      <c r="K1092" s="80">
        <f t="shared" si="33"/>
        <v>13.419874999999998</v>
      </c>
      <c r="L1092" s="80">
        <f t="shared" si="33"/>
        <v>7.0300916666666664</v>
      </c>
      <c r="M1092" s="80">
        <f t="shared" si="33"/>
        <v>7.0343999999999989</v>
      </c>
      <c r="N1092" s="80">
        <f t="shared" si="33"/>
        <v>7.0300916666666664</v>
      </c>
      <c r="O1092" s="80">
        <f t="shared" si="33"/>
        <v>7.0343999999999989</v>
      </c>
    </row>
    <row r="1093" spans="1:15" ht="15" x14ac:dyDescent="0.2">
      <c r="A1093" s="11">
        <v>2048</v>
      </c>
      <c r="B1093" s="80">
        <f t="shared" ref="B1093:O1093" si="34">AVERAGE(B422:B433)</f>
        <v>6.3522166666666671</v>
      </c>
      <c r="C1093" s="80">
        <f t="shared" si="34"/>
        <v>6.3522166666666671</v>
      </c>
      <c r="D1093" s="80">
        <f t="shared" si="34"/>
        <v>6.3534666666666668</v>
      </c>
      <c r="E1093" s="80">
        <f t="shared" si="34"/>
        <v>7.1572916666666666</v>
      </c>
      <c r="F1093" s="80">
        <f t="shared" si="34"/>
        <v>7.1572916666666666</v>
      </c>
      <c r="G1093" s="80">
        <f t="shared" si="34"/>
        <v>7.1615916666666672</v>
      </c>
      <c r="H1093" s="80">
        <f t="shared" si="34"/>
        <v>13.754816666666668</v>
      </c>
      <c r="I1093" s="80">
        <f t="shared" si="34"/>
        <v>13.759133333333336</v>
      </c>
      <c r="J1093" s="80">
        <f t="shared" si="34"/>
        <v>13.754816666666668</v>
      </c>
      <c r="K1093" s="80">
        <f t="shared" si="34"/>
        <v>13.759133333333336</v>
      </c>
      <c r="L1093" s="80">
        <f t="shared" si="34"/>
        <v>7.1572916666666666</v>
      </c>
      <c r="M1093" s="80">
        <f t="shared" si="34"/>
        <v>7.1615916666666672</v>
      </c>
      <c r="N1093" s="80">
        <f t="shared" si="34"/>
        <v>7.1572916666666666</v>
      </c>
      <c r="O1093" s="80">
        <f t="shared" si="34"/>
        <v>7.1615916666666672</v>
      </c>
    </row>
    <row r="1094" spans="1:15" ht="15" x14ac:dyDescent="0.2">
      <c r="A1094" s="11">
        <v>2049</v>
      </c>
      <c r="B1094" s="80">
        <f t="shared" ref="B1094:O1094" si="35">AVERAGE(B434:B445)</f>
        <v>6.4963166666666652</v>
      </c>
      <c r="C1094" s="80">
        <f t="shared" si="35"/>
        <v>6.4963166666666652</v>
      </c>
      <c r="D1094" s="80">
        <f t="shared" si="35"/>
        <v>6.4976000000000012</v>
      </c>
      <c r="E1094" s="80">
        <f t="shared" si="35"/>
        <v>7.3044833333333328</v>
      </c>
      <c r="F1094" s="80">
        <f t="shared" si="35"/>
        <v>7.3044833333333328</v>
      </c>
      <c r="G1094" s="80">
        <f t="shared" si="35"/>
        <v>7.3087833333333334</v>
      </c>
      <c r="H1094" s="80">
        <f t="shared" si="35"/>
        <v>14.102649999999999</v>
      </c>
      <c r="I1094" s="80">
        <f t="shared" si="35"/>
        <v>14.106966666666667</v>
      </c>
      <c r="J1094" s="80">
        <f t="shared" si="35"/>
        <v>14.102649999999999</v>
      </c>
      <c r="K1094" s="80">
        <f t="shared" si="35"/>
        <v>14.106966666666667</v>
      </c>
      <c r="L1094" s="80">
        <f t="shared" si="35"/>
        <v>7.3044833333333328</v>
      </c>
      <c r="M1094" s="80">
        <f t="shared" si="35"/>
        <v>7.3087833333333334</v>
      </c>
      <c r="N1094" s="80">
        <f t="shared" si="35"/>
        <v>7.3044833333333328</v>
      </c>
      <c r="O1094" s="80">
        <f t="shared" si="35"/>
        <v>7.3087833333333334</v>
      </c>
    </row>
    <row r="1095" spans="1:15" ht="15" x14ac:dyDescent="0.2">
      <c r="A1095" s="11">
        <v>2050</v>
      </c>
      <c r="B1095" s="80">
        <f t="shared" ref="B1095:O1095" si="36">AVERAGE(B446:B457)</f>
        <v>6.6436749999999982</v>
      </c>
      <c r="C1095" s="80">
        <f t="shared" si="36"/>
        <v>6.6436749999999982</v>
      </c>
      <c r="D1095" s="80">
        <f t="shared" si="36"/>
        <v>6.6449666666666678</v>
      </c>
      <c r="E1095" s="80">
        <f t="shared" si="36"/>
        <v>7.4640833333333338</v>
      </c>
      <c r="F1095" s="80">
        <f t="shared" si="36"/>
        <v>7.4640833333333338</v>
      </c>
      <c r="G1095" s="80">
        <f t="shared" si="36"/>
        <v>7.4683916666666663</v>
      </c>
      <c r="H1095" s="80">
        <f t="shared" si="36"/>
        <v>14.459291666666667</v>
      </c>
      <c r="I1095" s="80">
        <f t="shared" si="36"/>
        <v>14.463608333333331</v>
      </c>
      <c r="J1095" s="80">
        <f t="shared" si="36"/>
        <v>14.459291666666667</v>
      </c>
      <c r="K1095" s="80">
        <f t="shared" si="36"/>
        <v>14.463608333333331</v>
      </c>
      <c r="L1095" s="80">
        <f t="shared" si="36"/>
        <v>7.4640833333333338</v>
      </c>
      <c r="M1095" s="80">
        <f t="shared" si="36"/>
        <v>7.4683916666666663</v>
      </c>
      <c r="N1095" s="80">
        <f t="shared" si="36"/>
        <v>7.4640833333333338</v>
      </c>
      <c r="O1095" s="80">
        <f t="shared" si="36"/>
        <v>7.4683916666666663</v>
      </c>
    </row>
    <row r="1096" spans="1:15" ht="15" x14ac:dyDescent="0.2">
      <c r="A1096" s="11">
        <v>2051</v>
      </c>
      <c r="B1096" s="80">
        <f t="shared" ref="B1096:O1096" si="37">AVERAGE(B458:B469)</f>
        <v>6.7943916666666659</v>
      </c>
      <c r="C1096" s="80">
        <f t="shared" si="37"/>
        <v>6.7943916666666659</v>
      </c>
      <c r="D1096" s="80">
        <f t="shared" si="37"/>
        <v>6.7957000000000001</v>
      </c>
      <c r="E1096" s="80">
        <f t="shared" si="37"/>
        <v>7.627958333333333</v>
      </c>
      <c r="F1096" s="80">
        <f t="shared" si="37"/>
        <v>7.627958333333333</v>
      </c>
      <c r="G1096" s="80">
        <f t="shared" si="37"/>
        <v>7.6322916666666671</v>
      </c>
      <c r="H1096" s="80">
        <f t="shared" si="37"/>
        <v>14.824925</v>
      </c>
      <c r="I1096" s="80">
        <f t="shared" si="37"/>
        <v>14.82925833333333</v>
      </c>
      <c r="J1096" s="80">
        <f t="shared" si="37"/>
        <v>14.824925</v>
      </c>
      <c r="K1096" s="80">
        <f t="shared" si="37"/>
        <v>14.82925833333333</v>
      </c>
      <c r="L1096" s="80">
        <f t="shared" si="37"/>
        <v>7.627958333333333</v>
      </c>
      <c r="M1096" s="80">
        <f t="shared" si="37"/>
        <v>7.6322916666666671</v>
      </c>
      <c r="N1096" s="80">
        <f t="shared" si="37"/>
        <v>7.627958333333333</v>
      </c>
      <c r="O1096" s="80">
        <f t="shared" si="37"/>
        <v>7.6322916666666671</v>
      </c>
    </row>
    <row r="1097" spans="1:15" ht="15" x14ac:dyDescent="0.2">
      <c r="A1097" s="11">
        <v>2052</v>
      </c>
      <c r="B1097" s="80">
        <f t="shared" ref="B1097:O1097" si="38">AVERAGE(B470:B481)</f>
        <v>6.9485583333333336</v>
      </c>
      <c r="C1097" s="80">
        <f t="shared" si="38"/>
        <v>6.9485583333333336</v>
      </c>
      <c r="D1097" s="80">
        <f t="shared" si="38"/>
        <v>6.9498499999999988</v>
      </c>
      <c r="E1097" s="80">
        <f t="shared" si="38"/>
        <v>7.7962999999999996</v>
      </c>
      <c r="F1097" s="80">
        <f t="shared" si="38"/>
        <v>7.7962999999999996</v>
      </c>
      <c r="G1097" s="80">
        <f t="shared" si="38"/>
        <v>7.8006083333333338</v>
      </c>
      <c r="H1097" s="80">
        <f t="shared" si="38"/>
        <v>15.19985</v>
      </c>
      <c r="I1097" s="80">
        <f t="shared" si="38"/>
        <v>15.204166666666671</v>
      </c>
      <c r="J1097" s="80">
        <f t="shared" si="38"/>
        <v>15.19985</v>
      </c>
      <c r="K1097" s="80">
        <f t="shared" si="38"/>
        <v>15.204166666666671</v>
      </c>
      <c r="L1097" s="80">
        <f t="shared" si="38"/>
        <v>7.7962999999999996</v>
      </c>
      <c r="M1097" s="80">
        <f t="shared" si="38"/>
        <v>7.8006083333333338</v>
      </c>
      <c r="N1097" s="80">
        <f t="shared" si="38"/>
        <v>7.7962999999999996</v>
      </c>
      <c r="O1097" s="80">
        <f t="shared" si="38"/>
        <v>7.8006083333333338</v>
      </c>
    </row>
    <row r="1098" spans="1:15" ht="15" x14ac:dyDescent="0.2">
      <c r="A1098" s="11">
        <v>2053</v>
      </c>
      <c r="B1098" s="80">
        <f t="shared" ref="B1098:O1098" si="39">AVERAGE(B482:B493)</f>
        <v>7.1062166666666675</v>
      </c>
      <c r="C1098" s="80">
        <f t="shared" si="39"/>
        <v>7.1062166666666675</v>
      </c>
      <c r="D1098" s="80">
        <f t="shared" si="39"/>
        <v>7.1075000000000008</v>
      </c>
      <c r="E1098" s="80">
        <f t="shared" si="39"/>
        <v>7.9691916666666662</v>
      </c>
      <c r="F1098" s="80">
        <f t="shared" si="39"/>
        <v>7.9691916666666662</v>
      </c>
      <c r="G1098" s="80">
        <f t="shared" si="39"/>
        <v>7.9735166666666659</v>
      </c>
      <c r="H1098" s="80">
        <f t="shared" si="39"/>
        <v>15.584200000000001</v>
      </c>
      <c r="I1098" s="80">
        <f t="shared" si="39"/>
        <v>15.588533333333332</v>
      </c>
      <c r="J1098" s="80">
        <f t="shared" si="39"/>
        <v>15.584200000000001</v>
      </c>
      <c r="K1098" s="80">
        <f t="shared" si="39"/>
        <v>15.588533333333332</v>
      </c>
      <c r="L1098" s="80">
        <f t="shared" si="39"/>
        <v>7.9691916666666662</v>
      </c>
      <c r="M1098" s="80">
        <f t="shared" si="39"/>
        <v>7.9735166666666659</v>
      </c>
      <c r="N1098" s="80">
        <f t="shared" si="39"/>
        <v>7.9691916666666662</v>
      </c>
      <c r="O1098" s="80">
        <f t="shared" si="39"/>
        <v>7.9735166666666659</v>
      </c>
    </row>
    <row r="1099" spans="1:15" ht="15" x14ac:dyDescent="0.2">
      <c r="A1099" s="11">
        <v>2054</v>
      </c>
      <c r="B1099" s="80">
        <f t="shared" ref="B1099:O1099" si="40">AVERAGE(B494:B505)</f>
        <v>7.2674666666666674</v>
      </c>
      <c r="C1099" s="80">
        <f t="shared" si="40"/>
        <v>7.2674666666666674</v>
      </c>
      <c r="D1099" s="80">
        <f t="shared" si="40"/>
        <v>7.2687416666666671</v>
      </c>
      <c r="E1099" s="80">
        <f t="shared" si="40"/>
        <v>8.1467749999999999</v>
      </c>
      <c r="F1099" s="80">
        <f t="shared" si="40"/>
        <v>8.1467749999999999</v>
      </c>
      <c r="G1099" s="80">
        <f t="shared" si="40"/>
        <v>8.151091666666666</v>
      </c>
      <c r="H1099" s="80">
        <f t="shared" si="40"/>
        <v>15.978316666666665</v>
      </c>
      <c r="I1099" s="80">
        <f t="shared" si="40"/>
        <v>15.982641666666666</v>
      </c>
      <c r="J1099" s="80">
        <f t="shared" si="40"/>
        <v>15.978316666666665</v>
      </c>
      <c r="K1099" s="80">
        <f t="shared" si="40"/>
        <v>15.982641666666666</v>
      </c>
      <c r="L1099" s="80">
        <f t="shared" si="40"/>
        <v>8.1467749999999999</v>
      </c>
      <c r="M1099" s="80">
        <f t="shared" si="40"/>
        <v>8.151091666666666</v>
      </c>
      <c r="N1099" s="80">
        <f t="shared" si="40"/>
        <v>8.1467749999999999</v>
      </c>
      <c r="O1099" s="80">
        <f t="shared" si="40"/>
        <v>8.151091666666666</v>
      </c>
    </row>
    <row r="1100" spans="1:15" ht="15" x14ac:dyDescent="0.2">
      <c r="A1100" s="11">
        <v>2055</v>
      </c>
      <c r="B1100" s="80">
        <f t="shared" ref="B1100:O1100" si="41">AVERAGE(B14:B517)</f>
        <v>4.831816810818971</v>
      </c>
      <c r="C1100" s="80">
        <f t="shared" si="41"/>
        <v>4.8316309388528138</v>
      </c>
      <c r="D1100" s="80">
        <f t="shared" si="41"/>
        <v>4.8339952503607506</v>
      </c>
      <c r="E1100" s="80">
        <f t="shared" si="41"/>
        <v>5.8754100886715772</v>
      </c>
      <c r="F1100" s="80">
        <f t="shared" si="41"/>
        <v>5.8623379539951568</v>
      </c>
      <c r="G1100" s="80">
        <f t="shared" si="41"/>
        <v>5.866918598836433</v>
      </c>
      <c r="H1100" s="80">
        <f t="shared" si="41"/>
        <v>10.274006012619598</v>
      </c>
      <c r="I1100" s="80">
        <f t="shared" si="41"/>
        <v>10.278591022540224</v>
      </c>
      <c r="J1100" s="80">
        <f t="shared" si="41"/>
        <v>10.274006012619598</v>
      </c>
      <c r="K1100" s="80">
        <f t="shared" si="41"/>
        <v>10.278591022540224</v>
      </c>
      <c r="L1100" s="80">
        <f t="shared" si="41"/>
        <v>5.8754100886715772</v>
      </c>
      <c r="M1100" s="80">
        <f t="shared" si="41"/>
        <v>5.879990336687456</v>
      </c>
      <c r="N1100" s="80">
        <f t="shared" si="41"/>
        <v>5.8754100886715772</v>
      </c>
      <c r="O1100" s="80">
        <f t="shared" si="41"/>
        <v>5.879990336687456</v>
      </c>
    </row>
    <row r="1101" spans="1:15" ht="15" x14ac:dyDescent="0.2">
      <c r="A1101" s="11">
        <v>2056</v>
      </c>
      <c r="B1101" s="80">
        <f t="shared" ref="B1101:O1101" si="42">AVERAGE(B518:B529)</f>
        <v>7.6010166666666663</v>
      </c>
      <c r="C1101" s="80">
        <f t="shared" si="42"/>
        <v>7.6010166666666663</v>
      </c>
      <c r="D1101" s="80">
        <f t="shared" si="42"/>
        <v>7.6022833333333333</v>
      </c>
      <c r="E1101" s="80">
        <f t="shared" si="42"/>
        <v>8.5165749999999996</v>
      </c>
      <c r="F1101" s="80">
        <f t="shared" si="42"/>
        <v>8.5165749999999996</v>
      </c>
      <c r="G1101" s="80">
        <f t="shared" si="42"/>
        <v>8.5208916666666674</v>
      </c>
      <c r="H1101" s="80">
        <f t="shared" si="42"/>
        <v>16.796683333333334</v>
      </c>
      <c r="I1101" s="80">
        <f t="shared" si="42"/>
        <v>16.800983333333331</v>
      </c>
      <c r="J1101" s="80">
        <f t="shared" si="42"/>
        <v>16.796683333333334</v>
      </c>
      <c r="K1101" s="80">
        <f t="shared" si="42"/>
        <v>16.800983333333331</v>
      </c>
      <c r="L1101" s="80">
        <f t="shared" si="42"/>
        <v>8.5165749999999996</v>
      </c>
      <c r="M1101" s="80">
        <f t="shared" si="42"/>
        <v>8.5208916666666674</v>
      </c>
      <c r="N1101" s="80">
        <f t="shared" si="42"/>
        <v>8.5165749999999996</v>
      </c>
      <c r="O1101" s="80">
        <f t="shared" si="42"/>
        <v>8.5208916666666674</v>
      </c>
    </row>
    <row r="1102" spans="1:15" ht="15" x14ac:dyDescent="0.2">
      <c r="A1102" s="11">
        <v>2057</v>
      </c>
      <c r="B1102" s="80">
        <f t="shared" ref="B1102:O1102" si="43">AVERAGE(B530:B541)</f>
        <v>7.7734750000000012</v>
      </c>
      <c r="C1102" s="80">
        <f t="shared" si="43"/>
        <v>7.7734750000000012</v>
      </c>
      <c r="D1102" s="80">
        <f t="shared" si="43"/>
        <v>7.7747666666666655</v>
      </c>
      <c r="E1102" s="80">
        <f t="shared" si="43"/>
        <v>8.7090916666666676</v>
      </c>
      <c r="F1102" s="80">
        <f t="shared" si="43"/>
        <v>8.7090916666666676</v>
      </c>
      <c r="G1102" s="80">
        <f t="shared" si="43"/>
        <v>8.7134166666666655</v>
      </c>
      <c r="H1102" s="80">
        <f t="shared" si="43"/>
        <v>17.221425</v>
      </c>
      <c r="I1102" s="80">
        <f t="shared" si="43"/>
        <v>17.225741666666668</v>
      </c>
      <c r="J1102" s="80">
        <f t="shared" si="43"/>
        <v>17.221425</v>
      </c>
      <c r="K1102" s="80">
        <f t="shared" si="43"/>
        <v>17.225741666666668</v>
      </c>
      <c r="L1102" s="80">
        <f t="shared" si="43"/>
        <v>8.7090916666666676</v>
      </c>
      <c r="M1102" s="80">
        <f t="shared" si="43"/>
        <v>8.7134166666666655</v>
      </c>
      <c r="N1102" s="80">
        <f t="shared" si="43"/>
        <v>8.7090916666666676</v>
      </c>
      <c r="O1102" s="80">
        <f t="shared" si="43"/>
        <v>8.7134166666666655</v>
      </c>
    </row>
    <row r="1103" spans="1:15" ht="15" x14ac:dyDescent="0.2">
      <c r="A1103" s="11">
        <v>2058</v>
      </c>
      <c r="B1103" s="80">
        <f t="shared" ref="B1103:O1103" si="44">AVERAGE(B542:B553)</f>
        <v>7.9498749999999996</v>
      </c>
      <c r="C1103" s="80">
        <f t="shared" si="44"/>
        <v>7.9498749999999996</v>
      </c>
      <c r="D1103" s="80">
        <f t="shared" si="44"/>
        <v>7.9511750000000019</v>
      </c>
      <c r="E1103" s="80">
        <f t="shared" si="44"/>
        <v>8.9068749999999994</v>
      </c>
      <c r="F1103" s="80">
        <f t="shared" si="44"/>
        <v>8.9068749999999994</v>
      </c>
      <c r="G1103" s="80">
        <f t="shared" si="44"/>
        <v>8.9111916666666673</v>
      </c>
      <c r="H1103" s="80">
        <f t="shared" si="44"/>
        <v>17.656933333333335</v>
      </c>
      <c r="I1103" s="80">
        <f t="shared" si="44"/>
        <v>17.661258333333333</v>
      </c>
      <c r="J1103" s="80">
        <f t="shared" si="44"/>
        <v>17.656933333333335</v>
      </c>
      <c r="K1103" s="80">
        <f t="shared" si="44"/>
        <v>17.661258333333333</v>
      </c>
      <c r="L1103" s="80">
        <f t="shared" si="44"/>
        <v>8.9068749999999994</v>
      </c>
      <c r="M1103" s="80">
        <f t="shared" si="44"/>
        <v>8.9111916666666673</v>
      </c>
      <c r="N1103" s="80">
        <f t="shared" si="44"/>
        <v>8.9068749999999994</v>
      </c>
      <c r="O1103" s="80">
        <f t="shared" si="44"/>
        <v>8.9111916666666673</v>
      </c>
    </row>
    <row r="1104" spans="1:15" ht="15" x14ac:dyDescent="0.2">
      <c r="A1104" s="11">
        <v>2059</v>
      </c>
      <c r="B1104" s="80">
        <f t="shared" ref="B1104:O1104" si="45">AVERAGE(B554:B565)</f>
        <v>8.1302916666666665</v>
      </c>
      <c r="C1104" s="80">
        <f t="shared" si="45"/>
        <v>8.1302916666666665</v>
      </c>
      <c r="D1104" s="80">
        <f t="shared" si="45"/>
        <v>8.1315833333333334</v>
      </c>
      <c r="E1104" s="80">
        <f t="shared" si="45"/>
        <v>9.1100750000000001</v>
      </c>
      <c r="F1104" s="80">
        <f t="shared" si="45"/>
        <v>9.1100750000000001</v>
      </c>
      <c r="G1104" s="80">
        <f t="shared" si="45"/>
        <v>9.1143999999999981</v>
      </c>
      <c r="H1104" s="80">
        <f t="shared" si="45"/>
        <v>18.103449999999999</v>
      </c>
      <c r="I1104" s="80">
        <f t="shared" si="45"/>
        <v>18.107775</v>
      </c>
      <c r="J1104" s="80">
        <f t="shared" si="45"/>
        <v>18.103449999999999</v>
      </c>
      <c r="K1104" s="80">
        <f t="shared" si="45"/>
        <v>18.107775</v>
      </c>
      <c r="L1104" s="80">
        <f t="shared" si="45"/>
        <v>9.1100750000000001</v>
      </c>
      <c r="M1104" s="80">
        <f t="shared" si="45"/>
        <v>9.1143999999999981</v>
      </c>
      <c r="N1104" s="80">
        <f t="shared" si="45"/>
        <v>9.1100750000000001</v>
      </c>
      <c r="O1104" s="80">
        <f t="shared" si="45"/>
        <v>9.1143999999999981</v>
      </c>
    </row>
    <row r="1105" spans="1:15" ht="15" x14ac:dyDescent="0.2">
      <c r="A1105" s="11">
        <v>2060</v>
      </c>
      <c r="B1105" s="80">
        <f t="shared" ref="B1105:O1105" si="46">AVERAGE(B566:B577)</f>
        <v>8.3147999999999982</v>
      </c>
      <c r="C1105" s="80">
        <f t="shared" si="46"/>
        <v>8.3147999999999982</v>
      </c>
      <c r="D1105" s="80">
        <f t="shared" si="46"/>
        <v>8.3160749999999997</v>
      </c>
      <c r="E1105" s="80">
        <f t="shared" si="46"/>
        <v>9.3188999999999993</v>
      </c>
      <c r="F1105" s="80">
        <f t="shared" si="46"/>
        <v>9.3188999999999993</v>
      </c>
      <c r="G1105" s="80">
        <f t="shared" si="46"/>
        <v>9.3232000000000017</v>
      </c>
      <c r="H1105" s="80">
        <f t="shared" si="46"/>
        <v>18.561266666666665</v>
      </c>
      <c r="I1105" s="80">
        <f t="shared" si="46"/>
        <v>18.565583333333333</v>
      </c>
      <c r="J1105" s="80">
        <f t="shared" si="46"/>
        <v>18.561266666666665</v>
      </c>
      <c r="K1105" s="80">
        <f t="shared" si="46"/>
        <v>18.565583333333333</v>
      </c>
      <c r="L1105" s="80">
        <f t="shared" si="46"/>
        <v>9.3188999999999993</v>
      </c>
      <c r="M1105" s="80">
        <f t="shared" si="46"/>
        <v>9.3232000000000017</v>
      </c>
      <c r="N1105" s="80">
        <f t="shared" si="46"/>
        <v>9.3188999999999993</v>
      </c>
      <c r="O1105" s="80">
        <f t="shared" si="46"/>
        <v>9.3232000000000017</v>
      </c>
    </row>
    <row r="1106" spans="1:15" ht="15" x14ac:dyDescent="0.2">
      <c r="A1106" s="11">
        <v>2061</v>
      </c>
      <c r="B1106" s="80">
        <f t="shared" ref="B1106:O1106" si="47">AVERAGE(B578:B589)</f>
        <v>8.5034916666666671</v>
      </c>
      <c r="C1106" s="80">
        <f t="shared" si="47"/>
        <v>8.5034916666666671</v>
      </c>
      <c r="D1106" s="80">
        <f t="shared" si="47"/>
        <v>8.5047749999999986</v>
      </c>
      <c r="E1106" s="80">
        <f t="shared" si="47"/>
        <v>9.5334583333333338</v>
      </c>
      <c r="F1106" s="80">
        <f t="shared" si="47"/>
        <v>9.5334583333333338</v>
      </c>
      <c r="G1106" s="80">
        <f t="shared" si="47"/>
        <v>9.5377750000000017</v>
      </c>
      <c r="H1106" s="80">
        <f t="shared" si="47"/>
        <v>19.030649999999998</v>
      </c>
      <c r="I1106" s="80">
        <f t="shared" si="47"/>
        <v>19.034975000000003</v>
      </c>
      <c r="J1106" s="80">
        <f t="shared" si="47"/>
        <v>19.030649999999998</v>
      </c>
      <c r="K1106" s="80">
        <f t="shared" si="47"/>
        <v>19.034975000000003</v>
      </c>
      <c r="L1106" s="80">
        <f t="shared" si="47"/>
        <v>9.5334583333333338</v>
      </c>
      <c r="M1106" s="80">
        <f t="shared" si="47"/>
        <v>9.5377750000000017</v>
      </c>
      <c r="N1106" s="80">
        <f t="shared" si="47"/>
        <v>9.5334583333333338</v>
      </c>
      <c r="O1106" s="80">
        <f t="shared" si="47"/>
        <v>9.5377750000000017</v>
      </c>
    </row>
    <row r="1107" spans="1:15" ht="15" x14ac:dyDescent="0.2">
      <c r="A1107" s="11">
        <v>2062</v>
      </c>
      <c r="B1107" s="80">
        <f t="shared" ref="B1107:O1116" ca="1" si="48">AVERAGE(OFFSET(B$590,($A1107-$A$1107)*12,0,12,1))</f>
        <v>8.6921999999999979</v>
      </c>
      <c r="C1107" s="80">
        <f t="shared" ca="1" si="48"/>
        <v>8.6921999999999979</v>
      </c>
      <c r="D1107" s="80">
        <f t="shared" ca="1" si="48"/>
        <v>8.6934833333333348</v>
      </c>
      <c r="E1107" s="80">
        <f t="shared" ca="1" si="48"/>
        <v>9.7480333333333338</v>
      </c>
      <c r="F1107" s="80">
        <f t="shared" ca="1" si="48"/>
        <v>9.7480333333333338</v>
      </c>
      <c r="G1107" s="80">
        <f t="shared" ca="1" si="48"/>
        <v>9.7523500000000016</v>
      </c>
      <c r="H1107" s="80">
        <f t="shared" ca="1" si="48"/>
        <v>19.500033333333331</v>
      </c>
      <c r="I1107" s="80">
        <f t="shared" ca="1" si="48"/>
        <v>19.504333333333332</v>
      </c>
      <c r="J1107" s="80">
        <f t="shared" ca="1" si="48"/>
        <v>19.500033333333331</v>
      </c>
      <c r="K1107" s="80">
        <f t="shared" ca="1" si="48"/>
        <v>19.504333333333332</v>
      </c>
      <c r="L1107" s="80">
        <f t="shared" ca="1" si="48"/>
        <v>9.7480333333333338</v>
      </c>
      <c r="M1107" s="80">
        <f t="shared" ca="1" si="48"/>
        <v>9.7523500000000016</v>
      </c>
      <c r="N1107" s="80">
        <f t="shared" ca="1" si="48"/>
        <v>9.7480333333333338</v>
      </c>
      <c r="O1107" s="80">
        <f t="shared" ca="1" si="48"/>
        <v>9.7523500000000016</v>
      </c>
    </row>
    <row r="1108" spans="1:15" ht="15" x14ac:dyDescent="0.2">
      <c r="A1108" s="11">
        <v>2063</v>
      </c>
      <c r="B1108" s="80">
        <f t="shared" ca="1" si="48"/>
        <v>8.8809083333333341</v>
      </c>
      <c r="C1108" s="80">
        <f t="shared" ca="1" si="48"/>
        <v>8.8809083333333341</v>
      </c>
      <c r="D1108" s="80">
        <f t="shared" ca="1" si="48"/>
        <v>8.8821999999999992</v>
      </c>
      <c r="E1108" s="80">
        <f t="shared" ca="1" si="48"/>
        <v>9.9625916666666665</v>
      </c>
      <c r="F1108" s="80">
        <f t="shared" ca="1" si="48"/>
        <v>9.9625916666666665</v>
      </c>
      <c r="G1108" s="80">
        <f t="shared" ca="1" si="48"/>
        <v>9.9669083333333344</v>
      </c>
      <c r="H1108" s="80">
        <f t="shared" ca="1" si="48"/>
        <v>19.969425000000001</v>
      </c>
      <c r="I1108" s="80">
        <f t="shared" ca="1" si="48"/>
        <v>19.973741666666665</v>
      </c>
      <c r="J1108" s="80">
        <f t="shared" ca="1" si="48"/>
        <v>19.969425000000001</v>
      </c>
      <c r="K1108" s="80">
        <f t="shared" ca="1" si="48"/>
        <v>19.973741666666665</v>
      </c>
      <c r="L1108" s="80">
        <f t="shared" ca="1" si="48"/>
        <v>9.9625916666666665</v>
      </c>
      <c r="M1108" s="80">
        <f t="shared" ca="1" si="48"/>
        <v>9.9669083333333344</v>
      </c>
      <c r="N1108" s="80">
        <f t="shared" ca="1" si="48"/>
        <v>9.9625916666666665</v>
      </c>
      <c r="O1108" s="80">
        <f t="shared" ca="1" si="48"/>
        <v>9.9669083333333344</v>
      </c>
    </row>
    <row r="1109" spans="1:15" ht="15" x14ac:dyDescent="0.2">
      <c r="A1109" s="11">
        <v>2064</v>
      </c>
      <c r="B1109" s="80">
        <f t="shared" ca="1" si="48"/>
        <v>9.0695916666666658</v>
      </c>
      <c r="C1109" s="80">
        <f t="shared" ca="1" si="48"/>
        <v>9.0695916666666658</v>
      </c>
      <c r="D1109" s="80">
        <f t="shared" ca="1" si="48"/>
        <v>9.0708916666666664</v>
      </c>
      <c r="E1109" s="80">
        <f t="shared" ca="1" si="48"/>
        <v>10.177166666666666</v>
      </c>
      <c r="F1109" s="80">
        <f t="shared" ca="1" si="48"/>
        <v>10.177166666666666</v>
      </c>
      <c r="G1109" s="80">
        <f t="shared" ca="1" si="48"/>
        <v>10.181483333333334</v>
      </c>
      <c r="H1109" s="80">
        <f t="shared" ca="1" si="48"/>
        <v>20.438816666666664</v>
      </c>
      <c r="I1109" s="80">
        <f t="shared" ca="1" si="48"/>
        <v>20.443133333333332</v>
      </c>
      <c r="J1109" s="80">
        <f t="shared" ca="1" si="48"/>
        <v>20.438816666666664</v>
      </c>
      <c r="K1109" s="80">
        <f t="shared" ca="1" si="48"/>
        <v>20.443133333333332</v>
      </c>
      <c r="L1109" s="80">
        <f t="shared" ca="1" si="48"/>
        <v>10.177166666666666</v>
      </c>
      <c r="M1109" s="80">
        <f t="shared" ca="1" si="48"/>
        <v>10.181483333333334</v>
      </c>
      <c r="N1109" s="80">
        <f t="shared" ca="1" si="48"/>
        <v>10.177166666666666</v>
      </c>
      <c r="O1109" s="80">
        <f t="shared" ca="1" si="48"/>
        <v>10.181483333333334</v>
      </c>
    </row>
    <row r="1110" spans="1:15" ht="15" x14ac:dyDescent="0.2">
      <c r="A1110" s="11">
        <v>2065</v>
      </c>
      <c r="B1110" s="80">
        <f t="shared" ca="1" si="48"/>
        <v>9.2583083333333338</v>
      </c>
      <c r="C1110" s="80">
        <f t="shared" ca="1" si="48"/>
        <v>9.2583083333333338</v>
      </c>
      <c r="D1110" s="80">
        <f t="shared" ca="1" si="48"/>
        <v>9.2596000000000007</v>
      </c>
      <c r="E1110" s="80">
        <f t="shared" ca="1" si="48"/>
        <v>10.391724999999999</v>
      </c>
      <c r="F1110" s="80">
        <f t="shared" ca="1" si="48"/>
        <v>10.391724999999999</v>
      </c>
      <c r="G1110" s="80">
        <f t="shared" ca="1" si="48"/>
        <v>10.396033333333333</v>
      </c>
      <c r="H1110" s="80">
        <f t="shared" ca="1" si="48"/>
        <v>20.908191666666667</v>
      </c>
      <c r="I1110" s="80">
        <f t="shared" ca="1" si="48"/>
        <v>20.912508333333331</v>
      </c>
      <c r="J1110" s="80">
        <f t="shared" ca="1" si="48"/>
        <v>20.908191666666667</v>
      </c>
      <c r="K1110" s="80">
        <f t="shared" ca="1" si="48"/>
        <v>20.912508333333331</v>
      </c>
      <c r="L1110" s="80">
        <f t="shared" ca="1" si="48"/>
        <v>10.391724999999999</v>
      </c>
      <c r="M1110" s="80">
        <f t="shared" ca="1" si="48"/>
        <v>10.396033333333333</v>
      </c>
      <c r="N1110" s="80">
        <f t="shared" ca="1" si="48"/>
        <v>10.391724999999999</v>
      </c>
      <c r="O1110" s="80">
        <f t="shared" ca="1" si="48"/>
        <v>10.396033333333333</v>
      </c>
    </row>
    <row r="1111" spans="1:15" ht="15" x14ac:dyDescent="0.2">
      <c r="A1111" s="11">
        <v>2066</v>
      </c>
      <c r="B1111" s="80">
        <f t="shared" ca="1" si="48"/>
        <v>9.447000000000001</v>
      </c>
      <c r="C1111" s="80">
        <f t="shared" ca="1" si="48"/>
        <v>9.447000000000001</v>
      </c>
      <c r="D1111" s="80">
        <f t="shared" ca="1" si="48"/>
        <v>9.4483000000000015</v>
      </c>
      <c r="E1111" s="80">
        <f t="shared" ca="1" si="48"/>
        <v>10.606275</v>
      </c>
      <c r="F1111" s="80">
        <f t="shared" ca="1" si="48"/>
        <v>10.606275</v>
      </c>
      <c r="G1111" s="80">
        <f t="shared" ca="1" si="48"/>
        <v>10.610583333333336</v>
      </c>
      <c r="H1111" s="80">
        <f t="shared" ca="1" si="48"/>
        <v>21.377583333333334</v>
      </c>
      <c r="I1111" s="80">
        <f t="shared" ca="1" si="48"/>
        <v>21.381891666666672</v>
      </c>
      <c r="J1111" s="80">
        <f t="shared" ca="1" si="48"/>
        <v>21.377583333333334</v>
      </c>
      <c r="K1111" s="80">
        <f t="shared" ca="1" si="48"/>
        <v>21.381891666666672</v>
      </c>
      <c r="L1111" s="80">
        <f t="shared" ca="1" si="48"/>
        <v>10.606275</v>
      </c>
      <c r="M1111" s="80">
        <f t="shared" ca="1" si="48"/>
        <v>10.610583333333336</v>
      </c>
      <c r="N1111" s="80">
        <f t="shared" ca="1" si="48"/>
        <v>10.606275</v>
      </c>
      <c r="O1111" s="80">
        <f t="shared" ca="1" si="48"/>
        <v>10.610583333333336</v>
      </c>
    </row>
    <row r="1112" spans="1:15" ht="15" x14ac:dyDescent="0.2">
      <c r="A1112" s="11">
        <v>2067</v>
      </c>
      <c r="B1112" s="80">
        <f t="shared" ca="1" si="48"/>
        <v>9.6357083333333335</v>
      </c>
      <c r="C1112" s="80">
        <f t="shared" ca="1" si="48"/>
        <v>9.6357083333333335</v>
      </c>
      <c r="D1112" s="80">
        <f t="shared" ca="1" si="48"/>
        <v>9.6369916666666686</v>
      </c>
      <c r="E1112" s="80">
        <f t="shared" ca="1" si="48"/>
        <v>10.82085</v>
      </c>
      <c r="F1112" s="80">
        <f t="shared" ca="1" si="48"/>
        <v>10.82085</v>
      </c>
      <c r="G1112" s="80">
        <f t="shared" ca="1" si="48"/>
        <v>10.825175000000002</v>
      </c>
      <c r="H1112" s="80">
        <f t="shared" ca="1" si="48"/>
        <v>21.846966666666663</v>
      </c>
      <c r="I1112" s="80">
        <f t="shared" ca="1" si="48"/>
        <v>21.851283333333331</v>
      </c>
      <c r="J1112" s="80">
        <f t="shared" ca="1" si="48"/>
        <v>21.846966666666663</v>
      </c>
      <c r="K1112" s="80">
        <f t="shared" ca="1" si="48"/>
        <v>21.851283333333331</v>
      </c>
      <c r="L1112" s="80">
        <f t="shared" ca="1" si="48"/>
        <v>10.82085</v>
      </c>
      <c r="M1112" s="80">
        <f t="shared" ca="1" si="48"/>
        <v>10.825175000000002</v>
      </c>
      <c r="N1112" s="80">
        <f t="shared" ca="1" si="48"/>
        <v>10.82085</v>
      </c>
      <c r="O1112" s="80">
        <f t="shared" ca="1" si="48"/>
        <v>10.825175000000002</v>
      </c>
    </row>
    <row r="1113" spans="1:15" ht="15" x14ac:dyDescent="0.2">
      <c r="A1113" s="11">
        <v>2068</v>
      </c>
      <c r="B1113" s="80">
        <f t="shared" ca="1" si="48"/>
        <v>9.8244083333333343</v>
      </c>
      <c r="C1113" s="80">
        <f t="shared" ca="1" si="48"/>
        <v>9.8244083333333343</v>
      </c>
      <c r="D1113" s="80">
        <f t="shared" ca="1" si="48"/>
        <v>9.8256916666666658</v>
      </c>
      <c r="E1113" s="80">
        <f t="shared" ca="1" si="48"/>
        <v>11.035424999999998</v>
      </c>
      <c r="F1113" s="80">
        <f t="shared" ca="1" si="48"/>
        <v>11.035424999999998</v>
      </c>
      <c r="G1113" s="80">
        <f t="shared" ca="1" si="48"/>
        <v>11.039733333333333</v>
      </c>
      <c r="H1113" s="80">
        <f t="shared" ca="1" si="48"/>
        <v>22.316350000000003</v>
      </c>
      <c r="I1113" s="80">
        <f t="shared" ca="1" si="48"/>
        <v>22.320666666666668</v>
      </c>
      <c r="J1113" s="80">
        <f t="shared" ca="1" si="48"/>
        <v>22.316350000000003</v>
      </c>
      <c r="K1113" s="80">
        <f t="shared" ca="1" si="48"/>
        <v>22.320666666666668</v>
      </c>
      <c r="L1113" s="80">
        <f t="shared" ca="1" si="48"/>
        <v>11.035424999999998</v>
      </c>
      <c r="M1113" s="80">
        <f t="shared" ca="1" si="48"/>
        <v>11.039733333333333</v>
      </c>
      <c r="N1113" s="80">
        <f t="shared" ca="1" si="48"/>
        <v>11.035424999999998</v>
      </c>
      <c r="O1113" s="80">
        <f t="shared" ca="1" si="48"/>
        <v>11.039733333333333</v>
      </c>
    </row>
    <row r="1114" spans="1:15" ht="15" x14ac:dyDescent="0.2">
      <c r="A1114" s="11">
        <v>2069</v>
      </c>
      <c r="B1114" s="80">
        <f t="shared" ca="1" si="48"/>
        <v>10.013091666666666</v>
      </c>
      <c r="C1114" s="80">
        <f t="shared" ca="1" si="48"/>
        <v>10.013091666666666</v>
      </c>
      <c r="D1114" s="80">
        <f t="shared" ca="1" si="48"/>
        <v>10.014383333333335</v>
      </c>
      <c r="E1114" s="80">
        <f t="shared" ca="1" si="48"/>
        <v>11.249983333333333</v>
      </c>
      <c r="F1114" s="80">
        <f t="shared" ca="1" si="48"/>
        <v>11.249983333333333</v>
      </c>
      <c r="G1114" s="80">
        <f t="shared" ca="1" si="48"/>
        <v>11.254300000000001</v>
      </c>
      <c r="H1114" s="80">
        <f t="shared" ca="1" si="48"/>
        <v>22.785733333333337</v>
      </c>
      <c r="I1114" s="80">
        <f t="shared" ca="1" si="48"/>
        <v>22.790050000000004</v>
      </c>
      <c r="J1114" s="80">
        <f t="shared" ca="1" si="48"/>
        <v>22.785733333333337</v>
      </c>
      <c r="K1114" s="80">
        <f t="shared" ca="1" si="48"/>
        <v>22.790050000000004</v>
      </c>
      <c r="L1114" s="80">
        <f t="shared" ca="1" si="48"/>
        <v>11.249983333333333</v>
      </c>
      <c r="M1114" s="80">
        <f t="shared" ca="1" si="48"/>
        <v>11.254300000000001</v>
      </c>
      <c r="N1114" s="80">
        <f t="shared" ca="1" si="48"/>
        <v>11.249983333333333</v>
      </c>
      <c r="O1114" s="80">
        <f t="shared" ca="1" si="48"/>
        <v>11.254300000000001</v>
      </c>
    </row>
    <row r="1115" spans="1:15" ht="15" x14ac:dyDescent="0.2">
      <c r="A1115" s="11">
        <v>2070</v>
      </c>
      <c r="B1115" s="80">
        <f t="shared" ca="1" si="48"/>
        <v>10.201825000000001</v>
      </c>
      <c r="C1115" s="80">
        <f t="shared" ca="1" si="48"/>
        <v>10.201825000000001</v>
      </c>
      <c r="D1115" s="80">
        <f t="shared" ca="1" si="48"/>
        <v>10.203091666666666</v>
      </c>
      <c r="E1115" s="80">
        <f t="shared" ca="1" si="48"/>
        <v>11.464541666666667</v>
      </c>
      <c r="F1115" s="80">
        <f t="shared" ca="1" si="48"/>
        <v>11.464541666666667</v>
      </c>
      <c r="G1115" s="80">
        <f t="shared" ca="1" si="48"/>
        <v>11.468866666666665</v>
      </c>
      <c r="H1115" s="80">
        <f t="shared" ca="1" si="48"/>
        <v>23.255099999999999</v>
      </c>
      <c r="I1115" s="80">
        <f t="shared" ca="1" si="48"/>
        <v>23.259425000000004</v>
      </c>
      <c r="J1115" s="80">
        <f t="shared" ca="1" si="48"/>
        <v>23.255099999999999</v>
      </c>
      <c r="K1115" s="80">
        <f t="shared" ca="1" si="48"/>
        <v>23.259425000000004</v>
      </c>
      <c r="L1115" s="80">
        <f t="shared" ca="1" si="48"/>
        <v>11.464541666666667</v>
      </c>
      <c r="M1115" s="80">
        <f t="shared" ca="1" si="48"/>
        <v>11.468866666666665</v>
      </c>
      <c r="N1115" s="80">
        <f t="shared" ca="1" si="48"/>
        <v>11.464541666666667</v>
      </c>
      <c r="O1115" s="80">
        <f t="shared" ca="1" si="48"/>
        <v>11.468866666666665</v>
      </c>
    </row>
    <row r="1116" spans="1:15" ht="15" x14ac:dyDescent="0.2">
      <c r="A1116" s="11">
        <v>2071</v>
      </c>
      <c r="B1116" s="80">
        <f t="shared" ca="1" si="48"/>
        <v>10.390508333333333</v>
      </c>
      <c r="C1116" s="80">
        <f t="shared" ca="1" si="48"/>
        <v>10.390508333333333</v>
      </c>
      <c r="D1116" s="80">
        <f t="shared" ca="1" si="48"/>
        <v>10.391791666666666</v>
      </c>
      <c r="E1116" s="80">
        <f t="shared" ca="1" si="48"/>
        <v>11.679108333333334</v>
      </c>
      <c r="F1116" s="80">
        <f t="shared" ca="1" si="48"/>
        <v>11.679108333333334</v>
      </c>
      <c r="G1116" s="80">
        <f t="shared" ca="1" si="48"/>
        <v>11.683416666666668</v>
      </c>
      <c r="H1116" s="80">
        <f t="shared" ca="1" si="48"/>
        <v>23.724491666666669</v>
      </c>
      <c r="I1116" s="80">
        <f t="shared" ca="1" si="48"/>
        <v>23.728808333333333</v>
      </c>
      <c r="J1116" s="80">
        <f t="shared" ca="1" si="48"/>
        <v>23.724491666666669</v>
      </c>
      <c r="K1116" s="80">
        <f t="shared" ca="1" si="48"/>
        <v>23.728808333333333</v>
      </c>
      <c r="L1116" s="80">
        <f t="shared" ca="1" si="48"/>
        <v>11.679108333333334</v>
      </c>
      <c r="M1116" s="80">
        <f t="shared" ca="1" si="48"/>
        <v>11.683416666666668</v>
      </c>
      <c r="N1116" s="80">
        <f t="shared" ca="1" si="48"/>
        <v>11.679108333333334</v>
      </c>
      <c r="O1116" s="80">
        <f t="shared" ca="1" si="48"/>
        <v>11.683416666666668</v>
      </c>
    </row>
    <row r="1117" spans="1:15" ht="15" x14ac:dyDescent="0.2">
      <c r="A1117" s="11">
        <v>2072</v>
      </c>
      <c r="B1117" s="80">
        <f t="shared" ref="B1117:O1126" ca="1" si="49">AVERAGE(OFFSET(B$590,($A1117-$A$1107)*12,0,12,1))</f>
        <v>10.579216666666667</v>
      </c>
      <c r="C1117" s="80">
        <f t="shared" ca="1" si="49"/>
        <v>10.579216666666667</v>
      </c>
      <c r="D1117" s="80">
        <f t="shared" ca="1" si="49"/>
        <v>10.580483333333332</v>
      </c>
      <c r="E1117" s="80">
        <f t="shared" ca="1" si="49"/>
        <v>11.893658333333335</v>
      </c>
      <c r="F1117" s="80">
        <f t="shared" ca="1" si="49"/>
        <v>11.893658333333335</v>
      </c>
      <c r="G1117" s="80">
        <f t="shared" ca="1" si="49"/>
        <v>11.897975000000002</v>
      </c>
      <c r="H1117" s="80">
        <f t="shared" ca="1" si="49"/>
        <v>24.193891666666673</v>
      </c>
      <c r="I1117" s="80">
        <f t="shared" ca="1" si="49"/>
        <v>24.198208333333337</v>
      </c>
      <c r="J1117" s="80">
        <f t="shared" ca="1" si="49"/>
        <v>24.193891666666673</v>
      </c>
      <c r="K1117" s="80">
        <f t="shared" ca="1" si="49"/>
        <v>24.198208333333337</v>
      </c>
      <c r="L1117" s="80">
        <f t="shared" ca="1" si="49"/>
        <v>11.893658333333335</v>
      </c>
      <c r="M1117" s="80">
        <f t="shared" ca="1" si="49"/>
        <v>11.897975000000002</v>
      </c>
      <c r="N1117" s="80">
        <f t="shared" ca="1" si="49"/>
        <v>11.893658333333335</v>
      </c>
      <c r="O1117" s="80">
        <f t="shared" ca="1" si="49"/>
        <v>11.897975000000002</v>
      </c>
    </row>
    <row r="1118" spans="1:15" ht="15" x14ac:dyDescent="0.2">
      <c r="A1118" s="11">
        <v>2073</v>
      </c>
      <c r="B1118" s="80">
        <f t="shared" ca="1" si="49"/>
        <v>10.767916666666666</v>
      </c>
      <c r="C1118" s="80">
        <f t="shared" ca="1" si="49"/>
        <v>10.767916666666666</v>
      </c>
      <c r="D1118" s="80">
        <f t="shared" ca="1" si="49"/>
        <v>10.769191666666666</v>
      </c>
      <c r="E1118" s="80">
        <f t="shared" ca="1" si="49"/>
        <v>12.108233333333333</v>
      </c>
      <c r="F1118" s="80">
        <f t="shared" ca="1" si="49"/>
        <v>12.108233333333333</v>
      </c>
      <c r="G1118" s="80">
        <f t="shared" ca="1" si="49"/>
        <v>12.112566666666666</v>
      </c>
      <c r="H1118" s="80">
        <f t="shared" ca="1" si="49"/>
        <v>24.663283333333336</v>
      </c>
      <c r="I1118" s="80">
        <f t="shared" ca="1" si="49"/>
        <v>24.667608333333334</v>
      </c>
      <c r="J1118" s="80">
        <f t="shared" ca="1" si="49"/>
        <v>24.663283333333336</v>
      </c>
      <c r="K1118" s="80">
        <f t="shared" ca="1" si="49"/>
        <v>24.667608333333334</v>
      </c>
      <c r="L1118" s="80">
        <f t="shared" ca="1" si="49"/>
        <v>12.108233333333333</v>
      </c>
      <c r="M1118" s="80">
        <f t="shared" ca="1" si="49"/>
        <v>12.112566666666666</v>
      </c>
      <c r="N1118" s="80">
        <f t="shared" ca="1" si="49"/>
        <v>12.108233333333333</v>
      </c>
      <c r="O1118" s="80">
        <f t="shared" ca="1" si="49"/>
        <v>12.112566666666666</v>
      </c>
    </row>
    <row r="1119" spans="1:15" ht="15" x14ac:dyDescent="0.2">
      <c r="A1119" s="11">
        <v>2074</v>
      </c>
      <c r="B1119" s="80">
        <f t="shared" ca="1" si="49"/>
        <v>10.956608333333334</v>
      </c>
      <c r="C1119" s="80">
        <f t="shared" ca="1" si="49"/>
        <v>10.956608333333334</v>
      </c>
      <c r="D1119" s="80">
        <f t="shared" ca="1" si="49"/>
        <v>10.9579</v>
      </c>
      <c r="E1119" s="80">
        <f t="shared" ca="1" si="49"/>
        <v>12.322799999999999</v>
      </c>
      <c r="F1119" s="80">
        <f t="shared" ca="1" si="49"/>
        <v>12.322799999999999</v>
      </c>
      <c r="G1119" s="80">
        <f t="shared" ca="1" si="49"/>
        <v>12.327133333333334</v>
      </c>
      <c r="H1119" s="80">
        <f t="shared" ca="1" si="49"/>
        <v>25.132658333333328</v>
      </c>
      <c r="I1119" s="80">
        <f t="shared" ca="1" si="49"/>
        <v>25.13699166666667</v>
      </c>
      <c r="J1119" s="80">
        <f t="shared" ca="1" si="49"/>
        <v>25.132658333333328</v>
      </c>
      <c r="K1119" s="80">
        <f t="shared" ca="1" si="49"/>
        <v>25.13699166666667</v>
      </c>
      <c r="L1119" s="80">
        <f t="shared" ca="1" si="49"/>
        <v>12.322799999999999</v>
      </c>
      <c r="M1119" s="80">
        <f t="shared" ca="1" si="49"/>
        <v>12.327133333333334</v>
      </c>
      <c r="N1119" s="80">
        <f t="shared" ca="1" si="49"/>
        <v>12.322799999999999</v>
      </c>
      <c r="O1119" s="80">
        <f t="shared" ca="1" si="49"/>
        <v>12.327133333333334</v>
      </c>
    </row>
    <row r="1120" spans="1:15" ht="15" x14ac:dyDescent="0.2">
      <c r="A1120" s="11">
        <v>2075</v>
      </c>
      <c r="B1120" s="80">
        <f t="shared" ca="1" si="49"/>
        <v>11.145333333333332</v>
      </c>
      <c r="C1120" s="80">
        <f t="shared" ca="1" si="49"/>
        <v>11.145333333333332</v>
      </c>
      <c r="D1120" s="80">
        <f t="shared" ca="1" si="49"/>
        <v>11.146608333333333</v>
      </c>
      <c r="E1120" s="80">
        <f t="shared" ca="1" si="49"/>
        <v>12.537374999999999</v>
      </c>
      <c r="F1120" s="80">
        <f t="shared" ca="1" si="49"/>
        <v>12.537374999999999</v>
      </c>
      <c r="G1120" s="80">
        <f t="shared" ca="1" si="49"/>
        <v>12.541691666666665</v>
      </c>
      <c r="H1120" s="80">
        <f t="shared" ca="1" si="49"/>
        <v>25.602041666666668</v>
      </c>
      <c r="I1120" s="80">
        <f t="shared" ca="1" si="49"/>
        <v>25.606358333333333</v>
      </c>
      <c r="J1120" s="80">
        <f t="shared" ca="1" si="49"/>
        <v>25.602041666666668</v>
      </c>
      <c r="K1120" s="80">
        <f t="shared" ca="1" si="49"/>
        <v>25.606358333333333</v>
      </c>
      <c r="L1120" s="80">
        <f t="shared" ca="1" si="49"/>
        <v>12.537374999999999</v>
      </c>
      <c r="M1120" s="80">
        <f t="shared" ca="1" si="49"/>
        <v>12.541691666666665</v>
      </c>
      <c r="N1120" s="80">
        <f t="shared" ca="1" si="49"/>
        <v>12.537374999999999</v>
      </c>
      <c r="O1120" s="80">
        <f t="shared" ca="1" si="49"/>
        <v>12.541691666666665</v>
      </c>
    </row>
    <row r="1121" spans="1:15" ht="15" x14ac:dyDescent="0.2">
      <c r="A1121" s="11">
        <v>2076</v>
      </c>
      <c r="B1121" s="80">
        <f t="shared" ca="1" si="49"/>
        <v>11.334016666666665</v>
      </c>
      <c r="C1121" s="80">
        <f t="shared" ca="1" si="49"/>
        <v>11.334016666666665</v>
      </c>
      <c r="D1121" s="80">
        <f t="shared" ca="1" si="49"/>
        <v>11.335308333333332</v>
      </c>
      <c r="E1121" s="80">
        <f t="shared" ca="1" si="49"/>
        <v>12.751941666666667</v>
      </c>
      <c r="F1121" s="80">
        <f t="shared" ca="1" si="49"/>
        <v>12.751941666666667</v>
      </c>
      <c r="G1121" s="80">
        <f t="shared" ca="1" si="49"/>
        <v>12.756258333333333</v>
      </c>
      <c r="H1121" s="80">
        <f t="shared" ca="1" si="49"/>
        <v>26.071433333333331</v>
      </c>
      <c r="I1121" s="80">
        <f t="shared" ca="1" si="49"/>
        <v>26.07576666666667</v>
      </c>
      <c r="J1121" s="80">
        <f t="shared" ca="1" si="49"/>
        <v>26.071433333333331</v>
      </c>
      <c r="K1121" s="80">
        <f t="shared" ca="1" si="49"/>
        <v>26.07576666666667</v>
      </c>
      <c r="L1121" s="80">
        <f t="shared" ca="1" si="49"/>
        <v>12.751941666666667</v>
      </c>
      <c r="M1121" s="80">
        <f t="shared" ca="1" si="49"/>
        <v>12.756258333333333</v>
      </c>
      <c r="N1121" s="80">
        <f t="shared" ca="1" si="49"/>
        <v>12.751941666666667</v>
      </c>
      <c r="O1121" s="80">
        <f t="shared" ca="1" si="49"/>
        <v>12.756258333333333</v>
      </c>
    </row>
    <row r="1122" spans="1:15" ht="15" x14ac:dyDescent="0.2">
      <c r="A1122" s="11">
        <v>2077</v>
      </c>
      <c r="B1122" s="80">
        <f t="shared" ca="1" si="49"/>
        <v>11.522716666666668</v>
      </c>
      <c r="C1122" s="80">
        <f t="shared" ca="1" si="49"/>
        <v>11.522716666666668</v>
      </c>
      <c r="D1122" s="80">
        <f t="shared" ca="1" si="49"/>
        <v>11.523991666666666</v>
      </c>
      <c r="E1122" s="80">
        <f t="shared" ca="1" si="49"/>
        <v>12.966499999999998</v>
      </c>
      <c r="F1122" s="80">
        <f t="shared" ca="1" si="49"/>
        <v>12.966499999999998</v>
      </c>
      <c r="G1122" s="80">
        <f t="shared" ca="1" si="49"/>
        <v>12.970808333333332</v>
      </c>
      <c r="H1122" s="80">
        <f t="shared" ca="1" si="49"/>
        <v>26.540824999999998</v>
      </c>
      <c r="I1122" s="80">
        <f t="shared" ca="1" si="49"/>
        <v>26.545141666666666</v>
      </c>
      <c r="J1122" s="80">
        <f t="shared" ca="1" si="49"/>
        <v>26.540824999999998</v>
      </c>
      <c r="K1122" s="80">
        <f t="shared" ca="1" si="49"/>
        <v>26.545141666666666</v>
      </c>
      <c r="L1122" s="80">
        <f t="shared" ca="1" si="49"/>
        <v>12.966499999999998</v>
      </c>
      <c r="M1122" s="80">
        <f t="shared" ca="1" si="49"/>
        <v>12.970808333333332</v>
      </c>
      <c r="N1122" s="80">
        <f t="shared" ca="1" si="49"/>
        <v>12.966499999999998</v>
      </c>
      <c r="O1122" s="80">
        <f t="shared" ca="1" si="49"/>
        <v>12.970808333333332</v>
      </c>
    </row>
    <row r="1123" spans="1:15" ht="15" x14ac:dyDescent="0.2">
      <c r="A1123" s="11">
        <v>2078</v>
      </c>
      <c r="B1123" s="80">
        <f t="shared" ca="1" si="49"/>
        <v>11.711416666666667</v>
      </c>
      <c r="C1123" s="80">
        <f t="shared" ca="1" si="49"/>
        <v>11.711416666666667</v>
      </c>
      <c r="D1123" s="80">
        <f t="shared" ca="1" si="49"/>
        <v>11.712716666666667</v>
      </c>
      <c r="E1123" s="80">
        <f t="shared" ca="1" si="49"/>
        <v>13.181066666666664</v>
      </c>
      <c r="F1123" s="80">
        <f t="shared" ca="1" si="49"/>
        <v>13.181066666666664</v>
      </c>
      <c r="G1123" s="80">
        <f t="shared" ca="1" si="49"/>
        <v>13.185383333333334</v>
      </c>
      <c r="H1123" s="80">
        <f t="shared" ca="1" si="49"/>
        <v>27.010191666666667</v>
      </c>
      <c r="I1123" s="80">
        <f t="shared" ca="1" si="49"/>
        <v>27.014533333333329</v>
      </c>
      <c r="J1123" s="80">
        <f t="shared" ca="1" si="49"/>
        <v>27.010191666666667</v>
      </c>
      <c r="K1123" s="80">
        <f t="shared" ca="1" si="49"/>
        <v>27.014533333333329</v>
      </c>
      <c r="L1123" s="80">
        <f t="shared" ca="1" si="49"/>
        <v>13.181066666666664</v>
      </c>
      <c r="M1123" s="80">
        <f t="shared" ca="1" si="49"/>
        <v>13.185383333333334</v>
      </c>
      <c r="N1123" s="80">
        <f t="shared" ca="1" si="49"/>
        <v>13.181066666666664</v>
      </c>
      <c r="O1123" s="80">
        <f t="shared" ca="1" si="49"/>
        <v>13.185383333333334</v>
      </c>
    </row>
    <row r="1124" spans="1:15" ht="15" x14ac:dyDescent="0.2">
      <c r="A1124" s="11">
        <v>2079</v>
      </c>
      <c r="B1124" s="80">
        <f t="shared" ca="1" si="49"/>
        <v>11.900108333333334</v>
      </c>
      <c r="C1124" s="80">
        <f t="shared" ca="1" si="49"/>
        <v>11.900108333333334</v>
      </c>
      <c r="D1124" s="80">
        <f t="shared" ca="1" si="49"/>
        <v>11.901408333333334</v>
      </c>
      <c r="E1124" s="80">
        <f t="shared" ca="1" si="49"/>
        <v>13.395650000000002</v>
      </c>
      <c r="F1124" s="80">
        <f t="shared" ca="1" si="49"/>
        <v>13.395650000000002</v>
      </c>
      <c r="G1124" s="80">
        <f t="shared" ca="1" si="49"/>
        <v>13.399958333333336</v>
      </c>
      <c r="H1124" s="80">
        <f t="shared" ca="1" si="49"/>
        <v>27.479583333333334</v>
      </c>
      <c r="I1124" s="80">
        <f t="shared" ca="1" si="49"/>
        <v>27.483916666666669</v>
      </c>
      <c r="J1124" s="80">
        <f t="shared" ca="1" si="49"/>
        <v>27.479583333333334</v>
      </c>
      <c r="K1124" s="80">
        <f t="shared" ca="1" si="49"/>
        <v>27.483916666666669</v>
      </c>
      <c r="L1124" s="80">
        <f t="shared" ca="1" si="49"/>
        <v>13.395650000000002</v>
      </c>
      <c r="M1124" s="80">
        <f t="shared" ca="1" si="49"/>
        <v>13.399958333333336</v>
      </c>
      <c r="N1124" s="80">
        <f t="shared" ca="1" si="49"/>
        <v>13.395650000000002</v>
      </c>
      <c r="O1124" s="80">
        <f t="shared" ca="1" si="49"/>
        <v>13.399958333333336</v>
      </c>
    </row>
    <row r="1125" spans="1:15" ht="15" x14ac:dyDescent="0.2">
      <c r="A1125" s="11">
        <v>2080</v>
      </c>
      <c r="B1125" s="80">
        <f t="shared" ca="1" si="49"/>
        <v>12.088825</v>
      </c>
      <c r="C1125" s="80">
        <f t="shared" ca="1" si="49"/>
        <v>12.088825</v>
      </c>
      <c r="D1125" s="80">
        <f t="shared" ca="1" si="49"/>
        <v>12.090108333333333</v>
      </c>
      <c r="E1125" s="80">
        <f t="shared" ca="1" si="49"/>
        <v>13.610216666666666</v>
      </c>
      <c r="F1125" s="80">
        <f t="shared" ca="1" si="49"/>
        <v>13.610216666666666</v>
      </c>
      <c r="G1125" s="80">
        <f t="shared" ca="1" si="49"/>
        <v>13.614524999999999</v>
      </c>
      <c r="H1125" s="80">
        <f t="shared" ca="1" si="49"/>
        <v>27.948966666666664</v>
      </c>
      <c r="I1125" s="80">
        <f t="shared" ca="1" si="49"/>
        <v>27.953275000000001</v>
      </c>
      <c r="J1125" s="80">
        <f t="shared" ca="1" si="49"/>
        <v>27.948966666666664</v>
      </c>
      <c r="K1125" s="80">
        <f t="shared" ca="1" si="49"/>
        <v>27.953275000000001</v>
      </c>
      <c r="L1125" s="80">
        <f t="shared" ca="1" si="49"/>
        <v>13.610216666666666</v>
      </c>
      <c r="M1125" s="80">
        <f t="shared" ca="1" si="49"/>
        <v>13.614524999999999</v>
      </c>
      <c r="N1125" s="80">
        <f t="shared" ca="1" si="49"/>
        <v>13.610216666666666</v>
      </c>
      <c r="O1125" s="80">
        <f t="shared" ca="1" si="49"/>
        <v>13.614524999999999</v>
      </c>
    </row>
    <row r="1126" spans="1:15" ht="15" x14ac:dyDescent="0.2">
      <c r="A1126" s="11">
        <v>2081</v>
      </c>
      <c r="B1126" s="80">
        <f t="shared" ca="1" si="49"/>
        <v>12.277508333333332</v>
      </c>
      <c r="C1126" s="80">
        <f t="shared" ca="1" si="49"/>
        <v>12.277508333333332</v>
      </c>
      <c r="D1126" s="80">
        <f t="shared" ca="1" si="49"/>
        <v>12.278808333333332</v>
      </c>
      <c r="E1126" s="80">
        <f t="shared" ca="1" si="49"/>
        <v>13.824775000000001</v>
      </c>
      <c r="F1126" s="80">
        <f t="shared" ca="1" si="49"/>
        <v>13.824775000000001</v>
      </c>
      <c r="G1126" s="80">
        <f t="shared" ca="1" si="49"/>
        <v>13.829083333333331</v>
      </c>
      <c r="H1126" s="80">
        <f t="shared" ca="1" si="49"/>
        <v>28.418375000000001</v>
      </c>
      <c r="I1126" s="80">
        <f t="shared" ca="1" si="49"/>
        <v>28.422674999999998</v>
      </c>
      <c r="J1126" s="80">
        <f t="shared" ca="1" si="49"/>
        <v>28.418375000000001</v>
      </c>
      <c r="K1126" s="80">
        <f t="shared" ca="1" si="49"/>
        <v>28.422674999999998</v>
      </c>
      <c r="L1126" s="80">
        <f t="shared" ca="1" si="49"/>
        <v>13.824775000000001</v>
      </c>
      <c r="M1126" s="80">
        <f t="shared" ca="1" si="49"/>
        <v>13.829083333333331</v>
      </c>
      <c r="N1126" s="80">
        <f t="shared" ca="1" si="49"/>
        <v>13.824775000000001</v>
      </c>
      <c r="O1126" s="80">
        <f t="shared" ca="1" si="49"/>
        <v>13.829083333333331</v>
      </c>
    </row>
    <row r="1127" spans="1:15" ht="15" x14ac:dyDescent="0.2">
      <c r="A1127" s="11">
        <v>2082</v>
      </c>
      <c r="B1127" s="80">
        <f t="shared" ref="B1127:O1136" ca="1" si="50">AVERAGE(OFFSET(B$590,($A1127-$A$1107)*12,0,12,1))</f>
        <v>12.466233333333333</v>
      </c>
      <c r="C1127" s="80">
        <f t="shared" ca="1" si="50"/>
        <v>12.466233333333333</v>
      </c>
      <c r="D1127" s="80">
        <f t="shared" ca="1" si="50"/>
        <v>12.467500000000001</v>
      </c>
      <c r="E1127" s="80">
        <f t="shared" ca="1" si="50"/>
        <v>14.039341666666667</v>
      </c>
      <c r="F1127" s="80">
        <f t="shared" ca="1" si="50"/>
        <v>14.039341666666667</v>
      </c>
      <c r="G1127" s="80">
        <f t="shared" ca="1" si="50"/>
        <v>14.043658333333333</v>
      </c>
      <c r="H1127" s="80">
        <f t="shared" ca="1" si="50"/>
        <v>28.887758333333338</v>
      </c>
      <c r="I1127" s="80">
        <f t="shared" ca="1" si="50"/>
        <v>28.892075000000002</v>
      </c>
      <c r="J1127" s="80">
        <f t="shared" ca="1" si="50"/>
        <v>28.887758333333338</v>
      </c>
      <c r="K1127" s="80">
        <f t="shared" ca="1" si="50"/>
        <v>28.892075000000002</v>
      </c>
      <c r="L1127" s="80">
        <f t="shared" ca="1" si="50"/>
        <v>14.039341666666667</v>
      </c>
      <c r="M1127" s="80">
        <f t="shared" ca="1" si="50"/>
        <v>14.043658333333333</v>
      </c>
      <c r="N1127" s="80">
        <f t="shared" ca="1" si="50"/>
        <v>14.039341666666667</v>
      </c>
      <c r="O1127" s="80">
        <f t="shared" ca="1" si="50"/>
        <v>14.043658333333333</v>
      </c>
    </row>
    <row r="1128" spans="1:15" ht="15" x14ac:dyDescent="0.2">
      <c r="A1128" s="11">
        <v>2083</v>
      </c>
      <c r="B1128" s="80">
        <f t="shared" ca="1" si="50"/>
        <v>12.654925</v>
      </c>
      <c r="C1128" s="80">
        <f t="shared" ca="1" si="50"/>
        <v>12.654925</v>
      </c>
      <c r="D1128" s="80">
        <f t="shared" ca="1" si="50"/>
        <v>12.656216666666666</v>
      </c>
      <c r="E1128" s="80">
        <f t="shared" ca="1" si="50"/>
        <v>14.253891666666668</v>
      </c>
      <c r="F1128" s="80">
        <f t="shared" ca="1" si="50"/>
        <v>14.253891666666668</v>
      </c>
      <c r="G1128" s="80">
        <f t="shared" ca="1" si="50"/>
        <v>14.258208333333334</v>
      </c>
      <c r="H1128" s="80">
        <f t="shared" ca="1" si="50"/>
        <v>29.357125000000007</v>
      </c>
      <c r="I1128" s="80">
        <f t="shared" ca="1" si="50"/>
        <v>29.361441666666661</v>
      </c>
      <c r="J1128" s="80">
        <f t="shared" ca="1" si="50"/>
        <v>29.357125000000007</v>
      </c>
      <c r="K1128" s="80">
        <f t="shared" ca="1" si="50"/>
        <v>29.361441666666661</v>
      </c>
      <c r="L1128" s="80">
        <f t="shared" ca="1" si="50"/>
        <v>14.253891666666668</v>
      </c>
      <c r="M1128" s="80">
        <f t="shared" ca="1" si="50"/>
        <v>14.258208333333334</v>
      </c>
      <c r="N1128" s="80">
        <f t="shared" ca="1" si="50"/>
        <v>14.253891666666668</v>
      </c>
      <c r="O1128" s="80">
        <f t="shared" ca="1" si="50"/>
        <v>14.258208333333334</v>
      </c>
    </row>
    <row r="1129" spans="1:15" ht="15" x14ac:dyDescent="0.2">
      <c r="A1129" s="11">
        <v>2084</v>
      </c>
      <c r="B1129" s="80">
        <f t="shared" ca="1" si="50"/>
        <v>12.843616666666664</v>
      </c>
      <c r="C1129" s="80">
        <f t="shared" ca="1" si="50"/>
        <v>12.843616666666664</v>
      </c>
      <c r="D1129" s="80">
        <f t="shared" ca="1" si="50"/>
        <v>12.844900000000001</v>
      </c>
      <c r="E1129" s="80">
        <f t="shared" ca="1" si="50"/>
        <v>14.468458333333331</v>
      </c>
      <c r="F1129" s="80">
        <f t="shared" ca="1" si="50"/>
        <v>14.468458333333331</v>
      </c>
      <c r="G1129" s="80">
        <f t="shared" ca="1" si="50"/>
        <v>14.47278333333333</v>
      </c>
      <c r="H1129" s="80">
        <f t="shared" ca="1" si="50"/>
        <v>29.826516666666667</v>
      </c>
      <c r="I1129" s="80">
        <f t="shared" ca="1" si="50"/>
        <v>29.830825000000001</v>
      </c>
      <c r="J1129" s="80">
        <f t="shared" ca="1" si="50"/>
        <v>29.826516666666667</v>
      </c>
      <c r="K1129" s="80">
        <f t="shared" ca="1" si="50"/>
        <v>29.830825000000001</v>
      </c>
      <c r="L1129" s="80">
        <f t="shared" ca="1" si="50"/>
        <v>14.468458333333331</v>
      </c>
      <c r="M1129" s="80">
        <f t="shared" ca="1" si="50"/>
        <v>14.47278333333333</v>
      </c>
      <c r="N1129" s="80">
        <f t="shared" ca="1" si="50"/>
        <v>14.468458333333331</v>
      </c>
      <c r="O1129" s="80">
        <f t="shared" ca="1" si="50"/>
        <v>14.47278333333333</v>
      </c>
    </row>
    <row r="1130" spans="1:15" ht="15" x14ac:dyDescent="0.2">
      <c r="A1130" s="11">
        <v>2085</v>
      </c>
      <c r="B1130" s="80">
        <f t="shared" ca="1" si="50"/>
        <v>13.032333333333334</v>
      </c>
      <c r="C1130" s="80">
        <f t="shared" ca="1" si="50"/>
        <v>13.032333333333334</v>
      </c>
      <c r="D1130" s="80">
        <f t="shared" ca="1" si="50"/>
        <v>13.0336</v>
      </c>
      <c r="E1130" s="80">
        <f t="shared" ca="1" si="50"/>
        <v>14.683025000000001</v>
      </c>
      <c r="F1130" s="80">
        <f t="shared" ca="1" si="50"/>
        <v>14.683025000000001</v>
      </c>
      <c r="G1130" s="80">
        <f t="shared" ca="1" si="50"/>
        <v>14.68734166666667</v>
      </c>
      <c r="H1130" s="80">
        <f t="shared" ca="1" si="50"/>
        <v>30.29590833333333</v>
      </c>
      <c r="I1130" s="80">
        <f t="shared" ca="1" si="50"/>
        <v>30.300216666666667</v>
      </c>
      <c r="J1130" s="80">
        <f t="shared" ca="1" si="50"/>
        <v>30.29590833333333</v>
      </c>
      <c r="K1130" s="80">
        <f t="shared" ca="1" si="50"/>
        <v>30.300216666666667</v>
      </c>
      <c r="L1130" s="80">
        <f t="shared" ca="1" si="50"/>
        <v>14.683025000000001</v>
      </c>
      <c r="M1130" s="80">
        <f t="shared" ca="1" si="50"/>
        <v>14.68734166666667</v>
      </c>
      <c r="N1130" s="80">
        <f t="shared" ca="1" si="50"/>
        <v>14.683025000000001</v>
      </c>
      <c r="O1130" s="80">
        <f t="shared" ca="1" si="50"/>
        <v>14.68734166666667</v>
      </c>
    </row>
    <row r="1131" spans="1:15" ht="15" x14ac:dyDescent="0.2">
      <c r="A1131" s="11">
        <v>2086</v>
      </c>
      <c r="B1131" s="80">
        <f t="shared" ca="1" si="50"/>
        <v>13.221025000000003</v>
      </c>
      <c r="C1131" s="80">
        <f t="shared" ca="1" si="50"/>
        <v>13.221025000000003</v>
      </c>
      <c r="D1131" s="80">
        <f t="shared" ca="1" si="50"/>
        <v>13.22231666666667</v>
      </c>
      <c r="E1131" s="80">
        <f t="shared" ca="1" si="50"/>
        <v>14.897599999999999</v>
      </c>
      <c r="F1131" s="80">
        <f t="shared" ca="1" si="50"/>
        <v>14.897599999999999</v>
      </c>
      <c r="G1131" s="80">
        <f t="shared" ca="1" si="50"/>
        <v>14.90191666666667</v>
      </c>
      <c r="H1131" s="80">
        <f t="shared" ca="1" si="50"/>
        <v>30.765291666666666</v>
      </c>
      <c r="I1131" s="80">
        <f t="shared" ca="1" si="50"/>
        <v>30.769608333333327</v>
      </c>
      <c r="J1131" s="80">
        <f t="shared" ca="1" si="50"/>
        <v>30.765291666666666</v>
      </c>
      <c r="K1131" s="80">
        <f t="shared" ca="1" si="50"/>
        <v>30.769608333333327</v>
      </c>
      <c r="L1131" s="80">
        <f t="shared" ca="1" si="50"/>
        <v>14.897599999999999</v>
      </c>
      <c r="M1131" s="80">
        <f t="shared" ca="1" si="50"/>
        <v>14.90191666666667</v>
      </c>
      <c r="N1131" s="80">
        <f t="shared" ca="1" si="50"/>
        <v>14.897599999999999</v>
      </c>
      <c r="O1131" s="80">
        <f t="shared" ca="1" si="50"/>
        <v>14.90191666666667</v>
      </c>
    </row>
    <row r="1132" spans="1:15" ht="15" x14ac:dyDescent="0.2">
      <c r="A1132" s="11">
        <v>2087</v>
      </c>
      <c r="B1132" s="80">
        <f t="shared" ca="1" si="50"/>
        <v>13.409750000000003</v>
      </c>
      <c r="C1132" s="80">
        <f t="shared" ca="1" si="50"/>
        <v>13.409750000000003</v>
      </c>
      <c r="D1132" s="80">
        <f t="shared" ca="1" si="50"/>
        <v>13.41100833333333</v>
      </c>
      <c r="E1132" s="80">
        <f t="shared" ca="1" si="50"/>
        <v>15.112158333333335</v>
      </c>
      <c r="F1132" s="80">
        <f t="shared" ca="1" si="50"/>
        <v>15.112158333333335</v>
      </c>
      <c r="G1132" s="80">
        <f t="shared" ca="1" si="50"/>
        <v>15.116474999999999</v>
      </c>
      <c r="H1132" s="80">
        <f t="shared" ca="1" si="50"/>
        <v>31.234674999999999</v>
      </c>
      <c r="I1132" s="80">
        <f t="shared" ca="1" si="50"/>
        <v>31.238991666666674</v>
      </c>
      <c r="J1132" s="80">
        <f t="shared" ca="1" si="50"/>
        <v>31.234674999999999</v>
      </c>
      <c r="K1132" s="80">
        <f t="shared" ca="1" si="50"/>
        <v>31.238991666666674</v>
      </c>
      <c r="L1132" s="80">
        <f t="shared" ca="1" si="50"/>
        <v>15.112158333333335</v>
      </c>
      <c r="M1132" s="80">
        <f t="shared" ca="1" si="50"/>
        <v>15.116474999999999</v>
      </c>
      <c r="N1132" s="80">
        <f t="shared" ca="1" si="50"/>
        <v>15.112158333333335</v>
      </c>
      <c r="O1132" s="80">
        <f t="shared" ca="1" si="50"/>
        <v>15.116474999999999</v>
      </c>
    </row>
    <row r="1133" spans="1:15" ht="15" x14ac:dyDescent="0.2">
      <c r="A1133" s="11">
        <v>2088</v>
      </c>
      <c r="B1133" s="80">
        <f t="shared" ca="1" si="50"/>
        <v>13.598433333333332</v>
      </c>
      <c r="C1133" s="80">
        <f t="shared" ca="1" si="50"/>
        <v>13.598433333333332</v>
      </c>
      <c r="D1133" s="80">
        <f t="shared" ca="1" si="50"/>
        <v>13.599724999999999</v>
      </c>
      <c r="E1133" s="80">
        <f t="shared" ca="1" si="50"/>
        <v>15.326716666666664</v>
      </c>
      <c r="F1133" s="80">
        <f t="shared" ca="1" si="50"/>
        <v>15.326716666666664</v>
      </c>
      <c r="G1133" s="80">
        <f t="shared" ca="1" si="50"/>
        <v>15.331025000000002</v>
      </c>
      <c r="H1133" s="80">
        <f t="shared" ca="1" si="50"/>
        <v>31.704058333333336</v>
      </c>
      <c r="I1133" s="80">
        <f t="shared" ca="1" si="50"/>
        <v>31.708366666666667</v>
      </c>
      <c r="J1133" s="80">
        <f t="shared" ca="1" si="50"/>
        <v>31.704058333333336</v>
      </c>
      <c r="K1133" s="80">
        <f t="shared" ca="1" si="50"/>
        <v>31.708366666666667</v>
      </c>
      <c r="L1133" s="80">
        <f t="shared" ca="1" si="50"/>
        <v>15.326716666666664</v>
      </c>
      <c r="M1133" s="80">
        <f t="shared" ca="1" si="50"/>
        <v>15.331025000000002</v>
      </c>
      <c r="N1133" s="80">
        <f t="shared" ca="1" si="50"/>
        <v>15.326716666666664</v>
      </c>
      <c r="O1133" s="80">
        <f t="shared" ca="1" si="50"/>
        <v>15.331025000000002</v>
      </c>
    </row>
    <row r="1134" spans="1:15" ht="15" x14ac:dyDescent="0.2">
      <c r="A1134" s="11">
        <v>2089</v>
      </c>
      <c r="B1134" s="80">
        <f t="shared" ca="1" si="50"/>
        <v>13.787141666666669</v>
      </c>
      <c r="C1134" s="80">
        <f t="shared" ca="1" si="50"/>
        <v>13.787141666666669</v>
      </c>
      <c r="D1134" s="80">
        <f t="shared" ca="1" si="50"/>
        <v>13.788400000000001</v>
      </c>
      <c r="E1134" s="80">
        <f t="shared" ca="1" si="50"/>
        <v>15.541283333333332</v>
      </c>
      <c r="F1134" s="80">
        <f t="shared" ca="1" si="50"/>
        <v>15.541283333333332</v>
      </c>
      <c r="G1134" s="80">
        <f t="shared" ca="1" si="50"/>
        <v>15.5456</v>
      </c>
      <c r="H1134" s="80">
        <f t="shared" ca="1" si="50"/>
        <v>32.173441666666669</v>
      </c>
      <c r="I1134" s="80">
        <f t="shared" ca="1" si="50"/>
        <v>32.177758333333337</v>
      </c>
      <c r="J1134" s="80">
        <f t="shared" ca="1" si="50"/>
        <v>32.173441666666669</v>
      </c>
      <c r="K1134" s="80">
        <f t="shared" ca="1" si="50"/>
        <v>32.177758333333337</v>
      </c>
      <c r="L1134" s="80">
        <f t="shared" ca="1" si="50"/>
        <v>15.541283333333332</v>
      </c>
      <c r="M1134" s="80">
        <f t="shared" ca="1" si="50"/>
        <v>15.5456</v>
      </c>
      <c r="N1134" s="80">
        <f t="shared" ca="1" si="50"/>
        <v>15.541283333333332</v>
      </c>
      <c r="O1134" s="80">
        <f t="shared" ca="1" si="50"/>
        <v>15.5456</v>
      </c>
    </row>
    <row r="1135" spans="1:15" ht="15" x14ac:dyDescent="0.2">
      <c r="A1135" s="11">
        <v>2090</v>
      </c>
      <c r="B1135" s="80">
        <f t="shared" ca="1" si="50"/>
        <v>13.975841666666668</v>
      </c>
      <c r="C1135" s="80">
        <f t="shared" ca="1" si="50"/>
        <v>13.975841666666668</v>
      </c>
      <c r="D1135" s="80">
        <f t="shared" ca="1" si="50"/>
        <v>13.977124999999996</v>
      </c>
      <c r="E1135" s="80">
        <f t="shared" ca="1" si="50"/>
        <v>15.755858333333334</v>
      </c>
      <c r="F1135" s="80">
        <f t="shared" ca="1" si="50"/>
        <v>15.755858333333334</v>
      </c>
      <c r="G1135" s="80">
        <f t="shared" ca="1" si="50"/>
        <v>15.760166666666663</v>
      </c>
      <c r="H1135" s="80">
        <f t="shared" ca="1" si="50"/>
        <v>32.642833333333336</v>
      </c>
      <c r="I1135" s="80">
        <f t="shared" ca="1" si="50"/>
        <v>32.647133333333329</v>
      </c>
      <c r="J1135" s="80">
        <f t="shared" ca="1" si="50"/>
        <v>32.642833333333336</v>
      </c>
      <c r="K1135" s="80">
        <f t="shared" ca="1" si="50"/>
        <v>32.647133333333329</v>
      </c>
      <c r="L1135" s="80">
        <f t="shared" ca="1" si="50"/>
        <v>15.755858333333334</v>
      </c>
      <c r="M1135" s="80">
        <f t="shared" ca="1" si="50"/>
        <v>15.760166666666663</v>
      </c>
      <c r="N1135" s="80">
        <f t="shared" ca="1" si="50"/>
        <v>15.755858333333334</v>
      </c>
      <c r="O1135" s="80">
        <f t="shared" ca="1" si="50"/>
        <v>15.760166666666663</v>
      </c>
    </row>
    <row r="1136" spans="1:15" ht="15" x14ac:dyDescent="0.2">
      <c r="A1136" s="11">
        <v>2091</v>
      </c>
      <c r="B1136" s="80">
        <f t="shared" ca="1" si="50"/>
        <v>14.164533333333333</v>
      </c>
      <c r="C1136" s="80">
        <f t="shared" ca="1" si="50"/>
        <v>14.164533333333333</v>
      </c>
      <c r="D1136" s="80">
        <f t="shared" ca="1" si="50"/>
        <v>14.165816666666665</v>
      </c>
      <c r="E1136" s="80">
        <f t="shared" ca="1" si="50"/>
        <v>15.970408333333333</v>
      </c>
      <c r="F1136" s="80">
        <f t="shared" ca="1" si="50"/>
        <v>15.970408333333333</v>
      </c>
      <c r="G1136" s="80">
        <f t="shared" ca="1" si="50"/>
        <v>15.974724999999999</v>
      </c>
      <c r="H1136" s="80">
        <f t="shared" ca="1" si="50"/>
        <v>33.112208333333335</v>
      </c>
      <c r="I1136" s="80">
        <f t="shared" ca="1" si="50"/>
        <v>33.116533333333329</v>
      </c>
      <c r="J1136" s="80">
        <f t="shared" ca="1" si="50"/>
        <v>33.112208333333335</v>
      </c>
      <c r="K1136" s="80">
        <f t="shared" ca="1" si="50"/>
        <v>33.116533333333329</v>
      </c>
      <c r="L1136" s="80">
        <f t="shared" ca="1" si="50"/>
        <v>15.970408333333333</v>
      </c>
      <c r="M1136" s="80">
        <f t="shared" ca="1" si="50"/>
        <v>15.974724999999999</v>
      </c>
      <c r="N1136" s="80">
        <f t="shared" ca="1" si="50"/>
        <v>15.970408333333333</v>
      </c>
      <c r="O1136" s="80">
        <f t="shared" ca="1" si="50"/>
        <v>15.974724999999999</v>
      </c>
    </row>
    <row r="1137" spans="1:15" ht="15" x14ac:dyDescent="0.2">
      <c r="A1137" s="11">
        <v>2092</v>
      </c>
      <c r="B1137" s="80">
        <f t="shared" ref="B1137:O1145" ca="1" si="51">AVERAGE(OFFSET(B$590,($A1137-$A$1107)*12,0,12,1))</f>
        <v>14.353250000000001</v>
      </c>
      <c r="C1137" s="80">
        <f t="shared" ca="1" si="51"/>
        <v>14.353250000000001</v>
      </c>
      <c r="D1137" s="80">
        <f t="shared" ca="1" si="51"/>
        <v>14.354508333333333</v>
      </c>
      <c r="E1137" s="80">
        <f t="shared" ca="1" si="51"/>
        <v>16.184991666666665</v>
      </c>
      <c r="F1137" s="80">
        <f t="shared" ca="1" si="51"/>
        <v>16.184991666666665</v>
      </c>
      <c r="G1137" s="80">
        <f t="shared" ca="1" si="51"/>
        <v>16.189299999999999</v>
      </c>
      <c r="H1137" s="80">
        <f t="shared" ca="1" si="51"/>
        <v>33.581600000000002</v>
      </c>
      <c r="I1137" s="80">
        <f t="shared" ca="1" si="51"/>
        <v>33.58591666666667</v>
      </c>
      <c r="J1137" s="80">
        <f t="shared" ca="1" si="51"/>
        <v>33.581600000000002</v>
      </c>
      <c r="K1137" s="80">
        <f t="shared" ca="1" si="51"/>
        <v>33.58591666666667</v>
      </c>
      <c r="L1137" s="80">
        <f t="shared" ca="1" si="51"/>
        <v>16.184991666666665</v>
      </c>
      <c r="M1137" s="80">
        <f t="shared" ca="1" si="51"/>
        <v>16.189299999999999</v>
      </c>
      <c r="N1137" s="80">
        <f t="shared" ca="1" si="51"/>
        <v>16.184991666666665</v>
      </c>
      <c r="O1137" s="80">
        <f t="shared" ca="1" si="51"/>
        <v>16.189299999999999</v>
      </c>
    </row>
    <row r="1138" spans="1:15" ht="15" x14ac:dyDescent="0.2">
      <c r="A1138" s="11">
        <v>2093</v>
      </c>
      <c r="B1138" s="80">
        <f t="shared" ca="1" si="51"/>
        <v>14.541925000000001</v>
      </c>
      <c r="C1138" s="80">
        <f t="shared" ca="1" si="51"/>
        <v>14.541925000000001</v>
      </c>
      <c r="D1138" s="80">
        <f t="shared" ca="1" si="51"/>
        <v>14.543216666666666</v>
      </c>
      <c r="E1138" s="80">
        <f t="shared" ca="1" si="51"/>
        <v>16.399541666666668</v>
      </c>
      <c r="F1138" s="80">
        <f t="shared" ca="1" si="51"/>
        <v>16.399541666666668</v>
      </c>
      <c r="G1138" s="80">
        <f t="shared" ca="1" si="51"/>
        <v>16.403849999999995</v>
      </c>
      <c r="H1138" s="80">
        <f t="shared" ca="1" si="51"/>
        <v>34.050991666666668</v>
      </c>
      <c r="I1138" s="80">
        <f t="shared" ca="1" si="51"/>
        <v>34.055308333333336</v>
      </c>
      <c r="J1138" s="80">
        <f t="shared" ca="1" si="51"/>
        <v>34.050991666666668</v>
      </c>
      <c r="K1138" s="80">
        <f t="shared" ca="1" si="51"/>
        <v>34.055308333333336</v>
      </c>
      <c r="L1138" s="80">
        <f t="shared" ca="1" si="51"/>
        <v>16.399541666666668</v>
      </c>
      <c r="M1138" s="80">
        <f t="shared" ca="1" si="51"/>
        <v>16.403849999999995</v>
      </c>
      <c r="N1138" s="80">
        <f t="shared" ca="1" si="51"/>
        <v>16.399541666666668</v>
      </c>
      <c r="O1138" s="80">
        <f t="shared" ca="1" si="51"/>
        <v>16.403849999999995</v>
      </c>
    </row>
    <row r="1139" spans="1:15" ht="15" x14ac:dyDescent="0.2">
      <c r="A1139" s="11">
        <v>2094</v>
      </c>
      <c r="B1139" s="80">
        <f t="shared" ca="1" si="51"/>
        <v>14.730650000000002</v>
      </c>
      <c r="C1139" s="80">
        <f t="shared" ca="1" si="51"/>
        <v>14.730650000000002</v>
      </c>
      <c r="D1139" s="80">
        <f t="shared" ca="1" si="51"/>
        <v>14.731908333333331</v>
      </c>
      <c r="E1139" s="80">
        <f t="shared" ca="1" si="51"/>
        <v>16.614100000000004</v>
      </c>
      <c r="F1139" s="80">
        <f t="shared" ca="1" si="51"/>
        <v>16.614100000000004</v>
      </c>
      <c r="G1139" s="80">
        <f t="shared" ca="1" si="51"/>
        <v>16.618416666666665</v>
      </c>
      <c r="H1139" s="80">
        <f t="shared" ca="1" si="51"/>
        <v>34.520374999999994</v>
      </c>
      <c r="I1139" s="80">
        <f t="shared" ca="1" si="51"/>
        <v>34.524691666666662</v>
      </c>
      <c r="J1139" s="80">
        <f t="shared" ca="1" si="51"/>
        <v>34.520374999999994</v>
      </c>
      <c r="K1139" s="80">
        <f t="shared" ca="1" si="51"/>
        <v>34.524691666666662</v>
      </c>
      <c r="L1139" s="80">
        <f t="shared" ca="1" si="51"/>
        <v>16.614100000000004</v>
      </c>
      <c r="M1139" s="80">
        <f t="shared" ca="1" si="51"/>
        <v>16.618416666666665</v>
      </c>
      <c r="N1139" s="80">
        <f t="shared" ca="1" si="51"/>
        <v>16.614100000000004</v>
      </c>
      <c r="O1139" s="80">
        <f t="shared" ca="1" si="51"/>
        <v>16.618416666666665</v>
      </c>
    </row>
    <row r="1140" spans="1:15" ht="15" x14ac:dyDescent="0.2">
      <c r="A1140" s="11">
        <v>2095</v>
      </c>
      <c r="B1140" s="80">
        <f t="shared" ca="1" si="51"/>
        <v>14.919341666666666</v>
      </c>
      <c r="C1140" s="80">
        <f t="shared" ca="1" si="51"/>
        <v>14.919341666666666</v>
      </c>
      <c r="D1140" s="80">
        <f t="shared" ca="1" si="51"/>
        <v>14.920624999999999</v>
      </c>
      <c r="E1140" s="80">
        <f t="shared" ca="1" si="51"/>
        <v>16.828675</v>
      </c>
      <c r="F1140" s="80">
        <f t="shared" ca="1" si="51"/>
        <v>16.828675</v>
      </c>
      <c r="G1140" s="80">
        <f t="shared" ca="1" si="51"/>
        <v>16.832991666666665</v>
      </c>
      <c r="H1140" s="80">
        <f t="shared" ca="1" si="51"/>
        <v>34.989775000000002</v>
      </c>
      <c r="I1140" s="80">
        <f t="shared" ca="1" si="51"/>
        <v>34.994083333333336</v>
      </c>
      <c r="J1140" s="80">
        <f t="shared" ca="1" si="51"/>
        <v>34.989775000000002</v>
      </c>
      <c r="K1140" s="80">
        <f t="shared" ca="1" si="51"/>
        <v>34.994083333333336</v>
      </c>
      <c r="L1140" s="80">
        <f t="shared" ca="1" si="51"/>
        <v>16.828675</v>
      </c>
      <c r="M1140" s="80">
        <f t="shared" ca="1" si="51"/>
        <v>16.832991666666665</v>
      </c>
      <c r="N1140" s="80">
        <f t="shared" ca="1" si="51"/>
        <v>16.828675</v>
      </c>
      <c r="O1140" s="80">
        <f t="shared" ca="1" si="51"/>
        <v>16.832991666666665</v>
      </c>
    </row>
    <row r="1141" spans="1:15" ht="15" x14ac:dyDescent="0.2">
      <c r="A1141" s="11">
        <v>2096</v>
      </c>
      <c r="B1141" s="80">
        <f t="shared" ca="1" si="51"/>
        <v>15.108033333333333</v>
      </c>
      <c r="C1141" s="80">
        <f t="shared" ca="1" si="51"/>
        <v>15.108033333333333</v>
      </c>
      <c r="D1141" s="80">
        <f t="shared" ca="1" si="51"/>
        <v>15.109316666666665</v>
      </c>
      <c r="E1141" s="80">
        <f t="shared" ca="1" si="51"/>
        <v>17.043241666666667</v>
      </c>
      <c r="F1141" s="80">
        <f t="shared" ca="1" si="51"/>
        <v>17.043241666666667</v>
      </c>
      <c r="G1141" s="80">
        <f t="shared" ca="1" si="51"/>
        <v>17.047558333333335</v>
      </c>
      <c r="H1141" s="80">
        <f t="shared" ca="1" si="51"/>
        <v>35.459150000000001</v>
      </c>
      <c r="I1141" s="80">
        <f t="shared" ca="1" si="51"/>
        <v>35.463458333333328</v>
      </c>
      <c r="J1141" s="80">
        <f t="shared" ca="1" si="51"/>
        <v>35.459150000000001</v>
      </c>
      <c r="K1141" s="80">
        <f t="shared" ca="1" si="51"/>
        <v>35.463458333333328</v>
      </c>
      <c r="L1141" s="80">
        <f t="shared" ca="1" si="51"/>
        <v>17.043241666666667</v>
      </c>
      <c r="M1141" s="80">
        <f t="shared" ca="1" si="51"/>
        <v>17.047558333333335</v>
      </c>
      <c r="N1141" s="80">
        <f t="shared" ca="1" si="51"/>
        <v>17.043241666666667</v>
      </c>
      <c r="O1141" s="80">
        <f t="shared" ca="1" si="51"/>
        <v>17.047558333333335</v>
      </c>
    </row>
    <row r="1142" spans="1:15" ht="15" x14ac:dyDescent="0.2">
      <c r="A1142" s="11">
        <v>2097</v>
      </c>
      <c r="B1142" s="80">
        <f t="shared" ca="1" si="51"/>
        <v>15.296750000000001</v>
      </c>
      <c r="C1142" s="80">
        <f t="shared" ca="1" si="51"/>
        <v>15.296750000000001</v>
      </c>
      <c r="D1142" s="80">
        <f t="shared" ca="1" si="51"/>
        <v>15.298008333333334</v>
      </c>
      <c r="E1142" s="80">
        <f t="shared" ca="1" si="51"/>
        <v>17.2578</v>
      </c>
      <c r="F1142" s="80">
        <f t="shared" ca="1" si="51"/>
        <v>17.2578</v>
      </c>
      <c r="G1142" s="80">
        <f t="shared" ca="1" si="51"/>
        <v>17.262116666666664</v>
      </c>
      <c r="H1142" s="80">
        <f t="shared" ca="1" si="51"/>
        <v>35.928533333333334</v>
      </c>
      <c r="I1142" s="80">
        <f t="shared" ca="1" si="51"/>
        <v>35.932841666666668</v>
      </c>
      <c r="J1142" s="80">
        <f t="shared" ca="1" si="51"/>
        <v>35.928533333333334</v>
      </c>
      <c r="K1142" s="80">
        <f t="shared" ca="1" si="51"/>
        <v>35.932841666666668</v>
      </c>
      <c r="L1142" s="80">
        <f t="shared" ca="1" si="51"/>
        <v>17.2578</v>
      </c>
      <c r="M1142" s="80">
        <f t="shared" ca="1" si="51"/>
        <v>17.262116666666664</v>
      </c>
      <c r="N1142" s="80">
        <f t="shared" ca="1" si="51"/>
        <v>17.2578</v>
      </c>
      <c r="O1142" s="80">
        <f t="shared" ca="1" si="51"/>
        <v>17.262116666666664</v>
      </c>
    </row>
    <row r="1143" spans="1:15" ht="15" x14ac:dyDescent="0.2">
      <c r="A1143" s="11">
        <v>2098</v>
      </c>
      <c r="B1143" s="80">
        <f t="shared" ca="1" si="51"/>
        <v>15.485433333333333</v>
      </c>
      <c r="C1143" s="80">
        <f t="shared" ca="1" si="51"/>
        <v>15.485433333333333</v>
      </c>
      <c r="D1143" s="80">
        <f t="shared" ca="1" si="51"/>
        <v>15.486733333333333</v>
      </c>
      <c r="E1143" s="80">
        <f t="shared" ca="1" si="51"/>
        <v>17.472383333333333</v>
      </c>
      <c r="F1143" s="80">
        <f t="shared" ca="1" si="51"/>
        <v>17.472383333333333</v>
      </c>
      <c r="G1143" s="80">
        <f t="shared" ca="1" si="51"/>
        <v>17.476700000000001</v>
      </c>
      <c r="H1143" s="80">
        <f t="shared" ca="1" si="51"/>
        <v>36.397908333333334</v>
      </c>
      <c r="I1143" s="80">
        <f t="shared" ca="1" si="51"/>
        <v>36.402233333333335</v>
      </c>
      <c r="J1143" s="80">
        <f t="shared" ca="1" si="51"/>
        <v>36.397908333333334</v>
      </c>
      <c r="K1143" s="80">
        <f t="shared" ca="1" si="51"/>
        <v>36.402233333333335</v>
      </c>
      <c r="L1143" s="80">
        <f t="shared" ca="1" si="51"/>
        <v>17.472383333333333</v>
      </c>
      <c r="M1143" s="80">
        <f t="shared" ca="1" si="51"/>
        <v>17.476700000000001</v>
      </c>
      <c r="N1143" s="80">
        <f t="shared" ca="1" si="51"/>
        <v>17.472383333333333</v>
      </c>
      <c r="O1143" s="80">
        <f t="shared" ca="1" si="51"/>
        <v>17.476700000000001</v>
      </c>
    </row>
    <row r="1144" spans="1:15" ht="15" x14ac:dyDescent="0.2">
      <c r="A1144" s="11">
        <v>2099</v>
      </c>
      <c r="B1144" s="80">
        <f t="shared" ca="1" si="51"/>
        <v>15.674149999999999</v>
      </c>
      <c r="C1144" s="80">
        <f t="shared" ca="1" si="51"/>
        <v>15.674149999999999</v>
      </c>
      <c r="D1144" s="80">
        <f t="shared" ca="1" si="51"/>
        <v>15.675425000000002</v>
      </c>
      <c r="E1144" s="80">
        <f t="shared" ca="1" si="51"/>
        <v>17.686933333333332</v>
      </c>
      <c r="F1144" s="80">
        <f t="shared" ca="1" si="51"/>
        <v>17.686933333333332</v>
      </c>
      <c r="G1144" s="80">
        <f t="shared" ca="1" si="51"/>
        <v>17.691258333333334</v>
      </c>
      <c r="H1144" s="80">
        <f t="shared" ca="1" si="51"/>
        <v>36.8673</v>
      </c>
      <c r="I1144" s="80">
        <f t="shared" ca="1" si="51"/>
        <v>36.871625000000002</v>
      </c>
      <c r="J1144" s="80">
        <f t="shared" ca="1" si="51"/>
        <v>36.8673</v>
      </c>
      <c r="K1144" s="80">
        <f t="shared" ca="1" si="51"/>
        <v>36.871625000000002</v>
      </c>
      <c r="L1144" s="80">
        <f t="shared" ca="1" si="51"/>
        <v>17.686933333333332</v>
      </c>
      <c r="M1144" s="80">
        <f t="shared" ca="1" si="51"/>
        <v>17.691258333333334</v>
      </c>
      <c r="N1144" s="80">
        <f t="shared" ca="1" si="51"/>
        <v>17.686933333333332</v>
      </c>
      <c r="O1144" s="80">
        <f t="shared" ca="1" si="51"/>
        <v>17.691258333333334</v>
      </c>
    </row>
    <row r="1145" spans="1:15" ht="15" x14ac:dyDescent="0.2">
      <c r="A1145" s="11">
        <v>2100</v>
      </c>
      <c r="B1145" s="80">
        <f t="shared" ca="1" si="51"/>
        <v>15.862841666666663</v>
      </c>
      <c r="C1145" s="80">
        <f t="shared" ca="1" si="51"/>
        <v>15.862841666666663</v>
      </c>
      <c r="D1145" s="80">
        <f t="shared" ca="1" si="51"/>
        <v>15.864133333333335</v>
      </c>
      <c r="E1145" s="80">
        <f t="shared" ca="1" si="51"/>
        <v>17.901491666666669</v>
      </c>
      <c r="F1145" s="80">
        <f t="shared" ca="1" si="51"/>
        <v>17.901491666666669</v>
      </c>
      <c r="G1145" s="80">
        <f t="shared" ca="1" si="51"/>
        <v>17.905808333333329</v>
      </c>
      <c r="H1145" s="80">
        <f t="shared" ca="1" si="51"/>
        <v>37.3367</v>
      </c>
      <c r="I1145" s="80">
        <f t="shared" ca="1" si="51"/>
        <v>37.341008333333342</v>
      </c>
      <c r="J1145" s="80">
        <f t="shared" ca="1" si="51"/>
        <v>37.3367</v>
      </c>
      <c r="K1145" s="80">
        <f t="shared" ca="1" si="51"/>
        <v>37.341008333333342</v>
      </c>
      <c r="L1145" s="80">
        <f t="shared" ca="1" si="51"/>
        <v>17.901491666666669</v>
      </c>
      <c r="M1145" s="80">
        <f t="shared" ca="1" si="51"/>
        <v>17.905808333333329</v>
      </c>
      <c r="N1145" s="80">
        <f t="shared" ca="1" si="51"/>
        <v>17.901491666666669</v>
      </c>
      <c r="O1145" s="80">
        <f t="shared" ca="1" si="51"/>
        <v>17.905808333333329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3" scale="6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RAP-LIGHT OIL</vt:lpstr>
      <vt:lpstr>RAP-HEAVY OIL&amp;WTI</vt:lpstr>
      <vt:lpstr>RAP-NATURAL GAS PRICES</vt:lpstr>
      <vt:lpstr>RAP TEMPLATE-GAS AVAILABILITY</vt:lpstr>
      <vt:lpstr>RAP-SOLID FUEL PRICES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2016-07-29T16:42:27Z</dcterms:created>
  <dcterms:modified xsi:type="dcterms:W3CDTF">2016-07-29T16:42:31Z</dcterms:modified>
</cp:coreProperties>
</file>